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4"/>
  </bookViews>
  <sheets>
    <sheet name="指标看板" sheetId="5" r:id="rId1"/>
    <sheet name="面试清单" sheetId="1" r:id="rId2"/>
    <sheet name="供应商管理" sheetId="2" r:id="rId3"/>
    <sheet name="离职清单" sheetId="3" r:id="rId4"/>
    <sheet name="在职清单" sheetId="4" r:id="rId5"/>
    <sheet name="使用说明" sheetId="6" r:id="rId6"/>
  </sheets>
  <definedNames>
    <definedName name="_xlnm._FilterDatabase" localSheetId="1" hidden="1">面试清单!$A$1:$P$4851</definedName>
    <definedName name="_xlnm._FilterDatabase" localSheetId="4" hidden="1">在职清单!$A$1:$K$5001</definedName>
    <definedName name="SupplierNameList">供应商管理!$C$2:$C$1000</definedName>
    <definedName name="_xlnm._FilterDatabase" localSheetId="3" hidden="1">离职清单!$A$1:$N$5001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<sst xmlns="http://schemas.openxmlformats.org/spreadsheetml/2006/main" count="61909" uniqueCount="6814">
  <si>
    <t>临时工管理指标看板 v3</t>
  </si>
  <si>
    <t>分析起始日期</t>
  </si>
  <si>
    <t>← 修改此日期刷新分析</t>
  </si>
  <si>
    <t>周度分析</t>
  </si>
  <si>
    <t>起始日期</t>
  </si>
  <si>
    <t>2026-06-01</t>
  </si>
  <si>
    <t>面试总人数</t>
  </si>
  <si>
    <t>面试通过率</t>
  </si>
  <si>
    <t>报到率</t>
  </si>
  <si>
    <t>当前在职人数</t>
  </si>
  <si>
    <t>周次</t>
  </si>
  <si>
    <t>起始</t>
  </si>
  <si>
    <t>结束</t>
  </si>
  <si>
    <t>入职</t>
  </si>
  <si>
    <t>离职</t>
  </si>
  <si>
    <t>净增</t>
  </si>
  <si>
    <t>累计入职人数</t>
  </si>
  <si>
    <t>累计离职人数</t>
  </si>
  <si>
    <t>当月入职</t>
  </si>
  <si>
    <t>当月离职</t>
  </si>
  <si>
    <t>W1</t>
  </si>
  <si>
    <t>W2</t>
  </si>
  <si>
    <t>W3</t>
  </si>
  <si>
    <t>【新增】总目标达成表</t>
  </si>
  <si>
    <t>W4</t>
  </si>
  <si>
    <t>区域</t>
  </si>
  <si>
    <t>目标</t>
  </si>
  <si>
    <t>缺口</t>
  </si>
  <si>
    <t>净增达成率</t>
  </si>
  <si>
    <t>江门</t>
  </si>
  <si>
    <t>成都</t>
  </si>
  <si>
    <t>汇总</t>
  </si>
  <si>
    <t>【新增】周日度明细表（区域 x 工种）</t>
  </si>
  <si>
    <t>工种</t>
  </si>
  <si>
    <r>
      <rPr>
        <b/>
        <sz val="10"/>
        <color rgb="FFFFFFFF"/>
        <rFont val="Arial"/>
        <charset val="134"/>
      </rPr>
      <t>本周累计</t>
    </r>
    <r>
      <rPr>
        <b/>
        <sz val="10"/>
        <color rgb="FFFFFFFF"/>
        <rFont val="Arial"/>
        <charset val="134"/>
      </rPr>
      <t xml:space="preserve">
</t>
    </r>
    <r>
      <rPr>
        <b/>
        <sz val="10"/>
        <color rgb="FFFFFFFF"/>
        <rFont val="宋体"/>
        <charset val="134"/>
      </rPr>
      <t>入职</t>
    </r>
  </si>
  <si>
    <r>
      <rPr>
        <b/>
        <sz val="10"/>
        <color rgb="FFFFFFFF"/>
        <rFont val="Arial"/>
        <charset val="134"/>
      </rPr>
      <t>本周累计</t>
    </r>
    <r>
      <rPr>
        <b/>
        <sz val="10"/>
        <color rgb="FFFFFFFF"/>
        <rFont val="Arial"/>
        <charset val="134"/>
      </rPr>
      <t xml:space="preserve">
</t>
    </r>
    <r>
      <rPr>
        <b/>
        <sz val="10"/>
        <color rgb="FFFFFFFF"/>
        <rFont val="宋体"/>
        <charset val="134"/>
      </rPr>
      <t>离职</t>
    </r>
  </si>
  <si>
    <r>
      <rPr>
        <b/>
        <sz val="10"/>
        <color rgb="FFFFFFFF"/>
        <rFont val="Arial"/>
        <charset val="134"/>
      </rPr>
      <t>本周累计</t>
    </r>
    <r>
      <rPr>
        <b/>
        <sz val="10"/>
        <color rgb="FFFFFFFF"/>
        <rFont val="Arial"/>
        <charset val="134"/>
      </rPr>
      <t xml:space="preserve">
</t>
    </r>
    <r>
      <rPr>
        <b/>
        <sz val="10"/>
        <color rgb="FFFFFFFF"/>
        <rFont val="宋体"/>
        <charset val="134"/>
      </rPr>
      <t>净增长</t>
    </r>
  </si>
  <si>
    <t>今日在职</t>
  </si>
  <si>
    <t/>
  </si>
  <si>
    <t>入</t>
  </si>
  <si>
    <t>离</t>
  </si>
  <si>
    <t>净</t>
  </si>
  <si>
    <t>电工</t>
  </si>
  <si>
    <t>钳工</t>
  </si>
  <si>
    <t>合计</t>
  </si>
  <si>
    <t>总计</t>
  </si>
  <si>
    <t>人员结构分析报告（数据截止：</t>
  </si>
  <si>
    <r>
      <rPr>
        <b/>
        <sz val="14"/>
        <color rgb="FF1A2744"/>
        <rFont val="宋体"/>
        <charset val="134"/>
        <scheme val="minor"/>
      </rPr>
      <t>)</t>
    </r>
    <r>
      <rPr>
        <b/>
        <sz val="11"/>
        <color rgb="FF1A2744"/>
        <rFont val="宋体"/>
        <charset val="134"/>
        <scheme val="minor"/>
      </rPr>
      <t>没有选定日期时，默认截止今天</t>
    </r>
  </si>
  <si>
    <t>在职人数</t>
  </si>
  <si>
    <t>起始日起总需求</t>
  </si>
  <si>
    <t>累计招聘人数</t>
  </si>
  <si>
    <t>当前缺口人数</t>
  </si>
  <si>
    <t>大工 / 中工 / 小工 — 四维度占比分析</t>
  </si>
  <si>
    <t>等级</t>
  </si>
  <si>
    <t>在职占比</t>
  </si>
  <si>
    <t>需求</t>
  </si>
  <si>
    <t>需求占比</t>
  </si>
  <si>
    <t>招聘完成率</t>
  </si>
  <si>
    <t>缺口数量</t>
  </si>
  <si>
    <t>缺口占比</t>
  </si>
  <si>
    <t>满足率</t>
  </si>
  <si>
    <t>紧急度</t>
  </si>
  <si>
    <t>大工</t>
  </si>
  <si>
    <t>中工</t>
  </si>
  <si>
    <t>小工</t>
  </si>
  <si>
    <t>-</t>
  </si>
  <si>
    <t>电工 / 钳工 — 工种维度对比</t>
  </si>
  <si>
    <t>占总缺口比</t>
  </si>
  <si>
    <t>四、按岗位类型统计</t>
  </si>
  <si>
    <t>岗位类型</t>
  </si>
  <si>
    <t>累计入职</t>
  </si>
  <si>
    <t>累计离职</t>
  </si>
  <si>
    <t>占比</t>
  </si>
  <si>
    <t>调试</t>
  </si>
  <si>
    <t>仓库</t>
  </si>
  <si>
    <t>其他</t>
  </si>
  <si>
    <t>五、按技能等级统计</t>
  </si>
  <si>
    <t>技能等级</t>
  </si>
  <si>
    <t>六、按面试渠道对比</t>
  </si>
  <si>
    <t>渠道</t>
  </si>
  <si>
    <t>面试人数</t>
  </si>
  <si>
    <t>通过人数</t>
  </si>
  <si>
    <t>报到人数</t>
  </si>
  <si>
    <t>通过率</t>
  </si>
  <si>
    <t>留存率</t>
  </si>
  <si>
    <t>线上</t>
  </si>
  <si>
    <t>线下</t>
  </si>
  <si>
    <t>序号</t>
  </si>
  <si>
    <t>面试日期</t>
  </si>
  <si>
    <t>姓名</t>
  </si>
  <si>
    <t>身份证后四位</t>
  </si>
  <si>
    <t>供应商</t>
  </si>
  <si>
    <t>面试渠道</t>
  </si>
  <si>
    <t>面试结果</t>
  </si>
  <si>
    <t>是否报到</t>
  </si>
  <si>
    <t>报到日期</t>
  </si>
  <si>
    <t>联系人电话</t>
  </si>
  <si>
    <t>备注</t>
  </si>
  <si>
    <t>地区</t>
  </si>
  <si>
    <t>离职状态(辅助)</t>
  </si>
  <si>
    <t>在职序号(辅助)</t>
  </si>
  <si>
    <t>黄鹏云</t>
  </si>
  <si>
    <t>0002</t>
  </si>
  <si>
    <t>共辉</t>
  </si>
  <si>
    <t>通过</t>
  </si>
  <si>
    <t>否</t>
  </si>
  <si>
    <t>何岸兰</t>
  </si>
  <si>
    <t>0003</t>
  </si>
  <si>
    <t>梁永康</t>
  </si>
  <si>
    <t>0004</t>
  </si>
  <si>
    <t>慧城</t>
  </si>
  <si>
    <t>不通过</t>
  </si>
  <si>
    <t>曹书豪</t>
  </si>
  <si>
    <t>0005</t>
  </si>
  <si>
    <t>是</t>
  </si>
  <si>
    <t>蓝枫</t>
  </si>
  <si>
    <t>0006</t>
  </si>
  <si>
    <t>智邦</t>
  </si>
  <si>
    <t>唐嘉</t>
  </si>
  <si>
    <t>0007</t>
  </si>
  <si>
    <t>陶召健</t>
  </si>
  <si>
    <t>0008</t>
  </si>
  <si>
    <t>陈峰真</t>
  </si>
  <si>
    <t>0009</t>
  </si>
  <si>
    <t>慧通</t>
  </si>
  <si>
    <t>莫振旺</t>
  </si>
  <si>
    <t>0010</t>
  </si>
  <si>
    <t>刘玉龙</t>
  </si>
  <si>
    <t>0011</t>
  </si>
  <si>
    <t>赞华</t>
  </si>
  <si>
    <t>李君朋</t>
  </si>
  <si>
    <t>0012</t>
  </si>
  <si>
    <t>杰威</t>
  </si>
  <si>
    <t>赖建丞</t>
  </si>
  <si>
    <t>0013</t>
  </si>
  <si>
    <t>华伟</t>
  </si>
  <si>
    <t>冯天域</t>
  </si>
  <si>
    <t>0014</t>
  </si>
  <si>
    <t>隆成彪</t>
  </si>
  <si>
    <t>0015</t>
  </si>
  <si>
    <t>隆金成</t>
  </si>
  <si>
    <t>0016</t>
  </si>
  <si>
    <t>甘健枫</t>
  </si>
  <si>
    <t>0017</t>
  </si>
  <si>
    <t>杨主</t>
  </si>
  <si>
    <t>0018</t>
  </si>
  <si>
    <t>黄开旺</t>
  </si>
  <si>
    <t>0019</t>
  </si>
  <si>
    <t>技为</t>
  </si>
  <si>
    <t>李伊俊</t>
  </si>
  <si>
    <t>0020</t>
  </si>
  <si>
    <t>王家松</t>
  </si>
  <si>
    <t>0021</t>
  </si>
  <si>
    <t>冼辉</t>
  </si>
  <si>
    <t>0022</t>
  </si>
  <si>
    <t>关文展</t>
  </si>
  <si>
    <t>0023</t>
  </si>
  <si>
    <t>黄锡潮</t>
  </si>
  <si>
    <t>0024</t>
  </si>
  <si>
    <t>刘健鸿</t>
  </si>
  <si>
    <t>0025</t>
  </si>
  <si>
    <t>梁荣钊</t>
  </si>
  <si>
    <t>0026</t>
  </si>
  <si>
    <t>杨秀华</t>
  </si>
  <si>
    <t>0027</t>
  </si>
  <si>
    <t>高伟凯</t>
  </si>
  <si>
    <t>0028</t>
  </si>
  <si>
    <t>谭德勋</t>
  </si>
  <si>
    <t>0029</t>
  </si>
  <si>
    <t>陈金泉</t>
  </si>
  <si>
    <t>0030</t>
  </si>
  <si>
    <t>蒙建钟</t>
  </si>
  <si>
    <t>0031</t>
  </si>
  <si>
    <t>久久鸿</t>
  </si>
  <si>
    <t>曾维一</t>
  </si>
  <si>
    <t>0032</t>
  </si>
  <si>
    <t>薪向往</t>
  </si>
  <si>
    <t>马博</t>
  </si>
  <si>
    <t>0033</t>
  </si>
  <si>
    <t>聘得宝</t>
  </si>
  <si>
    <t>梁鸿锋</t>
  </si>
  <si>
    <t>0034</t>
  </si>
  <si>
    <t>卢琼瑶</t>
  </si>
  <si>
    <t>0035</t>
  </si>
  <si>
    <t>梁建海</t>
  </si>
  <si>
    <t>0036</t>
  </si>
  <si>
    <t>李庆峰</t>
  </si>
  <si>
    <t>0037</t>
  </si>
  <si>
    <t>邹其发</t>
  </si>
  <si>
    <t>0038</t>
  </si>
  <si>
    <t>普工</t>
  </si>
  <si>
    <t>张智斌</t>
  </si>
  <si>
    <t>0039</t>
  </si>
  <si>
    <t>李浩源</t>
  </si>
  <si>
    <t>0040</t>
  </si>
  <si>
    <t>文晓萱</t>
  </si>
  <si>
    <t>0044</t>
  </si>
  <si>
    <t>成英荣</t>
  </si>
  <si>
    <t>0048</t>
  </si>
  <si>
    <t>符辰燕</t>
  </si>
  <si>
    <t>0049</t>
  </si>
  <si>
    <t>陈发达</t>
  </si>
  <si>
    <t>0050</t>
  </si>
  <si>
    <t>欧阳泽鹏</t>
  </si>
  <si>
    <t>0051</t>
  </si>
  <si>
    <t>黄杰彬</t>
  </si>
  <si>
    <t>0056</t>
  </si>
  <si>
    <t>何旭</t>
  </si>
  <si>
    <t>0057</t>
  </si>
  <si>
    <t>凌权</t>
  </si>
  <si>
    <t>0058</t>
  </si>
  <si>
    <t>凌广</t>
  </si>
  <si>
    <t>0059</t>
  </si>
  <si>
    <t>田佳跃</t>
  </si>
  <si>
    <t>0060</t>
  </si>
  <si>
    <t>田茂金</t>
  </si>
  <si>
    <t>0061</t>
  </si>
  <si>
    <t>陈佳乐</t>
  </si>
  <si>
    <t>0062</t>
  </si>
  <si>
    <t>陈达妮</t>
  </si>
  <si>
    <t>0067</t>
  </si>
  <si>
    <t>钟坪</t>
  </si>
  <si>
    <t>0068</t>
  </si>
  <si>
    <t>范同梅</t>
  </si>
  <si>
    <t>0069</t>
  </si>
  <si>
    <t>黄鹏飞</t>
  </si>
  <si>
    <t>0070</t>
  </si>
  <si>
    <t>黄英桥</t>
  </si>
  <si>
    <t>0071</t>
  </si>
  <si>
    <t>程向阳</t>
  </si>
  <si>
    <t>0072</t>
  </si>
  <si>
    <t>邓奇刚</t>
  </si>
  <si>
    <t>0073</t>
  </si>
  <si>
    <t>奕晨</t>
  </si>
  <si>
    <t>邓远飞</t>
  </si>
  <si>
    <t>0074</t>
  </si>
  <si>
    <t>邓运亮</t>
  </si>
  <si>
    <t>0075</t>
  </si>
  <si>
    <t>吴甲春</t>
  </si>
  <si>
    <t>0076</t>
  </si>
  <si>
    <t>张鹏</t>
  </si>
  <si>
    <t>0077</t>
  </si>
  <si>
    <t>凌浩聪</t>
  </si>
  <si>
    <t>0078</t>
  </si>
  <si>
    <t>翟振华</t>
  </si>
  <si>
    <t>0079</t>
  </si>
  <si>
    <t>众智</t>
  </si>
  <si>
    <t>杨政</t>
  </si>
  <si>
    <t>0080</t>
  </si>
  <si>
    <t>陈振雄</t>
  </si>
  <si>
    <t>0081</t>
  </si>
  <si>
    <t>杨再忠</t>
  </si>
  <si>
    <t>0082</t>
  </si>
  <si>
    <t>颜坤玮</t>
  </si>
  <si>
    <t>0083</t>
  </si>
  <si>
    <t>姚阳曦</t>
  </si>
  <si>
    <t>0084</t>
  </si>
  <si>
    <t>谭锦堂</t>
  </si>
  <si>
    <t>0085</t>
  </si>
  <si>
    <t>蒋伟文</t>
  </si>
  <si>
    <t>0086</t>
  </si>
  <si>
    <t>吕康</t>
  </si>
  <si>
    <t>0087</t>
  </si>
  <si>
    <t>赵平安</t>
  </si>
  <si>
    <t>0088</t>
  </si>
  <si>
    <t>黄钧源</t>
  </si>
  <si>
    <t>0089</t>
  </si>
  <si>
    <t>黄汉浩</t>
  </si>
  <si>
    <t>0090</t>
  </si>
  <si>
    <t>陈康概</t>
  </si>
  <si>
    <t>0091</t>
  </si>
  <si>
    <t>陈亮</t>
  </si>
  <si>
    <t>0092</t>
  </si>
  <si>
    <t>陆海俊</t>
  </si>
  <si>
    <t>0093</t>
  </si>
  <si>
    <t>李颖斌</t>
  </si>
  <si>
    <t>0094</t>
  </si>
  <si>
    <t>张庆林</t>
  </si>
  <si>
    <t>0095</t>
  </si>
  <si>
    <t>钟明其</t>
  </si>
  <si>
    <t>0096</t>
  </si>
  <si>
    <t>卢友星</t>
  </si>
  <si>
    <t>0097</t>
  </si>
  <si>
    <t>卢静静</t>
  </si>
  <si>
    <t>0098</t>
  </si>
  <si>
    <t>陈振辉</t>
  </si>
  <si>
    <t>0099</t>
  </si>
  <si>
    <t>毛日民</t>
  </si>
  <si>
    <t>0100</t>
  </si>
  <si>
    <t>谢志刚</t>
  </si>
  <si>
    <t>0101</t>
  </si>
  <si>
    <t>伍文涛</t>
  </si>
  <si>
    <t>0102</t>
  </si>
  <si>
    <t>曾军座</t>
  </si>
  <si>
    <t>0103</t>
  </si>
  <si>
    <t>0104</t>
  </si>
  <si>
    <t>蔡锦俊</t>
  </si>
  <si>
    <t>0105</t>
  </si>
  <si>
    <t>卢有胜</t>
  </si>
  <si>
    <t>0106</t>
  </si>
  <si>
    <t>张利勇</t>
  </si>
  <si>
    <t>0107</t>
  </si>
  <si>
    <t>0108</t>
  </si>
  <si>
    <t>袁周谊</t>
  </si>
  <si>
    <t>0109</t>
  </si>
  <si>
    <t>李石伟</t>
  </si>
  <si>
    <t>0113</t>
  </si>
  <si>
    <t>科为</t>
  </si>
  <si>
    <t>陈鹏宇</t>
  </si>
  <si>
    <t>0114</t>
  </si>
  <si>
    <t>张异城</t>
  </si>
  <si>
    <t>0115</t>
  </si>
  <si>
    <t>贰壹贰</t>
  </si>
  <si>
    <t>胡彪</t>
  </si>
  <si>
    <t>0116</t>
  </si>
  <si>
    <t>侯王勇</t>
  </si>
  <si>
    <t>0117</t>
  </si>
  <si>
    <t>高华</t>
  </si>
  <si>
    <t>0119</t>
  </si>
  <si>
    <t>普机卜</t>
  </si>
  <si>
    <t>0122</t>
  </si>
  <si>
    <t>曹轩</t>
  </si>
  <si>
    <t>0123</t>
  </si>
  <si>
    <t>黄妃艳</t>
  </si>
  <si>
    <t>0124</t>
  </si>
  <si>
    <t>万家欣</t>
  </si>
  <si>
    <t>0126</t>
  </si>
  <si>
    <t>0127</t>
  </si>
  <si>
    <t>何江浩</t>
  </si>
  <si>
    <t>0128</t>
  </si>
  <si>
    <t>陈伟彬</t>
  </si>
  <si>
    <t>0129</t>
  </si>
  <si>
    <t>格远</t>
  </si>
  <si>
    <t>李以彬</t>
  </si>
  <si>
    <t>0131</t>
  </si>
  <si>
    <t>排少辉</t>
  </si>
  <si>
    <t>0132</t>
  </si>
  <si>
    <t>韦涛</t>
  </si>
  <si>
    <t>0136</t>
  </si>
  <si>
    <t>徐芳贵</t>
  </si>
  <si>
    <t>0137</t>
  </si>
  <si>
    <t>黄高豪</t>
  </si>
  <si>
    <t>0138</t>
  </si>
  <si>
    <t>黄诗财</t>
  </si>
  <si>
    <t>0139</t>
  </si>
  <si>
    <t>曹精奇</t>
  </si>
  <si>
    <t>0140</t>
  </si>
  <si>
    <t>梁杰有</t>
  </si>
  <si>
    <t>0141</t>
  </si>
  <si>
    <t>李雯</t>
  </si>
  <si>
    <t>0142</t>
  </si>
  <si>
    <t>李仲民</t>
  </si>
  <si>
    <t>0143</t>
  </si>
  <si>
    <t>贺涛</t>
  </si>
  <si>
    <t>0144</t>
  </si>
  <si>
    <t>李景森</t>
  </si>
  <si>
    <t>0145</t>
  </si>
  <si>
    <t>吴广怀</t>
  </si>
  <si>
    <t>0146</t>
  </si>
  <si>
    <t>聘得宝/慧城</t>
  </si>
  <si>
    <t>李兴</t>
  </si>
  <si>
    <t>0147</t>
  </si>
  <si>
    <t>谭志豪</t>
  </si>
  <si>
    <t>0148</t>
  </si>
  <si>
    <t>李思远</t>
  </si>
  <si>
    <t>0149</t>
  </si>
  <si>
    <t>0150</t>
  </si>
  <si>
    <t>王富权</t>
  </si>
  <si>
    <t>0151</t>
  </si>
  <si>
    <t>谭立锋</t>
  </si>
  <si>
    <t>0152</t>
  </si>
  <si>
    <t>冯俊</t>
  </si>
  <si>
    <t>0153</t>
  </si>
  <si>
    <t>0154</t>
  </si>
  <si>
    <t>尹吹响</t>
  </si>
  <si>
    <t>0155</t>
  </si>
  <si>
    <t>利文滨</t>
  </si>
  <si>
    <t>0156</t>
  </si>
  <si>
    <t>张志坚</t>
  </si>
  <si>
    <t>0157</t>
  </si>
  <si>
    <t>谢集涛</t>
  </si>
  <si>
    <t>0158</t>
  </si>
  <si>
    <t>蓝日毅</t>
  </si>
  <si>
    <t>0159</t>
  </si>
  <si>
    <t>岳荣进</t>
  </si>
  <si>
    <t>0160</t>
  </si>
  <si>
    <t>陈国军</t>
  </si>
  <si>
    <t>0161</t>
  </si>
  <si>
    <t>黄晓雯</t>
  </si>
  <si>
    <t>0162</t>
  </si>
  <si>
    <t>何伟雄</t>
  </si>
  <si>
    <t>0163</t>
  </si>
  <si>
    <t>莫海松</t>
  </si>
  <si>
    <t>0164</t>
  </si>
  <si>
    <t>黄日炎</t>
  </si>
  <si>
    <t>0165</t>
  </si>
  <si>
    <t>邓安飞</t>
  </si>
  <si>
    <t>0166</t>
  </si>
  <si>
    <t>张浩</t>
  </si>
  <si>
    <t>0167</t>
  </si>
  <si>
    <t>周臣雷</t>
  </si>
  <si>
    <t>0168</t>
  </si>
  <si>
    <t>成远志</t>
  </si>
  <si>
    <t>0169</t>
  </si>
  <si>
    <t>黎家锋</t>
  </si>
  <si>
    <t>0170</t>
  </si>
  <si>
    <t>游豪婕</t>
  </si>
  <si>
    <t>0171</t>
  </si>
  <si>
    <t>毛雨亭</t>
  </si>
  <si>
    <t>0172</t>
  </si>
  <si>
    <t>王清</t>
  </si>
  <si>
    <t>0173</t>
  </si>
  <si>
    <t>黎华贤</t>
  </si>
  <si>
    <t>0174</t>
  </si>
  <si>
    <t>黎影贤</t>
  </si>
  <si>
    <t>0175</t>
  </si>
  <si>
    <t>田丽丹</t>
  </si>
  <si>
    <t>0176</t>
  </si>
  <si>
    <t>熊军</t>
  </si>
  <si>
    <t>0177</t>
  </si>
  <si>
    <t>姚宇健</t>
  </si>
  <si>
    <t>0178</t>
  </si>
  <si>
    <t>葛树杰</t>
  </si>
  <si>
    <t>0179</t>
  </si>
  <si>
    <t>钟其佐</t>
  </si>
  <si>
    <t>0180</t>
  </si>
  <si>
    <t>优尔蓝</t>
  </si>
  <si>
    <t>郭文应</t>
  </si>
  <si>
    <t>0181</t>
  </si>
  <si>
    <t>邹家康</t>
  </si>
  <si>
    <t>0182</t>
  </si>
  <si>
    <t>曾召元</t>
  </si>
  <si>
    <t>0183</t>
  </si>
  <si>
    <t>舒毅洪</t>
  </si>
  <si>
    <t>0184</t>
  </si>
  <si>
    <t>李锦明</t>
  </si>
  <si>
    <t>0185</t>
  </si>
  <si>
    <t>周波</t>
  </si>
  <si>
    <t>0186</t>
  </si>
  <si>
    <t>陈超明</t>
  </si>
  <si>
    <t>0187</t>
  </si>
  <si>
    <t>杨丝雨</t>
  </si>
  <si>
    <t>0188</t>
  </si>
  <si>
    <t>李福信</t>
  </si>
  <si>
    <t>0189</t>
  </si>
  <si>
    <t>廖宏昆</t>
  </si>
  <si>
    <t>0190</t>
  </si>
  <si>
    <t>0191</t>
  </si>
  <si>
    <t>巴玲</t>
  </si>
  <si>
    <t>0192</t>
  </si>
  <si>
    <t>梁耀怡</t>
  </si>
  <si>
    <t>0193</t>
  </si>
  <si>
    <t>周响柔</t>
  </si>
  <si>
    <t>0194</t>
  </si>
  <si>
    <t>陈山旗</t>
  </si>
  <si>
    <t>0195</t>
  </si>
  <si>
    <t>钟海军</t>
  </si>
  <si>
    <t>0196</t>
  </si>
  <si>
    <t>孙活龙</t>
  </si>
  <si>
    <t>0197</t>
  </si>
  <si>
    <t>0198</t>
  </si>
  <si>
    <t>0199</t>
  </si>
  <si>
    <t>劳向业</t>
  </si>
  <si>
    <t>0200</t>
  </si>
  <si>
    <t>吴斌旭</t>
  </si>
  <si>
    <t>0202</t>
  </si>
  <si>
    <t>陈航</t>
  </si>
  <si>
    <t>0203</t>
  </si>
  <si>
    <t>鼎兴</t>
  </si>
  <si>
    <t>袁豪辉</t>
  </si>
  <si>
    <t>0204</t>
  </si>
  <si>
    <t>梁宏波</t>
  </si>
  <si>
    <t>0205</t>
  </si>
  <si>
    <t>0206</t>
  </si>
  <si>
    <t>冉文峰</t>
  </si>
  <si>
    <t>0207</t>
  </si>
  <si>
    <t>陈攀全</t>
  </si>
  <si>
    <t>0208</t>
  </si>
  <si>
    <t>0209</t>
  </si>
  <si>
    <t>陈国新</t>
  </si>
  <si>
    <t>0212</t>
  </si>
  <si>
    <t>蓝立佳</t>
  </si>
  <si>
    <t>0214</t>
  </si>
  <si>
    <t>莫植雄</t>
  </si>
  <si>
    <t>0217</t>
  </si>
  <si>
    <t>张琼瑶</t>
  </si>
  <si>
    <t>0218</t>
  </si>
  <si>
    <t>张博毅</t>
  </si>
  <si>
    <t>0220</t>
  </si>
  <si>
    <t>农明锦</t>
  </si>
  <si>
    <t>0221</t>
  </si>
  <si>
    <t>何春成</t>
  </si>
  <si>
    <t>0222</t>
  </si>
  <si>
    <t>张悠龙</t>
  </si>
  <si>
    <t>王晓香</t>
  </si>
  <si>
    <t>罗高</t>
  </si>
  <si>
    <t>张克凤</t>
  </si>
  <si>
    <t>石春霞</t>
  </si>
  <si>
    <t>韦颂强</t>
  </si>
  <si>
    <t>李燕醒</t>
  </si>
  <si>
    <t>黄绍文</t>
  </si>
  <si>
    <t>李章燕</t>
  </si>
  <si>
    <t>王先富</t>
  </si>
  <si>
    <t>杨超</t>
  </si>
  <si>
    <t>李伟演</t>
  </si>
  <si>
    <t>佳鑫</t>
  </si>
  <si>
    <t>周年姣</t>
  </si>
  <si>
    <t>王博勇</t>
  </si>
  <si>
    <t>卢健龙</t>
  </si>
  <si>
    <t>创信达</t>
  </si>
  <si>
    <t>卢钢勇</t>
  </si>
  <si>
    <t>沈浩</t>
  </si>
  <si>
    <t>津昌</t>
  </si>
  <si>
    <t>何培生</t>
  </si>
  <si>
    <t>曹德祥</t>
  </si>
  <si>
    <t>董新宇</t>
  </si>
  <si>
    <t>陈秦枫</t>
  </si>
  <si>
    <t>袁丹</t>
  </si>
  <si>
    <t>植诗晴</t>
  </si>
  <si>
    <t>黎裕平</t>
  </si>
  <si>
    <t>梁一红</t>
  </si>
  <si>
    <t>莫春成</t>
  </si>
  <si>
    <t>淦会静</t>
  </si>
  <si>
    <t>黄星杰</t>
  </si>
  <si>
    <t>刘泉胜</t>
  </si>
  <si>
    <t>刘志强</t>
  </si>
  <si>
    <t>卢田冰</t>
  </si>
  <si>
    <t>何昌恒</t>
  </si>
  <si>
    <t>周想志</t>
  </si>
  <si>
    <t>黄罗城</t>
  </si>
  <si>
    <t>伟辉</t>
  </si>
  <si>
    <t>奉前华</t>
  </si>
  <si>
    <t>余丰盈</t>
  </si>
  <si>
    <t>覃梵</t>
  </si>
  <si>
    <t>许静</t>
  </si>
  <si>
    <t>杨健辉</t>
  </si>
  <si>
    <t>伍梓云</t>
  </si>
  <si>
    <t>袁杭</t>
  </si>
  <si>
    <t>李腾兴</t>
  </si>
  <si>
    <t>李梓轩</t>
  </si>
  <si>
    <t>吴冬金</t>
  </si>
  <si>
    <t>杨必滔</t>
  </si>
  <si>
    <t>黄鸿</t>
  </si>
  <si>
    <t>梁献涛</t>
  </si>
  <si>
    <t>林文帮</t>
  </si>
  <si>
    <t>陈文志</t>
  </si>
  <si>
    <t>张崇权</t>
  </si>
  <si>
    <t>卢东汛</t>
  </si>
  <si>
    <t>陈浪</t>
  </si>
  <si>
    <t>江博</t>
  </si>
  <si>
    <t>沈永波</t>
  </si>
  <si>
    <t>陆正磊</t>
  </si>
  <si>
    <t>陈宝</t>
  </si>
  <si>
    <t>温铭旺</t>
  </si>
  <si>
    <t>邝英德</t>
  </si>
  <si>
    <t>邓彦皎</t>
  </si>
  <si>
    <t>黄栋</t>
  </si>
  <si>
    <t>廖亮亮</t>
  </si>
  <si>
    <t>廖君华</t>
  </si>
  <si>
    <t>吴英杰</t>
  </si>
  <si>
    <t>杨铭</t>
  </si>
  <si>
    <t>谢历</t>
  </si>
  <si>
    <t>雷国建</t>
  </si>
  <si>
    <t>候久允</t>
  </si>
  <si>
    <t>骠骑</t>
  </si>
  <si>
    <t>万林</t>
  </si>
  <si>
    <t>何腾</t>
  </si>
  <si>
    <t>任自强</t>
  </si>
  <si>
    <t>王嘉宇</t>
  </si>
  <si>
    <t>邓政新</t>
  </si>
  <si>
    <t>杨涛</t>
  </si>
  <si>
    <t>黄宝山</t>
  </si>
  <si>
    <t>周仪平</t>
  </si>
  <si>
    <t>李镖</t>
  </si>
  <si>
    <t>胡正军</t>
  </si>
  <si>
    <t>施秦文</t>
  </si>
  <si>
    <t>李日帅</t>
  </si>
  <si>
    <t>江朝良</t>
  </si>
  <si>
    <t>淘金</t>
  </si>
  <si>
    <t>彭敬</t>
  </si>
  <si>
    <t>粟旭林</t>
  </si>
  <si>
    <t>覃全昌</t>
  </si>
  <si>
    <t>刘军</t>
  </si>
  <si>
    <t>宋鹏飞</t>
  </si>
  <si>
    <t>赵林</t>
  </si>
  <si>
    <t>程小林</t>
  </si>
  <si>
    <t>阮富毅</t>
  </si>
  <si>
    <t>蒙玉含</t>
  </si>
  <si>
    <t>全立杰</t>
  </si>
  <si>
    <t>叶永幸</t>
  </si>
  <si>
    <t>林育俊</t>
  </si>
  <si>
    <t>黄志意</t>
  </si>
  <si>
    <t>曹金兰</t>
  </si>
  <si>
    <t>黄贤奕</t>
  </si>
  <si>
    <t>李良</t>
  </si>
  <si>
    <t>颜辉</t>
  </si>
  <si>
    <t>广东方胜</t>
  </si>
  <si>
    <t>周光荣</t>
  </si>
  <si>
    <t>罗忠卦</t>
  </si>
  <si>
    <t>周宇</t>
  </si>
  <si>
    <t>唐婷</t>
  </si>
  <si>
    <t>梁志汉</t>
  </si>
  <si>
    <t>梁志湍</t>
  </si>
  <si>
    <t>黎燕楠</t>
  </si>
  <si>
    <t>姚凯</t>
  </si>
  <si>
    <t>赵志坤</t>
  </si>
  <si>
    <t>周小兵</t>
  </si>
  <si>
    <t>赵向伟</t>
  </si>
  <si>
    <t>杨莉</t>
  </si>
  <si>
    <t>汪兵</t>
  </si>
  <si>
    <t>宋仁宽</t>
  </si>
  <si>
    <t>詹淇</t>
  </si>
  <si>
    <t>易永官</t>
  </si>
  <si>
    <t>肖立萍</t>
  </si>
  <si>
    <t>刘嫦</t>
  </si>
  <si>
    <t>李嘉琼</t>
  </si>
  <si>
    <t>朱世杰</t>
  </si>
  <si>
    <t>周辉杰</t>
  </si>
  <si>
    <t>吴鸿君</t>
  </si>
  <si>
    <t>黄雨丝</t>
  </si>
  <si>
    <t>李显光</t>
  </si>
  <si>
    <t>彭程威</t>
  </si>
  <si>
    <t>黄凯辉</t>
  </si>
  <si>
    <t>刘俊宏</t>
  </si>
  <si>
    <t>杨军</t>
  </si>
  <si>
    <t>李巨榜</t>
  </si>
  <si>
    <t>王荣伍</t>
  </si>
  <si>
    <t>熊荣书</t>
  </si>
  <si>
    <t>申子迈</t>
  </si>
  <si>
    <t>罗靖</t>
  </si>
  <si>
    <t>陈吉鑫</t>
  </si>
  <si>
    <t>总才</t>
  </si>
  <si>
    <t>李宇杰</t>
  </si>
  <si>
    <t>兰翔</t>
  </si>
  <si>
    <t>陈文新</t>
  </si>
  <si>
    <t>路启贺</t>
  </si>
  <si>
    <t>陈嘉文</t>
  </si>
  <si>
    <t>周承烨</t>
  </si>
  <si>
    <t>李俊文</t>
  </si>
  <si>
    <t>蒋程玉</t>
  </si>
  <si>
    <t>刘涛涛</t>
  </si>
  <si>
    <t>杨望</t>
  </si>
  <si>
    <t>彭耀新</t>
  </si>
  <si>
    <t>姚龛桐</t>
  </si>
  <si>
    <t>吴小玲</t>
  </si>
  <si>
    <t>叶小凤</t>
  </si>
  <si>
    <t>吴铃焮</t>
  </si>
  <si>
    <t>杨英鹏</t>
  </si>
  <si>
    <t>郑柔旭</t>
  </si>
  <si>
    <t>梁晋烨</t>
  </si>
  <si>
    <t>冷剑</t>
  </si>
  <si>
    <t>诸葛上明</t>
  </si>
  <si>
    <t>林黄杰</t>
  </si>
  <si>
    <t>马安健</t>
  </si>
  <si>
    <t>钟建益</t>
  </si>
  <si>
    <t>温锐玲</t>
  </si>
  <si>
    <t>薛元称</t>
  </si>
  <si>
    <t>朱金清</t>
  </si>
  <si>
    <t>田竹云</t>
  </si>
  <si>
    <t>林来欢</t>
  </si>
  <si>
    <t>陈华东</t>
  </si>
  <si>
    <t>田儒燕</t>
  </si>
  <si>
    <t>杨东</t>
  </si>
  <si>
    <t>付如训</t>
  </si>
  <si>
    <t>刘家强</t>
  </si>
  <si>
    <t>冯小锋</t>
  </si>
  <si>
    <t>李君浩</t>
  </si>
  <si>
    <t>畅培雲</t>
  </si>
  <si>
    <t>吴民辉</t>
  </si>
  <si>
    <t>吴坤基</t>
  </si>
  <si>
    <t>尹惠锋</t>
  </si>
  <si>
    <t>吕光源</t>
  </si>
  <si>
    <t>胡小波</t>
  </si>
  <si>
    <t>赵明明</t>
  </si>
  <si>
    <t>朱翠玉</t>
  </si>
  <si>
    <t>周兵</t>
  </si>
  <si>
    <t>黄梦雲</t>
  </si>
  <si>
    <t>官智威</t>
  </si>
  <si>
    <t>侯志伟</t>
  </si>
  <si>
    <t>文嘉义</t>
  </si>
  <si>
    <t>张方宇</t>
  </si>
  <si>
    <t>小象</t>
  </si>
  <si>
    <t>李振威</t>
  </si>
  <si>
    <t>邬明</t>
  </si>
  <si>
    <t>谢香红</t>
  </si>
  <si>
    <t>钟丽珠</t>
  </si>
  <si>
    <t>杨柄权</t>
  </si>
  <si>
    <t>李世念</t>
  </si>
  <si>
    <t>李忠旭</t>
  </si>
  <si>
    <t>郑万里</t>
  </si>
  <si>
    <t>鼎企</t>
  </si>
  <si>
    <t>劳传显</t>
  </si>
  <si>
    <t>吕富荣</t>
  </si>
  <si>
    <t>赵玉华</t>
  </si>
  <si>
    <t>黎小平</t>
  </si>
  <si>
    <t>诺尔</t>
  </si>
  <si>
    <t>李勋政</t>
  </si>
  <si>
    <t>李南伟</t>
  </si>
  <si>
    <t>邵伟伟</t>
  </si>
  <si>
    <t>黎朝达</t>
  </si>
  <si>
    <t>黄广德</t>
  </si>
  <si>
    <t>杨华桂</t>
  </si>
  <si>
    <t>黄柏德</t>
  </si>
  <si>
    <t>黎朝吉</t>
  </si>
  <si>
    <t>黎朝伟</t>
  </si>
  <si>
    <t>刘殷辅</t>
  </si>
  <si>
    <t>曾令杰</t>
  </si>
  <si>
    <t>马京炳</t>
  </si>
  <si>
    <t>李官帅</t>
  </si>
  <si>
    <t>李万明</t>
  </si>
  <si>
    <t>杨美玲</t>
  </si>
  <si>
    <t>关新谊</t>
  </si>
  <si>
    <t>孙丛艳</t>
  </si>
  <si>
    <t>成棋光</t>
  </si>
  <si>
    <t>杨宗洋</t>
  </si>
  <si>
    <t>蒲银</t>
  </si>
  <si>
    <t>阮嘉健</t>
  </si>
  <si>
    <t>卢择君</t>
  </si>
  <si>
    <t>王丹</t>
  </si>
  <si>
    <t>黄自灿</t>
  </si>
  <si>
    <t>汪水新</t>
  </si>
  <si>
    <t>汪文</t>
  </si>
  <si>
    <t>张富雄</t>
  </si>
  <si>
    <t>莫问俊</t>
  </si>
  <si>
    <t>姚燕华</t>
  </si>
  <si>
    <t>陈楚航</t>
  </si>
  <si>
    <t>陈志江</t>
  </si>
  <si>
    <t>贵</t>
  </si>
  <si>
    <t>肖嘉美</t>
  </si>
  <si>
    <t>张梅</t>
  </si>
  <si>
    <t>伍俊杰</t>
  </si>
  <si>
    <t>陈成明</t>
  </si>
  <si>
    <t>陶理聪</t>
  </si>
  <si>
    <t>人多多</t>
  </si>
  <si>
    <t>彭小光</t>
  </si>
  <si>
    <t>钟圣权</t>
  </si>
  <si>
    <t>郑棉星</t>
  </si>
  <si>
    <t>易川</t>
  </si>
  <si>
    <t>何华富</t>
  </si>
  <si>
    <t>李鹏意</t>
  </si>
  <si>
    <t>盘赐光</t>
  </si>
  <si>
    <t>肖磊</t>
  </si>
  <si>
    <t>朱明华</t>
  </si>
  <si>
    <t>李炜宁</t>
  </si>
  <si>
    <t>豫深</t>
  </si>
  <si>
    <t>谢恩俊</t>
  </si>
  <si>
    <t>何东糠</t>
  </si>
  <si>
    <t>陈自峰</t>
  </si>
  <si>
    <t>孟祥伦</t>
  </si>
  <si>
    <t>王泽栋</t>
  </si>
  <si>
    <t>王海隆</t>
  </si>
  <si>
    <t>杨武权</t>
  </si>
  <si>
    <t>谷利侠</t>
  </si>
  <si>
    <t>邓文昌</t>
  </si>
  <si>
    <t>杨美兰</t>
  </si>
  <si>
    <t>李琴敏</t>
  </si>
  <si>
    <t>朱振阳</t>
  </si>
  <si>
    <t>高泽珉</t>
  </si>
  <si>
    <t>魏聪硕</t>
  </si>
  <si>
    <t>刘绍凯</t>
  </si>
  <si>
    <t>潘正豪</t>
  </si>
  <si>
    <t>吴裕鑫</t>
  </si>
  <si>
    <t>黄润华</t>
  </si>
  <si>
    <t>叶关北</t>
  </si>
  <si>
    <t>陶鑫</t>
  </si>
  <si>
    <t>陈仲儒</t>
  </si>
  <si>
    <t>黄远勇</t>
  </si>
  <si>
    <t>覃浮</t>
  </si>
  <si>
    <t>熊庆</t>
  </si>
  <si>
    <t>马得胜</t>
  </si>
  <si>
    <t>吴飘雪</t>
  </si>
  <si>
    <t>陈惠裕</t>
  </si>
  <si>
    <t>张耘豪</t>
  </si>
  <si>
    <t>陈浩贤</t>
  </si>
  <si>
    <t>刘世军</t>
  </si>
  <si>
    <t>李柳娟</t>
  </si>
  <si>
    <t>黄文振</t>
  </si>
  <si>
    <t>梁植天</t>
  </si>
  <si>
    <t>徐小芬</t>
  </si>
  <si>
    <t>覃汉南</t>
  </si>
  <si>
    <t>李富林</t>
  </si>
  <si>
    <t>梁杰</t>
  </si>
  <si>
    <t>刘洪昌</t>
  </si>
  <si>
    <t>邓志波</t>
  </si>
  <si>
    <t>邓周</t>
  </si>
  <si>
    <t>方胜</t>
  </si>
  <si>
    <t>林汉军</t>
  </si>
  <si>
    <t>黄启贵</t>
  </si>
  <si>
    <t>伍世超</t>
  </si>
  <si>
    <t>黄勇</t>
  </si>
  <si>
    <t>戴宇航</t>
  </si>
  <si>
    <t>许哲孟</t>
  </si>
  <si>
    <t>胡建平</t>
  </si>
  <si>
    <t>武超</t>
  </si>
  <si>
    <t>施永煌</t>
  </si>
  <si>
    <t>廖庆尊</t>
  </si>
  <si>
    <t>智保</t>
  </si>
  <si>
    <t>贺杰鹏</t>
  </si>
  <si>
    <t>韦杰胜</t>
  </si>
  <si>
    <t>韦清华</t>
  </si>
  <si>
    <t>韦楼</t>
  </si>
  <si>
    <t>谢雅雯</t>
  </si>
  <si>
    <t>张国琼</t>
  </si>
  <si>
    <t>张云祥</t>
  </si>
  <si>
    <t>吴颖彬</t>
  </si>
  <si>
    <t>张石宇</t>
  </si>
  <si>
    <t>王倩</t>
  </si>
  <si>
    <t>黄宏志</t>
  </si>
  <si>
    <t>黄华源</t>
  </si>
  <si>
    <t>张忠义</t>
  </si>
  <si>
    <t>众德</t>
  </si>
  <si>
    <t>陈杰</t>
  </si>
  <si>
    <t>邹庾鸣</t>
  </si>
  <si>
    <t>凌道观</t>
  </si>
  <si>
    <t>容明坤</t>
  </si>
  <si>
    <t>丁井浩</t>
  </si>
  <si>
    <t>陆敏</t>
  </si>
  <si>
    <t>陆其龙</t>
  </si>
  <si>
    <t>梁聪</t>
  </si>
  <si>
    <t>高杰良</t>
  </si>
  <si>
    <t>苏进友</t>
  </si>
  <si>
    <t>陈奎成</t>
  </si>
  <si>
    <t>杨凤宁</t>
  </si>
  <si>
    <t>吴晓银</t>
  </si>
  <si>
    <t>罗振安</t>
  </si>
  <si>
    <t>韦安富</t>
  </si>
  <si>
    <t>罗加露</t>
  </si>
  <si>
    <t>江治婵</t>
  </si>
  <si>
    <t>汪家友</t>
  </si>
  <si>
    <t>韦友和</t>
  </si>
  <si>
    <t>韦友宽</t>
  </si>
  <si>
    <t>黄冬地</t>
  </si>
  <si>
    <t>简权杰</t>
  </si>
  <si>
    <t>唐超</t>
  </si>
  <si>
    <t>陈柏宇</t>
  </si>
  <si>
    <t>胡仕星</t>
  </si>
  <si>
    <t>杨淑萍</t>
  </si>
  <si>
    <t>曹志福</t>
  </si>
  <si>
    <t>余凯</t>
  </si>
  <si>
    <t>区振杰</t>
  </si>
  <si>
    <t>覃高弟</t>
  </si>
  <si>
    <t>蒙立华</t>
  </si>
  <si>
    <t>卢圆</t>
  </si>
  <si>
    <t>杨萍</t>
  </si>
  <si>
    <t>莫和俊</t>
  </si>
  <si>
    <t>许泽</t>
  </si>
  <si>
    <t>周艳秋</t>
  </si>
  <si>
    <t>李旭超</t>
  </si>
  <si>
    <t>张恒星</t>
  </si>
  <si>
    <t>段祥海</t>
  </si>
  <si>
    <t>卓宝丰</t>
  </si>
  <si>
    <t>王建宇</t>
  </si>
  <si>
    <t>邓慧怡</t>
  </si>
  <si>
    <t>梁德焕</t>
  </si>
  <si>
    <t>张贤</t>
  </si>
  <si>
    <t>黄义恒</t>
  </si>
  <si>
    <t>但丽娟</t>
  </si>
  <si>
    <t>江芳</t>
  </si>
  <si>
    <t xml:space="preserve">陈章乾</t>
  </si>
  <si>
    <t>陈仕勇</t>
  </si>
  <si>
    <t>苏德文</t>
  </si>
  <si>
    <t>钟继康</t>
  </si>
  <si>
    <t>董豪贵</t>
  </si>
  <si>
    <t>肖伟杰</t>
  </si>
  <si>
    <t>唐晖杰</t>
  </si>
  <si>
    <t>陈永顺</t>
  </si>
  <si>
    <t>唐家驹</t>
  </si>
  <si>
    <t>伍家超</t>
  </si>
  <si>
    <t>雷云芳</t>
  </si>
  <si>
    <t>邓燕群</t>
  </si>
  <si>
    <t>张德富</t>
  </si>
  <si>
    <t>陈婷</t>
  </si>
  <si>
    <t>谭贞藤</t>
  </si>
  <si>
    <t>邓树健</t>
  </si>
  <si>
    <t>黎晓雯</t>
  </si>
  <si>
    <t>卢娇兰</t>
  </si>
  <si>
    <t>李晓刚</t>
  </si>
  <si>
    <t>王佳祥</t>
  </si>
  <si>
    <t>陆识越</t>
  </si>
  <si>
    <t>谢丰光</t>
  </si>
  <si>
    <t>高语泽</t>
  </si>
  <si>
    <t>王青双</t>
  </si>
  <si>
    <t>聂树华</t>
  </si>
  <si>
    <t>游飞</t>
  </si>
  <si>
    <t>吴彩莲</t>
  </si>
  <si>
    <t>谭永烨</t>
  </si>
  <si>
    <t>曾炜哲</t>
  </si>
  <si>
    <t>黄财绵</t>
  </si>
  <si>
    <t>车艺隆</t>
  </si>
  <si>
    <t>吴欣颖</t>
  </si>
  <si>
    <t>王平</t>
  </si>
  <si>
    <t>姚福明</t>
  </si>
  <si>
    <t>陈广荣</t>
  </si>
  <si>
    <t>刘洪武</t>
  </si>
  <si>
    <t>阮发友</t>
  </si>
  <si>
    <t>田森</t>
  </si>
  <si>
    <t>周应财</t>
  </si>
  <si>
    <t>李湘如</t>
  </si>
  <si>
    <t>陈金</t>
  </si>
  <si>
    <t>劳俊儿</t>
  </si>
  <si>
    <t>占进才</t>
  </si>
  <si>
    <t>莫海霞</t>
  </si>
  <si>
    <t>伍淑梅</t>
  </si>
  <si>
    <t>吴自豪</t>
  </si>
  <si>
    <t>袁凯</t>
  </si>
  <si>
    <t>周锐富</t>
  </si>
  <si>
    <t>聘德宝</t>
  </si>
  <si>
    <t>张妙兰</t>
  </si>
  <si>
    <t>彭木生</t>
  </si>
  <si>
    <t>陈瑞祥</t>
  </si>
  <si>
    <t>陈里军</t>
  </si>
  <si>
    <t>刘仁东</t>
  </si>
  <si>
    <t>刘广林</t>
  </si>
  <si>
    <t>陈婷婷</t>
  </si>
  <si>
    <t>肖福平</t>
  </si>
  <si>
    <t>吴禄平</t>
  </si>
  <si>
    <t>毛荣发</t>
  </si>
  <si>
    <t>刘超</t>
  </si>
  <si>
    <t>莫云淞</t>
  </si>
  <si>
    <t>梁超</t>
  </si>
  <si>
    <t>梁月辉</t>
  </si>
  <si>
    <t>李克仕</t>
  </si>
  <si>
    <t>韦万琴</t>
  </si>
  <si>
    <t>杨宙奇</t>
  </si>
  <si>
    <t>李业观</t>
  </si>
  <si>
    <t>赵汝亮</t>
  </si>
  <si>
    <t>崔明波</t>
  </si>
  <si>
    <t>农炳峰</t>
  </si>
  <si>
    <t>黄李军</t>
  </si>
  <si>
    <t>梁家肇</t>
  </si>
  <si>
    <t>罗耀明</t>
  </si>
  <si>
    <t>梁礼龙</t>
  </si>
  <si>
    <t>万鸿宇</t>
  </si>
  <si>
    <t>刘云恒</t>
  </si>
  <si>
    <t>杨康宁</t>
  </si>
  <si>
    <t>陈善众</t>
  </si>
  <si>
    <t>曹雄</t>
  </si>
  <si>
    <t>吴杨炫</t>
  </si>
  <si>
    <t>陈伟坚</t>
  </si>
  <si>
    <t>韦春福</t>
  </si>
  <si>
    <t>李文明</t>
  </si>
  <si>
    <t>廖恩健</t>
  </si>
  <si>
    <t>陈向阳</t>
  </si>
  <si>
    <t>何伦进</t>
  </si>
  <si>
    <t>杜生武</t>
  </si>
  <si>
    <t>王李斐</t>
  </si>
  <si>
    <t>吴学焱</t>
  </si>
  <si>
    <t>杨笔清</t>
  </si>
  <si>
    <t>吴思</t>
  </si>
  <si>
    <t>陈树俊</t>
  </si>
  <si>
    <t>钟桂红</t>
  </si>
  <si>
    <t>詹仁敏</t>
  </si>
  <si>
    <t>林云峰</t>
  </si>
  <si>
    <t>赵延斌</t>
  </si>
  <si>
    <t>华聘</t>
  </si>
  <si>
    <t>冼伟杰</t>
  </si>
  <si>
    <t>范成龙</t>
  </si>
  <si>
    <t>何业钻</t>
  </si>
  <si>
    <t>陆胜锦</t>
  </si>
  <si>
    <t>卢安辉</t>
  </si>
  <si>
    <t>罗建堂</t>
  </si>
  <si>
    <t>江思毅</t>
  </si>
  <si>
    <t>孙家荣</t>
  </si>
  <si>
    <t>梁文轩</t>
  </si>
  <si>
    <t>谢祥兵</t>
  </si>
  <si>
    <t>李作根</t>
  </si>
  <si>
    <t>刘威超</t>
  </si>
  <si>
    <t>唐振鑫</t>
  </si>
  <si>
    <t>梁桂莲</t>
  </si>
  <si>
    <t>谢海平</t>
  </si>
  <si>
    <t>徐荣振</t>
  </si>
  <si>
    <t>常海征</t>
  </si>
  <si>
    <t>徐昌进</t>
  </si>
  <si>
    <t>申艳生</t>
  </si>
  <si>
    <t>蒙得福</t>
  </si>
  <si>
    <t>徐春</t>
  </si>
  <si>
    <t>莫志锋</t>
  </si>
  <si>
    <t>张鹏勇</t>
  </si>
  <si>
    <t>姜兴笛</t>
  </si>
  <si>
    <t>唐锦辉</t>
  </si>
  <si>
    <t>钟荣祥</t>
  </si>
  <si>
    <t>陈明雄</t>
  </si>
  <si>
    <t>冯益晖</t>
  </si>
  <si>
    <t>梁天溯</t>
  </si>
  <si>
    <t>黄深</t>
  </si>
  <si>
    <t>梁深</t>
  </si>
  <si>
    <t>余代诺</t>
  </si>
  <si>
    <t>冼瑞雪</t>
  </si>
  <si>
    <t>谢敬炎</t>
  </si>
  <si>
    <t>罗亚平</t>
  </si>
  <si>
    <t>李忠文</t>
  </si>
  <si>
    <t>崔茂安</t>
  </si>
  <si>
    <t>周江富</t>
  </si>
  <si>
    <t>高富贵</t>
  </si>
  <si>
    <t>姜政权</t>
  </si>
  <si>
    <t>杨茂堂</t>
  </si>
  <si>
    <t>鲍武泽</t>
  </si>
  <si>
    <t>黄覃琪</t>
  </si>
  <si>
    <t>唐启发</t>
  </si>
  <si>
    <t>邹芬</t>
  </si>
  <si>
    <t>吴进凤</t>
  </si>
  <si>
    <t>冯亚明</t>
  </si>
  <si>
    <t>苏世亮</t>
  </si>
  <si>
    <t>范时茂</t>
  </si>
  <si>
    <t>曾金花</t>
  </si>
  <si>
    <t>陈维佳</t>
  </si>
  <si>
    <t>中才</t>
  </si>
  <si>
    <t>石仁昌</t>
  </si>
  <si>
    <t>杨云川</t>
  </si>
  <si>
    <t>尧江俊</t>
  </si>
  <si>
    <t>张德颖</t>
  </si>
  <si>
    <t>潘航明</t>
  </si>
  <si>
    <t>臧春巧</t>
  </si>
  <si>
    <t>施启昆</t>
  </si>
  <si>
    <t>苏涛</t>
  </si>
  <si>
    <t>赵廷斌</t>
  </si>
  <si>
    <t>林月富</t>
  </si>
  <si>
    <t>汪春玲</t>
  </si>
  <si>
    <t>莫恩润</t>
  </si>
  <si>
    <t>林如荣</t>
  </si>
  <si>
    <t>周勇</t>
  </si>
  <si>
    <t>黄俊涛</t>
  </si>
  <si>
    <t>陈继男</t>
  </si>
  <si>
    <t>陈炫锋</t>
  </si>
  <si>
    <t>陈通</t>
  </si>
  <si>
    <t>龙威明</t>
  </si>
  <si>
    <t>胡首玉</t>
  </si>
  <si>
    <t>廖世涛</t>
  </si>
  <si>
    <t>谭涛</t>
  </si>
  <si>
    <t>王苓先</t>
  </si>
  <si>
    <t>王孟远</t>
  </si>
  <si>
    <t>凌银艳</t>
  </si>
  <si>
    <t>聂伟盛</t>
  </si>
  <si>
    <t>黎振爵</t>
  </si>
  <si>
    <t>曾嘉宝</t>
  </si>
  <si>
    <t>谢廷仁</t>
  </si>
  <si>
    <t>孙煦思</t>
  </si>
  <si>
    <t>胡俊</t>
  </si>
  <si>
    <t>杨俊</t>
  </si>
  <si>
    <t>蓝蔚祺</t>
  </si>
  <si>
    <t>汪君</t>
  </si>
  <si>
    <t>彭宇涵</t>
  </si>
  <si>
    <t>吴章贤</t>
  </si>
  <si>
    <t>王诗晴</t>
  </si>
  <si>
    <t>李加瑶</t>
  </si>
  <si>
    <t>黄雨菲</t>
  </si>
  <si>
    <t>龙俊勇</t>
  </si>
  <si>
    <t>喻安琪</t>
  </si>
  <si>
    <t>孙嘉洁</t>
  </si>
  <si>
    <t>李雨蒙</t>
  </si>
  <si>
    <t>刘远宁</t>
  </si>
  <si>
    <t>曾奕洁</t>
  </si>
  <si>
    <t>尤兆田</t>
  </si>
  <si>
    <t>李晓杰</t>
  </si>
  <si>
    <t>陈鉴明</t>
  </si>
  <si>
    <t>王鑫</t>
  </si>
  <si>
    <t>智服</t>
  </si>
  <si>
    <t>范芳海</t>
  </si>
  <si>
    <t>周利强</t>
  </si>
  <si>
    <t>姚远</t>
  </si>
  <si>
    <t>郭科逵</t>
  </si>
  <si>
    <t>李钰瑜</t>
  </si>
  <si>
    <t>李东悦</t>
  </si>
  <si>
    <t>黄显恩</t>
  </si>
  <si>
    <t>尤鸿基</t>
  </si>
  <si>
    <t>邹波</t>
  </si>
  <si>
    <t>李伟明</t>
  </si>
  <si>
    <t>潘天宋</t>
  </si>
  <si>
    <t>李建宏</t>
  </si>
  <si>
    <t>黄富礼</t>
  </si>
  <si>
    <t>粟冠荣</t>
  </si>
  <si>
    <t>丘文杰</t>
  </si>
  <si>
    <t>杨冬梅</t>
  </si>
  <si>
    <t>李咏欣</t>
  </si>
  <si>
    <t>韦淇馨</t>
  </si>
  <si>
    <t>梁勇</t>
  </si>
  <si>
    <t>吴嘉霖</t>
  </si>
  <si>
    <t>戴权</t>
  </si>
  <si>
    <t>游浩民</t>
  </si>
  <si>
    <t>杨家浦</t>
  </si>
  <si>
    <t>薛继龙</t>
  </si>
  <si>
    <t>胡雪臣</t>
  </si>
  <si>
    <t>吴海彬</t>
  </si>
  <si>
    <t>吴圣群</t>
  </si>
  <si>
    <t>黄彩兰</t>
  </si>
  <si>
    <t>刘嘉玲</t>
  </si>
  <si>
    <t>吕太萍</t>
  </si>
  <si>
    <t>陈爱华</t>
  </si>
  <si>
    <t>陈勇</t>
  </si>
  <si>
    <t>黄铿龙</t>
  </si>
  <si>
    <t>付文贝</t>
  </si>
  <si>
    <t>韦江春</t>
  </si>
  <si>
    <t>韦艳青</t>
  </si>
  <si>
    <t>詹仁举</t>
  </si>
  <si>
    <t>黄瑞明</t>
  </si>
  <si>
    <t>何丽</t>
  </si>
  <si>
    <t>张晓曼</t>
  </si>
  <si>
    <t>曹莘雁</t>
  </si>
  <si>
    <t>薛绅龙</t>
  </si>
  <si>
    <t>朱海依</t>
  </si>
  <si>
    <t>虞志友</t>
  </si>
  <si>
    <t>严传玖</t>
  </si>
  <si>
    <t>喻龙</t>
  </si>
  <si>
    <t>唐仕斌</t>
  </si>
  <si>
    <t>汤智略</t>
  </si>
  <si>
    <t>李帅</t>
  </si>
  <si>
    <t>任晓飞</t>
  </si>
  <si>
    <t>骆双红</t>
  </si>
  <si>
    <t>张惠敏</t>
  </si>
  <si>
    <t>乐黎武</t>
  </si>
  <si>
    <t>封宏瀚</t>
  </si>
  <si>
    <t>李金华</t>
  </si>
  <si>
    <t>李顺杰</t>
  </si>
  <si>
    <t>黄宜冰</t>
  </si>
  <si>
    <t>张鸿茂</t>
  </si>
  <si>
    <t>汪哲</t>
  </si>
  <si>
    <t>林添仁</t>
  </si>
  <si>
    <t>陈历文</t>
  </si>
  <si>
    <t>陈毅</t>
  </si>
  <si>
    <t>肖体刚</t>
  </si>
  <si>
    <t>李腾飞</t>
  </si>
  <si>
    <t>付义龙</t>
  </si>
  <si>
    <t>时旺旺</t>
  </si>
  <si>
    <t>田进</t>
  </si>
  <si>
    <t>周斌斌</t>
  </si>
  <si>
    <t>黄圆</t>
  </si>
  <si>
    <t>肖鑫</t>
  </si>
  <si>
    <t>龙庆</t>
  </si>
  <si>
    <t>吴军煌</t>
  </si>
  <si>
    <t>谭彬</t>
  </si>
  <si>
    <t>朱震扬</t>
  </si>
  <si>
    <t>覃荣明</t>
  </si>
  <si>
    <t>孙平</t>
  </si>
  <si>
    <t>石卯松</t>
  </si>
  <si>
    <t>梁经伟</t>
  </si>
  <si>
    <t>韩太军</t>
  </si>
  <si>
    <t>宇成</t>
  </si>
  <si>
    <t>潘彭峰</t>
  </si>
  <si>
    <t>蒋立群</t>
  </si>
  <si>
    <t>雷纯超</t>
  </si>
  <si>
    <t>张泽堂</t>
  </si>
  <si>
    <t>齐培旭</t>
  </si>
  <si>
    <t>王孝权</t>
  </si>
  <si>
    <t>张爱华</t>
  </si>
  <si>
    <t>何洪旭</t>
  </si>
  <si>
    <t>鄢盛辉</t>
  </si>
  <si>
    <t>洪恩平</t>
  </si>
  <si>
    <t>程全国</t>
  </si>
  <si>
    <t>杨远新</t>
  </si>
  <si>
    <t>黄良昆</t>
  </si>
  <si>
    <t>石中玉</t>
  </si>
  <si>
    <t>何智伟</t>
  </si>
  <si>
    <t>张伙金</t>
  </si>
  <si>
    <t>朱宁宁</t>
  </si>
  <si>
    <t>夏静静</t>
  </si>
  <si>
    <t>谭孝波</t>
  </si>
  <si>
    <t>廖亮</t>
  </si>
  <si>
    <t>胥松林</t>
  </si>
  <si>
    <t>6月12入职</t>
  </si>
  <si>
    <t>李尤进</t>
  </si>
  <si>
    <t>刘奇</t>
  </si>
  <si>
    <t>潘桂海</t>
  </si>
  <si>
    <t>6月13日入</t>
  </si>
  <si>
    <t>何会兵</t>
  </si>
  <si>
    <t>倪健</t>
  </si>
  <si>
    <t>房苋浚</t>
  </si>
  <si>
    <t>铧创</t>
  </si>
  <si>
    <t>师浩哲</t>
  </si>
  <si>
    <t>吴杰富</t>
  </si>
  <si>
    <t>杨嘉浩</t>
  </si>
  <si>
    <t>屈东强</t>
  </si>
  <si>
    <t>陈林</t>
  </si>
  <si>
    <t>梁吉观</t>
  </si>
  <si>
    <t>彭 锋</t>
  </si>
  <si>
    <t>王勇</t>
  </si>
  <si>
    <t>雷光龙</t>
  </si>
  <si>
    <t>康巧强</t>
  </si>
  <si>
    <t>罗炳鸿</t>
  </si>
  <si>
    <t>李茂</t>
  </si>
  <si>
    <t>韩明明</t>
  </si>
  <si>
    <t>刘永浩</t>
  </si>
  <si>
    <t>蓝海轮</t>
  </si>
  <si>
    <t>于净伟</t>
  </si>
  <si>
    <t>石贵兴</t>
  </si>
  <si>
    <t>张亚玲</t>
  </si>
  <si>
    <t>邱能读</t>
  </si>
  <si>
    <t>刘子贤</t>
  </si>
  <si>
    <t>李建辉</t>
  </si>
  <si>
    <t>徐毓峰</t>
  </si>
  <si>
    <t>毛文明</t>
  </si>
  <si>
    <t>李振飞</t>
  </si>
  <si>
    <t>刘永瑚</t>
  </si>
  <si>
    <t>梁颖涛</t>
  </si>
  <si>
    <t>何坤</t>
  </si>
  <si>
    <t>姜学钊</t>
  </si>
  <si>
    <t>陈意龙</t>
  </si>
  <si>
    <t>邹永才</t>
  </si>
  <si>
    <t>龙毅</t>
  </si>
  <si>
    <t>邓元精</t>
  </si>
  <si>
    <t>魏红霞</t>
  </si>
  <si>
    <t>钟海权</t>
  </si>
  <si>
    <t>符文港</t>
  </si>
  <si>
    <t>李同点</t>
  </si>
  <si>
    <t>罗杏城</t>
  </si>
  <si>
    <t>段旭日</t>
  </si>
  <si>
    <t>王国兵</t>
  </si>
  <si>
    <t>杨贤平</t>
  </si>
  <si>
    <t>罗长飞</t>
  </si>
  <si>
    <t>宋诒国</t>
  </si>
  <si>
    <t>彭海州</t>
  </si>
  <si>
    <t>胡子文</t>
  </si>
  <si>
    <t>王佳伟</t>
  </si>
  <si>
    <t>陈世贵</t>
  </si>
  <si>
    <t>王启松</t>
  </si>
  <si>
    <t>吕荣</t>
  </si>
  <si>
    <t>余长红</t>
  </si>
  <si>
    <t>郑龙飞</t>
  </si>
  <si>
    <t>罗顺才</t>
  </si>
  <si>
    <t>罗顺安</t>
  </si>
  <si>
    <t>余瑞祥</t>
  </si>
  <si>
    <t>吴浩</t>
  </si>
  <si>
    <t>李铁康</t>
  </si>
  <si>
    <t>严子桂</t>
  </si>
  <si>
    <t>秦正扬</t>
  </si>
  <si>
    <t>王战胜</t>
  </si>
  <si>
    <t>李锦文</t>
  </si>
  <si>
    <t>陈仁江</t>
  </si>
  <si>
    <t>何建贤</t>
  </si>
  <si>
    <t>涂超</t>
  </si>
  <si>
    <t>容智</t>
  </si>
  <si>
    <t>姜玉鹏</t>
  </si>
  <si>
    <t>邹金明</t>
  </si>
  <si>
    <t>易平</t>
  </si>
  <si>
    <t>杨志荣</t>
  </si>
  <si>
    <t>梁世航</t>
  </si>
  <si>
    <t>陈创涛</t>
  </si>
  <si>
    <t>万承麒</t>
  </si>
  <si>
    <t>唐军</t>
  </si>
  <si>
    <t>刘绍文</t>
  </si>
  <si>
    <t>张玉成</t>
  </si>
  <si>
    <t>王峰</t>
  </si>
  <si>
    <t>黄辉军</t>
  </si>
  <si>
    <t>许卫东</t>
  </si>
  <si>
    <t>梁念昌</t>
  </si>
  <si>
    <t>蔡建杰</t>
  </si>
  <si>
    <t>胡广艳</t>
  </si>
  <si>
    <t>王子健</t>
  </si>
  <si>
    <t>严景涛</t>
  </si>
  <si>
    <t>李莹</t>
  </si>
  <si>
    <t>李春</t>
  </si>
  <si>
    <t>方波</t>
  </si>
  <si>
    <t>宋占磊</t>
  </si>
  <si>
    <t>吴嘉龙</t>
  </si>
  <si>
    <t>蔡世诚</t>
  </si>
  <si>
    <t>周卫根</t>
  </si>
  <si>
    <t>候振飞</t>
  </si>
  <si>
    <t>孟繁震</t>
  </si>
  <si>
    <t>贺银</t>
  </si>
  <si>
    <t>姚新杰</t>
  </si>
  <si>
    <t>雷薛枫</t>
  </si>
  <si>
    <t>李小桂</t>
  </si>
  <si>
    <t>王贵</t>
  </si>
  <si>
    <t>沈太漄</t>
  </si>
  <si>
    <t>柴志杰</t>
  </si>
  <si>
    <t>尧张龙</t>
  </si>
  <si>
    <t>黄智</t>
  </si>
  <si>
    <t>吴思勋</t>
  </si>
  <si>
    <t>邓明友</t>
  </si>
  <si>
    <t>石镇源</t>
  </si>
  <si>
    <t>敖维宇</t>
  </si>
  <si>
    <t>肖支金</t>
  </si>
  <si>
    <t>黄炎</t>
  </si>
  <si>
    <t>陈羿</t>
  </si>
  <si>
    <t>杨文平</t>
  </si>
  <si>
    <t>张文龙</t>
  </si>
  <si>
    <t>张臣龙</t>
  </si>
  <si>
    <t>李粟鹏</t>
  </si>
  <si>
    <t>许明生</t>
  </si>
  <si>
    <t>洪聪</t>
  </si>
  <si>
    <t>王兴才</t>
  </si>
  <si>
    <t>黄明权</t>
  </si>
  <si>
    <t>陈奕昌</t>
  </si>
  <si>
    <t>牛亚飞</t>
  </si>
  <si>
    <t>张二林</t>
  </si>
  <si>
    <t>刘康君</t>
  </si>
  <si>
    <t>胡家威</t>
  </si>
  <si>
    <t>程海远</t>
  </si>
  <si>
    <t>任胜飞</t>
  </si>
  <si>
    <t>管育正</t>
  </si>
  <si>
    <t>韦景豪</t>
  </si>
  <si>
    <t>黄博</t>
  </si>
  <si>
    <t>刘世东</t>
  </si>
  <si>
    <t>陈海勃</t>
  </si>
  <si>
    <t>李超</t>
  </si>
  <si>
    <t>高召虎</t>
  </si>
  <si>
    <t>许景忠</t>
  </si>
  <si>
    <t>钟育均</t>
  </si>
  <si>
    <t>何银</t>
  </si>
  <si>
    <t>林国强</t>
  </si>
  <si>
    <t>陈嘉曦</t>
  </si>
  <si>
    <t>杨佳良</t>
  </si>
  <si>
    <t>谌广文</t>
  </si>
  <si>
    <t>李正维</t>
  </si>
  <si>
    <t>黄新棋</t>
  </si>
  <si>
    <t>谭明</t>
  </si>
  <si>
    <t>卢代坤</t>
  </si>
  <si>
    <t>林盛</t>
  </si>
  <si>
    <t>周笑</t>
  </si>
  <si>
    <t>梁增海</t>
  </si>
  <si>
    <t>罗碧学</t>
  </si>
  <si>
    <t>唐克孟</t>
  </si>
  <si>
    <t>刘静博</t>
  </si>
  <si>
    <t>黄美英</t>
  </si>
  <si>
    <t>卢思睿</t>
  </si>
  <si>
    <t>贾博斌</t>
  </si>
  <si>
    <t>莫开斌</t>
  </si>
  <si>
    <t>王彦磊</t>
  </si>
  <si>
    <t>贾俊</t>
  </si>
  <si>
    <t>杨建军</t>
  </si>
  <si>
    <t>向峙旭</t>
  </si>
  <si>
    <t>夏培波</t>
  </si>
  <si>
    <t>冯文</t>
  </si>
  <si>
    <t>潘香伟</t>
  </si>
  <si>
    <t>技为/总才</t>
  </si>
  <si>
    <t>唐荣旭</t>
  </si>
  <si>
    <t>敖先强</t>
  </si>
  <si>
    <t>李伟安</t>
  </si>
  <si>
    <t>周均华</t>
  </si>
  <si>
    <t>石尚开</t>
  </si>
  <si>
    <t>戴永恒</t>
  </si>
  <si>
    <t>6月12入职久久鸿</t>
  </si>
  <si>
    <t>梁皓霖</t>
  </si>
  <si>
    <t>苏栋塬</t>
  </si>
  <si>
    <t>冯泳彬</t>
  </si>
  <si>
    <t>兄弟连</t>
  </si>
  <si>
    <t>袁名德</t>
  </si>
  <si>
    <t>李亚东</t>
  </si>
  <si>
    <t>邓光炼</t>
  </si>
  <si>
    <t>刘青华</t>
  </si>
  <si>
    <t>宋广亮</t>
  </si>
  <si>
    <t>张开红</t>
  </si>
  <si>
    <t>黄嘉强</t>
  </si>
  <si>
    <t>付培超</t>
  </si>
  <si>
    <t>丁小波</t>
  </si>
  <si>
    <t>熊永波</t>
  </si>
  <si>
    <t>刘艳飞</t>
  </si>
  <si>
    <t>安金泉</t>
  </si>
  <si>
    <t>叶章云</t>
  </si>
  <si>
    <t>王发辉</t>
  </si>
  <si>
    <t>袁子秋</t>
  </si>
  <si>
    <t>施国朗</t>
  </si>
  <si>
    <t>刘举江</t>
  </si>
  <si>
    <t>汪亚涵</t>
  </si>
  <si>
    <t>邹新波</t>
  </si>
  <si>
    <t>黎才兴</t>
  </si>
  <si>
    <t>李灿祥</t>
  </si>
  <si>
    <t>于丛丛</t>
  </si>
  <si>
    <t>陈承浪</t>
  </si>
  <si>
    <t>朱军</t>
  </si>
  <si>
    <t>陈威霖</t>
  </si>
  <si>
    <t>余令</t>
  </si>
  <si>
    <t>赵飞</t>
  </si>
  <si>
    <t>李晶晶</t>
  </si>
  <si>
    <t>黎朝华</t>
  </si>
  <si>
    <t>廖恩诗</t>
  </si>
  <si>
    <t>赵柱德</t>
  </si>
  <si>
    <t>李永杰</t>
  </si>
  <si>
    <t>严晓红</t>
  </si>
  <si>
    <t>赵石全</t>
  </si>
  <si>
    <t>覃喜春</t>
  </si>
  <si>
    <t>王凯</t>
  </si>
  <si>
    <t>李正彬</t>
  </si>
  <si>
    <t>王磊</t>
  </si>
  <si>
    <t>凡鑫豪</t>
  </si>
  <si>
    <t>任玉龙</t>
  </si>
  <si>
    <t>赵明林</t>
  </si>
  <si>
    <t>李浩然</t>
  </si>
  <si>
    <t>张嘉豪</t>
  </si>
  <si>
    <t>朱自强</t>
  </si>
  <si>
    <t>范红磊</t>
  </si>
  <si>
    <t>6月14日入了</t>
  </si>
  <si>
    <t>蒙秋涯</t>
  </si>
  <si>
    <t>田绍江</t>
  </si>
  <si>
    <t>叶金林</t>
  </si>
  <si>
    <t>赵旭辉</t>
  </si>
  <si>
    <t>钟金兰</t>
  </si>
  <si>
    <t>罗兴明</t>
  </si>
  <si>
    <t>朱振翔</t>
  </si>
  <si>
    <t>颜学豪</t>
  </si>
  <si>
    <t>邓号</t>
  </si>
  <si>
    <t>李振荣</t>
  </si>
  <si>
    <t>彭雄伟</t>
  </si>
  <si>
    <t>魏钊</t>
  </si>
  <si>
    <t>张勇</t>
  </si>
  <si>
    <t>贺伟</t>
  </si>
  <si>
    <t>姚燕鹤</t>
  </si>
  <si>
    <t>卢飞扬</t>
  </si>
  <si>
    <t>周磊</t>
  </si>
  <si>
    <t>张伦</t>
  </si>
  <si>
    <t>蓝建成</t>
  </si>
  <si>
    <t>陈能</t>
  </si>
  <si>
    <t>韦兰丁</t>
  </si>
  <si>
    <t>陈世凯</t>
  </si>
  <si>
    <t>王梁桦</t>
  </si>
  <si>
    <t>张洋</t>
  </si>
  <si>
    <t>晁永红</t>
  </si>
  <si>
    <t>唐围</t>
  </si>
  <si>
    <t>李永辉</t>
  </si>
  <si>
    <t>韦革军</t>
  </si>
  <si>
    <t>彭沣</t>
  </si>
  <si>
    <t>王文</t>
  </si>
  <si>
    <t>郭春辉</t>
  </si>
  <si>
    <t>郑强强</t>
  </si>
  <si>
    <t>罗方鸽</t>
  </si>
  <si>
    <t>罗方博</t>
  </si>
  <si>
    <t>熊旭</t>
  </si>
  <si>
    <t>刘欢</t>
  </si>
  <si>
    <t>李明</t>
  </si>
  <si>
    <t>龙剑英</t>
  </si>
  <si>
    <t>吴凯</t>
  </si>
  <si>
    <t>陈伟洪</t>
  </si>
  <si>
    <t>龚振文</t>
  </si>
  <si>
    <t>胡维祥</t>
  </si>
  <si>
    <t>欧定江</t>
  </si>
  <si>
    <t>张辉</t>
  </si>
  <si>
    <t>代同超</t>
  </si>
  <si>
    <t>遥芃</t>
  </si>
  <si>
    <t>李运动</t>
  </si>
  <si>
    <t>周旋</t>
  </si>
  <si>
    <t>李静海</t>
  </si>
  <si>
    <t>李旭东</t>
  </si>
  <si>
    <t>李基芝</t>
  </si>
  <si>
    <t>蔺俊鹏</t>
  </si>
  <si>
    <t>刘永康</t>
  </si>
  <si>
    <t>张明</t>
  </si>
  <si>
    <t>曹万军</t>
  </si>
  <si>
    <t>宋健</t>
  </si>
  <si>
    <t>刘天强</t>
  </si>
  <si>
    <t>王亮</t>
  </si>
  <si>
    <t>李庆国</t>
  </si>
  <si>
    <t>李锋</t>
  </si>
  <si>
    <t>李庆明</t>
  </si>
  <si>
    <t>欧阳小平</t>
  </si>
  <si>
    <t>邓奇元</t>
  </si>
  <si>
    <t>杨建荣</t>
  </si>
  <si>
    <t>王爱忠</t>
  </si>
  <si>
    <t>张伟</t>
  </si>
  <si>
    <t>卢志勇</t>
  </si>
  <si>
    <t>徐远国</t>
  </si>
  <si>
    <t>朱俊</t>
  </si>
  <si>
    <t>薛攀祥</t>
  </si>
  <si>
    <t>唐桂泰</t>
  </si>
  <si>
    <t>何勇</t>
  </si>
  <si>
    <t>秦章杰</t>
  </si>
  <si>
    <t>龚琛</t>
  </si>
  <si>
    <t>余旺科</t>
  </si>
  <si>
    <t>赖细明</t>
  </si>
  <si>
    <t>夏仕高</t>
  </si>
  <si>
    <t>严俊</t>
  </si>
  <si>
    <t>王强</t>
  </si>
  <si>
    <t>王飞龙</t>
  </si>
  <si>
    <t>熊力</t>
  </si>
  <si>
    <t>马辉俊</t>
  </si>
  <si>
    <t>邱堪秀</t>
  </si>
  <si>
    <t>林开友</t>
  </si>
  <si>
    <t>吴林杰</t>
  </si>
  <si>
    <t>黄建豪</t>
  </si>
  <si>
    <t>马夏明</t>
  </si>
  <si>
    <t>夏亮</t>
  </si>
  <si>
    <t>吕金鸣</t>
  </si>
  <si>
    <t>阳明学</t>
  </si>
  <si>
    <t>陈国平</t>
  </si>
  <si>
    <t>蒋逢辉</t>
  </si>
  <si>
    <t>刘宗麟</t>
  </si>
  <si>
    <t>黄伟成</t>
  </si>
  <si>
    <t>王成林</t>
  </si>
  <si>
    <t>谢善斌</t>
  </si>
  <si>
    <t>尚锋</t>
  </si>
  <si>
    <t>商博涛</t>
  </si>
  <si>
    <t>张国铃</t>
  </si>
  <si>
    <t>杨泉</t>
  </si>
  <si>
    <t>陈信发</t>
  </si>
  <si>
    <t>宁志华</t>
  </si>
  <si>
    <t>韦波</t>
  </si>
  <si>
    <t>李明杏</t>
  </si>
  <si>
    <t>高磊</t>
  </si>
  <si>
    <t>陈昱锦</t>
  </si>
  <si>
    <t>余强</t>
  </si>
  <si>
    <t>李传豪</t>
  </si>
  <si>
    <t>潘世伟</t>
  </si>
  <si>
    <t>曾现宝</t>
  </si>
  <si>
    <t>邓冬桂</t>
  </si>
  <si>
    <t>王家华</t>
  </si>
  <si>
    <t>刘远良</t>
  </si>
  <si>
    <t>韦文泽</t>
  </si>
  <si>
    <t>杜奇</t>
  </si>
  <si>
    <t>王潇杰</t>
  </si>
  <si>
    <t>邢智平</t>
  </si>
  <si>
    <t>段文涵</t>
  </si>
  <si>
    <t>石烈</t>
  </si>
  <si>
    <t>何峰</t>
  </si>
  <si>
    <t>周剑波</t>
  </si>
  <si>
    <t>周鹏鹏</t>
  </si>
  <si>
    <t>刘建</t>
  </si>
  <si>
    <t>林嘉峰</t>
  </si>
  <si>
    <t>陈志强</t>
  </si>
  <si>
    <t>叶真庆</t>
  </si>
  <si>
    <t>孙明生</t>
  </si>
  <si>
    <t>王斌斌</t>
  </si>
  <si>
    <t>段望</t>
  </si>
  <si>
    <t>李东洋</t>
  </si>
  <si>
    <t>汇天浩</t>
  </si>
  <si>
    <t>杨成才</t>
  </si>
  <si>
    <t>优星图</t>
  </si>
  <si>
    <t>王子泉</t>
  </si>
  <si>
    <t>翟小姣</t>
  </si>
  <si>
    <t>黄炎平</t>
  </si>
  <si>
    <t>朱涛</t>
  </si>
  <si>
    <t>许坤</t>
  </si>
  <si>
    <t>王周国</t>
  </si>
  <si>
    <t>熊仁进</t>
  </si>
  <si>
    <t>杨进结</t>
  </si>
  <si>
    <t>吕鈞晴</t>
  </si>
  <si>
    <t>曾涛</t>
  </si>
  <si>
    <t>冯浩杨</t>
  </si>
  <si>
    <t>李伟杰</t>
  </si>
  <si>
    <t>杨红林</t>
  </si>
  <si>
    <t>邱文彪</t>
  </si>
  <si>
    <t>崔泽民</t>
  </si>
  <si>
    <t>陆文俊</t>
  </si>
  <si>
    <t>罗炳鹏</t>
  </si>
  <si>
    <t>张阳凯</t>
  </si>
  <si>
    <t>杨华伟</t>
  </si>
  <si>
    <t>杨高胜</t>
  </si>
  <si>
    <t>罗星星</t>
  </si>
  <si>
    <t>王龙摇</t>
  </si>
  <si>
    <t>何红飞</t>
  </si>
  <si>
    <t>胡国辉</t>
  </si>
  <si>
    <t>石建锋</t>
  </si>
  <si>
    <t>武小凤</t>
  </si>
  <si>
    <t>王正芹</t>
  </si>
  <si>
    <t>许雷</t>
  </si>
  <si>
    <t>企众</t>
  </si>
  <si>
    <t>陈忠宇</t>
  </si>
  <si>
    <t>覃建伍</t>
  </si>
  <si>
    <t>陈国江</t>
  </si>
  <si>
    <t>赵澳东</t>
  </si>
  <si>
    <t>任鸿鑫</t>
  </si>
  <si>
    <t>李双玉</t>
  </si>
  <si>
    <t>郭伯思</t>
  </si>
  <si>
    <t>张宗豪</t>
  </si>
  <si>
    <t>王垚</t>
  </si>
  <si>
    <t>覃荣练</t>
  </si>
  <si>
    <t>覃荣伟</t>
  </si>
  <si>
    <t>吴宇</t>
  </si>
  <si>
    <t>陶连政</t>
  </si>
  <si>
    <t>王鲁新</t>
  </si>
  <si>
    <t>蒙健</t>
  </si>
  <si>
    <t>王学堂</t>
  </si>
  <si>
    <t>焦玉云</t>
  </si>
  <si>
    <t>陈家豪</t>
  </si>
  <si>
    <t>潘建军</t>
  </si>
  <si>
    <t>纳才</t>
  </si>
  <si>
    <t>唐四良</t>
  </si>
  <si>
    <t>补录</t>
  </si>
  <si>
    <t>杨雅富</t>
  </si>
  <si>
    <t>黄剑</t>
  </si>
  <si>
    <t>周玉杰</t>
  </si>
  <si>
    <t>高岚丰</t>
  </si>
  <si>
    <t>黄浩桂</t>
  </si>
  <si>
    <t>王彬</t>
  </si>
  <si>
    <t>卢帅博</t>
  </si>
  <si>
    <t>胥江龙</t>
  </si>
  <si>
    <t>金洪旭</t>
  </si>
  <si>
    <t>马涛</t>
  </si>
  <si>
    <t>柯宗银</t>
  </si>
  <si>
    <t>黎育秀</t>
  </si>
  <si>
    <t>李欣</t>
  </si>
  <si>
    <t>石先泽</t>
  </si>
  <si>
    <t>贺东歌</t>
  </si>
  <si>
    <t>王攀科</t>
  </si>
  <si>
    <t>代银梅</t>
  </si>
  <si>
    <t>贺心茂</t>
  </si>
  <si>
    <t>周新平</t>
  </si>
  <si>
    <t>王齐茂</t>
  </si>
  <si>
    <t>刘云阳</t>
  </si>
  <si>
    <t>蒋敬威</t>
  </si>
  <si>
    <t>吴治明</t>
  </si>
  <si>
    <t>张岗岗</t>
  </si>
  <si>
    <t>郭辉赢</t>
  </si>
  <si>
    <t>谢育华</t>
  </si>
  <si>
    <t>潘金生</t>
  </si>
  <si>
    <t>黄宏量</t>
  </si>
  <si>
    <t>张嘉乐</t>
  </si>
  <si>
    <t>王向前</t>
  </si>
  <si>
    <t>姜东坡</t>
  </si>
  <si>
    <t>唐镇</t>
  </si>
  <si>
    <t>张先炀</t>
  </si>
  <si>
    <t>蒋先超</t>
  </si>
  <si>
    <t>何志平</t>
  </si>
  <si>
    <t>梁春萍</t>
  </si>
  <si>
    <t>李辉</t>
  </si>
  <si>
    <t>张见宝</t>
  </si>
  <si>
    <t>肖法红</t>
  </si>
  <si>
    <t>刘政鑫</t>
  </si>
  <si>
    <t>谢永华</t>
  </si>
  <si>
    <t>吴涛</t>
  </si>
  <si>
    <t>韦怀西</t>
  </si>
  <si>
    <t>王正龙</t>
  </si>
  <si>
    <t>张雁鹏</t>
  </si>
  <si>
    <t>易明君</t>
  </si>
  <si>
    <t>莫振铧</t>
  </si>
  <si>
    <t>彭荣荣</t>
  </si>
  <si>
    <t>曾宪龙</t>
  </si>
  <si>
    <t>曾宪勇</t>
  </si>
  <si>
    <t>金勇</t>
  </si>
  <si>
    <t>唐泽沼</t>
  </si>
  <si>
    <t>戴小忠</t>
  </si>
  <si>
    <t>黄茂</t>
  </si>
  <si>
    <t>高遵白</t>
  </si>
  <si>
    <t>郑博文</t>
  </si>
  <si>
    <t>侯龙龙</t>
  </si>
  <si>
    <t>赵巧合</t>
  </si>
  <si>
    <t>朱景兴</t>
  </si>
  <si>
    <t>刘金辉</t>
  </si>
  <si>
    <t>异地</t>
  </si>
  <si>
    <t>徐波</t>
  </si>
  <si>
    <t>陶永波</t>
  </si>
  <si>
    <t>薛义</t>
  </si>
  <si>
    <t>刘正</t>
  </si>
  <si>
    <t>叶陈瑞</t>
  </si>
  <si>
    <t>黄胜</t>
  </si>
  <si>
    <t>林庆皇</t>
  </si>
  <si>
    <t>陈哲</t>
  </si>
  <si>
    <t>刘晓亮</t>
  </si>
  <si>
    <t>李鑫</t>
  </si>
  <si>
    <t>方德林</t>
  </si>
  <si>
    <t>胡江</t>
  </si>
  <si>
    <t>高哲</t>
  </si>
  <si>
    <t>袁方</t>
  </si>
  <si>
    <t>李燃</t>
  </si>
  <si>
    <t>丁胜木</t>
  </si>
  <si>
    <t>曾志雄</t>
  </si>
  <si>
    <t>兰春好</t>
  </si>
  <si>
    <t>刘佩佩</t>
  </si>
  <si>
    <t>曾星星</t>
  </si>
  <si>
    <t>陈文勇</t>
  </si>
  <si>
    <t>张洪波</t>
  </si>
  <si>
    <t>谢仕合</t>
  </si>
  <si>
    <t>陈国保</t>
  </si>
  <si>
    <t>陈进林</t>
  </si>
  <si>
    <t>袁文彬</t>
  </si>
  <si>
    <t>王忠义</t>
  </si>
  <si>
    <t>唐小元</t>
  </si>
  <si>
    <t>周训观</t>
  </si>
  <si>
    <t>张雨</t>
  </si>
  <si>
    <t>陈孝沙</t>
  </si>
  <si>
    <t>关永发</t>
  </si>
  <si>
    <t>马丰</t>
  </si>
  <si>
    <t>CNC</t>
  </si>
  <si>
    <t>高级技术员</t>
  </si>
  <si>
    <t>王时海</t>
  </si>
  <si>
    <t>龙磊</t>
  </si>
  <si>
    <t>杨泽良</t>
  </si>
  <si>
    <t>霍海涛</t>
  </si>
  <si>
    <t>覃友辉</t>
  </si>
  <si>
    <t>唐四祥</t>
  </si>
  <si>
    <t>黄贵聪</t>
  </si>
  <si>
    <t>王浩</t>
  </si>
  <si>
    <t>袁豪</t>
  </si>
  <si>
    <t>覃政学</t>
  </si>
  <si>
    <t>杨海潮</t>
  </si>
  <si>
    <t>李振兴</t>
  </si>
  <si>
    <t>王衡</t>
  </si>
  <si>
    <t>覃敏</t>
  </si>
  <si>
    <t>胡书环</t>
  </si>
  <si>
    <t>谢郭勇</t>
  </si>
  <si>
    <t>李太平</t>
  </si>
  <si>
    <t>郭艳平</t>
  </si>
  <si>
    <t>张天赐</t>
  </si>
  <si>
    <t>薛强</t>
  </si>
  <si>
    <t>吴坚荣</t>
  </si>
  <si>
    <t>唐文斌</t>
  </si>
  <si>
    <t>梁骞</t>
  </si>
  <si>
    <t>张长辉</t>
  </si>
  <si>
    <t>田双桥</t>
  </si>
  <si>
    <t>王宏波</t>
  </si>
  <si>
    <t>李海军</t>
  </si>
  <si>
    <t>张瀚元</t>
  </si>
  <si>
    <t>简鹏程</t>
  </si>
  <si>
    <t>刘树有</t>
  </si>
  <si>
    <t>林国定</t>
  </si>
  <si>
    <t>宫玉柱</t>
  </si>
  <si>
    <t>王飞</t>
  </si>
  <si>
    <t>杨程</t>
  </si>
  <si>
    <t>杨水祥</t>
  </si>
  <si>
    <t>俸进波</t>
  </si>
  <si>
    <t>刘廷杰</t>
  </si>
  <si>
    <t>王秋喜</t>
  </si>
  <si>
    <t>吴烨</t>
  </si>
  <si>
    <t>陈耀杰</t>
  </si>
  <si>
    <t>林钰智</t>
  </si>
  <si>
    <t>陈露永</t>
  </si>
  <si>
    <t>朱长均</t>
  </si>
  <si>
    <t>庞炜</t>
  </si>
  <si>
    <t>祝智春</t>
  </si>
  <si>
    <t>刘恩典</t>
  </si>
  <si>
    <t>闫彭超</t>
  </si>
  <si>
    <t>段焦滔</t>
  </si>
  <si>
    <t>任强</t>
  </si>
  <si>
    <t>张亚丽</t>
  </si>
  <si>
    <t>胡贤</t>
  </si>
  <si>
    <t>王云鹏</t>
  </si>
  <si>
    <t>王建勤</t>
  </si>
  <si>
    <t>李世友</t>
  </si>
  <si>
    <t>喻红军</t>
  </si>
  <si>
    <t>王龙</t>
  </si>
  <si>
    <t>汤景崇</t>
  </si>
  <si>
    <t>黄锐</t>
  </si>
  <si>
    <t>王席亮</t>
  </si>
  <si>
    <t>张俊州</t>
  </si>
  <si>
    <t>赖培业</t>
  </si>
  <si>
    <t>吴兰庆</t>
  </si>
  <si>
    <t>李遥</t>
  </si>
  <si>
    <t>林俊杰</t>
  </si>
  <si>
    <t>谷勇</t>
  </si>
  <si>
    <t>王涛</t>
  </si>
  <si>
    <t>胡伟</t>
  </si>
  <si>
    <t>江五一</t>
  </si>
  <si>
    <t>杨娟</t>
  </si>
  <si>
    <t>邓俊坤</t>
  </si>
  <si>
    <t>唐浩洋</t>
  </si>
  <si>
    <t>胡兵</t>
  </si>
  <si>
    <t>鄢南方</t>
  </si>
  <si>
    <t>吴烈</t>
  </si>
  <si>
    <t>雷鸿涛</t>
  </si>
  <si>
    <t>王旭</t>
  </si>
  <si>
    <t>丁群</t>
  </si>
  <si>
    <t>刘汉达</t>
  </si>
  <si>
    <t>刘汉联</t>
  </si>
  <si>
    <t>詹彬</t>
  </si>
  <si>
    <t>黄港铭</t>
  </si>
  <si>
    <t>罗文军</t>
  </si>
  <si>
    <t>古建荣</t>
  </si>
  <si>
    <t>郑发文</t>
  </si>
  <si>
    <t>常飞龙</t>
  </si>
  <si>
    <t>林富贵</t>
  </si>
  <si>
    <t>许文乐</t>
  </si>
  <si>
    <t>6月11入了遥芃</t>
  </si>
  <si>
    <t>李亚飞</t>
  </si>
  <si>
    <t>梁江渊</t>
  </si>
  <si>
    <t>张波</t>
  </si>
  <si>
    <t>刘财如</t>
  </si>
  <si>
    <t>黄广</t>
  </si>
  <si>
    <t>易鹏程</t>
  </si>
  <si>
    <t>梁锐伟</t>
  </si>
  <si>
    <t>罗杜林</t>
  </si>
  <si>
    <t>何幸泽</t>
  </si>
  <si>
    <t>赵宇航</t>
  </si>
  <si>
    <t>赵艺凯</t>
  </si>
  <si>
    <t>宁成伟</t>
  </si>
  <si>
    <t>武海涛</t>
  </si>
  <si>
    <t>展秉旭</t>
  </si>
  <si>
    <t>徐博</t>
  </si>
  <si>
    <t>曹文斌</t>
  </si>
  <si>
    <t>朱雪良</t>
  </si>
  <si>
    <t>陈希杰</t>
  </si>
  <si>
    <t>韩永久</t>
  </si>
  <si>
    <t>孙武珊</t>
  </si>
  <si>
    <t>彭国伟</t>
  </si>
  <si>
    <t>江正威</t>
  </si>
  <si>
    <t>李富强</t>
  </si>
  <si>
    <t>韩帅印</t>
  </si>
  <si>
    <t>谭礼彬</t>
  </si>
  <si>
    <t>黄忠</t>
  </si>
  <si>
    <t>欧阳鹏程</t>
  </si>
  <si>
    <t>韦金旭</t>
  </si>
  <si>
    <t>何宇文</t>
  </si>
  <si>
    <t>覃泽源</t>
  </si>
  <si>
    <t>王正华</t>
  </si>
  <si>
    <t>吴鹏</t>
  </si>
  <si>
    <t>李祥</t>
  </si>
  <si>
    <t>张良举</t>
  </si>
  <si>
    <t>李加彬</t>
  </si>
  <si>
    <t>胡旭林</t>
  </si>
  <si>
    <t>贺志杨</t>
  </si>
  <si>
    <t>余进宝</t>
  </si>
  <si>
    <t>吴冯铿</t>
  </si>
  <si>
    <t>顾伟超</t>
  </si>
  <si>
    <t>陈东生</t>
  </si>
  <si>
    <t>陈国炟</t>
  </si>
  <si>
    <t>肖超</t>
  </si>
  <si>
    <t>王子衡</t>
  </si>
  <si>
    <t>朱立亮</t>
  </si>
  <si>
    <t>张顶强</t>
  </si>
  <si>
    <t>洪胜均</t>
  </si>
  <si>
    <t>李万平</t>
  </si>
  <si>
    <t>蒙天德</t>
  </si>
  <si>
    <t>韦永车</t>
  </si>
  <si>
    <t>赵志雄</t>
  </si>
  <si>
    <t>陆风</t>
  </si>
  <si>
    <t>林松</t>
  </si>
  <si>
    <t>张海华</t>
  </si>
  <si>
    <t>刘其猛</t>
  </si>
  <si>
    <t>周杨烽</t>
  </si>
  <si>
    <t>王振宇</t>
  </si>
  <si>
    <t>吴达</t>
  </si>
  <si>
    <t>黄祖欣</t>
  </si>
  <si>
    <t>罗建波</t>
  </si>
  <si>
    <t>许休伟</t>
  </si>
  <si>
    <t>罗启松</t>
  </si>
  <si>
    <t>庞志仁</t>
  </si>
  <si>
    <t>喻凡杰</t>
  </si>
  <si>
    <t>柯其其</t>
  </si>
  <si>
    <t>吴伴友</t>
  </si>
  <si>
    <t>陆勇春</t>
  </si>
  <si>
    <t>盘江飞</t>
  </si>
  <si>
    <t>丁飞</t>
  </si>
  <si>
    <t>徐福军</t>
  </si>
  <si>
    <t>潘国强</t>
  </si>
  <si>
    <t>易青梅</t>
  </si>
  <si>
    <t>王震</t>
  </si>
  <si>
    <t>6月14日入了赞华</t>
  </si>
  <si>
    <t>孟远彪</t>
  </si>
  <si>
    <t>俸启行</t>
  </si>
  <si>
    <t>梁华汉</t>
  </si>
  <si>
    <t>李志潘</t>
  </si>
  <si>
    <t>吴连浩</t>
  </si>
  <si>
    <t>艾青</t>
  </si>
  <si>
    <t>曾海登</t>
  </si>
  <si>
    <t>陶朝兰</t>
  </si>
  <si>
    <t>汪磊</t>
  </si>
  <si>
    <t>黎兴发</t>
  </si>
  <si>
    <t>林发</t>
  </si>
  <si>
    <t>曾云飞</t>
  </si>
  <si>
    <t>何强</t>
  </si>
  <si>
    <t>周加冬</t>
  </si>
  <si>
    <t>许新岭</t>
  </si>
  <si>
    <t>岑利国</t>
  </si>
  <si>
    <t>吴再国</t>
  </si>
  <si>
    <t>张泽平</t>
  </si>
  <si>
    <t>王振华</t>
  </si>
  <si>
    <t>邰毅</t>
  </si>
  <si>
    <t>谷龙辉</t>
  </si>
  <si>
    <t>刘利中</t>
  </si>
  <si>
    <t>莫锦汉</t>
  </si>
  <si>
    <t>何泽洲</t>
  </si>
  <si>
    <t>林爱杰</t>
  </si>
  <si>
    <t>周星辰</t>
  </si>
  <si>
    <t>豆文双</t>
  </si>
  <si>
    <t>江勇</t>
  </si>
  <si>
    <t>冯惠忠</t>
  </si>
  <si>
    <t>罗仲雪</t>
  </si>
  <si>
    <t>鲁鹏</t>
  </si>
  <si>
    <t>林春辉</t>
  </si>
  <si>
    <t>凌云松</t>
  </si>
  <si>
    <t>雷雄</t>
  </si>
  <si>
    <t>张永成</t>
  </si>
  <si>
    <t>石开坤</t>
  </si>
  <si>
    <t>苏赢</t>
  </si>
  <si>
    <t>许鹏</t>
  </si>
  <si>
    <t>孙佳</t>
  </si>
  <si>
    <t>欧长清</t>
  </si>
  <si>
    <t>陆开铭</t>
  </si>
  <si>
    <t>梁贵铭</t>
  </si>
  <si>
    <t>任泽贤</t>
  </si>
  <si>
    <t>张泳君</t>
  </si>
  <si>
    <t>谭维国</t>
  </si>
  <si>
    <t>苏李杰</t>
  </si>
  <si>
    <t>谭杰</t>
  </si>
  <si>
    <t>侯亮东</t>
  </si>
  <si>
    <t>郝孜杭</t>
  </si>
  <si>
    <t>李渊鹏</t>
  </si>
  <si>
    <t>邓建兵</t>
  </si>
  <si>
    <t>张晓东</t>
  </si>
  <si>
    <t>安润戈</t>
  </si>
  <si>
    <t>张飞</t>
  </si>
  <si>
    <t>谷小辉</t>
  </si>
  <si>
    <t>曹杰铭</t>
  </si>
  <si>
    <t>杨浩</t>
  </si>
  <si>
    <t>邓托华</t>
  </si>
  <si>
    <t>唐春胜</t>
  </si>
  <si>
    <t>陈鹏</t>
  </si>
  <si>
    <t>何魏星</t>
  </si>
  <si>
    <t>李栋</t>
  </si>
  <si>
    <t>彭宇豪</t>
  </si>
  <si>
    <t>李舒奇</t>
  </si>
  <si>
    <t>张依平</t>
  </si>
  <si>
    <t>段奇奇</t>
  </si>
  <si>
    <t>蒋部喜</t>
  </si>
  <si>
    <t>姜远祥</t>
  </si>
  <si>
    <t>高帆</t>
  </si>
  <si>
    <t>汤豪</t>
  </si>
  <si>
    <t>何桥</t>
  </si>
  <si>
    <t>严茂师</t>
  </si>
  <si>
    <t>罗洪</t>
  </si>
  <si>
    <t>卢玉鹏</t>
  </si>
  <si>
    <t>程剑南</t>
  </si>
  <si>
    <t>时猛</t>
  </si>
  <si>
    <t>陈帅</t>
  </si>
  <si>
    <t>汪伟</t>
  </si>
  <si>
    <t>职智奔</t>
  </si>
  <si>
    <t>赵国俊</t>
  </si>
  <si>
    <t>张彬彬</t>
  </si>
  <si>
    <t>杨林宗</t>
  </si>
  <si>
    <t>朱运豪</t>
  </si>
  <si>
    <t>陈权</t>
  </si>
  <si>
    <t>陈吉相</t>
  </si>
  <si>
    <t>洪学飞</t>
  </si>
  <si>
    <t>付先良</t>
  </si>
  <si>
    <t>柏双全</t>
  </si>
  <si>
    <t>邓军</t>
  </si>
  <si>
    <t>段满意</t>
  </si>
  <si>
    <t>韦勇富</t>
  </si>
  <si>
    <t>苏威</t>
  </si>
  <si>
    <t>苏龙</t>
  </si>
  <si>
    <t>李建豪</t>
  </si>
  <si>
    <t>龙勇</t>
  </si>
  <si>
    <t>邓基亮</t>
  </si>
  <si>
    <t>瞿昆</t>
  </si>
  <si>
    <t>姚文会</t>
  </si>
  <si>
    <t>刘昭利</t>
  </si>
  <si>
    <t>徐建平</t>
  </si>
  <si>
    <t>胡运辉</t>
  </si>
  <si>
    <t>王帅</t>
  </si>
  <si>
    <t>陈联金</t>
  </si>
  <si>
    <t>邓志伟</t>
  </si>
  <si>
    <t>蒋结为</t>
  </si>
  <si>
    <t>周石康</t>
  </si>
  <si>
    <t>周文通</t>
  </si>
  <si>
    <t>黎煌聘</t>
  </si>
  <si>
    <t>胡奕</t>
  </si>
  <si>
    <t>莫志斌</t>
  </si>
  <si>
    <t>华志</t>
  </si>
  <si>
    <t>赵浩龙</t>
  </si>
  <si>
    <t>姜源孟</t>
  </si>
  <si>
    <t>张海风</t>
  </si>
  <si>
    <t>李文海</t>
  </si>
  <si>
    <t>胡忠诚</t>
  </si>
  <si>
    <t>白明南</t>
  </si>
  <si>
    <t>谢荣军</t>
  </si>
  <si>
    <t>章辉</t>
  </si>
  <si>
    <t>韩用才</t>
  </si>
  <si>
    <t>阮经章</t>
  </si>
  <si>
    <t>刘士涛</t>
  </si>
  <si>
    <t>谢建华</t>
  </si>
  <si>
    <t>贾存维</t>
  </si>
  <si>
    <t>周长松</t>
  </si>
  <si>
    <t>王海军</t>
  </si>
  <si>
    <t>阮经杰</t>
  </si>
  <si>
    <t>张东杰</t>
  </si>
  <si>
    <t>岑常辉</t>
  </si>
  <si>
    <t>杨文涛</t>
  </si>
  <si>
    <t>田龙</t>
  </si>
  <si>
    <t>朱星宇</t>
  </si>
  <si>
    <t>黎文停</t>
  </si>
  <si>
    <t>佳鑫/华聘</t>
  </si>
  <si>
    <t>盘国威</t>
  </si>
  <si>
    <t>王俊峰</t>
  </si>
  <si>
    <t>张晓强</t>
  </si>
  <si>
    <t>方洪业</t>
  </si>
  <si>
    <t>张小勇</t>
  </si>
  <si>
    <t>钟永林</t>
  </si>
  <si>
    <t>吴兴伦</t>
  </si>
  <si>
    <t>杨碧伍</t>
  </si>
  <si>
    <t>潘泳宏</t>
  </si>
  <si>
    <t>谢永辉</t>
  </si>
  <si>
    <t>谢亚聪</t>
  </si>
  <si>
    <t>卢成宾</t>
  </si>
  <si>
    <t>杨昌宏</t>
  </si>
  <si>
    <t>杨小平</t>
  </si>
  <si>
    <t>欧阳子熙</t>
  </si>
  <si>
    <t>刘文孝</t>
  </si>
  <si>
    <t>刘东</t>
  </si>
  <si>
    <t>赵少伟</t>
  </si>
  <si>
    <t>龚湫棋</t>
  </si>
  <si>
    <t>赵向宁</t>
  </si>
  <si>
    <t>吴朝阳</t>
  </si>
  <si>
    <t>吴凯南</t>
  </si>
  <si>
    <t>彭忠亮</t>
  </si>
  <si>
    <t>牛渤淼</t>
  </si>
  <si>
    <t>林官富</t>
  </si>
  <si>
    <t>黎继华</t>
  </si>
  <si>
    <t>肖银春</t>
  </si>
  <si>
    <t>周宜美</t>
  </si>
  <si>
    <t>夏志光</t>
  </si>
  <si>
    <t>韩春</t>
  </si>
  <si>
    <t>陈武</t>
  </si>
  <si>
    <t>林靖思</t>
  </si>
  <si>
    <t>袁显华</t>
  </si>
  <si>
    <t>陈好学</t>
  </si>
  <si>
    <t>肖潇</t>
  </si>
  <si>
    <t>邵世航</t>
  </si>
  <si>
    <t>廖青琦</t>
  </si>
  <si>
    <t>刘涛</t>
  </si>
  <si>
    <t>钟德青</t>
  </si>
  <si>
    <t>巫毅</t>
  </si>
  <si>
    <t>黄际敏</t>
  </si>
  <si>
    <t>胡魁</t>
  </si>
  <si>
    <t>周青山</t>
  </si>
  <si>
    <t>高冲格</t>
  </si>
  <si>
    <t>王邦官</t>
  </si>
  <si>
    <t>周宇航</t>
  </si>
  <si>
    <t>董浩华</t>
  </si>
  <si>
    <t>郑旭鸿</t>
  </si>
  <si>
    <t>潘求安</t>
  </si>
  <si>
    <t>康丽强</t>
  </si>
  <si>
    <t>江俊威</t>
  </si>
  <si>
    <t>李进凯</t>
  </si>
  <si>
    <t>胡星</t>
  </si>
  <si>
    <t>容祜权</t>
  </si>
  <si>
    <t>戴振杰</t>
  </si>
  <si>
    <t>吴靖</t>
  </si>
  <si>
    <t>易宏伟</t>
  </si>
  <si>
    <t>何展鸿</t>
  </si>
  <si>
    <t>高世辉</t>
  </si>
  <si>
    <t>张金权</t>
  </si>
  <si>
    <t>陈依城</t>
  </si>
  <si>
    <t>曾升日</t>
  </si>
  <si>
    <t>陈绪</t>
  </si>
  <si>
    <t>陈各杰</t>
  </si>
  <si>
    <t>李志文</t>
  </si>
  <si>
    <t>赖业豪</t>
  </si>
  <si>
    <t>何亚兵</t>
  </si>
  <si>
    <t>彭江涛</t>
  </si>
  <si>
    <t>肖炳科</t>
  </si>
  <si>
    <t>李建林</t>
  </si>
  <si>
    <t>高涌强</t>
  </si>
  <si>
    <t>吴超</t>
  </si>
  <si>
    <t>陈振宇</t>
  </si>
  <si>
    <t>杨茂祥</t>
  </si>
  <si>
    <t>张进</t>
  </si>
  <si>
    <t>宁思千</t>
  </si>
  <si>
    <t>黄卓豪</t>
  </si>
  <si>
    <t>熊仁志</t>
  </si>
  <si>
    <t>任祥</t>
  </si>
  <si>
    <t>贾记超</t>
  </si>
  <si>
    <t>袁义保</t>
  </si>
  <si>
    <t>李刚让</t>
  </si>
  <si>
    <t>安新怡</t>
  </si>
  <si>
    <t>姚利锋</t>
  </si>
  <si>
    <t>胡永德</t>
  </si>
  <si>
    <t>舒国陈</t>
  </si>
  <si>
    <t>唐志强</t>
  </si>
  <si>
    <t>周晓旭</t>
  </si>
  <si>
    <t>陈文锦</t>
  </si>
  <si>
    <t>杨成武</t>
  </si>
  <si>
    <t>任平</t>
  </si>
  <si>
    <t>胡启超</t>
  </si>
  <si>
    <t>刘新林</t>
  </si>
  <si>
    <t>赵海光</t>
  </si>
  <si>
    <t>卢权杰</t>
  </si>
  <si>
    <t>刘平</t>
  </si>
  <si>
    <t>魏彬</t>
  </si>
  <si>
    <t>梅炜豪</t>
  </si>
  <si>
    <t>张凌举</t>
  </si>
  <si>
    <t>石贵颂</t>
  </si>
  <si>
    <t>盘汉波</t>
  </si>
  <si>
    <t>周冰</t>
  </si>
  <si>
    <t>胡杰</t>
  </si>
  <si>
    <t>王海明</t>
  </si>
  <si>
    <t>冯遵明</t>
  </si>
  <si>
    <t>韦京思</t>
  </si>
  <si>
    <t>刘彪辉</t>
  </si>
  <si>
    <t>杨章东</t>
  </si>
  <si>
    <t>徐铭乾</t>
  </si>
  <si>
    <t>陈卓</t>
  </si>
  <si>
    <t>杨思远</t>
  </si>
  <si>
    <t>赵得金</t>
  </si>
  <si>
    <t>位凯乐</t>
  </si>
  <si>
    <t>钟兴</t>
  </si>
  <si>
    <t>钟荣彪</t>
  </si>
  <si>
    <t>叶锦霖</t>
  </si>
  <si>
    <t>吴伟华</t>
  </si>
  <si>
    <t>张驰</t>
  </si>
  <si>
    <t>牛智孝</t>
  </si>
  <si>
    <t>盘志伟</t>
  </si>
  <si>
    <t>黎朝东</t>
  </si>
  <si>
    <t>赵晓鸿</t>
  </si>
  <si>
    <t>周严维</t>
  </si>
  <si>
    <t>董家鑫</t>
  </si>
  <si>
    <t>李启旭</t>
  </si>
  <si>
    <t>黄俊杰</t>
  </si>
  <si>
    <t>黄锐锋</t>
  </si>
  <si>
    <t>谢潮微</t>
  </si>
  <si>
    <t>叶伟雄</t>
  </si>
  <si>
    <t>戴喜发</t>
  </si>
  <si>
    <t>汤志鹏</t>
  </si>
  <si>
    <t>顾浩浩</t>
  </si>
  <si>
    <t>魏鹏</t>
  </si>
  <si>
    <t>李志</t>
  </si>
  <si>
    <t>李小平</t>
  </si>
  <si>
    <t>文宝</t>
  </si>
  <si>
    <t>杨龙雄</t>
  </si>
  <si>
    <t>朱黑明</t>
  </si>
  <si>
    <t>陈椤</t>
  </si>
  <si>
    <t>罗志生</t>
  </si>
  <si>
    <t>杨炳煌</t>
  </si>
  <si>
    <t>王先</t>
  </si>
  <si>
    <t>石宏庆</t>
  </si>
  <si>
    <t>姚偲</t>
  </si>
  <si>
    <t>谭贵庭</t>
  </si>
  <si>
    <t>何三胜</t>
  </si>
  <si>
    <t>皮鹿平</t>
  </si>
  <si>
    <t>张政鸿</t>
  </si>
  <si>
    <t>韦双玉</t>
  </si>
  <si>
    <t>王祥伊</t>
  </si>
  <si>
    <t>黄新贤</t>
  </si>
  <si>
    <t>周智明</t>
  </si>
  <si>
    <t>何飞</t>
  </si>
  <si>
    <t>陈亚超</t>
  </si>
  <si>
    <t>甘怀美</t>
  </si>
  <si>
    <t>郑希</t>
  </si>
  <si>
    <t>张志文</t>
  </si>
  <si>
    <t>焦梦浩</t>
  </si>
  <si>
    <t>杨文辉</t>
  </si>
  <si>
    <t>杨红</t>
  </si>
  <si>
    <t>叶其双</t>
  </si>
  <si>
    <t>刘安宇</t>
  </si>
  <si>
    <t>潘晓东</t>
  </si>
  <si>
    <t>张书华</t>
  </si>
  <si>
    <t>江兆桁</t>
  </si>
  <si>
    <t>何政朗</t>
  </si>
  <si>
    <t>黄祺淞</t>
  </si>
  <si>
    <t>梁欢</t>
  </si>
  <si>
    <t>宋信勇</t>
  </si>
  <si>
    <t>钟清发</t>
  </si>
  <si>
    <t>赵冬冬</t>
  </si>
  <si>
    <t>席大友</t>
  </si>
  <si>
    <t>唐德文</t>
  </si>
  <si>
    <t>王新鹏</t>
  </si>
  <si>
    <t>唐远波</t>
  </si>
  <si>
    <t>纪三祥</t>
  </si>
  <si>
    <t>狄岗</t>
  </si>
  <si>
    <t>叶健艺</t>
  </si>
  <si>
    <t>崔超阳</t>
  </si>
  <si>
    <t>曾垂明</t>
  </si>
  <si>
    <t>胡文超</t>
  </si>
  <si>
    <t>陈海章</t>
  </si>
  <si>
    <t>王宏伟</t>
  </si>
  <si>
    <t>邹奎</t>
  </si>
  <si>
    <t>钟少维</t>
  </si>
  <si>
    <t>李扩</t>
  </si>
  <si>
    <t>李堂成</t>
  </si>
  <si>
    <t>刘冬福</t>
  </si>
  <si>
    <t>刘雲龙</t>
  </si>
  <si>
    <t>麦竣杰</t>
  </si>
  <si>
    <t>钟佳霖</t>
  </si>
  <si>
    <t>任志豪</t>
  </si>
  <si>
    <t>谭志文</t>
  </si>
  <si>
    <t>技术员</t>
  </si>
  <si>
    <t>劳国业</t>
  </si>
  <si>
    <t>李梁才</t>
  </si>
  <si>
    <t>宏锦志</t>
  </si>
  <si>
    <t>未面试</t>
  </si>
  <si>
    <t>孟帆</t>
  </si>
  <si>
    <t>贝旭</t>
  </si>
  <si>
    <t>郁积</t>
  </si>
  <si>
    <t>余基雄</t>
  </si>
  <si>
    <t>邵毅</t>
  </si>
  <si>
    <t>杨汝涛</t>
  </si>
  <si>
    <t>张立伟</t>
  </si>
  <si>
    <t>胡森</t>
  </si>
  <si>
    <t>王秀红</t>
  </si>
  <si>
    <t>众创汇</t>
  </si>
  <si>
    <t>谢文杰</t>
  </si>
  <si>
    <t>东棠</t>
  </si>
  <si>
    <t>姜静健</t>
  </si>
  <si>
    <t>苏豪</t>
  </si>
  <si>
    <t>肖锦</t>
  </si>
  <si>
    <t>石茂</t>
  </si>
  <si>
    <t>周文华</t>
  </si>
  <si>
    <t>胡超</t>
  </si>
  <si>
    <t>蒋波</t>
  </si>
  <si>
    <t>同创</t>
  </si>
  <si>
    <t>罗朝</t>
  </si>
  <si>
    <t>张欣</t>
  </si>
  <si>
    <t>唐亮</t>
  </si>
  <si>
    <t>苏秀刚</t>
  </si>
  <si>
    <t>天贤途</t>
  </si>
  <si>
    <t>黄明亮</t>
  </si>
  <si>
    <t>源栋</t>
  </si>
  <si>
    <t>陈强</t>
  </si>
  <si>
    <t>任鹏</t>
  </si>
  <si>
    <t>张晓光</t>
  </si>
  <si>
    <t>覃博</t>
  </si>
  <si>
    <t>盛腾</t>
  </si>
  <si>
    <t>陶红磊</t>
  </si>
  <si>
    <t>牟波</t>
  </si>
  <si>
    <t>田野</t>
  </si>
  <si>
    <t>杨开鸿</t>
  </si>
  <si>
    <t>纪海</t>
  </si>
  <si>
    <t>余明江</t>
  </si>
  <si>
    <t>白自杨</t>
  </si>
  <si>
    <t>肖福生</t>
  </si>
  <si>
    <t>善创</t>
  </si>
  <si>
    <t>龚小成</t>
  </si>
  <si>
    <t xml:space="preserve">谭杰
</t>
  </si>
  <si>
    <t xml:space="preserve">刘强
</t>
  </si>
  <si>
    <t>李成</t>
  </si>
  <si>
    <t>张同森</t>
  </si>
  <si>
    <t>张益川</t>
  </si>
  <si>
    <t>李执</t>
  </si>
  <si>
    <t>黄涛</t>
  </si>
  <si>
    <t>吴成</t>
  </si>
  <si>
    <t>胡亮</t>
  </si>
  <si>
    <t>王新权</t>
  </si>
  <si>
    <t>鲜强身</t>
  </si>
  <si>
    <t>尹健</t>
  </si>
  <si>
    <t>蒲鑫鑫</t>
  </si>
  <si>
    <t>黄祥东</t>
  </si>
  <si>
    <t>于洲</t>
  </si>
  <si>
    <t>曹巍麒</t>
  </si>
  <si>
    <t>赵仁和</t>
  </si>
  <si>
    <t>喻通</t>
  </si>
  <si>
    <t>王洋</t>
  </si>
  <si>
    <t>谢飞龙</t>
  </si>
  <si>
    <t>余发兴</t>
  </si>
  <si>
    <t>刘大金</t>
  </si>
  <si>
    <t>黎思雄</t>
  </si>
  <si>
    <t>李孟斌</t>
  </si>
  <si>
    <t>云久富</t>
  </si>
  <si>
    <t>王鹏</t>
  </si>
  <si>
    <t>杜贵林</t>
  </si>
  <si>
    <t>王林飞</t>
  </si>
  <si>
    <t>王二林</t>
  </si>
  <si>
    <t>陈元涛</t>
  </si>
  <si>
    <t>付栋梁</t>
  </si>
  <si>
    <t>吴良广</t>
  </si>
  <si>
    <t>徐刚</t>
  </si>
  <si>
    <t>陈国祥</t>
  </si>
  <si>
    <t>阿石尔后</t>
  </si>
  <si>
    <t>优蓝</t>
  </si>
  <si>
    <t>李立夫</t>
  </si>
  <si>
    <t>王坤</t>
  </si>
  <si>
    <t>王国勇</t>
  </si>
  <si>
    <t>陈佳昆</t>
  </si>
  <si>
    <t>祁浩</t>
  </si>
  <si>
    <t>颜群林</t>
  </si>
  <si>
    <t>李梦</t>
  </si>
  <si>
    <t>万久国</t>
  </si>
  <si>
    <t>张顺勇</t>
  </si>
  <si>
    <t>阳静</t>
  </si>
  <si>
    <t>颜利伟</t>
  </si>
  <si>
    <t>王开岭</t>
  </si>
  <si>
    <t>陈茁</t>
  </si>
  <si>
    <t>苟明</t>
  </si>
  <si>
    <t>张万立</t>
  </si>
  <si>
    <t>黎天泽</t>
  </si>
  <si>
    <t>吴庆</t>
  </si>
  <si>
    <t>创享</t>
  </si>
  <si>
    <t>赵普东</t>
  </si>
  <si>
    <t>李强</t>
  </si>
  <si>
    <t>陈波</t>
  </si>
  <si>
    <t>唐锐</t>
  </si>
  <si>
    <t>罗义能</t>
  </si>
  <si>
    <t>文卓</t>
  </si>
  <si>
    <t>杜佳壕</t>
  </si>
  <si>
    <t>弓贵玲</t>
  </si>
  <si>
    <t>何方浩</t>
  </si>
  <si>
    <t>刘佳伟</t>
  </si>
  <si>
    <t>张日强</t>
  </si>
  <si>
    <t>孔凡亮</t>
  </si>
  <si>
    <t>李伟</t>
  </si>
  <si>
    <t>吴永祥</t>
  </si>
  <si>
    <t>李淑花</t>
  </si>
  <si>
    <t>郭松柏</t>
  </si>
  <si>
    <t>张君</t>
  </si>
  <si>
    <t>梁双连</t>
  </si>
  <si>
    <t>姜昌林</t>
  </si>
  <si>
    <t>胡勇刚</t>
  </si>
  <si>
    <t>梁耕维</t>
  </si>
  <si>
    <t>池锐</t>
  </si>
  <si>
    <t>郎亮</t>
  </si>
  <si>
    <t>李盖世</t>
  </si>
  <si>
    <t>袁家清</t>
  </si>
  <si>
    <t>胡志民</t>
  </si>
  <si>
    <t>李焘</t>
  </si>
  <si>
    <t>袁浪</t>
  </si>
  <si>
    <t>樊晨东</t>
  </si>
  <si>
    <t>蒲志强</t>
  </si>
  <si>
    <t>张春林</t>
  </si>
  <si>
    <t>雷春涛</t>
  </si>
  <si>
    <t>张思权</t>
  </si>
  <si>
    <t>沈宫</t>
  </si>
  <si>
    <t>马驰</t>
  </si>
  <si>
    <t>徐子福</t>
  </si>
  <si>
    <t>李军亮</t>
  </si>
  <si>
    <t>张磊</t>
  </si>
  <si>
    <t>姜春明</t>
  </si>
  <si>
    <t>冯雄</t>
  </si>
  <si>
    <t>张郡伟</t>
  </si>
  <si>
    <t>何云超</t>
  </si>
  <si>
    <t>黄先林</t>
  </si>
  <si>
    <t>李刚</t>
  </si>
  <si>
    <t>任永强</t>
  </si>
  <si>
    <t>郝鑫</t>
  </si>
  <si>
    <t>张永明</t>
  </si>
  <si>
    <t>谷显勇</t>
  </si>
  <si>
    <t>段冬青</t>
  </si>
  <si>
    <t>黄代华</t>
  </si>
  <si>
    <t>刘永源</t>
  </si>
  <si>
    <t>任伟军</t>
  </si>
  <si>
    <t>阮联依</t>
  </si>
  <si>
    <t>刘强</t>
  </si>
  <si>
    <t>何成阔</t>
  </si>
  <si>
    <t>吕振军</t>
  </si>
  <si>
    <t>林亚军</t>
  </si>
  <si>
    <t>牟俊洁</t>
  </si>
  <si>
    <t>吴俊</t>
  </si>
  <si>
    <t>廖梦杰</t>
  </si>
  <si>
    <t>何虎</t>
  </si>
  <si>
    <t>黄家军</t>
  </si>
  <si>
    <t>李朝阳</t>
  </si>
  <si>
    <t>王通</t>
  </si>
  <si>
    <t>周天宾</t>
  </si>
  <si>
    <t>张乾明</t>
  </si>
  <si>
    <t>昭原</t>
  </si>
  <si>
    <t>徐召华</t>
  </si>
  <si>
    <t>叶正海</t>
  </si>
  <si>
    <t>肖永光</t>
  </si>
  <si>
    <t>高聪</t>
  </si>
  <si>
    <t>李勇</t>
  </si>
  <si>
    <t>杨奇学</t>
  </si>
  <si>
    <t>石雪锋</t>
  </si>
  <si>
    <t>魏永德</t>
  </si>
  <si>
    <t>覃立元</t>
  </si>
  <si>
    <t>钟丹萍</t>
  </si>
  <si>
    <t>蔡凤</t>
  </si>
  <si>
    <t>周斌</t>
  </si>
  <si>
    <t>蓝坚成</t>
  </si>
  <si>
    <t>刘付友</t>
  </si>
  <si>
    <t>蔡维斌</t>
  </si>
  <si>
    <t>张广军</t>
  </si>
  <si>
    <t>徐清</t>
  </si>
  <si>
    <t>张强</t>
  </si>
  <si>
    <t>罗毅</t>
  </si>
  <si>
    <t>蔡毅</t>
  </si>
  <si>
    <t>李龙</t>
  </si>
  <si>
    <t>贺发军</t>
  </si>
  <si>
    <t>李钢</t>
  </si>
  <si>
    <t>刘洋</t>
  </si>
  <si>
    <t>张杨</t>
  </si>
  <si>
    <t>胡凤阳</t>
  </si>
  <si>
    <t>王维权</t>
  </si>
  <si>
    <t>姚宪</t>
  </si>
  <si>
    <t>宋逢蛟</t>
  </si>
  <si>
    <t>李顺</t>
  </si>
  <si>
    <t>张朝洋</t>
  </si>
  <si>
    <t>大和</t>
  </si>
  <si>
    <t>翟刚强</t>
  </si>
  <si>
    <t>付勇</t>
  </si>
  <si>
    <t>文亚军</t>
  </si>
  <si>
    <t>顾冬</t>
  </si>
  <si>
    <t>袁忠浩</t>
  </si>
  <si>
    <t>莫芮</t>
  </si>
  <si>
    <t>都金鑫</t>
  </si>
  <si>
    <t>邹池</t>
  </si>
  <si>
    <t>尚永升</t>
  </si>
  <si>
    <t>周建</t>
  </si>
  <si>
    <t>刘杰</t>
  </si>
  <si>
    <t>王飞宇</t>
  </si>
  <si>
    <t>李万见</t>
  </si>
  <si>
    <t>张安徽</t>
  </si>
  <si>
    <t>罗佑富</t>
  </si>
  <si>
    <t>明祥洪</t>
  </si>
  <si>
    <t>刘以祖</t>
  </si>
  <si>
    <t>李龙飞</t>
  </si>
  <si>
    <t>陈兵</t>
  </si>
  <si>
    <t>杨奇</t>
  </si>
  <si>
    <t>芒果</t>
  </si>
  <si>
    <t>李武士</t>
  </si>
  <si>
    <t>翁帅</t>
  </si>
  <si>
    <t>周进</t>
  </si>
  <si>
    <t>陈毅鑫</t>
  </si>
  <si>
    <t>廖银华</t>
  </si>
  <si>
    <t>徐斌</t>
  </si>
  <si>
    <t>李航</t>
  </si>
  <si>
    <t>徐柯</t>
  </si>
  <si>
    <t>江兵</t>
  </si>
  <si>
    <t>袁照明</t>
  </si>
  <si>
    <t>袁爱生</t>
  </si>
  <si>
    <t>牟锐</t>
  </si>
  <si>
    <t>张鑫涛</t>
  </si>
  <si>
    <t>覃海</t>
  </si>
  <si>
    <t>马继雄</t>
  </si>
  <si>
    <t>万礼林</t>
  </si>
  <si>
    <t>温少虽</t>
  </si>
  <si>
    <t>竺顺心</t>
  </si>
  <si>
    <t>肖伟</t>
  </si>
  <si>
    <t>唐伟</t>
  </si>
  <si>
    <t>李汤亮</t>
  </si>
  <si>
    <t>陈永坤</t>
  </si>
  <si>
    <t>郑强</t>
  </si>
  <si>
    <t>周文涛</t>
  </si>
  <si>
    <t>李晓龙</t>
  </si>
  <si>
    <t>屠华东</t>
  </si>
  <si>
    <t>陈涛</t>
  </si>
  <si>
    <t>方绍敬</t>
  </si>
  <si>
    <t>高泽鸿</t>
  </si>
  <si>
    <t>张建彪</t>
  </si>
  <si>
    <t>罗云龙</t>
  </si>
  <si>
    <t>雷江</t>
  </si>
  <si>
    <t>邱明</t>
  </si>
  <si>
    <t>李世瑞</t>
  </si>
  <si>
    <t>宋光海</t>
  </si>
  <si>
    <t>李佳</t>
  </si>
  <si>
    <t>闵雷</t>
  </si>
  <si>
    <t>钟腊梅</t>
  </si>
  <si>
    <t>张晓泷</t>
  </si>
  <si>
    <t>赵波</t>
  </si>
  <si>
    <t>李林</t>
  </si>
  <si>
    <t>赖国生</t>
  </si>
  <si>
    <t>叶贵新</t>
  </si>
  <si>
    <t>屈亚双</t>
  </si>
  <si>
    <t>赵建杨</t>
  </si>
  <si>
    <t>周桃</t>
  </si>
  <si>
    <t>夏建光</t>
  </si>
  <si>
    <t>吴孟龙</t>
  </si>
  <si>
    <t>叶智华</t>
  </si>
  <si>
    <t>柴留建</t>
  </si>
  <si>
    <t>王明</t>
  </si>
  <si>
    <t>胡锦濠</t>
  </si>
  <si>
    <t>李磊</t>
  </si>
  <si>
    <t>秦亚森</t>
  </si>
  <si>
    <t>刘松卓</t>
  </si>
  <si>
    <t>郑帅旗</t>
  </si>
  <si>
    <t>唐一昊</t>
  </si>
  <si>
    <t>万李军</t>
  </si>
  <si>
    <t>黄宗平</t>
  </si>
  <si>
    <t>张世龙</t>
  </si>
  <si>
    <t>魏洪君</t>
  </si>
  <si>
    <t>陈永太</t>
  </si>
  <si>
    <t>高思君</t>
  </si>
  <si>
    <t>张健</t>
  </si>
  <si>
    <t>杨林</t>
  </si>
  <si>
    <t>郑晓广</t>
  </si>
  <si>
    <t>刘雨</t>
  </si>
  <si>
    <t>蒋旭</t>
  </si>
  <si>
    <t>余宇航</t>
  </si>
  <si>
    <t>许广东</t>
  </si>
  <si>
    <t>何成</t>
  </si>
  <si>
    <t>唐金吾</t>
  </si>
  <si>
    <t>杨柳森</t>
  </si>
  <si>
    <t>邓航</t>
  </si>
  <si>
    <t>黄鹏</t>
  </si>
  <si>
    <t>陈文贵</t>
  </si>
  <si>
    <t>祁海波</t>
  </si>
  <si>
    <t>温本强</t>
  </si>
  <si>
    <t>席飞阳</t>
  </si>
  <si>
    <t>陈群</t>
  </si>
  <si>
    <t>庞国珍</t>
  </si>
  <si>
    <t>王智强</t>
  </si>
  <si>
    <t>李善毅</t>
  </si>
  <si>
    <t>关春虎</t>
  </si>
  <si>
    <t>蒋泽圣</t>
  </si>
  <si>
    <t>苏红志</t>
  </si>
  <si>
    <t>薛小红</t>
  </si>
  <si>
    <t>叶文春</t>
  </si>
  <si>
    <t>刘锐</t>
  </si>
  <si>
    <t>王伟</t>
  </si>
  <si>
    <t>唐正君</t>
  </si>
  <si>
    <t>易虎桥</t>
  </si>
  <si>
    <t>雷明辉</t>
  </si>
  <si>
    <t>鲁秋风</t>
  </si>
  <si>
    <t>张代波</t>
  </si>
  <si>
    <t>林虎军</t>
  </si>
  <si>
    <t>王友</t>
  </si>
  <si>
    <t>梁建宁</t>
  </si>
  <si>
    <t>张攀峰</t>
  </si>
  <si>
    <t>毛杰</t>
  </si>
  <si>
    <t>唐小龙</t>
  </si>
  <si>
    <t>周双</t>
  </si>
  <si>
    <t>周礼</t>
  </si>
  <si>
    <t>蒲佳林</t>
  </si>
  <si>
    <t>杨清胜</t>
  </si>
  <si>
    <t>付修好</t>
  </si>
  <si>
    <t>翁祥军</t>
  </si>
  <si>
    <t>杨立</t>
  </si>
  <si>
    <t>赵兵</t>
  </si>
  <si>
    <t>何勇刚</t>
  </si>
  <si>
    <t>侯达林</t>
  </si>
  <si>
    <t>刘佐夫</t>
  </si>
  <si>
    <t>胡发见</t>
  </si>
  <si>
    <t>崔星太</t>
  </si>
  <si>
    <t>刘海军</t>
  </si>
  <si>
    <t>蓝键</t>
  </si>
  <si>
    <t>唐南坤</t>
  </si>
  <si>
    <t>黄琪</t>
  </si>
  <si>
    <t>吴春林</t>
  </si>
  <si>
    <t>陈韵刚</t>
  </si>
  <si>
    <t>邓发松</t>
  </si>
  <si>
    <t>刘斌</t>
  </si>
  <si>
    <t>王海兵</t>
  </si>
  <si>
    <t>黄亚佩</t>
  </si>
  <si>
    <t>龚海剑</t>
  </si>
  <si>
    <t>欧阳晖</t>
  </si>
  <si>
    <t>郑寻知</t>
  </si>
  <si>
    <t>李雨浓</t>
  </si>
  <si>
    <t>刘天平</t>
  </si>
  <si>
    <t>颜家海</t>
  </si>
  <si>
    <t>唐坤</t>
  </si>
  <si>
    <t>罗玉朋</t>
  </si>
  <si>
    <t>陈绍浩</t>
  </si>
  <si>
    <t>李镇江</t>
  </si>
  <si>
    <t>邓文阳</t>
  </si>
  <si>
    <t>孙见明</t>
  </si>
  <si>
    <t>蓝笃伟</t>
  </si>
  <si>
    <t>武志博</t>
  </si>
  <si>
    <t>杨玮琳</t>
  </si>
  <si>
    <t>余刚波</t>
  </si>
  <si>
    <t>杨正棋</t>
  </si>
  <si>
    <t>周朋</t>
  </si>
  <si>
    <t>锦诚宏泰</t>
  </si>
  <si>
    <t>李飞虎</t>
  </si>
  <si>
    <t>李华川</t>
  </si>
  <si>
    <t>胡井银</t>
  </si>
  <si>
    <t>钟传富</t>
  </si>
  <si>
    <t>陈正武</t>
  </si>
  <si>
    <t>陈俊</t>
  </si>
  <si>
    <t>黄陈</t>
  </si>
  <si>
    <t>郑江科</t>
  </si>
  <si>
    <t>杨杰</t>
  </si>
  <si>
    <t>黄洋</t>
  </si>
  <si>
    <t>冯涛</t>
  </si>
  <si>
    <t>侬田</t>
  </si>
  <si>
    <t>付学良</t>
  </si>
  <si>
    <t>杨秀程</t>
  </si>
  <si>
    <t>苟福坤</t>
  </si>
  <si>
    <t>熊建兵</t>
  </si>
  <si>
    <t>付明</t>
  </si>
  <si>
    <t>叶涵</t>
  </si>
  <si>
    <t>谭启松</t>
  </si>
  <si>
    <t>赵明</t>
  </si>
  <si>
    <t>何平</t>
  </si>
  <si>
    <t>普嘉平</t>
  </si>
  <si>
    <t>毛凯</t>
  </si>
  <si>
    <t>陈泳树</t>
  </si>
  <si>
    <t>胡焱峰</t>
  </si>
  <si>
    <t>王志豪</t>
  </si>
  <si>
    <t>王旋</t>
  </si>
  <si>
    <t>陈川</t>
  </si>
  <si>
    <t>屈明明</t>
  </si>
  <si>
    <t>赵国明</t>
  </si>
  <si>
    <t>吴运聪</t>
  </si>
  <si>
    <t>曾佳文</t>
  </si>
  <si>
    <t>曾勇</t>
  </si>
  <si>
    <t>王燕</t>
  </si>
  <si>
    <t>尹丽</t>
  </si>
  <si>
    <t>谢洪智</t>
  </si>
  <si>
    <t>尹凌翔</t>
  </si>
  <si>
    <t>杜飞龙</t>
  </si>
  <si>
    <t>王宁</t>
  </si>
  <si>
    <t>吴俊琪</t>
  </si>
  <si>
    <t>周晴</t>
  </si>
  <si>
    <t>王少奇</t>
  </si>
  <si>
    <t>夏海军</t>
  </si>
  <si>
    <t>马镇川</t>
  </si>
  <si>
    <t>张军</t>
  </si>
  <si>
    <t>王道伦</t>
  </si>
  <si>
    <t>王洁</t>
  </si>
  <si>
    <t>宋艳兵</t>
  </si>
  <si>
    <t>周小金</t>
  </si>
  <si>
    <t>付鲜平</t>
  </si>
  <si>
    <t>张潇天</t>
  </si>
  <si>
    <t xml:space="preserve">张滔
</t>
  </si>
  <si>
    <t>苟浩冉</t>
  </si>
  <si>
    <t>王金宝</t>
  </si>
  <si>
    <t>杨廷顺</t>
  </si>
  <si>
    <t>冯炼斌</t>
  </si>
  <si>
    <t>刘鹏</t>
  </si>
  <si>
    <t>伍远木</t>
  </si>
  <si>
    <t>王子昊</t>
  </si>
  <si>
    <t>刘鑫懿</t>
  </si>
  <si>
    <t>刘阳森</t>
  </si>
  <si>
    <t>徐建军</t>
  </si>
  <si>
    <t>陈正祥</t>
  </si>
  <si>
    <t>章松</t>
  </si>
  <si>
    <t>杨宏</t>
  </si>
  <si>
    <t>陶维</t>
  </si>
  <si>
    <t>邓贵勇</t>
  </si>
  <si>
    <t>蒋⾦堂</t>
  </si>
  <si>
    <t>张兰兰</t>
  </si>
  <si>
    <t>高瑞锋</t>
  </si>
  <si>
    <t>黄学成</t>
  </si>
  <si>
    <t>李斌</t>
  </si>
  <si>
    <t>唐元平</t>
  </si>
  <si>
    <t>谢洪明</t>
  </si>
  <si>
    <t>王亦</t>
  </si>
  <si>
    <t>郑洪亮</t>
  </si>
  <si>
    <t>汪世强</t>
  </si>
  <si>
    <t>文泽林</t>
  </si>
  <si>
    <t>张小平</t>
  </si>
  <si>
    <t>王辉</t>
  </si>
  <si>
    <t>廖丹</t>
  </si>
  <si>
    <t>刘渝</t>
  </si>
  <si>
    <t>樊建康</t>
  </si>
  <si>
    <t>樊丽萍</t>
  </si>
  <si>
    <t>吴居智</t>
  </si>
  <si>
    <t>赖宁</t>
  </si>
  <si>
    <t>陈友杰</t>
  </si>
  <si>
    <t>代云</t>
  </si>
  <si>
    <t>张永东</t>
  </si>
  <si>
    <t>唐正军</t>
  </si>
  <si>
    <t>丁雄淼</t>
  </si>
  <si>
    <t>缪长江</t>
  </si>
  <si>
    <t>刘宗洋</t>
  </si>
  <si>
    <t>鲁旭飞</t>
  </si>
  <si>
    <t>蒋卫东</t>
  </si>
  <si>
    <t>崔渊贺</t>
  </si>
  <si>
    <t>向皓</t>
  </si>
  <si>
    <t>景利勇</t>
  </si>
  <si>
    <t>肖卓豪</t>
  </si>
  <si>
    <t>蒋欢</t>
  </si>
  <si>
    <t>曾英俊</t>
  </si>
  <si>
    <t>刘勇</t>
  </si>
  <si>
    <t>余国军</t>
  </si>
  <si>
    <t>王博</t>
  </si>
  <si>
    <t>万帮坤</t>
  </si>
  <si>
    <t>朱广贵</t>
  </si>
  <si>
    <t>樊宴坤</t>
  </si>
  <si>
    <t>胡开源</t>
  </si>
  <si>
    <t>陈志维</t>
  </si>
  <si>
    <t>贺恒</t>
  </si>
  <si>
    <t>黄文旋</t>
  </si>
  <si>
    <t>周昊</t>
  </si>
  <si>
    <t>喻洋</t>
  </si>
  <si>
    <t>屈华强</t>
  </si>
  <si>
    <t>李城</t>
  </si>
  <si>
    <t>夏鑫</t>
  </si>
  <si>
    <t>樊均学</t>
  </si>
  <si>
    <t>李祚</t>
  </si>
  <si>
    <t>唐永</t>
  </si>
  <si>
    <t>谭刚</t>
  </si>
  <si>
    <t>黄兴海</t>
  </si>
  <si>
    <t>李艳霞</t>
  </si>
  <si>
    <t>方金金</t>
  </si>
  <si>
    <t>万强</t>
  </si>
  <si>
    <t>晋涛</t>
  </si>
  <si>
    <t>田世宝</t>
  </si>
  <si>
    <t>陈冠昊</t>
  </si>
  <si>
    <t>杨召龙</t>
  </si>
  <si>
    <t>聂志成</t>
  </si>
  <si>
    <t>吴华溪</t>
  </si>
  <si>
    <t>窦作辉</t>
  </si>
  <si>
    <t>李崇海</t>
  </si>
  <si>
    <t>安波</t>
  </si>
  <si>
    <t>廖连文</t>
  </si>
  <si>
    <t>杨冬</t>
  </si>
  <si>
    <t>张乐乐</t>
  </si>
  <si>
    <t>罗小刚</t>
  </si>
  <si>
    <t>雷友恒</t>
  </si>
  <si>
    <t>彭传</t>
  </si>
  <si>
    <t>黄卓雄</t>
  </si>
  <si>
    <t>张硕浩</t>
  </si>
  <si>
    <t>唐永江</t>
  </si>
  <si>
    <t>蒙海军</t>
  </si>
  <si>
    <t>杨德明</t>
  </si>
  <si>
    <t>闫川</t>
  </si>
  <si>
    <t>黄潘</t>
  </si>
  <si>
    <t>秦泽</t>
  </si>
  <si>
    <t>周洪军</t>
  </si>
  <si>
    <t>任银胜</t>
  </si>
  <si>
    <t>张宁</t>
  </si>
  <si>
    <t>赵杰</t>
  </si>
  <si>
    <t>万艺</t>
  </si>
  <si>
    <t>杨雪</t>
  </si>
  <si>
    <t>宗涛</t>
  </si>
  <si>
    <t>蒋林幼</t>
  </si>
  <si>
    <t>宋晓波</t>
  </si>
  <si>
    <t>张斌</t>
  </si>
  <si>
    <t>刘思远</t>
  </si>
  <si>
    <t>张国平</t>
  </si>
  <si>
    <t>姜磊</t>
  </si>
  <si>
    <t>邱国云</t>
  </si>
  <si>
    <t>熊刚</t>
  </si>
  <si>
    <t>曾勇超</t>
  </si>
  <si>
    <t>范泽生</t>
  </si>
  <si>
    <t>张创</t>
  </si>
  <si>
    <t>张金帅</t>
  </si>
  <si>
    <t>聂金超</t>
  </si>
  <si>
    <t>刘水彬</t>
  </si>
  <si>
    <t>李坤城</t>
  </si>
  <si>
    <t>蒋正权</t>
  </si>
  <si>
    <t>刘宇</t>
  </si>
  <si>
    <t>林和平</t>
  </si>
  <si>
    <t>韩跃辉</t>
  </si>
  <si>
    <t>文超</t>
  </si>
  <si>
    <t>郑啟雄</t>
  </si>
  <si>
    <t>卢红文</t>
  </si>
  <si>
    <t>周英</t>
  </si>
  <si>
    <t>张正虎</t>
  </si>
  <si>
    <t>善道</t>
  </si>
  <si>
    <t>吕良杰</t>
  </si>
  <si>
    <t>黄杰</t>
  </si>
  <si>
    <t>闫建鹏</t>
  </si>
  <si>
    <t>赵志飞</t>
  </si>
  <si>
    <t>胡鑫</t>
  </si>
  <si>
    <t>王雷</t>
  </si>
  <si>
    <t>龚怡青</t>
  </si>
  <si>
    <t>罗彬又</t>
  </si>
  <si>
    <t>刘自龙</t>
  </si>
  <si>
    <t>杨卫平</t>
  </si>
  <si>
    <t>江宇</t>
  </si>
  <si>
    <t>邓兵</t>
  </si>
  <si>
    <t>胡晓松</t>
  </si>
  <si>
    <t>张文帅</t>
  </si>
  <si>
    <t>廖坤</t>
  </si>
  <si>
    <t>陈建中</t>
  </si>
  <si>
    <t xml:space="preserve">付文强
</t>
  </si>
  <si>
    <t xml:space="preserve">黄强
</t>
  </si>
  <si>
    <t>黄德胜</t>
  </si>
  <si>
    <t>刘富勇</t>
  </si>
  <si>
    <t>聂成华</t>
  </si>
  <si>
    <t>廖扩</t>
  </si>
  <si>
    <t>张斌斌</t>
  </si>
  <si>
    <t>郑典伟</t>
  </si>
  <si>
    <t>刘锴</t>
  </si>
  <si>
    <t>杜华富</t>
  </si>
  <si>
    <t xml:space="preserve">秦乐坤
</t>
  </si>
  <si>
    <t>李现坤</t>
  </si>
  <si>
    <t>鲍泽敬</t>
  </si>
  <si>
    <t>王冰</t>
  </si>
  <si>
    <t>余增志</t>
  </si>
  <si>
    <t>袁正强</t>
  </si>
  <si>
    <t>张仟万</t>
  </si>
  <si>
    <t>雷伟</t>
  </si>
  <si>
    <t>科锐</t>
  </si>
  <si>
    <t>郑杰</t>
  </si>
  <si>
    <t>李晓华</t>
  </si>
  <si>
    <t>禄顺宝</t>
  </si>
  <si>
    <t>禄兴顺</t>
  </si>
  <si>
    <t>姚杰</t>
  </si>
  <si>
    <t>王杰</t>
  </si>
  <si>
    <t>徐杨</t>
  </si>
  <si>
    <t>江健</t>
  </si>
  <si>
    <t>龙俊</t>
  </si>
  <si>
    <t>罗应邦</t>
  </si>
  <si>
    <t>于佳明</t>
  </si>
  <si>
    <t>李童</t>
  </si>
  <si>
    <t>王德银</t>
  </si>
  <si>
    <t>解应勇</t>
  </si>
  <si>
    <t>蔡江龙</t>
  </si>
  <si>
    <t>潘仕银</t>
  </si>
  <si>
    <t>孙豪杰</t>
  </si>
  <si>
    <t>张泽峰</t>
  </si>
  <si>
    <t>梁红涛</t>
  </si>
  <si>
    <t>刘发军</t>
  </si>
  <si>
    <t>黄强</t>
  </si>
  <si>
    <t>赵兴旮</t>
  </si>
  <si>
    <t>王志刚</t>
  </si>
  <si>
    <t>刘成虎</t>
  </si>
  <si>
    <t>杨绍辉</t>
  </si>
  <si>
    <t>孙睿</t>
  </si>
  <si>
    <t>王一龙</t>
  </si>
  <si>
    <t>张迪</t>
  </si>
  <si>
    <t>罗浩</t>
  </si>
  <si>
    <t>王庆香</t>
  </si>
  <si>
    <t>袁英琴</t>
  </si>
  <si>
    <t>钟王林</t>
  </si>
  <si>
    <t>凯东</t>
  </si>
  <si>
    <t>谈升科</t>
  </si>
  <si>
    <t>何伟</t>
  </si>
  <si>
    <t>贾龙</t>
  </si>
  <si>
    <t>赵珂</t>
  </si>
  <si>
    <t>吴斌</t>
  </si>
  <si>
    <t>王哲</t>
  </si>
  <si>
    <t>张小山</t>
  </si>
  <si>
    <t>曹天柱</t>
  </si>
  <si>
    <t>刘德军</t>
  </si>
  <si>
    <t>胡宇涛</t>
  </si>
  <si>
    <t>李永权</t>
  </si>
  <si>
    <t>岳鑫</t>
  </si>
  <si>
    <t>温鑫伟</t>
  </si>
  <si>
    <t>成文群</t>
  </si>
  <si>
    <t>冯月亮</t>
  </si>
  <si>
    <t>朱超</t>
  </si>
  <si>
    <t>贺正山</t>
  </si>
  <si>
    <t>曹阳成</t>
  </si>
  <si>
    <t>郑万均</t>
  </si>
  <si>
    <t>杨晨缘</t>
  </si>
  <si>
    <t>陈君</t>
  </si>
  <si>
    <t>廖斌</t>
  </si>
  <si>
    <t>肖兴宇</t>
  </si>
  <si>
    <t>丁筱君</t>
  </si>
  <si>
    <t>陈杨</t>
  </si>
  <si>
    <t>黄伟创</t>
  </si>
  <si>
    <t>赵彬如</t>
  </si>
  <si>
    <t>付军凯</t>
  </si>
  <si>
    <t>何海勇</t>
  </si>
  <si>
    <t>肖伟鹏</t>
  </si>
  <si>
    <t>梁恒</t>
  </si>
  <si>
    <t>欧仁鑫</t>
  </si>
  <si>
    <t>赵应阳</t>
  </si>
  <si>
    <t>查体彬</t>
  </si>
  <si>
    <t>付文强</t>
  </si>
  <si>
    <t>赵廷湖</t>
  </si>
  <si>
    <t>白勇</t>
  </si>
  <si>
    <t>赵廷科</t>
  </si>
  <si>
    <t>张策</t>
  </si>
  <si>
    <t>董海涛</t>
  </si>
  <si>
    <t>黄晨</t>
  </si>
  <si>
    <t>杨德胜</t>
  </si>
  <si>
    <t>周洪</t>
  </si>
  <si>
    <t>吴燚</t>
  </si>
  <si>
    <t>刘家艮</t>
  </si>
  <si>
    <t>侯家驹</t>
  </si>
  <si>
    <t>梁一航</t>
  </si>
  <si>
    <t>罗朋辉</t>
  </si>
  <si>
    <t>胡敏均</t>
  </si>
  <si>
    <t>田怀秋</t>
  </si>
  <si>
    <t>周文</t>
  </si>
  <si>
    <t>焦响弟</t>
  </si>
  <si>
    <t>李永超</t>
  </si>
  <si>
    <t>陈伟</t>
  </si>
  <si>
    <t>刘校维</t>
  </si>
  <si>
    <t>李兵斌</t>
  </si>
  <si>
    <t>赵小兵</t>
  </si>
  <si>
    <t>尹骞</t>
  </si>
  <si>
    <t>杨平</t>
  </si>
  <si>
    <t>孙世勇</t>
  </si>
  <si>
    <t>卢志豪</t>
  </si>
  <si>
    <t>陈秋鹏</t>
  </si>
  <si>
    <t>李金全</t>
  </si>
  <si>
    <t>戚彪</t>
  </si>
  <si>
    <t>刘彪</t>
  </si>
  <si>
    <t>王航</t>
  </si>
  <si>
    <t>杨大谱</t>
  </si>
  <si>
    <t>罗致杰</t>
  </si>
  <si>
    <t>王冲</t>
  </si>
  <si>
    <t>谢滩</t>
  </si>
  <si>
    <t>崔先雨</t>
  </si>
  <si>
    <t>何嘉铭</t>
  </si>
  <si>
    <t>黄金</t>
  </si>
  <si>
    <t>尹发江</t>
  </si>
  <si>
    <t>向远亮</t>
  </si>
  <si>
    <t>晋良东</t>
  </si>
  <si>
    <t>都财章</t>
  </si>
  <si>
    <t>严曾洪</t>
  </si>
  <si>
    <t>王双</t>
  </si>
  <si>
    <t>石子航</t>
  </si>
  <si>
    <t>胡淏文</t>
  </si>
  <si>
    <t>郭天臣</t>
  </si>
  <si>
    <t>何伟冬</t>
  </si>
  <si>
    <t>曾祥杰</t>
  </si>
  <si>
    <t>吴鸿飞</t>
  </si>
  <si>
    <t>赵忠奇</t>
  </si>
  <si>
    <t>付芝银</t>
  </si>
  <si>
    <t>刘东林</t>
  </si>
  <si>
    <t>刘建东</t>
  </si>
  <si>
    <t>喻靖勇</t>
  </si>
  <si>
    <t>贺志彬</t>
  </si>
  <si>
    <t>刘凯</t>
  </si>
  <si>
    <t>张熙</t>
  </si>
  <si>
    <t>杨焱凯</t>
  </si>
  <si>
    <t>段健</t>
  </si>
  <si>
    <t>付维钢</t>
  </si>
  <si>
    <t>邓兴强</t>
  </si>
  <si>
    <t>邵杰</t>
  </si>
  <si>
    <t>马艳领</t>
  </si>
  <si>
    <t>樊敏</t>
  </si>
  <si>
    <t>李攀</t>
  </si>
  <si>
    <t>李生</t>
  </si>
  <si>
    <t>岑周</t>
  </si>
  <si>
    <t>易全坤</t>
  </si>
  <si>
    <t>罗明皓</t>
  </si>
  <si>
    <t>彭徐威</t>
  </si>
  <si>
    <t>党伟志</t>
  </si>
  <si>
    <t>刘贤雨</t>
  </si>
  <si>
    <t>郭佳</t>
  </si>
  <si>
    <t>陈俊杰</t>
  </si>
  <si>
    <t>蒋忠林</t>
  </si>
  <si>
    <t>王元固</t>
  </si>
  <si>
    <t>胡志文</t>
  </si>
  <si>
    <t>余海波</t>
  </si>
  <si>
    <t>蒋辉</t>
  </si>
  <si>
    <t>邱林伟</t>
  </si>
  <si>
    <t>康佳义</t>
  </si>
  <si>
    <t>郭站峰</t>
  </si>
  <si>
    <t>冷永利</t>
  </si>
  <si>
    <t>唐顺刚</t>
  </si>
  <si>
    <t>吕鑫禄</t>
  </si>
  <si>
    <t>王耀</t>
  </si>
  <si>
    <t>陈吉</t>
  </si>
  <si>
    <t>张志明</t>
  </si>
  <si>
    <t>张瑞</t>
  </si>
  <si>
    <t>李鹏</t>
  </si>
  <si>
    <t>黎映春</t>
  </si>
  <si>
    <t>蒋宇航</t>
  </si>
  <si>
    <t>向军</t>
  </si>
  <si>
    <t>罗建昭</t>
  </si>
  <si>
    <t>欧其鲁日</t>
  </si>
  <si>
    <t>李泽</t>
  </si>
  <si>
    <t>李平</t>
  </si>
  <si>
    <t>张振龙</t>
  </si>
  <si>
    <t>高飞洋</t>
  </si>
  <si>
    <t>蒋金凯</t>
  </si>
  <si>
    <t>高金彪</t>
  </si>
  <si>
    <t>欧正坤</t>
  </si>
  <si>
    <t>杨维军</t>
  </si>
  <si>
    <t>汪小令</t>
  </si>
  <si>
    <t>文佑海</t>
  </si>
  <si>
    <t>周亚辉</t>
  </si>
  <si>
    <t>高宇杰</t>
  </si>
  <si>
    <t>贾晓辉</t>
  </si>
  <si>
    <t>羊绍凤</t>
  </si>
  <si>
    <t>谭忠</t>
  </si>
  <si>
    <t>王菲</t>
  </si>
  <si>
    <t>黄泽龙</t>
  </si>
  <si>
    <t>彭选杰</t>
  </si>
  <si>
    <t>何西强</t>
  </si>
  <si>
    <t>高小平</t>
  </si>
  <si>
    <t>段志兵</t>
  </si>
  <si>
    <t>许成林</t>
  </si>
  <si>
    <t>胡达填</t>
  </si>
  <si>
    <t>刘衍军</t>
  </si>
  <si>
    <t>蒙志文</t>
  </si>
  <si>
    <t>漆平文</t>
  </si>
  <si>
    <t>蒋兴权</t>
  </si>
  <si>
    <t>郭锐</t>
  </si>
  <si>
    <t>贾雪松</t>
  </si>
  <si>
    <t>冯飞</t>
  </si>
  <si>
    <t>马建</t>
  </si>
  <si>
    <t>谢小勇</t>
  </si>
  <si>
    <t>富久鸿</t>
  </si>
  <si>
    <t>谢天才</t>
  </si>
  <si>
    <t>杨圣林</t>
  </si>
  <si>
    <t>韦荣旗</t>
  </si>
  <si>
    <t>游志远</t>
  </si>
  <si>
    <t>张红军</t>
  </si>
  <si>
    <t>刘亮</t>
  </si>
  <si>
    <t>燕俊彦</t>
  </si>
  <si>
    <t>李佳洲</t>
  </si>
  <si>
    <t>林波</t>
  </si>
  <si>
    <t>易勇</t>
  </si>
  <si>
    <t>李松林</t>
  </si>
  <si>
    <t>白天坤</t>
  </si>
  <si>
    <t>李阳</t>
  </si>
  <si>
    <t>邓季平</t>
  </si>
  <si>
    <t>段 健</t>
  </si>
  <si>
    <t>罗正良</t>
  </si>
  <si>
    <t>梁小双</t>
  </si>
  <si>
    <t>龚佳胜</t>
  </si>
  <si>
    <t>陈明国</t>
  </si>
  <si>
    <t>周志萌</t>
  </si>
  <si>
    <t>德拓</t>
  </si>
  <si>
    <t>何章铖</t>
  </si>
  <si>
    <t>潘锦华</t>
  </si>
  <si>
    <t>杜江龙</t>
  </si>
  <si>
    <t>汪东彬</t>
  </si>
  <si>
    <t>周华</t>
  </si>
  <si>
    <t>李浩</t>
  </si>
  <si>
    <t>范远强</t>
  </si>
  <si>
    <t>陈果</t>
  </si>
  <si>
    <t>侯守鹏</t>
  </si>
  <si>
    <t>梁汉承</t>
  </si>
  <si>
    <t>王富城</t>
  </si>
  <si>
    <t>朱国川</t>
  </si>
  <si>
    <t>杨子江</t>
  </si>
  <si>
    <t>李宏杰</t>
  </si>
  <si>
    <t>秦明</t>
  </si>
  <si>
    <t>赵卓</t>
  </si>
  <si>
    <t>宋新龙</t>
  </si>
  <si>
    <t>赵子康</t>
  </si>
  <si>
    <t>郭战兵</t>
  </si>
  <si>
    <t>张西昊</t>
  </si>
  <si>
    <t>邓世宇</t>
  </si>
  <si>
    <t>仁伟豪</t>
  </si>
  <si>
    <t>张兴波</t>
  </si>
  <si>
    <t>周小东</t>
  </si>
  <si>
    <t>陈伟杰</t>
  </si>
  <si>
    <t>邓超</t>
  </si>
  <si>
    <t>李佳其</t>
  </si>
  <si>
    <t>杨梦龙</t>
  </si>
  <si>
    <t>李达</t>
  </si>
  <si>
    <t>谭礼东</t>
  </si>
  <si>
    <t>蔡林峰</t>
  </si>
  <si>
    <t>杨佐明</t>
  </si>
  <si>
    <t>肖宏</t>
  </si>
  <si>
    <t>陈登权</t>
  </si>
  <si>
    <t>王孟清</t>
  </si>
  <si>
    <t>屈鸿光</t>
  </si>
  <si>
    <t>赵永科</t>
  </si>
  <si>
    <t>杨志礼</t>
  </si>
  <si>
    <t>张桃桃</t>
  </si>
  <si>
    <t>郭桂</t>
  </si>
  <si>
    <t>文龙</t>
  </si>
  <si>
    <t>但世玉</t>
  </si>
  <si>
    <t>常叶茂</t>
  </si>
  <si>
    <t>杨亮</t>
  </si>
  <si>
    <t>薛川</t>
  </si>
  <si>
    <t>刘世川</t>
  </si>
  <si>
    <t>赵茂源</t>
  </si>
  <si>
    <t>许哲宽</t>
  </si>
  <si>
    <t>梁龙</t>
  </si>
  <si>
    <t>王海丰</t>
  </si>
  <si>
    <t>雅杰</t>
  </si>
  <si>
    <t>吕逍</t>
  </si>
  <si>
    <t>张鑫</t>
  </si>
  <si>
    <t>陈世文</t>
  </si>
  <si>
    <t>吕鑫洋</t>
  </si>
  <si>
    <t>张顺平</t>
  </si>
  <si>
    <t>肖其银</t>
  </si>
  <si>
    <t>韦如谦</t>
  </si>
  <si>
    <t>韦仕雄</t>
  </si>
  <si>
    <t>李茂兴</t>
  </si>
  <si>
    <t>邹斌</t>
  </si>
  <si>
    <t>张朝</t>
  </si>
  <si>
    <t>王警慧</t>
  </si>
  <si>
    <t>付金桂</t>
  </si>
  <si>
    <t>郑明锋</t>
  </si>
  <si>
    <t>张金明</t>
  </si>
  <si>
    <t>郭杰</t>
  </si>
  <si>
    <t>宫明辉</t>
  </si>
  <si>
    <t>陈超</t>
  </si>
  <si>
    <t>邓长明</t>
  </si>
  <si>
    <t>晋启</t>
  </si>
  <si>
    <t>何利剑</t>
  </si>
  <si>
    <t>陈明隆</t>
  </si>
  <si>
    <t>程杰</t>
  </si>
  <si>
    <t>赖树志</t>
  </si>
  <si>
    <t>沈鹏</t>
  </si>
  <si>
    <t>罗明贵</t>
  </si>
  <si>
    <t>杨宇灿</t>
  </si>
  <si>
    <t>伍绍明</t>
  </si>
  <si>
    <t>米超</t>
  </si>
  <si>
    <t>鄢扬飞</t>
  </si>
  <si>
    <t>蒋万坤</t>
  </si>
  <si>
    <t>冯建平</t>
  </si>
  <si>
    <t>胡桓明</t>
  </si>
  <si>
    <t>杜青松</t>
  </si>
  <si>
    <t>郑超</t>
  </si>
  <si>
    <t>李关朝</t>
  </si>
  <si>
    <t>吴磊磊</t>
  </si>
  <si>
    <t>李启阳</t>
  </si>
  <si>
    <t>白强</t>
  </si>
  <si>
    <t>李洪强</t>
  </si>
  <si>
    <t>李秀成</t>
  </si>
  <si>
    <t>宋岱岩</t>
  </si>
  <si>
    <t>杜松原</t>
  </si>
  <si>
    <t>蒲旭川</t>
  </si>
  <si>
    <t>辜腾艺</t>
  </si>
  <si>
    <t>刘星志</t>
  </si>
  <si>
    <t>罗伟</t>
  </si>
  <si>
    <t>丁顺</t>
  </si>
  <si>
    <t>魏仁富</t>
  </si>
  <si>
    <t>王聪</t>
  </si>
  <si>
    <t>夏小松</t>
  </si>
  <si>
    <t>傅江杰</t>
  </si>
  <si>
    <t>童伟</t>
  </si>
  <si>
    <t>余泓江</t>
  </si>
  <si>
    <t>朱园程</t>
  </si>
  <si>
    <t>赵小利</t>
  </si>
  <si>
    <t>熊明富</t>
  </si>
  <si>
    <t>詹先明</t>
  </si>
  <si>
    <t>李佳雨</t>
  </si>
  <si>
    <t>蔡华山</t>
  </si>
  <si>
    <t>杜亮</t>
  </si>
  <si>
    <t>黎柏江</t>
  </si>
  <si>
    <t>梁雨</t>
  </si>
  <si>
    <t>蒋强强</t>
  </si>
  <si>
    <t>王源</t>
  </si>
  <si>
    <t>莫云</t>
  </si>
  <si>
    <t>张定鹏</t>
  </si>
  <si>
    <t>唐敏</t>
  </si>
  <si>
    <t>张佳琪</t>
  </si>
  <si>
    <t>侯世林</t>
  </si>
  <si>
    <t>吴振荣</t>
  </si>
  <si>
    <t>李思朋</t>
  </si>
  <si>
    <t>段思伟</t>
  </si>
  <si>
    <t>刘继均</t>
  </si>
  <si>
    <t>梁承见</t>
  </si>
  <si>
    <t>赵柏森</t>
  </si>
  <si>
    <t>侯远俊</t>
  </si>
  <si>
    <t>许明杰</t>
  </si>
  <si>
    <t>王晓军</t>
  </si>
  <si>
    <t>陈向前</t>
  </si>
  <si>
    <t>廖勇</t>
  </si>
  <si>
    <t>罗平</t>
  </si>
  <si>
    <t>李文超</t>
  </si>
  <si>
    <t>王心武</t>
  </si>
  <si>
    <t>陈钊虹</t>
  </si>
  <si>
    <t>马宝强</t>
  </si>
  <si>
    <t>吴尚军</t>
  </si>
  <si>
    <t>韩泽文</t>
  </si>
  <si>
    <t>罗锴</t>
  </si>
  <si>
    <t>赵展</t>
  </si>
  <si>
    <t>伏昊东</t>
  </si>
  <si>
    <t>李杰</t>
  </si>
  <si>
    <t>成二库</t>
  </si>
  <si>
    <t>潘欢</t>
  </si>
  <si>
    <t>任玉雄</t>
  </si>
  <si>
    <t>钟波</t>
  </si>
  <si>
    <t>邢鸿明</t>
  </si>
  <si>
    <t>韩俊</t>
  </si>
  <si>
    <t>李祥阳</t>
  </si>
  <si>
    <t>李至玉</t>
  </si>
  <si>
    <t>杨永刚</t>
  </si>
  <si>
    <t>曾勤波</t>
  </si>
  <si>
    <t>刘健和</t>
  </si>
  <si>
    <t>王罗明</t>
  </si>
  <si>
    <t>张佳旺</t>
  </si>
  <si>
    <t>马毅</t>
  </si>
  <si>
    <t>博文兴</t>
  </si>
  <si>
    <t>李涛</t>
  </si>
  <si>
    <t>唐维炎</t>
  </si>
  <si>
    <t>杨佳瑞</t>
  </si>
  <si>
    <t>杨云鹏</t>
  </si>
  <si>
    <t>段君盛</t>
  </si>
  <si>
    <t>魏守超</t>
  </si>
  <si>
    <t>王彦军</t>
  </si>
  <si>
    <t>鲁强强</t>
  </si>
  <si>
    <t>任钰萍</t>
  </si>
  <si>
    <t>冉景强</t>
  </si>
  <si>
    <t>圣金</t>
  </si>
  <si>
    <t>袁洪垒</t>
  </si>
  <si>
    <t>天润人力</t>
  </si>
  <si>
    <t>陈锦彬</t>
  </si>
  <si>
    <t>李元业</t>
  </si>
  <si>
    <t>牟松</t>
  </si>
  <si>
    <t>陈佳雄</t>
  </si>
  <si>
    <t>胡才元</t>
  </si>
  <si>
    <t>智诚人力</t>
  </si>
  <si>
    <t>曾晓军</t>
  </si>
  <si>
    <t>杨鸿志</t>
  </si>
  <si>
    <t>郭远耀</t>
  </si>
  <si>
    <t>张小兵</t>
  </si>
  <si>
    <t>薛健</t>
  </si>
  <si>
    <t>何高</t>
  </si>
  <si>
    <t>何仲川</t>
  </si>
  <si>
    <t>张平</t>
  </si>
  <si>
    <t>汪东山</t>
  </si>
  <si>
    <t>杨元顺</t>
  </si>
  <si>
    <t>梁大东</t>
  </si>
  <si>
    <t>王华</t>
  </si>
  <si>
    <t>博惠</t>
  </si>
  <si>
    <t>王荣正</t>
  </si>
  <si>
    <t>陈龙</t>
  </si>
  <si>
    <t>万家伟</t>
  </si>
  <si>
    <t>梁洪彬</t>
  </si>
  <si>
    <t>彭华彬</t>
  </si>
  <si>
    <t>邹为</t>
  </si>
  <si>
    <t>李达智</t>
  </si>
  <si>
    <t>李再彬</t>
  </si>
  <si>
    <t>李佳燚</t>
  </si>
  <si>
    <t>曾海恩</t>
  </si>
  <si>
    <t>刘胜</t>
  </si>
  <si>
    <t>罗辉</t>
  </si>
  <si>
    <t>左谨函</t>
  </si>
  <si>
    <t>阎熙民</t>
  </si>
  <si>
    <t>马中印</t>
  </si>
  <si>
    <t>樊培冬</t>
  </si>
  <si>
    <t>胡志平</t>
  </si>
  <si>
    <t>杨波</t>
  </si>
  <si>
    <t>唐小涛</t>
  </si>
  <si>
    <t>姚茂忍</t>
  </si>
  <si>
    <t>杨清伟</t>
  </si>
  <si>
    <t>马华建</t>
  </si>
  <si>
    <t>曾召荣</t>
  </si>
  <si>
    <t>黄洪振</t>
  </si>
  <si>
    <t>张付勇</t>
  </si>
  <si>
    <t>黄根顺</t>
  </si>
  <si>
    <t>赵伟</t>
  </si>
  <si>
    <t>王玉周</t>
  </si>
  <si>
    <t>马传劲</t>
  </si>
  <si>
    <t>户成功</t>
  </si>
  <si>
    <t>王雪</t>
  </si>
  <si>
    <t>孔凡硕</t>
  </si>
  <si>
    <t>张瑞锋</t>
  </si>
  <si>
    <t>周生鲁</t>
  </si>
  <si>
    <t>张顺</t>
  </si>
  <si>
    <t>孔得旭</t>
  </si>
  <si>
    <t>孙路</t>
  </si>
  <si>
    <t>蒲侨</t>
  </si>
  <si>
    <t>郝振淇</t>
  </si>
  <si>
    <t>赵东昇</t>
  </si>
  <si>
    <t>张天宇</t>
  </si>
  <si>
    <t>费晓楠</t>
  </si>
  <si>
    <t>赵乾</t>
  </si>
  <si>
    <t>陈春林</t>
  </si>
  <si>
    <t>陶乾森</t>
  </si>
  <si>
    <t>何叶</t>
  </si>
  <si>
    <t>王钞</t>
  </si>
  <si>
    <t>丁全民</t>
  </si>
  <si>
    <t>张海强</t>
  </si>
  <si>
    <t>孟明超</t>
  </si>
  <si>
    <t>马飞</t>
  </si>
  <si>
    <t>任胜刚</t>
  </si>
  <si>
    <t>赵龙江</t>
  </si>
  <si>
    <t>李静</t>
  </si>
  <si>
    <t>刘阳</t>
  </si>
  <si>
    <t>林豪</t>
  </si>
  <si>
    <t>何荣雨</t>
  </si>
  <si>
    <t>高芯</t>
  </si>
  <si>
    <t>谢华庭</t>
  </si>
  <si>
    <t>丁文强</t>
  </si>
  <si>
    <t>汪迪</t>
  </si>
  <si>
    <t>代明洪</t>
  </si>
  <si>
    <t>陶真奎</t>
  </si>
  <si>
    <t>唐兵</t>
  </si>
  <si>
    <t>伏子彦</t>
  </si>
  <si>
    <t>刘宇阳</t>
  </si>
  <si>
    <t>王善堂</t>
  </si>
  <si>
    <t>曲勇</t>
  </si>
  <si>
    <t>刘昭然</t>
  </si>
  <si>
    <t>周峻宇</t>
  </si>
  <si>
    <t>李健</t>
  </si>
  <si>
    <t>杨朝建</t>
  </si>
  <si>
    <t xml:space="preserve">付帅
</t>
  </si>
  <si>
    <t xml:space="preserve">傅江杰
</t>
  </si>
  <si>
    <t>吴秋侗</t>
  </si>
  <si>
    <t>马战辉</t>
  </si>
  <si>
    <t>李军</t>
  </si>
  <si>
    <t>任启良</t>
  </si>
  <si>
    <t>曾昌彬</t>
  </si>
  <si>
    <t>梁立波</t>
  </si>
  <si>
    <t>简红星</t>
  </si>
  <si>
    <t>罗波</t>
  </si>
  <si>
    <t>张家银</t>
  </si>
  <si>
    <t>陆祥周</t>
  </si>
  <si>
    <t>易磊</t>
  </si>
  <si>
    <t>郑能</t>
  </si>
  <si>
    <t>刘碧彩</t>
  </si>
  <si>
    <t>陈乐杰</t>
  </si>
  <si>
    <t>杨宽</t>
  </si>
  <si>
    <t>彭晓东</t>
  </si>
  <si>
    <t>胡锦</t>
  </si>
  <si>
    <t>诸安兵</t>
  </si>
  <si>
    <t>时可可</t>
  </si>
  <si>
    <t>张先滨</t>
  </si>
  <si>
    <t>蒲有军</t>
  </si>
  <si>
    <t>罗长林</t>
  </si>
  <si>
    <t>贺天虎</t>
  </si>
  <si>
    <t>罗先林</t>
  </si>
  <si>
    <t>李泽保</t>
  </si>
  <si>
    <t>罗小龙</t>
  </si>
  <si>
    <t>谭洪林</t>
  </si>
  <si>
    <t>贺其</t>
  </si>
  <si>
    <t>贺鹏</t>
  </si>
  <si>
    <t>贺兴兴</t>
  </si>
  <si>
    <t>贺传全</t>
  </si>
  <si>
    <t>贺曙光</t>
  </si>
  <si>
    <t>郭彬</t>
  </si>
  <si>
    <t>何先贵</t>
  </si>
  <si>
    <t>李飞</t>
  </si>
  <si>
    <t>李敏</t>
  </si>
  <si>
    <t>刘介强</t>
  </si>
  <si>
    <t>唐冯仁</t>
  </si>
  <si>
    <t>陈晨</t>
  </si>
  <si>
    <t>贺加祥</t>
  </si>
  <si>
    <t>唐维元</t>
  </si>
  <si>
    <t>刘海儿</t>
  </si>
  <si>
    <t>凌征洪</t>
  </si>
  <si>
    <t>阮小波</t>
  </si>
  <si>
    <t>张昌洪</t>
  </si>
  <si>
    <t>王俊洁</t>
  </si>
  <si>
    <t>朱朝伟</t>
  </si>
  <si>
    <t>李荣辉</t>
  </si>
  <si>
    <t>代明严</t>
  </si>
  <si>
    <t>杨茂财</t>
  </si>
  <si>
    <t>李宗叶</t>
  </si>
  <si>
    <t>董洪新</t>
  </si>
  <si>
    <t>曾旭</t>
  </si>
  <si>
    <t>陈从丽</t>
  </si>
  <si>
    <t>供应商编号</t>
  </si>
  <si>
    <t>供应商名称</t>
  </si>
  <si>
    <t>联系人</t>
  </si>
  <si>
    <t>联系电话</t>
  </si>
  <si>
    <t>001</t>
  </si>
  <si>
    <t>王晓利</t>
  </si>
  <si>
    <t>002</t>
  </si>
  <si>
    <t>苏航宇</t>
  </si>
  <si>
    <t>003</t>
  </si>
  <si>
    <t>吴霞</t>
  </si>
  <si>
    <t>004</t>
  </si>
  <si>
    <t>周培</t>
  </si>
  <si>
    <t>005</t>
  </si>
  <si>
    <t>吴小龙</t>
  </si>
  <si>
    <t>006</t>
  </si>
  <si>
    <t>都建飞</t>
  </si>
  <si>
    <t>007</t>
  </si>
  <si>
    <t>杨琼</t>
  </si>
  <si>
    <t>008</t>
  </si>
  <si>
    <t>陈青山</t>
  </si>
  <si>
    <t>009</t>
  </si>
  <si>
    <t>向津兴</t>
  </si>
  <si>
    <t>010</t>
  </si>
  <si>
    <t>夏永宏</t>
  </si>
  <si>
    <t>011</t>
  </si>
  <si>
    <t>杨希昊</t>
  </si>
  <si>
    <t>012</t>
  </si>
  <si>
    <t>陈瑶</t>
  </si>
  <si>
    <t>013</t>
  </si>
  <si>
    <t>唐顺成</t>
  </si>
  <si>
    <t>014</t>
  </si>
  <si>
    <t>朱海佳</t>
  </si>
  <si>
    <t>015</t>
  </si>
  <si>
    <t>刘鑫</t>
  </si>
  <si>
    <t>016</t>
  </si>
  <si>
    <t>王旭栋</t>
  </si>
  <si>
    <t>017</t>
  </si>
  <si>
    <t>陈世伟</t>
  </si>
  <si>
    <t>018</t>
  </si>
  <si>
    <t>周小龙</t>
  </si>
  <si>
    <t>019</t>
  </si>
  <si>
    <t>赵涛</t>
  </si>
  <si>
    <t>020</t>
  </si>
  <si>
    <t>芒果人力</t>
  </si>
  <si>
    <t>杨啸轩</t>
  </si>
  <si>
    <t>021</t>
  </si>
  <si>
    <t>王长城</t>
  </si>
  <si>
    <t>022</t>
  </si>
  <si>
    <t>屠强</t>
  </si>
  <si>
    <t>023</t>
  </si>
  <si>
    <t>广东慧通人才</t>
  </si>
  <si>
    <t>李小军</t>
  </si>
  <si>
    <t>024</t>
  </si>
  <si>
    <t>李彬</t>
  </si>
  <si>
    <t>025</t>
  </si>
  <si>
    <t>唐玄辉</t>
  </si>
  <si>
    <t>026</t>
  </si>
  <si>
    <t>027</t>
  </si>
  <si>
    <t>田长华</t>
  </si>
  <si>
    <t>028</t>
  </si>
  <si>
    <t>阳选伟</t>
  </si>
  <si>
    <t>029</t>
  </si>
  <si>
    <t>李虎</t>
  </si>
  <si>
    <t>030</t>
  </si>
  <si>
    <t>031</t>
  </si>
  <si>
    <t>032</t>
  </si>
  <si>
    <t>罗胜利</t>
  </si>
  <si>
    <t>033</t>
  </si>
  <si>
    <t>石乃友</t>
  </si>
  <si>
    <t>034</t>
  </si>
  <si>
    <t>单小龙</t>
  </si>
  <si>
    <t>035</t>
  </si>
  <si>
    <t>刘柏春</t>
  </si>
  <si>
    <t>036</t>
  </si>
  <si>
    <t>刘远征</t>
  </si>
  <si>
    <t>037</t>
  </si>
  <si>
    <t>038</t>
  </si>
  <si>
    <t>谢增辉</t>
  </si>
  <si>
    <t>039</t>
  </si>
  <si>
    <t>何洪顺</t>
  </si>
  <si>
    <t>040</t>
  </si>
  <si>
    <t>杨哲</t>
  </si>
  <si>
    <t>041</t>
  </si>
  <si>
    <t>042</t>
  </si>
  <si>
    <t>博尔悦</t>
  </si>
  <si>
    <t>智德圣</t>
  </si>
  <si>
    <t>043</t>
  </si>
  <si>
    <t>王锦来</t>
  </si>
  <si>
    <t>044</t>
  </si>
  <si>
    <t>刘昌链</t>
  </si>
  <si>
    <t>045</t>
  </si>
  <si>
    <t>046</t>
  </si>
  <si>
    <t>均豪</t>
  </si>
  <si>
    <t>袁冰冰</t>
  </si>
  <si>
    <t>047</t>
  </si>
  <si>
    <t>董士伟</t>
  </si>
  <si>
    <t>048</t>
  </si>
  <si>
    <t>董文力</t>
  </si>
  <si>
    <t>049</t>
  </si>
  <si>
    <t>段保剑</t>
  </si>
  <si>
    <t>050</t>
  </si>
  <si>
    <t>周永尊</t>
  </si>
  <si>
    <t>051</t>
  </si>
  <si>
    <t>黄文龙</t>
  </si>
  <si>
    <t>052</t>
  </si>
  <si>
    <t>谢惠竹</t>
  </si>
  <si>
    <t>053</t>
  </si>
  <si>
    <t>董师</t>
  </si>
  <si>
    <t>054</t>
  </si>
  <si>
    <t>代俊成</t>
  </si>
  <si>
    <t>055</t>
  </si>
  <si>
    <t>陆囿霖</t>
  </si>
  <si>
    <t>056</t>
  </si>
  <si>
    <t>梁刘凤</t>
  </si>
  <si>
    <t>057</t>
  </si>
  <si>
    <t>互蓝</t>
  </si>
  <si>
    <t>刘祖鑫</t>
  </si>
  <si>
    <t>058</t>
  </si>
  <si>
    <t>袁邦贵</t>
  </si>
  <si>
    <t>059</t>
  </si>
  <si>
    <t>曹自亮</t>
  </si>
  <si>
    <t>060</t>
  </si>
  <si>
    <t>沈涛</t>
  </si>
  <si>
    <t>061</t>
  </si>
  <si>
    <t>062</t>
  </si>
  <si>
    <t>曾微微</t>
  </si>
  <si>
    <t>063</t>
  </si>
  <si>
    <t>张梓宇</t>
  </si>
  <si>
    <t>064</t>
  </si>
  <si>
    <t>郴恒</t>
  </si>
  <si>
    <t>065</t>
  </si>
  <si>
    <t>郑甜</t>
  </si>
  <si>
    <t>066</t>
  </si>
  <si>
    <t>067</t>
  </si>
  <si>
    <t>赵俊峰</t>
  </si>
  <si>
    <t>068</t>
  </si>
  <si>
    <t>069</t>
  </si>
  <si>
    <t>梁仁喜</t>
  </si>
  <si>
    <t>070</t>
  </si>
  <si>
    <t>071</t>
  </si>
  <si>
    <t>入职日期</t>
  </si>
  <si>
    <t>离职日期</t>
  </si>
  <si>
    <t>在职天数</t>
  </si>
  <si>
    <t>离职原因分类</t>
  </si>
  <si>
    <t>离职原因说明</t>
  </si>
  <si>
    <t>是否结算</t>
  </si>
  <si>
    <t>刘江彬</t>
  </si>
  <si>
    <t>内部管理---效率不达标</t>
  </si>
  <si>
    <t>回家有事</t>
  </si>
  <si>
    <t>罗春午</t>
  </si>
  <si>
    <t>正常自离</t>
  </si>
  <si>
    <t>有事</t>
  </si>
  <si>
    <t>蒙庭华</t>
  </si>
  <si>
    <t>有事回家</t>
  </si>
  <si>
    <t>黄春兰</t>
  </si>
  <si>
    <t>家里有事</t>
  </si>
  <si>
    <t>潘新明</t>
  </si>
  <si>
    <t>李思创</t>
  </si>
  <si>
    <t>个人原因</t>
  </si>
  <si>
    <t>李文亮</t>
  </si>
  <si>
    <t>李文成</t>
  </si>
  <si>
    <t>李自忠</t>
  </si>
  <si>
    <t>李阿清</t>
  </si>
  <si>
    <t>高温作业</t>
  </si>
  <si>
    <t>太热了</t>
  </si>
  <si>
    <t>朱奕帆</t>
  </si>
  <si>
    <t>因家里原因</t>
  </si>
  <si>
    <t>吴洪建</t>
  </si>
  <si>
    <t>有事要整理</t>
  </si>
  <si>
    <t>内部管理</t>
  </si>
  <si>
    <t>换中介</t>
  </si>
  <si>
    <t>邓流旋</t>
  </si>
  <si>
    <t>回家</t>
  </si>
  <si>
    <t>陈文辉</t>
  </si>
  <si>
    <t>上下班通勤时间长</t>
  </si>
  <si>
    <t>马尔体</t>
  </si>
  <si>
    <t>陆河君</t>
  </si>
  <si>
    <t>胡增辉</t>
  </si>
  <si>
    <t>回家处理私事</t>
  </si>
  <si>
    <t>罗忠明</t>
  </si>
  <si>
    <t>老婆孕期要照顾</t>
  </si>
  <si>
    <t>李阳信</t>
  </si>
  <si>
    <t>覃淋</t>
  </si>
  <si>
    <t>找到其他工作</t>
  </si>
  <si>
    <t>黄丹怡</t>
  </si>
  <si>
    <t>叉车</t>
  </si>
  <si>
    <t>龚祚国</t>
  </si>
  <si>
    <t>正常自离---不适应</t>
  </si>
  <si>
    <t>家里老人去世</t>
  </si>
  <si>
    <t>农贵平</t>
  </si>
  <si>
    <t>被辞退</t>
  </si>
  <si>
    <t>张永铨</t>
  </si>
  <si>
    <t>李宗顺</t>
  </si>
  <si>
    <t>王永红</t>
  </si>
  <si>
    <t>覃家乐</t>
  </si>
  <si>
    <t>粟尘慧</t>
  </si>
  <si>
    <t>李慧</t>
  </si>
  <si>
    <t>上班太远</t>
  </si>
  <si>
    <t>莫军源</t>
  </si>
  <si>
    <t>陈广权</t>
  </si>
  <si>
    <t>爷爷身休不好，需要回家照顾</t>
  </si>
  <si>
    <t>廖百强</t>
  </si>
  <si>
    <t>车间太热</t>
  </si>
  <si>
    <t>梁亚东</t>
  </si>
  <si>
    <t>冯赵彬</t>
  </si>
  <si>
    <t>辞退</t>
  </si>
  <si>
    <t>陆清波</t>
  </si>
  <si>
    <t>缪国喜</t>
  </si>
  <si>
    <t>天气热加班时间长</t>
  </si>
  <si>
    <t>杨乾江</t>
  </si>
  <si>
    <t>李孔月</t>
  </si>
  <si>
    <t>自离--中介代办</t>
  </si>
  <si>
    <t>冯超</t>
  </si>
  <si>
    <t>家中有事</t>
  </si>
  <si>
    <t>韦显颖</t>
  </si>
  <si>
    <t>天气太热</t>
  </si>
  <si>
    <t>商方宝</t>
  </si>
  <si>
    <t>袁仕涛</t>
  </si>
  <si>
    <t>袁克振</t>
  </si>
  <si>
    <t>冯瑞棠</t>
  </si>
  <si>
    <t>常冬志</t>
  </si>
  <si>
    <t>黄皓翔</t>
  </si>
  <si>
    <t>没有原因</t>
  </si>
  <si>
    <t>邹少勇</t>
  </si>
  <si>
    <t>崔贺</t>
  </si>
  <si>
    <t>杨孚亮</t>
  </si>
  <si>
    <t>郑家埔</t>
  </si>
  <si>
    <t>韦光日</t>
  </si>
  <si>
    <t>黄学礼</t>
  </si>
  <si>
    <t>不适应</t>
  </si>
  <si>
    <t>黄剑科</t>
  </si>
  <si>
    <t>个人</t>
  </si>
  <si>
    <t>莫荣基</t>
  </si>
  <si>
    <t>段坤</t>
  </si>
  <si>
    <t>徐辉勇</t>
  </si>
  <si>
    <t>身体不适</t>
  </si>
  <si>
    <t>伍章林</t>
  </si>
  <si>
    <t>曾维生</t>
  </si>
  <si>
    <t>顾慎星</t>
  </si>
  <si>
    <t>家中有事，时间较长无法请假</t>
  </si>
  <si>
    <t>毛作贵</t>
  </si>
  <si>
    <t>老婆预产期到了回家</t>
  </si>
  <si>
    <t>伍俊杰1</t>
  </si>
  <si>
    <t>何云赣</t>
  </si>
  <si>
    <t>陈耀森</t>
  </si>
  <si>
    <t>张强亮</t>
  </si>
  <si>
    <t>林永娟</t>
  </si>
  <si>
    <t>郑海明</t>
  </si>
  <si>
    <t>孩子要高考</t>
  </si>
  <si>
    <t>冯润德</t>
  </si>
  <si>
    <t>刘强1</t>
  </si>
  <si>
    <t>罗世南</t>
  </si>
  <si>
    <t>王文祥</t>
  </si>
  <si>
    <t>事情太多回老家</t>
  </si>
  <si>
    <t>容颜婷</t>
  </si>
  <si>
    <t>彭家乐</t>
  </si>
  <si>
    <t>邓耀垲</t>
  </si>
  <si>
    <t>赵霄宇</t>
  </si>
  <si>
    <t>赵思博</t>
  </si>
  <si>
    <t>占磊</t>
  </si>
  <si>
    <t>工作身材不适</t>
  </si>
  <si>
    <t>王红坡</t>
  </si>
  <si>
    <t>厂区太多，调动太多</t>
  </si>
  <si>
    <t>姚清杰</t>
  </si>
  <si>
    <t>韩祖安</t>
  </si>
  <si>
    <t>李万群</t>
  </si>
  <si>
    <t>有事要回家</t>
  </si>
  <si>
    <t>何宗平</t>
  </si>
  <si>
    <t>韦自有</t>
  </si>
  <si>
    <t>潘晋宇</t>
  </si>
  <si>
    <t>工作环境高温，降薪等原因</t>
  </si>
  <si>
    <t>宋开佳</t>
  </si>
  <si>
    <t>黄月娟</t>
  </si>
  <si>
    <t>张锡猛</t>
  </si>
  <si>
    <t>卢明培</t>
  </si>
  <si>
    <t>天气热</t>
  </si>
  <si>
    <t>卢星锋</t>
  </si>
  <si>
    <t>张鹏2</t>
  </si>
  <si>
    <t>调动</t>
  </si>
  <si>
    <t>李磊2</t>
  </si>
  <si>
    <t>母亲身体不好，住院</t>
  </si>
  <si>
    <t>林正昌</t>
  </si>
  <si>
    <t>林淋</t>
  </si>
  <si>
    <t>家庭矛盾要回去处理</t>
  </si>
  <si>
    <t>梁金霞</t>
  </si>
  <si>
    <t>卢东焱</t>
  </si>
  <si>
    <t>转钳工</t>
  </si>
  <si>
    <t>李亚州</t>
  </si>
  <si>
    <t>梁基堂</t>
  </si>
  <si>
    <t>黎锡源</t>
  </si>
  <si>
    <t>王战</t>
  </si>
  <si>
    <t>吴中健</t>
  </si>
  <si>
    <t>周崚燊</t>
  </si>
  <si>
    <t>侯裕烟</t>
  </si>
  <si>
    <t>冉雪芳</t>
  </si>
  <si>
    <t>黄建谋</t>
  </si>
  <si>
    <t>李慧清</t>
  </si>
  <si>
    <t>钟道善</t>
  </si>
  <si>
    <t>林丽民</t>
  </si>
  <si>
    <t>李威</t>
  </si>
  <si>
    <t>张勇波</t>
  </si>
  <si>
    <t>罗著水</t>
  </si>
  <si>
    <t>天气热，高空作业</t>
  </si>
  <si>
    <t>张良荣</t>
  </si>
  <si>
    <t>接受不了工作环境</t>
  </si>
  <si>
    <t>李房林</t>
  </si>
  <si>
    <t>严来全</t>
  </si>
  <si>
    <t>胡振源</t>
  </si>
  <si>
    <t>陈国休</t>
  </si>
  <si>
    <t>个人身体原因</t>
  </si>
  <si>
    <t>施桂坚</t>
  </si>
  <si>
    <t>不想干</t>
  </si>
  <si>
    <t>刘正武</t>
  </si>
  <si>
    <t>身体皮肤过敏，需要治病</t>
  </si>
  <si>
    <t>龙凤</t>
  </si>
  <si>
    <t>梁永可</t>
  </si>
  <si>
    <t>无法适应工作强度，找到新工作。</t>
  </si>
  <si>
    <t>张福民</t>
  </si>
  <si>
    <t>本人身体不适应工作环境</t>
  </si>
  <si>
    <t>黄家成</t>
  </si>
  <si>
    <t>杜家豪</t>
  </si>
  <si>
    <t>陈杰烽</t>
  </si>
  <si>
    <t>赵伟伟</t>
  </si>
  <si>
    <t>伍龙</t>
  </si>
  <si>
    <t>跑路了，中介代办</t>
  </si>
  <si>
    <t>顾学强</t>
  </si>
  <si>
    <t>张笑千</t>
  </si>
  <si>
    <t>周东旭</t>
  </si>
  <si>
    <t>回家民兵训练</t>
  </si>
  <si>
    <t>刘玲</t>
  </si>
  <si>
    <t>陈荣</t>
  </si>
  <si>
    <t>安秋怂</t>
  </si>
  <si>
    <t>陆建友</t>
  </si>
  <si>
    <t>何克腾</t>
  </si>
  <si>
    <t>雷会龙</t>
  </si>
  <si>
    <t>王昌金</t>
  </si>
  <si>
    <t>郑俊鹏</t>
  </si>
  <si>
    <t>王兵飞</t>
  </si>
  <si>
    <t>郭雨锋</t>
  </si>
  <si>
    <t>吴岳余</t>
  </si>
  <si>
    <t>黄志坤</t>
  </si>
  <si>
    <t>覃一恒</t>
  </si>
  <si>
    <t>黄志华</t>
  </si>
  <si>
    <t>练晓锋</t>
  </si>
  <si>
    <t>开除</t>
  </si>
  <si>
    <t>杨朋飞</t>
  </si>
  <si>
    <t>家里有急事</t>
  </si>
  <si>
    <t>韦俊荣</t>
  </si>
  <si>
    <t>韦晋彬</t>
  </si>
  <si>
    <t>李广川</t>
  </si>
  <si>
    <t>卢东圣</t>
  </si>
  <si>
    <t>白里正</t>
  </si>
  <si>
    <t>白子古</t>
  </si>
  <si>
    <t>陈东辉</t>
  </si>
  <si>
    <t>蒙周</t>
  </si>
  <si>
    <t>陈永万</t>
  </si>
  <si>
    <t>赵才波</t>
  </si>
  <si>
    <t>薛观荣</t>
  </si>
  <si>
    <t>文楚吉</t>
  </si>
  <si>
    <t>肖亮</t>
  </si>
  <si>
    <t>环境不适应</t>
  </si>
  <si>
    <t>杨仲豪</t>
  </si>
  <si>
    <t>陈宜林</t>
  </si>
  <si>
    <t>自离</t>
  </si>
  <si>
    <t>彭勃</t>
  </si>
  <si>
    <t>张扬</t>
  </si>
  <si>
    <t>钟杰</t>
  </si>
  <si>
    <t>廖永超</t>
  </si>
  <si>
    <t>廖军宏</t>
  </si>
  <si>
    <t>张成</t>
  </si>
  <si>
    <t>林伟</t>
  </si>
  <si>
    <t>刘建世</t>
  </si>
  <si>
    <t>位申奥</t>
  </si>
  <si>
    <t>谭卓越</t>
  </si>
  <si>
    <t>家里有事，物料问题太多，需改善</t>
  </si>
  <si>
    <t>兰远平</t>
  </si>
  <si>
    <t>周畅</t>
  </si>
  <si>
    <t>黎东兰</t>
  </si>
  <si>
    <t>曹洪铭</t>
  </si>
  <si>
    <t>谭海兰</t>
  </si>
  <si>
    <t>梁迪胜</t>
  </si>
  <si>
    <t>杨超仁</t>
  </si>
  <si>
    <t>想回家</t>
  </si>
  <si>
    <t>陈雅进</t>
  </si>
  <si>
    <t>陈峰</t>
  </si>
  <si>
    <t>刘权贤</t>
  </si>
  <si>
    <t>李永青</t>
  </si>
  <si>
    <t>陈全云</t>
  </si>
  <si>
    <t>自离---未报到/0工时</t>
  </si>
  <si>
    <t>不胜任工作</t>
  </si>
  <si>
    <t>唐立兴</t>
  </si>
  <si>
    <t>技术偏差</t>
  </si>
  <si>
    <t>有事回家深圳</t>
  </si>
  <si>
    <t>车间太热，一期五栋</t>
  </si>
  <si>
    <t>工作不适应，反馈效率不达标，人员认为不匹配，不接受科室的调整</t>
  </si>
  <si>
    <t>无法胜任</t>
  </si>
  <si>
    <t>自离，中介代办</t>
  </si>
  <si>
    <t>曾雄鹏</t>
  </si>
  <si>
    <t>区焯伦</t>
  </si>
  <si>
    <t>钟昊峰</t>
  </si>
  <si>
    <t>不想做，不合适</t>
  </si>
  <si>
    <t>自身原因，不适应</t>
  </si>
  <si>
    <t>工作岗位不符合</t>
  </si>
  <si>
    <t>自离，宿舍问题</t>
  </si>
  <si>
    <t>郑嘉威</t>
  </si>
  <si>
    <t>调岗</t>
  </si>
  <si>
    <t>郑广森</t>
  </si>
  <si>
    <t>张杰辉</t>
  </si>
  <si>
    <t>何晓涛</t>
  </si>
  <si>
    <t>蒙万成</t>
  </si>
  <si>
    <t>覃江远</t>
  </si>
  <si>
    <t>周冬旺</t>
  </si>
  <si>
    <t>陆俪</t>
  </si>
  <si>
    <t>庞利军</t>
  </si>
  <si>
    <t>潘剑</t>
  </si>
  <si>
    <t>覃振峰</t>
  </si>
  <si>
    <t>家里有事要回家</t>
  </si>
  <si>
    <t>陈鹏1</t>
  </si>
  <si>
    <t>出差现场离职</t>
  </si>
  <si>
    <t>孙育</t>
  </si>
  <si>
    <t>临时工转正</t>
  </si>
  <si>
    <t>赵时锋</t>
  </si>
  <si>
    <t>回家照顾病人</t>
  </si>
  <si>
    <t>孙晓春</t>
  </si>
  <si>
    <t>工价调整影响</t>
  </si>
  <si>
    <t>中介矛盾，群里吵架</t>
  </si>
  <si>
    <t>林家森</t>
  </si>
  <si>
    <t>陈成</t>
  </si>
  <si>
    <t>周小峰</t>
  </si>
  <si>
    <t>工作变动</t>
  </si>
  <si>
    <t>曹树坤</t>
  </si>
  <si>
    <t>李景信</t>
  </si>
  <si>
    <t>家人生病，需要回家照顾</t>
  </si>
  <si>
    <t>司翔云</t>
  </si>
  <si>
    <t>莫敏秋</t>
  </si>
  <si>
    <t>刘光</t>
  </si>
  <si>
    <t>张肖凯</t>
  </si>
  <si>
    <t>无法适应环境</t>
  </si>
  <si>
    <t>薛志永</t>
  </si>
  <si>
    <t>家里有事需要回家</t>
  </si>
  <si>
    <t>王海贤</t>
  </si>
  <si>
    <t>王跃鑫</t>
  </si>
  <si>
    <t>善道物流</t>
  </si>
  <si>
    <t>少发工资</t>
  </si>
  <si>
    <t>罗凤祥</t>
  </si>
  <si>
    <t>罗建祥</t>
  </si>
  <si>
    <t>吴伟伟</t>
  </si>
  <si>
    <t>人个有事</t>
  </si>
  <si>
    <t>杜军</t>
  </si>
  <si>
    <t>身体原因</t>
  </si>
  <si>
    <t>周良军</t>
  </si>
  <si>
    <t>不想做了</t>
  </si>
  <si>
    <t>黄耀全</t>
  </si>
  <si>
    <t>上班强度太大，对工位不熟悉</t>
  </si>
  <si>
    <t>金映红</t>
  </si>
  <si>
    <t>谢敬文</t>
  </si>
  <si>
    <t>回学校</t>
  </si>
  <si>
    <t>邵文龙</t>
  </si>
  <si>
    <t>太热了，身休不适</t>
  </si>
  <si>
    <t>韦礼德</t>
  </si>
  <si>
    <t>何兴章</t>
  </si>
  <si>
    <t>家里有喜</t>
  </si>
  <si>
    <t>吴志全</t>
  </si>
  <si>
    <t>有事办理</t>
  </si>
  <si>
    <t>宋家浤</t>
  </si>
  <si>
    <t>宋荣法</t>
  </si>
  <si>
    <t>孙伟</t>
  </si>
  <si>
    <t>回老家办事</t>
  </si>
  <si>
    <t>和志君</t>
  </si>
  <si>
    <t>谭文明</t>
  </si>
  <si>
    <t>不愿意去鹤山、莲塘</t>
  </si>
  <si>
    <t>吴世强</t>
  </si>
  <si>
    <t>陈积海</t>
  </si>
  <si>
    <t>宋恩凡</t>
  </si>
  <si>
    <t>张贵荣</t>
  </si>
  <si>
    <t>因事离职</t>
  </si>
  <si>
    <t>彭旭</t>
  </si>
  <si>
    <t>唐万川</t>
  </si>
  <si>
    <t>项目完成</t>
  </si>
  <si>
    <t>孙君卓</t>
  </si>
  <si>
    <t>孙幸福</t>
  </si>
  <si>
    <t>家里急需回家</t>
  </si>
  <si>
    <t>刘晏佐</t>
  </si>
  <si>
    <t>杨远翔</t>
  </si>
  <si>
    <t>家中爷爷生病</t>
  </si>
  <si>
    <t>刘韬</t>
  </si>
  <si>
    <t>杨绍江</t>
  </si>
  <si>
    <t>皮肤过敏</t>
  </si>
  <si>
    <t>潘约安</t>
  </si>
  <si>
    <t>孙自恒</t>
  </si>
  <si>
    <t>有急事回家</t>
  </si>
  <si>
    <t>王昊</t>
  </si>
  <si>
    <t>换工作</t>
  </si>
  <si>
    <t>莫海群</t>
  </si>
  <si>
    <t>不适应工作环境</t>
  </si>
  <si>
    <t>陈雨佳</t>
  </si>
  <si>
    <t>涂俊杰</t>
  </si>
  <si>
    <t>被降职</t>
  </si>
  <si>
    <t>吴述勤</t>
  </si>
  <si>
    <t>个人规划</t>
  </si>
  <si>
    <t>罗炜豪</t>
  </si>
  <si>
    <t>换个工作</t>
  </si>
  <si>
    <t>王行波</t>
  </si>
  <si>
    <t>吴胜群</t>
  </si>
  <si>
    <t>工作时间长，环境恶劣</t>
  </si>
  <si>
    <t>谢久富</t>
  </si>
  <si>
    <t>回老家发展</t>
  </si>
  <si>
    <t>李星宇</t>
  </si>
  <si>
    <t>另有发展</t>
  </si>
  <si>
    <t>调到一科，觉得学不到技术</t>
  </si>
  <si>
    <t>潘明宽</t>
  </si>
  <si>
    <t>回家照顾老人</t>
  </si>
  <si>
    <t>张朝建</t>
  </si>
  <si>
    <t>洪天祥</t>
  </si>
  <si>
    <t>杨超2</t>
  </si>
  <si>
    <t>由于身体原因离职</t>
  </si>
  <si>
    <t>腰痛</t>
  </si>
  <si>
    <t>杨海瑞</t>
  </si>
  <si>
    <t>老婆摔跤小孩子无人照看</t>
  </si>
  <si>
    <t>有家事</t>
  </si>
  <si>
    <t>降我工价不接受</t>
  </si>
  <si>
    <t>回老家有事</t>
  </si>
  <si>
    <t>温度太高，身休不适</t>
  </si>
  <si>
    <t>找到新的工作</t>
  </si>
  <si>
    <t>不适合工作岗位</t>
  </si>
  <si>
    <t>个人能力和岗位不匹配</t>
  </si>
  <si>
    <t>被开除</t>
  </si>
  <si>
    <t>厂内温度不适</t>
  </si>
  <si>
    <t>不做了太累了</t>
  </si>
  <si>
    <t>甘胜海</t>
  </si>
  <si>
    <t>苏明明</t>
  </si>
  <si>
    <t>石黄</t>
  </si>
  <si>
    <t>有事离职</t>
  </si>
  <si>
    <t>梁家龙</t>
  </si>
  <si>
    <t>林广海</t>
  </si>
  <si>
    <t>个人有事</t>
  </si>
  <si>
    <t>肖泽锋</t>
  </si>
  <si>
    <t>江晓印</t>
  </si>
  <si>
    <t>不做了</t>
  </si>
  <si>
    <t>张软才</t>
  </si>
  <si>
    <t>陈恒华</t>
  </si>
  <si>
    <t>李祥山</t>
  </si>
  <si>
    <t>黎文俊</t>
  </si>
  <si>
    <t>罗国柱</t>
  </si>
  <si>
    <t>陈前隆</t>
  </si>
  <si>
    <t>找到更好的工作</t>
  </si>
  <si>
    <t>周列刚</t>
  </si>
  <si>
    <t>上班时间长</t>
  </si>
  <si>
    <t>有更好的学习，工作计划变动</t>
  </si>
  <si>
    <t>郭壹凡</t>
  </si>
  <si>
    <t>工作地点太热了</t>
  </si>
  <si>
    <t>陈长路</t>
  </si>
  <si>
    <t>陈代毫</t>
  </si>
  <si>
    <t>汪建富</t>
  </si>
  <si>
    <t>李志平</t>
  </si>
  <si>
    <t>谢国发</t>
  </si>
  <si>
    <t>科室劝退；本人不接受换科室</t>
  </si>
  <si>
    <t>出差，自离</t>
  </si>
  <si>
    <t>钟雄伟</t>
  </si>
  <si>
    <t>江飞洋</t>
  </si>
  <si>
    <t>当时没有班上</t>
  </si>
  <si>
    <t>熊安华</t>
  </si>
  <si>
    <t>久来米</t>
  </si>
  <si>
    <t>前期没物料 无法安排正常出勤</t>
  </si>
  <si>
    <t>李军均</t>
  </si>
  <si>
    <t>伍永祥</t>
  </si>
  <si>
    <t>李俊杰</t>
  </si>
  <si>
    <t>优和</t>
  </si>
  <si>
    <t>人员上工第二天大工变中工无法接受离职，手上刚好还有一个长期工offer</t>
  </si>
  <si>
    <t>刘锋</t>
  </si>
  <si>
    <t>赵光兵</t>
  </si>
  <si>
    <t>刘争</t>
  </si>
  <si>
    <t>客观因素</t>
  </si>
  <si>
    <t>要求高，压力大</t>
  </si>
  <si>
    <t>马力</t>
  </si>
  <si>
    <t>强度大不适应</t>
  </si>
  <si>
    <t>宋永国</t>
  </si>
  <si>
    <t>李进</t>
  </si>
  <si>
    <t>李嘉</t>
  </si>
  <si>
    <t>李泽昆</t>
  </si>
  <si>
    <t>石健强</t>
  </si>
  <si>
    <t>0工时自离</t>
  </si>
  <si>
    <t>钱益民</t>
  </si>
  <si>
    <t>伙食不习惯</t>
  </si>
  <si>
    <t>汪志成</t>
  </si>
  <si>
    <t>罗皓</t>
  </si>
  <si>
    <t>唐途</t>
  </si>
  <si>
    <t>降工种 不接受离职</t>
  </si>
  <si>
    <t>张建军</t>
  </si>
  <si>
    <t>赵文道</t>
  </si>
  <si>
    <t>降工种</t>
  </si>
  <si>
    <t>易高伟</t>
  </si>
  <si>
    <t>想找长期的</t>
  </si>
  <si>
    <t>王春林</t>
  </si>
  <si>
    <t>张建涛</t>
  </si>
  <si>
    <t>黄敏</t>
  </si>
  <si>
    <t>鲁金金</t>
  </si>
  <si>
    <t>刚入职不想花太多钱配工具</t>
  </si>
  <si>
    <t>周元杰</t>
  </si>
  <si>
    <t>面试通过的工种不接受</t>
  </si>
  <si>
    <t>蒋松城</t>
  </si>
  <si>
    <t>邓雪彬</t>
  </si>
  <si>
    <t>李兵</t>
  </si>
  <si>
    <t>被劝退</t>
  </si>
  <si>
    <t>王方</t>
  </si>
  <si>
    <t>王艺</t>
  </si>
  <si>
    <t>胡启顺</t>
  </si>
  <si>
    <t>洪波</t>
  </si>
  <si>
    <t>晏猛</t>
  </si>
  <si>
    <t>周俊安</t>
  </si>
  <si>
    <t>黄凯</t>
  </si>
  <si>
    <t>杨万山</t>
  </si>
  <si>
    <t>强度太高</t>
  </si>
  <si>
    <t>赖伟</t>
  </si>
  <si>
    <t>生病</t>
  </si>
  <si>
    <t>奚锋</t>
  </si>
  <si>
    <t>张鹏翼</t>
  </si>
  <si>
    <t>被反工，义务反工 离职</t>
  </si>
  <si>
    <t>韦汉武</t>
  </si>
  <si>
    <t>速度跟不上，怕被干掉 申请离职</t>
  </si>
  <si>
    <t>胡昆</t>
  </si>
  <si>
    <t>其他员工宿舍吸烟，换不了宿舍还未正式上工选择离职</t>
  </si>
  <si>
    <t>袁浩</t>
  </si>
  <si>
    <t>刘洪</t>
  </si>
  <si>
    <t>加班强度高</t>
  </si>
  <si>
    <t>彭涛</t>
  </si>
  <si>
    <t>罗长森</t>
  </si>
  <si>
    <t>龙涛</t>
  </si>
  <si>
    <t>老人摔倒，需要回家照顾</t>
  </si>
  <si>
    <t>张海军</t>
  </si>
  <si>
    <t>唐颖</t>
  </si>
  <si>
    <t>彭映千</t>
  </si>
  <si>
    <t>温度太高</t>
  </si>
  <si>
    <t>冯平</t>
  </si>
  <si>
    <t>陈炳圳</t>
  </si>
  <si>
    <t>余晓涵</t>
  </si>
  <si>
    <t>凡贵</t>
  </si>
  <si>
    <t>肖军</t>
  </si>
  <si>
    <t>杨德彬</t>
  </si>
  <si>
    <t>找到其他</t>
  </si>
  <si>
    <t>腿受伤了 不好一直请假</t>
  </si>
  <si>
    <t>钟泽伟</t>
  </si>
  <si>
    <t>张文</t>
  </si>
  <si>
    <t>徐梦</t>
  </si>
  <si>
    <t>吉小波</t>
  </si>
  <si>
    <t>家里有事需要回去处理</t>
  </si>
  <si>
    <t>范艳波</t>
  </si>
  <si>
    <t>潘超</t>
  </si>
  <si>
    <t>同创凯宏</t>
  </si>
  <si>
    <t>黄森林</t>
  </si>
  <si>
    <t>钳工大工 装配技能不足，不会看图纸，简单的零部件错装三次，无法按要求完成工作任务，需求降小工 本人不同意
处理方式:本人6/9号提出离职</t>
  </si>
  <si>
    <t>家里事需要回去老家处理</t>
  </si>
  <si>
    <t>应家里有事，今天提出周四（6月11日）要离职</t>
  </si>
  <si>
    <t>王苗苗</t>
  </si>
  <si>
    <t>周健康</t>
  </si>
  <si>
    <t>任阳</t>
  </si>
  <si>
    <t>王建华</t>
  </si>
  <si>
    <t>王凯2</t>
  </si>
  <si>
    <t>高信富</t>
  </si>
  <si>
    <t>今日报道，自愿放弃，无工时</t>
  </si>
  <si>
    <t>白敏</t>
  </si>
  <si>
    <t>家里有急事，急需处理</t>
  </si>
  <si>
    <t>个人能力与工种不匹配，不愿意降工种，强行自离</t>
  </si>
  <si>
    <t>个人能力与工种不匹配，不愿意降工种，无工时</t>
  </si>
  <si>
    <t>王永乐</t>
  </si>
  <si>
    <t>刘启冬</t>
  </si>
  <si>
    <t>陈奕作</t>
  </si>
  <si>
    <t>郭超</t>
  </si>
  <si>
    <t>家中有急事，3号开始请假，今天说处理不了需要离职</t>
  </si>
  <si>
    <t>雷晨</t>
  </si>
  <si>
    <t>周琪钧</t>
  </si>
  <si>
    <t>张兆坤</t>
  </si>
  <si>
    <t>雷雁斌</t>
  </si>
  <si>
    <t>张雄</t>
  </si>
  <si>
    <t>何文彬</t>
  </si>
  <si>
    <t>吴红波</t>
  </si>
  <si>
    <t>黄建华</t>
  </si>
  <si>
    <t>兰总理</t>
  </si>
  <si>
    <t>罗宝宁</t>
  </si>
  <si>
    <t>王郑凯</t>
  </si>
  <si>
    <t>徐万智</t>
  </si>
  <si>
    <t>个人原因回家处理事情</t>
  </si>
  <si>
    <t>曾忠发</t>
  </si>
  <si>
    <t>李自超</t>
  </si>
  <si>
    <t>报道后只上一天，后提出离职，无工时</t>
  </si>
  <si>
    <t>当月在职天数</t>
  </si>
  <si>
    <t>杨连超</t>
  </si>
  <si>
    <t>宁智国</t>
  </si>
  <si>
    <t>黄远奇</t>
  </si>
  <si>
    <t>李海</t>
  </si>
  <si>
    <t>李永利</t>
  </si>
  <si>
    <t>赵桂英</t>
  </si>
  <si>
    <t>傅伟洲</t>
  </si>
  <si>
    <t>林小军</t>
  </si>
  <si>
    <t>赵国阳</t>
  </si>
  <si>
    <t>陈车喜</t>
  </si>
  <si>
    <t>聚宏</t>
  </si>
  <si>
    <t>郑锦铭</t>
  </si>
  <si>
    <t>叶昌福</t>
  </si>
  <si>
    <t>杨祖标</t>
  </si>
  <si>
    <t>陈凤文</t>
  </si>
  <si>
    <t>李文1</t>
  </si>
  <si>
    <t>宾楚锐</t>
  </si>
  <si>
    <t>领冠</t>
  </si>
  <si>
    <t>谢昌宏</t>
  </si>
  <si>
    <t>姚武锋</t>
  </si>
  <si>
    <t>杨伟</t>
  </si>
  <si>
    <t>祝立</t>
  </si>
  <si>
    <t>彭罗金</t>
  </si>
  <si>
    <t>杨明善</t>
  </si>
  <si>
    <t>帅祥辉</t>
  </si>
  <si>
    <t>甘家成</t>
  </si>
  <si>
    <t>蔡昌贵</t>
  </si>
  <si>
    <t>姚熙</t>
  </si>
  <si>
    <t>邓国坚</t>
  </si>
  <si>
    <t>代伟伟</t>
  </si>
  <si>
    <t>黄文伟</t>
  </si>
  <si>
    <t>覃开树</t>
  </si>
  <si>
    <t>唐华冰</t>
  </si>
  <si>
    <t>卢仕满</t>
  </si>
  <si>
    <t>雷绍坚</t>
  </si>
  <si>
    <t>袁明飞</t>
  </si>
  <si>
    <t>刘伟1</t>
  </si>
  <si>
    <t>周长辉</t>
  </si>
  <si>
    <t>叶永乾</t>
  </si>
  <si>
    <t>张文静</t>
  </si>
  <si>
    <t>唐宗贵</t>
  </si>
  <si>
    <t>林愉</t>
  </si>
  <si>
    <t>江熙</t>
  </si>
  <si>
    <t>陈昌森</t>
  </si>
  <si>
    <t>蒋盛海</t>
  </si>
  <si>
    <t>陶贤剑</t>
  </si>
  <si>
    <t>唐郁教</t>
  </si>
  <si>
    <t>江元荣</t>
  </si>
  <si>
    <t>韦均怀</t>
  </si>
  <si>
    <t>黄善顶</t>
  </si>
  <si>
    <t>陈俊辉1</t>
  </si>
  <si>
    <t>陈观霖</t>
  </si>
  <si>
    <t>0063</t>
  </si>
  <si>
    <t>张涛1</t>
  </si>
  <si>
    <t>彭凯文</t>
  </si>
  <si>
    <t>何勇兵</t>
  </si>
  <si>
    <t>程天永</t>
  </si>
  <si>
    <t>罗发</t>
  </si>
  <si>
    <t>高志豪</t>
  </si>
  <si>
    <t>覃苏明</t>
  </si>
  <si>
    <t>邱世洪</t>
  </si>
  <si>
    <t>段鹏</t>
  </si>
  <si>
    <t>岑立定</t>
  </si>
  <si>
    <t>温志华</t>
  </si>
  <si>
    <t>胡胜达</t>
  </si>
  <si>
    <t>郑海辉</t>
  </si>
  <si>
    <t>何镇</t>
  </si>
  <si>
    <t>岑健祥</t>
  </si>
  <si>
    <t>黄茂盛</t>
  </si>
  <si>
    <t>甘勇</t>
  </si>
  <si>
    <t>李闯</t>
  </si>
  <si>
    <t>黄爵桂</t>
  </si>
  <si>
    <t>蔡毅太</t>
  </si>
  <si>
    <t>雷松</t>
  </si>
  <si>
    <t>欧阳明广</t>
  </si>
  <si>
    <t>罗佳鹏</t>
  </si>
  <si>
    <t>覃文森</t>
  </si>
  <si>
    <t>方靖尔</t>
  </si>
  <si>
    <t>劳桂秋</t>
  </si>
  <si>
    <t>吕谆</t>
  </si>
  <si>
    <t>陈美玲</t>
  </si>
  <si>
    <t>马继虎</t>
  </si>
  <si>
    <t>邬振斌</t>
  </si>
  <si>
    <t>唐思恒</t>
  </si>
  <si>
    <t>韦煜甲</t>
  </si>
  <si>
    <t>陈昌隆</t>
  </si>
  <si>
    <t>唐瑞营</t>
  </si>
  <si>
    <t>梁晋</t>
  </si>
  <si>
    <t>梁羽</t>
  </si>
  <si>
    <t>余宝</t>
  </si>
  <si>
    <t>黄兼雨</t>
  </si>
  <si>
    <t>石凯敏</t>
  </si>
  <si>
    <t>宋聪扬</t>
  </si>
  <si>
    <t>赵东</t>
  </si>
  <si>
    <t>钟志雄</t>
  </si>
  <si>
    <t>刘学成</t>
  </si>
  <si>
    <t>李强1</t>
  </si>
  <si>
    <t>苏金镇</t>
  </si>
  <si>
    <t>杨干栋</t>
  </si>
  <si>
    <t>梁雄玉</t>
  </si>
  <si>
    <t>关洪福</t>
  </si>
  <si>
    <t>林永东</t>
  </si>
  <si>
    <t>张其帅</t>
  </si>
  <si>
    <t>许容铭</t>
  </si>
  <si>
    <t>陈炳鑫</t>
  </si>
  <si>
    <t>卢富明</t>
  </si>
  <si>
    <t>吴清健</t>
  </si>
  <si>
    <t>杜尚骏</t>
  </si>
  <si>
    <t>冯仕南</t>
  </si>
  <si>
    <t>温卓彬</t>
  </si>
  <si>
    <t>陈辉业</t>
  </si>
  <si>
    <t>张鹏1</t>
  </si>
  <si>
    <t>吴富豪</t>
  </si>
  <si>
    <t>谭旭</t>
  </si>
  <si>
    <t>唐志豪</t>
  </si>
  <si>
    <t>吴凯鑫</t>
  </si>
  <si>
    <t>韦海富</t>
  </si>
  <si>
    <t>郑锦富</t>
  </si>
  <si>
    <t>陈创文</t>
  </si>
  <si>
    <t>陈达文</t>
  </si>
  <si>
    <t>周华艳</t>
  </si>
  <si>
    <t>田荣活</t>
  </si>
  <si>
    <t>杨永安</t>
  </si>
  <si>
    <t>黄奇</t>
  </si>
  <si>
    <t>葛修何</t>
  </si>
  <si>
    <t>曾海辉</t>
  </si>
  <si>
    <t>孙旖</t>
  </si>
  <si>
    <t>周长雄</t>
  </si>
  <si>
    <t>邝文青</t>
  </si>
  <si>
    <t>李家兴1</t>
  </si>
  <si>
    <t>曹志刚</t>
  </si>
  <si>
    <t>符运彬</t>
  </si>
  <si>
    <t>黄桂成</t>
  </si>
  <si>
    <t>温其华</t>
  </si>
  <si>
    <t>蒙卡坤</t>
  </si>
  <si>
    <t>傅旭辉</t>
  </si>
  <si>
    <t>李文华</t>
  </si>
  <si>
    <t>刘喜</t>
  </si>
  <si>
    <t>陈庆森</t>
  </si>
  <si>
    <t>江善吉</t>
  </si>
  <si>
    <t>邓洪志</t>
  </si>
  <si>
    <t>麦劲松</t>
  </si>
  <si>
    <t>陈唐剑</t>
  </si>
  <si>
    <t>李波1</t>
  </si>
  <si>
    <t>海联</t>
  </si>
  <si>
    <t>覃鸿华</t>
  </si>
  <si>
    <t>方振斌</t>
  </si>
  <si>
    <t>方崇</t>
  </si>
  <si>
    <t>黄志浩</t>
  </si>
  <si>
    <t>张斌1</t>
  </si>
  <si>
    <t>高永灿</t>
  </si>
  <si>
    <t>吴敏</t>
  </si>
  <si>
    <t>江华</t>
  </si>
  <si>
    <t>杨富恩</t>
  </si>
  <si>
    <t>陈业桥</t>
  </si>
  <si>
    <t>叶民</t>
  </si>
  <si>
    <t>苏宁</t>
  </si>
  <si>
    <t>李赛</t>
  </si>
  <si>
    <t>李耀成</t>
  </si>
  <si>
    <t>林坤豪</t>
  </si>
  <si>
    <t>林锦鸿</t>
  </si>
  <si>
    <t>朱军1</t>
  </si>
  <si>
    <t>胡冬生</t>
  </si>
  <si>
    <t>潘火坤</t>
  </si>
  <si>
    <t>韦才琰</t>
  </si>
  <si>
    <t>王成才</t>
  </si>
  <si>
    <t>孙博</t>
  </si>
  <si>
    <t>邓耀明</t>
  </si>
  <si>
    <t>钟建平</t>
  </si>
  <si>
    <t>叶绍龙</t>
  </si>
  <si>
    <t>朱沛尚</t>
  </si>
  <si>
    <t>唐茂林</t>
  </si>
  <si>
    <t>张腾飞</t>
  </si>
  <si>
    <t>张煜锐</t>
  </si>
  <si>
    <t>谭金明</t>
  </si>
  <si>
    <t>王计清</t>
  </si>
  <si>
    <t>阳帆</t>
  </si>
  <si>
    <t>雷鹏飞</t>
  </si>
  <si>
    <t>张大千</t>
  </si>
  <si>
    <t>舒广</t>
  </si>
  <si>
    <t>王宗辉</t>
  </si>
  <si>
    <t>胡坤明</t>
  </si>
  <si>
    <t>严顺勇</t>
  </si>
  <si>
    <t>赵建锋</t>
  </si>
  <si>
    <t>薛钰华</t>
  </si>
  <si>
    <t>林志荣</t>
  </si>
  <si>
    <t>陈万坚</t>
  </si>
  <si>
    <t>陶启强</t>
  </si>
  <si>
    <t>丁军伟</t>
  </si>
  <si>
    <t>谢月娇</t>
  </si>
  <si>
    <t>邝金雄</t>
  </si>
  <si>
    <t>凌玲</t>
  </si>
  <si>
    <t>周国伟</t>
  </si>
  <si>
    <t>徐文波</t>
  </si>
  <si>
    <t>饶先冰</t>
  </si>
  <si>
    <t>郑恩君</t>
  </si>
  <si>
    <t>吕彬</t>
  </si>
  <si>
    <t>黄存业</t>
  </si>
  <si>
    <t>陈福照</t>
  </si>
  <si>
    <t>梁洪元</t>
  </si>
  <si>
    <t>周晓龙</t>
  </si>
  <si>
    <t>张卫杰</t>
  </si>
  <si>
    <t>陈廷相</t>
  </si>
  <si>
    <t>胡伟才</t>
  </si>
  <si>
    <t>凌永华</t>
  </si>
  <si>
    <t>梁树基</t>
  </si>
  <si>
    <t>李翠婷</t>
  </si>
  <si>
    <t>梁方云</t>
  </si>
  <si>
    <t>江重铭</t>
  </si>
  <si>
    <t>孙志和</t>
  </si>
  <si>
    <t>吴世鹏</t>
  </si>
  <si>
    <t>冯东华</t>
  </si>
  <si>
    <t>龙飞来</t>
  </si>
  <si>
    <t>王长江</t>
  </si>
  <si>
    <t>苏锦泉</t>
  </si>
  <si>
    <t>高宫诚</t>
  </si>
  <si>
    <t>黎焯荣</t>
  </si>
  <si>
    <t>王铭辉</t>
  </si>
  <si>
    <t>孙朝锋</t>
  </si>
  <si>
    <t>李其松</t>
  </si>
  <si>
    <t>孙亚文</t>
  </si>
  <si>
    <t>邓勇刚</t>
  </si>
  <si>
    <t>吴更</t>
  </si>
  <si>
    <t>刘明虎</t>
  </si>
  <si>
    <t>汪俊刚</t>
  </si>
  <si>
    <t>焦汝荣</t>
  </si>
  <si>
    <t>陈强1</t>
  </si>
  <si>
    <t>劳东明</t>
  </si>
  <si>
    <t>谢克金</t>
  </si>
  <si>
    <t>李平年</t>
  </si>
  <si>
    <t>张家豪</t>
  </si>
  <si>
    <t>李金松</t>
  </si>
  <si>
    <t>徐畅</t>
  </si>
  <si>
    <t>吴秋实</t>
  </si>
  <si>
    <t>陈新华</t>
  </si>
  <si>
    <t>刘宇1</t>
  </si>
  <si>
    <t>冯艺怀</t>
  </si>
  <si>
    <t>张俊1</t>
  </si>
  <si>
    <t>李光明</t>
  </si>
  <si>
    <t>梁纯锋</t>
  </si>
  <si>
    <t>刘仕明</t>
  </si>
  <si>
    <t>李军1</t>
  </si>
  <si>
    <t>马健富</t>
  </si>
  <si>
    <t>俞星星</t>
  </si>
  <si>
    <t>李文浩</t>
  </si>
  <si>
    <t>覃天贵</t>
  </si>
  <si>
    <t>韦俊龙</t>
  </si>
  <si>
    <t>魏杰1</t>
  </si>
  <si>
    <t>李嘉涛</t>
  </si>
  <si>
    <t>宋志康</t>
  </si>
  <si>
    <t>梁炎秋</t>
  </si>
  <si>
    <t>胡锦帅</t>
  </si>
  <si>
    <t>王亮1</t>
  </si>
  <si>
    <t>刘小东</t>
  </si>
  <si>
    <t>叶石新</t>
  </si>
  <si>
    <t>谢子河</t>
  </si>
  <si>
    <t>覃红玲</t>
  </si>
  <si>
    <t>黎金桥</t>
  </si>
  <si>
    <t>张涛2</t>
  </si>
  <si>
    <t>杨云兵</t>
  </si>
  <si>
    <t>杨云超</t>
  </si>
  <si>
    <t>杨国军</t>
  </si>
  <si>
    <t>梁颖琪</t>
  </si>
  <si>
    <t>周本华</t>
  </si>
  <si>
    <t>张会涛</t>
  </si>
  <si>
    <t>张涛3</t>
  </si>
  <si>
    <t>阮炎</t>
  </si>
  <si>
    <t>苏崇康</t>
  </si>
  <si>
    <t>苏崇凯</t>
  </si>
  <si>
    <t>赵运秀</t>
  </si>
  <si>
    <t>普勇忠</t>
  </si>
  <si>
    <t>邱国强</t>
  </si>
  <si>
    <t>柏县林</t>
  </si>
  <si>
    <t>刘仁局</t>
  </si>
  <si>
    <t>李世龙</t>
  </si>
  <si>
    <t>曾阳阳</t>
  </si>
  <si>
    <t>梁洋海</t>
  </si>
  <si>
    <t>余龙</t>
  </si>
  <si>
    <t>王俊杰</t>
  </si>
  <si>
    <t>陆光兰</t>
  </si>
  <si>
    <t>吴代昌</t>
  </si>
  <si>
    <t>陈严龙</t>
  </si>
  <si>
    <t>吴伯凤</t>
  </si>
  <si>
    <t>于群</t>
  </si>
  <si>
    <t>卢西洪</t>
  </si>
  <si>
    <t>覃鸿露</t>
  </si>
  <si>
    <t>蒋旭光</t>
  </si>
  <si>
    <t>李谦</t>
  </si>
  <si>
    <t>翟青密</t>
  </si>
  <si>
    <t>陈国兵</t>
  </si>
  <si>
    <t>李国富</t>
  </si>
  <si>
    <t>陈文学</t>
  </si>
  <si>
    <t>蔡俊瑶</t>
  </si>
  <si>
    <t>崔秀强</t>
  </si>
  <si>
    <t>廖豪杰</t>
  </si>
  <si>
    <t>刘林高</t>
  </si>
  <si>
    <t>卢树活</t>
  </si>
  <si>
    <t>苏伟权</t>
  </si>
  <si>
    <t>谢茂隆</t>
  </si>
  <si>
    <t>黄祖坚</t>
  </si>
  <si>
    <t>李宣锦</t>
  </si>
  <si>
    <t>覃寒</t>
  </si>
  <si>
    <t>叶志峰</t>
  </si>
  <si>
    <t>廖科生</t>
  </si>
  <si>
    <t>陈成志</t>
  </si>
  <si>
    <t>李枫明</t>
  </si>
  <si>
    <t>朱森泽</t>
  </si>
  <si>
    <t>刘湛青</t>
  </si>
  <si>
    <t>李锦荣1</t>
  </si>
  <si>
    <t>林成林</t>
  </si>
  <si>
    <t>雷添明</t>
  </si>
  <si>
    <t>莫华洪</t>
  </si>
  <si>
    <t>姚想业</t>
  </si>
  <si>
    <t>何海波</t>
  </si>
  <si>
    <t>彭鹏</t>
  </si>
  <si>
    <t>张东</t>
  </si>
  <si>
    <t>陈志伟1</t>
  </si>
  <si>
    <t>梁海金</t>
  </si>
  <si>
    <t>刘雄</t>
  </si>
  <si>
    <t>岑金葵</t>
  </si>
  <si>
    <t>周会波</t>
  </si>
  <si>
    <t>黄磊1</t>
  </si>
  <si>
    <t>林德东</t>
  </si>
  <si>
    <t>龙洁</t>
  </si>
  <si>
    <t>申少南</t>
  </si>
  <si>
    <t>豆轲嘉</t>
  </si>
  <si>
    <t>马天涯</t>
  </si>
  <si>
    <t>韦明钊</t>
  </si>
  <si>
    <t>张建</t>
  </si>
  <si>
    <t>张淑婷</t>
  </si>
  <si>
    <t>龚健富</t>
  </si>
  <si>
    <t>邢二刚</t>
  </si>
  <si>
    <t>王伟栋</t>
  </si>
  <si>
    <t>陈叶旭</t>
  </si>
  <si>
    <t>韦东佺</t>
  </si>
  <si>
    <t>杨小芳</t>
  </si>
  <si>
    <t>李庆</t>
  </si>
  <si>
    <t>曾翠云</t>
  </si>
  <si>
    <t>刘园</t>
  </si>
  <si>
    <t>雷文俊</t>
  </si>
  <si>
    <t>周杰威</t>
  </si>
  <si>
    <t>邓忠浩</t>
  </si>
  <si>
    <t>石国爽</t>
  </si>
  <si>
    <t>周长北</t>
  </si>
  <si>
    <t>马佳豪</t>
  </si>
  <si>
    <t>谢东宏</t>
  </si>
  <si>
    <t>闫列锋</t>
  </si>
  <si>
    <t>熊豪</t>
  </si>
  <si>
    <t>羊红警</t>
  </si>
  <si>
    <t>李雯杰</t>
  </si>
  <si>
    <t>梁永盛</t>
  </si>
  <si>
    <t>陈建旭</t>
  </si>
  <si>
    <t>麦天全</t>
  </si>
  <si>
    <t>陀炳艺</t>
  </si>
  <si>
    <t>韦志令</t>
  </si>
  <si>
    <t>覃品东</t>
  </si>
  <si>
    <t>黎祖楼</t>
  </si>
  <si>
    <t>王河山</t>
  </si>
  <si>
    <t>邓超1</t>
  </si>
  <si>
    <t>张诗建</t>
  </si>
  <si>
    <t>郑尊照</t>
  </si>
  <si>
    <t>欧阳良安</t>
  </si>
  <si>
    <t>刘国敏</t>
  </si>
  <si>
    <t>于建民</t>
  </si>
  <si>
    <t>陈志伟2</t>
  </si>
  <si>
    <t>李月城</t>
  </si>
  <si>
    <t>梁文崧</t>
  </si>
  <si>
    <t>陈映泉</t>
  </si>
  <si>
    <t>孟疆远</t>
  </si>
  <si>
    <t>唐江来</t>
  </si>
  <si>
    <t>陀敬锋</t>
  </si>
  <si>
    <t>黎家辉</t>
  </si>
  <si>
    <t>黎祖辉</t>
  </si>
  <si>
    <t>黎伟添</t>
  </si>
  <si>
    <t>朱永久</t>
  </si>
  <si>
    <t>林凯</t>
  </si>
  <si>
    <t>胡贵熠</t>
  </si>
  <si>
    <t>黄海峰</t>
  </si>
  <si>
    <t>陈创建</t>
  </si>
  <si>
    <t>李堂美</t>
  </si>
  <si>
    <t>黄琪钦</t>
  </si>
  <si>
    <t>杨中伟</t>
  </si>
  <si>
    <t>李官太</t>
  </si>
  <si>
    <t>谭海诚</t>
  </si>
  <si>
    <t>李卓钊</t>
  </si>
  <si>
    <t>滕海</t>
  </si>
  <si>
    <t>李奇</t>
  </si>
  <si>
    <t>卢威龙</t>
  </si>
  <si>
    <t>曾祥</t>
  </si>
  <si>
    <t>资非</t>
  </si>
  <si>
    <t>田洪羊</t>
  </si>
  <si>
    <t>杨恒</t>
  </si>
  <si>
    <t>杨俊1</t>
  </si>
  <si>
    <t>陈明进</t>
  </si>
  <si>
    <t>朱建波</t>
  </si>
  <si>
    <t>何建东</t>
  </si>
  <si>
    <t>骆永海</t>
  </si>
  <si>
    <t>张孝</t>
  </si>
  <si>
    <t>张正前</t>
  </si>
  <si>
    <t>陀炳杰</t>
  </si>
  <si>
    <t>黄理赞</t>
  </si>
  <si>
    <t>廖助华</t>
  </si>
  <si>
    <t>吴开庆</t>
  </si>
  <si>
    <t>雷燕平</t>
  </si>
  <si>
    <t>杨养</t>
  </si>
  <si>
    <t>雷文文</t>
  </si>
  <si>
    <t>曹明亮</t>
  </si>
  <si>
    <t>邓瑶</t>
  </si>
  <si>
    <t>徐枫明</t>
  </si>
  <si>
    <t>于海强</t>
  </si>
  <si>
    <t>刘焕勇</t>
  </si>
  <si>
    <t>庞松然</t>
  </si>
  <si>
    <t>蒋赴明</t>
  </si>
  <si>
    <t>李文庭</t>
  </si>
  <si>
    <t>龙景成</t>
  </si>
  <si>
    <t>黄光福</t>
  </si>
  <si>
    <t>曾纪林</t>
  </si>
  <si>
    <t>陈永胜</t>
  </si>
  <si>
    <t>邱飞海</t>
  </si>
  <si>
    <t>石豫</t>
  </si>
  <si>
    <t>贲华导</t>
  </si>
  <si>
    <t>黄日金</t>
  </si>
  <si>
    <t>覃凤妮</t>
  </si>
  <si>
    <t>罗良家</t>
  </si>
  <si>
    <t>朱伟强</t>
  </si>
  <si>
    <t>卢树泽</t>
  </si>
  <si>
    <t>甘维霖</t>
  </si>
  <si>
    <t>覃昌华</t>
  </si>
  <si>
    <t>彭海军</t>
  </si>
  <si>
    <t>林运和</t>
  </si>
  <si>
    <t>尹朝辉</t>
  </si>
  <si>
    <t>周傲</t>
  </si>
  <si>
    <t>骆宗荣</t>
  </si>
  <si>
    <t>梁肇宝</t>
  </si>
  <si>
    <t>李佩</t>
  </si>
  <si>
    <t>罗欣</t>
  </si>
  <si>
    <t>何家亮</t>
  </si>
  <si>
    <t>张真浪</t>
  </si>
  <si>
    <t>甘瑞武</t>
  </si>
  <si>
    <t>文志全</t>
  </si>
  <si>
    <t>谭德志</t>
  </si>
  <si>
    <t>李团鑫</t>
  </si>
  <si>
    <t>黄博文</t>
  </si>
  <si>
    <t>刘朝润</t>
  </si>
  <si>
    <t>龙洵</t>
  </si>
  <si>
    <t>邹星星</t>
  </si>
  <si>
    <t>梁景盛</t>
  </si>
  <si>
    <t>刘天鹏</t>
  </si>
  <si>
    <t>赖开</t>
  </si>
  <si>
    <t>肖论双</t>
  </si>
  <si>
    <t>梁旗</t>
  </si>
  <si>
    <t>万伟胜</t>
  </si>
  <si>
    <t>李根栋</t>
  </si>
  <si>
    <t>黄桥山</t>
  </si>
  <si>
    <t>李保建</t>
  </si>
  <si>
    <t>方钱包</t>
  </si>
  <si>
    <t>何万珠</t>
  </si>
  <si>
    <t>周毫</t>
  </si>
  <si>
    <t>韦远运</t>
  </si>
  <si>
    <t>何迎兵</t>
  </si>
  <si>
    <t>黄忠宁</t>
  </si>
  <si>
    <t>岑健胜</t>
  </si>
  <si>
    <t>林威</t>
  </si>
  <si>
    <t>辉床妹</t>
  </si>
  <si>
    <t>钟燊均</t>
  </si>
  <si>
    <t>李明星1</t>
  </si>
  <si>
    <t>臧可</t>
  </si>
  <si>
    <t>王小兴</t>
  </si>
  <si>
    <t>李鸿怡</t>
  </si>
  <si>
    <t>杨秀江</t>
  </si>
  <si>
    <t>黄理兴</t>
  </si>
  <si>
    <t>邓波1</t>
  </si>
  <si>
    <t>黄瑶辉</t>
  </si>
  <si>
    <t>施元辛</t>
  </si>
  <si>
    <t>潘卫军</t>
  </si>
  <si>
    <t>潘进华</t>
  </si>
  <si>
    <t>王江涛</t>
  </si>
  <si>
    <t>梁英才</t>
  </si>
  <si>
    <t>陈佳旺</t>
  </si>
  <si>
    <t>王小建</t>
  </si>
  <si>
    <t>杨跃进</t>
  </si>
  <si>
    <t>陈军</t>
  </si>
  <si>
    <t>韩自然</t>
  </si>
  <si>
    <t>江添</t>
  </si>
  <si>
    <t>刘子昂</t>
  </si>
  <si>
    <t>郭锋</t>
  </si>
  <si>
    <t>郭丁荣</t>
  </si>
  <si>
    <t>梁运涛</t>
  </si>
  <si>
    <t>夏俊强</t>
  </si>
  <si>
    <t>范文桂</t>
  </si>
  <si>
    <t>唐小宝</t>
  </si>
  <si>
    <t>杨正梦</t>
  </si>
  <si>
    <t>刘光锋</t>
  </si>
  <si>
    <t>陈远</t>
  </si>
  <si>
    <t>黎昌楼</t>
  </si>
  <si>
    <t>莫茂杰</t>
  </si>
  <si>
    <t>黎忠达</t>
  </si>
  <si>
    <t>梁杰1</t>
  </si>
  <si>
    <t>巫怡智</t>
  </si>
  <si>
    <t>马士勇</t>
  </si>
  <si>
    <t>吴武明</t>
  </si>
  <si>
    <t>王赛威</t>
  </si>
  <si>
    <t>莫旭森</t>
  </si>
  <si>
    <t>张亚轮</t>
  </si>
  <si>
    <t>唐伯包</t>
  </si>
  <si>
    <t>单文韬</t>
  </si>
  <si>
    <t>徐火林</t>
  </si>
  <si>
    <t>庞镇海</t>
  </si>
  <si>
    <t>何敏继</t>
  </si>
  <si>
    <t>李光伟</t>
  </si>
  <si>
    <t>张松柱</t>
  </si>
  <si>
    <t>袁锦</t>
  </si>
  <si>
    <t>陈芳文</t>
  </si>
  <si>
    <t>李文灯</t>
  </si>
  <si>
    <t>杨朝雄</t>
  </si>
  <si>
    <t>周旭双</t>
  </si>
  <si>
    <t>邓绍润</t>
  </si>
  <si>
    <t>廖瑞欢</t>
  </si>
  <si>
    <t>张金勇</t>
  </si>
  <si>
    <t>谢瑛森</t>
  </si>
  <si>
    <t>陈开民</t>
  </si>
  <si>
    <t>陈其伦</t>
  </si>
  <si>
    <t>古文浩</t>
  </si>
  <si>
    <t>陈黎明</t>
  </si>
  <si>
    <t>颜家帅</t>
  </si>
  <si>
    <t>杨猛</t>
  </si>
  <si>
    <t>程勇</t>
  </si>
  <si>
    <t>梁建云</t>
  </si>
  <si>
    <t>朱同同</t>
  </si>
  <si>
    <t>全九州</t>
  </si>
  <si>
    <t>谢克宋</t>
  </si>
  <si>
    <t>刘辉</t>
  </si>
  <si>
    <t>李平1</t>
  </si>
  <si>
    <t>李健康</t>
  </si>
  <si>
    <t>李铭钜</t>
  </si>
  <si>
    <t>刘少龙</t>
  </si>
  <si>
    <t>李绢军</t>
  </si>
  <si>
    <t>莫立殿</t>
  </si>
  <si>
    <t>陆绍华</t>
  </si>
  <si>
    <t>龙玉林</t>
  </si>
  <si>
    <t>袁帅强</t>
  </si>
  <si>
    <t>谢树付</t>
  </si>
  <si>
    <t>廖瑞涛</t>
  </si>
  <si>
    <t>邵依锋</t>
  </si>
  <si>
    <t>陈焌毅</t>
  </si>
  <si>
    <t>韩明东</t>
  </si>
  <si>
    <t>黎祖标</t>
  </si>
  <si>
    <t>罗锐标</t>
  </si>
  <si>
    <t>何世梦</t>
  </si>
  <si>
    <t>江宝荣</t>
  </si>
  <si>
    <t>王泽强</t>
  </si>
  <si>
    <t>韩嘉浩</t>
  </si>
  <si>
    <t>邱胜荣</t>
  </si>
  <si>
    <t>陆安贤</t>
  </si>
  <si>
    <t>邹世康</t>
  </si>
  <si>
    <t>林员平</t>
  </si>
  <si>
    <t>曹玉建</t>
  </si>
  <si>
    <t>龙明金</t>
  </si>
  <si>
    <t>赵运良</t>
  </si>
  <si>
    <t>邱钦松</t>
  </si>
  <si>
    <t>张磊1</t>
  </si>
  <si>
    <t>叶尊永</t>
  </si>
  <si>
    <t>郑鹏</t>
  </si>
  <si>
    <t>梁海宇</t>
  </si>
  <si>
    <t>杜连明</t>
  </si>
  <si>
    <t>李东文</t>
  </si>
  <si>
    <t>李文周</t>
  </si>
  <si>
    <t>覃有义</t>
  </si>
  <si>
    <t>陆云峰</t>
  </si>
  <si>
    <t>杨德健</t>
  </si>
  <si>
    <t>郭全彪</t>
  </si>
  <si>
    <t>罗忠义</t>
  </si>
  <si>
    <t>龚东明</t>
  </si>
  <si>
    <t>陈大能</t>
  </si>
  <si>
    <t>严贵豪</t>
  </si>
  <si>
    <t>赵燊</t>
  </si>
  <si>
    <t>龙敏</t>
  </si>
  <si>
    <t>张玉</t>
  </si>
  <si>
    <t>杨敖</t>
  </si>
  <si>
    <t>朱金友</t>
  </si>
  <si>
    <t>左永华</t>
  </si>
  <si>
    <t>潘建先</t>
  </si>
  <si>
    <t>袁艳</t>
  </si>
  <si>
    <t>缪祥吉</t>
  </si>
  <si>
    <t>李勇军</t>
  </si>
  <si>
    <t>李仁杰</t>
  </si>
  <si>
    <t>王光耀</t>
  </si>
  <si>
    <t>洪金生</t>
  </si>
  <si>
    <t>刘武杰</t>
  </si>
  <si>
    <t>石运松</t>
  </si>
  <si>
    <t>吴富强</t>
  </si>
  <si>
    <t>吴东华</t>
  </si>
  <si>
    <t>石荣彪</t>
  </si>
  <si>
    <t>侯梦柯</t>
  </si>
  <si>
    <t>原世军</t>
  </si>
  <si>
    <t>李武林</t>
  </si>
  <si>
    <t>苏小菲</t>
  </si>
  <si>
    <t>蒋易松</t>
  </si>
  <si>
    <t>陈武杰</t>
  </si>
  <si>
    <t>岑进亮</t>
  </si>
  <si>
    <t>梁石祥</t>
  </si>
  <si>
    <t>王浩1</t>
  </si>
  <si>
    <t>梁积健</t>
  </si>
  <si>
    <t>黄江霞</t>
  </si>
  <si>
    <t>郑乾鹏</t>
  </si>
  <si>
    <t>陈锦超</t>
  </si>
  <si>
    <t>郑丹</t>
  </si>
  <si>
    <t>罗仕奇</t>
  </si>
  <si>
    <t>杨积灿</t>
  </si>
  <si>
    <t>陈喜成</t>
  </si>
  <si>
    <t>李松卫</t>
  </si>
  <si>
    <t>蒙立斌</t>
  </si>
  <si>
    <t>李传坤</t>
  </si>
  <si>
    <t>莫其际</t>
  </si>
  <si>
    <t>韦进胜</t>
  </si>
  <si>
    <t>仇枫</t>
  </si>
  <si>
    <t>管扬兵</t>
  </si>
  <si>
    <t>黎章浪</t>
  </si>
  <si>
    <t>陈昇</t>
  </si>
  <si>
    <t>杨昌胜</t>
  </si>
  <si>
    <t>李胜发</t>
  </si>
  <si>
    <t>黄维卓</t>
  </si>
  <si>
    <t>韩开</t>
  </si>
  <si>
    <t>杨红旭</t>
  </si>
  <si>
    <t>黄阳阳</t>
  </si>
  <si>
    <t>钟升齐</t>
  </si>
  <si>
    <t>谢安波</t>
  </si>
  <si>
    <t>韦英忠</t>
  </si>
  <si>
    <t>陈玲峰</t>
  </si>
  <si>
    <t>肖俊君</t>
  </si>
  <si>
    <t>赵振杰</t>
  </si>
  <si>
    <t>林锦浩</t>
  </si>
  <si>
    <t>邝活森</t>
  </si>
  <si>
    <t>曾睿智</t>
  </si>
  <si>
    <t>梁济基</t>
  </si>
  <si>
    <t>黄波文</t>
  </si>
  <si>
    <t>曾劲威</t>
  </si>
  <si>
    <t>文丹</t>
  </si>
  <si>
    <t>唐文奇</t>
  </si>
  <si>
    <t>袁俊杰</t>
  </si>
  <si>
    <t>袁英涛</t>
  </si>
  <si>
    <t>袁晨阳</t>
  </si>
  <si>
    <t>梁波</t>
  </si>
  <si>
    <t>徐运山</t>
  </si>
  <si>
    <t>罗绍波</t>
  </si>
  <si>
    <t>李文飞</t>
  </si>
  <si>
    <t>张志平</t>
  </si>
  <si>
    <t>黄健</t>
  </si>
  <si>
    <t>黎华江</t>
  </si>
  <si>
    <t>梁志乐</t>
  </si>
  <si>
    <t>蒋鹏</t>
  </si>
  <si>
    <t>莫毅均</t>
  </si>
  <si>
    <t>乔武</t>
  </si>
  <si>
    <t>郝志阳</t>
  </si>
  <si>
    <t>周收</t>
  </si>
  <si>
    <t>周俊杰</t>
  </si>
  <si>
    <t>余嘉豪</t>
  </si>
  <si>
    <t>龚顺</t>
  </si>
  <si>
    <t>邱康</t>
  </si>
  <si>
    <t>沈祖鹏</t>
  </si>
  <si>
    <t>蒋里发</t>
  </si>
  <si>
    <t>贾天柱</t>
  </si>
  <si>
    <t>唐文健</t>
  </si>
  <si>
    <t>付雄汗</t>
  </si>
  <si>
    <t>杨智青</t>
  </si>
  <si>
    <t>吴贞松</t>
  </si>
  <si>
    <t>吴开亮</t>
  </si>
  <si>
    <t>石运龙</t>
  </si>
  <si>
    <t>吴子阳</t>
  </si>
  <si>
    <t>文南盼</t>
  </si>
  <si>
    <t>陈金1</t>
  </si>
  <si>
    <t>张展荣</t>
  </si>
  <si>
    <t>唐嘉乐</t>
  </si>
  <si>
    <t>韦发伟</t>
  </si>
  <si>
    <t>唐志军</t>
  </si>
  <si>
    <t>蒙焕金</t>
  </si>
  <si>
    <t>张浩浩</t>
  </si>
  <si>
    <t>陈全枝</t>
  </si>
  <si>
    <t>曾令光</t>
  </si>
  <si>
    <t>王子富</t>
  </si>
  <si>
    <t>麦柱满</t>
  </si>
  <si>
    <t>袁加林</t>
  </si>
  <si>
    <t>韦永灿</t>
  </si>
  <si>
    <t>曾宪权</t>
  </si>
  <si>
    <t>袁义明</t>
  </si>
  <si>
    <t>刘旭东</t>
  </si>
  <si>
    <t>谢柏钊</t>
  </si>
  <si>
    <t>石吉昌</t>
  </si>
  <si>
    <t>杨正亮</t>
  </si>
  <si>
    <t>翁润莉</t>
  </si>
  <si>
    <t>王浩2</t>
  </si>
  <si>
    <t>温晟</t>
  </si>
  <si>
    <t>谢俊智</t>
  </si>
  <si>
    <t>杨家豪</t>
  </si>
  <si>
    <t>卜浩浩</t>
  </si>
  <si>
    <t>杨跃明</t>
  </si>
  <si>
    <t>王兴</t>
  </si>
  <si>
    <t>谢石山</t>
  </si>
  <si>
    <t>邱玉奇</t>
  </si>
  <si>
    <t>覃秋师</t>
  </si>
  <si>
    <t>陈运朋</t>
  </si>
  <si>
    <t>陈志亮</t>
  </si>
  <si>
    <t>彭彦杰</t>
  </si>
  <si>
    <t>关舜</t>
  </si>
  <si>
    <t>谭乾豪</t>
  </si>
  <si>
    <t>龚世文</t>
  </si>
  <si>
    <t>陆昌玄</t>
  </si>
  <si>
    <t>梁小梅</t>
  </si>
  <si>
    <t>董泽武</t>
  </si>
  <si>
    <t>朱水华</t>
  </si>
  <si>
    <t>周旺洪</t>
  </si>
  <si>
    <t>龙世铵</t>
  </si>
  <si>
    <t>郑庆伟</t>
  </si>
  <si>
    <t>熊奇</t>
  </si>
  <si>
    <t>温少杰</t>
  </si>
  <si>
    <t>刘奇1</t>
  </si>
  <si>
    <t>黄庆嫩</t>
  </si>
  <si>
    <t>梁永昌</t>
  </si>
  <si>
    <t>钟均友</t>
  </si>
  <si>
    <t>李德森</t>
  </si>
  <si>
    <t>李犬雄</t>
  </si>
  <si>
    <t>黄万朗</t>
  </si>
  <si>
    <t>钟其通</t>
  </si>
  <si>
    <t>朱昌林</t>
  </si>
  <si>
    <t>闫辉亮</t>
  </si>
  <si>
    <t>王金</t>
  </si>
  <si>
    <t>廖光祖</t>
  </si>
  <si>
    <t>夏震</t>
  </si>
  <si>
    <t>彭姚文</t>
  </si>
  <si>
    <t>杨胜龙</t>
  </si>
  <si>
    <t>周磊2</t>
  </si>
  <si>
    <t>宋鹏伟</t>
  </si>
  <si>
    <t>殷俊</t>
  </si>
  <si>
    <t>方绍兄</t>
  </si>
  <si>
    <t>王海兰</t>
  </si>
  <si>
    <t>罗欢欢</t>
  </si>
  <si>
    <t>雷潭</t>
  </si>
  <si>
    <t>陈本平</t>
  </si>
  <si>
    <t>周会朋</t>
  </si>
  <si>
    <t>金诗琪</t>
  </si>
  <si>
    <t>何世双</t>
  </si>
  <si>
    <t>张丛锋</t>
  </si>
  <si>
    <t>林聪</t>
  </si>
  <si>
    <t>张恒</t>
  </si>
  <si>
    <t>叶富华</t>
  </si>
  <si>
    <t>戴永生</t>
  </si>
  <si>
    <t>古天辉</t>
  </si>
  <si>
    <t>贾东升</t>
  </si>
  <si>
    <t>余桂辉</t>
  </si>
  <si>
    <t>林炳新</t>
  </si>
  <si>
    <t>吴志扬</t>
  </si>
  <si>
    <t>奚友明</t>
  </si>
  <si>
    <t>刘旭先</t>
  </si>
  <si>
    <t>孔镱达</t>
  </si>
  <si>
    <t>杨钦</t>
  </si>
  <si>
    <t>曾庆彤</t>
  </si>
  <si>
    <t>李君尧</t>
  </si>
  <si>
    <t>马才禄</t>
  </si>
  <si>
    <t>钟文活</t>
  </si>
  <si>
    <t>韦鹏举</t>
  </si>
  <si>
    <t>罗勇1</t>
  </si>
  <si>
    <t>朱浪浪</t>
  </si>
  <si>
    <t>尤强</t>
  </si>
  <si>
    <t>梁卓金</t>
  </si>
  <si>
    <t>唐能禄</t>
  </si>
  <si>
    <t>尹力</t>
  </si>
  <si>
    <t>陈祥鑫</t>
  </si>
  <si>
    <t>曹文波</t>
  </si>
  <si>
    <t>刘世峰</t>
  </si>
  <si>
    <t>温家鑫</t>
  </si>
  <si>
    <t>陈益君</t>
  </si>
  <si>
    <t>陆文蓬</t>
  </si>
  <si>
    <t>王安武</t>
  </si>
  <si>
    <t>吴伟林</t>
  </si>
  <si>
    <t>苏黎恒</t>
  </si>
  <si>
    <t>郭秋波</t>
  </si>
  <si>
    <t>袁展鹏</t>
  </si>
  <si>
    <t>高子明</t>
  </si>
  <si>
    <t>潘仁忠</t>
  </si>
  <si>
    <t>刘大杨</t>
  </si>
  <si>
    <t>何安志</t>
  </si>
  <si>
    <t>曹源达</t>
  </si>
  <si>
    <t>王首君</t>
  </si>
  <si>
    <t>明超辉</t>
  </si>
  <si>
    <t>罗世德</t>
  </si>
  <si>
    <t>何海正</t>
  </si>
  <si>
    <t>刘小龙</t>
  </si>
  <si>
    <t>梅宝</t>
  </si>
  <si>
    <t>牛江浩</t>
  </si>
  <si>
    <t>甘惠锋</t>
  </si>
  <si>
    <t>冯文家</t>
  </si>
  <si>
    <t>杨若飞</t>
  </si>
  <si>
    <t>韦国淋</t>
  </si>
  <si>
    <t>卢绍建</t>
  </si>
  <si>
    <t>陈树根</t>
  </si>
  <si>
    <t>孙俊豪</t>
  </si>
  <si>
    <t>段兴</t>
  </si>
  <si>
    <t>陈江飞</t>
  </si>
  <si>
    <t>蒋松青</t>
  </si>
  <si>
    <t>黎祖强</t>
  </si>
  <si>
    <t>孙朝阳</t>
  </si>
  <si>
    <t>莫昌炎</t>
  </si>
  <si>
    <t>王闪闪</t>
  </si>
  <si>
    <t>师乐园</t>
  </si>
  <si>
    <t>何耀全</t>
  </si>
  <si>
    <t>余中秋</t>
  </si>
  <si>
    <t>李林雄</t>
  </si>
  <si>
    <t>杨彐良</t>
  </si>
  <si>
    <t>石才等</t>
  </si>
  <si>
    <t>石才斗</t>
  </si>
  <si>
    <t>尤日宙</t>
  </si>
  <si>
    <t>曾秀发</t>
  </si>
  <si>
    <t>彭家欣</t>
  </si>
  <si>
    <t>褚鲁璐</t>
  </si>
  <si>
    <t>何嘉棋</t>
  </si>
  <si>
    <t>曾佐艳</t>
  </si>
  <si>
    <t>吴春育</t>
  </si>
  <si>
    <t>陈燕</t>
  </si>
  <si>
    <t>莫庭寻</t>
  </si>
  <si>
    <t>刘成菊</t>
  </si>
  <si>
    <t>刘旭1</t>
  </si>
  <si>
    <t>田井兵</t>
  </si>
  <si>
    <t>袁葛司</t>
  </si>
  <si>
    <t>温铭佳</t>
  </si>
  <si>
    <t>高金良</t>
  </si>
  <si>
    <t>卢新开</t>
  </si>
  <si>
    <t>唐海平</t>
  </si>
  <si>
    <t>张志立</t>
  </si>
  <si>
    <t>张才靖</t>
  </si>
  <si>
    <t>刘静文</t>
  </si>
  <si>
    <t>贺富贵</t>
  </si>
  <si>
    <t>潘如飞</t>
  </si>
  <si>
    <t>王利强</t>
  </si>
  <si>
    <t>胡泽陆</t>
  </si>
  <si>
    <t>杜干</t>
  </si>
  <si>
    <t>唐斌1</t>
  </si>
  <si>
    <t>项文文</t>
  </si>
  <si>
    <t>毕圣杰</t>
  </si>
  <si>
    <t>刘珂含</t>
  </si>
  <si>
    <t>曾繁鑫</t>
  </si>
  <si>
    <t>罗辉武</t>
  </si>
  <si>
    <t>陆雪梅</t>
  </si>
  <si>
    <t>植焕弟</t>
  </si>
  <si>
    <t>李会昌</t>
  </si>
  <si>
    <t>杨宁</t>
  </si>
  <si>
    <t>莫右敏</t>
  </si>
  <si>
    <t>游文福</t>
  </si>
  <si>
    <t>刘成利</t>
  </si>
  <si>
    <t>周伟伟</t>
  </si>
  <si>
    <t>钟伟平</t>
  </si>
  <si>
    <t>李杰军</t>
  </si>
  <si>
    <t>齐君宝</t>
  </si>
  <si>
    <t>王争光</t>
  </si>
  <si>
    <t>夏成简</t>
  </si>
  <si>
    <t>秦成连</t>
  </si>
  <si>
    <t>曹文</t>
  </si>
  <si>
    <t>阮世香</t>
  </si>
  <si>
    <t>陈子华</t>
  </si>
  <si>
    <t>李春庄</t>
  </si>
  <si>
    <t>刘康2</t>
  </si>
  <si>
    <t>龙风交</t>
  </si>
  <si>
    <t>李晓东1</t>
  </si>
  <si>
    <t>徐东东</t>
  </si>
  <si>
    <t>刘燕子</t>
  </si>
  <si>
    <t>雷有黎</t>
  </si>
  <si>
    <t>黄秦辉</t>
  </si>
  <si>
    <t>甘文勇</t>
  </si>
  <si>
    <t>胡泽胜</t>
  </si>
  <si>
    <t>刘旭2</t>
  </si>
  <si>
    <t>毛伟平</t>
  </si>
  <si>
    <t>文锦能</t>
  </si>
  <si>
    <t>王犇</t>
  </si>
  <si>
    <t>李振兴1</t>
  </si>
  <si>
    <t>张丰毅</t>
  </si>
  <si>
    <t>赵晓磊</t>
  </si>
  <si>
    <t>张润宇</t>
  </si>
  <si>
    <t>万正海</t>
  </si>
  <si>
    <t>刘学明</t>
  </si>
  <si>
    <t>郭凯圆</t>
  </si>
  <si>
    <t>李忠奎</t>
  </si>
  <si>
    <t>周恩能</t>
  </si>
  <si>
    <t>董海辉</t>
  </si>
  <si>
    <t>古志强</t>
  </si>
  <si>
    <t>李灿</t>
  </si>
  <si>
    <t>彭观桥</t>
  </si>
  <si>
    <t>贺宏章</t>
  </si>
  <si>
    <t>饶晓东</t>
  </si>
  <si>
    <t>宋利伟</t>
  </si>
  <si>
    <t>粟燕</t>
  </si>
  <si>
    <t>全显兵</t>
  </si>
  <si>
    <t>冀凤琪</t>
  </si>
  <si>
    <t>吴家浩</t>
  </si>
  <si>
    <t>李自豪</t>
  </si>
  <si>
    <t>钟乾有</t>
  </si>
  <si>
    <t>苏友欢</t>
  </si>
  <si>
    <t>陆善飞</t>
  </si>
  <si>
    <t>莫溢钒</t>
  </si>
  <si>
    <t>肖安平</t>
  </si>
  <si>
    <t>曾达</t>
  </si>
  <si>
    <t>黄胜强</t>
  </si>
  <si>
    <t>张伟1</t>
  </si>
  <si>
    <t>吴卫忠</t>
  </si>
  <si>
    <t>侯亮</t>
  </si>
  <si>
    <t>黄乙腾</t>
  </si>
  <si>
    <t>余代赢</t>
  </si>
  <si>
    <t>卢祥生</t>
  </si>
  <si>
    <t>肖玉洁</t>
  </si>
  <si>
    <t>刘正洪</t>
  </si>
  <si>
    <t>彭恭亮</t>
  </si>
  <si>
    <t>黄响</t>
  </si>
  <si>
    <t>徐云斌</t>
  </si>
  <si>
    <t>许远强</t>
  </si>
  <si>
    <t>韩文豪</t>
  </si>
  <si>
    <t>马雨卿</t>
  </si>
  <si>
    <t>钟命贵</t>
  </si>
  <si>
    <t>黄崇杰</t>
  </si>
  <si>
    <t>伍贤雪</t>
  </si>
  <si>
    <t>石兴国</t>
  </si>
  <si>
    <t>石进春</t>
  </si>
  <si>
    <t>吴生卫</t>
  </si>
  <si>
    <t>赵荣誉</t>
  </si>
  <si>
    <t>张沙沙</t>
  </si>
  <si>
    <t>李清龙</t>
  </si>
  <si>
    <t>李旭1</t>
  </si>
  <si>
    <t>陆正强</t>
  </si>
  <si>
    <t>唐林云</t>
  </si>
  <si>
    <t>禄亿蓉</t>
  </si>
  <si>
    <t>倪明明</t>
  </si>
  <si>
    <t>刘锦浩</t>
  </si>
  <si>
    <t>张森1</t>
  </si>
  <si>
    <t>谢增荣</t>
  </si>
  <si>
    <t>吴宝宝</t>
  </si>
  <si>
    <t>张发海</t>
  </si>
  <si>
    <t>王利杰</t>
  </si>
  <si>
    <t>张明贤</t>
  </si>
  <si>
    <t>覃霜</t>
  </si>
  <si>
    <t>彭丽涵</t>
  </si>
  <si>
    <t>沈佳乐</t>
  </si>
  <si>
    <t>郭少亨</t>
  </si>
  <si>
    <t>刘伟2</t>
  </si>
  <si>
    <t>邢康</t>
  </si>
  <si>
    <t>侯静</t>
  </si>
  <si>
    <t>班长</t>
  </si>
  <si>
    <t>袁文祥</t>
  </si>
  <si>
    <t>罗顾</t>
  </si>
  <si>
    <t>主管</t>
  </si>
  <si>
    <t>李玲敏</t>
  </si>
  <si>
    <t>吴仙德</t>
  </si>
  <si>
    <t>庄再巍</t>
  </si>
  <si>
    <t>贺梦良</t>
  </si>
  <si>
    <t>文伟1</t>
  </si>
  <si>
    <t>胡峰</t>
  </si>
  <si>
    <t>黄成毅</t>
  </si>
  <si>
    <t>李朝辉</t>
  </si>
  <si>
    <t>欧阳学</t>
  </si>
  <si>
    <t>王昆华</t>
  </si>
  <si>
    <t>文伟2</t>
  </si>
  <si>
    <t>张良文</t>
  </si>
  <si>
    <t>刘长乐</t>
  </si>
  <si>
    <t>石见材</t>
  </si>
  <si>
    <t>彭志文</t>
  </si>
  <si>
    <t>廖永强</t>
  </si>
  <si>
    <t>黄展辉</t>
  </si>
  <si>
    <t>袁江林</t>
  </si>
  <si>
    <t>钟飞</t>
  </si>
  <si>
    <t>戴勇</t>
  </si>
  <si>
    <t>邓杰锋</t>
  </si>
  <si>
    <t>梁超才</t>
  </si>
  <si>
    <t>邓冬伟</t>
  </si>
  <si>
    <t>周家强</t>
  </si>
  <si>
    <t>陈明康</t>
  </si>
  <si>
    <t>石兴成</t>
  </si>
  <si>
    <t>吴顺华</t>
  </si>
  <si>
    <t>龙世琳</t>
  </si>
  <si>
    <t>吴桂云</t>
  </si>
  <si>
    <t>梁宇熙</t>
  </si>
  <si>
    <t>张鑫权</t>
  </si>
  <si>
    <t>李嘉伟</t>
  </si>
  <si>
    <t>韩鸣</t>
  </si>
  <si>
    <t>徐豪杰</t>
  </si>
  <si>
    <t>刘结文</t>
  </si>
  <si>
    <t>高天东</t>
  </si>
  <si>
    <t>刘亚妹</t>
  </si>
  <si>
    <t>罗香龙</t>
  </si>
  <si>
    <t>赵少有</t>
  </si>
  <si>
    <t>郑寿文</t>
  </si>
  <si>
    <t>黄玉文</t>
  </si>
  <si>
    <t>吴才好</t>
  </si>
  <si>
    <t>韦木平</t>
  </si>
  <si>
    <t>孟亚弟</t>
  </si>
  <si>
    <t>王昭君</t>
  </si>
  <si>
    <t>覃东明</t>
  </si>
  <si>
    <t>韦文喜</t>
  </si>
  <si>
    <t>成芬</t>
  </si>
  <si>
    <t>刘超坤</t>
  </si>
  <si>
    <t>曾志强</t>
  </si>
  <si>
    <t>朱文嵩</t>
  </si>
  <si>
    <t>李有豪</t>
  </si>
  <si>
    <t>孙统</t>
  </si>
  <si>
    <t>项磊</t>
  </si>
  <si>
    <t>雷光进</t>
  </si>
  <si>
    <t>李光豪</t>
  </si>
  <si>
    <t>张心愿</t>
  </si>
  <si>
    <t>蔡翔</t>
  </si>
  <si>
    <t>胡昌言</t>
  </si>
  <si>
    <t>汤性欢</t>
  </si>
  <si>
    <t>李金金</t>
  </si>
  <si>
    <t>白威</t>
  </si>
  <si>
    <t>林竞</t>
  </si>
  <si>
    <t>黄志军</t>
  </si>
  <si>
    <t>李进辉</t>
  </si>
  <si>
    <t>曾健</t>
  </si>
  <si>
    <t>蒋金林</t>
  </si>
  <si>
    <t>赵沛</t>
  </si>
  <si>
    <t>张清</t>
  </si>
  <si>
    <t>王敏</t>
  </si>
  <si>
    <t>兰胜才</t>
  </si>
  <si>
    <t>兰胜明</t>
  </si>
  <si>
    <t>罗志明</t>
  </si>
  <si>
    <t>陆俊</t>
  </si>
  <si>
    <t>林武</t>
  </si>
  <si>
    <t>辛光帅</t>
  </si>
  <si>
    <t>刘龙慧</t>
  </si>
  <si>
    <t>欧家麟</t>
  </si>
  <si>
    <t>阮录建</t>
  </si>
  <si>
    <t>霍龙江</t>
  </si>
  <si>
    <t>卢俊球</t>
  </si>
  <si>
    <t>张程</t>
  </si>
  <si>
    <t>杨新旺</t>
  </si>
  <si>
    <t>贺少鹏</t>
  </si>
  <si>
    <t>彭亚军</t>
  </si>
  <si>
    <t>李福良</t>
  </si>
  <si>
    <t>梁光标</t>
  </si>
  <si>
    <t>陈泳良</t>
  </si>
  <si>
    <t>符思远</t>
  </si>
  <si>
    <t>王楠</t>
  </si>
  <si>
    <t>岳航</t>
  </si>
  <si>
    <t>王贤东</t>
  </si>
  <si>
    <t>黄旭庭</t>
  </si>
  <si>
    <t>师文博</t>
  </si>
  <si>
    <t>陈裕金</t>
  </si>
  <si>
    <t>谭宏昇</t>
  </si>
  <si>
    <t>张贵姿</t>
  </si>
  <si>
    <t>张月明</t>
  </si>
  <si>
    <t>陈健财</t>
  </si>
  <si>
    <t>伍鸿荣</t>
  </si>
  <si>
    <t>肖伟烽</t>
  </si>
  <si>
    <t>林尉法</t>
  </si>
  <si>
    <t>曹金波</t>
  </si>
  <si>
    <t>李海发</t>
  </si>
  <si>
    <t>罗植元</t>
  </si>
  <si>
    <t>罗爱萍</t>
  </si>
  <si>
    <t>郑梓良</t>
  </si>
  <si>
    <t>于洪臣</t>
  </si>
  <si>
    <t>雷华立</t>
  </si>
  <si>
    <t>纪明敏</t>
  </si>
  <si>
    <t>余承群</t>
  </si>
  <si>
    <t>卢兵</t>
  </si>
  <si>
    <t>杜国利</t>
  </si>
  <si>
    <t>朱远红</t>
  </si>
  <si>
    <t>韦雷</t>
  </si>
  <si>
    <t>韦林管</t>
  </si>
  <si>
    <t>苏文敏</t>
  </si>
  <si>
    <t>肖小辉</t>
  </si>
  <si>
    <t>李庆军</t>
  </si>
  <si>
    <t>陈多展</t>
  </si>
  <si>
    <t>罗庆勇</t>
  </si>
  <si>
    <t>张枫艺</t>
  </si>
  <si>
    <t>陈吉复勒</t>
  </si>
  <si>
    <t>胡伟飞</t>
  </si>
  <si>
    <t>刘堂树</t>
  </si>
  <si>
    <t>韦德义</t>
  </si>
  <si>
    <t>杨广铭</t>
  </si>
  <si>
    <t>何溢豪</t>
  </si>
  <si>
    <t>梁海全</t>
  </si>
  <si>
    <t>孙培虎</t>
  </si>
  <si>
    <t>欧裕</t>
  </si>
  <si>
    <t>李洪涛</t>
  </si>
  <si>
    <t>莫锦炎</t>
  </si>
  <si>
    <t>周金</t>
  </si>
  <si>
    <t>陈炯威</t>
  </si>
  <si>
    <t>陶树剑</t>
  </si>
  <si>
    <t>王华贤</t>
  </si>
  <si>
    <t>龙明成</t>
  </si>
  <si>
    <t>张世旺</t>
  </si>
  <si>
    <t>翁光锞</t>
  </si>
  <si>
    <t>毛磊</t>
  </si>
  <si>
    <t>刘振哲</t>
  </si>
  <si>
    <t>江永旺</t>
  </si>
  <si>
    <t>李锦荣2</t>
  </si>
  <si>
    <t>刘锋1</t>
  </si>
  <si>
    <t>韦佑豪</t>
  </si>
  <si>
    <t>覃耀霖</t>
  </si>
  <si>
    <t>谢绍龙</t>
  </si>
  <si>
    <t>钟运福</t>
  </si>
  <si>
    <t>车宗卫</t>
  </si>
  <si>
    <t>龙彬</t>
  </si>
  <si>
    <t>刘焕生</t>
  </si>
  <si>
    <t>卜贵华</t>
  </si>
  <si>
    <t>刘广阳</t>
  </si>
  <si>
    <t>刘镇亨</t>
  </si>
  <si>
    <t>龙超予</t>
  </si>
  <si>
    <t>黎园</t>
  </si>
  <si>
    <t>王金顺</t>
  </si>
  <si>
    <t>韦凤维</t>
  </si>
  <si>
    <t>徐桂东</t>
  </si>
  <si>
    <t>黄笑英</t>
  </si>
  <si>
    <t>张丽凤</t>
  </si>
  <si>
    <t>陆军开</t>
  </si>
  <si>
    <t>符海康</t>
  </si>
  <si>
    <t>苏海燕</t>
  </si>
  <si>
    <t>刘倩仪</t>
  </si>
  <si>
    <t>秦敬尧</t>
  </si>
  <si>
    <t>明晓宁</t>
  </si>
  <si>
    <t>黄耀宗</t>
  </si>
  <si>
    <t>彭凌云</t>
  </si>
  <si>
    <t>黎树海</t>
  </si>
  <si>
    <t>宋水强</t>
  </si>
  <si>
    <t>罗会立</t>
  </si>
  <si>
    <t>黄德周</t>
  </si>
  <si>
    <t>蒙振中</t>
  </si>
  <si>
    <t>王啟辉</t>
  </si>
  <si>
    <t>罗灵全</t>
  </si>
  <si>
    <t>肖晨</t>
  </si>
  <si>
    <t>肖秋林</t>
  </si>
  <si>
    <t>李桃桃</t>
  </si>
  <si>
    <t>杨正清</t>
  </si>
  <si>
    <t>赵世炎</t>
  </si>
  <si>
    <t>黄振扬</t>
  </si>
  <si>
    <t>何金秀</t>
  </si>
  <si>
    <t>郭飞</t>
  </si>
  <si>
    <t>苑立红</t>
  </si>
  <si>
    <t>卢博</t>
  </si>
  <si>
    <t>辜锡松</t>
  </si>
  <si>
    <t>朱涌泉</t>
  </si>
  <si>
    <t>黄龙</t>
  </si>
  <si>
    <t>王仕荣</t>
  </si>
  <si>
    <t>杨光莲</t>
  </si>
  <si>
    <t>刘仁明</t>
  </si>
  <si>
    <t>曾海锋</t>
  </si>
  <si>
    <t>叶彭宇</t>
  </si>
  <si>
    <t>冯江平</t>
  </si>
  <si>
    <t>陈智佳</t>
  </si>
  <si>
    <t>张帅</t>
  </si>
  <si>
    <t>王华鹏</t>
  </si>
  <si>
    <t>徐浩</t>
  </si>
  <si>
    <t>张世鑫</t>
  </si>
  <si>
    <t>任忠义</t>
  </si>
  <si>
    <t>吴操</t>
  </si>
  <si>
    <t>王瑞涛</t>
  </si>
  <si>
    <t>黄志飞</t>
  </si>
  <si>
    <t>梁建潇</t>
  </si>
  <si>
    <t>姚炜昌</t>
  </si>
  <si>
    <t>莫文胳</t>
  </si>
  <si>
    <t>郭迎春</t>
  </si>
  <si>
    <t>施建材</t>
  </si>
  <si>
    <t>蔡宇卓</t>
  </si>
  <si>
    <t>蔡钊</t>
  </si>
  <si>
    <t>周峰</t>
  </si>
  <si>
    <t>肖文仔</t>
  </si>
  <si>
    <t>杨秋发</t>
  </si>
  <si>
    <t>蒋晓东</t>
  </si>
  <si>
    <t>黄秀览</t>
  </si>
  <si>
    <t>赵文</t>
  </si>
  <si>
    <t>陈亚辉</t>
  </si>
  <si>
    <t>周长飞</t>
  </si>
  <si>
    <t>蒙县军</t>
  </si>
  <si>
    <t>黄嘉贤</t>
  </si>
  <si>
    <t>黄大伟</t>
  </si>
  <si>
    <t>唐慧明</t>
  </si>
  <si>
    <t>徐宝宝</t>
  </si>
  <si>
    <t>成子奇</t>
  </si>
  <si>
    <t>苏浪</t>
  </si>
  <si>
    <t>林子洪</t>
  </si>
  <si>
    <t>谭铭亮</t>
  </si>
  <si>
    <t>范朋辉</t>
  </si>
  <si>
    <t>黄浩1</t>
  </si>
  <si>
    <t>周静</t>
  </si>
  <si>
    <t>张衡</t>
  </si>
  <si>
    <t>罗正成</t>
  </si>
  <si>
    <t>梁耀方</t>
  </si>
  <si>
    <t>周有朋</t>
  </si>
  <si>
    <t>莫良航</t>
  </si>
  <si>
    <t>黄金安</t>
  </si>
  <si>
    <t>朱百慧</t>
  </si>
  <si>
    <t>刁达</t>
  </si>
  <si>
    <t>向法</t>
  </si>
  <si>
    <t>杨燕飞</t>
  </si>
  <si>
    <t>杨金龙</t>
  </si>
  <si>
    <t>雷光顺</t>
  </si>
  <si>
    <t>徐阿梅</t>
  </si>
  <si>
    <t>王安广</t>
  </si>
  <si>
    <t>杜贵芝</t>
  </si>
  <si>
    <t>何登云</t>
  </si>
  <si>
    <t>李浩然1</t>
  </si>
  <si>
    <t>李江海</t>
  </si>
  <si>
    <t>麦灿才</t>
  </si>
  <si>
    <t>钟润贤</t>
  </si>
  <si>
    <t>梁广然</t>
  </si>
  <si>
    <t>吕卓诚</t>
  </si>
  <si>
    <t>蒋智权</t>
  </si>
  <si>
    <t>李磊1</t>
  </si>
  <si>
    <t>付光伟</t>
  </si>
  <si>
    <t>付光杰</t>
  </si>
  <si>
    <t>付光禄</t>
  </si>
  <si>
    <t>陈柏仲</t>
  </si>
  <si>
    <t>陈焕堃</t>
  </si>
  <si>
    <t>张明阳</t>
  </si>
  <si>
    <t>曾繁胜</t>
  </si>
  <si>
    <t>刘雅琦</t>
  </si>
  <si>
    <t>谭义鑫</t>
  </si>
  <si>
    <t>姚芳</t>
  </si>
  <si>
    <t>朱克乾</t>
  </si>
  <si>
    <t>陈友益</t>
  </si>
  <si>
    <t>郭鑫</t>
  </si>
  <si>
    <t>梁志龙</t>
  </si>
  <si>
    <t>杨鹏玺</t>
  </si>
  <si>
    <t>蓝波</t>
  </si>
  <si>
    <t>李立</t>
  </si>
  <si>
    <t>刘汉飞</t>
  </si>
  <si>
    <t>覃德党</t>
  </si>
  <si>
    <t>黄泽宁</t>
  </si>
  <si>
    <t>赵德锋</t>
  </si>
  <si>
    <t>吴好造</t>
  </si>
  <si>
    <t>柯成钦</t>
  </si>
  <si>
    <t>范惠玲</t>
  </si>
  <si>
    <t>苏世财</t>
  </si>
  <si>
    <t>黄津津</t>
  </si>
  <si>
    <t>段佳力</t>
  </si>
  <si>
    <t>李祥军</t>
  </si>
  <si>
    <t>杨奇权</t>
  </si>
  <si>
    <t>张创龙</t>
  </si>
  <si>
    <t>卢涛</t>
  </si>
  <si>
    <t>张颖霖</t>
  </si>
  <si>
    <t>周诗勤</t>
  </si>
  <si>
    <t>卢保留</t>
  </si>
  <si>
    <t>黄培海</t>
  </si>
  <si>
    <t>林敬友</t>
  </si>
  <si>
    <t>朱涛1</t>
  </si>
  <si>
    <t>杨雪燕</t>
  </si>
  <si>
    <t>孙天棋</t>
  </si>
  <si>
    <t>李佳俊</t>
  </si>
  <si>
    <t>师建祥</t>
  </si>
  <si>
    <t>许创辉</t>
  </si>
  <si>
    <t>鄂彩娘</t>
  </si>
  <si>
    <t>夏育根</t>
  </si>
  <si>
    <t>江勇1</t>
  </si>
  <si>
    <t>蒋蕊</t>
  </si>
  <si>
    <t>李干</t>
  </si>
  <si>
    <t>钟建伟</t>
  </si>
  <si>
    <t>黄有水</t>
  </si>
  <si>
    <t>王敏敏</t>
  </si>
  <si>
    <t>杨艺</t>
  </si>
  <si>
    <t>梁求高</t>
  </si>
  <si>
    <t>潘江红</t>
  </si>
  <si>
    <t>李正杨</t>
  </si>
  <si>
    <t>高建明</t>
  </si>
  <si>
    <t>陈楠</t>
  </si>
  <si>
    <t>覃源</t>
  </si>
  <si>
    <t>潘炎朝</t>
  </si>
  <si>
    <t>韦东雪</t>
  </si>
  <si>
    <t>郭惠玲</t>
  </si>
  <si>
    <t>司徒剑明</t>
  </si>
  <si>
    <t>胡斌</t>
  </si>
  <si>
    <t>陈明</t>
  </si>
  <si>
    <t>吴晓东</t>
  </si>
  <si>
    <t>罗仕伟</t>
  </si>
  <si>
    <t>罗有康</t>
  </si>
  <si>
    <t>冯永昌</t>
  </si>
  <si>
    <t>莫森</t>
  </si>
  <si>
    <t>蓝伟</t>
  </si>
  <si>
    <t>莫洪超</t>
  </si>
  <si>
    <t>麦康春</t>
  </si>
  <si>
    <t>谢伟钒</t>
  </si>
  <si>
    <t>欧春武</t>
  </si>
  <si>
    <t>杨建成</t>
  </si>
  <si>
    <t>张开发</t>
  </si>
  <si>
    <t>吴龙华</t>
  </si>
  <si>
    <t>谭明喜</t>
  </si>
  <si>
    <t>蔡鸿钊</t>
  </si>
  <si>
    <t>申学喜</t>
  </si>
  <si>
    <t>代江东</t>
  </si>
  <si>
    <t>肖海浪</t>
  </si>
  <si>
    <t>梁家庆</t>
  </si>
  <si>
    <t>廖庆华</t>
  </si>
  <si>
    <t>严永兴</t>
  </si>
  <si>
    <t>杨兴龙</t>
  </si>
  <si>
    <t>黄玉辉</t>
  </si>
  <si>
    <t>伍文权</t>
  </si>
  <si>
    <t>张小夺</t>
  </si>
  <si>
    <t>张永源</t>
  </si>
  <si>
    <t>曾亚文</t>
  </si>
  <si>
    <t>胡艳红</t>
  </si>
  <si>
    <t>龙金文</t>
  </si>
  <si>
    <t>孙柏成</t>
  </si>
  <si>
    <t>周豪</t>
  </si>
  <si>
    <t>刘宏成</t>
  </si>
  <si>
    <t>李军2</t>
  </si>
  <si>
    <t>张小东</t>
  </si>
  <si>
    <t>陈萍</t>
  </si>
  <si>
    <t>王正广</t>
  </si>
  <si>
    <t>郑国海</t>
  </si>
  <si>
    <t>陈政</t>
  </si>
  <si>
    <t>易克满</t>
  </si>
  <si>
    <t>唐子聪</t>
  </si>
  <si>
    <t>钟明斋</t>
  </si>
  <si>
    <t>李进林</t>
  </si>
  <si>
    <t>铁佳豪</t>
  </si>
  <si>
    <t>铁宏亮</t>
  </si>
  <si>
    <t>古胜云</t>
  </si>
  <si>
    <t>黄志洪</t>
  </si>
  <si>
    <t>申璟灏</t>
  </si>
  <si>
    <t>黄永港</t>
  </si>
  <si>
    <t>马兵</t>
  </si>
  <si>
    <t>朱强</t>
  </si>
  <si>
    <t>杨柳</t>
  </si>
  <si>
    <t>李庆归</t>
  </si>
  <si>
    <t>符雄高</t>
  </si>
  <si>
    <t>李剑锋2</t>
  </si>
  <si>
    <t>李永剑</t>
  </si>
  <si>
    <t>罗访初</t>
  </si>
  <si>
    <t>禄证东</t>
  </si>
  <si>
    <t>何龙</t>
  </si>
  <si>
    <t>文羽辉</t>
  </si>
  <si>
    <t>梁志锋</t>
  </si>
  <si>
    <t>梁创</t>
  </si>
  <si>
    <t>龚加祥</t>
  </si>
  <si>
    <t>马传秋</t>
  </si>
  <si>
    <t>孔刘庆</t>
  </si>
  <si>
    <t>罗志民</t>
  </si>
  <si>
    <t>唐运明</t>
  </si>
  <si>
    <t>徐伟文</t>
  </si>
  <si>
    <t>张文俊</t>
  </si>
  <si>
    <t>吕道灵</t>
  </si>
  <si>
    <t>王志华</t>
  </si>
  <si>
    <t>董廷峰</t>
  </si>
  <si>
    <t>黄骏</t>
  </si>
  <si>
    <t>王兴长</t>
  </si>
  <si>
    <t>高永志</t>
  </si>
  <si>
    <t>黄卓龙</t>
  </si>
  <si>
    <t>张仲熙</t>
  </si>
  <si>
    <t>黄东阳</t>
  </si>
  <si>
    <t>蒋欣</t>
  </si>
  <si>
    <t>梁博文</t>
  </si>
  <si>
    <t>耿应茹</t>
  </si>
  <si>
    <t>陈陶花</t>
  </si>
  <si>
    <t>徐生雄</t>
  </si>
  <si>
    <t>李光文</t>
  </si>
  <si>
    <t>杨金祥</t>
  </si>
  <si>
    <t>周云辉</t>
  </si>
  <si>
    <t>赵宪章</t>
  </si>
  <si>
    <t>夏东军</t>
  </si>
  <si>
    <t>吴小周</t>
  </si>
  <si>
    <t>蒋艺文</t>
  </si>
  <si>
    <t>唐荣柏</t>
  </si>
  <si>
    <t>段波</t>
  </si>
  <si>
    <t>符佺</t>
  </si>
  <si>
    <t>莫荣坚</t>
  </si>
  <si>
    <t>朱万玲</t>
  </si>
  <si>
    <t>黎春秋</t>
  </si>
  <si>
    <t>姚锋</t>
  </si>
  <si>
    <t>周福铭</t>
  </si>
  <si>
    <t>黄宇达</t>
  </si>
  <si>
    <t>邓俊凯</t>
  </si>
  <si>
    <t>黄雨天</t>
  </si>
  <si>
    <t>郝阳</t>
  </si>
  <si>
    <t>刘他</t>
  </si>
  <si>
    <t>黄朝权</t>
  </si>
  <si>
    <t>刘亚龙</t>
  </si>
  <si>
    <t>田元雄</t>
  </si>
  <si>
    <t>喻昊</t>
  </si>
  <si>
    <t>李仁</t>
  </si>
  <si>
    <t>区雯</t>
  </si>
  <si>
    <t>苏崇波</t>
  </si>
  <si>
    <t>王永军</t>
  </si>
  <si>
    <t>卢作斌</t>
  </si>
  <si>
    <t>冷家明</t>
  </si>
  <si>
    <t>韦贵和</t>
  </si>
  <si>
    <t>程永吉</t>
  </si>
  <si>
    <t>冉沅江</t>
  </si>
  <si>
    <t>邓辉</t>
  </si>
  <si>
    <t>刘乙良</t>
  </si>
  <si>
    <t>石豪海</t>
  </si>
  <si>
    <t>代生保</t>
  </si>
  <si>
    <t>唐子洲</t>
  </si>
  <si>
    <t>黎炎承</t>
  </si>
  <si>
    <t>白赞</t>
  </si>
  <si>
    <t>刘洪威</t>
  </si>
  <si>
    <t>刘克凡</t>
  </si>
  <si>
    <t>黄精向</t>
  </si>
  <si>
    <t>梁杰龙</t>
  </si>
  <si>
    <t>罗子伦</t>
  </si>
  <si>
    <t>廖健聪</t>
  </si>
  <si>
    <t>张家专</t>
  </si>
  <si>
    <t>周桃玉</t>
  </si>
  <si>
    <t>吴诗羽</t>
  </si>
  <si>
    <t>雷宁</t>
  </si>
  <si>
    <t>黄华聪</t>
  </si>
  <si>
    <t>巫斌泽</t>
  </si>
  <si>
    <t>苏水木</t>
  </si>
  <si>
    <t>舒刚乐</t>
  </si>
  <si>
    <t>管贺贺</t>
  </si>
  <si>
    <t>梅猛猛</t>
  </si>
  <si>
    <t>罗毅飞</t>
  </si>
  <si>
    <t>汤官远</t>
  </si>
  <si>
    <t>陆伟峰</t>
  </si>
  <si>
    <t>张威</t>
  </si>
  <si>
    <t>杜冰会</t>
  </si>
  <si>
    <t>潘启碧</t>
  </si>
  <si>
    <t>甘传亮</t>
  </si>
  <si>
    <t>李杨芳</t>
  </si>
  <si>
    <t>罗志德</t>
  </si>
  <si>
    <t>杜冰心</t>
  </si>
  <si>
    <t>黎腾鸿</t>
  </si>
  <si>
    <t>江朝辉</t>
  </si>
  <si>
    <t>高礼平</t>
  </si>
  <si>
    <t>李一博</t>
  </si>
  <si>
    <t>赖木鑫</t>
  </si>
  <si>
    <t>罗大飞</t>
  </si>
  <si>
    <t>劳源枫</t>
  </si>
  <si>
    <t>梁享昌</t>
  </si>
  <si>
    <t>陈良</t>
  </si>
  <si>
    <t>邢德卿</t>
  </si>
  <si>
    <t>韩传莉</t>
  </si>
  <si>
    <t>刘东成</t>
  </si>
  <si>
    <t>何浩然</t>
  </si>
  <si>
    <t>孙晓辉</t>
  </si>
  <si>
    <t>钟申慧</t>
  </si>
  <si>
    <t>吴运贵</t>
  </si>
  <si>
    <t>赖文聪</t>
  </si>
  <si>
    <t>黄邓继</t>
  </si>
  <si>
    <t>龙德彬</t>
  </si>
  <si>
    <t>周伟贤</t>
  </si>
  <si>
    <t>唐智彬</t>
  </si>
  <si>
    <t>王杰1</t>
  </si>
  <si>
    <t>罗一力</t>
  </si>
  <si>
    <t>黄彬彬</t>
  </si>
  <si>
    <t>徐志康</t>
  </si>
  <si>
    <t>赵太衡</t>
  </si>
  <si>
    <t>冼文乐</t>
  </si>
  <si>
    <t>雷铁建</t>
  </si>
  <si>
    <t>黎自春</t>
  </si>
  <si>
    <t>张建波</t>
  </si>
  <si>
    <t>刘金梅</t>
  </si>
  <si>
    <t>罗万达</t>
  </si>
  <si>
    <t>刘伟春</t>
  </si>
  <si>
    <t>李旭2</t>
  </si>
  <si>
    <t>冯天寿</t>
  </si>
  <si>
    <t>陈善文</t>
  </si>
  <si>
    <t>甘超鹏</t>
  </si>
  <si>
    <t>张硕</t>
  </si>
  <si>
    <t>李盼杰</t>
  </si>
  <si>
    <t>花泉玲</t>
  </si>
  <si>
    <t>李文清</t>
  </si>
  <si>
    <t>张齐再</t>
  </si>
  <si>
    <t>黄磊2</t>
  </si>
  <si>
    <t>赖琼兰</t>
  </si>
  <si>
    <t>李克达</t>
  </si>
  <si>
    <t>高伦屿</t>
  </si>
  <si>
    <t>李创才</t>
  </si>
  <si>
    <t>贾英豪</t>
  </si>
  <si>
    <t>陈显广</t>
  </si>
  <si>
    <t>张森2</t>
  </si>
  <si>
    <t>谢海辉</t>
  </si>
  <si>
    <t>李东兴</t>
  </si>
  <si>
    <t>覃森茂</t>
  </si>
  <si>
    <t>匡禄铨</t>
  </si>
  <si>
    <t>李方将</t>
  </si>
  <si>
    <t>黄健飞</t>
  </si>
  <si>
    <t>李光泰</t>
  </si>
  <si>
    <t>何忠明</t>
  </si>
  <si>
    <t>刘世国</t>
  </si>
  <si>
    <t>李小坚</t>
  </si>
  <si>
    <t>廖恩琳</t>
  </si>
  <si>
    <t>何超</t>
  </si>
  <si>
    <t>皇秋分</t>
  </si>
  <si>
    <t>韦智伟</t>
  </si>
  <si>
    <t>苏志裕</t>
  </si>
  <si>
    <t>童晓龙</t>
  </si>
  <si>
    <t>麦谷</t>
  </si>
  <si>
    <t>钱跃林</t>
  </si>
  <si>
    <t>黄明权1</t>
  </si>
  <si>
    <t>陆家增</t>
  </si>
  <si>
    <t>严文骏</t>
  </si>
  <si>
    <t>李公昌</t>
  </si>
  <si>
    <t>莫顺锋</t>
  </si>
  <si>
    <t>代琛</t>
  </si>
  <si>
    <t>刘宇2</t>
  </si>
  <si>
    <t>卢海圣</t>
  </si>
  <si>
    <t>宁辉鹏</t>
  </si>
  <si>
    <t>张铁旦</t>
  </si>
  <si>
    <t>麦恒鸣</t>
  </si>
  <si>
    <t>李根</t>
  </si>
  <si>
    <t>邹猛</t>
  </si>
  <si>
    <t>李树胜</t>
  </si>
  <si>
    <t>骆鹏程</t>
  </si>
  <si>
    <t>邹志伟</t>
  </si>
  <si>
    <t>荣耀</t>
  </si>
  <si>
    <t>田际阳</t>
  </si>
  <si>
    <t>曹舜英</t>
  </si>
  <si>
    <t>李正华</t>
  </si>
  <si>
    <t>王金龙</t>
  </si>
  <si>
    <t>谢选益</t>
  </si>
  <si>
    <t>罗贵引</t>
  </si>
  <si>
    <t>韦万朗</t>
  </si>
  <si>
    <t>丁晓东</t>
  </si>
  <si>
    <t>刘备</t>
  </si>
  <si>
    <t>徐登华</t>
  </si>
  <si>
    <t>余为峰</t>
  </si>
  <si>
    <t>康豪杰</t>
  </si>
  <si>
    <t>罗宇杰</t>
  </si>
  <si>
    <t>叶乃俊</t>
  </si>
  <si>
    <t>欧凯</t>
  </si>
  <si>
    <t>何日荣</t>
  </si>
  <si>
    <t>肖志亮</t>
  </si>
  <si>
    <t>陈晓仪</t>
  </si>
  <si>
    <t>李冲</t>
  </si>
  <si>
    <t>秦朝通</t>
  </si>
  <si>
    <t>刘文东</t>
  </si>
  <si>
    <t>金佳乐</t>
  </si>
  <si>
    <t>唐德刚</t>
  </si>
  <si>
    <t>朱连军</t>
  </si>
  <si>
    <t>唐德彪</t>
  </si>
  <si>
    <t>傅英棣</t>
  </si>
  <si>
    <t>孙颜昭</t>
  </si>
  <si>
    <t>吕培福</t>
  </si>
  <si>
    <t>龙超斌</t>
  </si>
  <si>
    <t>宋亚坤</t>
  </si>
  <si>
    <t>汪威</t>
  </si>
  <si>
    <t>梁文锋</t>
  </si>
  <si>
    <t>陆国林</t>
  </si>
  <si>
    <t>刘权</t>
  </si>
  <si>
    <t>刘日瑞</t>
  </si>
  <si>
    <t>麦小艳</t>
  </si>
  <si>
    <t>黎双贤</t>
  </si>
  <si>
    <t>徐福江</t>
  </si>
  <si>
    <t>胡鑫1</t>
  </si>
  <si>
    <t>张炜</t>
  </si>
  <si>
    <t>朱迎港</t>
  </si>
  <si>
    <t>黄爵金</t>
  </si>
  <si>
    <t>吴振</t>
  </si>
  <si>
    <t>黄楚贤</t>
  </si>
  <si>
    <t>田泽烽</t>
  </si>
  <si>
    <t>林宗雄</t>
  </si>
  <si>
    <t>彭伟程</t>
  </si>
  <si>
    <t>周全</t>
  </si>
  <si>
    <t>李文译</t>
  </si>
  <si>
    <t>周延安</t>
  </si>
  <si>
    <t>黎恩贤</t>
  </si>
  <si>
    <t>韦建朝</t>
  </si>
  <si>
    <t>陈龙阁</t>
  </si>
  <si>
    <t>吕海军</t>
  </si>
  <si>
    <t>伍力稳</t>
  </si>
  <si>
    <t>梁荣均</t>
  </si>
  <si>
    <t>苏成勇</t>
  </si>
  <si>
    <t>苏广</t>
  </si>
  <si>
    <t>邓亮成</t>
  </si>
  <si>
    <t>屈鑫宏</t>
  </si>
  <si>
    <t>李立辉</t>
  </si>
  <si>
    <t>蒲正才</t>
  </si>
  <si>
    <t>陈志业</t>
  </si>
  <si>
    <t>徐亚华</t>
  </si>
  <si>
    <t>钟建超</t>
  </si>
  <si>
    <t>蒋述华</t>
  </si>
  <si>
    <t>谢林俊</t>
  </si>
  <si>
    <t>唐斌2</t>
  </si>
  <si>
    <t>欧阳世全</t>
  </si>
  <si>
    <t>吴龙泽</t>
  </si>
  <si>
    <t>张森3</t>
  </si>
  <si>
    <t>黄杰新</t>
  </si>
  <si>
    <t>熊仁云</t>
  </si>
  <si>
    <t>莫传凯</t>
  </si>
  <si>
    <t>郭丁明</t>
  </si>
  <si>
    <t>张建成</t>
  </si>
  <si>
    <t>曹伟乾</t>
  </si>
  <si>
    <t>罗建卉</t>
  </si>
  <si>
    <t>吴成会</t>
  </si>
  <si>
    <t>蓝海萍</t>
  </si>
  <si>
    <t>唐志成</t>
  </si>
  <si>
    <t>王玉奇</t>
  </si>
  <si>
    <t>罗文香</t>
  </si>
  <si>
    <t>韦金秀</t>
  </si>
  <si>
    <t>李良岳</t>
  </si>
  <si>
    <t>邓锦文</t>
  </si>
  <si>
    <t>关伟达</t>
  </si>
  <si>
    <t>蒙珍云</t>
  </si>
  <si>
    <t>何军</t>
  </si>
  <si>
    <t>杨诸宇</t>
  </si>
  <si>
    <t>乔永康</t>
  </si>
  <si>
    <t>马文凯</t>
  </si>
  <si>
    <t>李良1</t>
  </si>
  <si>
    <t>杨铭杰</t>
  </si>
  <si>
    <t>张引</t>
  </si>
  <si>
    <t>曹志平</t>
  </si>
  <si>
    <t>钟水滔</t>
  </si>
  <si>
    <t>廖昌建</t>
  </si>
  <si>
    <t>肖罗</t>
  </si>
  <si>
    <t>邹航航</t>
  </si>
  <si>
    <t>张超甲</t>
  </si>
  <si>
    <t>覃成功</t>
  </si>
  <si>
    <t>刘诚</t>
  </si>
  <si>
    <t>王雪梅</t>
  </si>
  <si>
    <t>梁福才</t>
  </si>
  <si>
    <t>李明东</t>
  </si>
  <si>
    <t>陈文进</t>
  </si>
  <si>
    <t>黄家豪</t>
  </si>
  <si>
    <t>郑术</t>
  </si>
  <si>
    <t>黄金宝</t>
  </si>
  <si>
    <t>张海平</t>
  </si>
  <si>
    <t>黄子权</t>
  </si>
  <si>
    <t>彭宁</t>
  </si>
  <si>
    <t>孙云昊</t>
  </si>
  <si>
    <t>田鹏鹏</t>
  </si>
  <si>
    <t>余忠波</t>
  </si>
  <si>
    <t>孟会康</t>
  </si>
  <si>
    <t>江传华</t>
  </si>
  <si>
    <t>李桂侨</t>
  </si>
  <si>
    <t>封俊健</t>
  </si>
  <si>
    <t>鲍加荣</t>
  </si>
  <si>
    <t>黄世峰</t>
  </si>
  <si>
    <t>毛顺</t>
  </si>
  <si>
    <t>冯杰</t>
  </si>
  <si>
    <t>胡此波</t>
  </si>
  <si>
    <t>廖邦伍</t>
  </si>
  <si>
    <t>申海斌</t>
  </si>
  <si>
    <t>覃宝东</t>
  </si>
  <si>
    <t>洪术林</t>
  </si>
  <si>
    <t>罗卫年</t>
  </si>
  <si>
    <t>唐铁华</t>
  </si>
  <si>
    <t>张家洛</t>
  </si>
  <si>
    <t>何小辉</t>
  </si>
  <si>
    <t>张华军</t>
  </si>
  <si>
    <t>毛明清</t>
  </si>
  <si>
    <t>李洪榄</t>
  </si>
  <si>
    <t>罗开敏</t>
  </si>
  <si>
    <t>唐高峰</t>
  </si>
  <si>
    <t>周再长</t>
  </si>
  <si>
    <t>李进业</t>
  </si>
  <si>
    <t>张志强</t>
  </si>
  <si>
    <t>任廷明</t>
  </si>
  <si>
    <t>凌梓豪</t>
  </si>
  <si>
    <t>张发镱</t>
  </si>
  <si>
    <t>王庆富</t>
  </si>
  <si>
    <t>周子棠</t>
  </si>
  <si>
    <t>李燕河</t>
  </si>
  <si>
    <t>朱少杰</t>
  </si>
  <si>
    <t>李北英</t>
  </si>
  <si>
    <t>马凯</t>
  </si>
  <si>
    <t>乐昌亮</t>
  </si>
  <si>
    <t>陈建华</t>
  </si>
  <si>
    <t>池文彬</t>
  </si>
  <si>
    <t>黄廉贵</t>
  </si>
  <si>
    <t>陈东强</t>
  </si>
  <si>
    <t>黄伏强</t>
  </si>
  <si>
    <t>王与峰</t>
  </si>
  <si>
    <t>潘力祥</t>
  </si>
  <si>
    <t>黄文辉</t>
  </si>
  <si>
    <t>刘唐骏</t>
  </si>
  <si>
    <t>王小合</t>
  </si>
  <si>
    <t>马健华</t>
  </si>
  <si>
    <t>冯梓源</t>
  </si>
  <si>
    <t>熊贵平</t>
  </si>
  <si>
    <t>何学润</t>
  </si>
  <si>
    <t>罗志诚</t>
  </si>
  <si>
    <t>罗光勇</t>
  </si>
  <si>
    <t>胡凯</t>
  </si>
  <si>
    <t>覃敏1</t>
  </si>
  <si>
    <t>武天龙</t>
  </si>
  <si>
    <t>杨健</t>
  </si>
  <si>
    <t>李武科</t>
  </si>
  <si>
    <t>胡远招</t>
  </si>
  <si>
    <t>范亚星</t>
  </si>
  <si>
    <t>文礼正</t>
  </si>
  <si>
    <t>史伟博</t>
  </si>
  <si>
    <t>许炳粤</t>
  </si>
  <si>
    <t>曹文才</t>
  </si>
  <si>
    <t>张锡进</t>
  </si>
  <si>
    <t>陈江</t>
  </si>
  <si>
    <t>丁洪彪</t>
  </si>
  <si>
    <t>钟伟龙</t>
  </si>
  <si>
    <t>陈光永</t>
  </si>
  <si>
    <t>石庆伟</t>
  </si>
  <si>
    <t>陆国清</t>
  </si>
  <si>
    <t>游秀辉</t>
  </si>
  <si>
    <t>张胜</t>
  </si>
  <si>
    <t>王占锋</t>
  </si>
  <si>
    <t>陈善波</t>
  </si>
  <si>
    <t>冼学雁</t>
  </si>
  <si>
    <t>郑金铭</t>
  </si>
  <si>
    <t>麦文基</t>
  </si>
  <si>
    <t>邢路平</t>
  </si>
  <si>
    <t>耿世界</t>
  </si>
  <si>
    <t>张建锋</t>
  </si>
  <si>
    <t>胡志远</t>
  </si>
  <si>
    <t>李燕星</t>
  </si>
  <si>
    <t>覃达盛</t>
  </si>
  <si>
    <t>颜永川</t>
  </si>
  <si>
    <t>陈庭贵</t>
  </si>
  <si>
    <t>黄丹丽</t>
  </si>
  <si>
    <t>李兴超</t>
  </si>
  <si>
    <t>陈进辉</t>
  </si>
  <si>
    <t>郑伟专</t>
  </si>
  <si>
    <t>武攀飞</t>
  </si>
  <si>
    <t>孙浩</t>
  </si>
  <si>
    <t>何胜鹏</t>
  </si>
  <si>
    <t>曾荣钦</t>
  </si>
  <si>
    <t>黄厚礼</t>
  </si>
  <si>
    <t>冯向武</t>
  </si>
  <si>
    <t>薛良</t>
  </si>
  <si>
    <t>汪元超</t>
  </si>
  <si>
    <t>周雄东</t>
  </si>
  <si>
    <t>农建福</t>
  </si>
  <si>
    <t>李建清</t>
  </si>
  <si>
    <t>罗鹏</t>
  </si>
  <si>
    <t>田秦友</t>
  </si>
  <si>
    <t>陈有志</t>
  </si>
  <si>
    <t>徐要生</t>
  </si>
  <si>
    <t>施腾</t>
  </si>
  <si>
    <t>罗正鹏</t>
  </si>
  <si>
    <t>尹华鑫</t>
  </si>
  <si>
    <t>张晓森</t>
  </si>
  <si>
    <t>廖琦</t>
  </si>
  <si>
    <t>陈国邦</t>
  </si>
  <si>
    <t>姚华胜</t>
  </si>
  <si>
    <t>陈忠文</t>
  </si>
  <si>
    <t>何敏仪</t>
  </si>
  <si>
    <t>胡展纬</t>
  </si>
  <si>
    <t>刘罗彪</t>
  </si>
  <si>
    <t>张征</t>
  </si>
  <si>
    <t>杨小强</t>
  </si>
  <si>
    <t>佘龙江</t>
  </si>
  <si>
    <t>彭德正</t>
  </si>
  <si>
    <t>张建平</t>
  </si>
  <si>
    <t>邹长安</t>
  </si>
  <si>
    <t>刘兴</t>
  </si>
  <si>
    <t>李铸荣</t>
  </si>
  <si>
    <t>马小民</t>
  </si>
  <si>
    <t>黄家添</t>
  </si>
  <si>
    <t>吴斌斌</t>
  </si>
  <si>
    <t>邓金涛</t>
  </si>
  <si>
    <t>肖双全</t>
  </si>
  <si>
    <t>张益彪</t>
  </si>
  <si>
    <t>唐大渊</t>
  </si>
  <si>
    <t>黄均平</t>
  </si>
  <si>
    <t>韦财明</t>
  </si>
  <si>
    <t>卢国能</t>
  </si>
  <si>
    <t>刘奇2</t>
  </si>
  <si>
    <t>曾令泉</t>
  </si>
  <si>
    <t>刘云龙</t>
  </si>
  <si>
    <t>梁昌俊</t>
  </si>
  <si>
    <t>覃里能</t>
  </si>
  <si>
    <t>梁贻恩</t>
  </si>
  <si>
    <t>陈泽佳</t>
  </si>
  <si>
    <t>陈梓涛</t>
  </si>
  <si>
    <t>李仲国</t>
  </si>
  <si>
    <t>赵鹏</t>
  </si>
  <si>
    <t>罗应</t>
  </si>
  <si>
    <t>唐贤雍</t>
  </si>
  <si>
    <t>罗勇2</t>
  </si>
  <si>
    <t>周整湘</t>
  </si>
  <si>
    <t>张凯明</t>
  </si>
  <si>
    <t>邱志华</t>
  </si>
  <si>
    <t>谭毅</t>
  </si>
  <si>
    <t>陈鸿胄</t>
  </si>
  <si>
    <t>兰新财</t>
  </si>
  <si>
    <t>欧存祥</t>
  </si>
  <si>
    <t>杨斌</t>
  </si>
  <si>
    <t>杨京琪</t>
  </si>
  <si>
    <t>杨兵杰</t>
  </si>
  <si>
    <t>杨军旗</t>
  </si>
  <si>
    <t>熊文彬</t>
  </si>
  <si>
    <t>许根林</t>
  </si>
  <si>
    <t>刘香凤</t>
  </si>
  <si>
    <t>柳成强</t>
  </si>
  <si>
    <t>华静梅</t>
  </si>
  <si>
    <t>郭建辉</t>
  </si>
  <si>
    <t>言忠合</t>
  </si>
  <si>
    <t>区焯铭</t>
  </si>
  <si>
    <t>覃英结</t>
  </si>
  <si>
    <t>姚嘉杰</t>
  </si>
  <si>
    <t>覃治霖</t>
  </si>
  <si>
    <t>田超</t>
  </si>
  <si>
    <t>田敏</t>
  </si>
  <si>
    <t>祁道航</t>
  </si>
  <si>
    <t>崔龙</t>
  </si>
  <si>
    <t>曹品</t>
  </si>
  <si>
    <t>赖飞隆</t>
  </si>
  <si>
    <t>练立明</t>
  </si>
  <si>
    <t>李天佑</t>
  </si>
  <si>
    <t>谢路</t>
  </si>
  <si>
    <t>毛作成</t>
  </si>
  <si>
    <t>江正阳</t>
  </si>
  <si>
    <t>冼传信</t>
  </si>
  <si>
    <t>陈伟明</t>
  </si>
  <si>
    <t>冯波</t>
  </si>
  <si>
    <t>吴泽颖</t>
  </si>
  <si>
    <t>梁占标</t>
  </si>
  <si>
    <t>薛宏炎</t>
  </si>
  <si>
    <t>龙运锋</t>
  </si>
  <si>
    <t>赖文年</t>
  </si>
  <si>
    <t>李伦保</t>
  </si>
  <si>
    <t>龙科</t>
  </si>
  <si>
    <t>石鸿宽</t>
  </si>
  <si>
    <t>曾伟民</t>
  </si>
  <si>
    <t>罗字强</t>
  </si>
  <si>
    <t>祝立平</t>
  </si>
  <si>
    <t>欧伟祥</t>
  </si>
  <si>
    <t>郑东明</t>
  </si>
  <si>
    <t>何泳辉</t>
  </si>
  <si>
    <t>司徒伟源</t>
  </si>
  <si>
    <t>杨钊</t>
  </si>
  <si>
    <t>张沂</t>
  </si>
  <si>
    <t>王豪</t>
  </si>
  <si>
    <t>熊师源</t>
  </si>
  <si>
    <t>石自强</t>
  </si>
  <si>
    <t>韦富源</t>
  </si>
  <si>
    <t>梁栓萌</t>
  </si>
  <si>
    <t>孙国权</t>
  </si>
  <si>
    <t>饶波</t>
  </si>
  <si>
    <t>魏仁强</t>
  </si>
  <si>
    <t>韦贵满</t>
  </si>
  <si>
    <t>梁理想</t>
  </si>
  <si>
    <t>董俊豪</t>
  </si>
  <si>
    <t>熊海标</t>
  </si>
  <si>
    <t>杨少勃</t>
  </si>
  <si>
    <t>苏宏源</t>
  </si>
  <si>
    <t>牛现宝</t>
  </si>
  <si>
    <t>卢昌河</t>
  </si>
  <si>
    <t>彭天宝</t>
  </si>
  <si>
    <t>钟潭才</t>
  </si>
  <si>
    <t>李山宝</t>
  </si>
  <si>
    <t>杨玉中</t>
  </si>
  <si>
    <t>肖亚磊</t>
  </si>
  <si>
    <t>黄庚明</t>
  </si>
  <si>
    <t>戎瑞</t>
  </si>
  <si>
    <t>陈佳</t>
  </si>
  <si>
    <t>钟斌德</t>
  </si>
  <si>
    <t>陈泰谕</t>
  </si>
  <si>
    <t>门俊嘉</t>
  </si>
  <si>
    <t>吴栋杰</t>
  </si>
  <si>
    <t>高邓</t>
  </si>
  <si>
    <t>黎国武</t>
  </si>
  <si>
    <t>吴建辉</t>
  </si>
  <si>
    <t>彭俊杰</t>
  </si>
  <si>
    <t>李先华</t>
  </si>
  <si>
    <t>邱李达</t>
  </si>
  <si>
    <t>张柯</t>
  </si>
  <si>
    <t>胡艺玲</t>
  </si>
  <si>
    <t>唐小春</t>
  </si>
  <si>
    <t>彭国海</t>
  </si>
  <si>
    <t>何理</t>
  </si>
  <si>
    <t>谢启考</t>
  </si>
  <si>
    <t>潘灏文</t>
  </si>
  <si>
    <t>陈美瑜</t>
  </si>
  <si>
    <t>宋罗伟</t>
  </si>
  <si>
    <t>杨新标</t>
  </si>
  <si>
    <t>胡晓妍</t>
  </si>
  <si>
    <t>李保安</t>
  </si>
  <si>
    <t>庞伟</t>
  </si>
  <si>
    <t>何佳斌</t>
  </si>
  <si>
    <t>潘桃</t>
  </si>
  <si>
    <t>瞿敬轩</t>
  </si>
  <si>
    <t>廖文山</t>
  </si>
  <si>
    <t>李标</t>
  </si>
  <si>
    <t>平金秋</t>
  </si>
  <si>
    <t>柴松涵</t>
  </si>
  <si>
    <t>丁胜峰</t>
  </si>
  <si>
    <t>张嘉航</t>
  </si>
  <si>
    <t>宋伟</t>
  </si>
  <si>
    <t>贺叶清</t>
  </si>
  <si>
    <t>邓陈陈</t>
  </si>
  <si>
    <t>秦灿培</t>
  </si>
  <si>
    <t>王少斌</t>
  </si>
  <si>
    <t>黄成稳</t>
  </si>
  <si>
    <t>雷丰平</t>
  </si>
  <si>
    <t>郑文达</t>
  </si>
  <si>
    <t>黄平</t>
  </si>
  <si>
    <t>曾锴</t>
  </si>
  <si>
    <t>莫秀边</t>
  </si>
  <si>
    <t>何明其</t>
  </si>
  <si>
    <t>袁世强</t>
  </si>
  <si>
    <t>冯孝凯</t>
  </si>
  <si>
    <t>胡国福</t>
  </si>
  <si>
    <t>陈浩飞</t>
  </si>
  <si>
    <t>胡学文</t>
  </si>
  <si>
    <t>李选民</t>
  </si>
  <si>
    <t>余传龙</t>
  </si>
  <si>
    <t>李明露</t>
  </si>
  <si>
    <t>赵逸飞</t>
  </si>
  <si>
    <t>翟辉煌</t>
  </si>
  <si>
    <t>陈树鑫</t>
  </si>
  <si>
    <t>周顺</t>
  </si>
  <si>
    <t>安合阳</t>
  </si>
  <si>
    <t>卢帅帅</t>
  </si>
  <si>
    <t>张城玮</t>
  </si>
  <si>
    <t>杨景</t>
  </si>
  <si>
    <t>陈钾天</t>
  </si>
  <si>
    <t>蓝茂坤</t>
  </si>
  <si>
    <t>罗文冬</t>
  </si>
  <si>
    <t>张磊2</t>
  </si>
  <si>
    <t>范怀千</t>
  </si>
  <si>
    <t>莫先福</t>
  </si>
  <si>
    <t>罗小兵</t>
  </si>
  <si>
    <t>崔文龙</t>
  </si>
  <si>
    <t>杨号</t>
  </si>
  <si>
    <t>宋超</t>
  </si>
  <si>
    <t>张子超</t>
  </si>
  <si>
    <t>潘庆</t>
  </si>
  <si>
    <t>司浩冰</t>
  </si>
  <si>
    <t>王豪威</t>
  </si>
  <si>
    <t>刘旺旺</t>
  </si>
  <si>
    <t>刘炳</t>
  </si>
  <si>
    <t>乐水东</t>
  </si>
  <si>
    <t>廖志祥</t>
  </si>
  <si>
    <t>梁建龙</t>
  </si>
  <si>
    <t>甘维北</t>
  </si>
  <si>
    <t>凤肖林</t>
  </si>
  <si>
    <t>江维</t>
  </si>
  <si>
    <t>白旭</t>
  </si>
  <si>
    <t>潘年凡</t>
  </si>
  <si>
    <t>黄近</t>
  </si>
  <si>
    <t>黄建调</t>
  </si>
  <si>
    <t>谢志科</t>
  </si>
  <si>
    <t>邓关华</t>
  </si>
  <si>
    <t>李波2</t>
  </si>
  <si>
    <t>韦昌宏</t>
  </si>
  <si>
    <t>陆东里</t>
  </si>
  <si>
    <t>莫伟燕</t>
  </si>
  <si>
    <t>李艳芝</t>
  </si>
  <si>
    <t>伍燕晶</t>
  </si>
  <si>
    <t>曹媚</t>
  </si>
  <si>
    <t>黄龙生</t>
  </si>
  <si>
    <t>邹广森</t>
  </si>
  <si>
    <t>杨观林</t>
  </si>
  <si>
    <t>陈西</t>
  </si>
  <si>
    <t>陈文超</t>
  </si>
  <si>
    <t>郭银川</t>
  </si>
  <si>
    <t>罗大兴</t>
  </si>
  <si>
    <t>刘忠琅</t>
  </si>
  <si>
    <t>康召召</t>
  </si>
  <si>
    <t>黄水献</t>
  </si>
  <si>
    <t>全达来</t>
  </si>
  <si>
    <t>李兴腾</t>
  </si>
  <si>
    <t>黄世隆</t>
  </si>
  <si>
    <t>陈博</t>
  </si>
  <si>
    <t>蒲怀春</t>
  </si>
  <si>
    <t>黄玉念</t>
  </si>
  <si>
    <t>陈善东</t>
  </si>
  <si>
    <t>杨笔山</t>
  </si>
  <si>
    <t>张森4</t>
  </si>
  <si>
    <t>叶森山</t>
  </si>
  <si>
    <t>李天星</t>
  </si>
  <si>
    <t>曹人凡</t>
  </si>
  <si>
    <t>吴玉梅</t>
  </si>
  <si>
    <t>熊新警</t>
  </si>
  <si>
    <t>曾令亮</t>
  </si>
  <si>
    <t>梁锦浩</t>
  </si>
  <si>
    <t>杨树生</t>
  </si>
  <si>
    <t>曹刚川</t>
  </si>
  <si>
    <t>杨万瑶</t>
  </si>
  <si>
    <t>江锦锋</t>
  </si>
  <si>
    <t>温惠芬</t>
  </si>
  <si>
    <t>吴振豪</t>
  </si>
  <si>
    <t>黄灿杰</t>
  </si>
  <si>
    <t>李建锐</t>
  </si>
  <si>
    <t>温伟伦</t>
  </si>
  <si>
    <t>朱建辉</t>
  </si>
  <si>
    <t>王文军</t>
  </si>
  <si>
    <t>余浩楠</t>
  </si>
  <si>
    <t>王双杰</t>
  </si>
  <si>
    <t>徐明喜</t>
  </si>
  <si>
    <t>钟英逸</t>
  </si>
  <si>
    <t>李宁</t>
  </si>
  <si>
    <t>朱新华</t>
  </si>
  <si>
    <t>贾炎</t>
  </si>
  <si>
    <t>李广源</t>
  </si>
  <si>
    <t>蒋国棋</t>
  </si>
  <si>
    <t>古金荣</t>
  </si>
  <si>
    <t>李小兵</t>
  </si>
  <si>
    <t>龚传奇</t>
  </si>
  <si>
    <t>许伟</t>
  </si>
  <si>
    <t>胡淇振</t>
  </si>
  <si>
    <t>李文泽</t>
  </si>
  <si>
    <t>段天锦</t>
  </si>
  <si>
    <t>王文杰</t>
  </si>
  <si>
    <t>陶忆俊</t>
  </si>
  <si>
    <t>逯凯元</t>
  </si>
  <si>
    <t>曹景瑞</t>
  </si>
  <si>
    <t>周亚南</t>
  </si>
  <si>
    <t>赖明龙</t>
  </si>
  <si>
    <t>罗宗文</t>
  </si>
  <si>
    <t>张庆强</t>
  </si>
  <si>
    <t>李孔欢</t>
  </si>
  <si>
    <t>薛双</t>
  </si>
  <si>
    <t>夏仕华</t>
  </si>
  <si>
    <t>张国庆</t>
  </si>
  <si>
    <t>李友佳</t>
  </si>
  <si>
    <t>段伟奇</t>
  </si>
  <si>
    <t>林家文</t>
  </si>
  <si>
    <t>李仕孟</t>
  </si>
  <si>
    <t>李达乐</t>
  </si>
  <si>
    <t>蔡辉</t>
  </si>
  <si>
    <t>陈康球</t>
  </si>
  <si>
    <t>白亚龙</t>
  </si>
  <si>
    <t>龙梅</t>
  </si>
  <si>
    <t>胡君武</t>
  </si>
  <si>
    <t>李森</t>
  </si>
  <si>
    <t>翟旭阳</t>
  </si>
  <si>
    <t>苏崇宽</t>
  </si>
  <si>
    <t>朱明六</t>
  </si>
  <si>
    <t>彭乾浪</t>
  </si>
  <si>
    <t>史权威</t>
  </si>
  <si>
    <t>赵玉虎</t>
  </si>
  <si>
    <t>覃友文</t>
  </si>
  <si>
    <t>李坤</t>
  </si>
  <si>
    <t>杜荣浩</t>
  </si>
  <si>
    <t>刘茂林</t>
  </si>
  <si>
    <t>黄浩2</t>
  </si>
  <si>
    <t>李进勇</t>
  </si>
  <si>
    <t>李谊才</t>
  </si>
  <si>
    <t>吴应江</t>
  </si>
  <si>
    <t>郭吉成</t>
  </si>
  <si>
    <t>王德明</t>
  </si>
  <si>
    <t>符茂树</t>
  </si>
  <si>
    <t>陈根发</t>
  </si>
  <si>
    <t>丁胜勇</t>
  </si>
  <si>
    <t>覃汉彪</t>
  </si>
  <si>
    <t>盘健坤</t>
  </si>
  <si>
    <t>陈家喜</t>
  </si>
  <si>
    <t>陆回定</t>
  </si>
  <si>
    <t>艾金龙</t>
  </si>
  <si>
    <t>傅天华</t>
  </si>
  <si>
    <t>李文斌</t>
  </si>
  <si>
    <t>侯剑平</t>
  </si>
  <si>
    <t>吴伟</t>
  </si>
  <si>
    <t>吴学金</t>
  </si>
  <si>
    <t>张在明</t>
  </si>
  <si>
    <t>赵猛飞</t>
  </si>
  <si>
    <t>张红波</t>
  </si>
  <si>
    <t>莫松庭</t>
  </si>
  <si>
    <t>戴休嘉</t>
  </si>
  <si>
    <t>刘金娇</t>
  </si>
  <si>
    <t>艾艳芬</t>
  </si>
  <si>
    <t>许青青</t>
  </si>
  <si>
    <t>魏孟菊</t>
  </si>
  <si>
    <t>翁曾燕</t>
  </si>
  <si>
    <t>黄志豪</t>
  </si>
  <si>
    <t>王校</t>
  </si>
  <si>
    <t>罗芳斌</t>
  </si>
  <si>
    <t>阳明华</t>
  </si>
  <si>
    <t>刘慧东</t>
  </si>
  <si>
    <t>吴佳劲</t>
  </si>
  <si>
    <t>杨键</t>
  </si>
  <si>
    <t>叶祥礼</t>
  </si>
  <si>
    <t>罗义容</t>
  </si>
  <si>
    <t>毛肖飞</t>
  </si>
  <si>
    <t>叶幼海</t>
  </si>
  <si>
    <t>雷程</t>
  </si>
  <si>
    <t>陈易拔</t>
  </si>
  <si>
    <t>覃仁度</t>
  </si>
  <si>
    <t>罗国发</t>
  </si>
  <si>
    <t>罗国彪</t>
  </si>
  <si>
    <t>李兴旺</t>
  </si>
  <si>
    <t>代振雷</t>
  </si>
  <si>
    <t>周裕林</t>
  </si>
  <si>
    <t>卢家铻</t>
  </si>
  <si>
    <t>易成龙</t>
  </si>
  <si>
    <t>刘叮</t>
  </si>
  <si>
    <t>杨宏超</t>
  </si>
  <si>
    <t>杨李秀</t>
  </si>
  <si>
    <t>范洪星</t>
  </si>
  <si>
    <t>黎永顺</t>
  </si>
  <si>
    <t>李超1</t>
  </si>
  <si>
    <t>叶仲意</t>
  </si>
  <si>
    <t>张庆峰</t>
  </si>
  <si>
    <t>孙翊清</t>
  </si>
  <si>
    <t>王功军</t>
  </si>
  <si>
    <t>李云梦</t>
  </si>
  <si>
    <t>江铨添</t>
  </si>
  <si>
    <t>李志杰</t>
  </si>
  <si>
    <t>李碧涛</t>
  </si>
  <si>
    <t>郁德羽</t>
  </si>
  <si>
    <t>贺中桃</t>
  </si>
  <si>
    <t>郑立忆</t>
  </si>
  <si>
    <t>王占林</t>
  </si>
  <si>
    <t>吴醒华</t>
  </si>
  <si>
    <t>韦华铝</t>
  </si>
  <si>
    <t>黄菲菲</t>
  </si>
  <si>
    <t>谭雄纠</t>
  </si>
  <si>
    <t>卢韬</t>
  </si>
  <si>
    <t>汤伟</t>
  </si>
  <si>
    <t>刘峰</t>
  </si>
  <si>
    <t>陈国明</t>
  </si>
  <si>
    <t>李麟懿</t>
  </si>
  <si>
    <t>关红锦</t>
  </si>
  <si>
    <t>周小康</t>
  </si>
  <si>
    <t>李雄坤</t>
  </si>
  <si>
    <t>李扬成</t>
  </si>
  <si>
    <t>甘成龙</t>
  </si>
  <si>
    <t>李胤贤</t>
  </si>
  <si>
    <t>何志军</t>
  </si>
  <si>
    <t>谭多龙</t>
  </si>
  <si>
    <t>莫小东</t>
  </si>
  <si>
    <t>陶惠然</t>
  </si>
  <si>
    <t>胡健</t>
  </si>
  <si>
    <t>梁竞</t>
  </si>
  <si>
    <t>刘新平</t>
  </si>
  <si>
    <t>雷珉晖</t>
  </si>
  <si>
    <t>陈庭</t>
  </si>
  <si>
    <t>廖建东</t>
  </si>
  <si>
    <t>刘才林</t>
  </si>
  <si>
    <t>郑柯</t>
  </si>
  <si>
    <t>陈诚</t>
  </si>
  <si>
    <t>蔡荣洪</t>
  </si>
  <si>
    <t>李志鹏</t>
  </si>
  <si>
    <t>林致聪</t>
  </si>
  <si>
    <t>陈彩鑫</t>
  </si>
  <si>
    <t>刘祖轩</t>
  </si>
  <si>
    <t>庞天宝</t>
  </si>
  <si>
    <t>陈乃玮</t>
  </si>
  <si>
    <t>谭天朝</t>
  </si>
  <si>
    <t>张麒麟</t>
  </si>
  <si>
    <t>张和增</t>
  </si>
  <si>
    <t>黄定鹏</t>
  </si>
  <si>
    <t>许南茜</t>
  </si>
  <si>
    <t>吴杰伟</t>
  </si>
  <si>
    <t>万廷举</t>
  </si>
  <si>
    <t>罗宏飞</t>
  </si>
  <si>
    <t>黄振鹏</t>
  </si>
  <si>
    <t>陈悦传</t>
  </si>
  <si>
    <t>陈聪</t>
  </si>
  <si>
    <t>周莲富</t>
  </si>
  <si>
    <t>王显龙</t>
  </si>
  <si>
    <t>王亮2</t>
  </si>
  <si>
    <t>陈名坤</t>
  </si>
  <si>
    <t>梁淑珍</t>
  </si>
  <si>
    <t>韦倍强</t>
  </si>
  <si>
    <t>李观明</t>
  </si>
  <si>
    <t>黄锦晨</t>
  </si>
  <si>
    <t>胡飞雄</t>
  </si>
  <si>
    <t>张家民</t>
  </si>
  <si>
    <t>邹刚丁</t>
  </si>
  <si>
    <t>邹刚桥</t>
  </si>
  <si>
    <t>张安林</t>
  </si>
  <si>
    <t>袁顺</t>
  </si>
  <si>
    <t>安小定</t>
  </si>
  <si>
    <t>吴敏丽</t>
  </si>
  <si>
    <t>叶显宗</t>
  </si>
  <si>
    <t>张近周</t>
  </si>
  <si>
    <t>曾翔辉</t>
  </si>
  <si>
    <t>卢丽丽</t>
  </si>
  <si>
    <t>覃尚前</t>
  </si>
  <si>
    <t>覃尚彪</t>
  </si>
  <si>
    <t>邓文政</t>
  </si>
  <si>
    <t>万廷义</t>
  </si>
  <si>
    <t>戴小军</t>
  </si>
  <si>
    <t>李天练</t>
  </si>
  <si>
    <t>司徒卿瑜</t>
  </si>
  <si>
    <t>曾伟蓥</t>
  </si>
  <si>
    <t>梁源胜</t>
  </si>
  <si>
    <t>刘光辉</t>
  </si>
  <si>
    <t>魏源</t>
  </si>
  <si>
    <t>冯帅</t>
  </si>
  <si>
    <t>杨聪辉</t>
  </si>
  <si>
    <t>黎彭</t>
  </si>
  <si>
    <t>甘清平</t>
  </si>
  <si>
    <t>罗发源</t>
  </si>
  <si>
    <t>杨胜叶</t>
  </si>
  <si>
    <t>彭志伟</t>
  </si>
  <si>
    <t>刘航</t>
  </si>
  <si>
    <t>朱涛2</t>
  </si>
  <si>
    <t>邓超2</t>
  </si>
  <si>
    <t>周广胜</t>
  </si>
  <si>
    <t>谢裕良</t>
  </si>
  <si>
    <t>海来次左</t>
  </si>
  <si>
    <t>刘光猛</t>
  </si>
  <si>
    <t>王发</t>
  </si>
  <si>
    <t>季育伟</t>
  </si>
  <si>
    <t>邓奇善</t>
  </si>
  <si>
    <t>张小军</t>
  </si>
  <si>
    <t>刘海</t>
  </si>
  <si>
    <t>黄日财</t>
  </si>
  <si>
    <t>黄权伟</t>
  </si>
  <si>
    <t>宋欢龙</t>
  </si>
  <si>
    <t>李文彦</t>
  </si>
  <si>
    <t>杨晋满</t>
  </si>
  <si>
    <t>解壮</t>
  </si>
  <si>
    <t>胡流丰</t>
  </si>
  <si>
    <t>莫媚</t>
  </si>
  <si>
    <t>陈雪梅</t>
  </si>
  <si>
    <t>徐达军</t>
  </si>
  <si>
    <t>梁钰泉</t>
  </si>
  <si>
    <t>周军</t>
  </si>
  <si>
    <t>梁春富</t>
  </si>
  <si>
    <t>李泳欣</t>
  </si>
  <si>
    <t>陈樟俊</t>
  </si>
  <si>
    <t>岑积强</t>
  </si>
  <si>
    <t>王佳春</t>
  </si>
  <si>
    <t>刘强2</t>
  </si>
  <si>
    <t>韦琼勇</t>
  </si>
  <si>
    <t>文敏超</t>
  </si>
  <si>
    <t>李森成</t>
  </si>
  <si>
    <t>杨小康</t>
  </si>
  <si>
    <t>刘虹</t>
  </si>
  <si>
    <t>何佳康</t>
  </si>
  <si>
    <t>刘萱</t>
  </si>
  <si>
    <t>曾疑波</t>
  </si>
  <si>
    <t>何小弦</t>
  </si>
  <si>
    <t>廖国鸿</t>
  </si>
  <si>
    <t>黄建忠</t>
  </si>
  <si>
    <t>彭奇闯</t>
  </si>
  <si>
    <t>连立</t>
  </si>
  <si>
    <t>石文帅</t>
  </si>
  <si>
    <t>石文南</t>
  </si>
  <si>
    <t>石文桃</t>
  </si>
  <si>
    <t>黄建伟</t>
  </si>
  <si>
    <t>张清炎</t>
  </si>
  <si>
    <t>张清明</t>
  </si>
  <si>
    <t>黄志标</t>
  </si>
  <si>
    <t>李连坤</t>
  </si>
  <si>
    <t>付豪</t>
  </si>
  <si>
    <t>杨棋翔</t>
  </si>
  <si>
    <t>胡嘉弘</t>
  </si>
  <si>
    <t>罗宋宣</t>
  </si>
  <si>
    <t>闻万程</t>
  </si>
  <si>
    <t>黄国柱</t>
  </si>
  <si>
    <t>祝成勇</t>
  </si>
  <si>
    <t>雷展</t>
  </si>
  <si>
    <t>刘功兴</t>
  </si>
  <si>
    <t>刘荣军</t>
  </si>
  <si>
    <t>王志麟</t>
  </si>
  <si>
    <t>董航宇</t>
  </si>
  <si>
    <t>陈健钧</t>
  </si>
  <si>
    <t>袁小文</t>
  </si>
  <si>
    <t>于士杰</t>
  </si>
  <si>
    <t>陈海潮</t>
  </si>
  <si>
    <t>李定峰</t>
  </si>
  <si>
    <t>覃维康</t>
  </si>
  <si>
    <t>彭勇国</t>
  </si>
  <si>
    <t>李金华1</t>
  </si>
  <si>
    <t>林松庭</t>
  </si>
  <si>
    <t>冯代兴</t>
  </si>
  <si>
    <t>方度朝</t>
  </si>
  <si>
    <t>胡志海</t>
  </si>
  <si>
    <t>罗华</t>
  </si>
  <si>
    <t>罗先雄</t>
  </si>
  <si>
    <t>罗先玉</t>
  </si>
  <si>
    <t>金园竣</t>
  </si>
  <si>
    <t>罗勇</t>
  </si>
  <si>
    <t>罗超</t>
  </si>
  <si>
    <t>杨宏杰</t>
  </si>
  <si>
    <t>陈汝杰</t>
  </si>
  <si>
    <t>张明杰</t>
  </si>
  <si>
    <t>黎汉森</t>
  </si>
  <si>
    <t>吴荣强</t>
  </si>
  <si>
    <t>申光辉</t>
  </si>
  <si>
    <t>秦文强</t>
  </si>
  <si>
    <t>吕年增</t>
  </si>
  <si>
    <t>唐翼杰</t>
  </si>
  <si>
    <t>方世超</t>
  </si>
  <si>
    <t>王世海</t>
  </si>
  <si>
    <t>费德焦</t>
  </si>
  <si>
    <t>谢杰伟</t>
  </si>
  <si>
    <t>马世增</t>
  </si>
  <si>
    <t>赵子龙</t>
  </si>
  <si>
    <t>陈亮1</t>
  </si>
  <si>
    <t>张鹏3</t>
  </si>
  <si>
    <t>潘宗灵</t>
  </si>
  <si>
    <t>张力</t>
  </si>
  <si>
    <t>陈志刚</t>
  </si>
  <si>
    <t>董志良</t>
  </si>
  <si>
    <t>韦儒青</t>
  </si>
  <si>
    <t>陈枭</t>
  </si>
  <si>
    <t>何其升</t>
  </si>
  <si>
    <t>劳桂幸</t>
  </si>
  <si>
    <t>唐志敏</t>
  </si>
  <si>
    <t>邓梦晨</t>
  </si>
  <si>
    <t>岳云云</t>
  </si>
  <si>
    <t>王杰2</t>
  </si>
  <si>
    <t>朱良锦</t>
  </si>
  <si>
    <t>涂章辉</t>
  </si>
  <si>
    <t>张文山</t>
  </si>
  <si>
    <t>王飞翔</t>
  </si>
  <si>
    <t>符亮</t>
  </si>
  <si>
    <t>丁家庆</t>
  </si>
  <si>
    <t>戴家雄</t>
  </si>
  <si>
    <t>伍俊杰2</t>
  </si>
  <si>
    <t>王永伟</t>
  </si>
  <si>
    <t>李超2</t>
  </si>
  <si>
    <t>陈鹏2</t>
  </si>
  <si>
    <t>符政海</t>
  </si>
  <si>
    <t>袁自志</t>
  </si>
  <si>
    <t>张广宽</t>
  </si>
  <si>
    <t>余尚垚</t>
  </si>
  <si>
    <t>王家洪</t>
  </si>
  <si>
    <t>刘金章</t>
  </si>
  <si>
    <t>张旭文</t>
  </si>
  <si>
    <t>阮桂荣</t>
  </si>
  <si>
    <t>唐波露</t>
  </si>
  <si>
    <t>林栋邦</t>
  </si>
  <si>
    <t>朱良光</t>
  </si>
  <si>
    <t>刘黎明</t>
  </si>
  <si>
    <t>唐志学</t>
  </si>
  <si>
    <t>胡孔兴</t>
  </si>
  <si>
    <t>刘栋</t>
  </si>
  <si>
    <t>李胜艺</t>
  </si>
  <si>
    <t>周贞荣</t>
  </si>
  <si>
    <t>陈志明</t>
  </si>
  <si>
    <t>李金华2</t>
  </si>
  <si>
    <t>黄明权2</t>
  </si>
  <si>
    <t>王超</t>
  </si>
  <si>
    <t>彭浩浩</t>
  </si>
  <si>
    <t>余思祥</t>
  </si>
  <si>
    <t>梅志强</t>
  </si>
  <si>
    <t>黄文强</t>
  </si>
  <si>
    <t>冼汉云</t>
  </si>
  <si>
    <t>彭冰洋</t>
  </si>
  <si>
    <t>黄华彬</t>
  </si>
  <si>
    <t>龙自军</t>
  </si>
  <si>
    <t>罗兵</t>
  </si>
  <si>
    <t>谢家扬</t>
  </si>
  <si>
    <t>游书国</t>
  </si>
  <si>
    <t>董航天</t>
  </si>
  <si>
    <t>杜光球</t>
  </si>
  <si>
    <t>李守平</t>
  </si>
  <si>
    <t>王学东</t>
  </si>
  <si>
    <t>徐龙</t>
  </si>
  <si>
    <t>牛闪闪</t>
  </si>
  <si>
    <t>杨艾</t>
  </si>
  <si>
    <t>杨小林</t>
  </si>
  <si>
    <t>黄威</t>
  </si>
  <si>
    <t>苏磊</t>
  </si>
  <si>
    <t>于绍卿</t>
  </si>
  <si>
    <t>吴东阳</t>
  </si>
  <si>
    <t>柏先军</t>
  </si>
  <si>
    <t>戚务平</t>
  </si>
  <si>
    <t>黄成祥</t>
  </si>
  <si>
    <t>李浩然2</t>
  </si>
  <si>
    <t>池朗锋</t>
  </si>
  <si>
    <t>邓正国</t>
  </si>
  <si>
    <t>陈鹏3</t>
  </si>
  <si>
    <t>李世泽</t>
  </si>
  <si>
    <t>陈开泮</t>
  </si>
  <si>
    <t>曾飞彬</t>
  </si>
  <si>
    <t>廖龙顺</t>
  </si>
  <si>
    <t>陈博文</t>
  </si>
  <si>
    <t>杨宏达</t>
  </si>
  <si>
    <t>刘军1</t>
  </si>
  <si>
    <t>李良2</t>
  </si>
  <si>
    <t>莫国倩</t>
  </si>
  <si>
    <t>朱军2</t>
  </si>
  <si>
    <t>李玉相</t>
  </si>
  <si>
    <t>赵顺超</t>
  </si>
  <si>
    <t>张明飞</t>
  </si>
  <si>
    <t>刘灿杨</t>
  </si>
  <si>
    <t>黄政通</t>
  </si>
  <si>
    <t>朱恒宝</t>
  </si>
  <si>
    <t>林尔世</t>
  </si>
  <si>
    <t>王伟达</t>
  </si>
  <si>
    <t>邱庆豪</t>
  </si>
  <si>
    <t>莫桂和</t>
  </si>
  <si>
    <t>梁鑫</t>
  </si>
  <si>
    <t>王良</t>
  </si>
  <si>
    <t>陆家锋</t>
  </si>
  <si>
    <t>周荣航</t>
  </si>
  <si>
    <t>詹永份</t>
  </si>
  <si>
    <t>莫含单</t>
  </si>
  <si>
    <t>李立昌</t>
  </si>
  <si>
    <t>周东晓</t>
  </si>
  <si>
    <t>易幻燊</t>
  </si>
  <si>
    <t>郭宇杰</t>
  </si>
  <si>
    <t>潘乐</t>
  </si>
  <si>
    <t>黄宇</t>
  </si>
  <si>
    <t>李义洪</t>
  </si>
  <si>
    <t>普者中</t>
  </si>
  <si>
    <t>杜连俊</t>
  </si>
  <si>
    <t>田洪星</t>
  </si>
  <si>
    <t>焦太稳</t>
  </si>
  <si>
    <t>杨发</t>
  </si>
  <si>
    <t>王家铭</t>
  </si>
  <si>
    <t>詹建偶</t>
  </si>
  <si>
    <t>张方威</t>
  </si>
  <si>
    <t>周晓明</t>
  </si>
  <si>
    <t>刘伙华</t>
  </si>
  <si>
    <t>谢添</t>
  </si>
  <si>
    <t>高盼盼</t>
  </si>
  <si>
    <t>谢民</t>
  </si>
  <si>
    <t>张成才</t>
  </si>
  <si>
    <t>程琦</t>
  </si>
  <si>
    <t>程珂</t>
  </si>
  <si>
    <t>张武毅</t>
  </si>
  <si>
    <t>李进裕</t>
  </si>
  <si>
    <t>喻春龙</t>
  </si>
  <si>
    <t>尹业浩</t>
  </si>
  <si>
    <t>陈腾</t>
  </si>
  <si>
    <t>翟炯</t>
  </si>
  <si>
    <t>吕志才</t>
  </si>
  <si>
    <t>杨军1</t>
  </si>
  <si>
    <t>佘浩东</t>
  </si>
  <si>
    <t>郑世强</t>
  </si>
  <si>
    <t>王金源</t>
  </si>
  <si>
    <t>麦秀超</t>
  </si>
  <si>
    <t>郑万旭</t>
  </si>
  <si>
    <t>谢先兵</t>
  </si>
  <si>
    <t>蒙运高</t>
  </si>
  <si>
    <t>吴泽锋</t>
  </si>
  <si>
    <t>丘杨辉</t>
  </si>
  <si>
    <t>王增</t>
  </si>
  <si>
    <t>夏桂川</t>
  </si>
  <si>
    <t>梁贵杰</t>
  </si>
  <si>
    <t>覃水强</t>
  </si>
  <si>
    <t>苏相凤</t>
  </si>
  <si>
    <t>黄绍贤</t>
  </si>
  <si>
    <t>傅有海</t>
  </si>
  <si>
    <t>郑志伟</t>
  </si>
  <si>
    <t>韦尚业</t>
  </si>
  <si>
    <t>魏炎羽</t>
  </si>
  <si>
    <t>邓文涛</t>
  </si>
  <si>
    <t>张伟2</t>
  </si>
  <si>
    <t>杨军2</t>
  </si>
  <si>
    <t>胡志武</t>
  </si>
  <si>
    <t>张付东</t>
  </si>
  <si>
    <t>何鹏涛</t>
  </si>
  <si>
    <t>陈献章</t>
  </si>
  <si>
    <t>张富铭</t>
  </si>
  <si>
    <t>罗小波</t>
  </si>
  <si>
    <t>何绍强</t>
  </si>
  <si>
    <t>黄富明</t>
  </si>
  <si>
    <t>林鸿</t>
  </si>
  <si>
    <t>刘特力</t>
  </si>
  <si>
    <t>王向陟</t>
  </si>
  <si>
    <t>盘正荣</t>
  </si>
  <si>
    <t>董钰樟</t>
  </si>
  <si>
    <t>肖辉煌</t>
  </si>
  <si>
    <t>李晓东2</t>
  </si>
  <si>
    <t>鲁靖勇</t>
  </si>
  <si>
    <t>郭文强</t>
  </si>
  <si>
    <t>李坚</t>
  </si>
  <si>
    <t>黄天</t>
  </si>
  <si>
    <t>刘子瑞</t>
  </si>
  <si>
    <t>刘军2</t>
  </si>
  <si>
    <t>伍云</t>
  </si>
  <si>
    <t>梁有平</t>
  </si>
  <si>
    <t>葛传刚</t>
  </si>
  <si>
    <t>谭凯文</t>
  </si>
  <si>
    <t>胡鑫2</t>
  </si>
  <si>
    <t>覃敏2</t>
  </si>
  <si>
    <t>王癸水</t>
  </si>
  <si>
    <t>李傲</t>
  </si>
  <si>
    <t>陈金2</t>
  </si>
  <si>
    <t>余志杰</t>
  </si>
  <si>
    <t>孙凌杰</t>
  </si>
  <si>
    <t>林长涛</t>
  </si>
  <si>
    <t>罗荣炉</t>
  </si>
  <si>
    <t>王雨为</t>
  </si>
  <si>
    <t>陈定标</t>
  </si>
  <si>
    <t>苑鹏</t>
  </si>
  <si>
    <t>李元元</t>
  </si>
  <si>
    <t>李科伟</t>
  </si>
  <si>
    <t>温贵成</t>
  </si>
  <si>
    <t>吴谢州</t>
  </si>
  <si>
    <t>李传华</t>
  </si>
  <si>
    <t>黄苕威</t>
  </si>
  <si>
    <t>李洋洋</t>
  </si>
  <si>
    <t>李龙坡</t>
  </si>
  <si>
    <t>龙志平</t>
  </si>
  <si>
    <t>左壮壮</t>
  </si>
  <si>
    <t>高国安</t>
  </si>
  <si>
    <t>刘星</t>
  </si>
  <si>
    <t>陈亮2</t>
  </si>
  <si>
    <t>刘长旺</t>
  </si>
  <si>
    <t>谢树涛</t>
  </si>
  <si>
    <t>戴希宝</t>
  </si>
  <si>
    <t>周荣华</t>
  </si>
  <si>
    <t>胡建平1</t>
  </si>
  <si>
    <t>肖青山</t>
  </si>
  <si>
    <t>何仔良</t>
  </si>
  <si>
    <t>张俊宝</t>
  </si>
  <si>
    <t>粤泽</t>
  </si>
  <si>
    <t>袁术平</t>
  </si>
  <si>
    <t>朱安平</t>
  </si>
  <si>
    <t>杨阳</t>
  </si>
  <si>
    <t>赵毅伟</t>
  </si>
  <si>
    <t>陈德尚</t>
  </si>
  <si>
    <t>高扬</t>
  </si>
  <si>
    <t>陈俊宇</t>
  </si>
  <si>
    <t>马俊</t>
  </si>
  <si>
    <t>王鸿</t>
  </si>
  <si>
    <t>张洁</t>
  </si>
  <si>
    <t>查树超</t>
  </si>
  <si>
    <t>李悦</t>
  </si>
  <si>
    <t>周新建</t>
  </si>
  <si>
    <t>林少佳</t>
  </si>
  <si>
    <t>周乐天</t>
  </si>
  <si>
    <t>吴海涛</t>
  </si>
  <si>
    <t>申钱贵</t>
  </si>
  <si>
    <t>吴文贵</t>
  </si>
  <si>
    <t>莫响亮</t>
  </si>
  <si>
    <t>杨照魁</t>
  </si>
  <si>
    <t>赖澍栋</t>
  </si>
  <si>
    <t>高健翔</t>
  </si>
  <si>
    <t>杨焕</t>
  </si>
  <si>
    <t>邱智琪</t>
  </si>
  <si>
    <t>李自信</t>
  </si>
  <si>
    <t>黄小虎</t>
  </si>
  <si>
    <t>彭杰锋</t>
  </si>
  <si>
    <t>王枫林</t>
  </si>
  <si>
    <t>温嘉豪</t>
  </si>
  <si>
    <t>汪亮</t>
  </si>
  <si>
    <t>曾庆鹏</t>
  </si>
  <si>
    <t>张学彬</t>
  </si>
  <si>
    <t>陈祖林</t>
  </si>
  <si>
    <t>张凯瑶</t>
  </si>
  <si>
    <t>黄刚</t>
  </si>
  <si>
    <t>区云聪</t>
  </si>
  <si>
    <t>张梓威</t>
  </si>
  <si>
    <t>韦志成</t>
  </si>
  <si>
    <t>陈亚鹏</t>
  </si>
  <si>
    <t>陈鑫</t>
  </si>
  <si>
    <t>谭少杰</t>
  </si>
  <si>
    <t>邓波2</t>
  </si>
  <si>
    <t>韦超龙</t>
  </si>
  <si>
    <t>曾尊义</t>
  </si>
  <si>
    <t>李明斌</t>
  </si>
  <si>
    <t>曾靖</t>
  </si>
  <si>
    <t>王家乐</t>
  </si>
  <si>
    <t>沈岩</t>
  </si>
  <si>
    <t>刘衡松</t>
  </si>
  <si>
    <t>张金炎</t>
  </si>
  <si>
    <t>李冬冬</t>
  </si>
  <si>
    <t>杨发振</t>
  </si>
  <si>
    <t>陈棠钦</t>
  </si>
  <si>
    <t>周烨铭</t>
  </si>
  <si>
    <t>令狐绍相</t>
  </si>
  <si>
    <t>李明桄</t>
  </si>
  <si>
    <t>黄圣杰</t>
  </si>
  <si>
    <t>杨明华</t>
  </si>
  <si>
    <t>刘传士</t>
  </si>
  <si>
    <t>揭光润</t>
  </si>
  <si>
    <t>张立鑫</t>
  </si>
  <si>
    <t>邵鹏</t>
  </si>
  <si>
    <t>黎意平</t>
  </si>
  <si>
    <t>杨华滨</t>
  </si>
  <si>
    <t>李军长</t>
  </si>
  <si>
    <t>全家具</t>
  </si>
  <si>
    <t>顾茂持</t>
  </si>
  <si>
    <t>李儒奇</t>
  </si>
  <si>
    <t>肖雨鑫</t>
  </si>
  <si>
    <t>莫材红</t>
  </si>
  <si>
    <t>何立祖</t>
  </si>
  <si>
    <t>徐志豪</t>
  </si>
  <si>
    <t>郑光武</t>
  </si>
  <si>
    <t>陈柏陆</t>
  </si>
  <si>
    <t>吴茂锦</t>
  </si>
  <si>
    <t>吴昕舟</t>
  </si>
  <si>
    <t>何顺风</t>
  </si>
  <si>
    <t>田远植</t>
  </si>
  <si>
    <t>颜爱华</t>
  </si>
  <si>
    <t>韦国周</t>
  </si>
  <si>
    <t>蔡林元</t>
  </si>
  <si>
    <t>徐洪林</t>
  </si>
  <si>
    <t>郭尊明</t>
  </si>
  <si>
    <t>刘杨</t>
  </si>
  <si>
    <t>张兴华</t>
  </si>
  <si>
    <t>朱汉林</t>
  </si>
  <si>
    <t>张津铭</t>
  </si>
  <si>
    <t>胡建平2</t>
  </si>
  <si>
    <t>周海军</t>
  </si>
  <si>
    <t>周利华</t>
  </si>
  <si>
    <t>潘柱廷</t>
  </si>
  <si>
    <t>江勇2</t>
  </si>
  <si>
    <t>阳怡</t>
  </si>
  <si>
    <t>杨俊2</t>
  </si>
  <si>
    <t>游益山</t>
  </si>
  <si>
    <t>老师傅</t>
  </si>
  <si>
    <t>蒲永强</t>
  </si>
  <si>
    <t>陈洪涛</t>
  </si>
  <si>
    <t>张雪峰</t>
  </si>
  <si>
    <t>罗杰</t>
  </si>
  <si>
    <t>武必顺</t>
  </si>
  <si>
    <t>李玉龙</t>
  </si>
  <si>
    <t>李贤柱</t>
  </si>
  <si>
    <t>昝佳鑫</t>
  </si>
  <si>
    <t>杨伟志</t>
  </si>
  <si>
    <t>沈洋</t>
  </si>
  <si>
    <t>刘胜伟</t>
  </si>
  <si>
    <t>肖汉邦</t>
  </si>
  <si>
    <t>王玲</t>
  </si>
  <si>
    <t>李辉成</t>
  </si>
  <si>
    <t>冯子家</t>
  </si>
  <si>
    <t>谭国志</t>
  </si>
  <si>
    <t>张与豪</t>
  </si>
  <si>
    <t>许永虎</t>
  </si>
  <si>
    <t>曹保卫</t>
  </si>
  <si>
    <t>蒲超</t>
  </si>
  <si>
    <t>陈祥耀</t>
  </si>
  <si>
    <t>刘俊</t>
  </si>
  <si>
    <t>蒋鲜</t>
  </si>
  <si>
    <t>杨再兴</t>
  </si>
  <si>
    <t>严旭东</t>
  </si>
  <si>
    <t>李云</t>
  </si>
  <si>
    <t>李博</t>
  </si>
  <si>
    <t>李超越</t>
  </si>
  <si>
    <t>王高高</t>
  </si>
  <si>
    <t>陈志华</t>
  </si>
  <si>
    <t>巫舢</t>
  </si>
  <si>
    <t>王艾</t>
  </si>
  <si>
    <t>梁茜</t>
  </si>
  <si>
    <t>卿文</t>
  </si>
  <si>
    <t>黄建新</t>
  </si>
  <si>
    <t>覃雅宁</t>
  </si>
  <si>
    <t>王小明</t>
  </si>
  <si>
    <t>何佩成</t>
  </si>
  <si>
    <t>梁肇安</t>
  </si>
  <si>
    <t>雍武全</t>
  </si>
  <si>
    <t>彭志</t>
  </si>
  <si>
    <t>田阳晔</t>
  </si>
  <si>
    <t>杨顺强</t>
  </si>
  <si>
    <t>王志金</t>
  </si>
  <si>
    <t>徐威</t>
  </si>
  <si>
    <t>李剑华</t>
  </si>
  <si>
    <t>胡日兰</t>
  </si>
  <si>
    <t>谢浩</t>
  </si>
  <si>
    <t>张雷</t>
  </si>
  <si>
    <t>屈荣</t>
  </si>
  <si>
    <t>蒋清鱼</t>
  </si>
  <si>
    <t>莫银涛</t>
  </si>
  <si>
    <t>赵利强</t>
  </si>
  <si>
    <t>孙毅</t>
  </si>
  <si>
    <t>周先科</t>
  </si>
  <si>
    <t>唐光明</t>
  </si>
  <si>
    <t>高应新</t>
  </si>
  <si>
    <t>张大龙</t>
  </si>
  <si>
    <t>杜平</t>
  </si>
  <si>
    <t>向超</t>
  </si>
  <si>
    <t>张广林</t>
  </si>
  <si>
    <t>雷申华</t>
  </si>
  <si>
    <t>李立军</t>
  </si>
  <si>
    <t>曹建华</t>
  </si>
  <si>
    <t>陈涛1</t>
  </si>
  <si>
    <t>董永超</t>
  </si>
  <si>
    <t>徐练</t>
  </si>
  <si>
    <t>赵俊友</t>
  </si>
  <si>
    <t>邓合增</t>
  </si>
  <si>
    <t>梅洪武</t>
  </si>
  <si>
    <t>刘号</t>
  </si>
  <si>
    <t>陈罗</t>
  </si>
  <si>
    <t>杨文生</t>
  </si>
  <si>
    <t>刘燕</t>
  </si>
  <si>
    <t>王玉婷</t>
  </si>
  <si>
    <t>文小虎</t>
  </si>
  <si>
    <t>王炳焜</t>
  </si>
  <si>
    <t>何适</t>
  </si>
  <si>
    <t>王欢</t>
  </si>
  <si>
    <t>赵明科</t>
  </si>
  <si>
    <t>石川</t>
  </si>
  <si>
    <t>李熙</t>
  </si>
  <si>
    <t>李小荣</t>
  </si>
  <si>
    <t>赵峰</t>
  </si>
  <si>
    <t>肖里果</t>
  </si>
  <si>
    <t>谢洋洋</t>
  </si>
  <si>
    <t>费通</t>
  </si>
  <si>
    <t>杨晓松</t>
  </si>
  <si>
    <t>代方仁</t>
  </si>
  <si>
    <t>崔洋洋</t>
  </si>
  <si>
    <t>李小强</t>
  </si>
  <si>
    <t>苏师杰</t>
  </si>
  <si>
    <t>郭广奥</t>
  </si>
  <si>
    <t>胡嘉兴</t>
  </si>
  <si>
    <t>寇红文</t>
  </si>
  <si>
    <t>曾国军</t>
  </si>
  <si>
    <t>陈富强</t>
  </si>
  <si>
    <t>付强</t>
  </si>
  <si>
    <t>李松</t>
  </si>
  <si>
    <t>王凯1</t>
  </si>
  <si>
    <t>罗鑫猷</t>
  </si>
  <si>
    <t>陈碧威</t>
  </si>
  <si>
    <t>王波</t>
  </si>
  <si>
    <t>郭宝军</t>
  </si>
  <si>
    <t>刘先</t>
  </si>
  <si>
    <t>谢文广</t>
  </si>
  <si>
    <t>杨成轶</t>
  </si>
  <si>
    <t>杨中超</t>
  </si>
  <si>
    <t>朱启发</t>
  </si>
  <si>
    <t>凯宏</t>
  </si>
  <si>
    <t>彭锐</t>
  </si>
  <si>
    <t>罗大康</t>
  </si>
  <si>
    <t>蒋文彬</t>
  </si>
  <si>
    <t>魏杰</t>
  </si>
  <si>
    <t>黄先芝</t>
  </si>
  <si>
    <t>陈宇涛</t>
  </si>
  <si>
    <t>阳琪</t>
  </si>
  <si>
    <t>杨周波</t>
  </si>
  <si>
    <t>李德龙</t>
  </si>
  <si>
    <t>谭宜欢</t>
  </si>
  <si>
    <t>陈键</t>
  </si>
  <si>
    <t>刘虎</t>
  </si>
  <si>
    <t>彭召君</t>
  </si>
  <si>
    <t>苏亚辉</t>
  </si>
  <si>
    <t>刘磊1</t>
  </si>
  <si>
    <t>刘乔鉴</t>
  </si>
  <si>
    <t>陈华</t>
  </si>
  <si>
    <t>赵东旭</t>
  </si>
  <si>
    <t>邓仕琪</t>
  </si>
  <si>
    <t>李森林</t>
  </si>
  <si>
    <t>李炳超</t>
  </si>
  <si>
    <t>林志强</t>
  </si>
  <si>
    <t>向贤彪</t>
  </si>
  <si>
    <t>周鑫</t>
  </si>
  <si>
    <t>张吕永</t>
  </si>
  <si>
    <t>张永顺</t>
  </si>
  <si>
    <t>郭鹏</t>
  </si>
  <si>
    <t>李样明</t>
  </si>
  <si>
    <t>袁国伟</t>
  </si>
  <si>
    <t>黄燕临</t>
  </si>
  <si>
    <t>陈经国</t>
  </si>
  <si>
    <t>钟明方</t>
  </si>
  <si>
    <t>李爱琳</t>
  </si>
  <si>
    <t>李宗林</t>
  </si>
  <si>
    <t>李毅辉</t>
  </si>
  <si>
    <t>苏俊</t>
  </si>
  <si>
    <t>王思成</t>
  </si>
  <si>
    <t>李建坡</t>
  </si>
  <si>
    <t>蒋大安</t>
  </si>
  <si>
    <t>钟传兵</t>
  </si>
  <si>
    <t>何涛</t>
  </si>
  <si>
    <t>薛忠</t>
  </si>
  <si>
    <t>张杨琳</t>
  </si>
  <si>
    <t>张良伟</t>
  </si>
  <si>
    <t>郭光峰</t>
  </si>
  <si>
    <t>邓文捷</t>
  </si>
  <si>
    <t>徐平进</t>
  </si>
  <si>
    <t>徐殷杰</t>
  </si>
  <si>
    <t>杨壹棵</t>
  </si>
  <si>
    <t>吴金林</t>
  </si>
  <si>
    <t>冯煜</t>
  </si>
  <si>
    <t>王均泽</t>
  </si>
  <si>
    <t>唐长明</t>
  </si>
  <si>
    <t>俞开明</t>
  </si>
  <si>
    <t>郑江源</t>
  </si>
  <si>
    <t>蔚鑫</t>
  </si>
  <si>
    <t>唐清平</t>
  </si>
  <si>
    <t>吴永检</t>
  </si>
  <si>
    <t>张文广</t>
  </si>
  <si>
    <t>李健辉</t>
  </si>
  <si>
    <t>周冰云</t>
  </si>
  <si>
    <t>张科杰</t>
  </si>
  <si>
    <t>张德伟</t>
  </si>
  <si>
    <t>罗飞</t>
  </si>
  <si>
    <t>邓顺洪</t>
  </si>
  <si>
    <t>罗宇斯</t>
  </si>
  <si>
    <t>陈来金</t>
  </si>
  <si>
    <t>余铸潮</t>
  </si>
  <si>
    <t>余元涛</t>
  </si>
  <si>
    <t>何国波</t>
  </si>
  <si>
    <t>马乐华</t>
  </si>
  <si>
    <t>于浩</t>
  </si>
  <si>
    <t>王垣锦</t>
  </si>
  <si>
    <t>邹辉</t>
  </si>
  <si>
    <t>冷文锦</t>
  </si>
  <si>
    <t>王大进</t>
  </si>
  <si>
    <t>雷文宇</t>
  </si>
  <si>
    <t>汪原凯</t>
  </si>
  <si>
    <t>李翔</t>
  </si>
  <si>
    <t>段宗卯</t>
  </si>
  <si>
    <t>郑登</t>
  </si>
  <si>
    <t>唐小波</t>
  </si>
  <si>
    <t>王伯明</t>
  </si>
  <si>
    <t>刘有灿</t>
  </si>
  <si>
    <t>冯康</t>
  </si>
  <si>
    <t>雷佳鹏</t>
  </si>
  <si>
    <t>韦汉林</t>
  </si>
  <si>
    <t>曾军义</t>
  </si>
  <si>
    <t>康钦旭</t>
  </si>
  <si>
    <t>唐振鸿</t>
  </si>
  <si>
    <t>罗冬梅</t>
  </si>
  <si>
    <t>张宇</t>
  </si>
  <si>
    <t>李嘉鑫</t>
  </si>
  <si>
    <t>周彪</t>
  </si>
  <si>
    <t>胡亮2</t>
  </si>
  <si>
    <t>吴杭胶</t>
  </si>
  <si>
    <t>郑良子</t>
  </si>
  <si>
    <t>郑乘辉</t>
  </si>
  <si>
    <t>高家天</t>
  </si>
  <si>
    <t>赵磊</t>
  </si>
  <si>
    <t>符朝良</t>
  </si>
  <si>
    <t>陈涛2</t>
  </si>
  <si>
    <t>向晨曦</t>
  </si>
  <si>
    <t>邹勋池</t>
  </si>
  <si>
    <t>王魏</t>
  </si>
  <si>
    <t>范修溶</t>
  </si>
  <si>
    <t>张滔</t>
  </si>
  <si>
    <t>潘峰</t>
  </si>
  <si>
    <t>范汉平</t>
  </si>
  <si>
    <t>张献</t>
  </si>
  <si>
    <t>林虎</t>
  </si>
  <si>
    <t>陈波2</t>
  </si>
  <si>
    <t>李佳瑶</t>
  </si>
  <si>
    <t>张乔玥</t>
  </si>
  <si>
    <t>高蕊</t>
  </si>
  <si>
    <t>陈锦红</t>
  </si>
  <si>
    <t>苏莎</t>
  </si>
  <si>
    <t>陈伟3</t>
  </si>
  <si>
    <t>于春华</t>
  </si>
  <si>
    <t>临时工管理台账 — 使用说明（v3）</t>
  </si>
  <si>
    <t>一、文件概览</t>
  </si>
  <si>
    <t>本文件共包含 6 个工作表：</t>
  </si>
  <si>
    <t xml:space="preserve">  Sheet 1「面试清单」— 数据入口，录入所有面试候选人（绿色单元格为可填写）</t>
  </si>
  <si>
    <t xml:space="preserve">  Sheet 2「离职清单」— 数据入口，记录离职事件（绿色单元格为可填写，其余自动VLOOKUP拉取）</t>
  </si>
  <si>
    <t xml:space="preserve">  Sheet 3「在职清单」— 自动生成，无需手动操作</t>
  </si>
  <si>
    <t xml:space="preserve">  Sheet 4「供应商管理」— 维护供应商列表，面试清单下拉菜单自动引用此表</t>
  </si>
  <si>
    <t xml:space="preserve">  Sheet 5「指标看板」— KPI + 总目标表 + 周日度明细 + 人员结构分析 + 渠道对比 + 周度图表</t>
  </si>
  <si>
    <t xml:space="preserve">  Sheet 6「使用说明」— 即本页</t>
  </si>
  <si>
    <t>二、日常操作流程</t>
  </si>
  <si>
    <t>步骤1: 维护供应商 → 打开「供应商管理」，填写供应商编号和名称（已预填001~003示例）</t>
  </si>
  <si>
    <t>步骤2: 有人来面试 → 打开「面试清单」，填写一行（日期、姓名、身份证后四位、岗位、等级、供应商、渠道、结果、地区）</t>
  </si>
  <si>
    <t>步骤3: 人员报到 → 把对应行的「是否报到」改为【是】，填报到日期</t>
  </si>
  <si>
    <t>步骤4: 人员离职 → 打开「离职清单」，填写姓名、身份证后四位、离职日期、原因，其余自动拉取</t>
  </si>
  <si>
    <t>步骤5: 查看结果 → 打开「在职清单」和「指标看板」，数据自动更新</t>
  </si>
  <si>
    <t>三、【新增】总目标达成表 使用说明</t>
  </si>
  <si>
    <t>位置：指标看板 → 【新增】总目标达成表</t>
  </si>
  <si>
    <t>功能：按区域追踪净增人数与目标的差距及达成率</t>
  </si>
  <si>
    <t xml:space="preserve">  - 「目标」列（绿色单元格）：手动输入每个区域的净增目标人数</t>
  </si>
  <si>
    <t xml:space="preserve">  - 「净增」列（公式）：自动计算该区域从起始日期起的报到人数减去离职人数</t>
  </si>
  <si>
    <t xml:space="preserve">  - 「缺口」列（公式）：目标减去实际净增，负数显示为0</t>
  </si>
  <si>
    <t xml:space="preserve">  - 「净增达成率」（公式）：净增除以目标，&gt;=100% 自动变绿色</t>
  </si>
  <si>
    <t>使用方法：修改左上角 K2 单元格的分析起始日期，修改每行「目标」列的数字即可</t>
  </si>
  <si>
    <t>四、【新增】周日度明细表 使用说明</t>
  </si>
  <si>
    <t>位置：指标看板 → 【新增】周日度明细表（区域 x 工种）</t>
  </si>
  <si>
    <t>功能：以矩阵形式展示各区域各工种的累计和每日入职/离职/净增数据</t>
  </si>
  <si>
    <t xml:space="preserve">  - 左侧「累计」区块：从起始日期（K2单元格）到今日的累计入职、离职、净增长、今日在职人数</t>
  </si>
  <si>
    <t xml:space="preserve">  - 右侧「日期」区块：逐日显示每天的入/离/净（默认显示7天）</t>
  </si>
  <si>
    <t>结构：按区域分组（江门/成都），每组内按工种细分为钳工/电工，含小组合计和总计行</t>
  </si>
  <si>
    <t>所有数值均为公式驱动，无需手动填写</t>
  </si>
  <si>
    <t>五、【新增】人员结构分析报告 使用说明</t>
  </si>
  <si>
    <t>位置：指标看板 → 人员结构分析报告</t>
  </si>
  <si>
    <t>功能：对标华为风格的人员结构分析，含 KPI 卡片 + 两张维度分析表</t>
  </si>
  <si>
    <t xml:space="preserve">  ★ KPI 卡片（4个）：</t>
  </si>
  <si>
    <t xml:space="preserve">    - 总在职人数（公式自动）</t>
  </si>
  <si>
    <t xml:space="preserve">    - 起始日起总需求（★ 绿色单元格，需手动填写目标需求数）</t>
  </si>
  <si>
    <t xml:space="preserve">    - 累计招聘人数（公式自动）</t>
  </si>
  <si>
    <t xml:space="preserve">    - 当前缺口人数（公式 = 需求 - 在职）</t>
  </si>
  <si>
    <t xml:space="preserve">  ★ 大工/中工/小工 — 四维度占比分析表：</t>
  </si>
  <si>
    <t xml:space="preserve">    - 自动计算：在职人数、在职占比、招聘完成率、缺口数量、缺口占比、满足率、紧急度</t>
  </si>
  <si>
    <t xml:space="preserve">    - 手动填写：「需求」列（绿色），输入每个技能等级的需求目标人数</t>
  </si>
  <si>
    <t xml:space="preserve">    - 紧急度自动判定：缺口占比&gt;=50%为「高」，&gt;=20%为「中」，否则为「低」</t>
  </si>
  <si>
    <t xml:space="preserve">  ★ 电工/钳工 — 工种维度对比表：</t>
  </si>
  <si>
    <t xml:space="preserve">    - 同上逻辑，按工种维度分析；「需求」列为绿色可填写</t>
  </si>
  <si>
    <t xml:space="preserve">    - 紧急度判定：占总缺口&gt;50%=「高」, &gt;0%=「中」, 负缺口=「充足」</t>
  </si>
  <si>
    <t>六、绿色填充说明</t>
  </si>
  <si>
    <t>以下位置的绿色单元格需要手动填写，其余均为公式（白色/彩色底）：</t>
  </si>
  <si>
    <t xml:space="preserve">  - 面试清单：B~N列（日期/姓名/身份证/岗位/等级/供应商/渠道/结果/报到/备注/地区）</t>
  </si>
  <si>
    <t xml:space="preserve">  - 离职清单：姓名、身份证、离职日期、原因、说明、结算状态、备注</t>
  </si>
  <si>
    <t xml:space="preserve">  - 供应商管理：全部数据列</t>
  </si>
  <si>
    <t xml:space="preserve">  - 指标看板·总目标表：每行的「目标」列</t>
  </si>
  <si>
    <t xml:space="preserve">  - 指标看板·人员结构：KPI卡片的「起始日起总需求」、两张表的「需求」列</t>
  </si>
  <si>
    <t xml:space="preserve">  - 指标看板：K2/K11 单元格（分析起始日期）</t>
  </si>
  <si>
    <t>七、注意事项</t>
  </si>
  <si>
    <t>1. 身份证后四位是跨表关联的唯一标识，务必保证面试清单和离职清单中的值完全一致</t>
  </si>
  <si>
    <t>2. 不要在绿色以外的单元格填写数据（会覆盖公式导致数据错误）</t>
  </si>
  <si>
    <t>3. 本文件兼容 WPS Office (Mac) 和 Microsoft Excel</t>
  </si>
  <si>
    <t>4. 建议 WPS 中将计算模式设为「手动」，查看时按 F9 刷新（5000行公式较多）</t>
  </si>
  <si>
    <t>5. 地区名称目前预设为「江门」「成都」，如需调整请修改脚本中的 REGIONS 常量后重新生成</t>
  </si>
  <si>
    <t>6. 周日度明细表默认展示7天，如需更多天数请修改脚本中的 num_days 变量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</si>
</sst>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m\-dd"/>
    <numFmt numFmtId="178" formatCode="0.0%"/>
    <numFmt numFmtId="179" formatCode="mm/dd"/>
  </numFmts>
  <fonts count="50">
    <font>
      <sz val="11"/>
      <color theme="1"/>
      <name val="宋体"/>
      <charset val="134"/>
      <scheme val="minor"/>
    </font>
    <font>
      <b/>
      <sz val="14"/>
      <color rgb="FF1A2744"/>
      <name val="Arial"/>
      <charset val="134"/>
    </font>
    <font>
      <b/>
      <sz val="12"/>
      <color rgb="FFC23531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color rgb="FFFFFFFF"/>
      <name val="宋体-简"/>
      <charset val="134"/>
    </font>
    <font>
      <b/>
      <sz val="10"/>
      <color rgb="FFFFFFFF"/>
      <name val="宋体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sz val="11"/>
      <color theme="1"/>
      <name val="微软雅黑"/>
      <charset val="134"/>
    </font>
    <font>
      <sz val="10"/>
      <name val="宋体"/>
      <charset val="134"/>
    </font>
    <font>
      <sz val="12"/>
      <name val="微软雅黑"/>
      <charset val="134"/>
    </font>
    <font>
      <b/>
      <sz val="16"/>
      <color rgb="FF1A2744"/>
      <name val="Arial"/>
      <charset val="134"/>
    </font>
    <font>
      <b/>
      <sz val="10"/>
      <name val="宋体"/>
      <charset val="134"/>
    </font>
    <font>
      <b/>
      <sz val="11"/>
      <color rgb="FFC23531"/>
      <name val="Arial"/>
      <charset val="134"/>
    </font>
    <font>
      <sz val="9"/>
      <color rgb="FF666666"/>
      <name val="宋体"/>
      <charset val="134"/>
      <scheme val="minor"/>
    </font>
    <font>
      <b/>
      <sz val="12"/>
      <color rgb="FF1A2744"/>
      <name val="Arial"/>
      <charset val="134"/>
    </font>
    <font>
      <b/>
      <sz val="10"/>
      <name val="Arial"/>
      <charset val="134"/>
    </font>
    <font>
      <sz val="9"/>
      <color rgb="FF666666"/>
      <name val="Arial"/>
      <charset val="134"/>
    </font>
    <font>
      <b/>
      <sz val="18"/>
      <color rgb="FF1A2744"/>
      <name val="Arial"/>
      <charset val="134"/>
    </font>
    <font>
      <b/>
      <sz val="11"/>
      <color rgb="FFFFFFFF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0000"/>
      <name val="宋体"/>
      <charset val="134"/>
    </font>
    <font>
      <b/>
      <sz val="14"/>
      <color rgb="FF1A2744"/>
      <name val="宋体"/>
      <charset val="134"/>
      <scheme val="minor"/>
    </font>
    <font>
      <sz val="9"/>
      <color rgb="FF666666"/>
      <name val="宋体"/>
      <charset val="134"/>
    </font>
    <font>
      <b/>
      <sz val="22"/>
      <name val="Arial"/>
      <charset val="134"/>
    </font>
    <font>
      <b/>
      <sz val="22"/>
      <color rgb="FF27AE60"/>
      <name val="Arial"/>
      <charset val="134"/>
    </font>
    <font>
      <b/>
      <sz val="22"/>
      <color rgb="FFC23531"/>
      <name val="Arial"/>
      <charset val="134"/>
    </font>
    <font>
      <sz val="1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1A2744"/>
      <name val="宋体"/>
      <charset val="134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1A27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F8BBD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2D3E5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1" borderId="1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2" borderId="13" applyNumberFormat="0" applyAlignment="0" applyProtection="0">
      <alignment vertical="center"/>
    </xf>
    <xf numFmtId="0" fontId="39" fillId="23" borderId="14" applyNumberFormat="0" applyAlignment="0" applyProtection="0">
      <alignment vertical="center"/>
    </xf>
    <xf numFmtId="0" fontId="40" fillId="23" borderId="13" applyNumberFormat="0" applyAlignment="0" applyProtection="0">
      <alignment vertical="center"/>
    </xf>
    <xf numFmtId="0" fontId="41" fillId="24" borderId="15" applyNumberFormat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</cellStyleXfs>
  <cellXfs count="1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 applyFont="1" applyFill="1" applyAlignment="1"/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177" fontId="15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177" fontId="0" fillId="2" borderId="1" xfId="0" applyNumberForma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20" fillId="5" borderId="1" xfId="0" applyFont="1" applyFill="1" applyBorder="1" applyAlignment="1">
      <alignment horizontal="center" vertical="center" wrapText="1"/>
    </xf>
    <xf numFmtId="178" fontId="20" fillId="5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8" fillId="0" borderId="1" xfId="0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21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 vertical="center" wrapText="1"/>
    </xf>
    <xf numFmtId="178" fontId="18" fillId="9" borderId="1" xfId="0" applyNumberFormat="1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178" fontId="18" fillId="10" borderId="1" xfId="0" applyNumberFormat="1" applyFont="1" applyFill="1" applyBorder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8" fillId="12" borderId="9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18" fillId="14" borderId="9" xfId="0" applyFont="1" applyFill="1" applyBorder="1" applyAlignment="1">
      <alignment horizontal="center" vertical="center" wrapText="1"/>
    </xf>
    <xf numFmtId="0" fontId="18" fillId="14" borderId="8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24" fillId="15" borderId="0" xfId="0" applyFont="1" applyFill="1" applyAlignment="1">
      <alignment horizontal="right" vertical="center" wrapText="1"/>
    </xf>
    <xf numFmtId="0" fontId="24" fillId="15" borderId="0" xfId="0" applyFont="1" applyFill="1" applyAlignment="1">
      <alignment horizontal="center" vertical="center" wrapText="1"/>
    </xf>
    <xf numFmtId="0" fontId="24" fillId="15" borderId="0" xfId="0" applyFont="1" applyFill="1" applyAlignment="1">
      <alignment horizontal="left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9" fillId="2" borderId="2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26" fillId="14" borderId="2" xfId="0" applyFont="1" applyFill="1" applyBorder="1" applyAlignment="1">
      <alignment horizontal="center" vertical="center" wrapText="1"/>
    </xf>
    <xf numFmtId="0" fontId="26" fillId="0" borderId="2" xfId="0" applyFont="1" applyBorder="1"/>
    <xf numFmtId="0" fontId="26" fillId="2" borderId="2" xfId="0" applyFont="1" applyFill="1" applyBorder="1" applyAlignment="1">
      <alignment horizontal="center" vertical="center" wrapText="1"/>
    </xf>
    <xf numFmtId="0" fontId="27" fillId="13" borderId="2" xfId="0" applyFont="1" applyFill="1" applyBorder="1" applyAlignment="1">
      <alignment horizontal="center" vertical="center" wrapText="1"/>
    </xf>
    <xf numFmtId="0" fontId="28" fillId="16" borderId="2" xfId="0" applyFont="1" applyFill="1" applyBorder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78" fontId="0" fillId="17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29" fillId="18" borderId="1" xfId="0" applyFont="1" applyFill="1" applyBorder="1" applyAlignment="1">
      <alignment horizontal="center" vertical="center" wrapText="1"/>
    </xf>
    <xf numFmtId="178" fontId="0" fillId="18" borderId="1" xfId="0" applyNumberForma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horizontal="center" vertical="center" wrapText="1"/>
    </xf>
    <xf numFmtId="178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78" fontId="21" fillId="3" borderId="1" xfId="0" applyNumberFormat="1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178" fontId="0" fillId="20" borderId="1" xfId="0" applyNumberFormat="1" applyFill="1" applyBorder="1" applyAlignment="1">
      <alignment horizontal="center" vertical="center" wrapText="1"/>
    </xf>
    <xf numFmtId="178" fontId="0" fillId="13" borderId="1" xfId="0" applyNumberFormat="1" applyFill="1" applyBorder="1" applyAlignment="1">
      <alignment horizontal="center" vertical="center" wrapText="1"/>
    </xf>
    <xf numFmtId="178" fontId="3" fillId="5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 quotePrefix="1">
      <alignment horizontal="center" vertical="center" wrapText="1"/>
    </xf>
    <xf numFmtId="0" fontId="3" fillId="2" borderId="1" xfId="0" applyFont="1" applyFill="1" applyBorder="1" applyAlignment="1" quotePrefix="1">
      <alignment horizontal="center" vertical="center" wrapText="1"/>
    </xf>
    <xf numFmtId="0" fontId="7" fillId="0" borderId="2" xfId="0" applyFont="1" applyFill="1" applyBorder="1" applyAlignment="1" quotePrefix="1">
      <alignment horizontal="center" vertical="center"/>
    </xf>
    <xf numFmtId="0" fontId="7" fillId="0" borderId="2" xfId="0" applyFont="1" applyFill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  <xf numFmtId="0" fontId="3" fillId="5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C8E6C9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周度净增趋势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指标看板!$AG$5</c:f>
              <c:strCache>
                <c:ptCount val="1"/>
                <c:pt idx="0">
                  <c:v>净增</c:v>
                </c:pt>
              </c:strCache>
            </c:strRef>
          </c:tx>
          <c:spPr>
            <a:ln w="25000" cap="rnd" cmpd="sng" algn="ctr">
              <a:solidFill>
                <a:srgbClr val="185FA5"/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指标看板!$AB$6:$AB$9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指标看板!$AG$6:$AG$9</c:f>
              <c:numCache>
                <c:formatCode>General</c:formatCode>
                <c:ptCount val="4"/>
                <c:pt idx="0">
                  <c:v>142</c:v>
                </c:pt>
                <c:pt idx="1">
                  <c:v>347</c:v>
                </c:pt>
                <c:pt idx="2">
                  <c:v>21</c:v>
                </c:pt>
                <c:pt idx="3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人数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29fcbea-9023-458b-95e2-08e6df62d99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周度入职 vs 离职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指标看板!$AE$5</c:f>
              <c:strCache>
                <c:ptCount val="1"/>
                <c:pt idx="0">
                  <c:v>入职</c:v>
                </c:pt>
              </c:strCache>
            </c:strRef>
          </c:tx>
          <c:spPr>
            <a:solidFill>
              <a:srgbClr val="27AE60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指标看板!$AB$6:$AB$9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指标看板!$AE$6:$AE$9</c:f>
              <c:numCache>
                <c:formatCode>General</c:formatCode>
                <c:ptCount val="4"/>
                <c:pt idx="0">
                  <c:v>346</c:v>
                </c:pt>
                <c:pt idx="1">
                  <c:v>563</c:v>
                </c:pt>
                <c:pt idx="2">
                  <c:v>21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指标看板!$AF$5</c:f>
              <c:strCache>
                <c:ptCount val="1"/>
                <c:pt idx="0">
                  <c:v>离职</c:v>
                </c:pt>
              </c:strCache>
            </c:strRef>
          </c:tx>
          <c:spPr>
            <a:solidFill>
              <a:srgbClr val="E74C3C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指标看板!$AB$6:$AB$9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指标看板!$AF$6:$AF$9</c:f>
              <c:numCache>
                <c:formatCode>General</c:formatCode>
                <c:ptCount val="4"/>
                <c:pt idx="0">
                  <c:v>204</c:v>
                </c:pt>
                <c:pt idx="1">
                  <c:v>216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82e7fe-3413-401e-b916-d5116596460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61</xdr:row>
      <xdr:rowOff>0</xdr:rowOff>
    </xdr:from>
    <xdr:ext cx="6480000" cy="4011480"/>
    <xdr:graphicFrame>
      <xdr:nvGraphicFramePr>
        <xdr:cNvPr id="2" name="Chart 1"/>
        <xdr:cNvGraphicFramePr/>
      </xdr:nvGraphicFramePr>
      <xdr:xfrm>
        <a:off x="0" y="14925040"/>
        <a:ext cx="6479540" cy="4011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77</xdr:row>
      <xdr:rowOff>0</xdr:rowOff>
    </xdr:from>
    <xdr:ext cx="6480000" cy="4011480"/>
    <xdr:graphicFrame>
      <xdr:nvGraphicFramePr>
        <xdr:cNvPr id="3" name="Chart 2"/>
        <xdr:cNvGraphicFramePr/>
      </xdr:nvGraphicFramePr>
      <xdr:xfrm>
        <a:off x="0" y="18338800"/>
        <a:ext cx="6479540" cy="4011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54F0B"/>
  </sheetPr>
  <dimension ref="A1:AG60"/>
  <sheetViews>
    <sheetView zoomScale="120" zoomScaleNormal="120" workbookViewId="0">
      <selection activeCell="O7" sqref="O7"/>
    </sheetView>
  </sheetViews>
  <sheetFormatPr defaultColWidth="9" defaultRowHeight="16.8"/>
  <cols>
    <col min="1" max="2" width="8" customWidth="1"/>
    <col min="3" max="4" width="8.77884615384615" customWidth="1"/>
    <col min="5" max="5" width="10.7788461538462" customWidth="1"/>
    <col min="6" max="6" width="8.77884615384615" customWidth="1"/>
    <col min="7" max="8" width="10" customWidth="1"/>
    <col min="9" max="9" width="14.1153846153846" customWidth="1"/>
    <col min="10" max="10" width="13.3365384615385" customWidth="1"/>
    <col min="11" max="11" width="12.1153846153846" customWidth="1"/>
    <col min="12" max="12" width="10" customWidth="1"/>
    <col min="13" max="13" width="2.77884615384615" customWidth="1"/>
    <col min="14" max="20" width="4" customWidth="1"/>
    <col min="21" max="27" width="2.77884615384615" customWidth="1"/>
  </cols>
  <sheetData>
    <row r="1" ht="23.2" spans="1:33">
      <c r="A1" s="37" t="s">
        <v>0</v>
      </c>
    </row>
    <row r="2" ht="17.6" spans="1:33">
      <c r="J2" s="38" t="s">
        <v>1</v>
      </c>
      <c r="K2" s="39">
        <v>46174</v>
      </c>
      <c r="L2" s="40" t="s">
        <v>2</v>
      </c>
      <c r="AB2" s="41" t="s">
        <v>3</v>
      </c>
    </row>
    <row r="3" ht="34" spans="1:33">
      <c r="AB3" s="42" t="s">
        <v>4</v>
      </c>
      <c r="AC3" s="43" t="s">
        <v>5</v>
      </c>
    </row>
    <row r="4" spans="1:33">
      <c r="A4" s="44" t="s">
        <v>6</v>
      </c>
      <c r="B4" s="45"/>
      <c r="C4" s="44" t="s">
        <v>7</v>
      </c>
      <c r="D4" s="45"/>
      <c r="E4" s="44" t="s">
        <v>8</v>
      </c>
      <c r="F4" s="45"/>
      <c r="G4" s="44" t="s">
        <v>9</v>
      </c>
      <c r="H4" s="45"/>
    </row>
    <row r="5" ht="26" spans="1:33">
      <c r="A5" s="46">
        <f>COUNTA(面试清单!C:C)-1</f>
        <v>3631</v>
      </c>
      <c r="B5" s="45"/>
      <c r="C5" s="47">
        <f>IFERROR(COUNTIF(面试清单!I:I,"通过")/(COUNTA(面试清单!I:I)-1),0)</f>
        <v>0.451666207656293</v>
      </c>
      <c r="D5" s="45"/>
      <c r="E5" s="47">
        <f>IFERROR(COUNTIF(面试清单!J:J,"是")/COUNTIF(面试清单!I:I,"通过"),0)</f>
        <v>0.604878048780488</v>
      </c>
      <c r="F5" s="45"/>
      <c r="G5" s="48" cm="1">
        <f t="array" ref="G5">SUMPRODUCT(--(LEN(在职清单!$G:$G)&gt;0))-1</f>
        <v>3831</v>
      </c>
      <c r="H5" s="49"/>
      <c r="AB5" s="6" t="s">
        <v>10</v>
      </c>
      <c r="AC5" s="6" t="s">
        <v>11</v>
      </c>
      <c r="AD5" s="6" t="s">
        <v>12</v>
      </c>
      <c r="AE5" s="6" t="s">
        <v>13</v>
      </c>
      <c r="AF5" s="6" t="s">
        <v>14</v>
      </c>
      <c r="AG5" s="6" t="s">
        <v>15</v>
      </c>
    </row>
    <row r="6" spans="1:33">
      <c r="A6" s="44" t="s">
        <v>16</v>
      </c>
      <c r="B6" s="45"/>
      <c r="C6" s="44" t="s">
        <v>17</v>
      </c>
      <c r="D6" s="45"/>
      <c r="E6" s="44" t="s">
        <v>18</v>
      </c>
      <c r="F6" s="45"/>
      <c r="G6" s="44" t="s">
        <v>19</v>
      </c>
      <c r="H6" s="45"/>
      <c r="AB6" s="50" t="s">
        <v>20</v>
      </c>
      <c r="AC6" s="51">
        <f>IF($AC$3="","",$AC$3+(1-1)*7)</f>
        <v>46174</v>
      </c>
      <c r="AD6" s="51">
        <f>IF($AC6="","",$AC6+6)</f>
        <v>46180</v>
      </c>
      <c r="AE6" s="52">
        <f>IF($AC6="","",COUNTIFS(面试清单!K:K,"&gt;="&amp;$AC6,面试清单!K:K,"&lt;="&amp;$AD6,面试清单!J:J,"是"))</f>
        <v>346</v>
      </c>
      <c r="AF6" s="52">
        <f>IF($AC6="","",COUNTIFS(离职清单!H:H,"&gt;="&amp;$AC6,离职清单!H:H,"&lt;="&amp;$AD6))</f>
        <v>204</v>
      </c>
      <c r="AG6" s="52">
        <f>IF($AC6="","",AE6-AF6)</f>
        <v>142</v>
      </c>
    </row>
    <row r="7" ht="26" spans="1:33">
      <c r="A7" s="46">
        <f>COUNTIF(面试清单!J:J,"是")</f>
        <v>992</v>
      </c>
      <c r="B7" s="45"/>
      <c r="C7" s="46">
        <f>COUNTA(离职清单!B:B)-1</f>
        <v>474</v>
      </c>
      <c r="D7" s="45"/>
      <c r="E7" s="53"/>
      <c r="F7" s="54"/>
      <c r="G7" s="53"/>
      <c r="H7" s="54"/>
      <c r="AB7" s="50" t="s">
        <v>21</v>
      </c>
      <c r="AC7" s="51">
        <f>IF($AC$3="","",$AC$3+(2-1)*7)</f>
        <v>46181</v>
      </c>
      <c r="AD7" s="51">
        <f>IF($AC7="","",$AC7+6)</f>
        <v>46187</v>
      </c>
      <c r="AE7" s="52">
        <f>IF($AC7="","",COUNTIFS(面试清单!K:K,"&gt;="&amp;$AC7,面试清单!K:K,"&lt;="&amp;$AD7,面试清单!J:J,"是"))</f>
        <v>563</v>
      </c>
      <c r="AF7" s="52">
        <f>IF($AC7="","",COUNTIFS(离职清单!H:H,"&gt;="&amp;$AC7,离职清单!H:H,"&lt;="&amp;$AD7))</f>
        <v>216</v>
      </c>
      <c r="AG7" s="52">
        <f>IF($AC7="","",AE7-AF7)</f>
        <v>347</v>
      </c>
    </row>
    <row r="8" customFormat="1" spans="1:33">
      <c r="AB8" s="50" t="s">
        <v>22</v>
      </c>
      <c r="AC8" s="51">
        <f>IF($AC$3="","",$AC$3+(3-1)*7)</f>
        <v>46188</v>
      </c>
      <c r="AD8" s="51">
        <f>IF($AC8="","",$AC8+6)</f>
        <v>46194</v>
      </c>
      <c r="AE8" s="52">
        <f>IF($AC8="","",COUNTIFS(面试清单!K:K,"&gt;="&amp;$AC8,面试清单!K:K,"&lt;="&amp;$AD8,面试清单!J:J,"是"))</f>
        <v>21</v>
      </c>
      <c r="AF8" s="52">
        <f>IF($AC8="","",COUNTIFS(离职清单!H:H,"&gt;="&amp;$AC8,离职清单!H:H,"&lt;="&amp;$AD8))</f>
        <v>0</v>
      </c>
      <c r="AG8" s="52">
        <f>IF($AC8="","",AE8-AF8)</f>
        <v>21</v>
      </c>
    </row>
    <row r="9" spans="1:33">
      <c r="A9" s="55" t="s">
        <v>23</v>
      </c>
      <c r="B9" s="56"/>
      <c r="C9" s="56"/>
      <c r="D9" s="56"/>
      <c r="E9" s="56"/>
      <c r="AB9" s="50" t="s">
        <v>24</v>
      </c>
      <c r="AC9" s="51">
        <f>IF($AC$3="","",$AC$3+(4-1)*7)</f>
        <v>46195</v>
      </c>
      <c r="AD9" s="51">
        <f>IF($AC9="","",$AC9+6)</f>
        <v>46201</v>
      </c>
      <c r="AE9" s="52">
        <f>IF($AC9="","",COUNTIFS(面试清单!K:K,"&gt;="&amp;$AC9,面试清单!K:K,"&lt;="&amp;$AD9,面试清单!J:J,"是"))</f>
        <v>0</v>
      </c>
      <c r="AF9" s="52">
        <f>IF($AC9="","",COUNTIFS(离职清单!H:H,"&gt;="&amp;$AC9,离职清单!H:H,"&lt;="&amp;$AD9))</f>
        <v>0</v>
      </c>
      <c r="AG9" s="52">
        <f>IF($AC9="","",AE9-AF9)</f>
        <v>0</v>
      </c>
    </row>
    <row r="10" spans="1:33">
      <c r="A10" s="57" t="s">
        <v>25</v>
      </c>
      <c r="B10" s="57" t="s">
        <v>26</v>
      </c>
      <c r="C10" s="57" t="s">
        <v>15</v>
      </c>
      <c r="D10" s="57" t="s">
        <v>27</v>
      </c>
      <c r="E10" s="57" t="s">
        <v>28</v>
      </c>
    </row>
    <row r="11" spans="1:33">
      <c r="A11" s="58" t="s">
        <v>29</v>
      </c>
      <c r="B11" s="59">
        <v>150</v>
      </c>
      <c r="C11" s="59">
        <f>COUNTIFS(面试清单!N:N,"江门",面试清单!K:K,"&gt;="&amp;$K$2,面试清单!J:J,"是")-COUNTIFS(离职清单!N:N,"江门",离职清单!H:H,"&gt;="&amp;$K$2)</f>
        <v>311</v>
      </c>
      <c r="D11" s="59">
        <f>MAX(0,B11-C11)</f>
        <v>0</v>
      </c>
      <c r="E11" s="60">
        <f>IFERROR(C11/B11,0)</f>
        <v>2.07333333333333</v>
      </c>
    </row>
    <row r="12" spans="1:33">
      <c r="A12" s="58" t="s">
        <v>30</v>
      </c>
      <c r="B12" s="59">
        <v>90</v>
      </c>
      <c r="C12" s="59">
        <f>COUNTIFS(面试清单!N:N,"成都",面试清单!K:K,"&gt;="&amp;$K$2,面试清单!J:J,"是")-COUNTIFS(离职清单!N:N,"成都",离职清单!H:H,"&gt;="&amp;$K$2)</f>
        <v>199</v>
      </c>
      <c r="D12" s="59">
        <f>MAX(0,B12-C12)</f>
        <v>0</v>
      </c>
      <c r="E12" s="60">
        <f>IFERROR(C12/B12,0)</f>
        <v>2.21111111111111</v>
      </c>
    </row>
    <row r="13" spans="1:33">
      <c r="A13" s="61" t="s">
        <v>31</v>
      </c>
      <c r="B13" s="61">
        <f>SUM(B11:B12)</f>
        <v>240</v>
      </c>
      <c r="C13" s="61">
        <f>SUM(C11:C12)</f>
        <v>510</v>
      </c>
      <c r="D13" s="61">
        <f>SUM(D11:D12)</f>
        <v>0</v>
      </c>
      <c r="E13" s="62">
        <f>IFERROR(C13/B13,0)</f>
        <v>2.125</v>
      </c>
    </row>
    <row r="14" ht="16" customHeight="1"/>
    <row r="15" ht="24" customHeight="1" spans="1:33">
      <c r="A15" s="63" t="s">
        <v>32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3">
      <c r="A16" s="64" t="s">
        <v>25</v>
      </c>
      <c r="B16" s="64" t="s">
        <v>33</v>
      </c>
      <c r="C16" s="64" t="s">
        <v>34</v>
      </c>
      <c r="D16" s="64" t="s">
        <v>35</v>
      </c>
      <c r="E16" s="64" t="s">
        <v>36</v>
      </c>
      <c r="F16" s="65" t="s">
        <v>37</v>
      </c>
      <c r="G16" s="66" t="str">
        <f>IF($K$2="","",TEXT($K$2+0,"M/D"))</f>
        <v>6/1</v>
      </c>
      <c r="H16" s="67"/>
      <c r="I16" s="68"/>
      <c r="J16" s="66" t="str">
        <f>IF($K$2="","",TEXT($K$2+1,"M/D"))</f>
        <v>6/2</v>
      </c>
      <c r="K16" s="67"/>
      <c r="L16" s="68"/>
      <c r="M16" s="66" t="str">
        <f>IF($K$2="","",TEXT($K$2+2,"M/D"))</f>
        <v>6/3</v>
      </c>
      <c r="N16" s="67"/>
      <c r="O16" s="68"/>
      <c r="P16" s="66" t="str">
        <f>IF($K$2="","",TEXT($K$2+3,"M/D"))</f>
        <v>6/4</v>
      </c>
      <c r="Q16" s="67"/>
      <c r="R16" s="68"/>
      <c r="S16" s="66" t="str">
        <f>IF($K$2="","",TEXT($K$2+4,"M/D"))</f>
        <v>6/5</v>
      </c>
      <c r="T16" s="67"/>
      <c r="U16" s="68"/>
      <c r="V16" s="66" t="str">
        <f>IF($K$2="","",TEXT($K$2+5,"M/D"))</f>
        <v>6/6</v>
      </c>
      <c r="W16" s="67"/>
      <c r="X16" s="68"/>
      <c r="Y16" s="66" t="str">
        <f>IF($K$2="","",TEXT($K$2+6,"M/D"))</f>
        <v>6/7</v>
      </c>
      <c r="Z16" s="67"/>
      <c r="AA16" s="68"/>
    </row>
    <row r="17" spans="1:27">
      <c r="A17" s="69"/>
      <c r="B17" s="69"/>
      <c r="C17" s="69" t="s">
        <v>38</v>
      </c>
      <c r="D17" s="69" t="s">
        <v>38</v>
      </c>
      <c r="E17" s="69" t="s">
        <v>38</v>
      </c>
      <c r="F17" s="70" t="s">
        <v>38</v>
      </c>
      <c r="G17" s="6" t="s">
        <v>39</v>
      </c>
      <c r="H17" s="6" t="s">
        <v>40</v>
      </c>
      <c r="I17" s="6" t="s">
        <v>41</v>
      </c>
      <c r="J17" s="6" t="s">
        <v>39</v>
      </c>
      <c r="K17" s="6" t="s">
        <v>40</v>
      </c>
      <c r="L17" s="6" t="s">
        <v>41</v>
      </c>
      <c r="M17" s="6" t="s">
        <v>39</v>
      </c>
      <c r="N17" s="6" t="s">
        <v>40</v>
      </c>
      <c r="O17" s="6" t="s">
        <v>41</v>
      </c>
      <c r="P17" s="6" t="s">
        <v>39</v>
      </c>
      <c r="Q17" s="6" t="s">
        <v>40</v>
      </c>
      <c r="R17" s="6" t="s">
        <v>41</v>
      </c>
      <c r="S17" s="6" t="s">
        <v>39</v>
      </c>
      <c r="T17" s="6" t="s">
        <v>40</v>
      </c>
      <c r="U17" s="6" t="s">
        <v>41</v>
      </c>
      <c r="V17" s="6" t="s">
        <v>39</v>
      </c>
      <c r="W17" s="6" t="s">
        <v>40</v>
      </c>
      <c r="X17" s="6" t="s">
        <v>41</v>
      </c>
      <c r="Y17" s="6" t="s">
        <v>39</v>
      </c>
      <c r="Z17" s="6" t="s">
        <v>40</v>
      </c>
      <c r="AA17" s="6" t="s">
        <v>41</v>
      </c>
    </row>
    <row r="18" spans="1:27">
      <c r="A18" s="71" t="s">
        <v>29</v>
      </c>
      <c r="B18" s="72" t="s">
        <v>42</v>
      </c>
      <c r="C18" s="73">
        <f>COUNTIFS(面试清单!$N:$N,"江门",面试清单!$E:$E,"电工",面试清单!$K:$K,"&gt;="&amp;$K$2,面试清单!$J:$J,"是")</f>
        <v>355</v>
      </c>
      <c r="D18" s="73">
        <f>COUNTIFS(离职清单!$N:$N,"江门",离职清单!$D:$D,"电工",离职清单!$H:$H,"&gt;="&amp;$K$2)</f>
        <v>101</v>
      </c>
      <c r="E18" s="73">
        <f t="shared" ref="E18:E23" si="0">C18-D18</f>
        <v>254</v>
      </c>
      <c r="F18" s="74">
        <f>COUNTIFS(面试清单!N:N,"江门",面试清单!E:E,"电工",面试清单!O:O,"在职",面试清单!J:J,"是")</f>
        <v>391</v>
      </c>
      <c r="G18" s="52">
        <f>COUNTIFS(面试清单!$N:$N,"江门",面试清单!$E:$E,"电工",面试清单!$K:$K,G$16,面试清单!$J:$J,"是")</f>
        <v>5</v>
      </c>
      <c r="H18" s="73">
        <f>COUNTIFS(离职清单!$N:$N,"江门",离职清单!$D:$D,"电工",离职清单!$H:$H,G$16)</f>
        <v>8</v>
      </c>
      <c r="I18" s="52">
        <f t="shared" ref="I18:I23" si="1">G18-H18</f>
        <v>-3</v>
      </c>
      <c r="J18" s="52">
        <f>COUNTIFS(面试清单!$N:$N,"江门",面试清单!$E:$E,"电工",面试清单!$K:$K,J$16,面试清单!$J:$J,"是")</f>
        <v>12</v>
      </c>
      <c r="K18" s="73">
        <f>COUNTIFS(离职清单!$N:$N,"江门",离职清单!$D:$D,"电工",离职清单!$H:$H,J$16)</f>
        <v>1</v>
      </c>
      <c r="L18" s="52">
        <f t="shared" ref="L18:L23" si="2">J18-K18</f>
        <v>11</v>
      </c>
      <c r="M18" s="52">
        <f>COUNTIFS(面试清单!$N:$N,"江门",面试清单!$E:$E,"电工",面试清单!$K:$K,M$16,面试清单!$J:$J,"是")</f>
        <v>16</v>
      </c>
      <c r="N18" s="73">
        <f>COUNTIFS(离职清单!$N:$N,"江门",离职清单!$D:$D,"电工",离职清单!$H:$H,M$16)</f>
        <v>1</v>
      </c>
      <c r="O18" s="52">
        <f t="shared" ref="O18:O23" si="3">M18-N18</f>
        <v>15</v>
      </c>
      <c r="P18" s="52">
        <f>COUNTIFS(面试清单!$N:$N,"江门",面试清单!$E:$E,"电工",面试清单!$K:$K,P$16,面试清单!$J:$J,"是")</f>
        <v>9</v>
      </c>
      <c r="Q18" s="73">
        <f>COUNTIFS(离职清单!$N:$N,"江门",离职清单!$D:$D,"电工",离职清单!$H:$H,P$16)</f>
        <v>22</v>
      </c>
      <c r="R18" s="52">
        <f t="shared" ref="R18:R23" si="4">P18-Q18</f>
        <v>-13</v>
      </c>
      <c r="S18" s="52">
        <f>COUNTIFS(面试清单!$N:$N,"江门",面试清单!$E:$E,"电工",面试清单!$K:$K,S$16,面试清单!$J:$J,"是")</f>
        <v>26</v>
      </c>
      <c r="T18" s="73">
        <f>COUNTIFS(离职清单!$N:$N,"江门",离职清单!$D:$D,"电工",离职清单!$H:$H,S$16)</f>
        <v>8</v>
      </c>
      <c r="U18" s="52">
        <f t="shared" ref="U18:U23" si="5">S18-T18</f>
        <v>18</v>
      </c>
      <c r="V18" s="52">
        <f>COUNTIFS(面试清单!$N:$N,"江门",面试清单!$E:$E,"电工",面试清单!$K:$K,V$16,面试清单!$J:$J,"是")</f>
        <v>28</v>
      </c>
      <c r="W18" s="73">
        <f>COUNTIFS(离职清单!$N:$N,"江门",离职清单!$D:$D,"电工",离职清单!$H:$H,V$16)</f>
        <v>0</v>
      </c>
      <c r="X18" s="52">
        <f t="shared" ref="X18:X23" si="6">V18-W18</f>
        <v>28</v>
      </c>
      <c r="Y18" s="52">
        <f>COUNTIFS(面试清单!$N:$N,"江门",面试清单!$E:$E,"电工",面试清单!$K:$K,Y$16,面试清单!$J:$J,"是")</f>
        <v>24</v>
      </c>
      <c r="Z18" s="73">
        <f>COUNTIFS(离职清单!$N:$N,"江门",离职清单!$D:$D,"电工",离职清单!$H:$H,Y$16)</f>
        <v>0</v>
      </c>
      <c r="AA18" s="52">
        <f t="shared" ref="AA18:AA23" si="7">Y18-Z18</f>
        <v>24</v>
      </c>
    </row>
    <row r="19" spans="1:27">
      <c r="A19" s="75"/>
      <c r="B19" s="72" t="s">
        <v>43</v>
      </c>
      <c r="C19" s="73">
        <f>COUNTIFS(面试清单!$N:$N,"江门",面试清单!$E:$E,"钳工",面试清单!$K:$K,"&gt;="&amp;$K$2,面试清单!$J:$J,"是")</f>
        <v>205</v>
      </c>
      <c r="D19" s="73">
        <f>COUNTIFS(离职清单!$N:$N,"江门",离职清单!$D:$D,"钳工",离职清单!$H:$H,"&gt;="&amp;$K$2)</f>
        <v>113</v>
      </c>
      <c r="E19" s="73">
        <f t="shared" si="0"/>
        <v>92</v>
      </c>
      <c r="F19" s="74">
        <f>COUNTIFS(面试清单!N:N,"江门",面试清单!E:E,"钳工",面试清单!O:O,"在职",面试清单!J:J,"是")</f>
        <v>229</v>
      </c>
      <c r="G19" s="52">
        <f>COUNTIFS(面试清单!$N:$N,"江门",面试清单!$E:$E,"钳工",面试清单!$K:$K,G$16,面试清单!$J:$J,"是")</f>
        <v>3</v>
      </c>
      <c r="H19" s="73">
        <f>COUNTIFS(离职清单!$N:$N,"江门",离职清单!$D:$D,"钳工",离职清单!$H:$H,G$16)</f>
        <v>13</v>
      </c>
      <c r="I19" s="52">
        <f t="shared" si="1"/>
        <v>-10</v>
      </c>
      <c r="J19" s="52">
        <f>COUNTIFS(面试清单!$N:$N,"江门",面试清单!$E:$E,"钳工",面试清单!$K:$K,J$16,面试清单!$J:$J,"是")</f>
        <v>5</v>
      </c>
      <c r="K19" s="73">
        <f>COUNTIFS(离职清单!$N:$N,"江门",离职清单!$D:$D,"钳工",离职清单!$H:$H,J$16)</f>
        <v>5</v>
      </c>
      <c r="L19" s="52">
        <f t="shared" si="2"/>
        <v>0</v>
      </c>
      <c r="M19" s="52">
        <f>COUNTIFS(面试清单!$N:$N,"江门",面试清单!$E:$E,"钳工",面试清单!$K:$K,M$16,面试清单!$J:$J,"是")</f>
        <v>4</v>
      </c>
      <c r="N19" s="73">
        <f>COUNTIFS(离职清单!$N:$N,"江门",离职清单!$D:$D,"钳工",离职清单!$H:$H,M$16)</f>
        <v>5</v>
      </c>
      <c r="O19" s="52">
        <f t="shared" si="3"/>
        <v>-1</v>
      </c>
      <c r="P19" s="52">
        <f>COUNTIFS(面试清单!$N:$N,"江门",面试清单!$E:$E,"钳工",面试清单!$K:$K,P$16,面试清单!$J:$J,"是")</f>
        <v>7</v>
      </c>
      <c r="Q19" s="73">
        <f>COUNTIFS(离职清单!$N:$N,"江门",离职清单!$D:$D,"钳工",离职清单!$H:$H,P$16)</f>
        <v>20</v>
      </c>
      <c r="R19" s="52">
        <f t="shared" si="4"/>
        <v>-13</v>
      </c>
      <c r="S19" s="52">
        <f>COUNTIFS(面试清单!$N:$N,"江门",面试清单!$E:$E,"钳工",面试清单!$K:$K,S$16,面试清单!$J:$J,"是")</f>
        <v>5</v>
      </c>
      <c r="T19" s="73">
        <f>COUNTIFS(离职清单!$N:$N,"江门",离职清单!$D:$D,"钳工",离职清单!$H:$H,S$16)</f>
        <v>17</v>
      </c>
      <c r="U19" s="52">
        <f t="shared" si="5"/>
        <v>-12</v>
      </c>
      <c r="V19" s="52">
        <f>COUNTIFS(面试清单!$N:$N,"江门",面试清单!$E:$E,"钳工",面试清单!$K:$K,V$16,面试清单!$J:$J,"是")</f>
        <v>18</v>
      </c>
      <c r="W19" s="73">
        <f>COUNTIFS(离职清单!$N:$N,"江门",离职清单!$D:$D,"钳工",离职清单!$H:$H,V$16)</f>
        <v>0</v>
      </c>
      <c r="X19" s="52">
        <f t="shared" si="6"/>
        <v>18</v>
      </c>
      <c r="Y19" s="52">
        <f>COUNTIFS(面试清单!$N:$N,"江门",面试清单!$E:$E,"钳工",面试清单!$K:$K,Y$16,面试清单!$J:$J,"是")</f>
        <v>12</v>
      </c>
      <c r="Z19" s="73">
        <f>COUNTIFS(离职清单!$N:$N,"江门",离职清单!$D:$D,"钳工",离职清单!$H:$H,Y$16)</f>
        <v>0</v>
      </c>
      <c r="AA19" s="52">
        <f t="shared" si="7"/>
        <v>12</v>
      </c>
    </row>
    <row r="20" spans="1:27">
      <c r="A20" s="76"/>
      <c r="B20" s="77" t="s">
        <v>44</v>
      </c>
      <c r="C20" s="78">
        <f>SUM(C18:C19)</f>
        <v>560</v>
      </c>
      <c r="D20" s="78">
        <f>SUM(D18:D19)</f>
        <v>214</v>
      </c>
      <c r="E20" s="78">
        <f t="shared" si="0"/>
        <v>346</v>
      </c>
      <c r="F20" s="74">
        <f>SUM(F18:F19)</f>
        <v>620</v>
      </c>
      <c r="G20" s="78">
        <f>SUM(G18:G19)</f>
        <v>8</v>
      </c>
      <c r="H20" s="78">
        <f>SUM(H18:H19)</f>
        <v>21</v>
      </c>
      <c r="I20" s="78">
        <f t="shared" si="1"/>
        <v>-13</v>
      </c>
      <c r="J20" s="78">
        <f>SUM(J18:J19)</f>
        <v>17</v>
      </c>
      <c r="K20" s="78">
        <f>SUM(K18:K19)</f>
        <v>6</v>
      </c>
      <c r="L20" s="78">
        <f t="shared" si="2"/>
        <v>11</v>
      </c>
      <c r="M20" s="78">
        <f>SUM(M18:M19)</f>
        <v>20</v>
      </c>
      <c r="N20" s="78">
        <f>SUM(N18:N19)</f>
        <v>6</v>
      </c>
      <c r="O20" s="78">
        <f t="shared" si="3"/>
        <v>14</v>
      </c>
      <c r="P20" s="78">
        <f>SUM(P18:P19)</f>
        <v>16</v>
      </c>
      <c r="Q20" s="78">
        <f>SUM(Q18:Q19)</f>
        <v>42</v>
      </c>
      <c r="R20" s="78">
        <f t="shared" si="4"/>
        <v>-26</v>
      </c>
      <c r="S20" s="78">
        <f>SUM(S18:S19)</f>
        <v>31</v>
      </c>
      <c r="T20" s="78">
        <f>SUM(T18:T19)</f>
        <v>25</v>
      </c>
      <c r="U20" s="78">
        <f t="shared" si="5"/>
        <v>6</v>
      </c>
      <c r="V20" s="78">
        <f>SUM(V18:V19)</f>
        <v>46</v>
      </c>
      <c r="W20" s="78">
        <f>SUM(W18:W19)</f>
        <v>0</v>
      </c>
      <c r="X20" s="78">
        <f t="shared" si="6"/>
        <v>46</v>
      </c>
      <c r="Y20" s="78">
        <f>SUM(Y18:Y19)</f>
        <v>36</v>
      </c>
      <c r="Z20" s="78">
        <f>SUM(Z18:Z19)</f>
        <v>0</v>
      </c>
      <c r="AA20" s="78">
        <f t="shared" si="7"/>
        <v>36</v>
      </c>
    </row>
    <row r="21" spans="1:27">
      <c r="A21" s="79" t="s">
        <v>30</v>
      </c>
      <c r="B21" s="72" t="s">
        <v>42</v>
      </c>
      <c r="C21" s="73">
        <f>COUNTIFS(面试清单!$N:$N,"成都",面试清单!$E:$E,"电工",面试清单!$K:$K,"&gt;="&amp;$K$2,面试清单!$J:$J,"是")</f>
        <v>144</v>
      </c>
      <c r="D21" s="73">
        <f>COUNTIFS(离职清单!$N:$N,"成都",离职清单!$D:$D,"电工",离职清单!$H:$H,"&gt;="&amp;$K$2)</f>
        <v>11</v>
      </c>
      <c r="E21" s="73">
        <f t="shared" si="0"/>
        <v>133</v>
      </c>
      <c r="F21" s="74">
        <f>COUNTIFS(面试清单!N:N,"成都",面试清单!E:E,"电工",面试清单!O:O,"在职",面试清单!J:J,"是")</f>
        <v>144</v>
      </c>
      <c r="G21" s="52">
        <f>COUNTIFS(面试清单!$N:$N,"成都",面试清单!$E:$E,"电工",面试清单!$K:$K,G$16,面试清单!$J:$J,"是")</f>
        <v>6</v>
      </c>
      <c r="H21" s="73">
        <f>COUNTIFS(离职清单!$N:$N,"成都",离职清单!$D:$D,"电工",离职清单!$H:$H,G$16)</f>
        <v>1</v>
      </c>
      <c r="I21" s="52">
        <f t="shared" si="1"/>
        <v>5</v>
      </c>
      <c r="J21" s="52">
        <f>COUNTIFS(面试清单!$N:$N,"成都",面试清单!$E:$E,"电工",面试清单!$K:$K,J$16,面试清单!$J:$J,"是")</f>
        <v>3</v>
      </c>
      <c r="K21" s="73">
        <f>COUNTIFS(离职清单!$N:$N,"成都",离职清单!$D:$D,"电工",离职清单!$H:$H,J$16)</f>
        <v>1</v>
      </c>
      <c r="L21" s="52">
        <f t="shared" si="2"/>
        <v>2</v>
      </c>
      <c r="M21" s="52">
        <f>COUNTIFS(面试清单!$N:$N,"成都",面试清单!$E:$E,"电工",面试清单!$K:$K,M$16,面试清单!$J:$J,"是")</f>
        <v>15</v>
      </c>
      <c r="N21" s="73">
        <f>COUNTIFS(离职清单!$N:$N,"成都",离职清单!$D:$D,"电工",离职清单!$H:$H,M$16)</f>
        <v>0</v>
      </c>
      <c r="O21" s="52">
        <f t="shared" si="3"/>
        <v>15</v>
      </c>
      <c r="P21" s="52">
        <f>COUNTIFS(面试清单!$N:$N,"成都",面试清单!$E:$E,"电工",面试清单!$K:$K,P$16,面试清单!$J:$J,"是")</f>
        <v>16</v>
      </c>
      <c r="Q21" s="73">
        <f>COUNTIFS(离职清单!$N:$N,"成都",离职清单!$D:$D,"电工",离职清单!$H:$H,P$16)</f>
        <v>1</v>
      </c>
      <c r="R21" s="52">
        <f t="shared" si="4"/>
        <v>15</v>
      </c>
      <c r="S21" s="52">
        <f>COUNTIFS(面试清单!$N:$N,"成都",面试清单!$E:$E,"电工",面试清单!$K:$K,S$16,面试清单!$J:$J,"是")</f>
        <v>21</v>
      </c>
      <c r="T21" s="73">
        <f>COUNTIFS(离职清单!$N:$N,"成都",离职清单!$D:$D,"电工",离职清单!$H:$H,S$16)</f>
        <v>0</v>
      </c>
      <c r="U21" s="52">
        <f t="shared" si="5"/>
        <v>21</v>
      </c>
      <c r="V21" s="52">
        <f>COUNTIFS(面试清单!$N:$N,"成都",面试清单!$E:$E,"电工",面试清单!$K:$K,V$16,面试清单!$J:$J,"是")</f>
        <v>13</v>
      </c>
      <c r="W21" s="73">
        <f>COUNTIFS(离职清单!$N:$N,"成都",离职清单!$D:$D,"电工",离职清单!$H:$H,V$16)</f>
        <v>0</v>
      </c>
      <c r="X21" s="52">
        <f t="shared" si="6"/>
        <v>13</v>
      </c>
      <c r="Y21" s="52">
        <f>COUNTIFS(面试清单!$N:$N,"成都",面试清单!$E:$E,"电工",面试清单!$K:$K,Y$16,面试清单!$J:$J,"是")</f>
        <v>5</v>
      </c>
      <c r="Z21" s="73">
        <f>COUNTIFS(离职清单!$N:$N,"成都",离职清单!$D:$D,"电工",离职清单!$H:$H,Y$16)</f>
        <v>0</v>
      </c>
      <c r="AA21" s="52">
        <f t="shared" si="7"/>
        <v>5</v>
      </c>
    </row>
    <row r="22" spans="1:27">
      <c r="A22" s="80"/>
      <c r="B22" s="72" t="s">
        <v>43</v>
      </c>
      <c r="C22" s="73">
        <f>COUNTIFS(面试清单!$N:$N,"成都",面试清单!$E:$E,"钳工",面试清单!$K:$K,"&gt;="&amp;$K$2,面试清单!$J:$J,"是")</f>
        <v>112</v>
      </c>
      <c r="D22" s="73">
        <f>COUNTIFS(离职清单!$N:$N,"成都",离职清单!$D:$D,"钳工",离职清单!$H:$H,"&gt;="&amp;$K$2)</f>
        <v>46</v>
      </c>
      <c r="E22" s="73">
        <f t="shared" si="0"/>
        <v>66</v>
      </c>
      <c r="F22" s="74">
        <f>COUNTIFS(面试清单!N:N,"成都",面试清单!E:E,"钳工",面试清单!O:O,"在职",面试清单!J:J,"是")</f>
        <v>112</v>
      </c>
      <c r="G22" s="52">
        <f>COUNTIFS(面试清单!$N:$N,"成都",面试清单!$E:$E,"钳工",面试清单!$K:$K,G$16,面试清单!$J:$J,"是")</f>
        <v>4</v>
      </c>
      <c r="H22" s="73">
        <f>COUNTIFS(离职清单!$N:$N,"成都",离职清单!$D:$D,"钳工",离职清单!$H:$H,G$16)</f>
        <v>8</v>
      </c>
      <c r="I22" s="52">
        <f t="shared" si="1"/>
        <v>-4</v>
      </c>
      <c r="J22" s="52">
        <f>COUNTIFS(面试清单!$N:$N,"成都",面试清单!$E:$E,"钳工",面试清单!$K:$K,J$16,面试清单!$J:$J,"是")</f>
        <v>3</v>
      </c>
      <c r="K22" s="73">
        <f>COUNTIFS(离职清单!$N:$N,"成都",离职清单!$D:$D,"钳工",离职清单!$H:$H,J$16)</f>
        <v>2</v>
      </c>
      <c r="L22" s="52">
        <f t="shared" si="2"/>
        <v>1</v>
      </c>
      <c r="M22" s="52">
        <f>COUNTIFS(面试清单!$N:$N,"成都",面试清单!$E:$E,"钳工",面试清单!$K:$K,M$16,面试清单!$J:$J,"是")</f>
        <v>5</v>
      </c>
      <c r="N22" s="73">
        <f>COUNTIFS(离职清单!$N:$N,"成都",离职清单!$D:$D,"钳工",离职清单!$H:$H,M$16)</f>
        <v>0</v>
      </c>
      <c r="O22" s="52">
        <f t="shared" si="3"/>
        <v>5</v>
      </c>
      <c r="P22" s="52">
        <f>COUNTIFS(面试清单!$N:$N,"成都",面试清单!$E:$E,"钳工",面试清单!$K:$K,P$16,面试清单!$J:$J,"是")</f>
        <v>9</v>
      </c>
      <c r="Q22" s="73">
        <f>COUNTIFS(离职清单!$N:$N,"成都",离职清单!$D:$D,"钳工",离职清单!$H:$H,P$16)</f>
        <v>6</v>
      </c>
      <c r="R22" s="52">
        <f t="shared" si="4"/>
        <v>3</v>
      </c>
      <c r="S22" s="52">
        <f>COUNTIFS(面试清单!$N:$N,"成都",面试清单!$E:$E,"钳工",面试清单!$K:$K,S$16,面试清单!$J:$J,"是")</f>
        <v>12</v>
      </c>
      <c r="T22" s="73">
        <f>COUNTIFS(离职清单!$N:$N,"成都",离职清单!$D:$D,"钳工",离职清单!$H:$H,S$16)</f>
        <v>0</v>
      </c>
      <c r="U22" s="52">
        <f t="shared" si="5"/>
        <v>12</v>
      </c>
      <c r="V22" s="52">
        <f>COUNTIFS(面试清单!$N:$N,"成都",面试清单!$E:$E,"钳工",面试清单!$K:$K,V$16,面试清单!$J:$J,"是")</f>
        <v>6</v>
      </c>
      <c r="W22" s="73">
        <f>COUNTIFS(离职清单!$N:$N,"成都",离职清单!$D:$D,"钳工",离职清单!$H:$H,V$16)</f>
        <v>0</v>
      </c>
      <c r="X22" s="52">
        <f t="shared" si="6"/>
        <v>6</v>
      </c>
      <c r="Y22" s="52">
        <f>COUNTIFS(面试清单!$N:$N,"成都",面试清单!$E:$E,"钳工",面试清单!$K:$K,Y$16,面试清单!$J:$J,"是")</f>
        <v>8</v>
      </c>
      <c r="Z22" s="73">
        <f>COUNTIFS(离职清单!$N:$N,"成都",离职清单!$D:$D,"钳工",离职清单!$H:$H,Y$16)</f>
        <v>0</v>
      </c>
      <c r="AA22" s="52">
        <f t="shared" si="7"/>
        <v>8</v>
      </c>
    </row>
    <row r="23" spans="1:27">
      <c r="A23" s="81"/>
      <c r="B23" s="77" t="s">
        <v>44</v>
      </c>
      <c r="C23" s="78">
        <f>SUM(C21:C22)</f>
        <v>256</v>
      </c>
      <c r="D23" s="78">
        <f>SUM(D21:D22)</f>
        <v>57</v>
      </c>
      <c r="E23" s="78">
        <f t="shared" si="0"/>
        <v>199</v>
      </c>
      <c r="F23" s="74">
        <f>SUM(F21:F22)</f>
        <v>256</v>
      </c>
      <c r="G23" s="78">
        <f>SUM(G21:G22)</f>
        <v>10</v>
      </c>
      <c r="H23" s="78">
        <f>SUM(H21:H22)</f>
        <v>9</v>
      </c>
      <c r="I23" s="78">
        <f t="shared" si="1"/>
        <v>1</v>
      </c>
      <c r="J23" s="78">
        <f>SUM(J21:J22)</f>
        <v>6</v>
      </c>
      <c r="K23" s="78">
        <f>SUM(K21:K22)</f>
        <v>3</v>
      </c>
      <c r="L23" s="78">
        <f t="shared" si="2"/>
        <v>3</v>
      </c>
      <c r="M23" s="78">
        <f>SUM(M21:M22)</f>
        <v>20</v>
      </c>
      <c r="N23" s="78">
        <f>SUM(N21:N22)</f>
        <v>0</v>
      </c>
      <c r="O23" s="78">
        <f t="shared" si="3"/>
        <v>20</v>
      </c>
      <c r="P23" s="78">
        <f>SUM(P21:P22)</f>
        <v>25</v>
      </c>
      <c r="Q23" s="78">
        <f>SUM(Q21:Q22)</f>
        <v>7</v>
      </c>
      <c r="R23" s="78">
        <f t="shared" si="4"/>
        <v>18</v>
      </c>
      <c r="S23" s="78">
        <f>SUM(S21:S22)</f>
        <v>33</v>
      </c>
      <c r="T23" s="78">
        <f>SUM(T21:T22)</f>
        <v>0</v>
      </c>
      <c r="U23" s="78">
        <f t="shared" si="5"/>
        <v>33</v>
      </c>
      <c r="V23" s="78">
        <f>SUM(V21:V22)</f>
        <v>19</v>
      </c>
      <c r="W23" s="78">
        <f>SUM(W21:W22)</f>
        <v>0</v>
      </c>
      <c r="X23" s="78">
        <f t="shared" si="6"/>
        <v>19</v>
      </c>
      <c r="Y23" s="78">
        <f>SUM(Y21:Y22)</f>
        <v>13</v>
      </c>
      <c r="Z23" s="78">
        <f>SUM(Z21:Z22)</f>
        <v>0</v>
      </c>
      <c r="AA23" s="78">
        <f t="shared" si="7"/>
        <v>13</v>
      </c>
    </row>
    <row r="24" spans="1:27">
      <c r="A24" s="82" t="s">
        <v>45</v>
      </c>
      <c r="B24" s="83"/>
      <c r="C24" s="59">
        <f t="shared" ref="C24:AA24" si="8">SUM(C20,C23)</f>
        <v>816</v>
      </c>
      <c r="D24" s="59">
        <f t="shared" si="8"/>
        <v>271</v>
      </c>
      <c r="E24" s="59">
        <f t="shared" si="8"/>
        <v>545</v>
      </c>
      <c r="F24" s="84">
        <f t="shared" si="8"/>
        <v>876</v>
      </c>
      <c r="G24" s="59">
        <f t="shared" si="8"/>
        <v>18</v>
      </c>
      <c r="H24" s="59">
        <f t="shared" si="8"/>
        <v>30</v>
      </c>
      <c r="I24" s="59">
        <f t="shared" si="8"/>
        <v>-12</v>
      </c>
      <c r="J24" s="59">
        <f t="shared" si="8"/>
        <v>23</v>
      </c>
      <c r="K24" s="59">
        <f t="shared" si="8"/>
        <v>9</v>
      </c>
      <c r="L24" s="59">
        <f t="shared" si="8"/>
        <v>14</v>
      </c>
      <c r="M24" s="59">
        <f t="shared" si="8"/>
        <v>40</v>
      </c>
      <c r="N24" s="59">
        <f t="shared" si="8"/>
        <v>6</v>
      </c>
      <c r="O24" s="59">
        <f t="shared" si="8"/>
        <v>34</v>
      </c>
      <c r="P24" s="59">
        <f t="shared" si="8"/>
        <v>41</v>
      </c>
      <c r="Q24" s="59">
        <f t="shared" si="8"/>
        <v>49</v>
      </c>
      <c r="R24" s="59">
        <f t="shared" si="8"/>
        <v>-8</v>
      </c>
      <c r="S24" s="59">
        <f t="shared" si="8"/>
        <v>64</v>
      </c>
      <c r="T24" s="59">
        <f t="shared" si="8"/>
        <v>25</v>
      </c>
      <c r="U24" s="59">
        <f t="shared" si="8"/>
        <v>39</v>
      </c>
      <c r="V24" s="59">
        <f t="shared" si="8"/>
        <v>65</v>
      </c>
      <c r="W24" s="59">
        <f t="shared" si="8"/>
        <v>0</v>
      </c>
      <c r="X24" s="59">
        <f t="shared" si="8"/>
        <v>65</v>
      </c>
      <c r="Y24" s="59">
        <f t="shared" si="8"/>
        <v>49</v>
      </c>
      <c r="Z24" s="59">
        <f t="shared" si="8"/>
        <v>0</v>
      </c>
      <c r="AA24" s="59">
        <f t="shared" si="8"/>
        <v>49</v>
      </c>
    </row>
    <row r="26" ht="22" customHeight="1" spans="1:27">
      <c r="A26" s="85" t="s">
        <v>46</v>
      </c>
      <c r="B26" s="85"/>
      <c r="C26" s="85"/>
      <c r="D26" s="85"/>
      <c r="E26" s="85"/>
      <c r="F26" s="85"/>
      <c r="G26" s="86" t="str">
        <f ca="1">TEXT(TODAY(),"YYYY年M月D日")</f>
        <v>2026年6月16日</v>
      </c>
      <c r="H26" s="86"/>
      <c r="I26" s="87" t="s">
        <v>47</v>
      </c>
      <c r="J26" s="87"/>
      <c r="K26" s="87"/>
      <c r="L26" s="87"/>
    </row>
    <row r="27" ht="21" customHeight="1" spans="1:27">
      <c r="A27" s="88" t="s">
        <v>48</v>
      </c>
      <c r="B27" s="89"/>
      <c r="C27" s="89"/>
      <c r="D27" s="90" t="s">
        <v>49</v>
      </c>
      <c r="E27" s="89"/>
      <c r="F27" s="89"/>
      <c r="G27" s="91" t="s">
        <v>50</v>
      </c>
      <c r="H27" s="89"/>
      <c r="I27" s="89"/>
      <c r="J27" s="92" t="s">
        <v>51</v>
      </c>
      <c r="K27" s="89"/>
      <c r="L27" s="89"/>
    </row>
    <row r="28" ht="31.6" spans="1:27">
      <c r="A28" s="93" cm="1">
        <f ca="1" t="array" ref="A28">SUMPRODUCT(--(LEN(在职清单!$G:$G)&gt;0))-1-COUNTIFS(在职清单!$G:$G,"&gt;"&amp;$G$26)</f>
        <v>3831</v>
      </c>
      <c r="B28" s="94"/>
      <c r="C28" s="94"/>
      <c r="D28" s="95">
        <v>240</v>
      </c>
      <c r="E28" s="89"/>
      <c r="F28" s="89"/>
      <c r="G28" s="96">
        <f ca="1">COUNTIF(面试清单!$J:$J,"是")-COUNTIFS(面试清单!$J:$J,"是",面试清单!$K:$K,"&gt;"&amp;$G$26)</f>
        <v>992</v>
      </c>
      <c r="H28" s="89"/>
      <c r="I28" s="89"/>
      <c r="J28" s="97">
        <f ca="1">D28-(G28-COUNTIFS(离职清单!$H:$H,"&lt;="&amp;$G$26))</f>
        <v>-278</v>
      </c>
      <c r="K28" s="89"/>
      <c r="L28" s="89"/>
    </row>
    <row r="30" spans="1:27">
      <c r="A30" s="98" t="s">
        <v>52</v>
      </c>
      <c r="B30" s="98"/>
      <c r="C30" s="98"/>
      <c r="D30" s="98"/>
      <c r="E30" s="98"/>
      <c r="F30" s="98"/>
      <c r="G30" s="98"/>
      <c r="H30" s="98"/>
      <c r="I30" s="98"/>
      <c r="J30" s="98"/>
    </row>
    <row r="31" ht="31" spans="1:27">
      <c r="A31" s="99" t="s">
        <v>53</v>
      </c>
      <c r="B31" s="99" t="s">
        <v>48</v>
      </c>
      <c r="C31" s="99" t="s">
        <v>54</v>
      </c>
      <c r="D31" s="99" t="s">
        <v>55</v>
      </c>
      <c r="E31" s="99" t="s">
        <v>56</v>
      </c>
      <c r="F31" s="99" t="s">
        <v>57</v>
      </c>
      <c r="G31" s="99" t="s">
        <v>58</v>
      </c>
      <c r="H31" s="99" t="s">
        <v>59</v>
      </c>
      <c r="I31" s="99" t="s">
        <v>60</v>
      </c>
      <c r="J31" s="99" t="s">
        <v>61</v>
      </c>
      <c r="L31" cm="1">
        <f t="array" ref="L31">SUMPRODUCT(--(LEN(面试清单!$P:$P)&gt;0))-1</f>
        <v>992</v>
      </c>
    </row>
    <row r="32" ht="17" spans="1:27">
      <c r="A32" s="100" t="s">
        <v>62</v>
      </c>
      <c r="B32" s="101">
        <f>COUNTIFS(在职清单!$E:$E,$A32)</f>
        <v>1637</v>
      </c>
      <c r="C32" s="102" cm="1">
        <f t="array" ref="C32">IFERROR($B32/(SUMPRODUCT(--(LEN(在职清单!$B:$B)&gt;0))-1),0)</f>
        <v>0.427303576089794</v>
      </c>
      <c r="D32" s="103">
        <v>0</v>
      </c>
      <c r="E32" s="102">
        <f>IFERROR(D32/SUM($D$32:$D$34),0)</f>
        <v>0</v>
      </c>
      <c r="F32" s="102">
        <f>IFERROR(B32/D32,0)</f>
        <v>0</v>
      </c>
      <c r="G32" s="101">
        <f>MAX(0,D32-B32)</f>
        <v>0</v>
      </c>
      <c r="H32" s="102">
        <f>IFERROR(G32/SUM($G$32:$G$34),0)</f>
        <v>0</v>
      </c>
      <c r="I32" s="102">
        <f>IFERROR(B32/D32,0)</f>
        <v>0</v>
      </c>
      <c r="J32" s="101" t="str">
        <f>IF(H32&gt;=0.5,"高",IF(H32&gt;=0.2,"中","低"))</f>
        <v>低</v>
      </c>
    </row>
    <row r="33" ht="17" spans="1:10">
      <c r="A33" s="104" t="s">
        <v>63</v>
      </c>
      <c r="B33" s="105">
        <f>COUNTIFS(在职清单!$E:$E,$A33)</f>
        <v>1321</v>
      </c>
      <c r="C33" s="106" cm="1">
        <f t="array" ref="C33">IFERROR($B33/(SUMPRODUCT(--(LEN(在职清单!$B:$B)&gt;0))-1),0)</f>
        <v>0.34481858522579</v>
      </c>
      <c r="D33" s="103">
        <v>0</v>
      </c>
      <c r="E33" s="106">
        <f>IFERROR(D33/SUM($D$32:$D$34),0)</f>
        <v>0</v>
      </c>
      <c r="F33" s="106">
        <f>IFERROR(B33/D33,0)</f>
        <v>0</v>
      </c>
      <c r="G33" s="107">
        <f>MAX(0,D33-B33)</f>
        <v>0</v>
      </c>
      <c r="H33" s="106">
        <f>IFERROR(G33/SUM($G$32:$G$34),0)</f>
        <v>0</v>
      </c>
      <c r="I33" s="106">
        <f>IFERROR(B33/D33,0)</f>
        <v>0</v>
      </c>
      <c r="J33" s="107" t="str">
        <f>IF(H33&gt;=0.5,"高",IF(H33&gt;=0.2,"中","低"))</f>
        <v>低</v>
      </c>
    </row>
    <row r="34" ht="17" spans="1:10">
      <c r="A34" s="108" t="s">
        <v>64</v>
      </c>
      <c r="B34" s="109">
        <f>COUNTIFS(在职清单!$E:$E,$A34)</f>
        <v>800</v>
      </c>
      <c r="C34" s="110" cm="1">
        <f t="array" ref="C34">IFERROR($B34/(SUMPRODUCT(--(LEN(在职清单!$B:$B)&gt;0))-1),0)</f>
        <v>0.208822761681023</v>
      </c>
      <c r="D34" s="103">
        <v>0</v>
      </c>
      <c r="E34" s="110">
        <f>IFERROR(D34/SUM($D$32:$D$34),0)</f>
        <v>0</v>
      </c>
      <c r="F34" s="110">
        <f>IFERROR(B34/D34,0)</f>
        <v>0</v>
      </c>
      <c r="G34" s="111">
        <f>MAX(0,D34-B34)</f>
        <v>0</v>
      </c>
      <c r="H34" s="110">
        <f>IFERROR(G34/SUM($G$32:$G$34),0)</f>
        <v>0</v>
      </c>
      <c r="I34" s="110">
        <f>IFERROR(B34/D34,0)</f>
        <v>0</v>
      </c>
      <c r="J34" s="111" t="str">
        <f>IF(H34&gt;=0.5,"高",IF(H34&gt;=0.2,"中","低"))</f>
        <v>低</v>
      </c>
    </row>
    <row r="35" ht="17" spans="1:10">
      <c r="A35" s="112" t="s">
        <v>44</v>
      </c>
      <c r="B35" s="112">
        <f>SUM(B32:B34)</f>
        <v>3758</v>
      </c>
      <c r="C35" s="112">
        <f>100%</f>
        <v>1</v>
      </c>
      <c r="D35" s="112">
        <f>SUM(D32:D34)</f>
        <v>0</v>
      </c>
      <c r="E35" s="112">
        <f>100%</f>
        <v>1</v>
      </c>
      <c r="F35" s="113">
        <f>IFERROR(B35/D35,0)</f>
        <v>0</v>
      </c>
      <c r="G35" s="112">
        <f>SUM(G32:G34)</f>
        <v>0</v>
      </c>
      <c r="H35" s="112">
        <f>100%</f>
        <v>1</v>
      </c>
      <c r="I35" s="113">
        <f>IFERROR(B35/D35,0)</f>
        <v>0</v>
      </c>
      <c r="J35" s="112" t="s">
        <v>65</v>
      </c>
    </row>
    <row r="36" ht="19" customHeight="1"/>
    <row r="37" spans="1:10">
      <c r="A37" s="98" t="s">
        <v>66</v>
      </c>
      <c r="B37" s="98"/>
      <c r="C37" s="98"/>
      <c r="D37" s="98"/>
      <c r="E37" s="98"/>
      <c r="F37" s="98"/>
      <c r="G37" s="98"/>
      <c r="H37" s="98"/>
      <c r="I37" s="98"/>
    </row>
    <row r="38" ht="31" spans="1:10">
      <c r="A38" s="99" t="s">
        <v>33</v>
      </c>
      <c r="B38" s="99" t="s">
        <v>48</v>
      </c>
      <c r="C38" s="99" t="s">
        <v>54</v>
      </c>
      <c r="D38" s="99" t="s">
        <v>55</v>
      </c>
      <c r="E38" s="99" t="s">
        <v>56</v>
      </c>
      <c r="F38" s="99" t="s">
        <v>57</v>
      </c>
      <c r="G38" s="99" t="s">
        <v>27</v>
      </c>
      <c r="H38" s="99" t="s">
        <v>67</v>
      </c>
      <c r="I38" s="99" t="s">
        <v>61</v>
      </c>
    </row>
    <row r="39" ht="17" spans="1:10">
      <c r="A39" s="114" t="s">
        <v>42</v>
      </c>
      <c r="B39" s="115">
        <f>COUNTIFS(面试清单!E:E,"电工",面试清单!P:P,"&lt;&gt;")</f>
        <v>2085</v>
      </c>
      <c r="C39" s="116">
        <f>IFERROR(B39/COUNTIF(面试清单!P:P,"&lt;&gt;"),0)</f>
        <v>0.429808286951144</v>
      </c>
      <c r="D39" s="103">
        <v>0</v>
      </c>
      <c r="E39" s="116">
        <f>IFERROR(D39/SUM($D$39:$D$40),0)</f>
        <v>0</v>
      </c>
      <c r="F39" s="116">
        <f>IFERROR(B39/D39,0)</f>
        <v>0</v>
      </c>
      <c r="G39" s="115">
        <f>MAX(0,D39-B39)</f>
        <v>0</v>
      </c>
      <c r="H39" s="116">
        <f>IFERROR(G39/SUM($G$39:$G$40),0)</f>
        <v>0</v>
      </c>
      <c r="I39" s="115" t="str">
        <f>IF(H39&gt;0.5,"高",IF(H39&gt;0,"中","充足"))</f>
        <v>充足</v>
      </c>
    </row>
    <row r="40" ht="17" spans="1:10">
      <c r="A40" s="77" t="s">
        <v>43</v>
      </c>
      <c r="B40" s="78">
        <f>COUNTIFS(面试清单!E:E,"钳工",面试清单!P:P,"&lt;&gt;")</f>
        <v>1253</v>
      </c>
      <c r="C40" s="117">
        <f>IFERROR(B40/COUNTIF(面试清单!P:P,"&lt;&gt;"),0)</f>
        <v>0.258297258297258</v>
      </c>
      <c r="D40" s="103">
        <v>0</v>
      </c>
      <c r="E40" s="117">
        <f>IFERROR(D40/SUM($D$39:$D$40),0)</f>
        <v>0</v>
      </c>
      <c r="F40" s="117">
        <f>IFERROR(B40/D40,0)</f>
        <v>0</v>
      </c>
      <c r="G40" s="78">
        <f>MAX(0,D40-B40)</f>
        <v>0</v>
      </c>
      <c r="H40" s="117">
        <f>IFERROR(G40/SUM($G$39:$G$40),0)</f>
        <v>0</v>
      </c>
      <c r="I40" s="78" t="str">
        <f>IF(H40&gt;0.5,"高",IF(H40&gt;0,"中","充足"))</f>
        <v>充足</v>
      </c>
    </row>
    <row r="41" ht="17" spans="1:10">
      <c r="A41" s="112" t="s">
        <v>44</v>
      </c>
      <c r="B41" s="112">
        <f>SUM(B39:B40)</f>
        <v>3338</v>
      </c>
      <c r="C41" s="112">
        <f>100%</f>
        <v>1</v>
      </c>
      <c r="D41" s="112">
        <f>SUM(D39:D40)</f>
        <v>0</v>
      </c>
      <c r="E41" s="112">
        <f>100%</f>
        <v>1</v>
      </c>
      <c r="F41" s="113">
        <f>IFERROR(B41/D41,0)</f>
        <v>0</v>
      </c>
      <c r="G41" s="112">
        <f>SUM(G39:G40)</f>
        <v>0</v>
      </c>
      <c r="H41" s="112">
        <f>100%</f>
        <v>1</v>
      </c>
      <c r="I41" s="112" t="s">
        <v>65</v>
      </c>
    </row>
    <row r="43" ht="17.6" spans="1:10">
      <c r="A43" s="41" t="s">
        <v>68</v>
      </c>
    </row>
    <row r="44" ht="31" spans="1:10">
      <c r="A44" s="6" t="s">
        <v>69</v>
      </c>
      <c r="B44" s="6" t="s">
        <v>48</v>
      </c>
      <c r="C44" s="6" t="s">
        <v>70</v>
      </c>
      <c r="D44" s="6" t="s">
        <v>71</v>
      </c>
      <c r="E44" s="6" t="s">
        <v>72</v>
      </c>
    </row>
    <row r="45" spans="1:10">
      <c r="A45" s="10" t="s">
        <v>42</v>
      </c>
      <c r="B45" s="10">
        <f>COUNTIFS(面试清单!E:E,"电工",面试清单!P:P,"&lt;&gt;")</f>
        <v>2085</v>
      </c>
      <c r="C45" s="10">
        <f>COUNTIFS(面试清单!E:E,"电工",面试清单!J:J,"是")</f>
        <v>535</v>
      </c>
      <c r="D45" s="10">
        <f>COUNTIF(离职清单!D:D,"电工")</f>
        <v>125</v>
      </c>
      <c r="E45" s="118">
        <f>IFERROR(B45/COUNTIF(面试清单!P:P,"&lt;&gt;"),0)</f>
        <v>0.429808286951144</v>
      </c>
    </row>
    <row r="46" spans="1:10">
      <c r="A46" s="14" t="s">
        <v>43</v>
      </c>
      <c r="B46" s="14">
        <f>COUNTIFS(面试清单!E:E,"钳工",面试清单!P:P,"&lt;&gt;")</f>
        <v>1253</v>
      </c>
      <c r="C46" s="14">
        <f>COUNTIFS(面试清单!E:E,"钳工",面试清单!J:J,"是")</f>
        <v>341</v>
      </c>
      <c r="D46" s="14">
        <f>COUNTIF(离职清单!D:D,"钳工")</f>
        <v>200</v>
      </c>
      <c r="E46" s="119">
        <f>IFERROR(B46/COUNTIF(面试清单!P:P,"&lt;&gt;"),0)</f>
        <v>0.258297258297258</v>
      </c>
    </row>
    <row r="47" spans="1:10">
      <c r="A47" s="10" t="s">
        <v>73</v>
      </c>
      <c r="B47" s="10">
        <f>COUNTIFS(面试清单!E:E,"调试",面试清单!P:P,"&lt;&gt;")</f>
        <v>31</v>
      </c>
      <c r="C47" s="10">
        <f>COUNTIFS(面试清单!E:E,"调试",面试清单!J:J,"是")</f>
        <v>6</v>
      </c>
      <c r="D47" s="10">
        <f>COUNTIF(离职清单!D:D,"调试")</f>
        <v>2</v>
      </c>
      <c r="E47" s="118">
        <f>IFERROR(B47/COUNTIF(面试清单!P:P,"&lt;&gt;"),0)</f>
        <v>0.00639043496186353</v>
      </c>
    </row>
    <row r="48" spans="1:10">
      <c r="A48" s="14" t="s">
        <v>74</v>
      </c>
      <c r="B48" s="14">
        <f>COUNTIFS(面试清单!E:E,"仓库",面试清单!P:P,"&lt;&gt;")</f>
        <v>258</v>
      </c>
      <c r="C48" s="14">
        <f>COUNTIFS(面试清单!E:E,"仓库",面试清单!J:J,"是")</f>
        <v>109</v>
      </c>
      <c r="D48" s="14">
        <f>COUNTIF(离职清单!D:D,"仓库")</f>
        <v>147</v>
      </c>
      <c r="E48" s="119">
        <f>IFERROR(B48/COUNTIF(面试清单!P:P,"&lt;&gt;"),0)</f>
        <v>0.0531849103277675</v>
      </c>
    </row>
    <row r="49" spans="1:8">
      <c r="A49" s="10" t="s">
        <v>75</v>
      </c>
      <c r="B49" s="10">
        <f>COUNTIFS(面试清单!E:E,"其他",面试清单!P:P,"&lt;&gt;")</f>
        <v>0</v>
      </c>
      <c r="C49" s="10">
        <f>COUNTIFS(面试清单!E:E,"其他",面试清单!J:J,"是")</f>
        <v>0</v>
      </c>
      <c r="D49" s="10">
        <f>COUNTIF(离职清单!D:D,"其他")</f>
        <v>0</v>
      </c>
      <c r="E49" s="118">
        <f>IFERROR(B49/COUNTIF(面试清单!P:P,"&lt;&gt;"),0)</f>
        <v>0</v>
      </c>
    </row>
    <row r="51" ht="17.6" spans="1:8">
      <c r="A51" s="41" t="s">
        <v>76</v>
      </c>
    </row>
    <row r="52" ht="31" spans="1:8">
      <c r="A52" s="6" t="s">
        <v>77</v>
      </c>
      <c r="B52" s="6" t="s">
        <v>48</v>
      </c>
      <c r="C52" s="6" t="s">
        <v>70</v>
      </c>
      <c r="D52" s="6" t="s">
        <v>71</v>
      </c>
      <c r="E52" s="6" t="s">
        <v>72</v>
      </c>
    </row>
    <row r="53" spans="1:8">
      <c r="A53" s="10" t="s">
        <v>62</v>
      </c>
      <c r="B53" s="10">
        <f>COUNTIFS(面试清单!F:F,"大工",面试清单!P:P,"&lt;&gt;")</f>
        <v>772</v>
      </c>
      <c r="C53" s="10">
        <f>COUNTIFS(面试清单!F:F,"大工",面试清单!J:J,"是")</f>
        <v>218</v>
      </c>
      <c r="D53" s="10">
        <f>COUNTIF(离职清单!E:E,"大工")</f>
        <v>118</v>
      </c>
      <c r="E53" s="118">
        <f>IFERROR(B53/COUNTIF(面试清单!P:P,"&lt;&gt;"),0)</f>
        <v>0.159142444856731</v>
      </c>
    </row>
    <row r="54" spans="1:8">
      <c r="A54" s="14" t="s">
        <v>63</v>
      </c>
      <c r="B54" s="14">
        <f>COUNTIFS(面试清单!F:F,"中工",面试清单!P:P,"&lt;&gt;")</f>
        <v>1451</v>
      </c>
      <c r="C54" s="14">
        <f>COUNTIFS(面试清单!F:F,"中工",面试清单!J:J,"是")</f>
        <v>383</v>
      </c>
      <c r="D54" s="14">
        <f>COUNTIF(离职清单!E:E,"中工")</f>
        <v>150</v>
      </c>
      <c r="E54" s="119">
        <f>IFERROR(B54/COUNTIF(面试清单!P:P,"&lt;&gt;"),0)</f>
        <v>0.299113584827871</v>
      </c>
    </row>
    <row r="55" spans="1:8">
      <c r="A55" s="10" t="s">
        <v>64</v>
      </c>
      <c r="B55" s="10">
        <f>COUNTIFS(面试清单!F:F,"小工",面试清单!P:P,"&lt;&gt;")</f>
        <v>1341</v>
      </c>
      <c r="C55" s="10">
        <f>COUNTIFS(面试清单!F:F,"小工",面试清单!J:J,"是")</f>
        <v>358</v>
      </c>
      <c r="D55" s="10">
        <f>COUNTIF(离职清单!E:E,"小工")</f>
        <v>192</v>
      </c>
      <c r="E55" s="118">
        <f>IFERROR(B55/COUNTIF(面试清单!P:P,"&lt;&gt;"),0)</f>
        <v>0.276437847866419</v>
      </c>
    </row>
    <row r="57" ht="17.6" spans="1:8">
      <c r="A57" s="41" t="s">
        <v>78</v>
      </c>
    </row>
    <row r="58" ht="31" spans="1:8">
      <c r="A58" s="6" t="s">
        <v>79</v>
      </c>
      <c r="B58" s="6" t="s">
        <v>80</v>
      </c>
      <c r="C58" s="6" t="s">
        <v>81</v>
      </c>
      <c r="D58" s="6" t="s">
        <v>82</v>
      </c>
      <c r="E58" s="6" t="s">
        <v>48</v>
      </c>
      <c r="F58" s="6" t="s">
        <v>83</v>
      </c>
      <c r="G58" s="6" t="s">
        <v>8</v>
      </c>
      <c r="H58" s="6" t="s">
        <v>84</v>
      </c>
    </row>
    <row r="59" spans="1:8">
      <c r="A59" s="10" t="s">
        <v>85</v>
      </c>
      <c r="B59" s="10">
        <f>COUNTIF(面试清单!H:H,"线上")</f>
        <v>2592</v>
      </c>
      <c r="C59" s="10">
        <f>COUNTIFS(面试清单!H:H,"线上",面试清单!I:I,"通过")</f>
        <v>1075</v>
      </c>
      <c r="D59" s="10">
        <f>COUNTIFS(面试清单!H:H,"线上",面试清单!J:J,"是")</f>
        <v>555</v>
      </c>
      <c r="E59" s="10">
        <f>COUNTIFS(面试清单!H:H,"线上",面试清单!P:P,"&lt;&gt;")</f>
        <v>2592</v>
      </c>
      <c r="F59" s="118">
        <f>IFERROR(C59/B59,0)</f>
        <v>0.414737654320988</v>
      </c>
      <c r="G59" s="118">
        <f>IFERROR(D59/C59,0)</f>
        <v>0.516279069767442</v>
      </c>
      <c r="H59" s="118">
        <f>IFERROR(E59/D59,0)</f>
        <v>4.67027027027027</v>
      </c>
    </row>
    <row r="60" spans="1:8">
      <c r="A60" s="14" t="s">
        <v>86</v>
      </c>
      <c r="B60" s="14">
        <f>COUNTIF(面试清单!H:H,"线下")</f>
        <v>1039</v>
      </c>
      <c r="C60" s="14">
        <f>COUNTIFS(面试清单!H:H,"线下",面试清单!I:I,"通过")</f>
        <v>565</v>
      </c>
      <c r="D60" s="14">
        <f>COUNTIFS(面试清单!H:H,"线下",面试清单!J:J,"是")</f>
        <v>437</v>
      </c>
      <c r="E60" s="14">
        <f>COUNTIFS(面试清单!H:H,"线下",面试清单!P:P,"&lt;&gt;")</f>
        <v>1039</v>
      </c>
      <c r="F60" s="119">
        <f>IFERROR(C60/B60,0)</f>
        <v>0.543792107795958</v>
      </c>
      <c r="G60" s="119">
        <f>IFERROR(D60/C60,0)</f>
        <v>0.773451327433628</v>
      </c>
      <c r="H60" s="119">
        <f>IFERROR(E60/D60,0)</f>
        <v>2.37757437070938</v>
      </c>
    </row>
  </sheetData>
  <mergeCells count="48">
    <mergeCell ref="A1:L1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9:E9"/>
    <mergeCell ref="A15:AA15"/>
    <mergeCell ref="G16:I16"/>
    <mergeCell ref="J16:L16"/>
    <mergeCell ref="M16:O16"/>
    <mergeCell ref="P16:R16"/>
    <mergeCell ref="S16:U16"/>
    <mergeCell ref="V16:X16"/>
    <mergeCell ref="Y16:AA16"/>
    <mergeCell ref="A24:B24"/>
    <mergeCell ref="A26:F26"/>
    <mergeCell ref="G26:H26"/>
    <mergeCell ref="I26:L26"/>
    <mergeCell ref="A27:C27"/>
    <mergeCell ref="D27:F27"/>
    <mergeCell ref="G27:I27"/>
    <mergeCell ref="J27:L27"/>
    <mergeCell ref="A28:C28"/>
    <mergeCell ref="D28:F28"/>
    <mergeCell ref="G28:I28"/>
    <mergeCell ref="J28:L28"/>
    <mergeCell ref="A30:J30"/>
    <mergeCell ref="A37:I37"/>
    <mergeCell ref="A16:A17"/>
    <mergeCell ref="A18:A20"/>
    <mergeCell ref="A21:A23"/>
    <mergeCell ref="B16:B17"/>
    <mergeCell ref="C16:C17"/>
    <mergeCell ref="D16:D17"/>
    <mergeCell ref="E16:E17"/>
    <mergeCell ref="F16:F17"/>
  </mergeCells>
  <conditionalFormatting sqref="E11:E13">
    <cfRule type="cellIs" dxfId="0" priority="1" operator="greaterThanOrEqual">
      <formula>1</formula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85FA5"/>
  </sheetPr>
  <dimension ref="A1:P1048426"/>
  <sheetViews>
    <sheetView workbookViewId="0">
      <pane ySplit="1" topLeftCell="A2" activePane="bottomLeft" state="frozen"/>
      <selection/>
      <selection pane="bottomLeft" activeCell="G22" sqref="G22"/>
    </sheetView>
  </sheetViews>
  <sheetFormatPr defaultColWidth="9" defaultRowHeight="16.8"/>
  <cols>
    <col min="1" max="1" width="6" customWidth="1"/>
    <col min="2" max="2" width="14.3846153846154" style="26" customWidth="1"/>
    <col min="3" max="3" width="8" style="26" customWidth="1"/>
    <col min="4" max="4" width="14" style="4" customWidth="1"/>
    <col min="5" max="5" width="10" style="26" customWidth="1"/>
    <col min="6" max="6" width="9.375" style="26" customWidth="1"/>
    <col min="7" max="7" width="15.875" style="26" customWidth="1"/>
    <col min="8" max="8" width="13.5576923076923" style="26" customWidth="1"/>
    <col min="9" max="9" width="15.8846153846154" style="27" customWidth="1"/>
    <col min="10" max="10" width="10" style="26" customWidth="1"/>
    <col min="11" max="11" width="20.1153846153846" style="26" customWidth="1"/>
    <col min="12" max="12" width="14" style="4" customWidth="1"/>
    <col min="13" max="13" width="20" style="4" customWidth="1"/>
    <col min="14" max="14" width="17.125" style="26" customWidth="1"/>
    <col min="15" max="15" width="12" style="28" customWidth="1"/>
    <col min="16" max="16" width="10" style="28" customWidth="1"/>
  </cols>
  <sheetData>
    <row r="1" customFormat="1" ht="31" spans="1:16">
      <c r="A1" s="6" t="s">
        <v>87</v>
      </c>
      <c r="B1" s="29" t="s">
        <v>88</v>
      </c>
      <c r="C1" s="29" t="s">
        <v>89</v>
      </c>
      <c r="D1" s="6" t="s">
        <v>90</v>
      </c>
      <c r="E1" s="29" t="s">
        <v>69</v>
      </c>
      <c r="F1" s="29" t="s">
        <v>77</v>
      </c>
      <c r="G1" s="29" t="s">
        <v>91</v>
      </c>
      <c r="H1" s="30" t="s">
        <v>92</v>
      </c>
      <c r="I1" s="16" t="s">
        <v>93</v>
      </c>
      <c r="J1" s="16" t="s">
        <v>94</v>
      </c>
      <c r="K1" s="16" t="s">
        <v>95</v>
      </c>
      <c r="L1" s="6" t="s">
        <v>96</v>
      </c>
      <c r="M1" s="6" t="s">
        <v>97</v>
      </c>
      <c r="N1" s="16" t="s">
        <v>98</v>
      </c>
      <c r="O1" s="6" t="s">
        <v>99</v>
      </c>
      <c r="P1" s="6" t="s">
        <v>100</v>
      </c>
    </row>
    <row r="2" customFormat="1" ht="18" spans="1:16">
      <c r="A2" s="14">
        <f t="shared" ref="A2:A52" si="0">IF(B2&lt;&gt;"",ROW()-1,"")</f>
        <v>1</v>
      </c>
      <c r="B2" s="31">
        <v>46174</v>
      </c>
      <c r="C2" s="32" t="s">
        <v>101</v>
      </c>
      <c r="D2" s="120" t="s">
        <v>102</v>
      </c>
      <c r="E2" s="33" t="s">
        <v>42</v>
      </c>
      <c r="F2" s="18" t="s">
        <v>62</v>
      </c>
      <c r="G2" s="18" t="s">
        <v>103</v>
      </c>
      <c r="H2" s="34" t="s">
        <v>86</v>
      </c>
      <c r="I2" s="18" t="s">
        <v>104</v>
      </c>
      <c r="J2" s="31" t="s">
        <v>105</v>
      </c>
      <c r="K2" s="31">
        <v>46174</v>
      </c>
      <c r="L2" s="4"/>
      <c r="M2" s="4"/>
      <c r="N2" s="13" t="s">
        <v>29</v>
      </c>
      <c r="O2" s="35" t="str">
        <f>IF(D2="","",IF(COUNTIF(离职清单!C:C,D2)&gt;0,"已离职","在职"))</f>
        <v>在职</v>
      </c>
      <c r="P2" s="35" t="str">
        <f>IF(AND(O2="在职",J2="是"),COUNTIF(O$2:O2,"在职"),"")</f>
        <v/>
      </c>
    </row>
    <row r="3" customFormat="1" ht="18" spans="1:16">
      <c r="A3" s="10">
        <f t="shared" si="0"/>
        <v>2</v>
      </c>
      <c r="B3" s="31">
        <v>46174</v>
      </c>
      <c r="C3" s="32" t="s">
        <v>106</v>
      </c>
      <c r="D3" s="120" t="s">
        <v>107</v>
      </c>
      <c r="E3" s="33" t="s">
        <v>42</v>
      </c>
      <c r="F3" s="18" t="s">
        <v>64</v>
      </c>
      <c r="G3" s="18" t="s">
        <v>103</v>
      </c>
      <c r="H3" s="34" t="s">
        <v>86</v>
      </c>
      <c r="I3" s="18" t="s">
        <v>104</v>
      </c>
      <c r="J3" s="31" t="s">
        <v>105</v>
      </c>
      <c r="K3" s="31">
        <v>46174</v>
      </c>
      <c r="L3" s="4"/>
      <c r="M3" s="4"/>
      <c r="N3" s="13" t="s">
        <v>29</v>
      </c>
      <c r="O3" s="35" t="str">
        <f>IF(D3="","",IF(COUNTIF(离职清单!C:C,D3)&gt;0,"已离职","在职"))</f>
        <v>在职</v>
      </c>
      <c r="P3" s="35" t="str">
        <f>IF(AND(O3="在职",J3="是"),COUNTIF(O$2:O3,"在职"),"")</f>
        <v/>
      </c>
    </row>
    <row r="4" customFormat="1" ht="18" spans="1:16">
      <c r="A4" s="14">
        <f t="shared" si="0"/>
        <v>3</v>
      </c>
      <c r="B4" s="31">
        <v>46174</v>
      </c>
      <c r="C4" s="32" t="s">
        <v>108</v>
      </c>
      <c r="D4" s="120" t="s">
        <v>109</v>
      </c>
      <c r="E4" s="33" t="s">
        <v>42</v>
      </c>
      <c r="F4" s="18" t="s">
        <v>64</v>
      </c>
      <c r="G4" s="18" t="s">
        <v>110</v>
      </c>
      <c r="H4" s="34" t="s">
        <v>86</v>
      </c>
      <c r="I4" s="18" t="s">
        <v>111</v>
      </c>
      <c r="J4" s="31" t="s">
        <v>105</v>
      </c>
      <c r="K4" s="31">
        <v>46174</v>
      </c>
      <c r="L4" s="4"/>
      <c r="M4" s="4"/>
      <c r="N4" s="13" t="s">
        <v>29</v>
      </c>
      <c r="O4" s="35" t="str">
        <f>IF(D4="","",IF(COUNTIF(离职清单!C:C,D4)&gt;0,"已离职","在职"))</f>
        <v>在职</v>
      </c>
      <c r="P4" s="35" t="str">
        <f>IF(AND(O4="在职",J4="是"),COUNTIF(O$2:O4,"在职"),"")</f>
        <v/>
      </c>
    </row>
    <row r="5" customFormat="1" ht="18" spans="1:16">
      <c r="A5" s="10">
        <f t="shared" si="0"/>
        <v>4</v>
      </c>
      <c r="B5" s="31">
        <v>46174</v>
      </c>
      <c r="C5" s="32" t="s">
        <v>112</v>
      </c>
      <c r="D5" s="120" t="s">
        <v>113</v>
      </c>
      <c r="E5" s="33" t="s">
        <v>42</v>
      </c>
      <c r="F5" s="18" t="s">
        <v>64</v>
      </c>
      <c r="G5" s="18" t="s">
        <v>110</v>
      </c>
      <c r="H5" s="34" t="s">
        <v>86</v>
      </c>
      <c r="I5" s="18" t="s">
        <v>104</v>
      </c>
      <c r="J5" s="31" t="s">
        <v>114</v>
      </c>
      <c r="K5" s="31">
        <v>46174</v>
      </c>
      <c r="L5" s="4"/>
      <c r="M5" s="4"/>
      <c r="N5" s="13" t="s">
        <v>29</v>
      </c>
      <c r="O5" s="36" t="str">
        <f>IF(D5="","",IF(COUNTIF(离职清单!C:C,D5)&gt;0,"已离职","在职"))</f>
        <v>在职</v>
      </c>
      <c r="P5" s="35">
        <f>IF(AND(O5="在职",J5="是"),COUNTIF(O$2:O5,"在职"),"")</f>
        <v>4</v>
      </c>
    </row>
    <row r="6" customFormat="1" ht="18" spans="1:16">
      <c r="A6" s="14">
        <f t="shared" si="0"/>
        <v>5</v>
      </c>
      <c r="B6" s="31">
        <v>46174</v>
      </c>
      <c r="C6" s="32" t="s">
        <v>115</v>
      </c>
      <c r="D6" s="120" t="s">
        <v>116</v>
      </c>
      <c r="E6" s="33" t="s">
        <v>42</v>
      </c>
      <c r="F6" s="18" t="s">
        <v>64</v>
      </c>
      <c r="G6" s="18" t="s">
        <v>117</v>
      </c>
      <c r="H6" s="34" t="s">
        <v>86</v>
      </c>
      <c r="I6" s="18" t="s">
        <v>104</v>
      </c>
      <c r="J6" s="31" t="s">
        <v>114</v>
      </c>
      <c r="K6" s="31">
        <v>46174</v>
      </c>
      <c r="L6" s="4"/>
      <c r="M6" s="4"/>
      <c r="N6" s="13" t="s">
        <v>29</v>
      </c>
      <c r="O6" s="35" t="str">
        <f>IF(D6="","",IF(COUNTIF(离职清单!C:C,D6)&gt;0,"已离职","在职"))</f>
        <v>在职</v>
      </c>
      <c r="P6" s="35">
        <f>IF(AND(O6="在职",J6="是"),COUNTIF(O$2:O6,"在职"),"")</f>
        <v>5</v>
      </c>
    </row>
    <row r="7" customFormat="1" ht="18" spans="1:16">
      <c r="A7" s="10">
        <f t="shared" si="0"/>
        <v>6</v>
      </c>
      <c r="B7" s="31">
        <v>46174</v>
      </c>
      <c r="C7" s="32" t="s">
        <v>118</v>
      </c>
      <c r="D7" s="120" t="s">
        <v>119</v>
      </c>
      <c r="E7" s="33" t="s">
        <v>43</v>
      </c>
      <c r="F7" s="18" t="s">
        <v>64</v>
      </c>
      <c r="G7" s="18" t="s">
        <v>117</v>
      </c>
      <c r="H7" s="34" t="s">
        <v>86</v>
      </c>
      <c r="I7" s="18" t="s">
        <v>111</v>
      </c>
      <c r="J7" s="31" t="s">
        <v>105</v>
      </c>
      <c r="K7" s="31">
        <v>46174</v>
      </c>
      <c r="L7" s="4"/>
      <c r="M7" s="4"/>
      <c r="N7" s="13" t="s">
        <v>29</v>
      </c>
      <c r="O7" s="35" t="str">
        <f>IF(D7="","",IF(COUNTIF(离职清单!C:C,D7)&gt;0,"已离职","在职"))</f>
        <v>在职</v>
      </c>
      <c r="P7" s="35" t="str">
        <f>IF(AND(O7="在职",J7="是"),COUNTIF(O$2:O7,"在职"),"")</f>
        <v/>
      </c>
    </row>
    <row r="8" customFormat="1" ht="18" spans="1:16">
      <c r="A8" s="14">
        <f t="shared" si="0"/>
        <v>7</v>
      </c>
      <c r="B8" s="31">
        <v>46174</v>
      </c>
      <c r="C8" s="32" t="s">
        <v>120</v>
      </c>
      <c r="D8" s="120" t="s">
        <v>121</v>
      </c>
      <c r="E8" s="33" t="s">
        <v>42</v>
      </c>
      <c r="F8" s="18" t="s">
        <v>64</v>
      </c>
      <c r="G8" s="18" t="s">
        <v>117</v>
      </c>
      <c r="H8" s="34" t="s">
        <v>86</v>
      </c>
      <c r="I8" s="18" t="s">
        <v>111</v>
      </c>
      <c r="J8" s="31" t="s">
        <v>105</v>
      </c>
      <c r="K8" s="31">
        <v>46174</v>
      </c>
      <c r="L8" s="4"/>
      <c r="M8" s="4"/>
      <c r="N8" s="13" t="s">
        <v>29</v>
      </c>
      <c r="O8" s="35" t="str">
        <f>IF(D8="","",IF(COUNTIF(离职清单!C:C,D8)&gt;0,"已离职","在职"))</f>
        <v>在职</v>
      </c>
      <c r="P8" s="35" t="str">
        <f>IF(AND(O8="在职",J8="是"),COUNTIF(O$2:O8,"在职"),"")</f>
        <v/>
      </c>
    </row>
    <row r="9" customFormat="1" ht="18" spans="1:16">
      <c r="A9" s="10">
        <f t="shared" si="0"/>
        <v>8</v>
      </c>
      <c r="B9" s="31">
        <v>46174</v>
      </c>
      <c r="C9" s="32" t="s">
        <v>122</v>
      </c>
      <c r="D9" s="120" t="s">
        <v>123</v>
      </c>
      <c r="E9" s="33" t="s">
        <v>43</v>
      </c>
      <c r="F9" s="18" t="s">
        <v>63</v>
      </c>
      <c r="G9" s="18" t="s">
        <v>124</v>
      </c>
      <c r="H9" s="34" t="s">
        <v>86</v>
      </c>
      <c r="I9" s="18" t="s">
        <v>104</v>
      </c>
      <c r="J9" s="31" t="s">
        <v>114</v>
      </c>
      <c r="K9" s="31">
        <v>46174</v>
      </c>
      <c r="L9" s="4"/>
      <c r="M9" s="4"/>
      <c r="N9" s="13" t="s">
        <v>29</v>
      </c>
      <c r="O9" s="35" t="str">
        <f>IF(D9="","",IF(COUNTIF(离职清单!C:C,D9)&gt;0,"已离职","在职"))</f>
        <v>在职</v>
      </c>
      <c r="P9" s="35">
        <f>IF(AND(O9="在职",J9="是"),COUNTIF(O$2:O9,"在职"),"")</f>
        <v>8</v>
      </c>
    </row>
    <row r="10" customFormat="1" ht="18" spans="1:16">
      <c r="A10" s="14">
        <f t="shared" si="0"/>
        <v>9</v>
      </c>
      <c r="B10" s="31">
        <v>46174</v>
      </c>
      <c r="C10" s="32" t="s">
        <v>125</v>
      </c>
      <c r="D10" s="120" t="s">
        <v>126</v>
      </c>
      <c r="E10" s="33" t="s">
        <v>43</v>
      </c>
      <c r="F10" s="18" t="s">
        <v>64</v>
      </c>
      <c r="G10" s="18" t="s">
        <v>124</v>
      </c>
      <c r="H10" s="34" t="s">
        <v>86</v>
      </c>
      <c r="I10" s="18" t="s">
        <v>111</v>
      </c>
      <c r="J10" s="31" t="s">
        <v>105</v>
      </c>
      <c r="K10" s="31">
        <v>46174</v>
      </c>
      <c r="L10" s="4"/>
      <c r="M10" s="4"/>
      <c r="N10" s="13" t="s">
        <v>29</v>
      </c>
      <c r="O10" s="35" t="str">
        <f>IF(D10="","",IF(COUNTIF(离职清单!C:C,D10)&gt;0,"已离职","在职"))</f>
        <v>已离职</v>
      </c>
      <c r="P10" s="35" t="str">
        <f>IF(AND(O10="在职",J10="是"),COUNTIF(O$2:O10,"在职"),"")</f>
        <v/>
      </c>
    </row>
    <row r="11" customFormat="1" ht="18" spans="1:16">
      <c r="A11" s="10">
        <f t="shared" si="0"/>
        <v>10</v>
      </c>
      <c r="B11" s="31">
        <v>46174</v>
      </c>
      <c r="C11" s="32" t="s">
        <v>127</v>
      </c>
      <c r="D11" s="120" t="s">
        <v>128</v>
      </c>
      <c r="E11" s="33" t="s">
        <v>42</v>
      </c>
      <c r="F11" s="18" t="s">
        <v>64</v>
      </c>
      <c r="G11" s="18" t="s">
        <v>129</v>
      </c>
      <c r="H11" s="34" t="s">
        <v>86</v>
      </c>
      <c r="I11" s="18" t="s">
        <v>111</v>
      </c>
      <c r="J11" s="31" t="s">
        <v>105</v>
      </c>
      <c r="K11" s="31">
        <v>46174</v>
      </c>
      <c r="L11" s="4"/>
      <c r="M11" s="4"/>
      <c r="N11" s="13" t="s">
        <v>29</v>
      </c>
      <c r="O11" s="35" t="str">
        <f>IF(D11="","",IF(COUNTIF(离职清单!C:C,D11)&gt;0,"已离职","在职"))</f>
        <v>已离职</v>
      </c>
      <c r="P11" s="35" t="str">
        <f>IF(AND(O11="在职",J11="是"),COUNTIF(O$2:O11,"在职"),"")</f>
        <v/>
      </c>
    </row>
    <row r="12" customFormat="1" ht="18" spans="1:16">
      <c r="A12" s="14">
        <f t="shared" si="0"/>
        <v>11</v>
      </c>
      <c r="B12" s="31">
        <v>46174</v>
      </c>
      <c r="C12" s="32" t="s">
        <v>130</v>
      </c>
      <c r="D12" s="120" t="s">
        <v>131</v>
      </c>
      <c r="E12" s="33" t="s">
        <v>43</v>
      </c>
      <c r="F12" s="18" t="s">
        <v>63</v>
      </c>
      <c r="G12" s="18" t="s">
        <v>132</v>
      </c>
      <c r="H12" s="34" t="s">
        <v>86</v>
      </c>
      <c r="I12" s="18" t="s">
        <v>104</v>
      </c>
      <c r="J12" s="31" t="s">
        <v>105</v>
      </c>
      <c r="K12" s="31">
        <v>46174</v>
      </c>
      <c r="L12" s="4"/>
      <c r="M12" s="4"/>
      <c r="N12" s="13" t="s">
        <v>29</v>
      </c>
      <c r="O12" s="35" t="str">
        <f>IF(D12="","",IF(COUNTIF(离职清单!C:C,D12)&gt;0,"已离职","在职"))</f>
        <v>在职</v>
      </c>
      <c r="P12" s="35" t="str">
        <f>IF(AND(O12="在职",J12="是"),COUNTIF(O$2:O12,"在职"),"")</f>
        <v/>
      </c>
    </row>
    <row r="13" customFormat="1" ht="18" spans="1:16">
      <c r="A13" s="10">
        <f t="shared" si="0"/>
        <v>12</v>
      </c>
      <c r="B13" s="31">
        <v>46174</v>
      </c>
      <c r="C13" s="32" t="s">
        <v>133</v>
      </c>
      <c r="D13" s="120" t="s">
        <v>134</v>
      </c>
      <c r="E13" s="33" t="s">
        <v>74</v>
      </c>
      <c r="F13" s="18" t="s">
        <v>64</v>
      </c>
      <c r="G13" s="18" t="s">
        <v>135</v>
      </c>
      <c r="H13" s="34" t="s">
        <v>86</v>
      </c>
      <c r="I13" s="18" t="s">
        <v>104</v>
      </c>
      <c r="J13" s="31" t="s">
        <v>114</v>
      </c>
      <c r="K13" s="31">
        <v>46174</v>
      </c>
      <c r="L13" s="4"/>
      <c r="M13" s="4"/>
      <c r="N13" s="13" t="s">
        <v>29</v>
      </c>
      <c r="O13" s="35" t="str">
        <f>IF(D13="","",IF(COUNTIF(离职清单!C:C,D13)&gt;0,"已离职","在职"))</f>
        <v>在职</v>
      </c>
      <c r="P13" s="35">
        <f>IF(AND(O13="在职",J13="是"),COUNTIF(O$2:O13,"在职"),"")</f>
        <v>10</v>
      </c>
    </row>
    <row r="14" customFormat="1" ht="18" spans="1:16">
      <c r="A14" s="14">
        <f t="shared" si="0"/>
        <v>13</v>
      </c>
      <c r="B14" s="31">
        <v>46174</v>
      </c>
      <c r="C14" s="32" t="s">
        <v>136</v>
      </c>
      <c r="D14" s="120" t="s">
        <v>137</v>
      </c>
      <c r="E14" s="33" t="s">
        <v>74</v>
      </c>
      <c r="F14" s="18" t="s">
        <v>64</v>
      </c>
      <c r="G14" s="18" t="s">
        <v>135</v>
      </c>
      <c r="H14" s="34" t="s">
        <v>86</v>
      </c>
      <c r="I14" s="18" t="s">
        <v>104</v>
      </c>
      <c r="J14" s="31" t="s">
        <v>105</v>
      </c>
      <c r="K14" s="31">
        <v>46174</v>
      </c>
      <c r="L14" s="4"/>
      <c r="M14" s="4"/>
      <c r="N14" s="13" t="s">
        <v>29</v>
      </c>
      <c r="O14" s="35" t="str">
        <f>IF(D14="","",IF(COUNTIF(离职清单!C:C,D14)&gt;0,"已离职","在职"))</f>
        <v>在职</v>
      </c>
      <c r="P14" s="35" t="str">
        <f>IF(AND(O14="在职",J14="是"),COUNTIF(O$2:O14,"在职"),"")</f>
        <v/>
      </c>
    </row>
    <row r="15" customFormat="1" ht="18" spans="1:16">
      <c r="A15" s="10">
        <f t="shared" si="0"/>
        <v>14</v>
      </c>
      <c r="B15" s="31">
        <v>46174</v>
      </c>
      <c r="C15" s="32" t="s">
        <v>138</v>
      </c>
      <c r="D15" s="120" t="s">
        <v>139</v>
      </c>
      <c r="E15" s="33" t="s">
        <v>74</v>
      </c>
      <c r="F15" s="18" t="s">
        <v>64</v>
      </c>
      <c r="G15" s="18" t="s">
        <v>135</v>
      </c>
      <c r="H15" s="34" t="s">
        <v>86</v>
      </c>
      <c r="I15" s="18" t="s">
        <v>104</v>
      </c>
      <c r="J15" s="31" t="s">
        <v>105</v>
      </c>
      <c r="K15" s="31">
        <v>46174</v>
      </c>
      <c r="L15" s="4"/>
      <c r="M15" s="4"/>
      <c r="N15" s="13" t="s">
        <v>29</v>
      </c>
      <c r="O15" s="35" t="str">
        <f>IF(D15="","",IF(COUNTIF(离职清单!C:C,D15)&gt;0,"已离职","在职"))</f>
        <v>在职</v>
      </c>
      <c r="P15" s="35" t="str">
        <f>IF(AND(O15="在职",J15="是"),COUNTIF(O$2:O15,"在职"),"")</f>
        <v/>
      </c>
    </row>
    <row r="16" customFormat="1" ht="18" spans="1:16">
      <c r="A16" s="14">
        <f t="shared" si="0"/>
        <v>15</v>
      </c>
      <c r="B16" s="31">
        <v>46174</v>
      </c>
      <c r="C16" s="32" t="s">
        <v>140</v>
      </c>
      <c r="D16" s="120" t="s">
        <v>141</v>
      </c>
      <c r="E16" s="33" t="s">
        <v>74</v>
      </c>
      <c r="F16" s="18" t="s">
        <v>64</v>
      </c>
      <c r="G16" s="18" t="s">
        <v>135</v>
      </c>
      <c r="H16" s="34" t="s">
        <v>86</v>
      </c>
      <c r="I16" s="18" t="s">
        <v>104</v>
      </c>
      <c r="J16" s="31" t="s">
        <v>105</v>
      </c>
      <c r="K16" s="31">
        <v>46174</v>
      </c>
      <c r="L16" s="4"/>
      <c r="M16" s="4"/>
      <c r="N16" s="13" t="s">
        <v>29</v>
      </c>
      <c r="O16" s="35" t="str">
        <f>IF(D16="","",IF(COUNTIF(离职清单!C:C,D16)&gt;0,"已离职","在职"))</f>
        <v>在职</v>
      </c>
      <c r="P16" s="35" t="str">
        <f>IF(AND(O16="在职",J16="是"),COUNTIF(O$2:O16,"在职"),"")</f>
        <v/>
      </c>
    </row>
    <row r="17" customFormat="1" ht="18" spans="1:16">
      <c r="A17" s="10">
        <f t="shared" si="0"/>
        <v>16</v>
      </c>
      <c r="B17" s="31">
        <v>46174</v>
      </c>
      <c r="C17" s="32" t="s">
        <v>142</v>
      </c>
      <c r="D17" s="120" t="s">
        <v>143</v>
      </c>
      <c r="E17" s="33" t="s">
        <v>74</v>
      </c>
      <c r="F17" s="18" t="s">
        <v>64</v>
      </c>
      <c r="G17" s="18" t="s">
        <v>135</v>
      </c>
      <c r="H17" s="34" t="s">
        <v>86</v>
      </c>
      <c r="I17" s="18" t="s">
        <v>104</v>
      </c>
      <c r="J17" s="31" t="s">
        <v>105</v>
      </c>
      <c r="K17" s="31">
        <v>46174</v>
      </c>
      <c r="L17" s="4"/>
      <c r="M17" s="4"/>
      <c r="N17" s="13" t="s">
        <v>29</v>
      </c>
      <c r="O17" s="35" t="str">
        <f>IF(D17="","",IF(COUNTIF(离职清单!C:C,D17)&gt;0,"已离职","在职"))</f>
        <v>在职</v>
      </c>
      <c r="P17" s="35" t="str">
        <f>IF(AND(O17="在职",J17="是"),COUNTIF(O$2:O17,"在职"),"")</f>
        <v/>
      </c>
    </row>
    <row r="18" customFormat="1" ht="18" spans="1:16">
      <c r="A18" s="14">
        <f t="shared" si="0"/>
        <v>17</v>
      </c>
      <c r="B18" s="31">
        <v>46174</v>
      </c>
      <c r="C18" s="32" t="s">
        <v>144</v>
      </c>
      <c r="D18" s="120" t="s">
        <v>145</v>
      </c>
      <c r="E18" s="33" t="s">
        <v>42</v>
      </c>
      <c r="F18" s="18" t="s">
        <v>64</v>
      </c>
      <c r="G18" s="18" t="s">
        <v>135</v>
      </c>
      <c r="H18" s="34" t="s">
        <v>86</v>
      </c>
      <c r="I18" s="18" t="s">
        <v>111</v>
      </c>
      <c r="J18" s="31" t="s">
        <v>105</v>
      </c>
      <c r="K18" s="31">
        <v>46174</v>
      </c>
      <c r="L18" s="24"/>
      <c r="M18" s="24"/>
      <c r="N18" s="13" t="s">
        <v>29</v>
      </c>
      <c r="O18" s="35" t="str">
        <f>IF(D18="","",IF(COUNTIF(离职清单!C:C,D18)&gt;0,"已离职","在职"))</f>
        <v>在职</v>
      </c>
      <c r="P18" s="35" t="str">
        <f>IF(AND(O18="在职",J18="是"),COUNTIF(O$2:O18,"在职"),"")</f>
        <v/>
      </c>
    </row>
    <row r="19" customFormat="1" ht="18" spans="1:16">
      <c r="A19" s="10">
        <f t="shared" si="0"/>
        <v>18</v>
      </c>
      <c r="B19" s="31">
        <v>46174</v>
      </c>
      <c r="C19" s="32" t="s">
        <v>146</v>
      </c>
      <c r="D19" s="120" t="s">
        <v>147</v>
      </c>
      <c r="E19" s="33" t="s">
        <v>42</v>
      </c>
      <c r="F19" s="18" t="s">
        <v>64</v>
      </c>
      <c r="G19" s="18" t="s">
        <v>148</v>
      </c>
      <c r="H19" s="34" t="s">
        <v>86</v>
      </c>
      <c r="I19" s="18" t="s">
        <v>111</v>
      </c>
      <c r="J19" s="31" t="s">
        <v>105</v>
      </c>
      <c r="K19" s="31">
        <v>46174</v>
      </c>
      <c r="L19" s="24"/>
      <c r="M19" s="24"/>
      <c r="N19" s="13" t="s">
        <v>29</v>
      </c>
      <c r="O19" s="35" t="str">
        <f>IF(D19="","",IF(COUNTIF(离职清单!C:C,D19)&gt;0,"已离职","在职"))</f>
        <v>在职</v>
      </c>
      <c r="P19" s="35" t="str">
        <f>IF(AND(O19="在职",J19="是"),COUNTIF(O$2:O19,"在职"),"")</f>
        <v/>
      </c>
    </row>
    <row r="20" customFormat="1" ht="18" spans="1:16">
      <c r="A20" s="10">
        <f t="shared" si="0"/>
        <v>19</v>
      </c>
      <c r="B20" s="31">
        <v>46174</v>
      </c>
      <c r="C20" s="32" t="s">
        <v>149</v>
      </c>
      <c r="D20" s="120" t="s">
        <v>150</v>
      </c>
      <c r="E20" s="33" t="s">
        <v>42</v>
      </c>
      <c r="F20" s="18" t="s">
        <v>64</v>
      </c>
      <c r="G20" s="18" t="s">
        <v>148</v>
      </c>
      <c r="H20" s="34" t="s">
        <v>86</v>
      </c>
      <c r="I20" s="18" t="s">
        <v>104</v>
      </c>
      <c r="J20" s="31" t="s">
        <v>114</v>
      </c>
      <c r="K20" s="31">
        <v>46174</v>
      </c>
      <c r="L20" s="24"/>
      <c r="M20" s="24"/>
      <c r="N20" s="13" t="s">
        <v>29</v>
      </c>
      <c r="O20" s="35" t="str">
        <f>IF(D20="","",IF(COUNTIF(离职清单!C:C,D20)&gt;0,"已离职","在职"))</f>
        <v>在职</v>
      </c>
      <c r="P20" s="35">
        <f>IF(AND(O20="在职",J20="是"),COUNTIF(O$2:O20,"在职"),"")</f>
        <v>17</v>
      </c>
    </row>
    <row r="21" customFormat="1" ht="18" spans="1:16">
      <c r="A21" s="10">
        <f t="shared" si="0"/>
        <v>20</v>
      </c>
      <c r="B21" s="31">
        <v>46174</v>
      </c>
      <c r="C21" s="32" t="s">
        <v>151</v>
      </c>
      <c r="D21" s="120" t="s">
        <v>152</v>
      </c>
      <c r="E21" s="33" t="s">
        <v>42</v>
      </c>
      <c r="F21" s="18" t="s">
        <v>64</v>
      </c>
      <c r="G21" s="18" t="s">
        <v>148</v>
      </c>
      <c r="H21" s="34" t="s">
        <v>86</v>
      </c>
      <c r="I21" s="18" t="s">
        <v>111</v>
      </c>
      <c r="J21" s="31" t="s">
        <v>105</v>
      </c>
      <c r="K21" s="31">
        <v>46174</v>
      </c>
      <c r="L21" s="24"/>
      <c r="M21" s="24"/>
      <c r="N21" s="13" t="s">
        <v>29</v>
      </c>
      <c r="O21" s="35" t="str">
        <f>IF(D21="","",IF(COUNTIF(离职清单!C:C,D21)&gt;0,"已离职","在职"))</f>
        <v>在职</v>
      </c>
      <c r="P21" s="35" t="str">
        <f>IF(AND(O21="在职",J21="是"),COUNTIF(O$2:O21,"在职"),"")</f>
        <v/>
      </c>
    </row>
    <row r="22" customFormat="1" ht="18" spans="1:16">
      <c r="A22" s="14">
        <f t="shared" si="0"/>
        <v>21</v>
      </c>
      <c r="B22" s="31">
        <v>46174</v>
      </c>
      <c r="C22" s="32" t="s">
        <v>153</v>
      </c>
      <c r="D22" s="120" t="s">
        <v>154</v>
      </c>
      <c r="E22" s="33" t="s">
        <v>43</v>
      </c>
      <c r="F22" s="18" t="s">
        <v>64</v>
      </c>
      <c r="G22" s="18" t="s">
        <v>148</v>
      </c>
      <c r="H22" s="34" t="s">
        <v>86</v>
      </c>
      <c r="I22" s="18" t="s">
        <v>104</v>
      </c>
      <c r="J22" s="31" t="s">
        <v>105</v>
      </c>
      <c r="K22" s="31">
        <v>46174</v>
      </c>
      <c r="L22" s="24"/>
      <c r="M22" s="24"/>
      <c r="N22" s="13" t="s">
        <v>29</v>
      </c>
      <c r="O22" s="35" t="str">
        <f>IF(D22="","",IF(COUNTIF(离职清单!C:C,D22)&gt;0,"已离职","在职"))</f>
        <v>在职</v>
      </c>
      <c r="P22" s="35" t="str">
        <f>IF(AND(O22="在职",J22="是"),COUNTIF(O$2:O22,"在职"),"")</f>
        <v/>
      </c>
    </row>
    <row r="23" customFormat="1" ht="18" spans="1:16">
      <c r="A23" s="10">
        <f t="shared" si="0"/>
        <v>22</v>
      </c>
      <c r="B23" s="31">
        <v>46174</v>
      </c>
      <c r="C23" s="32" t="s">
        <v>155</v>
      </c>
      <c r="D23" s="120" t="s">
        <v>156</v>
      </c>
      <c r="E23" s="33" t="s">
        <v>42</v>
      </c>
      <c r="F23" s="18" t="s">
        <v>64</v>
      </c>
      <c r="G23" s="18" t="s">
        <v>148</v>
      </c>
      <c r="H23" s="34" t="s">
        <v>86</v>
      </c>
      <c r="I23" s="18" t="s">
        <v>111</v>
      </c>
      <c r="J23" s="31" t="s">
        <v>105</v>
      </c>
      <c r="K23" s="31">
        <v>46174</v>
      </c>
      <c r="L23" s="24"/>
      <c r="M23" s="24"/>
      <c r="N23" s="13" t="s">
        <v>29</v>
      </c>
      <c r="O23" s="35" t="str">
        <f>IF(D23="","",IF(COUNTIF(离职清单!C:C,D23)&gt;0,"已离职","在职"))</f>
        <v>在职</v>
      </c>
      <c r="P23" s="35" t="str">
        <f>IF(AND(O23="在职",J23="是"),COUNTIF(O$2:O23,"在职"),"")</f>
        <v/>
      </c>
    </row>
    <row r="24" customFormat="1" ht="18" spans="1:16">
      <c r="A24" s="14">
        <f t="shared" si="0"/>
        <v>23</v>
      </c>
      <c r="B24" s="31">
        <v>46174</v>
      </c>
      <c r="C24" s="32" t="s">
        <v>157</v>
      </c>
      <c r="D24" s="120" t="s">
        <v>158</v>
      </c>
      <c r="E24" s="33" t="s">
        <v>74</v>
      </c>
      <c r="F24" s="18" t="s">
        <v>64</v>
      </c>
      <c r="G24" s="18" t="s">
        <v>148</v>
      </c>
      <c r="H24" s="34" t="s">
        <v>86</v>
      </c>
      <c r="I24" s="18" t="s">
        <v>104</v>
      </c>
      <c r="J24" s="31" t="s">
        <v>105</v>
      </c>
      <c r="K24" s="31">
        <v>46174</v>
      </c>
      <c r="L24" s="24"/>
      <c r="M24" s="24"/>
      <c r="N24" s="13" t="s">
        <v>29</v>
      </c>
      <c r="O24" s="35" t="str">
        <f>IF(D24="","",IF(COUNTIF(离职清单!C:C,D24)&gt;0,"已离职","在职"))</f>
        <v>在职</v>
      </c>
      <c r="P24" s="35" t="str">
        <f>IF(AND(O24="在职",J24="是"),COUNTIF(O$2:O24,"在职"),"")</f>
        <v/>
      </c>
    </row>
    <row r="25" customFormat="1" ht="18" spans="1:16">
      <c r="A25" s="10">
        <f t="shared" si="0"/>
        <v>24</v>
      </c>
      <c r="B25" s="31">
        <v>46174</v>
      </c>
      <c r="C25" s="32" t="s">
        <v>159</v>
      </c>
      <c r="D25" s="120" t="s">
        <v>160</v>
      </c>
      <c r="E25" s="33" t="s">
        <v>74</v>
      </c>
      <c r="F25" s="18" t="s">
        <v>64</v>
      </c>
      <c r="G25" s="18" t="s">
        <v>148</v>
      </c>
      <c r="H25" s="34" t="s">
        <v>86</v>
      </c>
      <c r="I25" s="18" t="s">
        <v>104</v>
      </c>
      <c r="J25" s="31" t="s">
        <v>105</v>
      </c>
      <c r="K25" s="31">
        <v>46174</v>
      </c>
      <c r="L25" s="24"/>
      <c r="M25" s="24"/>
      <c r="N25" s="13" t="s">
        <v>29</v>
      </c>
      <c r="O25" s="35" t="str">
        <f>IF(D25="","",IF(COUNTIF(离职清单!C:C,D25)&gt;0,"已离职","在职"))</f>
        <v>在职</v>
      </c>
      <c r="P25" s="35" t="str">
        <f>IF(AND(O25="在职",J25="是"),COUNTIF(O$2:O25,"在职"),"")</f>
        <v/>
      </c>
    </row>
    <row r="26" customFormat="1" ht="18" spans="1:16">
      <c r="A26" s="14">
        <f t="shared" si="0"/>
        <v>25</v>
      </c>
      <c r="B26" s="31">
        <v>46174</v>
      </c>
      <c r="C26" s="32" t="s">
        <v>161</v>
      </c>
      <c r="D26" s="120" t="s">
        <v>162</v>
      </c>
      <c r="E26" s="33" t="s">
        <v>74</v>
      </c>
      <c r="F26" s="18" t="s">
        <v>64</v>
      </c>
      <c r="G26" s="18" t="s">
        <v>148</v>
      </c>
      <c r="H26" s="34" t="s">
        <v>86</v>
      </c>
      <c r="I26" s="18" t="s">
        <v>104</v>
      </c>
      <c r="J26" s="31" t="s">
        <v>105</v>
      </c>
      <c r="K26" s="31">
        <v>46174</v>
      </c>
      <c r="L26" s="4"/>
      <c r="M26" s="24"/>
      <c r="N26" s="13" t="s">
        <v>29</v>
      </c>
      <c r="O26" s="35" t="str">
        <f>IF(D26="","",IF(COUNTIF(离职清单!C:C,D26)&gt;0,"已离职","在职"))</f>
        <v>在职</v>
      </c>
      <c r="P26" s="35" t="str">
        <f>IF(AND(O26="在职",J26="是"),COUNTIF(O$2:O26,"在职"),"")</f>
        <v/>
      </c>
    </row>
    <row r="27" customFormat="1" ht="18" spans="1:16">
      <c r="A27" s="10">
        <f t="shared" si="0"/>
        <v>26</v>
      </c>
      <c r="B27" s="31">
        <v>46174</v>
      </c>
      <c r="C27" s="32" t="s">
        <v>163</v>
      </c>
      <c r="D27" s="120" t="s">
        <v>164</v>
      </c>
      <c r="E27" s="33" t="s">
        <v>74</v>
      </c>
      <c r="F27" s="18" t="s">
        <v>64</v>
      </c>
      <c r="G27" s="18" t="s">
        <v>148</v>
      </c>
      <c r="H27" s="34" t="s">
        <v>86</v>
      </c>
      <c r="I27" s="18" t="s">
        <v>111</v>
      </c>
      <c r="J27" s="31" t="s">
        <v>105</v>
      </c>
      <c r="K27" s="31">
        <v>46174</v>
      </c>
      <c r="L27" s="24"/>
      <c r="M27" s="24"/>
      <c r="N27" s="13" t="s">
        <v>29</v>
      </c>
      <c r="O27" s="35" t="str">
        <f>IF(D27="","",IF(COUNTIF(离职清单!C:C,D27)&gt;0,"已离职","在职"))</f>
        <v>在职</v>
      </c>
      <c r="P27" s="35" t="str">
        <f>IF(AND(O27="在职",J27="是"),COUNTIF(O$2:O27,"在职"),"")</f>
        <v/>
      </c>
    </row>
    <row r="28" customFormat="1" ht="18" spans="1:16">
      <c r="A28" s="14">
        <f t="shared" si="0"/>
        <v>27</v>
      </c>
      <c r="B28" s="31">
        <v>46174</v>
      </c>
      <c r="C28" s="32" t="s">
        <v>165</v>
      </c>
      <c r="D28" s="120" t="s">
        <v>166</v>
      </c>
      <c r="E28" s="33" t="s">
        <v>74</v>
      </c>
      <c r="F28" s="18" t="s">
        <v>64</v>
      </c>
      <c r="G28" s="18" t="s">
        <v>148</v>
      </c>
      <c r="H28" s="34" t="s">
        <v>86</v>
      </c>
      <c r="I28" s="18" t="s">
        <v>104</v>
      </c>
      <c r="J28" s="31" t="s">
        <v>105</v>
      </c>
      <c r="K28" s="31">
        <v>46174</v>
      </c>
      <c r="L28" s="24"/>
      <c r="M28" s="24"/>
      <c r="N28" s="13" t="s">
        <v>29</v>
      </c>
      <c r="O28" s="35" t="str">
        <f>IF(D28="","",IF(COUNTIF(离职清单!C:C,D28)&gt;0,"已离职","在职"))</f>
        <v>在职</v>
      </c>
      <c r="P28" s="35" t="str">
        <f>IF(AND(O28="在职",J28="是"),COUNTIF(O$2:O28,"在职"),"")</f>
        <v/>
      </c>
    </row>
    <row r="29" customFormat="1" ht="18" spans="1:16">
      <c r="A29" s="10">
        <f t="shared" si="0"/>
        <v>28</v>
      </c>
      <c r="B29" s="31">
        <v>46174</v>
      </c>
      <c r="C29" s="32" t="s">
        <v>167</v>
      </c>
      <c r="D29" s="120" t="s">
        <v>168</v>
      </c>
      <c r="E29" s="33" t="s">
        <v>74</v>
      </c>
      <c r="F29" s="18" t="s">
        <v>64</v>
      </c>
      <c r="G29" s="18" t="s">
        <v>148</v>
      </c>
      <c r="H29" s="34" t="s">
        <v>86</v>
      </c>
      <c r="I29" s="18" t="s">
        <v>104</v>
      </c>
      <c r="J29" s="31" t="s">
        <v>105</v>
      </c>
      <c r="K29" s="31">
        <v>46174</v>
      </c>
      <c r="L29" s="24"/>
      <c r="M29" s="24"/>
      <c r="N29" s="13" t="s">
        <v>29</v>
      </c>
      <c r="O29" s="35" t="str">
        <f>IF(D29="","",IF(COUNTIF(离职清单!C:C,D29)&gt;0,"已离职","在职"))</f>
        <v>在职</v>
      </c>
      <c r="P29" s="35" t="str">
        <f>IF(AND(O29="在职",J29="是"),COUNTIF(O$2:O29,"在职"),"")</f>
        <v/>
      </c>
    </row>
    <row r="30" customFormat="1" ht="18" spans="1:16">
      <c r="A30" s="14">
        <f t="shared" si="0"/>
        <v>29</v>
      </c>
      <c r="B30" s="31">
        <v>46174</v>
      </c>
      <c r="C30" s="32" t="s">
        <v>169</v>
      </c>
      <c r="D30" s="120" t="s">
        <v>170</v>
      </c>
      <c r="E30" s="33" t="s">
        <v>74</v>
      </c>
      <c r="F30" s="18" t="s">
        <v>64</v>
      </c>
      <c r="G30" s="18" t="s">
        <v>148</v>
      </c>
      <c r="H30" s="34" t="s">
        <v>86</v>
      </c>
      <c r="I30" s="18" t="s">
        <v>104</v>
      </c>
      <c r="J30" s="31" t="s">
        <v>114</v>
      </c>
      <c r="K30" s="31">
        <v>46174</v>
      </c>
      <c r="L30" s="24"/>
      <c r="M30" s="24"/>
      <c r="N30" s="13" t="s">
        <v>29</v>
      </c>
      <c r="O30" s="35" t="str">
        <f>IF(D30="","",IF(COUNTIF(离职清单!C:C,D30)&gt;0,"已离职","在职"))</f>
        <v>在职</v>
      </c>
      <c r="P30" s="35">
        <f>IF(AND(O30="在职",J30="是"),COUNTIF(O$2:O30,"在职"),"")</f>
        <v>27</v>
      </c>
    </row>
    <row r="31" customFormat="1" ht="18" spans="1:16">
      <c r="A31" s="10">
        <f t="shared" si="0"/>
        <v>30</v>
      </c>
      <c r="B31" s="31">
        <v>46174</v>
      </c>
      <c r="C31" s="32" t="s">
        <v>171</v>
      </c>
      <c r="D31" s="120" t="s">
        <v>172</v>
      </c>
      <c r="E31" s="33" t="s">
        <v>42</v>
      </c>
      <c r="F31" s="18" t="s">
        <v>62</v>
      </c>
      <c r="G31" s="18" t="s">
        <v>173</v>
      </c>
      <c r="H31" s="34" t="s">
        <v>86</v>
      </c>
      <c r="I31" s="18" t="s">
        <v>104</v>
      </c>
      <c r="J31" s="31" t="s">
        <v>105</v>
      </c>
      <c r="K31" s="31">
        <v>46174</v>
      </c>
      <c r="L31" s="24"/>
      <c r="M31" s="24"/>
      <c r="N31" s="13" t="s">
        <v>29</v>
      </c>
      <c r="O31" s="35" t="str">
        <f>IF(D31="","",IF(COUNTIF(离职清单!C:C,D31)&gt;0,"已离职","在职"))</f>
        <v>在职</v>
      </c>
      <c r="P31" s="35" t="str">
        <f>IF(AND(O31="在职",J31="是"),COUNTIF(O$2:O31,"在职"),"")</f>
        <v/>
      </c>
    </row>
    <row r="32" customFormat="1" ht="18" spans="1:16">
      <c r="A32" s="14">
        <f t="shared" si="0"/>
        <v>31</v>
      </c>
      <c r="B32" s="31">
        <v>46174</v>
      </c>
      <c r="C32" s="32" t="s">
        <v>174</v>
      </c>
      <c r="D32" s="120" t="s">
        <v>175</v>
      </c>
      <c r="E32" s="33" t="s">
        <v>42</v>
      </c>
      <c r="F32" s="18" t="s">
        <v>62</v>
      </c>
      <c r="G32" s="18" t="s">
        <v>176</v>
      </c>
      <c r="H32" s="34" t="s">
        <v>86</v>
      </c>
      <c r="I32" s="18" t="s">
        <v>111</v>
      </c>
      <c r="J32" s="31" t="s">
        <v>105</v>
      </c>
      <c r="K32" s="31">
        <v>46174</v>
      </c>
      <c r="L32" s="4"/>
      <c r="M32" s="4"/>
      <c r="N32" s="13" t="s">
        <v>29</v>
      </c>
      <c r="O32" s="35" t="str">
        <f>IF(D32="","",IF(COUNTIF(离职清单!C:C,D32)&gt;0,"已离职","在职"))</f>
        <v>在职</v>
      </c>
      <c r="P32" s="35" t="str">
        <f>IF(AND(O32="在职",J32="是"),COUNTIF(O$2:O32,"在职"),"")</f>
        <v/>
      </c>
    </row>
    <row r="33" customFormat="1" ht="18" spans="1:16">
      <c r="A33" s="10">
        <f t="shared" si="0"/>
        <v>32</v>
      </c>
      <c r="B33" s="31">
        <v>46174</v>
      </c>
      <c r="C33" s="32" t="s">
        <v>177</v>
      </c>
      <c r="D33" s="120" t="s">
        <v>178</v>
      </c>
      <c r="E33" s="33" t="s">
        <v>43</v>
      </c>
      <c r="F33" s="18" t="s">
        <v>62</v>
      </c>
      <c r="G33" s="18" t="s">
        <v>179</v>
      </c>
      <c r="H33" s="34" t="s">
        <v>86</v>
      </c>
      <c r="I33" s="18" t="s">
        <v>104</v>
      </c>
      <c r="J33" s="31" t="s">
        <v>114</v>
      </c>
      <c r="K33" s="31">
        <v>46174</v>
      </c>
      <c r="L33" s="4"/>
      <c r="M33" s="4"/>
      <c r="N33" s="13" t="s">
        <v>29</v>
      </c>
      <c r="O33" s="35" t="str">
        <f>IF(D33="","",IF(COUNTIF(离职清单!C:C,D33)&gt;0,"已离职","在职"))</f>
        <v>在职</v>
      </c>
      <c r="P33" s="35">
        <f>IF(AND(O33="在职",J33="是"),COUNTIF(O$2:O33,"在职"),"")</f>
        <v>30</v>
      </c>
    </row>
    <row r="34" customFormat="1" ht="18" spans="1:16">
      <c r="A34" s="14">
        <f t="shared" si="0"/>
        <v>33</v>
      </c>
      <c r="B34" s="31">
        <v>46174</v>
      </c>
      <c r="C34" s="32" t="s">
        <v>180</v>
      </c>
      <c r="D34" s="120" t="s">
        <v>181</v>
      </c>
      <c r="E34" s="33" t="s">
        <v>43</v>
      </c>
      <c r="F34" s="18" t="s">
        <v>63</v>
      </c>
      <c r="G34" s="18" t="s">
        <v>179</v>
      </c>
      <c r="H34" s="34" t="s">
        <v>86</v>
      </c>
      <c r="I34" s="18" t="s">
        <v>104</v>
      </c>
      <c r="J34" s="31" t="s">
        <v>105</v>
      </c>
      <c r="K34" s="31">
        <v>46174</v>
      </c>
      <c r="L34" s="4"/>
      <c r="M34" s="4"/>
      <c r="N34" s="13" t="s">
        <v>29</v>
      </c>
      <c r="O34" s="35" t="str">
        <f>IF(D34="","",IF(COUNTIF(离职清单!C:C,D34)&gt;0,"已离职","在职"))</f>
        <v>在职</v>
      </c>
      <c r="P34" s="35" t="str">
        <f>IF(AND(O34="在职",J34="是"),COUNTIF(O$2:O34,"在职"),"")</f>
        <v/>
      </c>
    </row>
    <row r="35" customFormat="1" ht="18" spans="1:16">
      <c r="A35" s="10">
        <f t="shared" si="0"/>
        <v>34</v>
      </c>
      <c r="B35" s="31">
        <v>46174</v>
      </c>
      <c r="C35" s="32" t="s">
        <v>182</v>
      </c>
      <c r="D35" s="120" t="s">
        <v>183</v>
      </c>
      <c r="E35" s="33" t="s">
        <v>43</v>
      </c>
      <c r="F35" s="18" t="s">
        <v>64</v>
      </c>
      <c r="G35" s="18" t="s">
        <v>179</v>
      </c>
      <c r="H35" s="34" t="s">
        <v>86</v>
      </c>
      <c r="I35" s="18" t="s">
        <v>111</v>
      </c>
      <c r="J35" s="31" t="s">
        <v>105</v>
      </c>
      <c r="K35" s="31">
        <v>46174</v>
      </c>
      <c r="L35" s="4"/>
      <c r="M35" s="4"/>
      <c r="N35" s="13" t="s">
        <v>29</v>
      </c>
      <c r="O35" s="35" t="str">
        <f>IF(D35="","",IF(COUNTIF(离职清单!C:C,D35)&gt;0,"已离职","在职"))</f>
        <v>在职</v>
      </c>
      <c r="P35" s="35" t="str">
        <f>IF(AND(O35="在职",J35="是"),COUNTIF(O$2:O35,"在职"),"")</f>
        <v/>
      </c>
    </row>
    <row r="36" customFormat="1" ht="18" spans="1:16">
      <c r="A36" s="14">
        <f t="shared" si="0"/>
        <v>35</v>
      </c>
      <c r="B36" s="31">
        <v>46174</v>
      </c>
      <c r="C36" s="32" t="s">
        <v>184</v>
      </c>
      <c r="D36" s="120" t="s">
        <v>185</v>
      </c>
      <c r="E36" s="33" t="s">
        <v>43</v>
      </c>
      <c r="F36" s="18" t="s">
        <v>64</v>
      </c>
      <c r="G36" s="18" t="s">
        <v>179</v>
      </c>
      <c r="H36" s="34" t="s">
        <v>86</v>
      </c>
      <c r="I36" s="18" t="s">
        <v>104</v>
      </c>
      <c r="J36" s="31" t="s">
        <v>105</v>
      </c>
      <c r="K36" s="31">
        <v>46174</v>
      </c>
      <c r="L36" s="4"/>
      <c r="M36" s="4"/>
      <c r="N36" s="13" t="s">
        <v>29</v>
      </c>
      <c r="O36" s="35" t="str">
        <f>IF(D36="","",IF(COUNTIF(离职清单!C:C,D36)&gt;0,"已离职","在职"))</f>
        <v>在职</v>
      </c>
      <c r="P36" s="35" t="str">
        <f>IF(AND(O36="在职",J36="是"),COUNTIF(O$2:O36,"在职"),"")</f>
        <v/>
      </c>
    </row>
    <row r="37" customFormat="1" ht="18" spans="1:16">
      <c r="A37" s="10">
        <f t="shared" si="0"/>
        <v>36</v>
      </c>
      <c r="B37" s="31">
        <v>46174</v>
      </c>
      <c r="C37" s="32" t="s">
        <v>186</v>
      </c>
      <c r="D37" s="120" t="s">
        <v>187</v>
      </c>
      <c r="E37" s="33" t="s">
        <v>43</v>
      </c>
      <c r="F37" s="18" t="s">
        <v>64</v>
      </c>
      <c r="G37" s="18" t="s">
        <v>179</v>
      </c>
      <c r="H37" s="34" t="s">
        <v>86</v>
      </c>
      <c r="I37" s="18" t="s">
        <v>104</v>
      </c>
      <c r="J37" s="31" t="s">
        <v>105</v>
      </c>
      <c r="K37" s="31">
        <v>46174</v>
      </c>
      <c r="L37" s="4"/>
      <c r="M37" s="4"/>
      <c r="N37" s="13" t="s">
        <v>29</v>
      </c>
      <c r="O37" s="35" t="str">
        <f>IF(D37="","",IF(COUNTIF(离职清单!C:C,D37)&gt;0,"已离职","在职"))</f>
        <v>在职</v>
      </c>
      <c r="P37" s="35" t="str">
        <f>IF(AND(O37="在职",J37="是"),COUNTIF(O$2:O37,"在职"),"")</f>
        <v/>
      </c>
    </row>
    <row r="38" customFormat="1" ht="18" spans="1:16">
      <c r="A38" s="14">
        <f t="shared" si="0"/>
        <v>37</v>
      </c>
      <c r="B38" s="31">
        <v>46174</v>
      </c>
      <c r="C38" s="32" t="s">
        <v>188</v>
      </c>
      <c r="D38" s="120" t="s">
        <v>189</v>
      </c>
      <c r="E38" s="33" t="s">
        <v>74</v>
      </c>
      <c r="F38" s="18" t="s">
        <v>190</v>
      </c>
      <c r="G38" s="18" t="s">
        <v>179</v>
      </c>
      <c r="H38" s="34" t="s">
        <v>86</v>
      </c>
      <c r="I38" s="18" t="s">
        <v>104</v>
      </c>
      <c r="J38" s="31" t="s">
        <v>105</v>
      </c>
      <c r="K38" s="31">
        <v>46174</v>
      </c>
      <c r="L38" s="4"/>
      <c r="M38" s="4"/>
      <c r="N38" s="13" t="s">
        <v>29</v>
      </c>
      <c r="O38" s="35" t="str">
        <f>IF(D38="","",IF(COUNTIF(离职清单!C:C,D38)&gt;0,"已离职","在职"))</f>
        <v>在职</v>
      </c>
      <c r="P38" s="35" t="str">
        <f>IF(AND(O38="在职",J38="是"),COUNTIF(O$2:O38,"在职"),"")</f>
        <v/>
      </c>
    </row>
    <row r="39" customFormat="1" ht="18" spans="1:16">
      <c r="A39" s="10">
        <f t="shared" si="0"/>
        <v>38</v>
      </c>
      <c r="B39" s="31">
        <v>46174</v>
      </c>
      <c r="C39" s="32" t="s">
        <v>191</v>
      </c>
      <c r="D39" s="120" t="s">
        <v>192</v>
      </c>
      <c r="E39" s="33" t="s">
        <v>74</v>
      </c>
      <c r="F39" s="18" t="s">
        <v>64</v>
      </c>
      <c r="G39" s="18" t="s">
        <v>179</v>
      </c>
      <c r="H39" s="34" t="s">
        <v>86</v>
      </c>
      <c r="I39" s="18" t="s">
        <v>104</v>
      </c>
      <c r="J39" s="31" t="s">
        <v>105</v>
      </c>
      <c r="K39" s="31">
        <v>46174</v>
      </c>
      <c r="L39" s="4"/>
      <c r="M39" s="4"/>
      <c r="N39" s="13" t="s">
        <v>29</v>
      </c>
      <c r="O39" s="35" t="str">
        <f>IF(D39="","",IF(COUNTIF(离职清单!C:C,D39)&gt;0,"已离职","在职"))</f>
        <v>在职</v>
      </c>
      <c r="P39" s="35" t="str">
        <f>IF(AND(O39="在职",J39="是"),COUNTIF(O$2:O39,"在职"),"")</f>
        <v/>
      </c>
    </row>
    <row r="40" customFormat="1" ht="18" spans="1:16">
      <c r="A40" s="14">
        <f t="shared" si="0"/>
        <v>39</v>
      </c>
      <c r="B40" s="31">
        <v>46174</v>
      </c>
      <c r="C40" s="32" t="s">
        <v>193</v>
      </c>
      <c r="D40" s="120" t="s">
        <v>194</v>
      </c>
      <c r="E40" s="33" t="s">
        <v>74</v>
      </c>
      <c r="F40" s="18" t="s">
        <v>64</v>
      </c>
      <c r="G40" s="18" t="s">
        <v>179</v>
      </c>
      <c r="H40" s="34" t="s">
        <v>86</v>
      </c>
      <c r="I40" s="18" t="s">
        <v>104</v>
      </c>
      <c r="J40" s="31" t="s">
        <v>105</v>
      </c>
      <c r="K40" s="31">
        <v>46174</v>
      </c>
      <c r="L40" s="4"/>
      <c r="M40" s="4"/>
      <c r="N40" s="13" t="s">
        <v>29</v>
      </c>
      <c r="O40" s="35" t="str">
        <f>IF(D40="","",IF(COUNTIF(离职清单!C:C,D40)&gt;0,"已离职","在职"))</f>
        <v>在职</v>
      </c>
      <c r="P40" s="35" t="str">
        <f>IF(AND(O40="在职",J40="是"),COUNTIF(O$2:O40,"在职"),"")</f>
        <v/>
      </c>
    </row>
    <row r="41" customFormat="1" ht="18" spans="1:16">
      <c r="A41" s="14">
        <f t="shared" si="0"/>
        <v>40</v>
      </c>
      <c r="B41" s="31">
        <v>46174</v>
      </c>
      <c r="C41" s="32" t="s">
        <v>195</v>
      </c>
      <c r="D41" s="120" t="s">
        <v>196</v>
      </c>
      <c r="E41" s="33" t="s">
        <v>74</v>
      </c>
      <c r="F41" s="18" t="s">
        <v>190</v>
      </c>
      <c r="G41" s="18" t="s">
        <v>179</v>
      </c>
      <c r="H41" s="34" t="s">
        <v>86</v>
      </c>
      <c r="I41" s="18" t="s">
        <v>104</v>
      </c>
      <c r="J41" s="31" t="s">
        <v>105</v>
      </c>
      <c r="K41" s="31">
        <v>46174</v>
      </c>
      <c r="L41" s="24"/>
      <c r="M41" s="24"/>
      <c r="N41" s="13" t="s">
        <v>29</v>
      </c>
      <c r="O41" s="35" t="str">
        <f>IF(D41="","",IF(COUNTIF(离职清单!C:C,D41)&gt;0,"已离职","在职"))</f>
        <v>在职</v>
      </c>
      <c r="P41" s="35" t="str">
        <f>IF(AND(O41="在职",J41="是"),COUNTIF(O$2:O41,"在职"),"")</f>
        <v/>
      </c>
    </row>
    <row r="42" customFormat="1" ht="18" spans="1:16">
      <c r="A42" s="14">
        <f t="shared" si="0"/>
        <v>41</v>
      </c>
      <c r="B42" s="31">
        <v>46174</v>
      </c>
      <c r="C42" s="32" t="s">
        <v>197</v>
      </c>
      <c r="D42" s="120" t="s">
        <v>198</v>
      </c>
      <c r="E42" s="33" t="s">
        <v>43</v>
      </c>
      <c r="F42" s="18" t="s">
        <v>64</v>
      </c>
      <c r="G42" s="18" t="s">
        <v>179</v>
      </c>
      <c r="H42" s="34" t="s">
        <v>86</v>
      </c>
      <c r="I42" s="18" t="s">
        <v>111</v>
      </c>
      <c r="J42" s="31" t="s">
        <v>105</v>
      </c>
      <c r="K42" s="31">
        <v>46174</v>
      </c>
      <c r="L42" s="4"/>
      <c r="M42" s="4"/>
      <c r="N42" s="13" t="s">
        <v>29</v>
      </c>
      <c r="O42" s="35" t="str">
        <f>IF(D42="","",IF(COUNTIF(离职清单!C:C,D42)&gt;0,"已离职","在职"))</f>
        <v>在职</v>
      </c>
      <c r="P42" s="35" t="str">
        <f>IF(AND(O42="在职",J42="是"),COUNTIF(O$2:O42,"在职"),"")</f>
        <v/>
      </c>
    </row>
    <row r="43" customFormat="1" ht="18" spans="1:16">
      <c r="A43" s="10">
        <f t="shared" si="0"/>
        <v>42</v>
      </c>
      <c r="B43" s="31">
        <v>46174</v>
      </c>
      <c r="C43" s="32" t="s">
        <v>199</v>
      </c>
      <c r="D43" s="120" t="s">
        <v>200</v>
      </c>
      <c r="E43" s="33" t="s">
        <v>43</v>
      </c>
      <c r="F43" s="18" t="s">
        <v>64</v>
      </c>
      <c r="G43" s="18" t="s">
        <v>179</v>
      </c>
      <c r="H43" s="34" t="s">
        <v>86</v>
      </c>
      <c r="I43" s="18" t="s">
        <v>104</v>
      </c>
      <c r="J43" s="31" t="s">
        <v>105</v>
      </c>
      <c r="K43" s="31">
        <v>46174</v>
      </c>
      <c r="L43" s="4"/>
      <c r="M43" s="4"/>
      <c r="N43" s="13" t="s">
        <v>29</v>
      </c>
      <c r="O43" s="35" t="str">
        <f>IF(D43="","",IF(COUNTIF(离职清单!C:C,D43)&gt;0,"已离职","在职"))</f>
        <v>在职</v>
      </c>
      <c r="P43" s="35" t="str">
        <f>IF(AND(O43="在职",J43="是"),COUNTIF(O$2:O43,"在职"),"")</f>
        <v/>
      </c>
    </row>
    <row r="44" customFormat="1" ht="18" spans="1:16">
      <c r="A44" s="14">
        <f t="shared" si="0"/>
        <v>43</v>
      </c>
      <c r="B44" s="31">
        <v>46174</v>
      </c>
      <c r="C44" s="32" t="s">
        <v>201</v>
      </c>
      <c r="D44" s="120" t="s">
        <v>202</v>
      </c>
      <c r="E44" s="33" t="s">
        <v>74</v>
      </c>
      <c r="F44" s="18" t="s">
        <v>64</v>
      </c>
      <c r="G44" s="18" t="s">
        <v>179</v>
      </c>
      <c r="H44" s="34" t="s">
        <v>86</v>
      </c>
      <c r="I44" s="18" t="s">
        <v>104</v>
      </c>
      <c r="J44" s="31" t="s">
        <v>105</v>
      </c>
      <c r="K44" s="31">
        <v>46174</v>
      </c>
      <c r="L44" s="4"/>
      <c r="M44" s="4"/>
      <c r="N44" s="13" t="s">
        <v>29</v>
      </c>
      <c r="O44" s="35" t="str">
        <f>IF(D44="","",IF(COUNTIF(离职清单!C:C,D44)&gt;0,"已离职","在职"))</f>
        <v>在职</v>
      </c>
      <c r="P44" s="35" t="str">
        <f>IF(AND(O44="在职",J44="是"),COUNTIF(O$2:O44,"在职"),"")</f>
        <v/>
      </c>
    </row>
    <row r="45" customFormat="1" ht="18" spans="1:16">
      <c r="A45" s="10">
        <f t="shared" si="0"/>
        <v>44</v>
      </c>
      <c r="B45" s="31">
        <v>46174</v>
      </c>
      <c r="C45" s="32" t="s">
        <v>203</v>
      </c>
      <c r="D45" s="120" t="s">
        <v>204</v>
      </c>
      <c r="E45" s="33" t="s">
        <v>74</v>
      </c>
      <c r="F45" s="18" t="s">
        <v>64</v>
      </c>
      <c r="G45" s="18" t="s">
        <v>179</v>
      </c>
      <c r="H45" s="34" t="s">
        <v>86</v>
      </c>
      <c r="I45" s="18" t="s">
        <v>104</v>
      </c>
      <c r="J45" s="31" t="s">
        <v>105</v>
      </c>
      <c r="K45" s="31">
        <v>46174</v>
      </c>
      <c r="L45" s="4"/>
      <c r="M45" s="4"/>
      <c r="N45" s="13" t="s">
        <v>29</v>
      </c>
      <c r="O45" s="35" t="str">
        <f>IF(D45="","",IF(COUNTIF(离职清单!C:C,D45)&gt;0,"已离职","在职"))</f>
        <v>在职</v>
      </c>
      <c r="P45" s="35" t="str">
        <f>IF(AND(O45="在职",J45="是"),COUNTIF(O$2:O45,"在职"),"")</f>
        <v/>
      </c>
    </row>
    <row r="46" customFormat="1" ht="18" spans="1:16">
      <c r="A46" s="14">
        <f t="shared" si="0"/>
        <v>45</v>
      </c>
      <c r="B46" s="31">
        <v>46174</v>
      </c>
      <c r="C46" s="32" t="s">
        <v>205</v>
      </c>
      <c r="D46" s="120" t="s">
        <v>206</v>
      </c>
      <c r="E46" s="33" t="s">
        <v>42</v>
      </c>
      <c r="F46" s="18" t="s">
        <v>64</v>
      </c>
      <c r="G46" s="18" t="s">
        <v>179</v>
      </c>
      <c r="H46" s="34" t="s">
        <v>86</v>
      </c>
      <c r="I46" s="18" t="s">
        <v>104</v>
      </c>
      <c r="J46" s="31" t="s">
        <v>105</v>
      </c>
      <c r="K46" s="31">
        <v>46174</v>
      </c>
      <c r="L46" s="4"/>
      <c r="M46" s="4"/>
      <c r="N46" s="13" t="s">
        <v>29</v>
      </c>
      <c r="O46" s="35" t="str">
        <f>IF(D46="","",IF(COUNTIF(离职清单!C:C,D46)&gt;0,"已离职","在职"))</f>
        <v>在职</v>
      </c>
      <c r="P46" s="35" t="str">
        <f>IF(AND(O46="在职",J46="是"),COUNTIF(O$2:O46,"在职"),"")</f>
        <v/>
      </c>
    </row>
    <row r="47" customFormat="1" ht="18" spans="1:16">
      <c r="A47" s="10">
        <f t="shared" si="0"/>
        <v>46</v>
      </c>
      <c r="B47" s="31">
        <v>46174</v>
      </c>
      <c r="C47" s="32" t="s">
        <v>207</v>
      </c>
      <c r="D47" s="120" t="s">
        <v>208</v>
      </c>
      <c r="E47" s="33" t="s">
        <v>42</v>
      </c>
      <c r="F47" s="18" t="s">
        <v>64</v>
      </c>
      <c r="G47" s="18" t="s">
        <v>179</v>
      </c>
      <c r="H47" s="34" t="s">
        <v>86</v>
      </c>
      <c r="I47" s="18" t="s">
        <v>111</v>
      </c>
      <c r="J47" s="31" t="s">
        <v>105</v>
      </c>
      <c r="K47" s="31">
        <v>46174</v>
      </c>
      <c r="L47" s="4"/>
      <c r="M47" s="4"/>
      <c r="N47" s="13" t="s">
        <v>29</v>
      </c>
      <c r="O47" s="35" t="str">
        <f>IF(D47="","",IF(COUNTIF(离职清单!C:C,D47)&gt;0,"已离职","在职"))</f>
        <v>在职</v>
      </c>
      <c r="P47" s="35" t="str">
        <f>IF(AND(O47="在职",J47="是"),COUNTIF(O$2:O47,"在职"),"")</f>
        <v/>
      </c>
    </row>
    <row r="48" customFormat="1" ht="18" spans="1:16">
      <c r="A48" s="14">
        <f t="shared" si="0"/>
        <v>47</v>
      </c>
      <c r="B48" s="31">
        <v>46174</v>
      </c>
      <c r="C48" s="32" t="s">
        <v>209</v>
      </c>
      <c r="D48" s="120" t="s">
        <v>210</v>
      </c>
      <c r="E48" s="33" t="s">
        <v>74</v>
      </c>
      <c r="F48" s="18" t="s">
        <v>64</v>
      </c>
      <c r="G48" s="18" t="s">
        <v>179</v>
      </c>
      <c r="H48" s="34" t="s">
        <v>86</v>
      </c>
      <c r="I48" s="18" t="s">
        <v>104</v>
      </c>
      <c r="J48" s="31" t="s">
        <v>105</v>
      </c>
      <c r="K48" s="31">
        <v>46174</v>
      </c>
      <c r="L48" s="4"/>
      <c r="M48" s="4"/>
      <c r="N48" s="13" t="s">
        <v>29</v>
      </c>
      <c r="O48" s="35" t="str">
        <f>IF(D48="","",IF(COUNTIF(离职清单!C:C,D48)&gt;0,"已离职","在职"))</f>
        <v>在职</v>
      </c>
      <c r="P48" s="35" t="str">
        <f>IF(AND(O48="在职",J48="是"),COUNTIF(O$2:O48,"在职"),"")</f>
        <v/>
      </c>
    </row>
    <row r="49" customFormat="1" ht="18" spans="1:16">
      <c r="A49" s="10">
        <f t="shared" si="0"/>
        <v>48</v>
      </c>
      <c r="B49" s="31">
        <v>46174</v>
      </c>
      <c r="C49" s="32" t="s">
        <v>211</v>
      </c>
      <c r="D49" s="120" t="s">
        <v>212</v>
      </c>
      <c r="E49" s="33" t="s">
        <v>74</v>
      </c>
      <c r="F49" s="18" t="s">
        <v>64</v>
      </c>
      <c r="G49" s="18" t="s">
        <v>179</v>
      </c>
      <c r="H49" s="34" t="s">
        <v>86</v>
      </c>
      <c r="I49" s="18" t="s">
        <v>104</v>
      </c>
      <c r="J49" s="31" t="s">
        <v>105</v>
      </c>
      <c r="K49" s="31">
        <v>46174</v>
      </c>
      <c r="L49" s="4"/>
      <c r="M49" s="4"/>
      <c r="N49" s="13" t="s">
        <v>29</v>
      </c>
      <c r="O49" s="35" t="str">
        <f>IF(D49="","",IF(COUNTIF(离职清单!C:C,D49)&gt;0,"已离职","在职"))</f>
        <v>在职</v>
      </c>
      <c r="P49" s="35" t="str">
        <f>IF(AND(O49="在职",J49="是"),COUNTIF(O$2:O49,"在职"),"")</f>
        <v/>
      </c>
    </row>
    <row r="50" customFormat="1" ht="18" spans="1:16">
      <c r="A50" s="14">
        <f t="shared" si="0"/>
        <v>49</v>
      </c>
      <c r="B50" s="31">
        <v>46174</v>
      </c>
      <c r="C50" s="32" t="s">
        <v>213</v>
      </c>
      <c r="D50" s="120" t="s">
        <v>214</v>
      </c>
      <c r="E50" s="33" t="s">
        <v>74</v>
      </c>
      <c r="F50" s="18" t="s">
        <v>64</v>
      </c>
      <c r="G50" s="18" t="s">
        <v>179</v>
      </c>
      <c r="H50" s="34" t="s">
        <v>86</v>
      </c>
      <c r="I50" s="18" t="s">
        <v>104</v>
      </c>
      <c r="J50" s="31" t="s">
        <v>105</v>
      </c>
      <c r="K50" s="31">
        <v>46174</v>
      </c>
      <c r="L50" s="4"/>
      <c r="M50" s="4"/>
      <c r="N50" s="13" t="s">
        <v>29</v>
      </c>
      <c r="O50" s="35" t="str">
        <f>IF(D50="","",IF(COUNTIF(离职清单!C:C,D50)&gt;0,"已离职","在职"))</f>
        <v>在职</v>
      </c>
      <c r="P50" s="35" t="str">
        <f>IF(AND(O50="在职",J50="是"),COUNTIF(O$2:O50,"在职"),"")</f>
        <v/>
      </c>
    </row>
    <row r="51" customFormat="1" ht="18" spans="1:16">
      <c r="A51" s="10">
        <f t="shared" si="0"/>
        <v>50</v>
      </c>
      <c r="B51" s="31">
        <v>46174</v>
      </c>
      <c r="C51" s="32" t="s">
        <v>215</v>
      </c>
      <c r="D51" s="120" t="s">
        <v>216</v>
      </c>
      <c r="E51" s="33" t="s">
        <v>74</v>
      </c>
      <c r="F51" s="18" t="s">
        <v>64</v>
      </c>
      <c r="G51" s="18" t="s">
        <v>179</v>
      </c>
      <c r="H51" s="34" t="s">
        <v>86</v>
      </c>
      <c r="I51" s="18" t="s">
        <v>104</v>
      </c>
      <c r="J51" s="31" t="s">
        <v>105</v>
      </c>
      <c r="K51" s="31">
        <v>46174</v>
      </c>
      <c r="L51" s="4"/>
      <c r="M51" s="4"/>
      <c r="N51" s="13" t="s">
        <v>29</v>
      </c>
      <c r="O51" s="35" t="str">
        <f>IF(D51="","",IF(COUNTIF(离职清单!C:C,D51)&gt;0,"已离职","在职"))</f>
        <v>在职</v>
      </c>
      <c r="P51" s="35" t="str">
        <f>IF(AND(O51="在职",J51="是"),COUNTIF(O$2:O51,"在职"),"")</f>
        <v/>
      </c>
    </row>
    <row r="52" customFormat="1" ht="18" spans="1:16">
      <c r="A52" s="14">
        <f t="shared" si="0"/>
        <v>51</v>
      </c>
      <c r="B52" s="31">
        <v>46174</v>
      </c>
      <c r="C52" s="32" t="s">
        <v>217</v>
      </c>
      <c r="D52" s="120" t="s">
        <v>218</v>
      </c>
      <c r="E52" s="33" t="s">
        <v>74</v>
      </c>
      <c r="F52" s="18" t="s">
        <v>64</v>
      </c>
      <c r="G52" s="18" t="s">
        <v>179</v>
      </c>
      <c r="H52" s="34" t="s">
        <v>86</v>
      </c>
      <c r="I52" s="18" t="s">
        <v>104</v>
      </c>
      <c r="J52" s="31" t="s">
        <v>105</v>
      </c>
      <c r="K52" s="31">
        <v>46174</v>
      </c>
      <c r="L52" s="4"/>
      <c r="M52" s="4"/>
      <c r="N52" s="13" t="s">
        <v>29</v>
      </c>
      <c r="O52" s="35" t="str">
        <f>IF(D52="","",IF(COUNTIF(离职清单!C:C,D52)&gt;0,"已离职","在职"))</f>
        <v>在职</v>
      </c>
      <c r="P52" s="35" t="str">
        <f>IF(AND(O52="在职",J52="是"),COUNTIF(O$2:O52,"在职"),"")</f>
        <v/>
      </c>
    </row>
    <row r="53" customFormat="1" ht="18" spans="1:16">
      <c r="A53" s="10">
        <f t="shared" ref="A53:A110" si="1">IF(B53&lt;&gt;"",ROW()-1,"")</f>
        <v>52</v>
      </c>
      <c r="B53" s="31">
        <v>46174</v>
      </c>
      <c r="C53" s="32" t="s">
        <v>219</v>
      </c>
      <c r="D53" s="120" t="s">
        <v>220</v>
      </c>
      <c r="E53" s="33" t="s">
        <v>74</v>
      </c>
      <c r="F53" s="18" t="s">
        <v>64</v>
      </c>
      <c r="G53" s="18" t="s">
        <v>179</v>
      </c>
      <c r="H53" s="34" t="s">
        <v>86</v>
      </c>
      <c r="I53" s="18" t="s">
        <v>104</v>
      </c>
      <c r="J53" s="31" t="s">
        <v>105</v>
      </c>
      <c r="K53" s="31">
        <v>46174</v>
      </c>
      <c r="L53" s="4"/>
      <c r="M53" s="4"/>
      <c r="N53" s="13" t="s">
        <v>29</v>
      </c>
      <c r="O53" s="35" t="str">
        <f>IF(D53="","",IF(COUNTIF(离职清单!C:C,D53)&gt;0,"已离职","在职"))</f>
        <v>在职</v>
      </c>
      <c r="P53" s="35" t="str">
        <f>IF(AND(O53="在职",J53="是"),COUNTIF(O$2:O53,"在职"),"")</f>
        <v/>
      </c>
    </row>
    <row r="54" customFormat="1" ht="18" spans="1:16">
      <c r="A54" s="14">
        <f t="shared" si="1"/>
        <v>53</v>
      </c>
      <c r="B54" s="31">
        <v>46174</v>
      </c>
      <c r="C54" s="32" t="s">
        <v>221</v>
      </c>
      <c r="D54" s="120" t="s">
        <v>222</v>
      </c>
      <c r="E54" s="33" t="s">
        <v>42</v>
      </c>
      <c r="F54" s="18" t="s">
        <v>62</v>
      </c>
      <c r="G54" s="18" t="s">
        <v>103</v>
      </c>
      <c r="H54" s="34" t="s">
        <v>86</v>
      </c>
      <c r="I54" s="18" t="s">
        <v>104</v>
      </c>
      <c r="J54" s="31" t="s">
        <v>105</v>
      </c>
      <c r="K54" s="31">
        <v>46174</v>
      </c>
      <c r="L54" s="4"/>
      <c r="M54" s="4"/>
      <c r="N54" s="13" t="s">
        <v>29</v>
      </c>
      <c r="O54" s="35" t="str">
        <f>IF(D54="","",IF(COUNTIF(离职清单!C:C,D54)&gt;0,"已离职","在职"))</f>
        <v>在职</v>
      </c>
      <c r="P54" s="35" t="str">
        <f>IF(AND(O54="在职",J54="是"),COUNTIF(O$2:O54,"在职"),"")</f>
        <v/>
      </c>
    </row>
    <row r="55" customFormat="1" ht="18" spans="1:16">
      <c r="A55" s="10">
        <f t="shared" si="1"/>
        <v>54</v>
      </c>
      <c r="B55" s="31">
        <v>46174</v>
      </c>
      <c r="C55" s="32" t="s">
        <v>223</v>
      </c>
      <c r="D55" s="120" t="s">
        <v>224</v>
      </c>
      <c r="E55" s="33" t="s">
        <v>42</v>
      </c>
      <c r="F55" s="18" t="s">
        <v>64</v>
      </c>
      <c r="G55" s="18" t="s">
        <v>103</v>
      </c>
      <c r="H55" s="34" t="s">
        <v>86</v>
      </c>
      <c r="I55" s="18" t="s">
        <v>111</v>
      </c>
      <c r="J55" s="31" t="s">
        <v>105</v>
      </c>
      <c r="K55" s="31">
        <v>46174</v>
      </c>
      <c r="L55" s="4"/>
      <c r="M55" s="4"/>
      <c r="N55" s="13" t="s">
        <v>29</v>
      </c>
      <c r="O55" s="35" t="str">
        <f>IF(D55="","",IF(COUNTIF(离职清单!C:C,D55)&gt;0,"已离职","在职"))</f>
        <v>在职</v>
      </c>
      <c r="P55" s="35" t="str">
        <f>IF(AND(O55="在职",J55="是"),COUNTIF(O$2:O55,"在职"),"")</f>
        <v/>
      </c>
    </row>
    <row r="56" customFormat="1" ht="18" spans="1:16">
      <c r="A56" s="14">
        <f t="shared" si="1"/>
        <v>55</v>
      </c>
      <c r="B56" s="31">
        <v>46174</v>
      </c>
      <c r="C56" s="32" t="s">
        <v>225</v>
      </c>
      <c r="D56" s="120" t="s">
        <v>226</v>
      </c>
      <c r="E56" s="33" t="s">
        <v>42</v>
      </c>
      <c r="F56" s="18" t="s">
        <v>64</v>
      </c>
      <c r="G56" s="18" t="s">
        <v>103</v>
      </c>
      <c r="H56" s="34" t="s">
        <v>86</v>
      </c>
      <c r="I56" s="18" t="s">
        <v>104</v>
      </c>
      <c r="J56" s="31" t="s">
        <v>114</v>
      </c>
      <c r="K56" s="31">
        <v>46174</v>
      </c>
      <c r="L56" s="4"/>
      <c r="M56" s="4"/>
      <c r="N56" s="13" t="s">
        <v>29</v>
      </c>
      <c r="O56" s="35" t="str">
        <f>IF(D56="","",IF(COUNTIF(离职清单!C:C,D56)&gt;0,"已离职","在职"))</f>
        <v>在职</v>
      </c>
      <c r="P56" s="35">
        <f>IF(AND(O56="在职",J56="是"),COUNTIF(O$2:O56,"在职"),"")</f>
        <v>53</v>
      </c>
    </row>
    <row r="57" customFormat="1" ht="18" spans="1:16">
      <c r="A57" s="10">
        <f t="shared" si="1"/>
        <v>56</v>
      </c>
      <c r="B57" s="31">
        <v>46174</v>
      </c>
      <c r="C57" s="32" t="s">
        <v>227</v>
      </c>
      <c r="D57" s="120" t="s">
        <v>228</v>
      </c>
      <c r="E57" s="33" t="s">
        <v>43</v>
      </c>
      <c r="F57" s="18" t="s">
        <v>64</v>
      </c>
      <c r="G57" s="18" t="s">
        <v>117</v>
      </c>
      <c r="H57" s="34" t="s">
        <v>86</v>
      </c>
      <c r="I57" s="18" t="s">
        <v>104</v>
      </c>
      <c r="J57" s="31" t="s">
        <v>114</v>
      </c>
      <c r="K57" s="31">
        <v>46174</v>
      </c>
      <c r="L57" s="4"/>
      <c r="M57" s="4"/>
      <c r="N57" s="13" t="s">
        <v>29</v>
      </c>
      <c r="O57" s="35" t="str">
        <f>IF(D57="","",IF(COUNTIF(离职清单!C:C,D57)&gt;0,"已离职","在职"))</f>
        <v>在职</v>
      </c>
      <c r="P57" s="35">
        <f>IF(AND(O57="在职",J57="是"),COUNTIF(O$2:O57,"在职"),"")</f>
        <v>54</v>
      </c>
    </row>
    <row r="58" customFormat="1" ht="18" spans="1:16">
      <c r="A58" s="14">
        <f t="shared" si="1"/>
        <v>57</v>
      </c>
      <c r="B58" s="31">
        <v>46174</v>
      </c>
      <c r="C58" s="32" t="s">
        <v>229</v>
      </c>
      <c r="D58" s="120" t="s">
        <v>230</v>
      </c>
      <c r="E58" s="33" t="s">
        <v>42</v>
      </c>
      <c r="F58" s="18" t="s">
        <v>64</v>
      </c>
      <c r="G58" s="18" t="s">
        <v>117</v>
      </c>
      <c r="H58" s="34" t="s">
        <v>86</v>
      </c>
      <c r="I58" s="18" t="s">
        <v>111</v>
      </c>
      <c r="J58" s="31" t="s">
        <v>105</v>
      </c>
      <c r="K58" s="31">
        <v>46174</v>
      </c>
      <c r="L58" s="4"/>
      <c r="M58" s="4"/>
      <c r="N58" s="13" t="s">
        <v>29</v>
      </c>
      <c r="O58" s="35" t="str">
        <f>IF(D58="","",IF(COUNTIF(离职清单!C:C,D58)&gt;0,"已离职","在职"))</f>
        <v>在职</v>
      </c>
      <c r="P58" s="35" t="str">
        <f>IF(AND(O58="在职",J58="是"),COUNTIF(O$2:O58,"在职"),"")</f>
        <v/>
      </c>
    </row>
    <row r="59" customFormat="1" ht="18" spans="1:16">
      <c r="A59" s="10">
        <f t="shared" si="1"/>
        <v>58</v>
      </c>
      <c r="B59" s="31">
        <v>46174</v>
      </c>
      <c r="C59" s="32" t="s">
        <v>231</v>
      </c>
      <c r="D59" s="120" t="s">
        <v>232</v>
      </c>
      <c r="E59" s="33" t="s">
        <v>43</v>
      </c>
      <c r="F59" s="18" t="s">
        <v>62</v>
      </c>
      <c r="G59" s="18" t="s">
        <v>233</v>
      </c>
      <c r="H59" s="34" t="s">
        <v>86</v>
      </c>
      <c r="I59" s="18" t="s">
        <v>104</v>
      </c>
      <c r="J59" s="31" t="s">
        <v>105</v>
      </c>
      <c r="K59" s="31">
        <v>46174</v>
      </c>
      <c r="L59" s="4"/>
      <c r="M59" s="4"/>
      <c r="N59" s="13" t="s">
        <v>29</v>
      </c>
      <c r="O59" s="35" t="str">
        <f>IF(D59="","",IF(COUNTIF(离职清单!C:C,D59)&gt;0,"已离职","在职"))</f>
        <v>在职</v>
      </c>
      <c r="P59" s="35" t="str">
        <f>IF(AND(O59="在职",J59="是"),COUNTIF(O$2:O59,"在职"),"")</f>
        <v/>
      </c>
    </row>
    <row r="60" customFormat="1" ht="18" spans="1:16">
      <c r="A60" s="14">
        <f t="shared" si="1"/>
        <v>59</v>
      </c>
      <c r="B60" s="31">
        <v>46174</v>
      </c>
      <c r="C60" s="32" t="s">
        <v>234</v>
      </c>
      <c r="D60" s="120" t="s">
        <v>235</v>
      </c>
      <c r="E60" s="33" t="s">
        <v>43</v>
      </c>
      <c r="F60" s="18" t="s">
        <v>62</v>
      </c>
      <c r="G60" s="18" t="s">
        <v>233</v>
      </c>
      <c r="H60" s="34" t="s">
        <v>86</v>
      </c>
      <c r="I60" s="18" t="s">
        <v>104</v>
      </c>
      <c r="J60" s="31" t="s">
        <v>105</v>
      </c>
      <c r="K60" s="31">
        <v>46174</v>
      </c>
      <c r="L60" s="4"/>
      <c r="M60" s="4"/>
      <c r="N60" s="13" t="s">
        <v>29</v>
      </c>
      <c r="O60" s="35" t="str">
        <f>IF(D60="","",IF(COUNTIF(离职清单!C:C,D60)&gt;0,"已离职","在职"))</f>
        <v>在职</v>
      </c>
      <c r="P60" s="35" t="str">
        <f>IF(AND(O60="在职",J60="是"),COUNTIF(O$2:O60,"在职"),"")</f>
        <v/>
      </c>
    </row>
    <row r="61" customFormat="1" ht="18" spans="1:16">
      <c r="A61" s="10">
        <f t="shared" si="1"/>
        <v>60</v>
      </c>
      <c r="B61" s="31">
        <v>46174</v>
      </c>
      <c r="C61" s="32" t="s">
        <v>236</v>
      </c>
      <c r="D61" s="120" t="s">
        <v>237</v>
      </c>
      <c r="E61" s="33" t="s">
        <v>43</v>
      </c>
      <c r="F61" s="18" t="s">
        <v>63</v>
      </c>
      <c r="G61" s="18" t="s">
        <v>233</v>
      </c>
      <c r="H61" s="34" t="s">
        <v>86</v>
      </c>
      <c r="I61" s="18" t="s">
        <v>104</v>
      </c>
      <c r="J61" s="31" t="s">
        <v>105</v>
      </c>
      <c r="K61" s="31">
        <v>46174</v>
      </c>
      <c r="L61" s="4"/>
      <c r="M61" s="4"/>
      <c r="N61" s="13" t="s">
        <v>29</v>
      </c>
      <c r="O61" s="35" t="str">
        <f>IF(D61="","",IF(COUNTIF(离职清单!C:C,D61)&gt;0,"已离职","在职"))</f>
        <v>在职</v>
      </c>
      <c r="P61" s="35" t="str">
        <f>IF(AND(O61="在职",J61="是"),COUNTIF(O$2:O61,"在职"),"")</f>
        <v/>
      </c>
    </row>
    <row r="62" customFormat="1" ht="18" spans="1:16">
      <c r="A62" s="14">
        <f t="shared" si="1"/>
        <v>61</v>
      </c>
      <c r="B62" s="31">
        <v>46174</v>
      </c>
      <c r="C62" s="32" t="s">
        <v>238</v>
      </c>
      <c r="D62" s="120" t="s">
        <v>239</v>
      </c>
      <c r="E62" s="33" t="s">
        <v>42</v>
      </c>
      <c r="F62" s="18" t="s">
        <v>62</v>
      </c>
      <c r="G62" s="18" t="s">
        <v>233</v>
      </c>
      <c r="H62" s="34" t="s">
        <v>86</v>
      </c>
      <c r="I62" s="18" t="s">
        <v>104</v>
      </c>
      <c r="J62" s="31" t="s">
        <v>105</v>
      </c>
      <c r="K62" s="31">
        <v>46174</v>
      </c>
      <c r="L62" s="4"/>
      <c r="M62" s="4"/>
      <c r="N62" s="13" t="s">
        <v>29</v>
      </c>
      <c r="O62" s="35" t="str">
        <f>IF(D62="","",IF(COUNTIF(离职清单!C:C,D62)&gt;0,"已离职","在职"))</f>
        <v>在职</v>
      </c>
      <c r="P62" s="35" t="str">
        <f>IF(AND(O62="在职",J62="是"),COUNTIF(O$2:O62,"在职"),"")</f>
        <v/>
      </c>
    </row>
    <row r="63" customFormat="1" ht="18" spans="1:16">
      <c r="A63" s="10">
        <f t="shared" si="1"/>
        <v>62</v>
      </c>
      <c r="B63" s="31">
        <v>46174</v>
      </c>
      <c r="C63" s="32" t="s">
        <v>240</v>
      </c>
      <c r="D63" s="120" t="s">
        <v>241</v>
      </c>
      <c r="E63" s="33" t="s">
        <v>42</v>
      </c>
      <c r="F63" s="18" t="s">
        <v>64</v>
      </c>
      <c r="G63" s="18" t="s">
        <v>233</v>
      </c>
      <c r="H63" s="34" t="s">
        <v>86</v>
      </c>
      <c r="I63" s="18" t="s">
        <v>111</v>
      </c>
      <c r="J63" s="31" t="s">
        <v>105</v>
      </c>
      <c r="K63" s="31">
        <v>46174</v>
      </c>
      <c r="L63" s="4"/>
      <c r="M63" s="4"/>
      <c r="N63" s="13" t="s">
        <v>29</v>
      </c>
      <c r="O63" s="35" t="str">
        <f>IF(D63="","",IF(COUNTIF(离职清单!C:C,D63)&gt;0,"已离职","在职"))</f>
        <v>在职</v>
      </c>
      <c r="P63" s="35" t="str">
        <f>IF(AND(O63="在职",J63="是"),COUNTIF(O$2:O63,"在职"),"")</f>
        <v/>
      </c>
    </row>
    <row r="64" customFormat="1" ht="18" spans="1:16">
      <c r="A64" s="14">
        <f t="shared" si="1"/>
        <v>63</v>
      </c>
      <c r="B64" s="31">
        <v>46174</v>
      </c>
      <c r="C64" s="32" t="s">
        <v>242</v>
      </c>
      <c r="D64" s="120" t="s">
        <v>243</v>
      </c>
      <c r="E64" s="33" t="s">
        <v>42</v>
      </c>
      <c r="F64" s="18" t="s">
        <v>64</v>
      </c>
      <c r="G64" s="18" t="s">
        <v>179</v>
      </c>
      <c r="H64" s="34" t="s">
        <v>86</v>
      </c>
      <c r="I64" s="18" t="s">
        <v>104</v>
      </c>
      <c r="J64" s="31" t="s">
        <v>105</v>
      </c>
      <c r="K64" s="31">
        <v>46174</v>
      </c>
      <c r="L64" s="4"/>
      <c r="M64" s="4"/>
      <c r="N64" s="13" t="s">
        <v>29</v>
      </c>
      <c r="O64" s="35" t="str">
        <f>IF(D64="","",IF(COUNTIF(离职清单!C:C,D64)&gt;0,"已离职","在职"))</f>
        <v>在职</v>
      </c>
      <c r="P64" s="35" t="str">
        <f>IF(AND(O64="在职",J64="是"),COUNTIF(O$2:O64,"在职"),"")</f>
        <v/>
      </c>
    </row>
    <row r="65" customFormat="1" ht="18" spans="1:16">
      <c r="A65" s="10">
        <f t="shared" si="1"/>
        <v>64</v>
      </c>
      <c r="B65" s="31">
        <v>46174</v>
      </c>
      <c r="C65" s="32" t="s">
        <v>244</v>
      </c>
      <c r="D65" s="120" t="s">
        <v>245</v>
      </c>
      <c r="E65" s="33" t="s">
        <v>42</v>
      </c>
      <c r="F65" s="18" t="s">
        <v>62</v>
      </c>
      <c r="G65" s="18" t="s">
        <v>246</v>
      </c>
      <c r="H65" s="34" t="s">
        <v>86</v>
      </c>
      <c r="I65" s="18" t="s">
        <v>104</v>
      </c>
      <c r="J65" s="31" t="s">
        <v>114</v>
      </c>
      <c r="K65" s="31">
        <v>46174</v>
      </c>
      <c r="L65" s="4"/>
      <c r="M65" s="4"/>
      <c r="N65" s="13" t="s">
        <v>29</v>
      </c>
      <c r="O65" s="35" t="str">
        <f>IF(D65="","",IF(COUNTIF(离职清单!C:C,D65)&gt;0,"已离职","在职"))</f>
        <v>在职</v>
      </c>
      <c r="P65" s="35">
        <f>IF(AND(O65="在职",J65="是"),COUNTIF(O$2:O65,"在职"),"")</f>
        <v>62</v>
      </c>
    </row>
    <row r="66" customFormat="1" ht="18" spans="1:16">
      <c r="A66" s="14">
        <f t="shared" si="1"/>
        <v>65</v>
      </c>
      <c r="B66" s="31">
        <v>46174</v>
      </c>
      <c r="C66" s="32" t="s">
        <v>247</v>
      </c>
      <c r="D66" s="120" t="s">
        <v>248</v>
      </c>
      <c r="E66" s="33" t="s">
        <v>74</v>
      </c>
      <c r="F66" s="18" t="s">
        <v>64</v>
      </c>
      <c r="G66" s="18" t="s">
        <v>148</v>
      </c>
      <c r="H66" s="34" t="s">
        <v>86</v>
      </c>
      <c r="I66" s="18" t="s">
        <v>104</v>
      </c>
      <c r="J66" s="31" t="s">
        <v>105</v>
      </c>
      <c r="K66" s="31">
        <v>46174</v>
      </c>
      <c r="L66" s="4"/>
      <c r="M66" s="4"/>
      <c r="N66" s="13" t="s">
        <v>29</v>
      </c>
      <c r="O66" s="35" t="str">
        <f>IF(D66="","",IF(COUNTIF(离职清单!C:C,D66)&gt;0,"已离职","在职"))</f>
        <v>在职</v>
      </c>
      <c r="P66" s="35" t="str">
        <f>IF(AND(O66="在职",J66="是"),COUNTIF(O$2:O66,"在职"),"")</f>
        <v/>
      </c>
    </row>
    <row r="67" customFormat="1" ht="18" spans="1:16">
      <c r="A67" s="10">
        <f t="shared" si="1"/>
        <v>66</v>
      </c>
      <c r="B67" s="31">
        <v>46174</v>
      </c>
      <c r="C67" s="32" t="s">
        <v>249</v>
      </c>
      <c r="D67" s="120" t="s">
        <v>250</v>
      </c>
      <c r="E67" s="33" t="s">
        <v>74</v>
      </c>
      <c r="F67" s="18" t="s">
        <v>64</v>
      </c>
      <c r="G67" s="18" t="s">
        <v>148</v>
      </c>
      <c r="H67" s="34" t="s">
        <v>86</v>
      </c>
      <c r="I67" s="18" t="s">
        <v>104</v>
      </c>
      <c r="J67" s="31" t="s">
        <v>105</v>
      </c>
      <c r="K67" s="31">
        <v>46174</v>
      </c>
      <c r="L67" s="4"/>
      <c r="M67" s="4"/>
      <c r="N67" s="13" t="s">
        <v>29</v>
      </c>
      <c r="O67" s="35" t="str">
        <f>IF(D67="","",IF(COUNTIF(离职清单!C:C,D67)&gt;0,"已离职","在职"))</f>
        <v>在职</v>
      </c>
      <c r="P67" s="35" t="str">
        <f>IF(AND(O67="在职",J67="是"),COUNTIF(O$2:O67,"在职"),"")</f>
        <v/>
      </c>
    </row>
    <row r="68" customFormat="1" ht="18" spans="1:16">
      <c r="A68" s="14">
        <f t="shared" si="1"/>
        <v>67</v>
      </c>
      <c r="B68" s="31">
        <v>46174</v>
      </c>
      <c r="C68" s="32" t="s">
        <v>251</v>
      </c>
      <c r="D68" s="120" t="s">
        <v>252</v>
      </c>
      <c r="E68" s="33" t="s">
        <v>74</v>
      </c>
      <c r="F68" s="18" t="s">
        <v>64</v>
      </c>
      <c r="G68" s="18" t="s">
        <v>179</v>
      </c>
      <c r="H68" s="34" t="s">
        <v>86</v>
      </c>
      <c r="I68" s="18" t="s">
        <v>104</v>
      </c>
      <c r="J68" s="31" t="s">
        <v>105</v>
      </c>
      <c r="K68" s="31">
        <v>46174</v>
      </c>
      <c r="L68" s="4"/>
      <c r="M68" s="4"/>
      <c r="N68" s="13" t="s">
        <v>29</v>
      </c>
      <c r="O68" s="35" t="str">
        <f>IF(D68="","",IF(COUNTIF(离职清单!C:C,D68)&gt;0,"已离职","在职"))</f>
        <v>在职</v>
      </c>
      <c r="P68" s="35" t="str">
        <f>IF(AND(O68="在职",J68="是"),COUNTIF(O$2:O68,"在职"),"")</f>
        <v/>
      </c>
    </row>
    <row r="69" customFormat="1" ht="18" spans="1:16">
      <c r="A69" s="10">
        <f t="shared" si="1"/>
        <v>68</v>
      </c>
      <c r="B69" s="31">
        <v>46174</v>
      </c>
      <c r="C69" s="32" t="s">
        <v>253</v>
      </c>
      <c r="D69" s="120" t="s">
        <v>254</v>
      </c>
      <c r="E69" s="33" t="s">
        <v>74</v>
      </c>
      <c r="F69" s="18" t="s">
        <v>64</v>
      </c>
      <c r="G69" s="18" t="s">
        <v>179</v>
      </c>
      <c r="H69" s="34" t="s">
        <v>86</v>
      </c>
      <c r="I69" s="18" t="s">
        <v>104</v>
      </c>
      <c r="J69" s="31" t="s">
        <v>105</v>
      </c>
      <c r="K69" s="31">
        <v>46174</v>
      </c>
      <c r="L69" s="4"/>
      <c r="M69" s="4"/>
      <c r="N69" s="13" t="s">
        <v>29</v>
      </c>
      <c r="O69" s="35" t="str">
        <f>IF(D69="","",IF(COUNTIF(离职清单!C:C,D69)&gt;0,"已离职","在职"))</f>
        <v>在职</v>
      </c>
      <c r="P69" s="35" t="str">
        <f>IF(AND(O69="在职",J69="是"),COUNTIF(O$2:O69,"在职"),"")</f>
        <v/>
      </c>
    </row>
    <row r="70" customFormat="1" ht="18" spans="1:16">
      <c r="A70" s="14">
        <f t="shared" si="1"/>
        <v>69</v>
      </c>
      <c r="B70" s="31">
        <v>46174</v>
      </c>
      <c r="C70" s="32" t="s">
        <v>255</v>
      </c>
      <c r="D70" s="120" t="s">
        <v>256</v>
      </c>
      <c r="E70" s="33" t="s">
        <v>74</v>
      </c>
      <c r="F70" s="18" t="s">
        <v>64</v>
      </c>
      <c r="G70" s="18" t="s">
        <v>179</v>
      </c>
      <c r="H70" s="34" t="s">
        <v>86</v>
      </c>
      <c r="I70" s="18" t="s">
        <v>104</v>
      </c>
      <c r="J70" s="31" t="s">
        <v>105</v>
      </c>
      <c r="K70" s="31">
        <v>46174</v>
      </c>
      <c r="L70" s="4"/>
      <c r="M70" s="4"/>
      <c r="N70" s="13" t="s">
        <v>29</v>
      </c>
      <c r="O70" s="35" t="str">
        <f>IF(D70="","",IF(COUNTIF(离职清单!C:C,D70)&gt;0,"已离职","在职"))</f>
        <v>在职</v>
      </c>
      <c r="P70" s="35" t="str">
        <f>IF(AND(O70="在职",J70="是"),COUNTIF(O$2:O70,"在职"),"")</f>
        <v/>
      </c>
    </row>
    <row r="71" customFormat="1" ht="18" spans="1:16">
      <c r="A71" s="10">
        <f t="shared" si="1"/>
        <v>70</v>
      </c>
      <c r="B71" s="31">
        <v>46174</v>
      </c>
      <c r="C71" s="32" t="s">
        <v>257</v>
      </c>
      <c r="D71" s="120" t="s">
        <v>258</v>
      </c>
      <c r="E71" s="33" t="s">
        <v>74</v>
      </c>
      <c r="F71" s="18" t="s">
        <v>64</v>
      </c>
      <c r="G71" s="18" t="s">
        <v>179</v>
      </c>
      <c r="H71" s="34" t="s">
        <v>86</v>
      </c>
      <c r="I71" s="18" t="s">
        <v>104</v>
      </c>
      <c r="J71" s="31" t="s">
        <v>105</v>
      </c>
      <c r="K71" s="31">
        <v>46174</v>
      </c>
      <c r="L71" s="4"/>
      <c r="M71" s="4"/>
      <c r="N71" s="13" t="s">
        <v>29</v>
      </c>
      <c r="O71" s="35" t="str">
        <f>IF(D71="","",IF(COUNTIF(离职清单!C:C,D71)&gt;0,"已离职","在职"))</f>
        <v>在职</v>
      </c>
      <c r="P71" s="35" t="str">
        <f>IF(AND(O71="在职",J71="是"),COUNTIF(O$2:O71,"在职"),"")</f>
        <v/>
      </c>
    </row>
    <row r="72" customFormat="1" ht="18" spans="1:16">
      <c r="A72" s="14">
        <f t="shared" si="1"/>
        <v>71</v>
      </c>
      <c r="B72" s="31">
        <v>46174</v>
      </c>
      <c r="C72" s="32" t="s">
        <v>259</v>
      </c>
      <c r="D72" s="120" t="s">
        <v>260</v>
      </c>
      <c r="E72" s="33" t="s">
        <v>74</v>
      </c>
      <c r="F72" s="18" t="s">
        <v>64</v>
      </c>
      <c r="G72" s="18" t="s">
        <v>179</v>
      </c>
      <c r="H72" s="34" t="s">
        <v>86</v>
      </c>
      <c r="I72" s="18" t="s">
        <v>104</v>
      </c>
      <c r="J72" s="31" t="s">
        <v>105</v>
      </c>
      <c r="K72" s="31">
        <v>46174</v>
      </c>
      <c r="L72" s="4"/>
      <c r="M72" s="4"/>
      <c r="N72" s="13" t="s">
        <v>29</v>
      </c>
      <c r="O72" s="35" t="str">
        <f>IF(D72="","",IF(COUNTIF(离职清单!C:C,D72)&gt;0,"已离职","在职"))</f>
        <v>在职</v>
      </c>
      <c r="P72" s="35" t="str">
        <f>IF(AND(O72="在职",J72="是"),COUNTIF(O$2:O72,"在职"),"")</f>
        <v/>
      </c>
    </row>
    <row r="73" customFormat="1" ht="18" spans="1:16">
      <c r="A73" s="10">
        <f t="shared" si="1"/>
        <v>72</v>
      </c>
      <c r="B73" s="31">
        <v>46174</v>
      </c>
      <c r="C73" s="32" t="s">
        <v>261</v>
      </c>
      <c r="D73" s="120" t="s">
        <v>262</v>
      </c>
      <c r="E73" s="33" t="s">
        <v>74</v>
      </c>
      <c r="F73" s="18" t="s">
        <v>64</v>
      </c>
      <c r="G73" s="18" t="s">
        <v>179</v>
      </c>
      <c r="H73" s="34" t="s">
        <v>86</v>
      </c>
      <c r="I73" s="18" t="s">
        <v>104</v>
      </c>
      <c r="J73" s="31" t="s">
        <v>105</v>
      </c>
      <c r="K73" s="31">
        <v>46174</v>
      </c>
      <c r="L73" s="4"/>
      <c r="M73" s="4"/>
      <c r="N73" s="13" t="s">
        <v>29</v>
      </c>
      <c r="O73" s="35" t="str">
        <f>IF(D73="","",IF(COUNTIF(离职清单!C:C,D73)&gt;0,"已离职","在职"))</f>
        <v>在职</v>
      </c>
      <c r="P73" s="35" t="str">
        <f>IF(AND(O73="在职",J73="是"),COUNTIF(O$2:O73,"在职"),"")</f>
        <v/>
      </c>
    </row>
    <row r="74" customFormat="1" ht="18" spans="1:16">
      <c r="A74" s="14">
        <f t="shared" si="1"/>
        <v>73</v>
      </c>
      <c r="B74" s="31">
        <v>46175</v>
      </c>
      <c r="C74" s="32" t="s">
        <v>263</v>
      </c>
      <c r="D74" s="120" t="s">
        <v>264</v>
      </c>
      <c r="E74" s="33" t="s">
        <v>43</v>
      </c>
      <c r="F74" s="18" t="s">
        <v>64</v>
      </c>
      <c r="G74" s="18" t="s">
        <v>124</v>
      </c>
      <c r="H74" s="34" t="s">
        <v>86</v>
      </c>
      <c r="I74" s="18" t="s">
        <v>104</v>
      </c>
      <c r="J74" s="31" t="s">
        <v>114</v>
      </c>
      <c r="K74" s="31">
        <v>46175</v>
      </c>
      <c r="L74" s="4"/>
      <c r="M74" s="4"/>
      <c r="N74" s="13" t="s">
        <v>29</v>
      </c>
      <c r="O74" s="35" t="str">
        <f>IF(D74="","",IF(COUNTIF(离职清单!C:C,D74)&gt;0,"已离职","在职"))</f>
        <v>在职</v>
      </c>
      <c r="P74" s="35">
        <f>IF(AND(O74="在职",J74="是"),COUNTIF(O$2:O74,"在职"),"")</f>
        <v>71</v>
      </c>
    </row>
    <row r="75" customFormat="1" ht="18" spans="1:16">
      <c r="A75" s="10">
        <f t="shared" si="1"/>
        <v>74</v>
      </c>
      <c r="B75" s="31">
        <v>46175</v>
      </c>
      <c r="C75" s="32" t="s">
        <v>265</v>
      </c>
      <c r="D75" s="120" t="s">
        <v>266</v>
      </c>
      <c r="E75" s="33" t="s">
        <v>43</v>
      </c>
      <c r="F75" s="18" t="s">
        <v>63</v>
      </c>
      <c r="G75" s="18" t="s">
        <v>124</v>
      </c>
      <c r="H75" s="34" t="s">
        <v>86</v>
      </c>
      <c r="I75" s="18" t="s">
        <v>104</v>
      </c>
      <c r="J75" s="31" t="s">
        <v>114</v>
      </c>
      <c r="K75" s="31">
        <v>46175</v>
      </c>
      <c r="L75" s="4"/>
      <c r="M75" s="4"/>
      <c r="N75" s="13" t="s">
        <v>29</v>
      </c>
      <c r="O75" s="35" t="str">
        <f>IF(D75="","",IF(COUNTIF(离职清单!C:C,D75)&gt;0,"已离职","在职"))</f>
        <v>在职</v>
      </c>
      <c r="P75" s="35">
        <f>IF(AND(O75="在职",J75="是"),COUNTIF(O$2:O75,"在职"),"")</f>
        <v>72</v>
      </c>
    </row>
    <row r="76" customFormat="1" ht="18" spans="1:16">
      <c r="A76" s="14">
        <f t="shared" si="1"/>
        <v>75</v>
      </c>
      <c r="B76" s="31">
        <v>46175</v>
      </c>
      <c r="C76" s="32" t="s">
        <v>267</v>
      </c>
      <c r="D76" s="120" t="s">
        <v>268</v>
      </c>
      <c r="E76" s="33" t="s">
        <v>42</v>
      </c>
      <c r="F76" s="18" t="s">
        <v>62</v>
      </c>
      <c r="G76" s="18" t="s">
        <v>124</v>
      </c>
      <c r="H76" s="34" t="s">
        <v>86</v>
      </c>
      <c r="I76" s="18" t="s">
        <v>104</v>
      </c>
      <c r="J76" s="31" t="s">
        <v>114</v>
      </c>
      <c r="K76" s="31">
        <v>46175</v>
      </c>
      <c r="L76" s="4"/>
      <c r="M76" s="4"/>
      <c r="N76" s="13" t="s">
        <v>29</v>
      </c>
      <c r="O76" s="35" t="str">
        <f>IF(D76="","",IF(COUNTIF(离职清单!C:C,D76)&gt;0,"已离职","在职"))</f>
        <v>在职</v>
      </c>
      <c r="P76" s="35">
        <f>IF(AND(O76="在职",J76="是"),COUNTIF(O$2:O76,"在职"),"")</f>
        <v>73</v>
      </c>
    </row>
    <row r="77" customFormat="1" ht="18" spans="1:16">
      <c r="A77" s="10">
        <f t="shared" si="1"/>
        <v>76</v>
      </c>
      <c r="B77" s="31">
        <v>46175</v>
      </c>
      <c r="C77" s="32" t="s">
        <v>269</v>
      </c>
      <c r="D77" s="120" t="s">
        <v>270</v>
      </c>
      <c r="E77" s="33" t="s">
        <v>42</v>
      </c>
      <c r="F77" s="18" t="s">
        <v>63</v>
      </c>
      <c r="G77" s="18" t="s">
        <v>124</v>
      </c>
      <c r="H77" s="34" t="s">
        <v>86</v>
      </c>
      <c r="I77" s="18" t="s">
        <v>104</v>
      </c>
      <c r="J77" s="31" t="s">
        <v>114</v>
      </c>
      <c r="K77" s="31">
        <v>46175</v>
      </c>
      <c r="L77" s="4"/>
      <c r="M77" s="4"/>
      <c r="N77" s="13" t="s">
        <v>29</v>
      </c>
      <c r="O77" s="35" t="str">
        <f>IF(D77="","",IF(COUNTIF(离职清单!C:C,D77)&gt;0,"已离职","在职"))</f>
        <v>在职</v>
      </c>
      <c r="P77" s="35">
        <f>IF(AND(O77="在职",J77="是"),COUNTIF(O$2:O77,"在职"),"")</f>
        <v>74</v>
      </c>
    </row>
    <row r="78" customFormat="1" ht="18" spans="1:16">
      <c r="A78" s="14">
        <f t="shared" si="1"/>
        <v>77</v>
      </c>
      <c r="B78" s="31">
        <v>46175</v>
      </c>
      <c r="C78" s="32" t="s">
        <v>271</v>
      </c>
      <c r="D78" s="120" t="s">
        <v>272</v>
      </c>
      <c r="E78" s="33" t="s">
        <v>42</v>
      </c>
      <c r="F78" s="18" t="s">
        <v>64</v>
      </c>
      <c r="G78" s="18" t="s">
        <v>246</v>
      </c>
      <c r="H78" s="34" t="s">
        <v>86</v>
      </c>
      <c r="I78" s="18" t="s">
        <v>104</v>
      </c>
      <c r="J78" s="31" t="s">
        <v>105</v>
      </c>
      <c r="K78" s="31">
        <v>46175</v>
      </c>
      <c r="L78" s="4"/>
      <c r="M78" s="4"/>
      <c r="N78" s="13" t="s">
        <v>29</v>
      </c>
      <c r="O78" s="35" t="str">
        <f>IF(D78="","",IF(COUNTIF(离职清单!C:C,D78)&gt;0,"已离职","在职"))</f>
        <v>在职</v>
      </c>
      <c r="P78" s="35" t="str">
        <f>IF(AND(O78="在职",J78="是"),COUNTIF(O$2:O78,"在职"),"")</f>
        <v/>
      </c>
    </row>
    <row r="79" customFormat="1" ht="18" spans="1:16">
      <c r="A79" s="10">
        <f t="shared" si="1"/>
        <v>78</v>
      </c>
      <c r="B79" s="31">
        <v>46175</v>
      </c>
      <c r="C79" s="32" t="s">
        <v>273</v>
      </c>
      <c r="D79" s="120" t="s">
        <v>274</v>
      </c>
      <c r="E79" s="33" t="s">
        <v>74</v>
      </c>
      <c r="F79" s="18" t="s">
        <v>64</v>
      </c>
      <c r="G79" s="18" t="s">
        <v>246</v>
      </c>
      <c r="H79" s="34" t="s">
        <v>86</v>
      </c>
      <c r="I79" s="18" t="s">
        <v>104</v>
      </c>
      <c r="J79" s="31" t="s">
        <v>105</v>
      </c>
      <c r="K79" s="31">
        <v>46175</v>
      </c>
      <c r="L79" s="4"/>
      <c r="M79" s="4"/>
      <c r="N79" s="13" t="s">
        <v>29</v>
      </c>
      <c r="O79" s="35" t="str">
        <f>IF(D79="","",IF(COUNTIF(离职清单!C:C,D79)&gt;0,"已离职","在职"))</f>
        <v>在职</v>
      </c>
      <c r="P79" s="35" t="str">
        <f>IF(AND(O79="在职",J79="是"),COUNTIF(O$2:O79,"在职"),"")</f>
        <v/>
      </c>
    </row>
    <row r="80" customFormat="1" ht="18" spans="1:16">
      <c r="A80" s="14">
        <f t="shared" si="1"/>
        <v>79</v>
      </c>
      <c r="B80" s="31">
        <v>46175</v>
      </c>
      <c r="C80" s="32" t="s">
        <v>275</v>
      </c>
      <c r="D80" s="120" t="s">
        <v>276</v>
      </c>
      <c r="E80" s="33" t="s">
        <v>74</v>
      </c>
      <c r="F80" s="18" t="s">
        <v>64</v>
      </c>
      <c r="G80" s="18" t="s">
        <v>246</v>
      </c>
      <c r="H80" s="34" t="s">
        <v>86</v>
      </c>
      <c r="I80" s="18" t="s">
        <v>111</v>
      </c>
      <c r="J80" s="31" t="s">
        <v>105</v>
      </c>
      <c r="K80" s="31">
        <v>46175</v>
      </c>
      <c r="L80" s="4"/>
      <c r="M80" s="4"/>
      <c r="N80" s="13" t="s">
        <v>29</v>
      </c>
      <c r="O80" s="35" t="str">
        <f>IF(D80="","",IF(COUNTIF(离职清单!C:C,D80)&gt;0,"已离职","在职"))</f>
        <v>在职</v>
      </c>
      <c r="P80" s="35" t="str">
        <f>IF(AND(O80="在职",J80="是"),COUNTIF(O$2:O80,"在职"),"")</f>
        <v/>
      </c>
    </row>
    <row r="81" customFormat="1" ht="18" spans="1:16">
      <c r="A81" s="10">
        <f t="shared" si="1"/>
        <v>80</v>
      </c>
      <c r="B81" s="31">
        <v>46175</v>
      </c>
      <c r="C81" s="32" t="s">
        <v>277</v>
      </c>
      <c r="D81" s="120" t="s">
        <v>278</v>
      </c>
      <c r="E81" s="33" t="s">
        <v>74</v>
      </c>
      <c r="F81" s="18" t="s">
        <v>64</v>
      </c>
      <c r="G81" s="18" t="s">
        <v>246</v>
      </c>
      <c r="H81" s="34" t="s">
        <v>86</v>
      </c>
      <c r="I81" s="18" t="s">
        <v>104</v>
      </c>
      <c r="J81" s="31" t="s">
        <v>105</v>
      </c>
      <c r="K81" s="31">
        <v>46175</v>
      </c>
      <c r="L81" s="4"/>
      <c r="M81" s="4"/>
      <c r="N81" s="13" t="s">
        <v>29</v>
      </c>
      <c r="O81" s="35" t="str">
        <f>IF(D81="","",IF(COUNTIF(离职清单!C:C,D81)&gt;0,"已离职","在职"))</f>
        <v>在职</v>
      </c>
      <c r="P81" s="35" t="str">
        <f>IF(AND(O81="在职",J81="是"),COUNTIF(O$2:O81,"在职"),"")</f>
        <v/>
      </c>
    </row>
    <row r="82" customFormat="1" ht="18" spans="1:16">
      <c r="A82" s="14">
        <f t="shared" si="1"/>
        <v>81</v>
      </c>
      <c r="B82" s="31">
        <v>46175</v>
      </c>
      <c r="C82" s="32" t="s">
        <v>279</v>
      </c>
      <c r="D82" s="120" t="s">
        <v>280</v>
      </c>
      <c r="E82" s="33" t="s">
        <v>74</v>
      </c>
      <c r="F82" s="18" t="s">
        <v>64</v>
      </c>
      <c r="G82" s="18" t="s">
        <v>246</v>
      </c>
      <c r="H82" s="34" t="s">
        <v>86</v>
      </c>
      <c r="I82" s="18" t="s">
        <v>111</v>
      </c>
      <c r="J82" s="31" t="s">
        <v>105</v>
      </c>
      <c r="K82" s="31">
        <v>46175</v>
      </c>
      <c r="L82" s="4"/>
      <c r="M82" s="4"/>
      <c r="N82" s="13" t="s">
        <v>29</v>
      </c>
      <c r="O82" s="35" t="str">
        <f>IF(D82="","",IF(COUNTIF(离职清单!C:C,D82)&gt;0,"已离职","在职"))</f>
        <v>已离职</v>
      </c>
      <c r="P82" s="35" t="str">
        <f>IF(AND(O82="在职",J82="是"),COUNTIF(O$2:O82,"在职"),"")</f>
        <v/>
      </c>
    </row>
    <row r="83" customFormat="1" ht="18" spans="1:16">
      <c r="A83" s="10">
        <f t="shared" si="1"/>
        <v>82</v>
      </c>
      <c r="B83" s="31">
        <v>46175</v>
      </c>
      <c r="C83" s="32" t="s">
        <v>281</v>
      </c>
      <c r="D83" s="120" t="s">
        <v>282</v>
      </c>
      <c r="E83" s="33" t="s">
        <v>74</v>
      </c>
      <c r="F83" s="18" t="s">
        <v>64</v>
      </c>
      <c r="G83" s="18" t="s">
        <v>246</v>
      </c>
      <c r="H83" s="34" t="s">
        <v>86</v>
      </c>
      <c r="I83" s="18" t="s">
        <v>104</v>
      </c>
      <c r="J83" s="31" t="s">
        <v>105</v>
      </c>
      <c r="K83" s="31">
        <v>46175</v>
      </c>
      <c r="L83" s="4"/>
      <c r="M83" s="4"/>
      <c r="N83" s="13" t="s">
        <v>29</v>
      </c>
      <c r="O83" s="35" t="str">
        <f>IF(D83="","",IF(COUNTIF(离职清单!C:C,D83)&gt;0,"已离职","在职"))</f>
        <v>已离职</v>
      </c>
      <c r="P83" s="35" t="str">
        <f>IF(AND(O83="在职",J83="是"),COUNTIF(O$2:O83,"在职"),"")</f>
        <v/>
      </c>
    </row>
    <row r="84" customFormat="1" ht="18" spans="1:16">
      <c r="A84" s="14">
        <f t="shared" si="1"/>
        <v>83</v>
      </c>
      <c r="B84" s="31">
        <v>46175</v>
      </c>
      <c r="C84" s="32" t="s">
        <v>283</v>
      </c>
      <c r="D84" s="120" t="s">
        <v>284</v>
      </c>
      <c r="E84" s="33" t="s">
        <v>74</v>
      </c>
      <c r="F84" s="18" t="s">
        <v>64</v>
      </c>
      <c r="G84" s="18" t="s">
        <v>246</v>
      </c>
      <c r="H84" s="34" t="s">
        <v>86</v>
      </c>
      <c r="I84" s="18" t="s">
        <v>111</v>
      </c>
      <c r="J84" s="31" t="s">
        <v>105</v>
      </c>
      <c r="K84" s="31">
        <v>46175</v>
      </c>
      <c r="L84" s="4"/>
      <c r="M84" s="4"/>
      <c r="N84" s="13" t="s">
        <v>29</v>
      </c>
      <c r="O84" s="35" t="str">
        <f>IF(D84="","",IF(COUNTIF(离职清单!C:C,D84)&gt;0,"已离职","在职"))</f>
        <v>已离职</v>
      </c>
      <c r="P84" s="35" t="str">
        <f>IF(AND(O84="在职",J84="是"),COUNTIF(O$2:O84,"在职"),"")</f>
        <v/>
      </c>
    </row>
    <row r="85" customFormat="1" ht="18" spans="1:16">
      <c r="A85" s="10">
        <f t="shared" si="1"/>
        <v>84</v>
      </c>
      <c r="B85" s="31">
        <v>46175</v>
      </c>
      <c r="C85" s="32" t="s">
        <v>285</v>
      </c>
      <c r="D85" s="120" t="s">
        <v>286</v>
      </c>
      <c r="E85" s="33" t="s">
        <v>74</v>
      </c>
      <c r="F85" s="18" t="s">
        <v>64</v>
      </c>
      <c r="G85" s="18" t="s">
        <v>246</v>
      </c>
      <c r="H85" s="34" t="s">
        <v>86</v>
      </c>
      <c r="I85" s="18" t="s">
        <v>111</v>
      </c>
      <c r="J85" s="31" t="s">
        <v>105</v>
      </c>
      <c r="K85" s="31">
        <v>46175</v>
      </c>
      <c r="L85" s="4"/>
      <c r="M85" s="4"/>
      <c r="N85" s="13" t="s">
        <v>29</v>
      </c>
      <c r="O85" s="35" t="str">
        <f>IF(D85="","",IF(COUNTIF(离职清单!C:C,D85)&gt;0,"已离职","在职"))</f>
        <v>已离职</v>
      </c>
      <c r="P85" s="35" t="str">
        <f>IF(AND(O85="在职",J85="是"),COUNTIF(O$2:O85,"在职"),"")</f>
        <v/>
      </c>
    </row>
    <row r="86" customFormat="1" ht="18" spans="1:16">
      <c r="A86" s="14">
        <f t="shared" si="1"/>
        <v>85</v>
      </c>
      <c r="B86" s="31">
        <v>46175</v>
      </c>
      <c r="C86" s="32" t="s">
        <v>287</v>
      </c>
      <c r="D86" s="120" t="s">
        <v>288</v>
      </c>
      <c r="E86" s="33" t="s">
        <v>42</v>
      </c>
      <c r="F86" s="18" t="s">
        <v>62</v>
      </c>
      <c r="G86" s="18" t="s">
        <v>103</v>
      </c>
      <c r="H86" s="34" t="s">
        <v>86</v>
      </c>
      <c r="I86" s="18" t="s">
        <v>104</v>
      </c>
      <c r="J86" s="31" t="s">
        <v>105</v>
      </c>
      <c r="K86" s="31">
        <v>46175</v>
      </c>
      <c r="L86" s="4"/>
      <c r="M86" s="4"/>
      <c r="N86" s="13" t="s">
        <v>29</v>
      </c>
      <c r="O86" s="35" t="str">
        <f>IF(D86="","",IF(COUNTIF(离职清单!C:C,D86)&gt;0,"已离职","在职"))</f>
        <v>在职</v>
      </c>
      <c r="P86" s="35" t="str">
        <f>IF(AND(O86="在职",J86="是"),COUNTIF(O$2:O86,"在职"),"")</f>
        <v/>
      </c>
    </row>
    <row r="87" customFormat="1" ht="18" spans="1:16">
      <c r="A87" s="10">
        <f t="shared" si="1"/>
        <v>86</v>
      </c>
      <c r="B87" s="31">
        <v>46175</v>
      </c>
      <c r="C87" s="32" t="s">
        <v>289</v>
      </c>
      <c r="D87" s="120" t="s">
        <v>290</v>
      </c>
      <c r="E87" s="33" t="s">
        <v>42</v>
      </c>
      <c r="F87" s="18" t="s">
        <v>64</v>
      </c>
      <c r="G87" s="18" t="s">
        <v>103</v>
      </c>
      <c r="H87" s="34" t="s">
        <v>86</v>
      </c>
      <c r="I87" s="18" t="s">
        <v>104</v>
      </c>
      <c r="J87" s="31" t="s">
        <v>105</v>
      </c>
      <c r="K87" s="31">
        <v>46175</v>
      </c>
      <c r="L87" s="4"/>
      <c r="M87" s="4"/>
      <c r="N87" s="13" t="s">
        <v>29</v>
      </c>
      <c r="O87" s="35" t="str">
        <f>IF(D87="","",IF(COUNTIF(离职清单!C:C,D87)&gt;0,"已离职","在职"))</f>
        <v>在职</v>
      </c>
      <c r="P87" s="35" t="str">
        <f>IF(AND(O87="在职",J87="是"),COUNTIF(O$2:O87,"在职"),"")</f>
        <v/>
      </c>
    </row>
    <row r="88" customFormat="1" ht="18" spans="1:16">
      <c r="A88" s="14">
        <f t="shared" si="1"/>
        <v>87</v>
      </c>
      <c r="B88" s="31">
        <v>46175</v>
      </c>
      <c r="C88" s="32" t="s">
        <v>291</v>
      </c>
      <c r="D88" s="120" t="s">
        <v>292</v>
      </c>
      <c r="E88" s="33" t="s">
        <v>42</v>
      </c>
      <c r="F88" s="18" t="s">
        <v>64</v>
      </c>
      <c r="G88" s="18" t="s">
        <v>103</v>
      </c>
      <c r="H88" s="34" t="s">
        <v>86</v>
      </c>
      <c r="I88" s="18" t="s">
        <v>104</v>
      </c>
      <c r="J88" s="31" t="s">
        <v>105</v>
      </c>
      <c r="K88" s="31">
        <v>46175</v>
      </c>
      <c r="L88" s="4"/>
      <c r="M88" s="4"/>
      <c r="N88" s="13" t="s">
        <v>29</v>
      </c>
      <c r="O88" s="35" t="str">
        <f>IF(D88="","",IF(COUNTIF(离职清单!C:C,D88)&gt;0,"已离职","在职"))</f>
        <v>在职</v>
      </c>
      <c r="P88" s="35" t="str">
        <f>IF(AND(O88="在职",J88="是"),COUNTIF(O$2:O88,"在职"),"")</f>
        <v/>
      </c>
    </row>
    <row r="89" customFormat="1" ht="18" spans="1:16">
      <c r="A89" s="10">
        <f t="shared" si="1"/>
        <v>88</v>
      </c>
      <c r="B89" s="31">
        <v>46175</v>
      </c>
      <c r="C89" s="32" t="s">
        <v>293</v>
      </c>
      <c r="D89" s="120" t="s">
        <v>294</v>
      </c>
      <c r="E89" s="33" t="s">
        <v>42</v>
      </c>
      <c r="F89" s="18" t="s">
        <v>64</v>
      </c>
      <c r="G89" s="18" t="s">
        <v>103</v>
      </c>
      <c r="H89" s="34" t="s">
        <v>86</v>
      </c>
      <c r="I89" s="18" t="s">
        <v>104</v>
      </c>
      <c r="J89" s="31" t="s">
        <v>105</v>
      </c>
      <c r="K89" s="31">
        <v>46175</v>
      </c>
      <c r="L89" s="4"/>
      <c r="M89" s="4"/>
      <c r="N89" s="13" t="s">
        <v>29</v>
      </c>
      <c r="O89" s="35" t="str">
        <f>IF(D89="","",IF(COUNTIF(离职清单!C:C,D89)&gt;0,"已离职","在职"))</f>
        <v>在职</v>
      </c>
      <c r="P89" s="35" t="str">
        <f>IF(AND(O89="在职",J89="是"),COUNTIF(O$2:O89,"在职"),"")</f>
        <v/>
      </c>
    </row>
    <row r="90" customFormat="1" ht="18" spans="1:16">
      <c r="A90" s="14">
        <f t="shared" si="1"/>
        <v>89</v>
      </c>
      <c r="B90" s="31">
        <v>46175</v>
      </c>
      <c r="C90" s="32" t="s">
        <v>225</v>
      </c>
      <c r="D90" s="120" t="s">
        <v>295</v>
      </c>
      <c r="E90" s="33" t="s">
        <v>42</v>
      </c>
      <c r="F90" s="18" t="s">
        <v>64</v>
      </c>
      <c r="G90" s="18" t="s">
        <v>103</v>
      </c>
      <c r="H90" s="34" t="s">
        <v>86</v>
      </c>
      <c r="I90" s="18" t="s">
        <v>104</v>
      </c>
      <c r="J90" s="31" t="s">
        <v>114</v>
      </c>
      <c r="K90" s="31">
        <v>46175</v>
      </c>
      <c r="L90" s="4"/>
      <c r="M90" s="4"/>
      <c r="N90" s="13" t="s">
        <v>29</v>
      </c>
      <c r="O90" s="35" t="str">
        <f>IF(D90="","",IF(COUNTIF(离职清单!C:C,D90)&gt;0,"已离职","在职"))</f>
        <v>在职</v>
      </c>
      <c r="P90" s="35">
        <f>IF(AND(O90="在职",J90="是"),COUNTIF(O$2:O90,"在职"),"")</f>
        <v>83</v>
      </c>
    </row>
    <row r="91" customFormat="1" ht="18" spans="1:16">
      <c r="A91" s="10">
        <f t="shared" si="1"/>
        <v>90</v>
      </c>
      <c r="B91" s="31">
        <v>46175</v>
      </c>
      <c r="C91" s="32" t="s">
        <v>296</v>
      </c>
      <c r="D91" s="120" t="s">
        <v>297</v>
      </c>
      <c r="E91" s="33" t="s">
        <v>42</v>
      </c>
      <c r="F91" s="18" t="s">
        <v>64</v>
      </c>
      <c r="G91" s="18" t="s">
        <v>103</v>
      </c>
      <c r="H91" s="34" t="s">
        <v>86</v>
      </c>
      <c r="I91" s="18" t="s">
        <v>111</v>
      </c>
      <c r="J91" s="31" t="s">
        <v>105</v>
      </c>
      <c r="K91" s="31">
        <v>46175</v>
      </c>
      <c r="L91" s="4"/>
      <c r="M91" s="4"/>
      <c r="N91" s="13" t="s">
        <v>29</v>
      </c>
      <c r="O91" s="35" t="str">
        <f>IF(D91="","",IF(COUNTIF(离职清单!C:C,D91)&gt;0,"已离职","在职"))</f>
        <v>在职</v>
      </c>
      <c r="P91" s="35" t="str">
        <f>IF(AND(O91="在职",J91="是"),COUNTIF(O$2:O91,"在职"),"")</f>
        <v/>
      </c>
    </row>
    <row r="92" customFormat="1" ht="18" spans="1:16">
      <c r="A92" s="14">
        <f t="shared" si="1"/>
        <v>91</v>
      </c>
      <c r="B92" s="31">
        <v>46175</v>
      </c>
      <c r="C92" s="32" t="s">
        <v>298</v>
      </c>
      <c r="D92" s="120" t="s">
        <v>299</v>
      </c>
      <c r="E92" s="33" t="s">
        <v>43</v>
      </c>
      <c r="F92" s="18" t="s">
        <v>62</v>
      </c>
      <c r="G92" s="18" t="s">
        <v>103</v>
      </c>
      <c r="H92" s="34" t="s">
        <v>86</v>
      </c>
      <c r="I92" s="18" t="s">
        <v>104</v>
      </c>
      <c r="J92" s="31" t="s">
        <v>105</v>
      </c>
      <c r="K92" s="31">
        <v>46175</v>
      </c>
      <c r="L92" s="4"/>
      <c r="M92" s="4"/>
      <c r="N92" s="13" t="s">
        <v>29</v>
      </c>
      <c r="O92" s="35" t="str">
        <f>IF(D92="","",IF(COUNTIF(离职清单!C:C,D92)&gt;0,"已离职","在职"))</f>
        <v>在职</v>
      </c>
      <c r="P92" s="35" t="str">
        <f>IF(AND(O92="在职",J92="是"),COUNTIF(O$2:O92,"在职"),"")</f>
        <v/>
      </c>
    </row>
    <row r="93" customFormat="1" ht="18" spans="1:16">
      <c r="A93" s="10">
        <f t="shared" si="1"/>
        <v>92</v>
      </c>
      <c r="B93" s="31">
        <v>46175</v>
      </c>
      <c r="C93" s="32" t="s">
        <v>300</v>
      </c>
      <c r="D93" s="120" t="s">
        <v>301</v>
      </c>
      <c r="E93" s="33" t="s">
        <v>74</v>
      </c>
      <c r="F93" s="18" t="s">
        <v>190</v>
      </c>
      <c r="G93" s="18" t="s">
        <v>103</v>
      </c>
      <c r="H93" s="34" t="s">
        <v>86</v>
      </c>
      <c r="I93" s="18" t="s">
        <v>104</v>
      </c>
      <c r="J93" s="31" t="s">
        <v>114</v>
      </c>
      <c r="K93" s="31">
        <v>46175</v>
      </c>
      <c r="L93" s="4"/>
      <c r="M93" s="4"/>
      <c r="N93" s="13" t="s">
        <v>29</v>
      </c>
      <c r="O93" s="35" t="str">
        <f>IF(D93="","",IF(COUNTIF(离职清单!C:C,D93)&gt;0,"已离职","在职"))</f>
        <v>在职</v>
      </c>
      <c r="P93" s="35">
        <f>IF(AND(O93="在职",J93="是"),COUNTIF(O$2:O93,"在职"),"")</f>
        <v>86</v>
      </c>
    </row>
    <row r="94" customFormat="1" ht="18" spans="1:16">
      <c r="A94" s="14">
        <f t="shared" si="1"/>
        <v>93</v>
      </c>
      <c r="B94" s="31">
        <v>46175</v>
      </c>
      <c r="C94" s="32" t="s">
        <v>240</v>
      </c>
      <c r="D94" s="120" t="s">
        <v>302</v>
      </c>
      <c r="E94" s="33" t="s">
        <v>42</v>
      </c>
      <c r="F94" s="18" t="s">
        <v>64</v>
      </c>
      <c r="G94" s="18" t="s">
        <v>233</v>
      </c>
      <c r="H94" s="34" t="s">
        <v>86</v>
      </c>
      <c r="I94" s="18" t="s">
        <v>104</v>
      </c>
      <c r="J94" s="31" t="s">
        <v>105</v>
      </c>
      <c r="K94" s="31">
        <v>46175</v>
      </c>
      <c r="L94" s="4"/>
      <c r="M94" s="4"/>
      <c r="N94" s="13" t="s">
        <v>29</v>
      </c>
      <c r="O94" s="35" t="str">
        <f>IF(D94="","",IF(COUNTIF(离职清单!C:C,D94)&gt;0,"已离职","在职"))</f>
        <v>在职</v>
      </c>
      <c r="P94" s="35" t="str">
        <f>IF(AND(O94="在职",J94="是"),COUNTIF(O$2:O94,"在职"),"")</f>
        <v/>
      </c>
    </row>
    <row r="95" customFormat="1" ht="18" spans="1:16">
      <c r="A95" s="10">
        <f t="shared" si="1"/>
        <v>94</v>
      </c>
      <c r="B95" s="31">
        <v>46175</v>
      </c>
      <c r="C95" s="32" t="s">
        <v>303</v>
      </c>
      <c r="D95" s="120" t="s">
        <v>304</v>
      </c>
      <c r="E95" s="33" t="s">
        <v>43</v>
      </c>
      <c r="F95" s="18" t="s">
        <v>63</v>
      </c>
      <c r="G95" s="18" t="s">
        <v>117</v>
      </c>
      <c r="H95" s="34" t="s">
        <v>86</v>
      </c>
      <c r="I95" s="18" t="s">
        <v>104</v>
      </c>
      <c r="J95" s="31" t="s">
        <v>105</v>
      </c>
      <c r="K95" s="31">
        <v>46175</v>
      </c>
      <c r="L95" s="4"/>
      <c r="M95" s="4"/>
      <c r="N95" s="13" t="s">
        <v>29</v>
      </c>
      <c r="O95" s="35" t="str">
        <f>IF(D95="","",IF(COUNTIF(离职清单!C:C,D95)&gt;0,"已离职","在职"))</f>
        <v>在职</v>
      </c>
      <c r="P95" s="35" t="str">
        <f>IF(AND(O95="在职",J95="是"),COUNTIF(O$2:O95,"在职"),"")</f>
        <v/>
      </c>
    </row>
    <row r="96" customFormat="1" ht="18" spans="1:16">
      <c r="A96" s="10">
        <f t="shared" si="1"/>
        <v>95</v>
      </c>
      <c r="B96" s="31">
        <v>46175</v>
      </c>
      <c r="C96" s="32" t="s">
        <v>305</v>
      </c>
      <c r="D96" s="120" t="s">
        <v>306</v>
      </c>
      <c r="E96" s="33" t="s">
        <v>42</v>
      </c>
      <c r="F96" s="18" t="s">
        <v>64</v>
      </c>
      <c r="G96" s="18" t="s">
        <v>307</v>
      </c>
      <c r="H96" s="34" t="s">
        <v>86</v>
      </c>
      <c r="I96" s="18" t="s">
        <v>104</v>
      </c>
      <c r="J96" s="31" t="s">
        <v>105</v>
      </c>
      <c r="K96" s="31">
        <v>46175</v>
      </c>
      <c r="L96" s="4"/>
      <c r="M96" s="4"/>
      <c r="N96" s="13" t="s">
        <v>29</v>
      </c>
      <c r="O96" s="35" t="str">
        <f>IF(D96="","",IF(COUNTIF(离职清单!C:C,D96)&gt;0,"已离职","在职"))</f>
        <v>在职</v>
      </c>
      <c r="P96" s="35" t="str">
        <f>IF(AND(O96="在职",J96="是"),COUNTIF(O$2:O96,"在职"),"")</f>
        <v/>
      </c>
    </row>
    <row r="97" customFormat="1" ht="18" spans="1:16">
      <c r="A97" s="14">
        <f t="shared" si="1"/>
        <v>96</v>
      </c>
      <c r="B97" s="31">
        <v>46175</v>
      </c>
      <c r="C97" s="32" t="s">
        <v>308</v>
      </c>
      <c r="D97" s="120" t="s">
        <v>309</v>
      </c>
      <c r="E97" s="33" t="s">
        <v>42</v>
      </c>
      <c r="F97" s="18" t="s">
        <v>64</v>
      </c>
      <c r="G97" s="18" t="s">
        <v>129</v>
      </c>
      <c r="H97" s="34" t="s">
        <v>86</v>
      </c>
      <c r="I97" s="18" t="s">
        <v>104</v>
      </c>
      <c r="J97" s="31" t="s">
        <v>114</v>
      </c>
      <c r="K97" s="31">
        <v>46175</v>
      </c>
      <c r="L97" s="4"/>
      <c r="M97" s="4"/>
      <c r="N97" s="13" t="s">
        <v>29</v>
      </c>
      <c r="O97" s="35" t="str">
        <f>IF(D97="","",IF(COUNTIF(离职清单!C:C,D97)&gt;0,"已离职","在职"))</f>
        <v>在职</v>
      </c>
      <c r="P97" s="35">
        <f>IF(AND(O97="在职",J97="是"),COUNTIF(O$2:O97,"在职"),"")</f>
        <v>90</v>
      </c>
    </row>
    <row r="98" customFormat="1" ht="18" spans="1:16">
      <c r="A98" s="10">
        <f t="shared" si="1"/>
        <v>97</v>
      </c>
      <c r="B98" s="31">
        <v>46175</v>
      </c>
      <c r="C98" s="32" t="s">
        <v>310</v>
      </c>
      <c r="D98" s="120" t="s">
        <v>311</v>
      </c>
      <c r="E98" s="33" t="s">
        <v>43</v>
      </c>
      <c r="F98" s="18" t="s">
        <v>64</v>
      </c>
      <c r="G98" s="18" t="s">
        <v>312</v>
      </c>
      <c r="H98" s="34" t="s">
        <v>86</v>
      </c>
      <c r="I98" s="18" t="s">
        <v>104</v>
      </c>
      <c r="J98" s="31" t="s">
        <v>105</v>
      </c>
      <c r="K98" s="31">
        <v>46175</v>
      </c>
      <c r="L98" s="4"/>
      <c r="M98" s="4"/>
      <c r="N98" s="13" t="s">
        <v>29</v>
      </c>
      <c r="O98" s="35" t="str">
        <f>IF(D98="","",IF(COUNTIF(离职清单!C:C,D98)&gt;0,"已离职","在职"))</f>
        <v>在职</v>
      </c>
      <c r="P98" s="35" t="str">
        <f>IF(AND(O98="在职",J98="是"),COUNTIF(O$2:O98,"在职"),"")</f>
        <v/>
      </c>
    </row>
    <row r="99" customFormat="1" ht="18" spans="1:16">
      <c r="A99" s="14">
        <f t="shared" si="1"/>
        <v>98</v>
      </c>
      <c r="B99" s="31">
        <v>46175</v>
      </c>
      <c r="C99" s="32" t="s">
        <v>313</v>
      </c>
      <c r="D99" s="120" t="s">
        <v>314</v>
      </c>
      <c r="E99" s="33" t="s">
        <v>74</v>
      </c>
      <c r="F99" s="18" t="s">
        <v>64</v>
      </c>
      <c r="G99" s="18" t="s">
        <v>135</v>
      </c>
      <c r="H99" s="34" t="s">
        <v>86</v>
      </c>
      <c r="I99" s="18" t="s">
        <v>104</v>
      </c>
      <c r="J99" s="31" t="s">
        <v>114</v>
      </c>
      <c r="K99" s="31">
        <v>46175</v>
      </c>
      <c r="L99" s="4"/>
      <c r="M99" s="4"/>
      <c r="N99" s="13" t="s">
        <v>29</v>
      </c>
      <c r="O99" s="35" t="str">
        <f>IF(D99="","",IF(COUNTIF(离职清单!C:C,D99)&gt;0,"已离职","在职"))</f>
        <v>在职</v>
      </c>
      <c r="P99" s="35">
        <f>IF(AND(O99="在职",J99="是"),COUNTIF(O$2:O99,"在职"),"")</f>
        <v>92</v>
      </c>
    </row>
    <row r="100" customFormat="1" ht="18" spans="1:16">
      <c r="A100" s="10">
        <f t="shared" si="1"/>
        <v>99</v>
      </c>
      <c r="B100" s="31">
        <v>46175</v>
      </c>
      <c r="C100" s="32" t="s">
        <v>315</v>
      </c>
      <c r="D100" s="120" t="s">
        <v>316</v>
      </c>
      <c r="E100" s="33" t="s">
        <v>74</v>
      </c>
      <c r="F100" s="18" t="s">
        <v>64</v>
      </c>
      <c r="G100" s="18" t="s">
        <v>135</v>
      </c>
      <c r="H100" s="34" t="s">
        <v>86</v>
      </c>
      <c r="I100" s="18" t="s">
        <v>111</v>
      </c>
      <c r="J100" s="31" t="s">
        <v>105</v>
      </c>
      <c r="K100" s="31">
        <v>46175</v>
      </c>
      <c r="L100" s="4"/>
      <c r="M100" s="4"/>
      <c r="N100" s="13" t="s">
        <v>29</v>
      </c>
      <c r="O100" s="35" t="str">
        <f>IF(D100="","",IF(COUNTIF(离职清单!C:C,D100)&gt;0,"已离职","在职"))</f>
        <v>在职</v>
      </c>
      <c r="P100" s="35" t="str">
        <f>IF(AND(O100="在职",J100="是"),COUNTIF(O$2:O100,"在职"),"")</f>
        <v/>
      </c>
    </row>
    <row r="101" customFormat="1" ht="18" spans="1:16">
      <c r="A101" s="10">
        <f t="shared" si="1"/>
        <v>100</v>
      </c>
      <c r="B101" s="31">
        <v>46175</v>
      </c>
      <c r="C101" s="32" t="s">
        <v>317</v>
      </c>
      <c r="D101" s="120" t="s">
        <v>318</v>
      </c>
      <c r="E101" s="33" t="s">
        <v>74</v>
      </c>
      <c r="F101" s="18" t="s">
        <v>64</v>
      </c>
      <c r="G101" s="18" t="s">
        <v>135</v>
      </c>
      <c r="H101" s="34" t="s">
        <v>86</v>
      </c>
      <c r="I101" s="18" t="s">
        <v>104</v>
      </c>
      <c r="J101" s="31" t="s">
        <v>105</v>
      </c>
      <c r="K101" s="31">
        <v>46175</v>
      </c>
      <c r="L101" s="4"/>
      <c r="M101" s="4"/>
      <c r="N101" s="13" t="s">
        <v>29</v>
      </c>
      <c r="O101" s="35" t="str">
        <f>IF(D101="","",IF(COUNTIF(离职清单!C:C,D101)&gt;0,"已离职","在职"))</f>
        <v>在职</v>
      </c>
      <c r="P101" s="35" t="str">
        <f>IF(AND(O101="在职",J101="是"),COUNTIF(O$2:O101,"在职"),"")</f>
        <v/>
      </c>
    </row>
    <row r="102" customFormat="1" ht="18" spans="1:16">
      <c r="A102" s="14">
        <f t="shared" si="1"/>
        <v>101</v>
      </c>
      <c r="B102" s="31">
        <v>46175</v>
      </c>
      <c r="C102" s="32" t="s">
        <v>319</v>
      </c>
      <c r="D102" s="120" t="s">
        <v>320</v>
      </c>
      <c r="E102" s="33" t="s">
        <v>74</v>
      </c>
      <c r="F102" s="18" t="s">
        <v>64</v>
      </c>
      <c r="G102" s="18" t="s">
        <v>135</v>
      </c>
      <c r="H102" s="34" t="s">
        <v>86</v>
      </c>
      <c r="I102" s="18" t="s">
        <v>104</v>
      </c>
      <c r="J102" s="31" t="s">
        <v>105</v>
      </c>
      <c r="K102" s="31">
        <v>46175</v>
      </c>
      <c r="L102" s="4"/>
      <c r="M102" s="4"/>
      <c r="N102" s="13" t="s">
        <v>29</v>
      </c>
      <c r="O102" s="35" t="str">
        <f>IF(D102="","",IF(COUNTIF(离职清单!C:C,D102)&gt;0,"已离职","在职"))</f>
        <v>在职</v>
      </c>
      <c r="P102" s="35" t="str">
        <f>IF(AND(O102="在职",J102="是"),COUNTIF(O$2:O102,"在职"),"")</f>
        <v/>
      </c>
    </row>
    <row r="103" customFormat="1" ht="18" spans="1:16">
      <c r="A103" s="10">
        <f t="shared" si="1"/>
        <v>102</v>
      </c>
      <c r="B103" s="31">
        <v>46175</v>
      </c>
      <c r="C103" s="32" t="s">
        <v>321</v>
      </c>
      <c r="D103" s="120" t="s">
        <v>322</v>
      </c>
      <c r="E103" s="33" t="s">
        <v>74</v>
      </c>
      <c r="F103" s="18" t="s">
        <v>64</v>
      </c>
      <c r="G103" s="18" t="s">
        <v>135</v>
      </c>
      <c r="H103" s="34" t="s">
        <v>86</v>
      </c>
      <c r="I103" s="18" t="s">
        <v>104</v>
      </c>
      <c r="J103" s="31" t="s">
        <v>105</v>
      </c>
      <c r="K103" s="31">
        <v>46175</v>
      </c>
      <c r="L103" s="4"/>
      <c r="M103" s="4"/>
      <c r="N103" s="13" t="s">
        <v>29</v>
      </c>
      <c r="O103" s="35" t="str">
        <f>IF(D103="","",IF(COUNTIF(离职清单!C:C,D103)&gt;0,"已离职","在职"))</f>
        <v>在职</v>
      </c>
      <c r="P103" s="35" t="str">
        <f>IF(AND(O103="在职",J103="是"),COUNTIF(O$2:O103,"在职"),"")</f>
        <v/>
      </c>
    </row>
    <row r="104" customFormat="1" ht="18" spans="1:16">
      <c r="A104" s="14">
        <f t="shared" si="1"/>
        <v>103</v>
      </c>
      <c r="B104" s="31">
        <v>46175</v>
      </c>
      <c r="C104" s="32" t="s">
        <v>323</v>
      </c>
      <c r="D104" s="120" t="s">
        <v>324</v>
      </c>
      <c r="E104" s="33" t="s">
        <v>74</v>
      </c>
      <c r="F104" s="18" t="s">
        <v>64</v>
      </c>
      <c r="G104" s="18" t="s">
        <v>135</v>
      </c>
      <c r="H104" s="34" t="s">
        <v>86</v>
      </c>
      <c r="I104" s="18" t="s">
        <v>104</v>
      </c>
      <c r="J104" s="31" t="s">
        <v>105</v>
      </c>
      <c r="K104" s="31">
        <v>46175</v>
      </c>
      <c r="L104" s="4"/>
      <c r="M104" s="4"/>
      <c r="N104" s="13" t="s">
        <v>29</v>
      </c>
      <c r="O104" s="35" t="str">
        <f>IF(D104="","",IF(COUNTIF(离职清单!C:C,D104)&gt;0,"已离职","在职"))</f>
        <v>在职</v>
      </c>
      <c r="P104" s="35" t="str">
        <f>IF(AND(O104="在职",J104="是"),COUNTIF(O$2:O104,"在职"),"")</f>
        <v/>
      </c>
    </row>
    <row r="105" customFormat="1" ht="18" spans="1:16">
      <c r="A105" s="14">
        <f t="shared" si="1"/>
        <v>104</v>
      </c>
      <c r="B105" s="31">
        <v>46175</v>
      </c>
      <c r="C105" s="32" t="s">
        <v>325</v>
      </c>
      <c r="D105" s="120" t="s">
        <v>326</v>
      </c>
      <c r="E105" s="33" t="s">
        <v>74</v>
      </c>
      <c r="F105" s="18" t="s">
        <v>64</v>
      </c>
      <c r="G105" s="18" t="s">
        <v>135</v>
      </c>
      <c r="H105" s="34" t="s">
        <v>86</v>
      </c>
      <c r="I105" s="18" t="s">
        <v>111</v>
      </c>
      <c r="J105" s="31" t="s">
        <v>105</v>
      </c>
      <c r="K105" s="31">
        <v>46175</v>
      </c>
      <c r="L105" s="4"/>
      <c r="M105" s="4"/>
      <c r="N105" s="13" t="s">
        <v>29</v>
      </c>
      <c r="O105" s="35" t="str">
        <f>IF(D105="","",IF(COUNTIF(离职清单!C:C,D105)&gt;0,"已离职","在职"))</f>
        <v>在职</v>
      </c>
      <c r="P105" s="35" t="str">
        <f>IF(AND(O105="在职",J105="是"),COUNTIF(O$2:O105,"在职"),"")</f>
        <v/>
      </c>
    </row>
    <row r="106" customFormat="1" ht="18" spans="1:16">
      <c r="A106" s="10">
        <f t="shared" si="1"/>
        <v>105</v>
      </c>
      <c r="B106" s="31">
        <v>46175</v>
      </c>
      <c r="C106" s="32" t="s">
        <v>144</v>
      </c>
      <c r="D106" s="120" t="s">
        <v>327</v>
      </c>
      <c r="E106" s="33" t="s">
        <v>42</v>
      </c>
      <c r="F106" s="18" t="s">
        <v>64</v>
      </c>
      <c r="G106" s="18" t="s">
        <v>135</v>
      </c>
      <c r="H106" s="34" t="s">
        <v>86</v>
      </c>
      <c r="I106" s="18" t="s">
        <v>104</v>
      </c>
      <c r="J106" s="31" t="s">
        <v>105</v>
      </c>
      <c r="K106" s="31">
        <v>46175</v>
      </c>
      <c r="L106" s="4"/>
      <c r="M106" s="4"/>
      <c r="N106" s="13" t="s">
        <v>29</v>
      </c>
      <c r="O106" s="35" t="str">
        <f>IF(D106="","",IF(COUNTIF(离职清单!C:C,D106)&gt;0,"已离职","在职"))</f>
        <v>在职</v>
      </c>
      <c r="P106" s="35" t="str">
        <f>IF(AND(O106="在职",J106="是"),COUNTIF(O$2:O106,"在职"),"")</f>
        <v/>
      </c>
    </row>
    <row r="107" customFormat="1" ht="18" spans="1:16">
      <c r="A107" s="14">
        <f t="shared" si="1"/>
        <v>106</v>
      </c>
      <c r="B107" s="31">
        <v>46175</v>
      </c>
      <c r="C107" s="32" t="s">
        <v>328</v>
      </c>
      <c r="D107" s="120" t="s">
        <v>329</v>
      </c>
      <c r="E107" s="33" t="s">
        <v>43</v>
      </c>
      <c r="F107" s="18" t="s">
        <v>64</v>
      </c>
      <c r="G107" s="18" t="s">
        <v>135</v>
      </c>
      <c r="H107" s="34" t="s">
        <v>86</v>
      </c>
      <c r="I107" s="18" t="s">
        <v>111</v>
      </c>
      <c r="J107" s="31" t="s">
        <v>105</v>
      </c>
      <c r="K107" s="31">
        <v>46175</v>
      </c>
      <c r="L107" s="4"/>
      <c r="M107" s="4"/>
      <c r="N107" s="13" t="s">
        <v>29</v>
      </c>
      <c r="O107" s="35" t="str">
        <f>IF(D107="","",IF(COUNTIF(离职清单!C:C,D107)&gt;0,"已离职","在职"))</f>
        <v>在职</v>
      </c>
      <c r="P107" s="35" t="str">
        <f>IF(AND(O107="在职",J107="是"),COUNTIF(O$2:O107,"在职"),"")</f>
        <v/>
      </c>
    </row>
    <row r="108" customFormat="1" ht="18" spans="1:16">
      <c r="A108" s="10">
        <f t="shared" si="1"/>
        <v>107</v>
      </c>
      <c r="B108" s="31">
        <v>46175</v>
      </c>
      <c r="C108" s="32" t="s">
        <v>330</v>
      </c>
      <c r="D108" s="120" t="s">
        <v>331</v>
      </c>
      <c r="E108" s="33" t="s">
        <v>42</v>
      </c>
      <c r="F108" s="18" t="s">
        <v>64</v>
      </c>
      <c r="G108" s="18" t="s">
        <v>332</v>
      </c>
      <c r="H108" s="34" t="s">
        <v>86</v>
      </c>
      <c r="I108" s="18" t="s">
        <v>111</v>
      </c>
      <c r="J108" s="31" t="s">
        <v>105</v>
      </c>
      <c r="K108" s="31">
        <v>46175</v>
      </c>
      <c r="L108" s="4"/>
      <c r="M108" s="4"/>
      <c r="N108" s="13" t="s">
        <v>29</v>
      </c>
      <c r="O108" s="35" t="str">
        <f>IF(D108="","",IF(COUNTIF(离职清单!C:C,D108)&gt;0,"已离职","在职"))</f>
        <v>在职</v>
      </c>
      <c r="P108" s="35" t="str">
        <f>IF(AND(O108="在职",J108="是"),COUNTIF(O$2:O108,"在职"),"")</f>
        <v/>
      </c>
    </row>
    <row r="109" customFormat="1" ht="18" spans="1:16">
      <c r="A109" s="10">
        <f t="shared" si="1"/>
        <v>108</v>
      </c>
      <c r="B109" s="31">
        <v>46175</v>
      </c>
      <c r="C109" s="32" t="s">
        <v>333</v>
      </c>
      <c r="D109" s="120" t="s">
        <v>334</v>
      </c>
      <c r="E109" s="33" t="s">
        <v>74</v>
      </c>
      <c r="F109" s="18" t="s">
        <v>64</v>
      </c>
      <c r="G109" s="18" t="s">
        <v>148</v>
      </c>
      <c r="H109" s="34" t="s">
        <v>86</v>
      </c>
      <c r="I109" s="18" t="s">
        <v>111</v>
      </c>
      <c r="J109" s="31" t="s">
        <v>105</v>
      </c>
      <c r="K109" s="31">
        <v>46175</v>
      </c>
      <c r="L109" s="4"/>
      <c r="M109" s="4"/>
      <c r="N109" s="13" t="s">
        <v>29</v>
      </c>
      <c r="O109" s="35" t="str">
        <f>IF(D109="","",IF(COUNTIF(离职清单!C:C,D109)&gt;0,"已离职","在职"))</f>
        <v>在职</v>
      </c>
      <c r="P109" s="35" t="str">
        <f>IF(AND(O109="在职",J109="是"),COUNTIF(O$2:O109,"在职"),"")</f>
        <v/>
      </c>
    </row>
    <row r="110" customFormat="1" ht="18" spans="1:16">
      <c r="A110" s="14">
        <f t="shared" si="1"/>
        <v>109</v>
      </c>
      <c r="B110" s="31">
        <v>46175</v>
      </c>
      <c r="C110" s="32" t="s">
        <v>335</v>
      </c>
      <c r="D110" s="120" t="s">
        <v>336</v>
      </c>
      <c r="E110" s="33" t="s">
        <v>74</v>
      </c>
      <c r="F110" s="18" t="s">
        <v>64</v>
      </c>
      <c r="G110" s="18" t="s">
        <v>148</v>
      </c>
      <c r="H110" s="34" t="s">
        <v>86</v>
      </c>
      <c r="I110" s="18" t="s">
        <v>111</v>
      </c>
      <c r="J110" s="31" t="s">
        <v>105</v>
      </c>
      <c r="K110" s="31">
        <v>46175</v>
      </c>
      <c r="L110" s="4"/>
      <c r="M110" s="4"/>
      <c r="N110" s="13" t="s">
        <v>29</v>
      </c>
      <c r="O110" s="35" t="str">
        <f>IF(D110="","",IF(COUNTIF(离职清单!C:C,D110)&gt;0,"已离职","在职"))</f>
        <v>在职</v>
      </c>
      <c r="P110" s="35" t="str">
        <f>IF(AND(O110="在职",J110="是"),COUNTIF(O$2:O110,"在职"),"")</f>
        <v/>
      </c>
    </row>
    <row r="111" customFormat="1" ht="18" spans="1:16">
      <c r="A111" s="14">
        <f t="shared" ref="A111:A174" si="2">IF(B111&lt;&gt;"",ROW()-1,"")</f>
        <v>110</v>
      </c>
      <c r="B111" s="31">
        <v>46175</v>
      </c>
      <c r="C111" s="32" t="s">
        <v>337</v>
      </c>
      <c r="D111" s="120" t="s">
        <v>338</v>
      </c>
      <c r="E111" s="33" t="s">
        <v>74</v>
      </c>
      <c r="F111" s="18" t="s">
        <v>64</v>
      </c>
      <c r="G111" s="18" t="s">
        <v>148</v>
      </c>
      <c r="H111" s="34" t="s">
        <v>86</v>
      </c>
      <c r="I111" s="18" t="s">
        <v>104</v>
      </c>
      <c r="J111" s="31" t="s">
        <v>105</v>
      </c>
      <c r="K111" s="31">
        <v>46175</v>
      </c>
      <c r="L111" s="4"/>
      <c r="M111" s="4"/>
      <c r="N111" s="13" t="s">
        <v>29</v>
      </c>
      <c r="O111" s="35" t="str">
        <f>IF(D111="","",IF(COUNTIF(离职清单!C:C,D111)&gt;0,"已离职","在职"))</f>
        <v>在职</v>
      </c>
      <c r="P111" s="35" t="str">
        <f>IF(AND(O111="在职",J111="是"),COUNTIF(O$2:O111,"在职"),"")</f>
        <v/>
      </c>
    </row>
    <row r="112" customFormat="1" ht="18" spans="1:16">
      <c r="A112" s="10">
        <f t="shared" si="2"/>
        <v>111</v>
      </c>
      <c r="B112" s="31">
        <v>46175</v>
      </c>
      <c r="C112" s="32" t="s">
        <v>339</v>
      </c>
      <c r="D112" s="120" t="s">
        <v>340</v>
      </c>
      <c r="E112" s="33" t="s">
        <v>74</v>
      </c>
      <c r="F112" s="18" t="s">
        <v>64</v>
      </c>
      <c r="G112" s="18" t="s">
        <v>148</v>
      </c>
      <c r="H112" s="34" t="s">
        <v>86</v>
      </c>
      <c r="I112" s="18" t="s">
        <v>111</v>
      </c>
      <c r="J112" s="31" t="s">
        <v>105</v>
      </c>
      <c r="K112" s="31">
        <v>46175</v>
      </c>
      <c r="L112" s="4"/>
      <c r="M112" s="4"/>
      <c r="N112" s="13" t="s">
        <v>29</v>
      </c>
      <c r="O112" s="35" t="str">
        <f>IF(D112="","",IF(COUNTIF(离职清单!C:C,D112)&gt;0,"已离职","在职"))</f>
        <v>在职</v>
      </c>
      <c r="P112" s="35" t="str">
        <f>IF(AND(O112="在职",J112="是"),COUNTIF(O$2:O112,"在职"),"")</f>
        <v/>
      </c>
    </row>
    <row r="113" customFormat="1" ht="18" spans="1:16">
      <c r="A113" s="14">
        <f t="shared" si="2"/>
        <v>112</v>
      </c>
      <c r="B113" s="31">
        <v>46175</v>
      </c>
      <c r="C113" s="32" t="s">
        <v>341</v>
      </c>
      <c r="D113" s="120" t="s">
        <v>342</v>
      </c>
      <c r="E113" s="33" t="s">
        <v>74</v>
      </c>
      <c r="F113" s="18" t="s">
        <v>64</v>
      </c>
      <c r="G113" s="18" t="s">
        <v>148</v>
      </c>
      <c r="H113" s="34" t="s">
        <v>86</v>
      </c>
      <c r="I113" s="18" t="s">
        <v>104</v>
      </c>
      <c r="J113" s="31" t="s">
        <v>105</v>
      </c>
      <c r="K113" s="31">
        <v>46175</v>
      </c>
      <c r="L113" s="4"/>
      <c r="M113" s="4"/>
      <c r="N113" s="13" t="s">
        <v>29</v>
      </c>
      <c r="O113" s="35" t="str">
        <f>IF(D113="","",IF(COUNTIF(离职清单!C:C,D113)&gt;0,"已离职","在职"))</f>
        <v>在职</v>
      </c>
      <c r="P113" s="35" t="str">
        <f>IF(AND(O113="在职",J113="是"),COUNTIF(O$2:O113,"在职"),"")</f>
        <v/>
      </c>
    </row>
    <row r="114" customFormat="1" ht="18" spans="1:16">
      <c r="A114" s="10">
        <f t="shared" si="2"/>
        <v>113</v>
      </c>
      <c r="B114" s="31">
        <v>46175</v>
      </c>
      <c r="C114" s="32" t="s">
        <v>343</v>
      </c>
      <c r="D114" s="120" t="s">
        <v>344</v>
      </c>
      <c r="E114" s="33" t="s">
        <v>74</v>
      </c>
      <c r="F114" s="18" t="s">
        <v>64</v>
      </c>
      <c r="G114" s="18" t="s">
        <v>148</v>
      </c>
      <c r="H114" s="34" t="s">
        <v>86</v>
      </c>
      <c r="I114" s="18" t="s">
        <v>104</v>
      </c>
      <c r="J114" s="31" t="s">
        <v>114</v>
      </c>
      <c r="K114" s="31">
        <v>46175</v>
      </c>
      <c r="L114" s="4"/>
      <c r="M114" s="4"/>
      <c r="N114" s="13" t="s">
        <v>29</v>
      </c>
      <c r="O114" s="35" t="str">
        <f>IF(D114="","",IF(COUNTIF(离职清单!C:C,D114)&gt;0,"已离职","在职"))</f>
        <v>在职</v>
      </c>
      <c r="P114" s="35">
        <f>IF(AND(O114="在职",J114="是"),COUNTIF(O$2:O114,"在职"),"")</f>
        <v>107</v>
      </c>
    </row>
    <row r="115" customFormat="1" ht="18" spans="1:16">
      <c r="A115" s="14">
        <f t="shared" si="2"/>
        <v>114</v>
      </c>
      <c r="B115" s="31">
        <v>46175</v>
      </c>
      <c r="C115" s="32" t="s">
        <v>345</v>
      </c>
      <c r="D115" s="120" t="s">
        <v>346</v>
      </c>
      <c r="E115" s="33" t="s">
        <v>74</v>
      </c>
      <c r="F115" s="18" t="s">
        <v>64</v>
      </c>
      <c r="G115" s="18" t="s">
        <v>148</v>
      </c>
      <c r="H115" s="34" t="s">
        <v>86</v>
      </c>
      <c r="I115" s="18" t="s">
        <v>111</v>
      </c>
      <c r="J115" s="31" t="s">
        <v>105</v>
      </c>
      <c r="K115" s="31">
        <v>46175</v>
      </c>
      <c r="L115" s="4"/>
      <c r="M115" s="4"/>
      <c r="N115" s="13" t="s">
        <v>29</v>
      </c>
      <c r="O115" s="35" t="str">
        <f>IF(D115="","",IF(COUNTIF(离职清单!C:C,D115)&gt;0,"已离职","在职"))</f>
        <v>在职</v>
      </c>
      <c r="P115" s="35" t="str">
        <f>IF(AND(O115="在职",J115="是"),COUNTIF(O$2:O115,"在职"),"")</f>
        <v/>
      </c>
    </row>
    <row r="116" customFormat="1" ht="18" spans="1:16">
      <c r="A116" s="10">
        <f t="shared" si="2"/>
        <v>115</v>
      </c>
      <c r="B116" s="31">
        <v>46175</v>
      </c>
      <c r="C116" s="32" t="s">
        <v>347</v>
      </c>
      <c r="D116" s="120" t="s">
        <v>348</v>
      </c>
      <c r="E116" s="33" t="s">
        <v>42</v>
      </c>
      <c r="F116" s="18" t="s">
        <v>64</v>
      </c>
      <c r="G116" s="18" t="s">
        <v>148</v>
      </c>
      <c r="H116" s="34" t="s">
        <v>86</v>
      </c>
      <c r="I116" s="18" t="s">
        <v>104</v>
      </c>
      <c r="J116" s="31" t="s">
        <v>114</v>
      </c>
      <c r="K116" s="31">
        <v>46175</v>
      </c>
      <c r="L116" s="4"/>
      <c r="M116" s="4"/>
      <c r="N116" s="13" t="s">
        <v>29</v>
      </c>
      <c r="O116" s="35" t="str">
        <f>IF(D116="","",IF(COUNTIF(离职清单!C:C,D116)&gt;0,"已离职","在职"))</f>
        <v>在职</v>
      </c>
      <c r="P116" s="35">
        <f>IF(AND(O116="在职",J116="是"),COUNTIF(O$2:O116,"在职"),"")</f>
        <v>109</v>
      </c>
    </row>
    <row r="117" customFormat="1" ht="18" spans="1:16">
      <c r="A117" s="14">
        <f t="shared" si="2"/>
        <v>116</v>
      </c>
      <c r="B117" s="31">
        <v>46175</v>
      </c>
      <c r="C117" s="32" t="s">
        <v>349</v>
      </c>
      <c r="D117" s="120" t="s">
        <v>350</v>
      </c>
      <c r="E117" s="33" t="s">
        <v>42</v>
      </c>
      <c r="F117" s="18" t="s">
        <v>64</v>
      </c>
      <c r="G117" s="18" t="s">
        <v>148</v>
      </c>
      <c r="H117" s="34" t="s">
        <v>86</v>
      </c>
      <c r="I117" s="18" t="s">
        <v>111</v>
      </c>
      <c r="J117" s="31" t="s">
        <v>105</v>
      </c>
      <c r="K117" s="31">
        <v>46175</v>
      </c>
      <c r="L117" s="4"/>
      <c r="M117" s="4"/>
      <c r="N117" s="13" t="s">
        <v>29</v>
      </c>
      <c r="O117" s="35" t="str">
        <f>IF(D117="","",IF(COUNTIF(离职清单!C:C,D117)&gt;0,"已离职","在职"))</f>
        <v>在职</v>
      </c>
      <c r="P117" s="35" t="str">
        <f>IF(AND(O117="在职",J117="是"),COUNTIF(O$2:O117,"在职"),"")</f>
        <v/>
      </c>
    </row>
    <row r="118" customFormat="1" ht="18" spans="1:16">
      <c r="A118" s="10">
        <f t="shared" si="2"/>
        <v>117</v>
      </c>
      <c r="B118" s="31">
        <v>46175</v>
      </c>
      <c r="C118" s="32" t="s">
        <v>351</v>
      </c>
      <c r="D118" s="120" t="s">
        <v>352</v>
      </c>
      <c r="E118" s="33" t="s">
        <v>42</v>
      </c>
      <c r="F118" s="18" t="s">
        <v>64</v>
      </c>
      <c r="G118" s="18" t="s">
        <v>148</v>
      </c>
      <c r="H118" s="34" t="s">
        <v>86</v>
      </c>
      <c r="I118" s="18" t="s">
        <v>104</v>
      </c>
      <c r="J118" s="31" t="s">
        <v>105</v>
      </c>
      <c r="K118" s="31">
        <v>46175</v>
      </c>
      <c r="L118" s="4"/>
      <c r="M118" s="4"/>
      <c r="N118" s="13" t="s">
        <v>29</v>
      </c>
      <c r="O118" s="35" t="str">
        <f>IF(D118="","",IF(COUNTIF(离职清单!C:C,D118)&gt;0,"已离职","在职"))</f>
        <v>在职</v>
      </c>
      <c r="P118" s="35" t="str">
        <f>IF(AND(O118="在职",J118="是"),COUNTIF(O$2:O118,"在职"),"")</f>
        <v/>
      </c>
    </row>
    <row r="119" customFormat="1" ht="18" spans="1:16">
      <c r="A119" s="14">
        <f t="shared" si="2"/>
        <v>118</v>
      </c>
      <c r="B119" s="31">
        <v>46175</v>
      </c>
      <c r="C119" s="32" t="s">
        <v>353</v>
      </c>
      <c r="D119" s="120" t="s">
        <v>354</v>
      </c>
      <c r="E119" s="33" t="s">
        <v>42</v>
      </c>
      <c r="F119" s="18" t="s">
        <v>64</v>
      </c>
      <c r="G119" s="18" t="s">
        <v>148</v>
      </c>
      <c r="H119" s="34" t="s">
        <v>86</v>
      </c>
      <c r="I119" s="18" t="s">
        <v>104</v>
      </c>
      <c r="J119" s="31" t="s">
        <v>114</v>
      </c>
      <c r="K119" s="31">
        <v>46175</v>
      </c>
      <c r="L119" s="4"/>
      <c r="M119" s="4"/>
      <c r="N119" s="13" t="s">
        <v>29</v>
      </c>
      <c r="O119" s="35" t="str">
        <f>IF(D119="","",IF(COUNTIF(离职清单!C:C,D119)&gt;0,"已离职","在职"))</f>
        <v>在职</v>
      </c>
      <c r="P119" s="35">
        <f>IF(AND(O119="在职",J119="是"),COUNTIF(O$2:O119,"在职"),"")</f>
        <v>112</v>
      </c>
    </row>
    <row r="120" customFormat="1" ht="18" spans="1:16">
      <c r="A120" s="10">
        <f t="shared" si="2"/>
        <v>119</v>
      </c>
      <c r="B120" s="31">
        <v>46175</v>
      </c>
      <c r="C120" s="32" t="s">
        <v>355</v>
      </c>
      <c r="D120" s="120" t="s">
        <v>356</v>
      </c>
      <c r="E120" s="33" t="s">
        <v>42</v>
      </c>
      <c r="F120" s="18" t="s">
        <v>64</v>
      </c>
      <c r="G120" s="18" t="s">
        <v>307</v>
      </c>
      <c r="H120" s="34" t="s">
        <v>86</v>
      </c>
      <c r="I120" s="18" t="s">
        <v>104</v>
      </c>
      <c r="J120" s="31" t="s">
        <v>105</v>
      </c>
      <c r="K120" s="31">
        <v>46175</v>
      </c>
      <c r="L120" s="4"/>
      <c r="M120" s="4"/>
      <c r="N120" s="13" t="s">
        <v>29</v>
      </c>
      <c r="O120" s="35" t="str">
        <f>IF(D120="","",IF(COUNTIF(离职清单!C:C,D120)&gt;0,"已离职","在职"))</f>
        <v>在职</v>
      </c>
      <c r="P120" s="35" t="str">
        <f>IF(AND(O120="在职",J120="是"),COUNTIF(O$2:O120,"在职"),"")</f>
        <v/>
      </c>
    </row>
    <row r="121" customFormat="1" ht="18" spans="1:16">
      <c r="A121" s="14">
        <f t="shared" si="2"/>
        <v>120</v>
      </c>
      <c r="B121" s="31">
        <v>46175</v>
      </c>
      <c r="C121" s="32" t="s">
        <v>357</v>
      </c>
      <c r="D121" s="120" t="s">
        <v>358</v>
      </c>
      <c r="E121" s="33" t="s">
        <v>43</v>
      </c>
      <c r="F121" s="18" t="s">
        <v>62</v>
      </c>
      <c r="G121" s="18" t="s">
        <v>359</v>
      </c>
      <c r="H121" s="34" t="s">
        <v>86</v>
      </c>
      <c r="I121" s="18" t="s">
        <v>104</v>
      </c>
      <c r="J121" s="31" t="s">
        <v>105</v>
      </c>
      <c r="K121" s="31">
        <v>46175</v>
      </c>
      <c r="L121" s="4"/>
      <c r="M121" s="4"/>
      <c r="N121" s="13" t="s">
        <v>29</v>
      </c>
      <c r="O121" s="35" t="str">
        <f>IF(D121="","",IF(COUNTIF(离职清单!C:C,D121)&gt;0,"已离职","在职"))</f>
        <v>在职</v>
      </c>
      <c r="P121" s="35" t="str">
        <f>IF(AND(O121="在职",J121="是"),COUNTIF(O$2:O121,"在职"),"")</f>
        <v/>
      </c>
    </row>
    <row r="122" customFormat="1" ht="18" spans="1:16">
      <c r="A122" s="10">
        <f t="shared" si="2"/>
        <v>121</v>
      </c>
      <c r="B122" s="31">
        <v>46175</v>
      </c>
      <c r="C122" s="32" t="s">
        <v>360</v>
      </c>
      <c r="D122" s="120" t="s">
        <v>361</v>
      </c>
      <c r="E122" s="33" t="s">
        <v>43</v>
      </c>
      <c r="F122" s="18" t="s">
        <v>63</v>
      </c>
      <c r="G122" s="18" t="s">
        <v>179</v>
      </c>
      <c r="H122" s="34" t="s">
        <v>86</v>
      </c>
      <c r="I122" s="18" t="s">
        <v>104</v>
      </c>
      <c r="J122" s="31" t="s">
        <v>105</v>
      </c>
      <c r="K122" s="31">
        <v>46175</v>
      </c>
      <c r="L122" s="4"/>
      <c r="M122" s="4"/>
      <c r="N122" s="13" t="s">
        <v>29</v>
      </c>
      <c r="O122" s="35" t="str">
        <f>IF(D122="","",IF(COUNTIF(离职清单!C:C,D122)&gt;0,"已离职","在职"))</f>
        <v>在职</v>
      </c>
      <c r="P122" s="35" t="str">
        <f>IF(AND(O122="在职",J122="是"),COUNTIF(O$2:O122,"在职"),"")</f>
        <v/>
      </c>
    </row>
    <row r="123" customFormat="1" ht="18" spans="1:16">
      <c r="A123" s="14">
        <f t="shared" si="2"/>
        <v>122</v>
      </c>
      <c r="B123" s="31">
        <v>46175</v>
      </c>
      <c r="C123" s="32" t="s">
        <v>362</v>
      </c>
      <c r="D123" s="120" t="s">
        <v>363</v>
      </c>
      <c r="E123" s="33" t="s">
        <v>43</v>
      </c>
      <c r="F123" s="18" t="s">
        <v>64</v>
      </c>
      <c r="G123" s="18" t="s">
        <v>179</v>
      </c>
      <c r="H123" s="34" t="s">
        <v>86</v>
      </c>
      <c r="I123" s="18" t="s">
        <v>104</v>
      </c>
      <c r="J123" s="31" t="s">
        <v>105</v>
      </c>
      <c r="K123" s="31">
        <v>46175</v>
      </c>
      <c r="L123" s="4"/>
      <c r="M123" s="4"/>
      <c r="N123" s="13" t="s">
        <v>29</v>
      </c>
      <c r="O123" s="35" t="str">
        <f>IF(D123="","",IF(COUNTIF(离职清单!C:C,D123)&gt;0,"已离职","在职"))</f>
        <v>在职</v>
      </c>
      <c r="P123" s="35" t="str">
        <f>IF(AND(O123="在职",J123="是"),COUNTIF(O$2:O123,"在职"),"")</f>
        <v/>
      </c>
    </row>
    <row r="124" customFormat="1" ht="18" spans="1:16">
      <c r="A124" s="10">
        <f t="shared" si="2"/>
        <v>123</v>
      </c>
      <c r="B124" s="31">
        <v>46175</v>
      </c>
      <c r="C124" s="32" t="s">
        <v>364</v>
      </c>
      <c r="D124" s="120" t="s">
        <v>365</v>
      </c>
      <c r="E124" s="33" t="s">
        <v>43</v>
      </c>
      <c r="F124" s="18" t="s">
        <v>64</v>
      </c>
      <c r="G124" s="18" t="s">
        <v>179</v>
      </c>
      <c r="H124" s="34" t="s">
        <v>86</v>
      </c>
      <c r="I124" s="18" t="s">
        <v>104</v>
      </c>
      <c r="J124" s="31" t="s">
        <v>105</v>
      </c>
      <c r="K124" s="31">
        <v>46175</v>
      </c>
      <c r="L124" s="4"/>
      <c r="M124" s="4"/>
      <c r="N124" s="13" t="s">
        <v>29</v>
      </c>
      <c r="O124" s="35" t="str">
        <f>IF(D124="","",IF(COUNTIF(离职清单!C:C,D124)&gt;0,"已离职","在职"))</f>
        <v>在职</v>
      </c>
      <c r="P124" s="35" t="str">
        <f>IF(AND(O124="在职",J124="是"),COUNTIF(O$2:O124,"在职"),"")</f>
        <v/>
      </c>
    </row>
    <row r="125" customFormat="1" ht="18" spans="1:16">
      <c r="A125" s="14">
        <f t="shared" si="2"/>
        <v>124</v>
      </c>
      <c r="B125" s="31">
        <v>46175</v>
      </c>
      <c r="C125" s="32" t="s">
        <v>197</v>
      </c>
      <c r="D125" s="120" t="s">
        <v>366</v>
      </c>
      <c r="E125" s="33" t="s">
        <v>43</v>
      </c>
      <c r="F125" s="18" t="s">
        <v>64</v>
      </c>
      <c r="G125" s="18" t="s">
        <v>179</v>
      </c>
      <c r="H125" s="34" t="s">
        <v>86</v>
      </c>
      <c r="I125" s="18" t="s">
        <v>111</v>
      </c>
      <c r="J125" s="31" t="s">
        <v>105</v>
      </c>
      <c r="K125" s="31">
        <v>46175</v>
      </c>
      <c r="L125" s="4"/>
      <c r="M125" s="4"/>
      <c r="N125" s="13" t="s">
        <v>29</v>
      </c>
      <c r="O125" s="35" t="str">
        <f>IF(D125="","",IF(COUNTIF(离职清单!C:C,D125)&gt;0,"已离职","在职"))</f>
        <v>在职</v>
      </c>
      <c r="P125" s="35" t="str">
        <f>IF(AND(O125="在职",J125="是"),COUNTIF(O$2:O125,"在职"),"")</f>
        <v/>
      </c>
    </row>
    <row r="126" customFormat="1" ht="18" spans="1:16">
      <c r="A126" s="10">
        <f t="shared" si="2"/>
        <v>125</v>
      </c>
      <c r="B126" s="31">
        <v>46175</v>
      </c>
      <c r="C126" s="32" t="s">
        <v>367</v>
      </c>
      <c r="D126" s="120" t="s">
        <v>368</v>
      </c>
      <c r="E126" s="33" t="s">
        <v>43</v>
      </c>
      <c r="F126" s="18" t="s">
        <v>64</v>
      </c>
      <c r="G126" s="18" t="s">
        <v>179</v>
      </c>
      <c r="H126" s="34" t="s">
        <v>86</v>
      </c>
      <c r="I126" s="18" t="s">
        <v>111</v>
      </c>
      <c r="J126" s="31" t="s">
        <v>105</v>
      </c>
      <c r="K126" s="31">
        <v>46175</v>
      </c>
      <c r="L126" s="4"/>
      <c r="M126" s="4"/>
      <c r="N126" s="13" t="s">
        <v>29</v>
      </c>
      <c r="O126" s="35" t="str">
        <f>IF(D126="","",IF(COUNTIF(离职清单!C:C,D126)&gt;0,"已离职","在职"))</f>
        <v>在职</v>
      </c>
      <c r="P126" s="35" t="str">
        <f>IF(AND(O126="在职",J126="是"),COUNTIF(O$2:O126,"在职"),"")</f>
        <v/>
      </c>
    </row>
    <row r="127" customFormat="1" ht="18" spans="1:16">
      <c r="A127" s="14">
        <f t="shared" si="2"/>
        <v>126</v>
      </c>
      <c r="B127" s="31">
        <v>46175</v>
      </c>
      <c r="C127" s="32" t="s">
        <v>369</v>
      </c>
      <c r="D127" s="120" t="s">
        <v>370</v>
      </c>
      <c r="E127" s="33" t="s">
        <v>74</v>
      </c>
      <c r="F127" s="18" t="s">
        <v>64</v>
      </c>
      <c r="G127" s="18" t="s">
        <v>179</v>
      </c>
      <c r="H127" s="34" t="s">
        <v>86</v>
      </c>
      <c r="I127" s="18" t="s">
        <v>111</v>
      </c>
      <c r="J127" s="31" t="s">
        <v>105</v>
      </c>
      <c r="K127" s="31">
        <v>46175</v>
      </c>
      <c r="L127" s="4"/>
      <c r="M127" s="4"/>
      <c r="N127" s="13" t="s">
        <v>29</v>
      </c>
      <c r="O127" s="35" t="str">
        <f>IF(D127="","",IF(COUNTIF(离职清单!C:C,D127)&gt;0,"已离职","在职"))</f>
        <v>在职</v>
      </c>
      <c r="P127" s="35" t="str">
        <f>IF(AND(O127="在职",J127="是"),COUNTIF(O$2:O127,"在职"),"")</f>
        <v/>
      </c>
    </row>
    <row r="128" customFormat="1" ht="18" spans="1:16">
      <c r="A128" s="10">
        <f t="shared" si="2"/>
        <v>127</v>
      </c>
      <c r="B128" s="31">
        <v>46175</v>
      </c>
      <c r="C128" s="32" t="s">
        <v>371</v>
      </c>
      <c r="D128" s="120" t="s">
        <v>372</v>
      </c>
      <c r="E128" s="33" t="s">
        <v>74</v>
      </c>
      <c r="F128" s="18" t="s">
        <v>64</v>
      </c>
      <c r="G128" s="18" t="s">
        <v>179</v>
      </c>
      <c r="H128" s="34" t="s">
        <v>86</v>
      </c>
      <c r="I128" s="18" t="s">
        <v>104</v>
      </c>
      <c r="J128" s="31" t="s">
        <v>105</v>
      </c>
      <c r="K128" s="31">
        <v>46175</v>
      </c>
      <c r="L128" s="4"/>
      <c r="M128" s="4"/>
      <c r="N128" s="13" t="s">
        <v>29</v>
      </c>
      <c r="O128" s="35" t="str">
        <f>IF(D128="","",IF(COUNTIF(离职清单!C:C,D128)&gt;0,"已离职","在职"))</f>
        <v>在职</v>
      </c>
      <c r="P128" s="35" t="str">
        <f>IF(AND(O128="在职",J128="是"),COUNTIF(O$2:O128,"在职"),"")</f>
        <v/>
      </c>
    </row>
    <row r="129" customFormat="1" ht="18" spans="1:16">
      <c r="A129" s="14">
        <f t="shared" si="2"/>
        <v>128</v>
      </c>
      <c r="B129" s="31">
        <v>46175</v>
      </c>
      <c r="C129" s="32" t="s">
        <v>242</v>
      </c>
      <c r="D129" s="120" t="s">
        <v>373</v>
      </c>
      <c r="E129" s="33" t="s">
        <v>42</v>
      </c>
      <c r="F129" s="18" t="s">
        <v>64</v>
      </c>
      <c r="G129" s="18" t="s">
        <v>179</v>
      </c>
      <c r="H129" s="34" t="s">
        <v>86</v>
      </c>
      <c r="I129" s="18" t="s">
        <v>104</v>
      </c>
      <c r="J129" s="31" t="s">
        <v>105</v>
      </c>
      <c r="K129" s="31">
        <v>46175</v>
      </c>
      <c r="L129" s="4"/>
      <c r="M129" s="4"/>
      <c r="N129" s="13" t="s">
        <v>29</v>
      </c>
      <c r="O129" s="35" t="str">
        <f>IF(D129="","",IF(COUNTIF(离职清单!C:C,D129)&gt;0,"已离职","在职"))</f>
        <v>在职</v>
      </c>
      <c r="P129" s="35" t="str">
        <f>IF(AND(O129="在职",J129="是"),COUNTIF(O$2:O129,"在职"),"")</f>
        <v/>
      </c>
    </row>
    <row r="130" customFormat="1" ht="18" spans="1:16">
      <c r="A130" s="10">
        <f t="shared" si="2"/>
        <v>129</v>
      </c>
      <c r="B130" s="31">
        <v>46175</v>
      </c>
      <c r="C130" s="32" t="s">
        <v>374</v>
      </c>
      <c r="D130" s="120" t="s">
        <v>375</v>
      </c>
      <c r="E130" s="33" t="s">
        <v>42</v>
      </c>
      <c r="F130" s="18" t="s">
        <v>64</v>
      </c>
      <c r="G130" s="18" t="s">
        <v>179</v>
      </c>
      <c r="H130" s="34" t="s">
        <v>86</v>
      </c>
      <c r="I130" s="18" t="s">
        <v>104</v>
      </c>
      <c r="J130" s="31" t="s">
        <v>105</v>
      </c>
      <c r="K130" s="31">
        <v>46175</v>
      </c>
      <c r="L130" s="4"/>
      <c r="M130" s="4"/>
      <c r="N130" s="13" t="s">
        <v>29</v>
      </c>
      <c r="O130" s="35" t="str">
        <f>IF(D130="","",IF(COUNTIF(离职清单!C:C,D130)&gt;0,"已离职","在职"))</f>
        <v>在职</v>
      </c>
      <c r="P130" s="35" t="str">
        <f>IF(AND(O130="在职",J130="是"),COUNTIF(O$2:O130,"在职"),"")</f>
        <v/>
      </c>
    </row>
    <row r="131" customFormat="1" ht="18" spans="1:16">
      <c r="A131" s="14">
        <f t="shared" si="2"/>
        <v>130</v>
      </c>
      <c r="B131" s="31">
        <v>46175</v>
      </c>
      <c r="C131" s="32" t="s">
        <v>376</v>
      </c>
      <c r="D131" s="120" t="s">
        <v>377</v>
      </c>
      <c r="E131" s="33" t="s">
        <v>43</v>
      </c>
      <c r="F131" s="18" t="s">
        <v>64</v>
      </c>
      <c r="G131" s="18" t="s">
        <v>179</v>
      </c>
      <c r="H131" s="34" t="s">
        <v>86</v>
      </c>
      <c r="I131" s="18" t="s">
        <v>104</v>
      </c>
      <c r="J131" s="31" t="s">
        <v>114</v>
      </c>
      <c r="K131" s="31">
        <v>46175</v>
      </c>
      <c r="L131" s="4"/>
      <c r="M131" s="4"/>
      <c r="N131" s="13" t="s">
        <v>29</v>
      </c>
      <c r="O131" s="35" t="str">
        <f>IF(D131="","",IF(COUNTIF(离职清单!C:C,D131)&gt;0,"已离职","在职"))</f>
        <v>在职</v>
      </c>
      <c r="P131" s="35">
        <f>IF(AND(O131="在职",J131="是"),COUNTIF(O$2:O131,"在职"),"")</f>
        <v>124</v>
      </c>
    </row>
    <row r="132" customFormat="1" ht="18" spans="1:16">
      <c r="A132" s="10">
        <f t="shared" si="2"/>
        <v>131</v>
      </c>
      <c r="B132" s="31">
        <v>46175</v>
      </c>
      <c r="C132" s="32" t="s">
        <v>378</v>
      </c>
      <c r="D132" s="120" t="s">
        <v>379</v>
      </c>
      <c r="E132" s="33" t="s">
        <v>74</v>
      </c>
      <c r="F132" s="18" t="s">
        <v>64</v>
      </c>
      <c r="G132" s="18" t="s">
        <v>179</v>
      </c>
      <c r="H132" s="34" t="s">
        <v>86</v>
      </c>
      <c r="I132" s="18" t="s">
        <v>111</v>
      </c>
      <c r="J132" s="31" t="s">
        <v>105</v>
      </c>
      <c r="K132" s="31">
        <v>46175</v>
      </c>
      <c r="L132" s="4"/>
      <c r="M132" s="4"/>
      <c r="N132" s="13" t="s">
        <v>29</v>
      </c>
      <c r="O132" s="35" t="str">
        <f>IF(D132="","",IF(COUNTIF(离职清单!C:C,D132)&gt;0,"已离职","在职"))</f>
        <v>在职</v>
      </c>
      <c r="P132" s="35" t="str">
        <f>IF(AND(O132="在职",J132="是"),COUNTIF(O$2:O132,"在职"),"")</f>
        <v/>
      </c>
    </row>
    <row r="133" customFormat="1" ht="18" spans="1:16">
      <c r="A133" s="14">
        <f t="shared" si="2"/>
        <v>132</v>
      </c>
      <c r="B133" s="31">
        <v>46175</v>
      </c>
      <c r="C133" s="32" t="s">
        <v>380</v>
      </c>
      <c r="D133" s="120" t="s">
        <v>381</v>
      </c>
      <c r="E133" s="33" t="s">
        <v>74</v>
      </c>
      <c r="F133" s="18" t="s">
        <v>64</v>
      </c>
      <c r="G133" s="18" t="s">
        <v>179</v>
      </c>
      <c r="H133" s="34" t="s">
        <v>86</v>
      </c>
      <c r="I133" s="18" t="s">
        <v>111</v>
      </c>
      <c r="J133" s="31" t="s">
        <v>105</v>
      </c>
      <c r="K133" s="31">
        <v>46175</v>
      </c>
      <c r="L133" s="4"/>
      <c r="M133" s="4"/>
      <c r="N133" s="13" t="s">
        <v>29</v>
      </c>
      <c r="O133" s="35" t="str">
        <f>IF(D133="","",IF(COUNTIF(离职清单!C:C,D133)&gt;0,"已离职","在职"))</f>
        <v>在职</v>
      </c>
      <c r="P133" s="35" t="str">
        <f>IF(AND(O133="在职",J133="是"),COUNTIF(O$2:O133,"在职"),"")</f>
        <v/>
      </c>
    </row>
    <row r="134" customFormat="1" ht="18" spans="1:16">
      <c r="A134" s="10">
        <f t="shared" si="2"/>
        <v>133</v>
      </c>
      <c r="B134" s="31">
        <v>46175</v>
      </c>
      <c r="C134" s="32" t="s">
        <v>382</v>
      </c>
      <c r="D134" s="120" t="s">
        <v>383</v>
      </c>
      <c r="E134" s="33" t="s">
        <v>74</v>
      </c>
      <c r="F134" s="18" t="s">
        <v>64</v>
      </c>
      <c r="G134" s="18" t="s">
        <v>179</v>
      </c>
      <c r="H134" s="34" t="s">
        <v>86</v>
      </c>
      <c r="I134" s="18" t="s">
        <v>111</v>
      </c>
      <c r="J134" s="31" t="s">
        <v>105</v>
      </c>
      <c r="K134" s="31">
        <v>46175</v>
      </c>
      <c r="L134" s="4"/>
      <c r="M134" s="4"/>
      <c r="N134" s="13" t="s">
        <v>29</v>
      </c>
      <c r="O134" s="35" t="str">
        <f>IF(D134="","",IF(COUNTIF(离职清单!C:C,D134)&gt;0,"已离职","在职"))</f>
        <v>在职</v>
      </c>
      <c r="P134" s="35" t="str">
        <f>IF(AND(O134="在职",J134="是"),COUNTIF(O$2:O134,"在职"),"")</f>
        <v/>
      </c>
    </row>
    <row r="135" customFormat="1" ht="18" spans="1:16">
      <c r="A135" s="14">
        <f t="shared" si="2"/>
        <v>134</v>
      </c>
      <c r="B135" s="31">
        <v>46175</v>
      </c>
      <c r="C135" s="32" t="s">
        <v>384</v>
      </c>
      <c r="D135" s="120" t="s">
        <v>385</v>
      </c>
      <c r="E135" s="33" t="s">
        <v>74</v>
      </c>
      <c r="F135" s="18" t="s">
        <v>64</v>
      </c>
      <c r="G135" s="18" t="s">
        <v>179</v>
      </c>
      <c r="H135" s="34" t="s">
        <v>86</v>
      </c>
      <c r="I135" s="18" t="s">
        <v>111</v>
      </c>
      <c r="J135" s="31" t="s">
        <v>105</v>
      </c>
      <c r="K135" s="31">
        <v>46175</v>
      </c>
      <c r="L135" s="4"/>
      <c r="M135" s="4"/>
      <c r="N135" s="13" t="s">
        <v>29</v>
      </c>
      <c r="O135" s="35" t="str">
        <f>IF(D135="","",IF(COUNTIF(离职清单!C:C,D135)&gt;0,"已离职","在职"))</f>
        <v>在职</v>
      </c>
      <c r="P135" s="35" t="str">
        <f>IF(AND(O135="在职",J135="是"),COUNTIF(O$2:O135,"在职"),"")</f>
        <v/>
      </c>
    </row>
    <row r="136" customFormat="1" ht="18" spans="1:16">
      <c r="A136" s="10">
        <f t="shared" si="2"/>
        <v>135</v>
      </c>
      <c r="B136" s="31">
        <v>46175</v>
      </c>
      <c r="C136" s="32" t="s">
        <v>386</v>
      </c>
      <c r="D136" s="120" t="s">
        <v>387</v>
      </c>
      <c r="E136" s="33" t="s">
        <v>74</v>
      </c>
      <c r="F136" s="18" t="s">
        <v>64</v>
      </c>
      <c r="G136" s="18" t="s">
        <v>179</v>
      </c>
      <c r="H136" s="34" t="s">
        <v>86</v>
      </c>
      <c r="I136" s="18" t="s">
        <v>111</v>
      </c>
      <c r="J136" s="31" t="s">
        <v>105</v>
      </c>
      <c r="K136" s="31">
        <v>46175</v>
      </c>
      <c r="L136" s="4"/>
      <c r="M136" s="4"/>
      <c r="N136" s="13" t="s">
        <v>29</v>
      </c>
      <c r="O136" s="35" t="str">
        <f>IF(D136="","",IF(COUNTIF(离职清单!C:C,D136)&gt;0,"已离职","在职"))</f>
        <v>在职</v>
      </c>
      <c r="P136" s="35" t="str">
        <f>IF(AND(O136="在职",J136="是"),COUNTIF(O$2:O136,"在职"),"")</f>
        <v/>
      </c>
    </row>
    <row r="137" customFormat="1" ht="18" spans="1:16">
      <c r="A137" s="14">
        <f t="shared" si="2"/>
        <v>136</v>
      </c>
      <c r="B137" s="31">
        <v>46175</v>
      </c>
      <c r="C137" s="32" t="s">
        <v>388</v>
      </c>
      <c r="D137" s="120" t="s">
        <v>389</v>
      </c>
      <c r="E137" s="33" t="s">
        <v>74</v>
      </c>
      <c r="F137" s="18" t="s">
        <v>64</v>
      </c>
      <c r="G137" s="18" t="s">
        <v>179</v>
      </c>
      <c r="H137" s="34" t="s">
        <v>86</v>
      </c>
      <c r="I137" s="18" t="s">
        <v>111</v>
      </c>
      <c r="J137" s="31" t="s">
        <v>105</v>
      </c>
      <c r="K137" s="31">
        <v>46175</v>
      </c>
      <c r="L137" s="4"/>
      <c r="M137" s="4"/>
      <c r="N137" s="13" t="s">
        <v>29</v>
      </c>
      <c r="O137" s="35" t="str">
        <f>IF(D137="","",IF(COUNTIF(离职清单!C:C,D137)&gt;0,"已离职","在职"))</f>
        <v>在职</v>
      </c>
      <c r="P137" s="35" t="str">
        <f>IF(AND(O137="在职",J137="是"),COUNTIF(O$2:O137,"在职"),"")</f>
        <v/>
      </c>
    </row>
    <row r="138" customFormat="1" ht="18" spans="1:16">
      <c r="A138" s="10">
        <f t="shared" si="2"/>
        <v>137</v>
      </c>
      <c r="B138" s="31">
        <v>46175</v>
      </c>
      <c r="C138" s="32" t="s">
        <v>390</v>
      </c>
      <c r="D138" s="120" t="s">
        <v>391</v>
      </c>
      <c r="E138" s="33" t="s">
        <v>74</v>
      </c>
      <c r="F138" s="18" t="s">
        <v>64</v>
      </c>
      <c r="G138" s="18" t="s">
        <v>179</v>
      </c>
      <c r="H138" s="34" t="s">
        <v>86</v>
      </c>
      <c r="I138" s="18" t="s">
        <v>111</v>
      </c>
      <c r="J138" s="31" t="s">
        <v>105</v>
      </c>
      <c r="K138" s="31">
        <v>46175</v>
      </c>
      <c r="L138" s="4"/>
      <c r="M138" s="4"/>
      <c r="N138" s="13" t="s">
        <v>29</v>
      </c>
      <c r="O138" s="35" t="str">
        <f>IF(D138="","",IF(COUNTIF(离职清单!C:C,D138)&gt;0,"已离职","在职"))</f>
        <v>在职</v>
      </c>
      <c r="P138" s="35" t="str">
        <f>IF(AND(O138="在职",J138="是"),COUNTIF(O$2:O138,"在职"),"")</f>
        <v/>
      </c>
    </row>
    <row r="139" customFormat="1" ht="18" spans="1:16">
      <c r="A139" s="14">
        <f t="shared" si="2"/>
        <v>138</v>
      </c>
      <c r="B139" s="31">
        <v>46175</v>
      </c>
      <c r="C139" s="32" t="s">
        <v>392</v>
      </c>
      <c r="D139" s="120" t="s">
        <v>393</v>
      </c>
      <c r="E139" s="33" t="s">
        <v>43</v>
      </c>
      <c r="F139" s="18" t="s">
        <v>64</v>
      </c>
      <c r="G139" s="18" t="s">
        <v>179</v>
      </c>
      <c r="H139" s="34" t="s">
        <v>86</v>
      </c>
      <c r="I139" s="18" t="s">
        <v>111</v>
      </c>
      <c r="J139" s="31" t="s">
        <v>105</v>
      </c>
      <c r="K139" s="31">
        <v>46175</v>
      </c>
      <c r="L139" s="4"/>
      <c r="M139" s="4"/>
      <c r="N139" s="13" t="s">
        <v>29</v>
      </c>
      <c r="O139" s="35" t="str">
        <f>IF(D139="","",IF(COUNTIF(离职清单!C:C,D139)&gt;0,"已离职","在职"))</f>
        <v>在职</v>
      </c>
      <c r="P139" s="35" t="str">
        <f>IF(AND(O139="在职",J139="是"),COUNTIF(O$2:O139,"在职"),"")</f>
        <v/>
      </c>
    </row>
    <row r="140" customFormat="1" ht="18" spans="1:16">
      <c r="A140" s="10">
        <f t="shared" si="2"/>
        <v>139</v>
      </c>
      <c r="B140" s="31">
        <v>46175</v>
      </c>
      <c r="C140" s="32" t="s">
        <v>394</v>
      </c>
      <c r="D140" s="120" t="s">
        <v>395</v>
      </c>
      <c r="E140" s="33" t="s">
        <v>43</v>
      </c>
      <c r="F140" s="18" t="s">
        <v>64</v>
      </c>
      <c r="G140" s="18" t="s">
        <v>179</v>
      </c>
      <c r="H140" s="34" t="s">
        <v>86</v>
      </c>
      <c r="I140" s="18" t="s">
        <v>111</v>
      </c>
      <c r="J140" s="31" t="s">
        <v>105</v>
      </c>
      <c r="K140" s="31">
        <v>46175</v>
      </c>
      <c r="L140" s="4"/>
      <c r="M140" s="4"/>
      <c r="N140" s="13" t="s">
        <v>29</v>
      </c>
      <c r="O140" s="35" t="str">
        <f>IF(D140="","",IF(COUNTIF(离职清单!C:C,D140)&gt;0,"已离职","在职"))</f>
        <v>在职</v>
      </c>
      <c r="P140" s="35" t="str">
        <f>IF(AND(O140="在职",J140="是"),COUNTIF(O$2:O140,"在职"),"")</f>
        <v/>
      </c>
    </row>
    <row r="141" customFormat="1" ht="18" spans="1:16">
      <c r="A141" s="14">
        <f t="shared" si="2"/>
        <v>140</v>
      </c>
      <c r="B141" s="31">
        <v>46175</v>
      </c>
      <c r="C141" s="32" t="s">
        <v>396</v>
      </c>
      <c r="D141" s="120" t="s">
        <v>397</v>
      </c>
      <c r="E141" s="33" t="s">
        <v>43</v>
      </c>
      <c r="F141" s="18" t="s">
        <v>64</v>
      </c>
      <c r="G141" s="18" t="s">
        <v>179</v>
      </c>
      <c r="H141" s="34" t="s">
        <v>86</v>
      </c>
      <c r="I141" s="18" t="s">
        <v>104</v>
      </c>
      <c r="J141" s="31" t="s">
        <v>105</v>
      </c>
      <c r="K141" s="31">
        <v>46175</v>
      </c>
      <c r="L141" s="4"/>
      <c r="M141" s="4"/>
      <c r="N141" s="13" t="s">
        <v>29</v>
      </c>
      <c r="O141" s="35" t="str">
        <f>IF(D141="","",IF(COUNTIF(离职清单!C:C,D141)&gt;0,"已离职","在职"))</f>
        <v>在职</v>
      </c>
      <c r="P141" s="35" t="str">
        <f>IF(AND(O141="在职",J141="是"),COUNTIF(O$2:O141,"在职"),"")</f>
        <v/>
      </c>
    </row>
    <row r="142" customFormat="1" ht="18" spans="1:16">
      <c r="A142" s="10">
        <f t="shared" si="2"/>
        <v>141</v>
      </c>
      <c r="B142" s="31">
        <v>46175</v>
      </c>
      <c r="C142" s="32" t="s">
        <v>398</v>
      </c>
      <c r="D142" s="120" t="s">
        <v>399</v>
      </c>
      <c r="E142" s="33" t="s">
        <v>74</v>
      </c>
      <c r="F142" s="18" t="s">
        <v>64</v>
      </c>
      <c r="G142" s="18" t="s">
        <v>179</v>
      </c>
      <c r="H142" s="34" t="s">
        <v>86</v>
      </c>
      <c r="I142" s="18" t="s">
        <v>111</v>
      </c>
      <c r="J142" s="31" t="s">
        <v>105</v>
      </c>
      <c r="K142" s="31">
        <v>46175</v>
      </c>
      <c r="L142" s="4"/>
      <c r="M142" s="4"/>
      <c r="N142" s="13" t="s">
        <v>29</v>
      </c>
      <c r="O142" s="35" t="str">
        <f>IF(D142="","",IF(COUNTIF(离职清单!C:C,D142)&gt;0,"已离职","在职"))</f>
        <v>在职</v>
      </c>
      <c r="P142" s="35" t="str">
        <f>IF(AND(O142="在职",J142="是"),COUNTIF(O$2:O142,"在职"),"")</f>
        <v/>
      </c>
    </row>
    <row r="143" customFormat="1" ht="18" spans="1:16">
      <c r="A143" s="14">
        <f t="shared" si="2"/>
        <v>142</v>
      </c>
      <c r="B143" s="31">
        <v>46175</v>
      </c>
      <c r="C143" s="32" t="s">
        <v>400</v>
      </c>
      <c r="D143" s="120" t="s">
        <v>401</v>
      </c>
      <c r="E143" s="33" t="s">
        <v>74</v>
      </c>
      <c r="F143" s="18" t="s">
        <v>64</v>
      </c>
      <c r="G143" s="18" t="s">
        <v>179</v>
      </c>
      <c r="H143" s="34" t="s">
        <v>86</v>
      </c>
      <c r="I143" s="18" t="s">
        <v>104</v>
      </c>
      <c r="J143" s="31" t="s">
        <v>114</v>
      </c>
      <c r="K143" s="31">
        <v>46175</v>
      </c>
      <c r="L143" s="4"/>
      <c r="M143" s="4"/>
      <c r="N143" s="13" t="s">
        <v>29</v>
      </c>
      <c r="O143" s="35" t="str">
        <f>IF(D143="","",IF(COUNTIF(离职清单!C:C,D143)&gt;0,"已离职","在职"))</f>
        <v>在职</v>
      </c>
      <c r="P143" s="35">
        <f>IF(AND(O143="在职",J143="是"),COUNTIF(O$2:O143,"在职"),"")</f>
        <v>136</v>
      </c>
    </row>
    <row r="144" customFormat="1" ht="18" spans="1:16">
      <c r="A144" s="10">
        <f t="shared" si="2"/>
        <v>143</v>
      </c>
      <c r="B144" s="31">
        <v>46175</v>
      </c>
      <c r="C144" s="32" t="s">
        <v>402</v>
      </c>
      <c r="D144" s="120" t="s">
        <v>403</v>
      </c>
      <c r="E144" s="33" t="s">
        <v>74</v>
      </c>
      <c r="F144" s="18" t="s">
        <v>64</v>
      </c>
      <c r="G144" s="18" t="s">
        <v>179</v>
      </c>
      <c r="H144" s="34" t="s">
        <v>86</v>
      </c>
      <c r="I144" s="18" t="s">
        <v>111</v>
      </c>
      <c r="J144" s="31" t="s">
        <v>105</v>
      </c>
      <c r="K144" s="31">
        <v>46175</v>
      </c>
      <c r="L144" s="4"/>
      <c r="M144" s="4"/>
      <c r="N144" s="13" t="s">
        <v>29</v>
      </c>
      <c r="O144" s="35" t="str">
        <f>IF(D144="","",IF(COUNTIF(离职清单!C:C,D144)&gt;0,"已离职","在职"))</f>
        <v>在职</v>
      </c>
      <c r="P144" s="35" t="str">
        <f>IF(AND(O144="在职",J144="是"),COUNTIF(O$2:O144,"在职"),"")</f>
        <v/>
      </c>
    </row>
    <row r="145" customFormat="1" ht="18" spans="1:16">
      <c r="A145" s="14">
        <f t="shared" si="2"/>
        <v>144</v>
      </c>
      <c r="B145" s="31">
        <v>46175</v>
      </c>
      <c r="C145" s="32" t="s">
        <v>404</v>
      </c>
      <c r="D145" s="120" t="s">
        <v>405</v>
      </c>
      <c r="E145" s="33" t="s">
        <v>74</v>
      </c>
      <c r="F145" s="18" t="s">
        <v>64</v>
      </c>
      <c r="G145" s="18" t="s">
        <v>179</v>
      </c>
      <c r="H145" s="34" t="s">
        <v>86</v>
      </c>
      <c r="I145" s="18" t="s">
        <v>111</v>
      </c>
      <c r="J145" s="31" t="s">
        <v>105</v>
      </c>
      <c r="K145" s="31">
        <v>46175</v>
      </c>
      <c r="L145" s="4"/>
      <c r="M145" s="4"/>
      <c r="N145" s="13" t="s">
        <v>29</v>
      </c>
      <c r="O145" s="35" t="str">
        <f>IF(D145="","",IF(COUNTIF(离职清单!C:C,D145)&gt;0,"已离职","在职"))</f>
        <v>在职</v>
      </c>
      <c r="P145" s="35" t="str">
        <f>IF(AND(O145="在职",J145="是"),COUNTIF(O$2:O145,"在职"),"")</f>
        <v/>
      </c>
    </row>
    <row r="146" customFormat="1" ht="18" spans="1:16">
      <c r="A146" s="10">
        <f t="shared" si="2"/>
        <v>145</v>
      </c>
      <c r="B146" s="31">
        <v>46175</v>
      </c>
      <c r="C146" s="32" t="s">
        <v>406</v>
      </c>
      <c r="D146" s="120" t="s">
        <v>407</v>
      </c>
      <c r="E146" s="33" t="s">
        <v>74</v>
      </c>
      <c r="F146" s="18" t="s">
        <v>64</v>
      </c>
      <c r="G146" s="18" t="s">
        <v>179</v>
      </c>
      <c r="H146" s="34" t="s">
        <v>86</v>
      </c>
      <c r="I146" s="18" t="s">
        <v>111</v>
      </c>
      <c r="J146" s="31" t="s">
        <v>105</v>
      </c>
      <c r="K146" s="31">
        <v>46175</v>
      </c>
      <c r="L146" s="4"/>
      <c r="M146" s="4"/>
      <c r="N146" s="13" t="s">
        <v>29</v>
      </c>
      <c r="O146" s="35" t="str">
        <f>IF(D146="","",IF(COUNTIF(离职清单!C:C,D146)&gt;0,"已离职","在职"))</f>
        <v>在职</v>
      </c>
      <c r="P146" s="35" t="str">
        <f>IF(AND(O146="在职",J146="是"),COUNTIF(O$2:O146,"在职"),"")</f>
        <v/>
      </c>
    </row>
    <row r="147" customFormat="1" ht="18" spans="1:16">
      <c r="A147" s="14">
        <f t="shared" si="2"/>
        <v>146</v>
      </c>
      <c r="B147" s="31">
        <v>46175</v>
      </c>
      <c r="C147" s="32" t="s">
        <v>408</v>
      </c>
      <c r="D147" s="120" t="s">
        <v>409</v>
      </c>
      <c r="E147" s="33" t="s">
        <v>74</v>
      </c>
      <c r="F147" s="18" t="s">
        <v>64</v>
      </c>
      <c r="G147" s="18" t="s">
        <v>179</v>
      </c>
      <c r="H147" s="34" t="s">
        <v>86</v>
      </c>
      <c r="I147" s="18" t="s">
        <v>111</v>
      </c>
      <c r="J147" s="31" t="s">
        <v>105</v>
      </c>
      <c r="K147" s="31">
        <v>46175</v>
      </c>
      <c r="L147" s="4"/>
      <c r="M147" s="4"/>
      <c r="N147" s="13" t="s">
        <v>29</v>
      </c>
      <c r="O147" s="35" t="str">
        <f>IF(D147="","",IF(COUNTIF(离职清单!C:C,D147)&gt;0,"已离职","在职"))</f>
        <v>在职</v>
      </c>
      <c r="P147" s="35" t="str">
        <f>IF(AND(O147="在职",J147="是"),COUNTIF(O$2:O147,"在职"),"")</f>
        <v/>
      </c>
    </row>
    <row r="148" customFormat="1" ht="18" spans="1:16">
      <c r="A148" s="10">
        <f t="shared" si="2"/>
        <v>147</v>
      </c>
      <c r="B148" s="31">
        <v>46175</v>
      </c>
      <c r="C148" s="32" t="s">
        <v>410</v>
      </c>
      <c r="D148" s="120" t="s">
        <v>411</v>
      </c>
      <c r="E148" s="33" t="s">
        <v>74</v>
      </c>
      <c r="F148" s="18" t="s">
        <v>64</v>
      </c>
      <c r="G148" s="18" t="s">
        <v>179</v>
      </c>
      <c r="H148" s="34" t="s">
        <v>86</v>
      </c>
      <c r="I148" s="18" t="s">
        <v>111</v>
      </c>
      <c r="J148" s="31" t="s">
        <v>105</v>
      </c>
      <c r="K148" s="31">
        <v>46175</v>
      </c>
      <c r="L148" s="4"/>
      <c r="M148" s="4"/>
      <c r="N148" s="13" t="s">
        <v>29</v>
      </c>
      <c r="O148" s="35" t="str">
        <f>IF(D148="","",IF(COUNTIF(离职清单!C:C,D148)&gt;0,"已离职","在职"))</f>
        <v>在职</v>
      </c>
      <c r="P148" s="35" t="str">
        <f>IF(AND(O148="在职",J148="是"),COUNTIF(O$2:O148,"在职"),"")</f>
        <v/>
      </c>
    </row>
    <row r="149" customFormat="1" ht="18" spans="1:16">
      <c r="A149" s="14">
        <f t="shared" si="2"/>
        <v>148</v>
      </c>
      <c r="B149" s="31">
        <v>46175</v>
      </c>
      <c r="C149" s="32" t="s">
        <v>412</v>
      </c>
      <c r="D149" s="120" t="s">
        <v>413</v>
      </c>
      <c r="E149" s="33" t="s">
        <v>43</v>
      </c>
      <c r="F149" s="18" t="s">
        <v>62</v>
      </c>
      <c r="G149" s="18" t="s">
        <v>103</v>
      </c>
      <c r="H149" s="34" t="s">
        <v>86</v>
      </c>
      <c r="I149" s="18" t="s">
        <v>104</v>
      </c>
      <c r="J149" s="31" t="s">
        <v>105</v>
      </c>
      <c r="K149" s="31">
        <v>46175</v>
      </c>
      <c r="L149" s="4"/>
      <c r="M149" s="4"/>
      <c r="N149" s="13" t="s">
        <v>29</v>
      </c>
      <c r="O149" s="35" t="str">
        <f>IF(D149="","",IF(COUNTIF(离职清单!C:C,D149)&gt;0,"已离职","在职"))</f>
        <v>在职</v>
      </c>
      <c r="P149" s="35" t="str">
        <f>IF(AND(O149="在职",J149="是"),COUNTIF(O$2:O149,"在职"),"")</f>
        <v/>
      </c>
    </row>
    <row r="150" customFormat="1" ht="18" spans="1:16">
      <c r="A150" s="10">
        <f t="shared" si="2"/>
        <v>149</v>
      </c>
      <c r="B150" s="31">
        <v>46175</v>
      </c>
      <c r="C150" s="32" t="s">
        <v>414</v>
      </c>
      <c r="D150" s="120" t="s">
        <v>415</v>
      </c>
      <c r="E150" s="33" t="s">
        <v>43</v>
      </c>
      <c r="F150" s="18" t="s">
        <v>62</v>
      </c>
      <c r="G150" s="18" t="s">
        <v>103</v>
      </c>
      <c r="H150" s="34" t="s">
        <v>86</v>
      </c>
      <c r="I150" s="18" t="s">
        <v>104</v>
      </c>
      <c r="J150" s="31" t="s">
        <v>105</v>
      </c>
      <c r="K150" s="31">
        <v>46175</v>
      </c>
      <c r="L150" s="4"/>
      <c r="M150" s="4"/>
      <c r="N150" s="13" t="s">
        <v>29</v>
      </c>
      <c r="O150" s="35" t="str">
        <f>IF(D150="","",IF(COUNTIF(离职清单!C:C,D150)&gt;0,"已离职","在职"))</f>
        <v>在职</v>
      </c>
      <c r="P150" s="35" t="str">
        <f>IF(AND(O150="在职",J150="是"),COUNTIF(O$2:O150,"在职"),"")</f>
        <v/>
      </c>
    </row>
    <row r="151" customFormat="1" ht="18" spans="1:16">
      <c r="A151" s="14">
        <f t="shared" si="2"/>
        <v>150</v>
      </c>
      <c r="B151" s="31">
        <v>46175</v>
      </c>
      <c r="C151" s="32" t="s">
        <v>416</v>
      </c>
      <c r="D151" s="120" t="s">
        <v>417</v>
      </c>
      <c r="E151" s="33" t="s">
        <v>74</v>
      </c>
      <c r="F151" s="18" t="s">
        <v>64</v>
      </c>
      <c r="G151" s="18" t="s">
        <v>179</v>
      </c>
      <c r="H151" s="34" t="s">
        <v>86</v>
      </c>
      <c r="I151" s="18" t="s">
        <v>104</v>
      </c>
      <c r="J151" s="31" t="s">
        <v>105</v>
      </c>
      <c r="K151" s="31">
        <v>46175</v>
      </c>
      <c r="L151" s="4"/>
      <c r="M151" s="4"/>
      <c r="N151" s="13" t="s">
        <v>29</v>
      </c>
      <c r="O151" s="35" t="str">
        <f>IF(D151="","",IF(COUNTIF(离职清单!C:C,D151)&gt;0,"已离职","在职"))</f>
        <v>在职</v>
      </c>
      <c r="P151" s="35" t="str">
        <f>IF(AND(O151="在职",J151="是"),COUNTIF(O$2:O151,"在职"),"")</f>
        <v/>
      </c>
    </row>
    <row r="152" customFormat="1" ht="18" spans="1:16">
      <c r="A152" s="10">
        <f t="shared" si="2"/>
        <v>151</v>
      </c>
      <c r="B152" s="31">
        <v>46175</v>
      </c>
      <c r="C152" s="32" t="s">
        <v>418</v>
      </c>
      <c r="D152" s="120" t="s">
        <v>419</v>
      </c>
      <c r="E152" s="33" t="s">
        <v>43</v>
      </c>
      <c r="F152" s="18" t="s">
        <v>63</v>
      </c>
      <c r="G152" s="18" t="s">
        <v>148</v>
      </c>
      <c r="H152" s="34" t="s">
        <v>86</v>
      </c>
      <c r="I152" s="18" t="s">
        <v>111</v>
      </c>
      <c r="J152" s="31" t="s">
        <v>105</v>
      </c>
      <c r="K152" s="31">
        <v>46175</v>
      </c>
      <c r="L152" s="4"/>
      <c r="M152" s="4"/>
      <c r="N152" s="13" t="s">
        <v>29</v>
      </c>
      <c r="O152" s="35" t="str">
        <f>IF(D152="","",IF(COUNTIF(离职清单!C:C,D152)&gt;0,"已离职","在职"))</f>
        <v>在职</v>
      </c>
      <c r="P152" s="35" t="str">
        <f>IF(AND(O152="在职",J152="是"),COUNTIF(O$2:O152,"在职"),"")</f>
        <v/>
      </c>
    </row>
    <row r="153" customFormat="1" ht="18" spans="1:16">
      <c r="A153" s="14">
        <f t="shared" si="2"/>
        <v>152</v>
      </c>
      <c r="B153" s="31">
        <v>46175</v>
      </c>
      <c r="C153" s="32" t="s">
        <v>420</v>
      </c>
      <c r="D153" s="120" t="s">
        <v>421</v>
      </c>
      <c r="E153" s="33" t="s">
        <v>43</v>
      </c>
      <c r="F153" s="18" t="s">
        <v>62</v>
      </c>
      <c r="G153" s="18" t="s">
        <v>179</v>
      </c>
      <c r="H153" s="34" t="s">
        <v>86</v>
      </c>
      <c r="I153" s="18" t="s">
        <v>104</v>
      </c>
      <c r="J153" s="31" t="s">
        <v>105</v>
      </c>
      <c r="K153" s="31">
        <v>46175</v>
      </c>
      <c r="L153" s="4"/>
      <c r="M153" s="4"/>
      <c r="N153" s="13" t="s">
        <v>29</v>
      </c>
      <c r="O153" s="35" t="str">
        <f>IF(D153="","",IF(COUNTIF(离职清单!C:C,D153)&gt;0,"已离职","在职"))</f>
        <v>在职</v>
      </c>
      <c r="P153" s="35" t="str">
        <f>IF(AND(O153="在职",J153="是"),COUNTIF(O$2:O153,"在职"),"")</f>
        <v/>
      </c>
    </row>
    <row r="154" customFormat="1" ht="18" spans="1:16">
      <c r="A154" s="10">
        <f t="shared" si="2"/>
        <v>153</v>
      </c>
      <c r="B154" s="31">
        <v>46175</v>
      </c>
      <c r="C154" s="32" t="s">
        <v>422</v>
      </c>
      <c r="D154" s="120" t="s">
        <v>423</v>
      </c>
      <c r="E154" s="33" t="s">
        <v>43</v>
      </c>
      <c r="F154" s="18" t="s">
        <v>63</v>
      </c>
      <c r="G154" s="18" t="s">
        <v>179</v>
      </c>
      <c r="H154" s="34" t="s">
        <v>86</v>
      </c>
      <c r="I154" s="18" t="s">
        <v>104</v>
      </c>
      <c r="J154" s="31" t="s">
        <v>105</v>
      </c>
      <c r="K154" s="31">
        <v>46175</v>
      </c>
      <c r="L154" s="4"/>
      <c r="M154" s="4"/>
      <c r="N154" s="13" t="s">
        <v>29</v>
      </c>
      <c r="O154" s="35" t="str">
        <f>IF(D154="","",IF(COUNTIF(离职清单!C:C,D154)&gt;0,"已离职","在职"))</f>
        <v>在职</v>
      </c>
      <c r="P154" s="35" t="str">
        <f>IF(AND(O154="在职",J154="是"),COUNTIF(O$2:O154,"在职"),"")</f>
        <v/>
      </c>
    </row>
    <row r="155" customFormat="1" ht="18" spans="1:16">
      <c r="A155" s="14">
        <f t="shared" si="2"/>
        <v>154</v>
      </c>
      <c r="B155" s="31">
        <v>46175</v>
      </c>
      <c r="C155" s="32" t="s">
        <v>424</v>
      </c>
      <c r="D155" s="120" t="s">
        <v>425</v>
      </c>
      <c r="E155" s="33" t="s">
        <v>74</v>
      </c>
      <c r="F155" s="18" t="s">
        <v>64</v>
      </c>
      <c r="G155" s="18" t="s">
        <v>426</v>
      </c>
      <c r="H155" s="34" t="s">
        <v>86</v>
      </c>
      <c r="I155" s="18" t="s">
        <v>104</v>
      </c>
      <c r="J155" s="31" t="s">
        <v>105</v>
      </c>
      <c r="K155" s="31">
        <v>46175</v>
      </c>
      <c r="L155" s="4"/>
      <c r="M155" s="4"/>
      <c r="N155" s="13" t="s">
        <v>29</v>
      </c>
      <c r="O155" s="35" t="str">
        <f>IF(D155="","",IF(COUNTIF(离职清单!C:C,D155)&gt;0,"已离职","在职"))</f>
        <v>在职</v>
      </c>
      <c r="P155" s="35" t="str">
        <f>IF(AND(O155="在职",J155="是"),COUNTIF(O$2:O155,"在职"),"")</f>
        <v/>
      </c>
    </row>
    <row r="156" customFormat="1" ht="18" spans="1:16">
      <c r="A156" s="10">
        <f t="shared" si="2"/>
        <v>155</v>
      </c>
      <c r="B156" s="31">
        <v>46175</v>
      </c>
      <c r="C156" s="32" t="s">
        <v>427</v>
      </c>
      <c r="D156" s="120" t="s">
        <v>428</v>
      </c>
      <c r="E156" s="33" t="s">
        <v>74</v>
      </c>
      <c r="F156" s="18" t="s">
        <v>64</v>
      </c>
      <c r="G156" s="18" t="s">
        <v>179</v>
      </c>
      <c r="H156" s="34" t="s">
        <v>86</v>
      </c>
      <c r="I156" s="18" t="s">
        <v>104</v>
      </c>
      <c r="J156" s="31" t="s">
        <v>105</v>
      </c>
      <c r="K156" s="31">
        <v>46175</v>
      </c>
      <c r="L156" s="4"/>
      <c r="M156" s="4"/>
      <c r="N156" s="13" t="s">
        <v>29</v>
      </c>
      <c r="O156" s="35" t="str">
        <f>IF(D156="","",IF(COUNTIF(离职清单!C:C,D156)&gt;0,"已离职","在职"))</f>
        <v>在职</v>
      </c>
      <c r="P156" s="35" t="str">
        <f>IF(AND(O156="在职",J156="是"),COUNTIF(O$2:O156,"在职"),"")</f>
        <v/>
      </c>
    </row>
    <row r="157" customFormat="1" ht="18" spans="1:16">
      <c r="A157" s="14">
        <f t="shared" si="2"/>
        <v>156</v>
      </c>
      <c r="B157" s="31">
        <v>46175</v>
      </c>
      <c r="C157" s="32" t="s">
        <v>429</v>
      </c>
      <c r="D157" s="120" t="s">
        <v>430</v>
      </c>
      <c r="E157" s="33" t="s">
        <v>74</v>
      </c>
      <c r="F157" s="18" t="s">
        <v>64</v>
      </c>
      <c r="G157" s="18" t="s">
        <v>135</v>
      </c>
      <c r="H157" s="34" t="s">
        <v>86</v>
      </c>
      <c r="I157" s="18" t="s">
        <v>104</v>
      </c>
      <c r="J157" s="31" t="s">
        <v>114</v>
      </c>
      <c r="K157" s="31">
        <v>46175</v>
      </c>
      <c r="L157" s="4"/>
      <c r="M157" s="4"/>
      <c r="N157" s="13" t="s">
        <v>29</v>
      </c>
      <c r="O157" s="35" t="str">
        <f>IF(D157="","",IF(COUNTIF(离职清单!C:C,D157)&gt;0,"已离职","在职"))</f>
        <v>在职</v>
      </c>
      <c r="P157" s="35">
        <f>IF(AND(O157="在职",J157="是"),COUNTIF(O$2:O157,"在职"),"")</f>
        <v>150</v>
      </c>
    </row>
    <row r="158" customFormat="1" ht="18" spans="1:16">
      <c r="A158" s="10">
        <f t="shared" si="2"/>
        <v>157</v>
      </c>
      <c r="B158" s="31">
        <v>46175</v>
      </c>
      <c r="C158" s="32" t="s">
        <v>431</v>
      </c>
      <c r="D158" s="120" t="s">
        <v>432</v>
      </c>
      <c r="E158" s="33" t="s">
        <v>74</v>
      </c>
      <c r="F158" s="18" t="s">
        <v>64</v>
      </c>
      <c r="G158" s="18" t="s">
        <v>103</v>
      </c>
      <c r="H158" s="34" t="s">
        <v>86</v>
      </c>
      <c r="I158" s="18" t="s">
        <v>104</v>
      </c>
      <c r="J158" s="31" t="s">
        <v>105</v>
      </c>
      <c r="K158" s="31">
        <v>46175</v>
      </c>
      <c r="L158" s="4"/>
      <c r="M158" s="4"/>
      <c r="N158" s="13" t="s">
        <v>29</v>
      </c>
      <c r="O158" s="35" t="str">
        <f>IF(D158="","",IF(COUNTIF(离职清单!C:C,D158)&gt;0,"已离职","在职"))</f>
        <v>在职</v>
      </c>
      <c r="P158" s="35" t="str">
        <f>IF(AND(O158="在职",J158="是"),COUNTIF(O$2:O158,"在职"),"")</f>
        <v/>
      </c>
    </row>
    <row r="159" customFormat="1" ht="18" spans="1:16">
      <c r="A159" s="14">
        <f t="shared" si="2"/>
        <v>158</v>
      </c>
      <c r="B159" s="31">
        <v>46175</v>
      </c>
      <c r="C159" s="32" t="s">
        <v>433</v>
      </c>
      <c r="D159" s="120" t="s">
        <v>434</v>
      </c>
      <c r="E159" s="33" t="s">
        <v>74</v>
      </c>
      <c r="F159" s="18" t="s">
        <v>190</v>
      </c>
      <c r="G159" s="18" t="s">
        <v>117</v>
      </c>
      <c r="H159" s="34" t="s">
        <v>86</v>
      </c>
      <c r="I159" s="18" t="s">
        <v>104</v>
      </c>
      <c r="J159" s="31" t="s">
        <v>114</v>
      </c>
      <c r="K159" s="31">
        <v>46175</v>
      </c>
      <c r="L159" s="4"/>
      <c r="M159" s="4"/>
      <c r="N159" s="13" t="s">
        <v>29</v>
      </c>
      <c r="O159" s="35" t="str">
        <f>IF(D159="","",IF(COUNTIF(离职清单!C:C,D159)&gt;0,"已离职","在职"))</f>
        <v>在职</v>
      </c>
      <c r="P159" s="35">
        <f>IF(AND(O159="在职",J159="是"),COUNTIF(O$2:O159,"在职"),"")</f>
        <v>152</v>
      </c>
    </row>
    <row r="160" customFormat="1" ht="18" spans="1:16">
      <c r="A160" s="10">
        <f t="shared" si="2"/>
        <v>159</v>
      </c>
      <c r="B160" s="31">
        <v>46175</v>
      </c>
      <c r="C160" s="32" t="s">
        <v>435</v>
      </c>
      <c r="D160" s="120" t="s">
        <v>436</v>
      </c>
      <c r="E160" s="33" t="s">
        <v>42</v>
      </c>
      <c r="F160" s="18" t="s">
        <v>64</v>
      </c>
      <c r="G160" s="18" t="s">
        <v>117</v>
      </c>
      <c r="H160" s="34" t="s">
        <v>86</v>
      </c>
      <c r="I160" s="18" t="s">
        <v>104</v>
      </c>
      <c r="J160" s="31" t="s">
        <v>105</v>
      </c>
      <c r="K160" s="31">
        <v>46175</v>
      </c>
      <c r="L160" s="4"/>
      <c r="M160" s="4"/>
      <c r="N160" s="13" t="s">
        <v>29</v>
      </c>
      <c r="O160" s="35" t="str">
        <f>IF(D160="","",IF(COUNTIF(离职清单!C:C,D160)&gt;0,"已离职","在职"))</f>
        <v>在职</v>
      </c>
      <c r="P160" s="35" t="str">
        <f>IF(AND(O160="在职",J160="是"),COUNTIF(O$2:O160,"在职"),"")</f>
        <v/>
      </c>
    </row>
    <row r="161" customFormat="1" ht="18" spans="1:16">
      <c r="A161" s="14">
        <f t="shared" si="2"/>
        <v>160</v>
      </c>
      <c r="B161" s="31">
        <v>46175</v>
      </c>
      <c r="C161" s="32" t="s">
        <v>437</v>
      </c>
      <c r="D161" s="120" t="s">
        <v>438</v>
      </c>
      <c r="E161" s="33" t="s">
        <v>74</v>
      </c>
      <c r="F161" s="18" t="s">
        <v>190</v>
      </c>
      <c r="G161" s="18" t="s">
        <v>103</v>
      </c>
      <c r="H161" s="34" t="s">
        <v>86</v>
      </c>
      <c r="I161" s="18" t="s">
        <v>104</v>
      </c>
      <c r="J161" s="31" t="s">
        <v>114</v>
      </c>
      <c r="K161" s="31">
        <v>46175</v>
      </c>
      <c r="L161" s="4"/>
      <c r="M161" s="4"/>
      <c r="N161" s="13" t="s">
        <v>29</v>
      </c>
      <c r="O161" s="35" t="str">
        <f>IF(D161="","",IF(COUNTIF(离职清单!C:C,D161)&gt;0,"已离职","在职"))</f>
        <v>在职</v>
      </c>
      <c r="P161" s="35">
        <f>IF(AND(O161="在职",J161="是"),COUNTIF(O$2:O161,"在职"),"")</f>
        <v>154</v>
      </c>
    </row>
    <row r="162" customFormat="1" ht="18" spans="1:16">
      <c r="A162" s="10">
        <f t="shared" si="2"/>
        <v>161</v>
      </c>
      <c r="B162" s="31">
        <v>46176</v>
      </c>
      <c r="C162" s="32" t="s">
        <v>439</v>
      </c>
      <c r="D162" s="120" t="s">
        <v>440</v>
      </c>
      <c r="E162" s="33" t="s">
        <v>43</v>
      </c>
      <c r="F162" s="18" t="s">
        <v>62</v>
      </c>
      <c r="G162" s="18" t="s">
        <v>117</v>
      </c>
      <c r="H162" s="34" t="s">
        <v>86</v>
      </c>
      <c r="I162" s="18" t="s">
        <v>104</v>
      </c>
      <c r="J162" s="31" t="s">
        <v>105</v>
      </c>
      <c r="K162" s="31">
        <v>46176</v>
      </c>
      <c r="L162" s="4"/>
      <c r="M162" s="4"/>
      <c r="N162" s="13" t="s">
        <v>29</v>
      </c>
      <c r="O162" s="35" t="str">
        <f>IF(D162="","",IF(COUNTIF(离职清单!C:C,D162)&gt;0,"已离职","在职"))</f>
        <v>在职</v>
      </c>
      <c r="P162" s="35" t="str">
        <f>IF(AND(O162="在职",J162="是"),COUNTIF(O$2:O162,"在职"),"")</f>
        <v/>
      </c>
    </row>
    <row r="163" customFormat="1" ht="18" spans="1:16">
      <c r="A163" s="14">
        <f t="shared" si="2"/>
        <v>162</v>
      </c>
      <c r="B163" s="31">
        <v>46176</v>
      </c>
      <c r="C163" s="32" t="s">
        <v>441</v>
      </c>
      <c r="D163" s="120" t="s">
        <v>442</v>
      </c>
      <c r="E163" s="33" t="s">
        <v>74</v>
      </c>
      <c r="F163" s="18" t="s">
        <v>190</v>
      </c>
      <c r="G163" s="18" t="s">
        <v>117</v>
      </c>
      <c r="H163" s="34" t="s">
        <v>86</v>
      </c>
      <c r="I163" s="18" t="s">
        <v>104</v>
      </c>
      <c r="J163" s="31" t="s">
        <v>105</v>
      </c>
      <c r="K163" s="31">
        <v>46176</v>
      </c>
      <c r="L163" s="4"/>
      <c r="M163" s="4"/>
      <c r="N163" s="13" t="s">
        <v>29</v>
      </c>
      <c r="O163" s="35" t="str">
        <f>IF(D163="","",IF(COUNTIF(离职清单!C:C,D163)&gt;0,"已离职","在职"))</f>
        <v>在职</v>
      </c>
      <c r="P163" s="35" t="str">
        <f>IF(AND(O163="在职",J163="是"),COUNTIF(O$2:O163,"在职"),"")</f>
        <v/>
      </c>
    </row>
    <row r="164" customFormat="1" ht="18" spans="1:16">
      <c r="A164" s="10">
        <f t="shared" si="2"/>
        <v>163</v>
      </c>
      <c r="B164" s="31">
        <v>46176</v>
      </c>
      <c r="C164" s="32" t="s">
        <v>443</v>
      </c>
      <c r="D164" s="120" t="s">
        <v>444</v>
      </c>
      <c r="E164" s="33" t="s">
        <v>42</v>
      </c>
      <c r="F164" s="18" t="s">
        <v>63</v>
      </c>
      <c r="G164" s="18" t="s">
        <v>117</v>
      </c>
      <c r="H164" s="34" t="s">
        <v>86</v>
      </c>
      <c r="I164" s="18" t="s">
        <v>104</v>
      </c>
      <c r="J164" s="31" t="s">
        <v>105</v>
      </c>
      <c r="K164" s="31">
        <v>46176</v>
      </c>
      <c r="L164" s="4"/>
      <c r="M164" s="4"/>
      <c r="N164" s="13" t="s">
        <v>29</v>
      </c>
      <c r="O164" s="35" t="str">
        <f>IF(D164="","",IF(COUNTIF(离职清单!C:C,D164)&gt;0,"已离职","在职"))</f>
        <v>在职</v>
      </c>
      <c r="P164" s="35" t="str">
        <f>IF(AND(O164="在职",J164="是"),COUNTIF(O$2:O164,"在职"),"")</f>
        <v/>
      </c>
    </row>
    <row r="165" customFormat="1" ht="18" spans="1:16">
      <c r="A165" s="14">
        <f t="shared" si="2"/>
        <v>164</v>
      </c>
      <c r="B165" s="31">
        <v>46176</v>
      </c>
      <c r="C165" s="32" t="s">
        <v>445</v>
      </c>
      <c r="D165" s="120" t="s">
        <v>446</v>
      </c>
      <c r="E165" s="33" t="s">
        <v>42</v>
      </c>
      <c r="F165" s="18" t="s">
        <v>63</v>
      </c>
      <c r="G165" s="18" t="s">
        <v>117</v>
      </c>
      <c r="H165" s="34" t="s">
        <v>86</v>
      </c>
      <c r="I165" s="18" t="s">
        <v>104</v>
      </c>
      <c r="J165" s="31" t="s">
        <v>105</v>
      </c>
      <c r="K165" s="31">
        <v>46176</v>
      </c>
      <c r="L165" s="4"/>
      <c r="M165" s="4"/>
      <c r="N165" s="13" t="s">
        <v>29</v>
      </c>
      <c r="O165" s="35" t="str">
        <f>IF(D165="","",IF(COUNTIF(离职清单!C:C,D165)&gt;0,"已离职","在职"))</f>
        <v>在职</v>
      </c>
      <c r="P165" s="35" t="str">
        <f>IF(AND(O165="在职",J165="是"),COUNTIF(O$2:O165,"在职"),"")</f>
        <v/>
      </c>
    </row>
    <row r="166" customFormat="1" ht="18" spans="1:16">
      <c r="A166" s="10">
        <f t="shared" si="2"/>
        <v>165</v>
      </c>
      <c r="B166" s="31">
        <v>46176</v>
      </c>
      <c r="C166" s="32" t="s">
        <v>400</v>
      </c>
      <c r="D166" s="120" t="s">
        <v>447</v>
      </c>
      <c r="E166" s="33" t="s">
        <v>74</v>
      </c>
      <c r="F166" s="18" t="s">
        <v>64</v>
      </c>
      <c r="G166" s="18" t="s">
        <v>124</v>
      </c>
      <c r="H166" s="34" t="s">
        <v>86</v>
      </c>
      <c r="I166" s="18" t="s">
        <v>104</v>
      </c>
      <c r="J166" s="31" t="s">
        <v>114</v>
      </c>
      <c r="K166" s="31">
        <v>46176</v>
      </c>
      <c r="L166" s="4"/>
      <c r="M166" s="4"/>
      <c r="N166" s="13" t="s">
        <v>29</v>
      </c>
      <c r="O166" s="35" t="str">
        <f>IF(D166="","",IF(COUNTIF(离职清单!C:C,D166)&gt;0,"已离职","在职"))</f>
        <v>在职</v>
      </c>
      <c r="P166" s="35">
        <f>IF(AND(O166="在职",J166="是"),COUNTIF(O$2:O166,"在职"),"")</f>
        <v>159</v>
      </c>
    </row>
    <row r="167" customFormat="1" ht="18" spans="1:16">
      <c r="A167" s="14">
        <f t="shared" si="2"/>
        <v>166</v>
      </c>
      <c r="B167" s="31">
        <v>46176</v>
      </c>
      <c r="C167" s="32" t="s">
        <v>448</v>
      </c>
      <c r="D167" s="120" t="s">
        <v>449</v>
      </c>
      <c r="E167" s="33" t="s">
        <v>42</v>
      </c>
      <c r="F167" s="18" t="s">
        <v>64</v>
      </c>
      <c r="G167" s="18" t="s">
        <v>129</v>
      </c>
      <c r="H167" s="34" t="s">
        <v>86</v>
      </c>
      <c r="I167" s="18" t="s">
        <v>104</v>
      </c>
      <c r="J167" s="31" t="s">
        <v>114</v>
      </c>
      <c r="K167" s="31">
        <v>46176</v>
      </c>
      <c r="L167" s="4"/>
      <c r="M167" s="4"/>
      <c r="N167" s="13" t="s">
        <v>29</v>
      </c>
      <c r="O167" s="35" t="str">
        <f>IF(D167="","",IF(COUNTIF(离职清单!C:C,D167)&gt;0,"已离职","在职"))</f>
        <v>在职</v>
      </c>
      <c r="P167" s="35">
        <f>IF(AND(O167="在职",J167="是"),COUNTIF(O$2:O167,"在职"),"")</f>
        <v>160</v>
      </c>
    </row>
    <row r="168" customFormat="1" ht="18" spans="1:16">
      <c r="A168" s="10">
        <f t="shared" si="2"/>
        <v>167</v>
      </c>
      <c r="B168" s="31">
        <v>46176</v>
      </c>
      <c r="C168" s="32" t="s">
        <v>450</v>
      </c>
      <c r="D168" s="120" t="s">
        <v>451</v>
      </c>
      <c r="E168" s="33" t="s">
        <v>42</v>
      </c>
      <c r="F168" s="18" t="s">
        <v>63</v>
      </c>
      <c r="G168" s="18" t="s">
        <v>246</v>
      </c>
      <c r="H168" s="34" t="s">
        <v>86</v>
      </c>
      <c r="I168" s="18" t="s">
        <v>104</v>
      </c>
      <c r="J168" s="31" t="s">
        <v>105</v>
      </c>
      <c r="K168" s="31">
        <v>46176</v>
      </c>
      <c r="L168" s="4"/>
      <c r="M168" s="4"/>
      <c r="N168" s="13" t="s">
        <v>29</v>
      </c>
      <c r="O168" s="35" t="str">
        <f>IF(D168="","",IF(COUNTIF(离职清单!C:C,D168)&gt;0,"已离职","在职"))</f>
        <v>在职</v>
      </c>
      <c r="P168" s="35" t="str">
        <f>IF(AND(O168="在职",J168="是"),COUNTIF(O$2:O168,"在职"),"")</f>
        <v/>
      </c>
    </row>
    <row r="169" customFormat="1" ht="18" spans="1:16">
      <c r="A169" s="14">
        <f t="shared" si="2"/>
        <v>168</v>
      </c>
      <c r="B169" s="31">
        <v>46176</v>
      </c>
      <c r="C169" s="32" t="s">
        <v>452</v>
      </c>
      <c r="D169" s="120" t="s">
        <v>453</v>
      </c>
      <c r="E169" s="33" t="s">
        <v>42</v>
      </c>
      <c r="F169" s="18" t="s">
        <v>64</v>
      </c>
      <c r="G169" s="18" t="s">
        <v>312</v>
      </c>
      <c r="H169" s="34" t="s">
        <v>86</v>
      </c>
      <c r="I169" s="18" t="s">
        <v>104</v>
      </c>
      <c r="J169" s="31" t="s">
        <v>105</v>
      </c>
      <c r="K169" s="31">
        <v>46176</v>
      </c>
      <c r="L169" s="4"/>
      <c r="M169" s="4"/>
      <c r="N169" s="13" t="s">
        <v>29</v>
      </c>
      <c r="O169" s="35" t="str">
        <f>IF(D169="","",IF(COUNTIF(离职清单!C:C,D169)&gt;0,"已离职","在职"))</f>
        <v>在职</v>
      </c>
      <c r="P169" s="35" t="str">
        <f>IF(AND(O169="在职",J169="是"),COUNTIF(O$2:O169,"在职"),"")</f>
        <v/>
      </c>
    </row>
    <row r="170" customFormat="1" ht="18" spans="1:16">
      <c r="A170" s="10">
        <f t="shared" si="2"/>
        <v>169</v>
      </c>
      <c r="B170" s="31">
        <v>46176</v>
      </c>
      <c r="C170" s="32" t="s">
        <v>454</v>
      </c>
      <c r="D170" s="120" t="s">
        <v>455</v>
      </c>
      <c r="E170" s="33" t="s">
        <v>43</v>
      </c>
      <c r="F170" s="18" t="s">
        <v>64</v>
      </c>
      <c r="G170" s="18" t="s">
        <v>148</v>
      </c>
      <c r="H170" s="34" t="s">
        <v>86</v>
      </c>
      <c r="I170" s="18" t="s">
        <v>111</v>
      </c>
      <c r="J170" s="31" t="s">
        <v>105</v>
      </c>
      <c r="K170" s="31">
        <v>46176</v>
      </c>
      <c r="L170" s="4"/>
      <c r="M170" s="4"/>
      <c r="N170" s="13" t="s">
        <v>29</v>
      </c>
      <c r="O170" s="35" t="str">
        <f>IF(D170="","",IF(COUNTIF(离职清单!C:C,D170)&gt;0,"已离职","在职"))</f>
        <v>在职</v>
      </c>
      <c r="P170" s="35" t="str">
        <f>IF(AND(O170="在职",J170="是"),COUNTIF(O$2:O170,"在职"),"")</f>
        <v/>
      </c>
    </row>
    <row r="171" customFormat="1" ht="18" spans="1:16">
      <c r="A171" s="14">
        <f t="shared" si="2"/>
        <v>170</v>
      </c>
      <c r="B171" s="31">
        <v>46176</v>
      </c>
      <c r="C171" s="32" t="s">
        <v>456</v>
      </c>
      <c r="D171" s="120" t="s">
        <v>457</v>
      </c>
      <c r="E171" s="33" t="s">
        <v>42</v>
      </c>
      <c r="F171" s="18" t="s">
        <v>64</v>
      </c>
      <c r="G171" s="18" t="s">
        <v>148</v>
      </c>
      <c r="H171" s="34" t="s">
        <v>86</v>
      </c>
      <c r="I171" s="18" t="s">
        <v>111</v>
      </c>
      <c r="J171" s="31" t="s">
        <v>105</v>
      </c>
      <c r="K171" s="31">
        <v>46176</v>
      </c>
      <c r="L171" s="4"/>
      <c r="M171" s="4"/>
      <c r="N171" s="13" t="s">
        <v>29</v>
      </c>
      <c r="O171" s="35" t="str">
        <f>IF(D171="","",IF(COUNTIF(离职清单!C:C,D171)&gt;0,"已离职","在职"))</f>
        <v>在职</v>
      </c>
      <c r="P171" s="35" t="str">
        <f>IF(AND(O171="在职",J171="是"),COUNTIF(O$2:O171,"在职"),"")</f>
        <v/>
      </c>
    </row>
    <row r="172" customFormat="1" ht="18" spans="1:16">
      <c r="A172" s="10">
        <f t="shared" si="2"/>
        <v>171</v>
      </c>
      <c r="B172" s="31">
        <v>46176</v>
      </c>
      <c r="C172" s="32" t="s">
        <v>458</v>
      </c>
      <c r="D172" s="120" t="s">
        <v>459</v>
      </c>
      <c r="E172" s="33" t="s">
        <v>43</v>
      </c>
      <c r="F172" s="18" t="s">
        <v>62</v>
      </c>
      <c r="G172" s="18" t="s">
        <v>148</v>
      </c>
      <c r="H172" s="34" t="s">
        <v>86</v>
      </c>
      <c r="I172" s="18" t="s">
        <v>104</v>
      </c>
      <c r="J172" s="31" t="s">
        <v>105</v>
      </c>
      <c r="K172" s="31">
        <v>46176</v>
      </c>
      <c r="L172" s="4"/>
      <c r="M172" s="4"/>
      <c r="N172" s="13" t="s">
        <v>29</v>
      </c>
      <c r="O172" s="35" t="str">
        <f>IF(D172="","",IF(COUNTIF(离职清单!C:C,D172)&gt;0,"已离职","在职"))</f>
        <v>在职</v>
      </c>
      <c r="P172" s="35" t="str">
        <f>IF(AND(O172="在职",J172="是"),COUNTIF(O$2:O172,"在职"),"")</f>
        <v/>
      </c>
    </row>
    <row r="173" customFormat="1" ht="18" spans="1:16">
      <c r="A173" s="14">
        <f t="shared" si="2"/>
        <v>172</v>
      </c>
      <c r="B173" s="31">
        <v>46176</v>
      </c>
      <c r="C173" s="32" t="s">
        <v>353</v>
      </c>
      <c r="D173" s="120" t="s">
        <v>460</v>
      </c>
      <c r="E173" s="33" t="s">
        <v>42</v>
      </c>
      <c r="F173" s="18" t="s">
        <v>64</v>
      </c>
      <c r="G173" s="18" t="s">
        <v>148</v>
      </c>
      <c r="H173" s="34" t="s">
        <v>86</v>
      </c>
      <c r="I173" s="18" t="s">
        <v>104</v>
      </c>
      <c r="J173" s="31" t="s">
        <v>114</v>
      </c>
      <c r="K173" s="31">
        <v>46176</v>
      </c>
      <c r="L173" s="4"/>
      <c r="M173" s="4"/>
      <c r="N173" s="13" t="s">
        <v>29</v>
      </c>
      <c r="O173" s="35" t="str">
        <f>IF(D173="","",IF(COUNTIF(离职清单!C:C,D173)&gt;0,"已离职","在职"))</f>
        <v>在职</v>
      </c>
      <c r="P173" s="35">
        <f>IF(AND(O173="在职",J173="是"),COUNTIF(O$2:O173,"在职"),"")</f>
        <v>166</v>
      </c>
    </row>
    <row r="174" customFormat="1" ht="18" spans="1:16">
      <c r="A174" s="10">
        <f t="shared" si="2"/>
        <v>173</v>
      </c>
      <c r="B174" s="31">
        <v>46176</v>
      </c>
      <c r="C174" s="32" t="s">
        <v>112</v>
      </c>
      <c r="D174" s="120" t="s">
        <v>461</v>
      </c>
      <c r="E174" s="33" t="s">
        <v>74</v>
      </c>
      <c r="F174" s="18" t="s">
        <v>64</v>
      </c>
      <c r="G174" s="18" t="s">
        <v>173</v>
      </c>
      <c r="H174" s="34" t="s">
        <v>86</v>
      </c>
      <c r="I174" s="18" t="s">
        <v>104</v>
      </c>
      <c r="J174" s="31" t="s">
        <v>114</v>
      </c>
      <c r="K174" s="31">
        <v>46176</v>
      </c>
      <c r="L174" s="4"/>
      <c r="M174" s="4"/>
      <c r="N174" s="13" t="s">
        <v>29</v>
      </c>
      <c r="O174" s="35" t="str">
        <f>IF(D174="","",IF(COUNTIF(离职清单!C:C,D174)&gt;0,"已离职","在职"))</f>
        <v>在职</v>
      </c>
      <c r="P174" s="35">
        <f>IF(AND(O174="在职",J174="是"),COUNTIF(O$2:O174,"在职"),"")</f>
        <v>167</v>
      </c>
    </row>
    <row r="175" customFormat="1" ht="18" spans="1:16">
      <c r="A175" s="14">
        <f t="shared" ref="A175:A193" si="3">IF(B175&lt;&gt;"",ROW()-1,"")</f>
        <v>174</v>
      </c>
      <c r="B175" s="31">
        <v>46176</v>
      </c>
      <c r="C175" s="32" t="s">
        <v>462</v>
      </c>
      <c r="D175" s="120" t="s">
        <v>463</v>
      </c>
      <c r="E175" s="33" t="s">
        <v>43</v>
      </c>
      <c r="F175" s="18" t="s">
        <v>64</v>
      </c>
      <c r="G175" s="18" t="s">
        <v>135</v>
      </c>
      <c r="H175" s="34" t="s">
        <v>86</v>
      </c>
      <c r="I175" s="18" t="s">
        <v>104</v>
      </c>
      <c r="J175" s="31" t="s">
        <v>105</v>
      </c>
      <c r="K175" s="31">
        <v>46176</v>
      </c>
      <c r="L175" s="4"/>
      <c r="M175" s="4"/>
      <c r="N175" s="13" t="s">
        <v>29</v>
      </c>
      <c r="O175" s="35" t="str">
        <f>IF(D175="","",IF(COUNTIF(离职清单!C:C,D175)&gt;0,"已离职","在职"))</f>
        <v>在职</v>
      </c>
      <c r="P175" s="35" t="str">
        <f>IF(AND(O175="在职",J175="是"),COUNTIF(O$2:O175,"在职"),"")</f>
        <v/>
      </c>
    </row>
    <row r="176" customFormat="1" ht="18" spans="1:16">
      <c r="A176" s="14">
        <f t="shared" si="3"/>
        <v>175</v>
      </c>
      <c r="B176" s="31">
        <v>46176</v>
      </c>
      <c r="C176" s="32" t="s">
        <v>464</v>
      </c>
      <c r="D176" s="120" t="s">
        <v>465</v>
      </c>
      <c r="E176" s="33" t="s">
        <v>74</v>
      </c>
      <c r="F176" s="18" t="s">
        <v>190</v>
      </c>
      <c r="G176" s="18" t="s">
        <v>135</v>
      </c>
      <c r="H176" s="34" t="s">
        <v>86</v>
      </c>
      <c r="I176" s="18" t="s">
        <v>104</v>
      </c>
      <c r="J176" s="31" t="s">
        <v>114</v>
      </c>
      <c r="K176" s="31">
        <v>46176</v>
      </c>
      <c r="L176" s="4"/>
      <c r="M176" s="4"/>
      <c r="N176" s="13" t="s">
        <v>29</v>
      </c>
      <c r="O176" s="35" t="str">
        <f>IF(D176="","",IF(COUNTIF(离职清单!C:C,D176)&gt;0,"已离职","在职"))</f>
        <v>在职</v>
      </c>
      <c r="P176" s="35">
        <f>IF(AND(O176="在职",J176="是"),COUNTIF(O$2:O176,"在职"),"")</f>
        <v>169</v>
      </c>
    </row>
    <row r="177" customFormat="1" ht="18" spans="1:16">
      <c r="A177" s="10">
        <f t="shared" si="3"/>
        <v>176</v>
      </c>
      <c r="B177" s="31">
        <v>46176</v>
      </c>
      <c r="C177" s="32" t="s">
        <v>466</v>
      </c>
      <c r="D177" s="120" t="s">
        <v>467</v>
      </c>
      <c r="E177" s="33" t="s">
        <v>43</v>
      </c>
      <c r="F177" s="18" t="s">
        <v>64</v>
      </c>
      <c r="G177" s="18" t="s">
        <v>468</v>
      </c>
      <c r="H177" s="34" t="s">
        <v>86</v>
      </c>
      <c r="I177" s="18" t="s">
        <v>111</v>
      </c>
      <c r="J177" s="31" t="s">
        <v>105</v>
      </c>
      <c r="K177" s="31">
        <v>46176</v>
      </c>
      <c r="L177" s="4"/>
      <c r="M177" s="4"/>
      <c r="N177" s="13" t="s">
        <v>29</v>
      </c>
      <c r="O177" s="35" t="str">
        <f>IF(D177="","",IF(COUNTIF(离职清单!C:C,D177)&gt;0,"已离职","在职"))</f>
        <v>在职</v>
      </c>
      <c r="P177" s="35" t="str">
        <f>IF(AND(O177="在职",J177="是"),COUNTIF(O$2:O177,"在职"),"")</f>
        <v/>
      </c>
    </row>
    <row r="178" customFormat="1" ht="18" spans="1:16">
      <c r="A178" s="14">
        <f t="shared" si="3"/>
        <v>177</v>
      </c>
      <c r="B178" s="31">
        <v>46176</v>
      </c>
      <c r="C178" s="32" t="s">
        <v>469</v>
      </c>
      <c r="D178" s="120" t="s">
        <v>470</v>
      </c>
      <c r="E178" s="33" t="s">
        <v>74</v>
      </c>
      <c r="F178" s="18" t="s">
        <v>64</v>
      </c>
      <c r="G178" s="18" t="s">
        <v>110</v>
      </c>
      <c r="H178" s="34" t="s">
        <v>86</v>
      </c>
      <c r="I178" s="18" t="s">
        <v>104</v>
      </c>
      <c r="J178" s="31" t="s">
        <v>105</v>
      </c>
      <c r="K178" s="31">
        <v>46176</v>
      </c>
      <c r="L178" s="4"/>
      <c r="M178" s="4"/>
      <c r="N178" s="13" t="s">
        <v>29</v>
      </c>
      <c r="O178" s="35" t="str">
        <f>IF(D178="","",IF(COUNTIF(离职清单!C:C,D178)&gt;0,"已离职","在职"))</f>
        <v>在职</v>
      </c>
      <c r="P178" s="35" t="str">
        <f>IF(AND(O178="在职",J178="是"),COUNTIF(O$2:O178,"在职"),"")</f>
        <v/>
      </c>
    </row>
    <row r="179" customFormat="1" ht="18" spans="1:16">
      <c r="A179" s="10">
        <f t="shared" si="3"/>
        <v>178</v>
      </c>
      <c r="B179" s="31">
        <v>46176</v>
      </c>
      <c r="C179" s="32" t="s">
        <v>471</v>
      </c>
      <c r="D179" s="120" t="s">
        <v>472</v>
      </c>
      <c r="E179" s="33" t="s">
        <v>42</v>
      </c>
      <c r="F179" s="18" t="s">
        <v>63</v>
      </c>
      <c r="G179" s="18" t="s">
        <v>173</v>
      </c>
      <c r="H179" s="34" t="s">
        <v>86</v>
      </c>
      <c r="I179" s="18" t="s">
        <v>104</v>
      </c>
      <c r="J179" s="31" t="s">
        <v>114</v>
      </c>
      <c r="K179" s="31">
        <v>46176</v>
      </c>
      <c r="L179" s="4"/>
      <c r="M179" s="4"/>
      <c r="N179" s="13" t="s">
        <v>29</v>
      </c>
      <c r="O179" s="35" t="str">
        <f>IF(D179="","",IF(COUNTIF(离职清单!C:C,D179)&gt;0,"已离职","在职"))</f>
        <v>在职</v>
      </c>
      <c r="P179" s="35">
        <f>IF(AND(O179="在职",J179="是"),COUNTIF(O$2:O179,"在职"),"")</f>
        <v>172</v>
      </c>
    </row>
    <row r="180" customFormat="1" ht="18" spans="1:16">
      <c r="A180" s="14">
        <f t="shared" si="3"/>
        <v>179</v>
      </c>
      <c r="B180" s="31">
        <v>46176</v>
      </c>
      <c r="C180" s="32" t="s">
        <v>263</v>
      </c>
      <c r="D180" s="120" t="s">
        <v>473</v>
      </c>
      <c r="E180" s="33" t="s">
        <v>74</v>
      </c>
      <c r="F180" s="18" t="s">
        <v>64</v>
      </c>
      <c r="G180" s="18" t="s">
        <v>124</v>
      </c>
      <c r="H180" s="34" t="s">
        <v>86</v>
      </c>
      <c r="I180" s="18" t="s">
        <v>104</v>
      </c>
      <c r="J180" s="31" t="s">
        <v>114</v>
      </c>
      <c r="K180" s="31">
        <v>46176</v>
      </c>
      <c r="L180" s="4"/>
      <c r="M180" s="4"/>
      <c r="N180" s="13" t="s">
        <v>29</v>
      </c>
      <c r="O180" s="35" t="str">
        <f>IF(D180="","",IF(COUNTIF(离职清单!C:C,D180)&gt;0,"已离职","在职"))</f>
        <v>在职</v>
      </c>
      <c r="P180" s="35">
        <f>IF(AND(O180="在职",J180="是"),COUNTIF(O$2:O180,"在职"),"")</f>
        <v>173</v>
      </c>
    </row>
    <row r="181" customFormat="1" ht="18" spans="1:16">
      <c r="A181" s="10">
        <f t="shared" si="3"/>
        <v>180</v>
      </c>
      <c r="B181" s="31">
        <v>46176</v>
      </c>
      <c r="C181" s="32" t="s">
        <v>474</v>
      </c>
      <c r="D181" s="120" t="s">
        <v>475</v>
      </c>
      <c r="E181" s="33" t="s">
        <v>74</v>
      </c>
      <c r="F181" s="18" t="s">
        <v>190</v>
      </c>
      <c r="G181" s="18" t="s">
        <v>103</v>
      </c>
      <c r="H181" s="34" t="s">
        <v>86</v>
      </c>
      <c r="I181" s="18" t="s">
        <v>111</v>
      </c>
      <c r="J181" s="31" t="s">
        <v>105</v>
      </c>
      <c r="K181" s="31">
        <v>46176</v>
      </c>
      <c r="L181" s="4"/>
      <c r="M181" s="4"/>
      <c r="N181" s="13" t="s">
        <v>29</v>
      </c>
      <c r="O181" s="35" t="str">
        <f>IF(D181="","",IF(COUNTIF(离职清单!C:C,D181)&gt;0,"已离职","在职"))</f>
        <v>在职</v>
      </c>
      <c r="P181" s="35" t="str">
        <f>IF(AND(O181="在职",J181="是"),COUNTIF(O$2:O181,"在职"),"")</f>
        <v/>
      </c>
    </row>
    <row r="182" customFormat="1" ht="18" spans="1:16">
      <c r="A182" s="14">
        <f t="shared" si="3"/>
        <v>181</v>
      </c>
      <c r="B182" s="31">
        <v>46176</v>
      </c>
      <c r="C182" s="32" t="s">
        <v>476</v>
      </c>
      <c r="D182" s="120" t="s">
        <v>477</v>
      </c>
      <c r="E182" s="33" t="s">
        <v>43</v>
      </c>
      <c r="F182" s="18" t="s">
        <v>63</v>
      </c>
      <c r="G182" s="18" t="s">
        <v>103</v>
      </c>
      <c r="H182" s="34" t="s">
        <v>86</v>
      </c>
      <c r="I182" s="18" t="s">
        <v>111</v>
      </c>
      <c r="J182" s="31" t="s">
        <v>105</v>
      </c>
      <c r="K182" s="31">
        <v>46176</v>
      </c>
      <c r="L182" s="4"/>
      <c r="M182" s="4"/>
      <c r="N182" s="13" t="s">
        <v>29</v>
      </c>
      <c r="O182" s="35" t="str">
        <f>IF(D182="","",IF(COUNTIF(离职清单!C:C,D182)&gt;0,"已离职","在职"))</f>
        <v>在职</v>
      </c>
      <c r="P182" s="35" t="str">
        <f>IF(AND(O182="在职",J182="是"),COUNTIF(O$2:O182,"在职"),"")</f>
        <v/>
      </c>
    </row>
    <row r="183" customFormat="1" ht="18" spans="1:16">
      <c r="A183" s="10">
        <f t="shared" si="3"/>
        <v>182</v>
      </c>
      <c r="B183" s="31">
        <v>46176</v>
      </c>
      <c r="C183" s="32" t="s">
        <v>296</v>
      </c>
      <c r="D183" s="120" t="s">
        <v>478</v>
      </c>
      <c r="E183" s="33" t="s">
        <v>42</v>
      </c>
      <c r="F183" s="18" t="s">
        <v>64</v>
      </c>
      <c r="G183" s="18" t="s">
        <v>103</v>
      </c>
      <c r="H183" s="34" t="s">
        <v>86</v>
      </c>
      <c r="I183" s="18" t="s">
        <v>111</v>
      </c>
      <c r="J183" s="31" t="s">
        <v>105</v>
      </c>
      <c r="K183" s="31">
        <v>46176</v>
      </c>
      <c r="L183" s="4"/>
      <c r="M183" s="4"/>
      <c r="N183" s="13" t="s">
        <v>29</v>
      </c>
      <c r="O183" s="35" t="str">
        <f>IF(D183="","",IF(COUNTIF(离职清单!C:C,D183)&gt;0,"已离职","在职"))</f>
        <v>在职</v>
      </c>
      <c r="P183" s="35" t="str">
        <f>IF(AND(O183="在职",J183="是"),COUNTIF(O$2:O183,"在职"),"")</f>
        <v/>
      </c>
    </row>
    <row r="184" customFormat="1" ht="18" spans="1:16">
      <c r="A184" s="14">
        <f t="shared" si="3"/>
        <v>183</v>
      </c>
      <c r="B184" s="31">
        <v>46176</v>
      </c>
      <c r="C184" s="32" t="s">
        <v>479</v>
      </c>
      <c r="D184" s="120" t="s">
        <v>480</v>
      </c>
      <c r="E184" s="33" t="s">
        <v>42</v>
      </c>
      <c r="F184" s="18" t="s">
        <v>62</v>
      </c>
      <c r="G184" s="18" t="s">
        <v>179</v>
      </c>
      <c r="H184" s="34" t="s">
        <v>86</v>
      </c>
      <c r="I184" s="18" t="s">
        <v>104</v>
      </c>
      <c r="J184" s="31" t="s">
        <v>105</v>
      </c>
      <c r="K184" s="31">
        <v>46176</v>
      </c>
      <c r="L184" s="4"/>
      <c r="M184" s="4"/>
      <c r="N184" s="13" t="s">
        <v>29</v>
      </c>
      <c r="O184" s="35" t="str">
        <f>IF(D184="","",IF(COUNTIF(离职清单!C:C,D184)&gt;0,"已离职","在职"))</f>
        <v>在职</v>
      </c>
      <c r="P184" s="35" t="str">
        <f>IF(AND(O184="在职",J184="是"),COUNTIF(O$2:O184,"在职"),"")</f>
        <v/>
      </c>
    </row>
    <row r="185" customFormat="1" ht="18" spans="1:16">
      <c r="A185" s="14">
        <f t="shared" si="3"/>
        <v>184</v>
      </c>
      <c r="B185" s="31">
        <v>46176</v>
      </c>
      <c r="C185" s="32" t="s">
        <v>481</v>
      </c>
      <c r="D185" s="120" t="s">
        <v>482</v>
      </c>
      <c r="E185" s="33" t="s">
        <v>74</v>
      </c>
      <c r="F185" s="18" t="s">
        <v>64</v>
      </c>
      <c r="G185" s="18" t="s">
        <v>179</v>
      </c>
      <c r="H185" s="34" t="s">
        <v>86</v>
      </c>
      <c r="I185" s="18" t="s">
        <v>104</v>
      </c>
      <c r="J185" s="31" t="s">
        <v>105</v>
      </c>
      <c r="K185" s="31">
        <v>46176</v>
      </c>
      <c r="L185" s="4"/>
      <c r="M185" s="4"/>
      <c r="N185" s="13" t="s">
        <v>29</v>
      </c>
      <c r="O185" s="35" t="str">
        <f>IF(D185="","",IF(COUNTIF(离职清单!C:C,D185)&gt;0,"已离职","在职"))</f>
        <v>在职</v>
      </c>
      <c r="P185" s="35" t="str">
        <f>IF(AND(O185="在职",J185="是"),COUNTIF(O$2:O185,"在职"),"")</f>
        <v/>
      </c>
    </row>
    <row r="186" customFormat="1" ht="18" spans="1:16">
      <c r="A186" s="10">
        <f t="shared" si="3"/>
        <v>185</v>
      </c>
      <c r="B186" s="31">
        <v>46176</v>
      </c>
      <c r="C186" s="32" t="s">
        <v>483</v>
      </c>
      <c r="D186" s="120" t="s">
        <v>484</v>
      </c>
      <c r="E186" s="33" t="s">
        <v>74</v>
      </c>
      <c r="F186" s="18" t="s">
        <v>64</v>
      </c>
      <c r="G186" s="18" t="s">
        <v>179</v>
      </c>
      <c r="H186" s="34" t="s">
        <v>86</v>
      </c>
      <c r="I186" s="18" t="s">
        <v>104</v>
      </c>
      <c r="J186" s="31" t="s">
        <v>105</v>
      </c>
      <c r="K186" s="31">
        <v>46176</v>
      </c>
      <c r="L186" s="4"/>
      <c r="M186" s="4"/>
      <c r="N186" s="13" t="s">
        <v>29</v>
      </c>
      <c r="O186" s="35" t="str">
        <f>IF(D186="","",IF(COUNTIF(离职清单!C:C,D186)&gt;0,"已离职","在职"))</f>
        <v>在职</v>
      </c>
      <c r="P186" s="35" t="str">
        <f>IF(AND(O186="在职",J186="是"),COUNTIF(O$2:O186,"在职"),"")</f>
        <v/>
      </c>
    </row>
    <row r="187" customFormat="1" ht="18" spans="1:16">
      <c r="A187" s="14">
        <f t="shared" si="3"/>
        <v>186</v>
      </c>
      <c r="B187" s="31">
        <v>46176</v>
      </c>
      <c r="C187" s="32" t="s">
        <v>485</v>
      </c>
      <c r="D187" s="120" t="s">
        <v>486</v>
      </c>
      <c r="E187" s="33" t="s">
        <v>43</v>
      </c>
      <c r="F187" s="18" t="s">
        <v>64</v>
      </c>
      <c r="G187" s="18" t="s">
        <v>179</v>
      </c>
      <c r="H187" s="34" t="s">
        <v>86</v>
      </c>
      <c r="I187" s="18" t="s">
        <v>104</v>
      </c>
      <c r="J187" s="31" t="s">
        <v>105</v>
      </c>
      <c r="K187" s="31">
        <v>46176</v>
      </c>
      <c r="L187" s="4"/>
      <c r="M187" s="4"/>
      <c r="N187" s="13" t="s">
        <v>29</v>
      </c>
      <c r="O187" s="35" t="str">
        <f>IF(D187="","",IF(COUNTIF(离职清单!C:C,D187)&gt;0,"已离职","在职"))</f>
        <v>在职</v>
      </c>
      <c r="P187" s="35" t="str">
        <f>IF(AND(O187="在职",J187="是"),COUNTIF(O$2:O187,"在职"),"")</f>
        <v/>
      </c>
    </row>
    <row r="188" customFormat="1" ht="18" spans="1:16">
      <c r="A188" s="14">
        <f t="shared" si="3"/>
        <v>187</v>
      </c>
      <c r="B188" s="31">
        <v>46176</v>
      </c>
      <c r="C188" s="32" t="s">
        <v>487</v>
      </c>
      <c r="D188" s="120" t="s">
        <v>488</v>
      </c>
      <c r="E188" s="33" t="s">
        <v>43</v>
      </c>
      <c r="F188" s="18" t="s">
        <v>64</v>
      </c>
      <c r="G188" s="18" t="s">
        <v>179</v>
      </c>
      <c r="H188" s="34" t="s">
        <v>86</v>
      </c>
      <c r="I188" s="18" t="s">
        <v>104</v>
      </c>
      <c r="J188" s="31" t="s">
        <v>105</v>
      </c>
      <c r="K188" s="31">
        <v>46176</v>
      </c>
      <c r="L188" s="4"/>
      <c r="M188" s="4"/>
      <c r="N188" s="13" t="s">
        <v>29</v>
      </c>
      <c r="O188" s="35" t="str">
        <f>IF(D188="","",IF(COUNTIF(离职清单!C:C,D188)&gt;0,"已离职","在职"))</f>
        <v>在职</v>
      </c>
      <c r="P188" s="35" t="str">
        <f>IF(AND(O188="在职",J188="是"),COUNTIF(O$2:O188,"在职"),"")</f>
        <v/>
      </c>
    </row>
    <row r="189" customFormat="1" ht="18" spans="1:16">
      <c r="A189" s="10">
        <f t="shared" si="3"/>
        <v>188</v>
      </c>
      <c r="B189" s="31">
        <v>46176</v>
      </c>
      <c r="C189" s="32" t="s">
        <v>489</v>
      </c>
      <c r="D189" s="120" t="s">
        <v>490</v>
      </c>
      <c r="E189" s="33" t="s">
        <v>74</v>
      </c>
      <c r="F189" s="18" t="s">
        <v>64</v>
      </c>
      <c r="G189" s="18" t="s">
        <v>179</v>
      </c>
      <c r="H189" s="34" t="s">
        <v>86</v>
      </c>
      <c r="I189" s="18" t="s">
        <v>104</v>
      </c>
      <c r="J189" s="31" t="s">
        <v>114</v>
      </c>
      <c r="K189" s="31">
        <v>46176</v>
      </c>
      <c r="L189" s="4"/>
      <c r="M189" s="4"/>
      <c r="N189" s="13" t="s">
        <v>29</v>
      </c>
      <c r="O189" s="35" t="str">
        <f>IF(D189="","",IF(COUNTIF(离职清单!C:C,D189)&gt;0,"已离职","在职"))</f>
        <v>在职</v>
      </c>
      <c r="P189" s="35">
        <f>IF(AND(O189="在职",J189="是"),COUNTIF(O$2:O189,"在职"),"")</f>
        <v>182</v>
      </c>
    </row>
    <row r="190" customFormat="1" ht="18" spans="1:16">
      <c r="A190" s="14">
        <f t="shared" si="3"/>
        <v>189</v>
      </c>
      <c r="B190" s="31">
        <v>46176</v>
      </c>
      <c r="C190" s="32" t="s">
        <v>491</v>
      </c>
      <c r="D190" s="120" t="s">
        <v>492</v>
      </c>
      <c r="E190" s="33" t="s">
        <v>42</v>
      </c>
      <c r="F190" s="18" t="s">
        <v>64</v>
      </c>
      <c r="G190" s="18" t="s">
        <v>179</v>
      </c>
      <c r="H190" s="34" t="s">
        <v>86</v>
      </c>
      <c r="I190" s="18" t="s">
        <v>104</v>
      </c>
      <c r="J190" s="31" t="s">
        <v>114</v>
      </c>
      <c r="K190" s="31">
        <v>46176</v>
      </c>
      <c r="L190" s="4"/>
      <c r="M190" s="4"/>
      <c r="N190" s="13" t="s">
        <v>29</v>
      </c>
      <c r="O190" s="35" t="str">
        <f>IF(D190="","",IF(COUNTIF(离职清单!C:C,D190)&gt;0,"已离职","在职"))</f>
        <v>在职</v>
      </c>
      <c r="P190" s="35">
        <f>IF(AND(O190="在职",J190="是"),COUNTIF(O$2:O190,"在职"),"")</f>
        <v>183</v>
      </c>
    </row>
    <row r="191" customFormat="1" ht="18" spans="1:16">
      <c r="A191" s="14">
        <f t="shared" si="3"/>
        <v>190</v>
      </c>
      <c r="B191" s="31">
        <v>46176</v>
      </c>
      <c r="C191" s="32" t="s">
        <v>493</v>
      </c>
      <c r="D191" s="120" t="s">
        <v>477</v>
      </c>
      <c r="E191" s="33" t="s">
        <v>74</v>
      </c>
      <c r="F191" s="18" t="s">
        <v>64</v>
      </c>
      <c r="G191" s="18" t="s">
        <v>179</v>
      </c>
      <c r="H191" s="34" t="s">
        <v>86</v>
      </c>
      <c r="I191" s="18" t="s">
        <v>111</v>
      </c>
      <c r="J191" s="31" t="s">
        <v>105</v>
      </c>
      <c r="K191" s="31">
        <v>46176</v>
      </c>
      <c r="L191" s="4"/>
      <c r="M191" s="4"/>
      <c r="N191" s="13" t="s">
        <v>29</v>
      </c>
      <c r="O191" s="35" t="str">
        <f>IF(D191="","",IF(COUNTIF(离职清单!C:C,D191)&gt;0,"已离职","在职"))</f>
        <v>在职</v>
      </c>
      <c r="P191" s="35" t="str">
        <f>IF(AND(O191="在职",J191="是"),COUNTIF(O$2:O191,"在职"),"")</f>
        <v/>
      </c>
    </row>
    <row r="192" customFormat="1" ht="18" spans="1:16">
      <c r="A192" s="10">
        <f t="shared" si="3"/>
        <v>191</v>
      </c>
      <c r="B192" s="31">
        <v>46176</v>
      </c>
      <c r="C192" s="32" t="s">
        <v>494</v>
      </c>
      <c r="D192" s="120" t="s">
        <v>478</v>
      </c>
      <c r="E192" s="33" t="s">
        <v>74</v>
      </c>
      <c r="F192" s="18" t="s">
        <v>64</v>
      </c>
      <c r="G192" s="18" t="s">
        <v>179</v>
      </c>
      <c r="H192" s="34" t="s">
        <v>86</v>
      </c>
      <c r="I192" s="18" t="s">
        <v>104</v>
      </c>
      <c r="J192" s="31" t="s">
        <v>114</v>
      </c>
      <c r="K192" s="31">
        <v>46176</v>
      </c>
      <c r="L192" s="4"/>
      <c r="M192" s="4"/>
      <c r="N192" s="13" t="s">
        <v>29</v>
      </c>
      <c r="O192" s="35" t="str">
        <f>IF(D192="","",IF(COUNTIF(离职清单!C:C,D192)&gt;0,"已离职","在职"))</f>
        <v>在职</v>
      </c>
      <c r="P192" s="35">
        <f>IF(AND(O192="在职",J192="是"),COUNTIF(O$2:O192,"在职"),"")</f>
        <v>185</v>
      </c>
    </row>
    <row r="193" customFormat="1" ht="18" spans="1:16">
      <c r="A193" s="14">
        <f t="shared" si="3"/>
        <v>192</v>
      </c>
      <c r="B193" s="31">
        <v>46176</v>
      </c>
      <c r="C193" s="32" t="s">
        <v>495</v>
      </c>
      <c r="D193" s="120" t="s">
        <v>480</v>
      </c>
      <c r="E193" s="33" t="s">
        <v>43</v>
      </c>
      <c r="F193" s="18" t="s">
        <v>64</v>
      </c>
      <c r="G193" s="18" t="s">
        <v>179</v>
      </c>
      <c r="H193" s="34" t="s">
        <v>86</v>
      </c>
      <c r="I193" s="18" t="s">
        <v>111</v>
      </c>
      <c r="J193" s="31" t="s">
        <v>105</v>
      </c>
      <c r="K193" s="31">
        <v>46176</v>
      </c>
      <c r="L193" s="4"/>
      <c r="M193" s="4"/>
      <c r="N193" s="13" t="s">
        <v>29</v>
      </c>
      <c r="O193" s="35" t="str">
        <f>IF(D193="","",IF(COUNTIF(离职清单!C:C,D193)&gt;0,"已离职","在职"))</f>
        <v>在职</v>
      </c>
      <c r="P193" s="35" t="str">
        <f>IF(AND(O193="在职",J193="是"),COUNTIF(O$2:O193,"在职"),"")</f>
        <v/>
      </c>
    </row>
    <row r="194" customFormat="1" ht="18" spans="1:16">
      <c r="A194" s="14">
        <f t="shared" ref="A194:A235" si="4">IF(B194&lt;&gt;"",ROW()-1,"")</f>
        <v>193</v>
      </c>
      <c r="B194" s="31">
        <v>46176</v>
      </c>
      <c r="C194" s="32" t="s">
        <v>496</v>
      </c>
      <c r="D194" s="120" t="s">
        <v>482</v>
      </c>
      <c r="E194" s="33" t="s">
        <v>74</v>
      </c>
      <c r="F194" s="18" t="s">
        <v>190</v>
      </c>
      <c r="G194" s="18" t="s">
        <v>117</v>
      </c>
      <c r="H194" s="34" t="s">
        <v>86</v>
      </c>
      <c r="I194" s="18" t="s">
        <v>104</v>
      </c>
      <c r="J194" s="31" t="s">
        <v>105</v>
      </c>
      <c r="K194" s="31">
        <v>46176</v>
      </c>
      <c r="L194" s="4"/>
      <c r="M194" s="4"/>
      <c r="N194" s="13" t="s">
        <v>29</v>
      </c>
      <c r="O194" s="35" t="str">
        <f>IF(D194="","",IF(COUNTIF(离职清单!C:C,D194)&gt;0,"已离职","在职"))</f>
        <v>在职</v>
      </c>
      <c r="P194" s="35" t="str">
        <f>IF(AND(O194="在职",J194="是"),COUNTIF(O$2:O194,"在职"),"")</f>
        <v/>
      </c>
    </row>
    <row r="195" customFormat="1" ht="18" spans="1:16">
      <c r="A195" s="10">
        <f t="shared" si="4"/>
        <v>194</v>
      </c>
      <c r="B195" s="31">
        <v>46176</v>
      </c>
      <c r="C195" s="32" t="s">
        <v>497</v>
      </c>
      <c r="D195" s="120" t="s">
        <v>484</v>
      </c>
      <c r="E195" s="33" t="s">
        <v>74</v>
      </c>
      <c r="F195" s="18" t="s">
        <v>190</v>
      </c>
      <c r="G195" s="18" t="s">
        <v>117</v>
      </c>
      <c r="H195" s="34" t="s">
        <v>86</v>
      </c>
      <c r="I195" s="18" t="s">
        <v>111</v>
      </c>
      <c r="J195" s="31" t="s">
        <v>105</v>
      </c>
      <c r="K195" s="31">
        <v>46176</v>
      </c>
      <c r="L195" s="4"/>
      <c r="M195" s="4"/>
      <c r="N195" s="13" t="s">
        <v>29</v>
      </c>
      <c r="O195" s="35" t="str">
        <f>IF(D195="","",IF(COUNTIF(离职清单!C:C,D195)&gt;0,"已离职","在职"))</f>
        <v>在职</v>
      </c>
      <c r="P195" s="35" t="str">
        <f>IF(AND(O195="在职",J195="是"),COUNTIF(O$2:O195,"在职"),"")</f>
        <v/>
      </c>
    </row>
    <row r="196" customFormat="1" ht="18" spans="1:16">
      <c r="A196" s="14">
        <f t="shared" si="4"/>
        <v>195</v>
      </c>
      <c r="B196" s="31">
        <v>46176</v>
      </c>
      <c r="C196" s="32" t="s">
        <v>498</v>
      </c>
      <c r="D196" s="120" t="s">
        <v>486</v>
      </c>
      <c r="E196" s="33" t="s">
        <v>43</v>
      </c>
      <c r="F196" s="18" t="s">
        <v>62</v>
      </c>
      <c r="G196" s="18" t="s">
        <v>103</v>
      </c>
      <c r="H196" s="34" t="s">
        <v>86</v>
      </c>
      <c r="I196" s="18" t="s">
        <v>104</v>
      </c>
      <c r="J196" s="31" t="s">
        <v>105</v>
      </c>
      <c r="K196" s="31">
        <v>46176</v>
      </c>
      <c r="L196" s="4"/>
      <c r="M196" s="4"/>
      <c r="N196" s="13" t="s">
        <v>29</v>
      </c>
      <c r="O196" s="35" t="str">
        <f>IF(D196="","",IF(COUNTIF(离职清单!C:C,D196)&gt;0,"已离职","在职"))</f>
        <v>在职</v>
      </c>
      <c r="P196" s="35" t="str">
        <f>IF(AND(O196="在职",J196="是"),COUNTIF(O$2:O196,"在职"),"")</f>
        <v/>
      </c>
    </row>
    <row r="197" customFormat="1" ht="18" spans="1:16">
      <c r="A197" s="10">
        <f t="shared" si="4"/>
        <v>196</v>
      </c>
      <c r="B197" s="31">
        <v>46176</v>
      </c>
      <c r="C197" s="32" t="s">
        <v>499</v>
      </c>
      <c r="D197" s="120" t="s">
        <v>488</v>
      </c>
      <c r="E197" s="33" t="s">
        <v>43</v>
      </c>
      <c r="F197" s="18" t="s">
        <v>62</v>
      </c>
      <c r="G197" s="18" t="s">
        <v>103</v>
      </c>
      <c r="H197" s="34" t="s">
        <v>86</v>
      </c>
      <c r="I197" s="18" t="s">
        <v>104</v>
      </c>
      <c r="J197" s="31" t="s">
        <v>105</v>
      </c>
      <c r="K197" s="31">
        <v>46176</v>
      </c>
      <c r="L197" s="4"/>
      <c r="M197" s="4"/>
      <c r="N197" s="13" t="s">
        <v>29</v>
      </c>
      <c r="O197" s="35" t="str">
        <f>IF(D197="","",IF(COUNTIF(离职清单!C:C,D197)&gt;0,"已离职","在职"))</f>
        <v>在职</v>
      </c>
      <c r="P197" s="35" t="str">
        <f>IF(AND(O197="在职",J197="是"),COUNTIF(O$2:O197,"在职"),"")</f>
        <v/>
      </c>
    </row>
    <row r="198" customFormat="1" ht="18" spans="1:16">
      <c r="A198" s="14">
        <f t="shared" si="4"/>
        <v>197</v>
      </c>
      <c r="B198" s="31">
        <v>46176</v>
      </c>
      <c r="C198" s="32" t="s">
        <v>500</v>
      </c>
      <c r="D198" s="120" t="s">
        <v>490</v>
      </c>
      <c r="E198" s="33" t="s">
        <v>43</v>
      </c>
      <c r="F198" s="18" t="s">
        <v>63</v>
      </c>
      <c r="G198" s="18" t="s">
        <v>103</v>
      </c>
      <c r="H198" s="34" t="s">
        <v>86</v>
      </c>
      <c r="I198" s="18" t="s">
        <v>104</v>
      </c>
      <c r="J198" s="31" t="s">
        <v>105</v>
      </c>
      <c r="K198" s="31">
        <v>46176</v>
      </c>
      <c r="L198" s="4"/>
      <c r="M198" s="4"/>
      <c r="N198" s="13" t="s">
        <v>29</v>
      </c>
      <c r="O198" s="35" t="str">
        <f>IF(D198="","",IF(COUNTIF(离职清单!C:C,D198)&gt;0,"已离职","在职"))</f>
        <v>在职</v>
      </c>
      <c r="P198" s="35" t="str">
        <f>IF(AND(O198="在职",J198="是"),COUNTIF(O$2:O198,"在职"),"")</f>
        <v/>
      </c>
    </row>
    <row r="199" customFormat="1" ht="18" spans="1:16">
      <c r="A199" s="10">
        <f t="shared" si="4"/>
        <v>198</v>
      </c>
      <c r="B199" s="31">
        <v>46176</v>
      </c>
      <c r="C199" s="32" t="s">
        <v>349</v>
      </c>
      <c r="D199" s="120" t="s">
        <v>492</v>
      </c>
      <c r="E199" s="33" t="s">
        <v>42</v>
      </c>
      <c r="F199" s="18" t="s">
        <v>64</v>
      </c>
      <c r="G199" s="18" t="s">
        <v>103</v>
      </c>
      <c r="H199" s="34" t="s">
        <v>86</v>
      </c>
      <c r="I199" s="18" t="s">
        <v>111</v>
      </c>
      <c r="J199" s="31" t="s">
        <v>105</v>
      </c>
      <c r="K199" s="31">
        <v>46176</v>
      </c>
      <c r="L199" s="4"/>
      <c r="M199" s="4"/>
      <c r="N199" s="13" t="s">
        <v>29</v>
      </c>
      <c r="O199" s="35" t="str">
        <f>IF(D199="","",IF(COUNTIF(离职清单!C:C,D199)&gt;0,"已离职","在职"))</f>
        <v>在职</v>
      </c>
      <c r="P199" s="35" t="str">
        <f>IF(AND(O199="在职",J199="是"),COUNTIF(O$2:O199,"在职"),"")</f>
        <v/>
      </c>
    </row>
    <row r="200" customFormat="1" ht="18" spans="1:16">
      <c r="A200" s="14">
        <f t="shared" si="4"/>
        <v>199</v>
      </c>
      <c r="B200" s="31">
        <v>46176</v>
      </c>
      <c r="C200" s="32" t="s">
        <v>197</v>
      </c>
      <c r="D200" s="120" t="s">
        <v>477</v>
      </c>
      <c r="E200" s="33" t="s">
        <v>42</v>
      </c>
      <c r="F200" s="18" t="s">
        <v>64</v>
      </c>
      <c r="G200" s="18" t="s">
        <v>179</v>
      </c>
      <c r="H200" s="34" t="s">
        <v>86</v>
      </c>
      <c r="I200" s="18" t="s">
        <v>111</v>
      </c>
      <c r="J200" s="31" t="s">
        <v>105</v>
      </c>
      <c r="K200" s="31">
        <v>46176</v>
      </c>
      <c r="L200" s="4"/>
      <c r="M200" s="4"/>
      <c r="N200" s="13" t="s">
        <v>29</v>
      </c>
      <c r="O200" s="35" t="str">
        <f>IF(D200="","",IF(COUNTIF(离职清单!C:C,D200)&gt;0,"已离职","在职"))</f>
        <v>在职</v>
      </c>
      <c r="P200" s="35" t="str">
        <f>IF(AND(O200="在职",J200="是"),COUNTIF(O$2:O200,"在职"),"")</f>
        <v/>
      </c>
    </row>
    <row r="201" customFormat="1" ht="18" spans="1:16">
      <c r="A201" s="10">
        <f t="shared" si="4"/>
        <v>200</v>
      </c>
      <c r="B201" s="31">
        <v>46176</v>
      </c>
      <c r="C201" s="32" t="s">
        <v>501</v>
      </c>
      <c r="D201" s="120" t="s">
        <v>478</v>
      </c>
      <c r="E201" s="33" t="s">
        <v>74</v>
      </c>
      <c r="F201" s="18" t="s">
        <v>64</v>
      </c>
      <c r="G201" s="18" t="s">
        <v>179</v>
      </c>
      <c r="H201" s="34" t="s">
        <v>86</v>
      </c>
      <c r="I201" s="18" t="s">
        <v>104</v>
      </c>
      <c r="J201" s="31" t="s">
        <v>114</v>
      </c>
      <c r="K201" s="31">
        <v>46176</v>
      </c>
      <c r="L201" s="4"/>
      <c r="M201" s="4"/>
      <c r="N201" s="13" t="s">
        <v>29</v>
      </c>
      <c r="O201" s="35" t="str">
        <f>IF(D201="","",IF(COUNTIF(离职清单!C:C,D201)&gt;0,"已离职","在职"))</f>
        <v>在职</v>
      </c>
      <c r="P201" s="35">
        <f>IF(AND(O201="在职",J201="是"),COUNTIF(O$2:O201,"在职"),"")</f>
        <v>194</v>
      </c>
    </row>
    <row r="202" customFormat="1" ht="18" spans="1:16">
      <c r="A202" s="14">
        <f t="shared" si="4"/>
        <v>201</v>
      </c>
      <c r="B202" s="31">
        <v>46176</v>
      </c>
      <c r="C202" s="32" t="s">
        <v>502</v>
      </c>
      <c r="D202" s="120" t="s">
        <v>480</v>
      </c>
      <c r="E202" s="33" t="s">
        <v>74</v>
      </c>
      <c r="F202" s="18" t="s">
        <v>64</v>
      </c>
      <c r="G202" s="18" t="s">
        <v>179</v>
      </c>
      <c r="H202" s="34" t="s">
        <v>86</v>
      </c>
      <c r="I202" s="18" t="s">
        <v>104</v>
      </c>
      <c r="J202" s="31" t="s">
        <v>114</v>
      </c>
      <c r="K202" s="31">
        <v>46176</v>
      </c>
      <c r="L202" s="4"/>
      <c r="M202" s="4"/>
      <c r="N202" s="13" t="s">
        <v>29</v>
      </c>
      <c r="O202" s="35" t="str">
        <f>IF(D202="","",IF(COUNTIF(离职清单!C:C,D202)&gt;0,"已离职","在职"))</f>
        <v>在职</v>
      </c>
      <c r="P202" s="35">
        <f>IF(AND(O202="在职",J202="是"),COUNTIF(O$2:O202,"在职"),"")</f>
        <v>195</v>
      </c>
    </row>
    <row r="203" customFormat="1" ht="18" spans="1:16">
      <c r="A203" s="10">
        <f t="shared" si="4"/>
        <v>202</v>
      </c>
      <c r="B203" s="31">
        <v>46176</v>
      </c>
      <c r="C203" s="32" t="s">
        <v>376</v>
      </c>
      <c r="D203" s="120" t="s">
        <v>482</v>
      </c>
      <c r="E203" s="33" t="s">
        <v>74</v>
      </c>
      <c r="F203" s="18" t="s">
        <v>190</v>
      </c>
      <c r="G203" s="18" t="s">
        <v>179</v>
      </c>
      <c r="H203" s="34" t="s">
        <v>86</v>
      </c>
      <c r="I203" s="18" t="s">
        <v>104</v>
      </c>
      <c r="J203" s="31" t="s">
        <v>114</v>
      </c>
      <c r="K203" s="31">
        <v>46176</v>
      </c>
      <c r="L203" s="4"/>
      <c r="M203" s="4"/>
      <c r="N203" s="13" t="s">
        <v>29</v>
      </c>
      <c r="O203" s="35" t="str">
        <f>IF(D203="","",IF(COUNTIF(离职清单!C:C,D203)&gt;0,"已离职","在职"))</f>
        <v>在职</v>
      </c>
      <c r="P203" s="35">
        <f>IF(AND(O203="在职",J203="是"),COUNTIF(O$2:O203,"在职"),"")</f>
        <v>196</v>
      </c>
    </row>
    <row r="204" customFormat="1" ht="18" spans="1:16">
      <c r="A204" s="14">
        <f t="shared" si="4"/>
        <v>203</v>
      </c>
      <c r="B204" s="31">
        <v>46176</v>
      </c>
      <c r="C204" s="32" t="s">
        <v>503</v>
      </c>
      <c r="D204" s="120" t="s">
        <v>484</v>
      </c>
      <c r="E204" s="33" t="s">
        <v>42</v>
      </c>
      <c r="F204" s="18" t="s">
        <v>64</v>
      </c>
      <c r="G204" s="18" t="s">
        <v>135</v>
      </c>
      <c r="H204" s="34" t="s">
        <v>86</v>
      </c>
      <c r="I204" s="18" t="s">
        <v>104</v>
      </c>
      <c r="J204" s="31" t="s">
        <v>114</v>
      </c>
      <c r="K204" s="31">
        <v>46176</v>
      </c>
      <c r="L204" s="4"/>
      <c r="M204" s="4"/>
      <c r="N204" s="13" t="s">
        <v>29</v>
      </c>
      <c r="O204" s="35" t="str">
        <f>IF(D204="","",IF(COUNTIF(离职清单!C:C,D204)&gt;0,"已离职","在职"))</f>
        <v>在职</v>
      </c>
      <c r="P204" s="35">
        <f>IF(AND(O204="在职",J204="是"),COUNTIF(O$2:O204,"在职"),"")</f>
        <v>197</v>
      </c>
    </row>
    <row r="205" customFormat="1" ht="18" spans="1:16">
      <c r="A205" s="10">
        <f t="shared" si="4"/>
        <v>204</v>
      </c>
      <c r="B205" s="31">
        <v>46176</v>
      </c>
      <c r="C205" s="32" t="s">
        <v>504</v>
      </c>
      <c r="D205" s="120" t="s">
        <v>486</v>
      </c>
      <c r="E205" s="33" t="s">
        <v>42</v>
      </c>
      <c r="F205" s="18" t="s">
        <v>62</v>
      </c>
      <c r="G205" s="18" t="s">
        <v>505</v>
      </c>
      <c r="H205" s="34" t="s">
        <v>86</v>
      </c>
      <c r="I205" s="18" t="s">
        <v>104</v>
      </c>
      <c r="J205" s="31" t="s">
        <v>114</v>
      </c>
      <c r="K205" s="31">
        <v>46176</v>
      </c>
      <c r="L205" s="4"/>
      <c r="M205" s="4"/>
      <c r="N205" s="13" t="s">
        <v>29</v>
      </c>
      <c r="O205" s="35" t="str">
        <f>IF(D205="","",IF(COUNTIF(离职清单!C:C,D205)&gt;0,"已离职","在职"))</f>
        <v>在职</v>
      </c>
      <c r="P205" s="35">
        <f>IF(AND(O205="在职",J205="是"),COUNTIF(O$2:O205,"在职"),"")</f>
        <v>198</v>
      </c>
    </row>
    <row r="206" customFormat="1" ht="18" spans="1:16">
      <c r="A206" s="14">
        <f t="shared" si="4"/>
        <v>205</v>
      </c>
      <c r="B206" s="31">
        <v>46176</v>
      </c>
      <c r="C206" s="32" t="s">
        <v>506</v>
      </c>
      <c r="D206" s="120" t="s">
        <v>488</v>
      </c>
      <c r="E206" s="33" t="s">
        <v>42</v>
      </c>
      <c r="F206" s="18" t="s">
        <v>64</v>
      </c>
      <c r="G206" s="18" t="s">
        <v>233</v>
      </c>
      <c r="H206" s="34" t="s">
        <v>86</v>
      </c>
      <c r="I206" s="18" t="s">
        <v>104</v>
      </c>
      <c r="J206" s="31" t="s">
        <v>114</v>
      </c>
      <c r="K206" s="31">
        <v>46176</v>
      </c>
      <c r="L206" s="4"/>
      <c r="M206" s="4"/>
      <c r="N206" s="13" t="s">
        <v>29</v>
      </c>
      <c r="O206" s="35" t="str">
        <f>IF(D206="","",IF(COUNTIF(离职清单!C:C,D206)&gt;0,"已离职","在职"))</f>
        <v>在职</v>
      </c>
      <c r="P206" s="35">
        <f>IF(AND(O206="在职",J206="是"),COUNTIF(O$2:O206,"在职"),"")</f>
        <v>199</v>
      </c>
    </row>
    <row r="207" customFormat="1" ht="18" spans="1:16">
      <c r="A207" s="10">
        <f t="shared" si="4"/>
        <v>206</v>
      </c>
      <c r="B207" s="31">
        <v>46176</v>
      </c>
      <c r="C207" s="32" t="s">
        <v>507</v>
      </c>
      <c r="D207" s="120" t="s">
        <v>490</v>
      </c>
      <c r="E207" s="33" t="s">
        <v>43</v>
      </c>
      <c r="F207" s="18" t="s">
        <v>64</v>
      </c>
      <c r="G207" s="18" t="s">
        <v>179</v>
      </c>
      <c r="H207" s="34" t="s">
        <v>86</v>
      </c>
      <c r="I207" s="18" t="s">
        <v>104</v>
      </c>
      <c r="J207" s="31" t="s">
        <v>114</v>
      </c>
      <c r="K207" s="31">
        <v>46176</v>
      </c>
      <c r="L207" s="4"/>
      <c r="M207" s="4"/>
      <c r="N207" s="13" t="s">
        <v>29</v>
      </c>
      <c r="O207" s="35" t="str">
        <f>IF(D207="","",IF(COUNTIF(离职清单!C:C,D207)&gt;0,"已离职","在职"))</f>
        <v>在职</v>
      </c>
      <c r="P207" s="35">
        <f>IF(AND(O207="在职",J207="是"),COUNTIF(O$2:O207,"在职"),"")</f>
        <v>200</v>
      </c>
    </row>
    <row r="208" customFormat="1" ht="18" spans="1:16">
      <c r="A208" s="14">
        <f t="shared" si="4"/>
        <v>207</v>
      </c>
      <c r="B208" s="31">
        <v>46176</v>
      </c>
      <c r="C208" s="32" t="s">
        <v>508</v>
      </c>
      <c r="D208" s="120" t="s">
        <v>492</v>
      </c>
      <c r="E208" s="33" t="s">
        <v>43</v>
      </c>
      <c r="F208" s="18" t="s">
        <v>64</v>
      </c>
      <c r="G208" s="18" t="s">
        <v>509</v>
      </c>
      <c r="H208" s="34" t="s">
        <v>86</v>
      </c>
      <c r="I208" s="18" t="s">
        <v>111</v>
      </c>
      <c r="J208" s="31" t="s">
        <v>105</v>
      </c>
      <c r="K208" s="31">
        <v>46176</v>
      </c>
      <c r="L208" s="4"/>
      <c r="M208" s="4"/>
      <c r="N208" s="13" t="s">
        <v>29</v>
      </c>
      <c r="O208" s="35" t="str">
        <f>IF(D208="","",IF(COUNTIF(离职清单!C:C,D208)&gt;0,"已离职","在职"))</f>
        <v>在职</v>
      </c>
      <c r="P208" s="35" t="str">
        <f>IF(AND(O208="在职",J208="是"),COUNTIF(O$2:O208,"在职"),"")</f>
        <v/>
      </c>
    </row>
    <row r="209" customFormat="1" ht="18" spans="1:16">
      <c r="A209" s="10">
        <f t="shared" si="4"/>
        <v>208</v>
      </c>
      <c r="B209" s="31">
        <v>46176</v>
      </c>
      <c r="C209" s="32" t="s">
        <v>510</v>
      </c>
      <c r="D209" s="120" t="s">
        <v>477</v>
      </c>
      <c r="E209" s="33" t="s">
        <v>43</v>
      </c>
      <c r="F209" s="18" t="s">
        <v>64</v>
      </c>
      <c r="G209" s="18" t="s">
        <v>509</v>
      </c>
      <c r="H209" s="34" t="s">
        <v>86</v>
      </c>
      <c r="I209" s="18" t="s">
        <v>111</v>
      </c>
      <c r="J209" s="31" t="s">
        <v>105</v>
      </c>
      <c r="K209" s="31">
        <v>46176</v>
      </c>
      <c r="L209" s="4"/>
      <c r="M209" s="4"/>
      <c r="N209" s="13" t="s">
        <v>29</v>
      </c>
      <c r="O209" s="35" t="str">
        <f>IF(D209="","",IF(COUNTIF(离职清单!C:C,D209)&gt;0,"已离职","在职"))</f>
        <v>在职</v>
      </c>
      <c r="P209" s="35" t="str">
        <f>IF(AND(O209="在职",J209="是"),COUNTIF(O$2:O209,"在职"),"")</f>
        <v/>
      </c>
    </row>
    <row r="210" customFormat="1" ht="18" spans="1:16">
      <c r="A210" s="14">
        <f t="shared" si="4"/>
        <v>209</v>
      </c>
      <c r="B210" s="31">
        <v>46177</v>
      </c>
      <c r="C210" s="32" t="s">
        <v>511</v>
      </c>
      <c r="D210" s="120" t="s">
        <v>478</v>
      </c>
      <c r="E210" s="33" t="s">
        <v>42</v>
      </c>
      <c r="F210" s="18" t="s">
        <v>64</v>
      </c>
      <c r="G210" s="18" t="s">
        <v>512</v>
      </c>
      <c r="H210" s="34" t="s">
        <v>86</v>
      </c>
      <c r="I210" s="18" t="s">
        <v>104</v>
      </c>
      <c r="J210" s="31" t="s">
        <v>114</v>
      </c>
      <c r="K210" s="31">
        <v>46177</v>
      </c>
      <c r="L210" s="4"/>
      <c r="M210" s="4"/>
      <c r="N210" s="13" t="s">
        <v>29</v>
      </c>
      <c r="O210" s="35" t="str">
        <f>IF(D210="","",IF(COUNTIF(离职清单!C:C,D210)&gt;0,"已离职","在职"))</f>
        <v>在职</v>
      </c>
      <c r="P210" s="35">
        <f>IF(AND(O210="在职",J210="是"),COUNTIF(O$2:O210,"在职"),"")</f>
        <v>203</v>
      </c>
    </row>
    <row r="211" customFormat="1" ht="18" spans="1:16">
      <c r="A211" s="10">
        <f t="shared" si="4"/>
        <v>210</v>
      </c>
      <c r="B211" s="31">
        <v>46177</v>
      </c>
      <c r="C211" s="32" t="s">
        <v>513</v>
      </c>
      <c r="D211" s="120" t="s">
        <v>480</v>
      </c>
      <c r="E211" s="33" t="s">
        <v>42</v>
      </c>
      <c r="F211" s="18" t="s">
        <v>64</v>
      </c>
      <c r="G211" s="18" t="s">
        <v>512</v>
      </c>
      <c r="H211" s="34" t="s">
        <v>86</v>
      </c>
      <c r="I211" s="18" t="s">
        <v>111</v>
      </c>
      <c r="J211" s="31" t="s">
        <v>105</v>
      </c>
      <c r="K211" s="31">
        <v>46177</v>
      </c>
      <c r="L211" s="4"/>
      <c r="M211" s="4"/>
      <c r="N211" s="13" t="s">
        <v>29</v>
      </c>
      <c r="O211" s="35" t="str">
        <f>IF(D211="","",IF(COUNTIF(离职清单!C:C,D211)&gt;0,"已离职","在职"))</f>
        <v>在职</v>
      </c>
      <c r="P211" s="35" t="str">
        <f>IF(AND(O211="在职",J211="是"),COUNTIF(O$2:O211,"在职"),"")</f>
        <v/>
      </c>
    </row>
    <row r="212" customFormat="1" ht="18" spans="1:16">
      <c r="A212" s="14">
        <f t="shared" si="4"/>
        <v>211</v>
      </c>
      <c r="B212" s="31">
        <v>46177</v>
      </c>
      <c r="C212" s="32" t="s">
        <v>514</v>
      </c>
      <c r="D212" s="120" t="s">
        <v>482</v>
      </c>
      <c r="E212" s="33" t="s">
        <v>43</v>
      </c>
      <c r="F212" s="18" t="s">
        <v>64</v>
      </c>
      <c r="G212" s="18" t="s">
        <v>132</v>
      </c>
      <c r="H212" s="34" t="s">
        <v>86</v>
      </c>
      <c r="I212" s="18" t="s">
        <v>111</v>
      </c>
      <c r="J212" s="31" t="s">
        <v>105</v>
      </c>
      <c r="K212" s="31">
        <v>46177</v>
      </c>
      <c r="L212" s="4"/>
      <c r="M212" s="4"/>
      <c r="N212" s="13" t="s">
        <v>29</v>
      </c>
      <c r="O212" s="35" t="str">
        <f>IF(D212="","",IF(COUNTIF(离职清单!C:C,D212)&gt;0,"已离职","在职"))</f>
        <v>在职</v>
      </c>
      <c r="P212" s="35" t="str">
        <f>IF(AND(O212="在职",J212="是"),COUNTIF(O$2:O212,"在职"),"")</f>
        <v/>
      </c>
    </row>
    <row r="213" customFormat="1" ht="18" spans="1:16">
      <c r="A213" s="10">
        <f t="shared" si="4"/>
        <v>212</v>
      </c>
      <c r="B213" s="31">
        <v>46177</v>
      </c>
      <c r="C213" s="32" t="s">
        <v>515</v>
      </c>
      <c r="D213" s="120" t="s">
        <v>484</v>
      </c>
      <c r="E213" s="33" t="s">
        <v>43</v>
      </c>
      <c r="F213" s="18" t="s">
        <v>64</v>
      </c>
      <c r="G213" s="18" t="s">
        <v>132</v>
      </c>
      <c r="H213" s="34" t="s">
        <v>86</v>
      </c>
      <c r="I213" s="18" t="s">
        <v>111</v>
      </c>
      <c r="J213" s="31" t="s">
        <v>105</v>
      </c>
      <c r="K213" s="31">
        <v>46177</v>
      </c>
      <c r="L213" s="4"/>
      <c r="M213" s="4"/>
      <c r="N213" s="13" t="s">
        <v>29</v>
      </c>
      <c r="O213" s="35" t="str">
        <f>IF(D213="","",IF(COUNTIF(离职清单!C:C,D213)&gt;0,"已离职","在职"))</f>
        <v>在职</v>
      </c>
      <c r="P213" s="35" t="str">
        <f>IF(AND(O213="在职",J213="是"),COUNTIF(O$2:O213,"在职"),"")</f>
        <v/>
      </c>
    </row>
    <row r="214" customFormat="1" ht="18" spans="1:16">
      <c r="A214" s="14">
        <f t="shared" si="4"/>
        <v>213</v>
      </c>
      <c r="B214" s="31">
        <v>46177</v>
      </c>
      <c r="C214" s="32" t="s">
        <v>516</v>
      </c>
      <c r="D214" s="120" t="s">
        <v>486</v>
      </c>
      <c r="E214" s="33" t="s">
        <v>42</v>
      </c>
      <c r="F214" s="18" t="s">
        <v>64</v>
      </c>
      <c r="G214" s="18" t="s">
        <v>117</v>
      </c>
      <c r="H214" s="34" t="s">
        <v>86</v>
      </c>
      <c r="I214" s="18" t="s">
        <v>104</v>
      </c>
      <c r="J214" s="31" t="s">
        <v>105</v>
      </c>
      <c r="K214" s="31">
        <v>46177</v>
      </c>
      <c r="L214" s="4"/>
      <c r="M214" s="4"/>
      <c r="N214" s="13" t="s">
        <v>29</v>
      </c>
      <c r="O214" s="35" t="str">
        <f>IF(D214="","",IF(COUNTIF(离职清单!C:C,D214)&gt;0,"已离职","在职"))</f>
        <v>在职</v>
      </c>
      <c r="P214" s="35" t="str">
        <f>IF(AND(O214="在职",J214="是"),COUNTIF(O$2:O214,"在职"),"")</f>
        <v/>
      </c>
    </row>
    <row r="215" customFormat="1" ht="18" spans="1:16">
      <c r="A215" s="10">
        <f t="shared" si="4"/>
        <v>214</v>
      </c>
      <c r="B215" s="31">
        <v>46177</v>
      </c>
      <c r="C215" s="32" t="s">
        <v>517</v>
      </c>
      <c r="D215" s="120" t="s">
        <v>488</v>
      </c>
      <c r="E215" s="33" t="s">
        <v>74</v>
      </c>
      <c r="F215" s="18" t="s">
        <v>190</v>
      </c>
      <c r="G215" s="18" t="s">
        <v>117</v>
      </c>
      <c r="H215" s="34" t="s">
        <v>86</v>
      </c>
      <c r="I215" s="18" t="s">
        <v>104</v>
      </c>
      <c r="J215" s="31" t="s">
        <v>114</v>
      </c>
      <c r="K215" s="31">
        <v>46177</v>
      </c>
      <c r="L215" s="4"/>
      <c r="M215" s="4"/>
      <c r="N215" s="13" t="s">
        <v>29</v>
      </c>
      <c r="O215" s="35" t="str">
        <f>IF(D215="","",IF(COUNTIF(离职清单!C:C,D215)&gt;0,"已离职","在职"))</f>
        <v>在职</v>
      </c>
      <c r="P215" s="35">
        <f>IF(AND(O215="在职",J215="是"),COUNTIF(O$2:O215,"在职"),"")</f>
        <v>208</v>
      </c>
    </row>
    <row r="216" customFormat="1" ht="18" spans="1:16">
      <c r="A216" s="14">
        <f t="shared" si="4"/>
        <v>215</v>
      </c>
      <c r="B216" s="31">
        <v>46177</v>
      </c>
      <c r="C216" s="32" t="s">
        <v>518</v>
      </c>
      <c r="D216" s="120" t="s">
        <v>490</v>
      </c>
      <c r="E216" s="33" t="s">
        <v>74</v>
      </c>
      <c r="F216" s="18" t="s">
        <v>190</v>
      </c>
      <c r="G216" s="18" t="s">
        <v>117</v>
      </c>
      <c r="H216" s="34" t="s">
        <v>86</v>
      </c>
      <c r="I216" s="18" t="s">
        <v>104</v>
      </c>
      <c r="J216" s="31" t="s">
        <v>105</v>
      </c>
      <c r="K216" s="31">
        <v>46177</v>
      </c>
      <c r="L216" s="4"/>
      <c r="M216" s="4"/>
      <c r="N216" s="13" t="s">
        <v>29</v>
      </c>
      <c r="O216" s="35" t="str">
        <f>IF(D216="","",IF(COUNTIF(离职清单!C:C,D216)&gt;0,"已离职","在职"))</f>
        <v>在职</v>
      </c>
      <c r="P216" s="35" t="str">
        <f>IF(AND(O216="在职",J216="是"),COUNTIF(O$2:O216,"在职"),"")</f>
        <v/>
      </c>
    </row>
    <row r="217" customFormat="1" ht="18" spans="1:16">
      <c r="A217" s="10">
        <f t="shared" si="4"/>
        <v>216</v>
      </c>
      <c r="B217" s="31">
        <v>46177</v>
      </c>
      <c r="C217" s="32" t="s">
        <v>519</v>
      </c>
      <c r="D217" s="120" t="s">
        <v>492</v>
      </c>
      <c r="E217" s="33" t="s">
        <v>43</v>
      </c>
      <c r="F217" s="18" t="s">
        <v>62</v>
      </c>
      <c r="G217" s="18" t="s">
        <v>246</v>
      </c>
      <c r="H217" s="34" t="s">
        <v>86</v>
      </c>
      <c r="I217" s="18" t="s">
        <v>104</v>
      </c>
      <c r="J217" s="31" t="s">
        <v>105</v>
      </c>
      <c r="K217" s="31">
        <v>46177</v>
      </c>
      <c r="L217" s="4"/>
      <c r="M217" s="4"/>
      <c r="N217" s="13" t="s">
        <v>29</v>
      </c>
      <c r="O217" s="35" t="str">
        <f>IF(D217="","",IF(COUNTIF(离职清单!C:C,D217)&gt;0,"已离职","在职"))</f>
        <v>在职</v>
      </c>
      <c r="P217" s="35" t="str">
        <f>IF(AND(O217="在职",J217="是"),COUNTIF(O$2:O217,"在职"),"")</f>
        <v/>
      </c>
    </row>
    <row r="218" customFormat="1" ht="18" spans="1:16">
      <c r="A218" s="14">
        <f t="shared" si="4"/>
        <v>217</v>
      </c>
      <c r="B218" s="31">
        <v>46177</v>
      </c>
      <c r="C218" s="32" t="s">
        <v>520</v>
      </c>
      <c r="D218" s="120" t="s">
        <v>477</v>
      </c>
      <c r="E218" s="33" t="s">
        <v>43</v>
      </c>
      <c r="F218" s="18" t="s">
        <v>62</v>
      </c>
      <c r="G218" s="18" t="s">
        <v>173</v>
      </c>
      <c r="H218" s="34" t="s">
        <v>86</v>
      </c>
      <c r="I218" s="18" t="s">
        <v>104</v>
      </c>
      <c r="J218" s="31" t="s">
        <v>114</v>
      </c>
      <c r="K218" s="31">
        <v>46177</v>
      </c>
      <c r="L218" s="4"/>
      <c r="M218" s="4"/>
      <c r="N218" s="13" t="s">
        <v>29</v>
      </c>
      <c r="O218" s="35" t="str">
        <f>IF(D218="","",IF(COUNTIF(离职清单!C:C,D218)&gt;0,"已离职","在职"))</f>
        <v>在职</v>
      </c>
      <c r="P218" s="35">
        <f>IF(AND(O218="在职",J218="是"),COUNTIF(O$2:O218,"在职"),"")</f>
        <v>211</v>
      </c>
    </row>
    <row r="219" customFormat="1" ht="18" spans="1:16">
      <c r="A219" s="10">
        <f t="shared" si="4"/>
        <v>218</v>
      </c>
      <c r="B219" s="31">
        <v>46177</v>
      </c>
      <c r="C219" s="32" t="s">
        <v>521</v>
      </c>
      <c r="D219" s="120" t="s">
        <v>478</v>
      </c>
      <c r="E219" s="33" t="s">
        <v>74</v>
      </c>
      <c r="F219" s="18" t="s">
        <v>64</v>
      </c>
      <c r="G219" s="18" t="s">
        <v>135</v>
      </c>
      <c r="H219" s="34" t="s">
        <v>86</v>
      </c>
      <c r="I219" s="18" t="s">
        <v>104</v>
      </c>
      <c r="J219" s="31" t="s">
        <v>114</v>
      </c>
      <c r="K219" s="31">
        <v>46177</v>
      </c>
      <c r="L219" s="4"/>
      <c r="M219" s="4"/>
      <c r="N219" s="13" t="s">
        <v>29</v>
      </c>
      <c r="O219" s="35" t="str">
        <f>IF(D219="","",IF(COUNTIF(离职清单!C:C,D219)&gt;0,"已离职","在职"))</f>
        <v>在职</v>
      </c>
      <c r="P219" s="35">
        <f>IF(AND(O219="在职",J219="是"),COUNTIF(O$2:O219,"在职"),"")</f>
        <v>212</v>
      </c>
    </row>
    <row r="220" customFormat="1" ht="18" spans="1:16">
      <c r="A220" s="14">
        <f t="shared" si="4"/>
        <v>219</v>
      </c>
      <c r="B220" s="31">
        <v>46177</v>
      </c>
      <c r="C220" s="32" t="s">
        <v>522</v>
      </c>
      <c r="D220" s="120" t="s">
        <v>480</v>
      </c>
      <c r="E220" s="33" t="s">
        <v>74</v>
      </c>
      <c r="F220" s="18" t="s">
        <v>64</v>
      </c>
      <c r="G220" s="18" t="s">
        <v>135</v>
      </c>
      <c r="H220" s="34" t="s">
        <v>86</v>
      </c>
      <c r="I220" s="18" t="s">
        <v>104</v>
      </c>
      <c r="J220" s="31" t="s">
        <v>114</v>
      </c>
      <c r="K220" s="31">
        <v>46177</v>
      </c>
      <c r="L220" s="4"/>
      <c r="M220" s="4"/>
      <c r="N220" s="13" t="s">
        <v>29</v>
      </c>
      <c r="O220" s="35" t="str">
        <f>IF(D220="","",IF(COUNTIF(离职清单!C:C,D220)&gt;0,"已离职","在职"))</f>
        <v>在职</v>
      </c>
      <c r="P220" s="35">
        <f>IF(AND(O220="在职",J220="是"),COUNTIF(O$2:O220,"在职"),"")</f>
        <v>213</v>
      </c>
    </row>
    <row r="221" customFormat="1" ht="18" spans="1:16">
      <c r="A221" s="10">
        <f t="shared" si="4"/>
        <v>220</v>
      </c>
      <c r="B221" s="31">
        <v>46177</v>
      </c>
      <c r="C221" s="32" t="s">
        <v>523</v>
      </c>
      <c r="D221" s="120" t="s">
        <v>482</v>
      </c>
      <c r="E221" s="33" t="s">
        <v>74</v>
      </c>
      <c r="F221" s="18" t="s">
        <v>64</v>
      </c>
      <c r="G221" s="18" t="s">
        <v>135</v>
      </c>
      <c r="H221" s="34" t="s">
        <v>86</v>
      </c>
      <c r="I221" s="18" t="s">
        <v>104</v>
      </c>
      <c r="J221" s="31" t="s">
        <v>114</v>
      </c>
      <c r="K221" s="31">
        <v>46177</v>
      </c>
      <c r="L221" s="4"/>
      <c r="M221" s="4"/>
      <c r="N221" s="13" t="s">
        <v>29</v>
      </c>
      <c r="O221" s="35" t="str">
        <f>IF(D221="","",IF(COUNTIF(离职清单!C:C,D221)&gt;0,"已离职","在职"))</f>
        <v>在职</v>
      </c>
      <c r="P221" s="35">
        <f>IF(AND(O221="在职",J221="是"),COUNTIF(O$2:O221,"在职"),"")</f>
        <v>214</v>
      </c>
    </row>
    <row r="222" customFormat="1" ht="18" spans="1:16">
      <c r="A222" s="14">
        <f t="shared" si="4"/>
        <v>221</v>
      </c>
      <c r="B222" s="31">
        <v>46177</v>
      </c>
      <c r="C222" s="32" t="s">
        <v>524</v>
      </c>
      <c r="D222" s="120" t="s">
        <v>484</v>
      </c>
      <c r="E222" s="33" t="s">
        <v>43</v>
      </c>
      <c r="F222" s="18" t="s">
        <v>62</v>
      </c>
      <c r="G222" s="18" t="s">
        <v>468</v>
      </c>
      <c r="H222" s="34" t="s">
        <v>86</v>
      </c>
      <c r="I222" s="18" t="s">
        <v>104</v>
      </c>
      <c r="J222" s="31" t="s">
        <v>105</v>
      </c>
      <c r="K222" s="31">
        <v>46177</v>
      </c>
      <c r="L222" s="4"/>
      <c r="M222" s="4"/>
      <c r="N222" s="13" t="s">
        <v>29</v>
      </c>
      <c r="O222" s="35" t="str">
        <f>IF(D222="","",IF(COUNTIF(离职清单!C:C,D222)&gt;0,"已离职","在职"))</f>
        <v>在职</v>
      </c>
      <c r="P222" s="35" t="str">
        <f>IF(AND(O222="在职",J222="是"),COUNTIF(O$2:O222,"在职"),"")</f>
        <v/>
      </c>
    </row>
    <row r="223" customFormat="1" ht="18" spans="1:16">
      <c r="A223" s="14">
        <f t="shared" si="4"/>
        <v>222</v>
      </c>
      <c r="B223" s="31">
        <v>46177</v>
      </c>
      <c r="C223" s="32" t="s">
        <v>525</v>
      </c>
      <c r="D223" s="120" t="s">
        <v>486</v>
      </c>
      <c r="E223" s="33" t="s">
        <v>42</v>
      </c>
      <c r="F223" s="18" t="s">
        <v>64</v>
      </c>
      <c r="G223" s="18" t="s">
        <v>148</v>
      </c>
      <c r="H223" s="34" t="s">
        <v>86</v>
      </c>
      <c r="I223" s="18" t="s">
        <v>104</v>
      </c>
      <c r="J223" s="31" t="s">
        <v>114</v>
      </c>
      <c r="K223" s="31">
        <v>46177</v>
      </c>
      <c r="L223" s="4"/>
      <c r="M223" s="4"/>
      <c r="N223" s="13" t="s">
        <v>29</v>
      </c>
      <c r="O223" s="35" t="str">
        <f>IF(D223="","",IF(COUNTIF(离职清单!C:C,D223)&gt;0,"已离职","在职"))</f>
        <v>在职</v>
      </c>
      <c r="P223" s="35">
        <f>IF(AND(O223="在职",J223="是"),COUNTIF(O$2:O223,"在职"),"")</f>
        <v>216</v>
      </c>
    </row>
    <row r="224" customFormat="1" ht="18" spans="1:16">
      <c r="A224" s="10">
        <f t="shared" si="4"/>
        <v>223</v>
      </c>
      <c r="B224" s="31">
        <v>46177</v>
      </c>
      <c r="C224" s="32" t="s">
        <v>526</v>
      </c>
      <c r="D224" s="120" t="s">
        <v>488</v>
      </c>
      <c r="E224" s="33" t="s">
        <v>42</v>
      </c>
      <c r="F224" s="18" t="s">
        <v>64</v>
      </c>
      <c r="G224" s="18" t="s">
        <v>124</v>
      </c>
      <c r="H224" s="34" t="s">
        <v>86</v>
      </c>
      <c r="I224" s="18" t="s">
        <v>111</v>
      </c>
      <c r="J224" s="31" t="s">
        <v>105</v>
      </c>
      <c r="K224" s="31">
        <v>46177</v>
      </c>
      <c r="L224" s="4"/>
      <c r="M224" s="4"/>
      <c r="N224" s="13" t="s">
        <v>29</v>
      </c>
      <c r="O224" s="35" t="str">
        <f>IF(D224="","",IF(COUNTIF(离职清单!C:C,D224)&gt;0,"已离职","在职"))</f>
        <v>在职</v>
      </c>
      <c r="P224" s="35" t="str">
        <f>IF(AND(O224="在职",J224="是"),COUNTIF(O$2:O224,"在职"),"")</f>
        <v/>
      </c>
    </row>
    <row r="225" customFormat="1" ht="18" spans="1:16">
      <c r="A225" s="10">
        <f t="shared" si="4"/>
        <v>224</v>
      </c>
      <c r="B225" s="31">
        <v>46177</v>
      </c>
      <c r="C225" s="32" t="s">
        <v>527</v>
      </c>
      <c r="D225" s="120" t="s">
        <v>490</v>
      </c>
      <c r="E225" s="33" t="s">
        <v>43</v>
      </c>
      <c r="F225" s="18" t="s">
        <v>62</v>
      </c>
      <c r="G225" s="18" t="s">
        <v>233</v>
      </c>
      <c r="H225" s="34" t="s">
        <v>86</v>
      </c>
      <c r="I225" s="18" t="s">
        <v>104</v>
      </c>
      <c r="J225" s="31" t="s">
        <v>114</v>
      </c>
      <c r="K225" s="31">
        <v>46177</v>
      </c>
      <c r="L225" s="4"/>
      <c r="M225" s="4"/>
      <c r="N225" s="13" t="s">
        <v>29</v>
      </c>
      <c r="O225" s="35" t="str">
        <f>IF(D225="","",IF(COUNTIF(离职清单!C:C,D225)&gt;0,"已离职","在职"))</f>
        <v>在职</v>
      </c>
      <c r="P225" s="35">
        <f>IF(AND(O225="在职",J225="是"),COUNTIF(O$2:O225,"在职"),"")</f>
        <v>218</v>
      </c>
    </row>
    <row r="226" customFormat="1" ht="18" spans="1:16">
      <c r="A226" s="14">
        <f t="shared" si="4"/>
        <v>225</v>
      </c>
      <c r="B226" s="31">
        <v>46177</v>
      </c>
      <c r="C226" s="32" t="s">
        <v>528</v>
      </c>
      <c r="D226" s="120" t="s">
        <v>492</v>
      </c>
      <c r="E226" s="33" t="s">
        <v>42</v>
      </c>
      <c r="F226" s="18" t="s">
        <v>64</v>
      </c>
      <c r="G226" s="18" t="s">
        <v>124</v>
      </c>
      <c r="H226" s="34" t="s">
        <v>86</v>
      </c>
      <c r="I226" s="18" t="s">
        <v>111</v>
      </c>
      <c r="J226" s="31" t="s">
        <v>105</v>
      </c>
      <c r="K226" s="31">
        <v>46177</v>
      </c>
      <c r="L226" s="4"/>
      <c r="M226" s="4"/>
      <c r="N226" s="13" t="s">
        <v>29</v>
      </c>
      <c r="O226" s="35" t="str">
        <f>IF(D226="","",IF(COUNTIF(离职清单!C:C,D226)&gt;0,"已离职","在职"))</f>
        <v>在职</v>
      </c>
      <c r="P226" s="35" t="str">
        <f>IF(AND(O226="在职",J226="是"),COUNTIF(O$2:O226,"在职"),"")</f>
        <v/>
      </c>
    </row>
    <row r="227" customFormat="1" ht="18" spans="1:16">
      <c r="A227" s="10">
        <f t="shared" si="4"/>
        <v>226</v>
      </c>
      <c r="B227" s="31">
        <v>46177</v>
      </c>
      <c r="C227" s="32" t="s">
        <v>529</v>
      </c>
      <c r="D227" s="120" t="s">
        <v>477</v>
      </c>
      <c r="E227" s="33" t="s">
        <v>43</v>
      </c>
      <c r="F227" s="18" t="s">
        <v>62</v>
      </c>
      <c r="G227" s="18" t="s">
        <v>530</v>
      </c>
      <c r="H227" s="34" t="s">
        <v>86</v>
      </c>
      <c r="I227" s="18" t="s">
        <v>104</v>
      </c>
      <c r="J227" s="31" t="s">
        <v>105</v>
      </c>
      <c r="K227" s="31">
        <v>46177</v>
      </c>
      <c r="L227" s="4"/>
      <c r="M227" s="4"/>
      <c r="N227" s="13" t="s">
        <v>29</v>
      </c>
      <c r="O227" s="35" t="str">
        <f>IF(D227="","",IF(COUNTIF(离职清单!C:C,D227)&gt;0,"已离职","在职"))</f>
        <v>在职</v>
      </c>
      <c r="P227" s="35" t="str">
        <f>IF(AND(O227="在职",J227="是"),COUNTIF(O$2:O227,"在职"),"")</f>
        <v/>
      </c>
    </row>
    <row r="228" customFormat="1" ht="18" spans="1:16">
      <c r="A228" s="14">
        <f t="shared" si="4"/>
        <v>227</v>
      </c>
      <c r="B228" s="31">
        <v>46177</v>
      </c>
      <c r="C228" s="32" t="s">
        <v>531</v>
      </c>
      <c r="D228" s="120" t="s">
        <v>478</v>
      </c>
      <c r="E228" s="33" t="s">
        <v>43</v>
      </c>
      <c r="F228" s="18" t="s">
        <v>64</v>
      </c>
      <c r="G228" s="18" t="s">
        <v>179</v>
      </c>
      <c r="H228" s="34" t="s">
        <v>86</v>
      </c>
      <c r="I228" s="18" t="s">
        <v>104</v>
      </c>
      <c r="J228" s="31" t="s">
        <v>105</v>
      </c>
      <c r="K228" s="31">
        <v>46177</v>
      </c>
      <c r="L228" s="4"/>
      <c r="M228" s="4"/>
      <c r="N228" s="13" t="s">
        <v>29</v>
      </c>
      <c r="O228" s="35" t="str">
        <f>IF(D228="","",IF(COUNTIF(离职清单!C:C,D228)&gt;0,"已离职","在职"))</f>
        <v>在职</v>
      </c>
      <c r="P228" s="35" t="str">
        <f>IF(AND(O228="在职",J228="是"),COUNTIF(O$2:O228,"在职"),"")</f>
        <v/>
      </c>
    </row>
    <row r="229" customFormat="1" ht="18" spans="1:16">
      <c r="A229" s="10">
        <f t="shared" si="4"/>
        <v>228</v>
      </c>
      <c r="B229" s="31">
        <v>46177</v>
      </c>
      <c r="C229" s="32" t="s">
        <v>532</v>
      </c>
      <c r="D229" s="120" t="s">
        <v>480</v>
      </c>
      <c r="E229" s="33" t="s">
        <v>43</v>
      </c>
      <c r="F229" s="18" t="s">
        <v>64</v>
      </c>
      <c r="G229" s="18" t="s">
        <v>179</v>
      </c>
      <c r="H229" s="34" t="s">
        <v>86</v>
      </c>
      <c r="I229" s="18" t="s">
        <v>104</v>
      </c>
      <c r="J229" s="31" t="s">
        <v>105</v>
      </c>
      <c r="K229" s="31">
        <v>46177</v>
      </c>
      <c r="L229" s="4"/>
      <c r="M229" s="4"/>
      <c r="N229" s="13" t="s">
        <v>29</v>
      </c>
      <c r="O229" s="35" t="str">
        <f>IF(D229="","",IF(COUNTIF(离职清单!C:C,D229)&gt;0,"已离职","在职"))</f>
        <v>在职</v>
      </c>
      <c r="P229" s="35" t="str">
        <f>IF(AND(O229="在职",J229="是"),COUNTIF(O$2:O229,"在职"),"")</f>
        <v/>
      </c>
    </row>
    <row r="230" customFormat="1" ht="18" spans="1:16">
      <c r="A230" s="14">
        <f t="shared" si="4"/>
        <v>229</v>
      </c>
      <c r="B230" s="31">
        <v>46177</v>
      </c>
      <c r="C230" s="32" t="s">
        <v>533</v>
      </c>
      <c r="D230" s="120" t="s">
        <v>482</v>
      </c>
      <c r="E230" s="33" t="s">
        <v>74</v>
      </c>
      <c r="F230" s="18" t="s">
        <v>190</v>
      </c>
      <c r="G230" s="18" t="s">
        <v>179</v>
      </c>
      <c r="H230" s="34" t="s">
        <v>86</v>
      </c>
      <c r="I230" s="18" t="s">
        <v>111</v>
      </c>
      <c r="J230" s="31" t="s">
        <v>105</v>
      </c>
      <c r="K230" s="31">
        <v>46177</v>
      </c>
      <c r="L230" s="4"/>
      <c r="M230" s="4"/>
      <c r="N230" s="13" t="s">
        <v>29</v>
      </c>
      <c r="O230" s="35" t="str">
        <f>IF(D230="","",IF(COUNTIF(离职清单!C:C,D230)&gt;0,"已离职","在职"))</f>
        <v>在职</v>
      </c>
      <c r="P230" s="35" t="str">
        <f>IF(AND(O230="在职",J230="是"),COUNTIF(O$2:O230,"在职"),"")</f>
        <v/>
      </c>
    </row>
    <row r="231" customFormat="1" ht="18" spans="1:16">
      <c r="A231" s="10">
        <f t="shared" si="4"/>
        <v>230</v>
      </c>
      <c r="B231" s="31">
        <v>46177</v>
      </c>
      <c r="C231" s="32" t="s">
        <v>534</v>
      </c>
      <c r="D231" s="120" t="s">
        <v>484</v>
      </c>
      <c r="E231" s="33" t="s">
        <v>74</v>
      </c>
      <c r="F231" s="18" t="s">
        <v>190</v>
      </c>
      <c r="G231" s="18" t="s">
        <v>179</v>
      </c>
      <c r="H231" s="34" t="s">
        <v>86</v>
      </c>
      <c r="I231" s="18" t="s">
        <v>111</v>
      </c>
      <c r="J231" s="31" t="s">
        <v>105</v>
      </c>
      <c r="K231" s="31">
        <v>46177</v>
      </c>
      <c r="L231" s="4"/>
      <c r="M231" s="4"/>
      <c r="N231" s="13" t="s">
        <v>29</v>
      </c>
      <c r="O231" s="35" t="str">
        <f>IF(D231="","",IF(COUNTIF(离职清单!C:C,D231)&gt;0,"已离职","在职"))</f>
        <v>在职</v>
      </c>
      <c r="P231" s="35" t="str">
        <f>IF(AND(O231="在职",J231="是"),COUNTIF(O$2:O231,"在职"),"")</f>
        <v/>
      </c>
    </row>
    <row r="232" customFormat="1" ht="18" spans="1:16">
      <c r="A232" s="14">
        <f t="shared" si="4"/>
        <v>231</v>
      </c>
      <c r="B232" s="31">
        <v>46177</v>
      </c>
      <c r="C232" s="32" t="s">
        <v>535</v>
      </c>
      <c r="D232" s="120" t="s">
        <v>486</v>
      </c>
      <c r="E232" s="33" t="s">
        <v>43</v>
      </c>
      <c r="F232" s="18" t="s">
        <v>64</v>
      </c>
      <c r="G232" s="18" t="s">
        <v>179</v>
      </c>
      <c r="H232" s="34" t="s">
        <v>86</v>
      </c>
      <c r="I232" s="18" t="s">
        <v>111</v>
      </c>
      <c r="J232" s="31" t="s">
        <v>105</v>
      </c>
      <c r="K232" s="31">
        <v>46177</v>
      </c>
      <c r="L232" s="4"/>
      <c r="M232" s="4"/>
      <c r="N232" s="13" t="s">
        <v>29</v>
      </c>
      <c r="O232" s="35" t="str">
        <f>IF(D232="","",IF(COUNTIF(离职清单!C:C,D232)&gt;0,"已离职","在职"))</f>
        <v>在职</v>
      </c>
      <c r="P232" s="35" t="str">
        <f>IF(AND(O232="在职",J232="是"),COUNTIF(O$2:O232,"在职"),"")</f>
        <v/>
      </c>
    </row>
    <row r="233" customFormat="1" ht="18" spans="1:16">
      <c r="A233" s="10">
        <f t="shared" si="4"/>
        <v>232</v>
      </c>
      <c r="B233" s="31">
        <v>46177</v>
      </c>
      <c r="C233" s="32" t="s">
        <v>536</v>
      </c>
      <c r="D233" s="120" t="s">
        <v>488</v>
      </c>
      <c r="E233" s="33" t="s">
        <v>43</v>
      </c>
      <c r="F233" s="18" t="s">
        <v>64</v>
      </c>
      <c r="G233" s="18" t="s">
        <v>179</v>
      </c>
      <c r="H233" s="34" t="s">
        <v>86</v>
      </c>
      <c r="I233" s="18" t="s">
        <v>111</v>
      </c>
      <c r="J233" s="31" t="s">
        <v>105</v>
      </c>
      <c r="K233" s="31">
        <v>46177</v>
      </c>
      <c r="L233" s="4"/>
      <c r="M233" s="4"/>
      <c r="N233" s="13" t="s">
        <v>29</v>
      </c>
      <c r="O233" s="35" t="str">
        <f>IF(D233="","",IF(COUNTIF(离职清单!C:C,D233)&gt;0,"已离职","在职"))</f>
        <v>在职</v>
      </c>
      <c r="P233" s="35" t="str">
        <f>IF(AND(O233="在职",J233="是"),COUNTIF(O$2:O233,"在职"),"")</f>
        <v/>
      </c>
    </row>
    <row r="234" customFormat="1" ht="18" spans="1:16">
      <c r="A234" s="14">
        <f t="shared" si="4"/>
        <v>233</v>
      </c>
      <c r="B234" s="31">
        <v>46177</v>
      </c>
      <c r="C234" s="32" t="s">
        <v>537</v>
      </c>
      <c r="D234" s="120" t="s">
        <v>490</v>
      </c>
      <c r="E234" s="33" t="s">
        <v>43</v>
      </c>
      <c r="F234" s="18" t="s">
        <v>64</v>
      </c>
      <c r="G234" s="18" t="s">
        <v>179</v>
      </c>
      <c r="H234" s="34" t="s">
        <v>86</v>
      </c>
      <c r="I234" s="18" t="s">
        <v>111</v>
      </c>
      <c r="J234" s="31" t="s">
        <v>105</v>
      </c>
      <c r="K234" s="31">
        <v>46177</v>
      </c>
      <c r="L234" s="4"/>
      <c r="M234" s="4"/>
      <c r="N234" s="13" t="s">
        <v>29</v>
      </c>
      <c r="O234" s="35" t="str">
        <f>IF(D234="","",IF(COUNTIF(离职清单!C:C,D234)&gt;0,"已离职","在职"))</f>
        <v>在职</v>
      </c>
      <c r="P234" s="35" t="str">
        <f>IF(AND(O234="在职",J234="是"),COUNTIF(O$2:O234,"在职"),"")</f>
        <v/>
      </c>
    </row>
    <row r="235" customFormat="1" ht="18" spans="1:16">
      <c r="A235" s="10">
        <f t="shared" si="4"/>
        <v>234</v>
      </c>
      <c r="B235" s="31">
        <v>46177</v>
      </c>
      <c r="C235" s="32" t="s">
        <v>538</v>
      </c>
      <c r="D235" s="120" t="s">
        <v>492</v>
      </c>
      <c r="E235" s="33" t="s">
        <v>43</v>
      </c>
      <c r="F235" s="18" t="s">
        <v>64</v>
      </c>
      <c r="G235" s="18" t="s">
        <v>179</v>
      </c>
      <c r="H235" s="34" t="s">
        <v>86</v>
      </c>
      <c r="I235" s="18" t="s">
        <v>111</v>
      </c>
      <c r="J235" s="31" t="s">
        <v>105</v>
      </c>
      <c r="K235" s="31">
        <v>46177</v>
      </c>
      <c r="L235" s="4"/>
      <c r="M235" s="4"/>
      <c r="N235" s="13" t="s">
        <v>29</v>
      </c>
      <c r="O235" s="35" t="str">
        <f>IF(D235="","",IF(COUNTIF(离职清单!C:C,D235)&gt;0,"已离职","在职"))</f>
        <v>在职</v>
      </c>
      <c r="P235" s="35" t="str">
        <f>IF(AND(O235="在职",J235="是"),COUNTIF(O$2:O235,"在职"),"")</f>
        <v/>
      </c>
    </row>
    <row r="236" customFormat="1" ht="18" spans="1:16">
      <c r="A236" s="10">
        <f t="shared" ref="A236:A289" si="5">IF(B236&lt;&gt;"",ROW()-1,"")</f>
        <v>235</v>
      </c>
      <c r="B236" s="31">
        <v>46177</v>
      </c>
      <c r="C236" s="32" t="s">
        <v>539</v>
      </c>
      <c r="D236" s="120" t="s">
        <v>477</v>
      </c>
      <c r="E236" s="33" t="s">
        <v>43</v>
      </c>
      <c r="F236" s="18" t="s">
        <v>64</v>
      </c>
      <c r="G236" s="18" t="s">
        <v>179</v>
      </c>
      <c r="H236" s="34" t="s">
        <v>86</v>
      </c>
      <c r="I236" s="18" t="s">
        <v>111</v>
      </c>
      <c r="J236" s="31" t="s">
        <v>105</v>
      </c>
      <c r="K236" s="31">
        <v>46177</v>
      </c>
      <c r="L236" s="4"/>
      <c r="M236" s="4"/>
      <c r="N236" s="13" t="s">
        <v>29</v>
      </c>
      <c r="O236" s="35" t="str">
        <f>IF(D236="","",IF(COUNTIF(离职清单!C:C,D236)&gt;0,"已离职","在职"))</f>
        <v>在职</v>
      </c>
      <c r="P236" s="35" t="str">
        <f>IF(AND(O236="在职",J236="是"),COUNTIF(O$2:O236,"在职"),"")</f>
        <v/>
      </c>
    </row>
    <row r="237" customFormat="1" ht="18" spans="1:16">
      <c r="A237" s="14">
        <f t="shared" si="5"/>
        <v>236</v>
      </c>
      <c r="B237" s="31">
        <v>46177</v>
      </c>
      <c r="C237" s="32" t="s">
        <v>489</v>
      </c>
      <c r="D237" s="120" t="s">
        <v>477</v>
      </c>
      <c r="E237" s="33" t="s">
        <v>42</v>
      </c>
      <c r="F237" s="18" t="s">
        <v>64</v>
      </c>
      <c r="G237" s="18" t="s">
        <v>179</v>
      </c>
      <c r="H237" s="34" t="s">
        <v>86</v>
      </c>
      <c r="I237" s="18" t="s">
        <v>104</v>
      </c>
      <c r="J237" s="31" t="s">
        <v>114</v>
      </c>
      <c r="K237" s="31">
        <v>46177</v>
      </c>
      <c r="L237" s="4"/>
      <c r="M237" s="4"/>
      <c r="N237" s="13" t="s">
        <v>29</v>
      </c>
      <c r="O237" s="35" t="str">
        <f>IF(D237="","",IF(COUNTIF(离职清单!C:C,D237)&gt;0,"已离职","在职"))</f>
        <v>在职</v>
      </c>
      <c r="P237" s="35">
        <f>IF(AND(O237="在职",J237="是"),COUNTIF(O$2:O237,"在职"),"")</f>
        <v>230</v>
      </c>
    </row>
    <row r="238" customFormat="1" ht="18" spans="1:16">
      <c r="A238" s="10">
        <f t="shared" si="5"/>
        <v>237</v>
      </c>
      <c r="B238" s="31">
        <v>46177</v>
      </c>
      <c r="C238" s="32" t="s">
        <v>540</v>
      </c>
      <c r="D238" s="120" t="s">
        <v>478</v>
      </c>
      <c r="E238" s="33" t="s">
        <v>42</v>
      </c>
      <c r="F238" s="18" t="s">
        <v>64</v>
      </c>
      <c r="G238" s="18" t="s">
        <v>103</v>
      </c>
      <c r="H238" s="34" t="s">
        <v>86</v>
      </c>
      <c r="I238" s="18" t="s">
        <v>104</v>
      </c>
      <c r="J238" s="31" t="s">
        <v>105</v>
      </c>
      <c r="K238" s="31">
        <v>46177</v>
      </c>
      <c r="L238" s="4"/>
      <c r="M238" s="4"/>
      <c r="N238" s="13" t="s">
        <v>29</v>
      </c>
      <c r="O238" s="35" t="str">
        <f>IF(D238="","",IF(COUNTIF(离职清单!C:C,D238)&gt;0,"已离职","在职"))</f>
        <v>在职</v>
      </c>
      <c r="P238" s="35" t="str">
        <f>IF(AND(O238="在职",J238="是"),COUNTIF(O$2:O238,"在职"),"")</f>
        <v/>
      </c>
    </row>
    <row r="239" customFormat="1" ht="18" spans="1:16">
      <c r="A239" s="14">
        <f t="shared" si="5"/>
        <v>238</v>
      </c>
      <c r="B239" s="31">
        <v>46177</v>
      </c>
      <c r="C239" s="32" t="s">
        <v>349</v>
      </c>
      <c r="D239" s="120" t="s">
        <v>480</v>
      </c>
      <c r="E239" s="33" t="s">
        <v>42</v>
      </c>
      <c r="F239" s="18" t="s">
        <v>64</v>
      </c>
      <c r="G239" s="18" t="s">
        <v>103</v>
      </c>
      <c r="H239" s="34" t="s">
        <v>86</v>
      </c>
      <c r="I239" s="18" t="s">
        <v>104</v>
      </c>
      <c r="J239" s="31" t="s">
        <v>105</v>
      </c>
      <c r="K239" s="31">
        <v>46177</v>
      </c>
      <c r="L239" s="4"/>
      <c r="M239" s="4"/>
      <c r="N239" s="13" t="s">
        <v>29</v>
      </c>
      <c r="O239" s="35" t="str">
        <f>IF(D239="","",IF(COUNTIF(离职清单!C:C,D239)&gt;0,"已离职","在职"))</f>
        <v>在职</v>
      </c>
      <c r="P239" s="35" t="str">
        <f>IF(AND(O239="在职",J239="是"),COUNTIF(O$2:O239,"在职"),"")</f>
        <v/>
      </c>
    </row>
    <row r="240" customFormat="1" ht="18" spans="1:16">
      <c r="A240" s="10">
        <f t="shared" si="5"/>
        <v>239</v>
      </c>
      <c r="B240" s="31">
        <v>46177</v>
      </c>
      <c r="C240" s="32" t="s">
        <v>541</v>
      </c>
      <c r="D240" s="120" t="s">
        <v>482</v>
      </c>
      <c r="E240" s="33" t="s">
        <v>74</v>
      </c>
      <c r="F240" s="18" t="s">
        <v>190</v>
      </c>
      <c r="G240" s="18" t="s">
        <v>179</v>
      </c>
      <c r="H240" s="34" t="s">
        <v>86</v>
      </c>
      <c r="I240" s="18" t="s">
        <v>111</v>
      </c>
      <c r="J240" s="31" t="s">
        <v>105</v>
      </c>
      <c r="K240" s="31">
        <v>46177</v>
      </c>
      <c r="L240" s="4"/>
      <c r="M240" s="4"/>
      <c r="N240" s="13" t="s">
        <v>29</v>
      </c>
      <c r="O240" s="35" t="str">
        <f>IF(D240="","",IF(COUNTIF(离职清单!C:C,D240)&gt;0,"已离职","在职"))</f>
        <v>在职</v>
      </c>
      <c r="P240" s="35" t="str">
        <f>IF(AND(O240="在职",J240="是"),COUNTIF(O$2:O240,"在职"),"")</f>
        <v/>
      </c>
    </row>
    <row r="241" customFormat="1" ht="18" spans="1:16">
      <c r="A241" s="14">
        <f t="shared" si="5"/>
        <v>240</v>
      </c>
      <c r="B241" s="31">
        <v>46177</v>
      </c>
      <c r="C241" s="32" t="s">
        <v>542</v>
      </c>
      <c r="D241" s="120" t="s">
        <v>484</v>
      </c>
      <c r="E241" s="33" t="s">
        <v>42</v>
      </c>
      <c r="F241" s="18" t="s">
        <v>64</v>
      </c>
      <c r="G241" s="18" t="s">
        <v>117</v>
      </c>
      <c r="H241" s="34" t="s">
        <v>86</v>
      </c>
      <c r="I241" s="18" t="s">
        <v>111</v>
      </c>
      <c r="J241" s="31" t="s">
        <v>105</v>
      </c>
      <c r="K241" s="31">
        <v>46177</v>
      </c>
      <c r="L241" s="4"/>
      <c r="M241" s="4"/>
      <c r="N241" s="13" t="s">
        <v>29</v>
      </c>
      <c r="O241" s="35" t="str">
        <f>IF(D241="","",IF(COUNTIF(离职清单!C:C,D241)&gt;0,"已离职","在职"))</f>
        <v>在职</v>
      </c>
      <c r="P241" s="35" t="str">
        <f>IF(AND(O241="在职",J241="是"),COUNTIF(O$2:O241,"在职"),"")</f>
        <v/>
      </c>
    </row>
    <row r="242" customFormat="1" ht="18" spans="1:16">
      <c r="A242" s="10">
        <f t="shared" si="5"/>
        <v>241</v>
      </c>
      <c r="B242" s="31">
        <v>46177</v>
      </c>
      <c r="C242" s="32" t="s">
        <v>497</v>
      </c>
      <c r="D242" s="120" t="s">
        <v>486</v>
      </c>
      <c r="E242" s="33" t="s">
        <v>74</v>
      </c>
      <c r="F242" s="18" t="s">
        <v>190</v>
      </c>
      <c r="G242" s="18" t="s">
        <v>117</v>
      </c>
      <c r="H242" s="34" t="s">
        <v>86</v>
      </c>
      <c r="I242" s="18" t="s">
        <v>111</v>
      </c>
      <c r="J242" s="31" t="s">
        <v>105</v>
      </c>
      <c r="K242" s="31">
        <v>46177</v>
      </c>
      <c r="L242" s="4"/>
      <c r="M242" s="4"/>
      <c r="N242" s="13" t="s">
        <v>29</v>
      </c>
      <c r="O242" s="35" t="str">
        <f>IF(D242="","",IF(COUNTIF(离职清单!C:C,D242)&gt;0,"已离职","在职"))</f>
        <v>在职</v>
      </c>
      <c r="P242" s="35" t="str">
        <f>IF(AND(O242="在职",J242="是"),COUNTIF(O$2:O242,"在职"),"")</f>
        <v/>
      </c>
    </row>
    <row r="243" customFormat="1" ht="18" spans="1:16">
      <c r="A243" s="14">
        <f t="shared" si="5"/>
        <v>242</v>
      </c>
      <c r="B243" s="31">
        <v>46177</v>
      </c>
      <c r="C243" s="32" t="s">
        <v>347</v>
      </c>
      <c r="D243" s="120" t="s">
        <v>488</v>
      </c>
      <c r="E243" s="33" t="s">
        <v>42</v>
      </c>
      <c r="F243" s="18" t="s">
        <v>64</v>
      </c>
      <c r="G243" s="18" t="s">
        <v>426</v>
      </c>
      <c r="H243" s="34" t="s">
        <v>86</v>
      </c>
      <c r="I243" s="18" t="s">
        <v>104</v>
      </c>
      <c r="J243" s="31" t="s">
        <v>114</v>
      </c>
      <c r="K243" s="31">
        <v>46177</v>
      </c>
      <c r="L243" s="4"/>
      <c r="M243" s="4"/>
      <c r="N243" s="13" t="s">
        <v>29</v>
      </c>
      <c r="O243" s="35" t="str">
        <f>IF(D243="","",IF(COUNTIF(离职清单!C:C,D243)&gt;0,"已离职","在职"))</f>
        <v>在职</v>
      </c>
      <c r="P243" s="35">
        <f>IF(AND(O243="在职",J243="是"),COUNTIF(O$2:O243,"在职"),"")</f>
        <v>236</v>
      </c>
    </row>
    <row r="244" customFormat="1" ht="18" spans="1:16">
      <c r="A244" s="10">
        <f t="shared" si="5"/>
        <v>243</v>
      </c>
      <c r="B244" s="31">
        <v>46177</v>
      </c>
      <c r="C244" s="32" t="s">
        <v>543</v>
      </c>
      <c r="D244" s="120" t="s">
        <v>490</v>
      </c>
      <c r="E244" s="33" t="s">
        <v>43</v>
      </c>
      <c r="F244" s="18" t="s">
        <v>64</v>
      </c>
      <c r="G244" s="18" t="s">
        <v>426</v>
      </c>
      <c r="H244" s="34" t="s">
        <v>86</v>
      </c>
      <c r="I244" s="18" t="s">
        <v>104</v>
      </c>
      <c r="J244" s="31" t="s">
        <v>114</v>
      </c>
      <c r="K244" s="31">
        <v>46177</v>
      </c>
      <c r="L244" s="4"/>
      <c r="M244" s="4"/>
      <c r="N244" s="13" t="s">
        <v>29</v>
      </c>
      <c r="O244" s="35" t="str">
        <f>IF(D244="","",IF(COUNTIF(离职清单!C:C,D244)&gt;0,"已离职","在职"))</f>
        <v>在职</v>
      </c>
      <c r="P244" s="35">
        <f>IF(AND(O244="在职",J244="是"),COUNTIF(O$2:O244,"在职"),"")</f>
        <v>237</v>
      </c>
    </row>
    <row r="245" customFormat="1" ht="18" spans="1:16">
      <c r="A245" s="14">
        <f t="shared" si="5"/>
        <v>244</v>
      </c>
      <c r="B245" s="31">
        <v>46177</v>
      </c>
      <c r="C245" s="32" t="s">
        <v>448</v>
      </c>
      <c r="D245" s="120" t="s">
        <v>492</v>
      </c>
      <c r="E245" s="33" t="s">
        <v>42</v>
      </c>
      <c r="F245" s="18" t="s">
        <v>64</v>
      </c>
      <c r="G245" s="18" t="s">
        <v>129</v>
      </c>
      <c r="H245" s="34" t="s">
        <v>86</v>
      </c>
      <c r="I245" s="18" t="s">
        <v>104</v>
      </c>
      <c r="J245" s="31" t="s">
        <v>114</v>
      </c>
      <c r="K245" s="31">
        <v>46177</v>
      </c>
      <c r="L245" s="4"/>
      <c r="M245" s="4"/>
      <c r="N245" s="13" t="s">
        <v>29</v>
      </c>
      <c r="O245" s="35" t="str">
        <f>IF(D245="","",IF(COUNTIF(离职清单!C:C,D245)&gt;0,"已离职","在职"))</f>
        <v>在职</v>
      </c>
      <c r="P245" s="35">
        <f>IF(AND(O245="在职",J245="是"),COUNTIF(O$2:O245,"在职"),"")</f>
        <v>238</v>
      </c>
    </row>
    <row r="246" customFormat="1" ht="18" spans="1:16">
      <c r="A246" s="10">
        <f t="shared" si="5"/>
        <v>245</v>
      </c>
      <c r="B246" s="31">
        <v>46177</v>
      </c>
      <c r="C246" s="32" t="s">
        <v>544</v>
      </c>
      <c r="D246" s="120" t="s">
        <v>477</v>
      </c>
      <c r="E246" s="33" t="s">
        <v>42</v>
      </c>
      <c r="F246" s="18" t="s">
        <v>64</v>
      </c>
      <c r="G246" s="18" t="s">
        <v>103</v>
      </c>
      <c r="H246" s="34" t="s">
        <v>86</v>
      </c>
      <c r="I246" s="18" t="s">
        <v>104</v>
      </c>
      <c r="J246" s="31" t="s">
        <v>105</v>
      </c>
      <c r="K246" s="31">
        <v>46177</v>
      </c>
      <c r="L246" s="4"/>
      <c r="M246" s="4"/>
      <c r="N246" s="13" t="s">
        <v>29</v>
      </c>
      <c r="O246" s="35" t="str">
        <f>IF(D246="","",IF(COUNTIF(离职清单!C:C,D246)&gt;0,"已离职","在职"))</f>
        <v>在职</v>
      </c>
      <c r="P246" s="35" t="str">
        <f>IF(AND(O246="在职",J246="是"),COUNTIF(O$2:O246,"在职"),"")</f>
        <v/>
      </c>
    </row>
    <row r="247" customFormat="1" ht="18" spans="1:16">
      <c r="A247" s="14">
        <f t="shared" si="5"/>
        <v>246</v>
      </c>
      <c r="B247" s="31">
        <v>46177</v>
      </c>
      <c r="C247" s="32" t="s">
        <v>545</v>
      </c>
      <c r="D247" s="120" t="s">
        <v>478</v>
      </c>
      <c r="E247" s="33" t="s">
        <v>74</v>
      </c>
      <c r="F247" s="18" t="s">
        <v>64</v>
      </c>
      <c r="G247" s="18" t="s">
        <v>179</v>
      </c>
      <c r="H247" s="34" t="s">
        <v>86</v>
      </c>
      <c r="I247" s="18" t="s">
        <v>104</v>
      </c>
      <c r="J247" s="31" t="s">
        <v>105</v>
      </c>
      <c r="K247" s="31">
        <v>46177</v>
      </c>
      <c r="L247" s="4"/>
      <c r="M247" s="4"/>
      <c r="N247" s="13" t="s">
        <v>29</v>
      </c>
      <c r="O247" s="35" t="str">
        <f>IF(D247="","",IF(COUNTIF(离职清单!C:C,D247)&gt;0,"已离职","在职"))</f>
        <v>在职</v>
      </c>
      <c r="P247" s="35" t="str">
        <f>IF(AND(O247="在职",J247="是"),COUNTIF(O$2:O247,"在职"),"")</f>
        <v/>
      </c>
    </row>
    <row r="248" customFormat="1" ht="18" spans="1:16">
      <c r="A248" s="10">
        <f t="shared" si="5"/>
        <v>247</v>
      </c>
      <c r="B248" s="31">
        <v>46177</v>
      </c>
      <c r="C248" s="32" t="s">
        <v>275</v>
      </c>
      <c r="D248" s="120" t="s">
        <v>480</v>
      </c>
      <c r="E248" s="33" t="s">
        <v>43</v>
      </c>
      <c r="F248" s="18" t="s">
        <v>64</v>
      </c>
      <c r="G248" s="18" t="s">
        <v>179</v>
      </c>
      <c r="H248" s="34" t="s">
        <v>86</v>
      </c>
      <c r="I248" s="18" t="s">
        <v>104</v>
      </c>
      <c r="J248" s="31" t="s">
        <v>105</v>
      </c>
      <c r="K248" s="31">
        <v>46177</v>
      </c>
      <c r="L248" s="4"/>
      <c r="M248" s="4"/>
      <c r="N248" s="13" t="s">
        <v>29</v>
      </c>
      <c r="O248" s="35" t="str">
        <f>IF(D248="","",IF(COUNTIF(离职清单!C:C,D248)&gt;0,"已离职","在职"))</f>
        <v>在职</v>
      </c>
      <c r="P248" s="35" t="str">
        <f>IF(AND(O248="在职",J248="是"),COUNTIF(O$2:O248,"在职"),"")</f>
        <v/>
      </c>
    </row>
    <row r="249" customFormat="1" ht="18" spans="1:16">
      <c r="A249" s="14">
        <f t="shared" si="5"/>
        <v>248</v>
      </c>
      <c r="B249" s="31">
        <v>46177</v>
      </c>
      <c r="C249" s="32" t="s">
        <v>546</v>
      </c>
      <c r="D249" s="120" t="s">
        <v>482</v>
      </c>
      <c r="E249" s="33" t="s">
        <v>43</v>
      </c>
      <c r="F249" s="18" t="s">
        <v>64</v>
      </c>
      <c r="G249" s="18" t="s">
        <v>179</v>
      </c>
      <c r="H249" s="34" t="s">
        <v>86</v>
      </c>
      <c r="I249" s="18" t="s">
        <v>104</v>
      </c>
      <c r="J249" s="31" t="s">
        <v>105</v>
      </c>
      <c r="K249" s="31">
        <v>46177</v>
      </c>
      <c r="L249" s="4"/>
      <c r="M249" s="4"/>
      <c r="N249" s="13" t="s">
        <v>29</v>
      </c>
      <c r="O249" s="35" t="str">
        <f>IF(D249="","",IF(COUNTIF(离职清单!C:C,D249)&gt;0,"已离职","在职"))</f>
        <v>在职</v>
      </c>
      <c r="P249" s="35" t="str">
        <f>IF(AND(O249="在职",J249="是"),COUNTIF(O$2:O249,"在职"),"")</f>
        <v/>
      </c>
    </row>
    <row r="250" customFormat="1" ht="18" spans="1:16">
      <c r="A250" s="10">
        <f t="shared" si="5"/>
        <v>249</v>
      </c>
      <c r="B250" s="31">
        <v>46177</v>
      </c>
      <c r="C250" s="32" t="s">
        <v>547</v>
      </c>
      <c r="D250" s="120" t="s">
        <v>484</v>
      </c>
      <c r="E250" s="33" t="s">
        <v>43</v>
      </c>
      <c r="F250" s="18" t="s">
        <v>64</v>
      </c>
      <c r="G250" s="18" t="s">
        <v>179</v>
      </c>
      <c r="H250" s="34" t="s">
        <v>86</v>
      </c>
      <c r="I250" s="18" t="s">
        <v>104</v>
      </c>
      <c r="J250" s="31" t="s">
        <v>105</v>
      </c>
      <c r="K250" s="31">
        <v>46177</v>
      </c>
      <c r="L250" s="4"/>
      <c r="M250" s="4"/>
      <c r="N250" s="13" t="s">
        <v>29</v>
      </c>
      <c r="O250" s="35" t="str">
        <f>IF(D250="","",IF(COUNTIF(离职清单!C:C,D250)&gt;0,"已离职","在职"))</f>
        <v>在职</v>
      </c>
      <c r="P250" s="35" t="str">
        <f>IF(AND(O250="在职",J250="是"),COUNTIF(O$2:O250,"在职"),"")</f>
        <v/>
      </c>
    </row>
    <row r="251" customFormat="1" ht="18" spans="1:16">
      <c r="A251" s="14">
        <f t="shared" si="5"/>
        <v>250</v>
      </c>
      <c r="B251" s="31">
        <v>46177</v>
      </c>
      <c r="C251" s="32" t="s">
        <v>548</v>
      </c>
      <c r="D251" s="120" t="s">
        <v>486</v>
      </c>
      <c r="E251" s="33" t="s">
        <v>42</v>
      </c>
      <c r="F251" s="18" t="s">
        <v>63</v>
      </c>
      <c r="G251" s="18" t="s">
        <v>103</v>
      </c>
      <c r="H251" s="34" t="s">
        <v>86</v>
      </c>
      <c r="I251" s="18" t="s">
        <v>104</v>
      </c>
      <c r="J251" s="31" t="s">
        <v>105</v>
      </c>
      <c r="K251" s="31">
        <v>46177</v>
      </c>
      <c r="L251" s="4"/>
      <c r="M251" s="4"/>
      <c r="N251" s="13" t="s">
        <v>29</v>
      </c>
      <c r="O251" s="35" t="str">
        <f>IF(D251="","",IF(COUNTIF(离职清单!C:C,D251)&gt;0,"已离职","在职"))</f>
        <v>在职</v>
      </c>
      <c r="P251" s="35" t="str">
        <f>IF(AND(O251="在职",J251="是"),COUNTIF(O$2:O251,"在职"),"")</f>
        <v/>
      </c>
    </row>
    <row r="252" customFormat="1" ht="18" spans="1:16">
      <c r="A252" s="10">
        <f t="shared" si="5"/>
        <v>251</v>
      </c>
      <c r="B252" s="31">
        <v>46178</v>
      </c>
      <c r="C252" s="32" t="s">
        <v>549</v>
      </c>
      <c r="D252" s="120" t="s">
        <v>488</v>
      </c>
      <c r="E252" s="33" t="s">
        <v>73</v>
      </c>
      <c r="F252" s="18" t="s">
        <v>63</v>
      </c>
      <c r="G252" s="18" t="s">
        <v>129</v>
      </c>
      <c r="H252" s="34" t="s">
        <v>86</v>
      </c>
      <c r="I252" s="18" t="s">
        <v>104</v>
      </c>
      <c r="J252" s="31" t="s">
        <v>114</v>
      </c>
      <c r="K252" s="31">
        <v>46178</v>
      </c>
      <c r="L252" s="4"/>
      <c r="M252" s="4"/>
      <c r="N252" s="13" t="s">
        <v>29</v>
      </c>
      <c r="O252" s="35" t="str">
        <f>IF(D252="","",IF(COUNTIF(离职清单!C:C,D252)&gt;0,"已离职","在职"))</f>
        <v>在职</v>
      </c>
      <c r="P252" s="35">
        <f>IF(AND(O252="在职",J252="是"),COUNTIF(O$2:O252,"在职"),"")</f>
        <v>245</v>
      </c>
    </row>
    <row r="253" customFormat="1" ht="18" spans="1:16">
      <c r="A253" s="14">
        <f t="shared" si="5"/>
        <v>252</v>
      </c>
      <c r="B253" s="31">
        <v>46178</v>
      </c>
      <c r="C253" s="32" t="s">
        <v>550</v>
      </c>
      <c r="D253" s="120" t="s">
        <v>490</v>
      </c>
      <c r="E253" s="33" t="s">
        <v>73</v>
      </c>
      <c r="F253" s="18" t="s">
        <v>63</v>
      </c>
      <c r="G253" s="18" t="s">
        <v>129</v>
      </c>
      <c r="H253" s="34" t="s">
        <v>86</v>
      </c>
      <c r="I253" s="18" t="s">
        <v>104</v>
      </c>
      <c r="J253" s="31" t="s">
        <v>114</v>
      </c>
      <c r="K253" s="31">
        <v>46178</v>
      </c>
      <c r="L253" s="4"/>
      <c r="M253" s="4"/>
      <c r="N253" s="13" t="s">
        <v>29</v>
      </c>
      <c r="O253" s="35" t="str">
        <f>IF(D253="","",IF(COUNTIF(离职清单!C:C,D253)&gt;0,"已离职","在职"))</f>
        <v>在职</v>
      </c>
      <c r="P253" s="35">
        <f>IF(AND(O253="在职",J253="是"),COUNTIF(O$2:O253,"在职"),"")</f>
        <v>246</v>
      </c>
    </row>
    <row r="254" customFormat="1" ht="18" spans="1:16">
      <c r="A254" s="10">
        <f t="shared" si="5"/>
        <v>253</v>
      </c>
      <c r="B254" s="31">
        <v>46178</v>
      </c>
      <c r="C254" s="32" t="s">
        <v>551</v>
      </c>
      <c r="D254" s="120" t="s">
        <v>492</v>
      </c>
      <c r="E254" s="33" t="s">
        <v>73</v>
      </c>
      <c r="F254" s="18" t="s">
        <v>63</v>
      </c>
      <c r="G254" s="18" t="s">
        <v>129</v>
      </c>
      <c r="H254" s="34" t="s">
        <v>86</v>
      </c>
      <c r="I254" s="18" t="s">
        <v>104</v>
      </c>
      <c r="J254" s="31" t="s">
        <v>114</v>
      </c>
      <c r="K254" s="31">
        <v>46178</v>
      </c>
      <c r="L254" s="4"/>
      <c r="M254" s="4"/>
      <c r="N254" s="13" t="s">
        <v>29</v>
      </c>
      <c r="O254" s="35" t="str">
        <f>IF(D254="","",IF(COUNTIF(离职清单!C:C,D254)&gt;0,"已离职","在职"))</f>
        <v>在职</v>
      </c>
      <c r="P254" s="35">
        <f>IF(AND(O254="在职",J254="是"),COUNTIF(O$2:O254,"在职"),"")</f>
        <v>247</v>
      </c>
    </row>
    <row r="255" customFormat="1" ht="18" spans="1:16">
      <c r="A255" s="14">
        <f t="shared" si="5"/>
        <v>254</v>
      </c>
      <c r="B255" s="31">
        <v>46178</v>
      </c>
      <c r="C255" s="32" t="s">
        <v>552</v>
      </c>
      <c r="D255" s="120" t="s">
        <v>477</v>
      </c>
      <c r="E255" s="33" t="s">
        <v>42</v>
      </c>
      <c r="F255" s="18" t="s">
        <v>64</v>
      </c>
      <c r="G255" s="18" t="s">
        <v>148</v>
      </c>
      <c r="H255" s="34" t="s">
        <v>86</v>
      </c>
      <c r="I255" s="18" t="s">
        <v>104</v>
      </c>
      <c r="J255" s="31" t="s">
        <v>114</v>
      </c>
      <c r="K255" s="31">
        <v>46178</v>
      </c>
      <c r="L255" s="4"/>
      <c r="M255" s="4"/>
      <c r="N255" s="13" t="s">
        <v>29</v>
      </c>
      <c r="O255" s="35" t="str">
        <f>IF(D255="","",IF(COUNTIF(离职清单!C:C,D255)&gt;0,"已离职","在职"))</f>
        <v>在职</v>
      </c>
      <c r="P255" s="35">
        <f>IF(AND(O255="在职",J255="是"),COUNTIF(O$2:O255,"在职"),"")</f>
        <v>248</v>
      </c>
    </row>
    <row r="256" customFormat="1" ht="18" spans="1:16">
      <c r="A256" s="10">
        <f t="shared" si="5"/>
        <v>255</v>
      </c>
      <c r="B256" s="31">
        <v>46178</v>
      </c>
      <c r="C256" s="32" t="s">
        <v>553</v>
      </c>
      <c r="D256" s="120" t="s">
        <v>478</v>
      </c>
      <c r="E256" s="33" t="s">
        <v>43</v>
      </c>
      <c r="F256" s="18" t="s">
        <v>64</v>
      </c>
      <c r="G256" s="18" t="s">
        <v>148</v>
      </c>
      <c r="H256" s="34" t="s">
        <v>86</v>
      </c>
      <c r="I256" s="18" t="s">
        <v>104</v>
      </c>
      <c r="J256" s="31" t="s">
        <v>114</v>
      </c>
      <c r="K256" s="31">
        <v>46178</v>
      </c>
      <c r="L256" s="4"/>
      <c r="M256" s="4"/>
      <c r="N256" s="13" t="s">
        <v>29</v>
      </c>
      <c r="O256" s="35" t="str">
        <f>IF(D256="","",IF(COUNTIF(离职清单!C:C,D256)&gt;0,"已离职","在职"))</f>
        <v>在职</v>
      </c>
      <c r="P256" s="35">
        <f>IF(AND(O256="在职",J256="是"),COUNTIF(O$2:O256,"在职"),"")</f>
        <v>249</v>
      </c>
    </row>
    <row r="257" customFormat="1" ht="18" spans="1:16">
      <c r="A257" s="14">
        <f t="shared" si="5"/>
        <v>256</v>
      </c>
      <c r="B257" s="31">
        <v>46178</v>
      </c>
      <c r="C257" s="32" t="s">
        <v>554</v>
      </c>
      <c r="D257" s="120" t="s">
        <v>480</v>
      </c>
      <c r="E257" s="33" t="s">
        <v>43</v>
      </c>
      <c r="F257" s="18" t="s">
        <v>64</v>
      </c>
      <c r="G257" s="18" t="s">
        <v>148</v>
      </c>
      <c r="H257" s="34" t="s">
        <v>86</v>
      </c>
      <c r="I257" s="18" t="s">
        <v>104</v>
      </c>
      <c r="J257" s="31" t="s">
        <v>114</v>
      </c>
      <c r="K257" s="31">
        <v>46178</v>
      </c>
      <c r="L257" s="4"/>
      <c r="M257" s="4"/>
      <c r="N257" s="13" t="s">
        <v>29</v>
      </c>
      <c r="O257" s="35" t="str">
        <f>IF(D257="","",IF(COUNTIF(离职清单!C:C,D257)&gt;0,"已离职","在职"))</f>
        <v>在职</v>
      </c>
      <c r="P257" s="35">
        <f>IF(AND(O257="在职",J257="是"),COUNTIF(O$2:O257,"在职"),"")</f>
        <v>250</v>
      </c>
    </row>
    <row r="258" customFormat="1" ht="18" spans="1:16">
      <c r="A258" s="10">
        <f t="shared" si="5"/>
        <v>257</v>
      </c>
      <c r="B258" s="31">
        <v>46178</v>
      </c>
      <c r="C258" s="32" t="s">
        <v>555</v>
      </c>
      <c r="D258" s="120" t="s">
        <v>482</v>
      </c>
      <c r="E258" s="33" t="s">
        <v>42</v>
      </c>
      <c r="F258" s="18" t="s">
        <v>64</v>
      </c>
      <c r="G258" s="18" t="s">
        <v>148</v>
      </c>
      <c r="H258" s="34" t="s">
        <v>86</v>
      </c>
      <c r="I258" s="18" t="s">
        <v>111</v>
      </c>
      <c r="J258" s="31" t="s">
        <v>105</v>
      </c>
      <c r="K258" s="31">
        <v>46178</v>
      </c>
      <c r="L258" s="4"/>
      <c r="M258" s="4"/>
      <c r="N258" s="13" t="s">
        <v>29</v>
      </c>
      <c r="O258" s="35" t="str">
        <f>IF(D258="","",IF(COUNTIF(离职清单!C:C,D258)&gt;0,"已离职","在职"))</f>
        <v>在职</v>
      </c>
      <c r="P258" s="35" t="str">
        <f>IF(AND(O258="在职",J258="是"),COUNTIF(O$2:O258,"在职"),"")</f>
        <v/>
      </c>
    </row>
    <row r="259" customFormat="1" ht="18" spans="1:16">
      <c r="A259" s="14">
        <f t="shared" si="5"/>
        <v>258</v>
      </c>
      <c r="B259" s="31">
        <v>46178</v>
      </c>
      <c r="C259" s="32" t="s">
        <v>556</v>
      </c>
      <c r="D259" s="120" t="s">
        <v>484</v>
      </c>
      <c r="E259" s="33" t="s">
        <v>42</v>
      </c>
      <c r="F259" s="18" t="s">
        <v>64</v>
      </c>
      <c r="G259" s="18" t="s">
        <v>148</v>
      </c>
      <c r="H259" s="34" t="s">
        <v>86</v>
      </c>
      <c r="I259" s="18" t="s">
        <v>104</v>
      </c>
      <c r="J259" s="31" t="s">
        <v>114</v>
      </c>
      <c r="K259" s="31">
        <v>46178</v>
      </c>
      <c r="L259" s="4"/>
      <c r="M259" s="4"/>
      <c r="N259" s="13" t="s">
        <v>29</v>
      </c>
      <c r="O259" s="35" t="str">
        <f>IF(D259="","",IF(COUNTIF(离职清单!C:C,D259)&gt;0,"已离职","在职"))</f>
        <v>在职</v>
      </c>
      <c r="P259" s="35">
        <f>IF(AND(O259="在职",J259="是"),COUNTIF(O$2:O259,"在职"),"")</f>
        <v>252</v>
      </c>
    </row>
    <row r="260" customFormat="1" ht="18" spans="1:16">
      <c r="A260" s="10">
        <f t="shared" si="5"/>
        <v>259</v>
      </c>
      <c r="B260" s="31">
        <v>46178</v>
      </c>
      <c r="C260" s="32" t="s">
        <v>557</v>
      </c>
      <c r="D260" s="120" t="s">
        <v>486</v>
      </c>
      <c r="E260" s="33" t="s">
        <v>43</v>
      </c>
      <c r="F260" s="18" t="s">
        <v>62</v>
      </c>
      <c r="G260" s="18" t="s">
        <v>103</v>
      </c>
      <c r="H260" s="34" t="s">
        <v>86</v>
      </c>
      <c r="I260" s="18" t="s">
        <v>104</v>
      </c>
      <c r="J260" s="31" t="s">
        <v>105</v>
      </c>
      <c r="K260" s="31">
        <v>46178</v>
      </c>
      <c r="L260" s="4"/>
      <c r="M260" s="4"/>
      <c r="N260" s="13" t="s">
        <v>29</v>
      </c>
      <c r="O260" s="35" t="str">
        <f>IF(D260="","",IF(COUNTIF(离职清单!C:C,D260)&gt;0,"已离职","在职"))</f>
        <v>在职</v>
      </c>
      <c r="P260" s="35" t="str">
        <f>IF(AND(O260="在职",J260="是"),COUNTIF(O$2:O260,"在职"),"")</f>
        <v/>
      </c>
    </row>
    <row r="261" customFormat="1" ht="18" spans="1:16">
      <c r="A261" s="14">
        <f t="shared" si="5"/>
        <v>260</v>
      </c>
      <c r="B261" s="31">
        <v>46178</v>
      </c>
      <c r="C261" s="32" t="s">
        <v>558</v>
      </c>
      <c r="D261" s="120" t="s">
        <v>488</v>
      </c>
      <c r="E261" s="33" t="s">
        <v>43</v>
      </c>
      <c r="F261" s="18" t="s">
        <v>62</v>
      </c>
      <c r="G261" s="18" t="s">
        <v>103</v>
      </c>
      <c r="H261" s="34" t="s">
        <v>86</v>
      </c>
      <c r="I261" s="18" t="s">
        <v>104</v>
      </c>
      <c r="J261" s="31" t="s">
        <v>105</v>
      </c>
      <c r="K261" s="31">
        <v>46178</v>
      </c>
      <c r="L261" s="4"/>
      <c r="M261" s="4"/>
      <c r="N261" s="13" t="s">
        <v>29</v>
      </c>
      <c r="O261" s="35" t="str">
        <f>IF(D261="","",IF(COUNTIF(离职清单!C:C,D261)&gt;0,"已离职","在职"))</f>
        <v>在职</v>
      </c>
      <c r="P261" s="35" t="str">
        <f>IF(AND(O261="在职",J261="是"),COUNTIF(O$2:O261,"在职"),"")</f>
        <v/>
      </c>
    </row>
    <row r="262" customFormat="1" ht="18" spans="1:16">
      <c r="A262" s="10">
        <f t="shared" si="5"/>
        <v>261</v>
      </c>
      <c r="B262" s="31">
        <v>46178</v>
      </c>
      <c r="C262" s="32" t="s">
        <v>559</v>
      </c>
      <c r="D262" s="120" t="s">
        <v>490</v>
      </c>
      <c r="E262" s="33" t="s">
        <v>42</v>
      </c>
      <c r="F262" s="18" t="s">
        <v>63</v>
      </c>
      <c r="G262" s="18" t="s">
        <v>103</v>
      </c>
      <c r="H262" s="34" t="s">
        <v>86</v>
      </c>
      <c r="I262" s="18" t="s">
        <v>104</v>
      </c>
      <c r="J262" s="31" t="s">
        <v>114</v>
      </c>
      <c r="K262" s="31">
        <v>46178</v>
      </c>
      <c r="L262" s="4"/>
      <c r="M262" s="4"/>
      <c r="N262" s="13" t="s">
        <v>29</v>
      </c>
      <c r="O262" s="35" t="str">
        <f>IF(D262="","",IF(COUNTIF(离职清单!C:C,D262)&gt;0,"已离职","在职"))</f>
        <v>在职</v>
      </c>
      <c r="P262" s="35">
        <f>IF(AND(O262="在职",J262="是"),COUNTIF(O$2:O262,"在职"),"")</f>
        <v>255</v>
      </c>
    </row>
    <row r="263" customFormat="1" ht="18" spans="1:16">
      <c r="A263" s="14">
        <f t="shared" si="5"/>
        <v>262</v>
      </c>
      <c r="B263" s="31">
        <v>46178</v>
      </c>
      <c r="C263" s="32" t="s">
        <v>560</v>
      </c>
      <c r="D263" s="120" t="s">
        <v>492</v>
      </c>
      <c r="E263" s="33" t="s">
        <v>43</v>
      </c>
      <c r="F263" s="18" t="s">
        <v>64</v>
      </c>
      <c r="G263" s="18" t="s">
        <v>103</v>
      </c>
      <c r="H263" s="34" t="s">
        <v>86</v>
      </c>
      <c r="I263" s="18" t="s">
        <v>104</v>
      </c>
      <c r="J263" s="31" t="s">
        <v>105</v>
      </c>
      <c r="K263" s="31">
        <v>46178</v>
      </c>
      <c r="L263" s="4"/>
      <c r="M263" s="4"/>
      <c r="N263" s="13" t="s">
        <v>29</v>
      </c>
      <c r="O263" s="35" t="str">
        <f>IF(D263="","",IF(COUNTIF(离职清单!C:C,D263)&gt;0,"已离职","在职"))</f>
        <v>在职</v>
      </c>
      <c r="P263" s="35" t="str">
        <f>IF(AND(O263="在职",J263="是"),COUNTIF(O$2:O263,"在职"),"")</f>
        <v/>
      </c>
    </row>
    <row r="264" customFormat="1" ht="18" spans="1:16">
      <c r="A264" s="10">
        <f t="shared" si="5"/>
        <v>263</v>
      </c>
      <c r="B264" s="31">
        <v>46178</v>
      </c>
      <c r="C264" s="32" t="s">
        <v>561</v>
      </c>
      <c r="D264" s="120" t="s">
        <v>477</v>
      </c>
      <c r="E264" s="33" t="s">
        <v>42</v>
      </c>
      <c r="F264" s="18" t="s">
        <v>64</v>
      </c>
      <c r="G264" s="18" t="s">
        <v>117</v>
      </c>
      <c r="H264" s="34" t="s">
        <v>86</v>
      </c>
      <c r="I264" s="18" t="s">
        <v>104</v>
      </c>
      <c r="J264" s="31" t="s">
        <v>114</v>
      </c>
      <c r="K264" s="31">
        <v>46178</v>
      </c>
      <c r="L264" s="4"/>
      <c r="M264" s="4"/>
      <c r="N264" s="13" t="s">
        <v>29</v>
      </c>
      <c r="O264" s="35" t="str">
        <f>IF(D264="","",IF(COUNTIF(离职清单!C:C,D264)&gt;0,"已离职","在职"))</f>
        <v>在职</v>
      </c>
      <c r="P264" s="35">
        <f>IF(AND(O264="在职",J264="是"),COUNTIF(O$2:O264,"在职"),"")</f>
        <v>257</v>
      </c>
    </row>
    <row r="265" customFormat="1" ht="18" spans="1:16">
      <c r="A265" s="14">
        <f t="shared" si="5"/>
        <v>264</v>
      </c>
      <c r="B265" s="31">
        <v>46178</v>
      </c>
      <c r="C265" s="32" t="s">
        <v>562</v>
      </c>
      <c r="D265" s="120" t="s">
        <v>478</v>
      </c>
      <c r="E265" s="33" t="s">
        <v>42</v>
      </c>
      <c r="F265" s="18" t="s">
        <v>64</v>
      </c>
      <c r="G265" s="18" t="s">
        <v>173</v>
      </c>
      <c r="H265" s="34" t="s">
        <v>86</v>
      </c>
      <c r="I265" s="18" t="s">
        <v>111</v>
      </c>
      <c r="J265" s="31" t="s">
        <v>105</v>
      </c>
      <c r="K265" s="31">
        <v>46178</v>
      </c>
      <c r="L265" s="4"/>
      <c r="M265" s="4"/>
      <c r="N265" s="13" t="s">
        <v>29</v>
      </c>
      <c r="O265" s="35" t="str">
        <f>IF(D265="","",IF(COUNTIF(离职清单!C:C,D265)&gt;0,"已离职","在职"))</f>
        <v>在职</v>
      </c>
      <c r="P265" s="35" t="str">
        <f>IF(AND(O265="在职",J265="是"),COUNTIF(O$2:O265,"在职"),"")</f>
        <v/>
      </c>
    </row>
    <row r="266" customFormat="1" ht="18" spans="1:16">
      <c r="A266" s="10">
        <f t="shared" si="5"/>
        <v>265</v>
      </c>
      <c r="B266" s="31">
        <v>46178</v>
      </c>
      <c r="C266" s="32" t="s">
        <v>563</v>
      </c>
      <c r="D266" s="120" t="s">
        <v>480</v>
      </c>
      <c r="E266" s="33" t="s">
        <v>42</v>
      </c>
      <c r="F266" s="18" t="s">
        <v>64</v>
      </c>
      <c r="G266" s="18" t="s">
        <v>564</v>
      </c>
      <c r="H266" s="34" t="s">
        <v>86</v>
      </c>
      <c r="I266" s="18" t="s">
        <v>111</v>
      </c>
      <c r="J266" s="31" t="s">
        <v>105</v>
      </c>
      <c r="K266" s="31">
        <v>46178</v>
      </c>
      <c r="L266" s="4"/>
      <c r="M266" s="4"/>
      <c r="N266" s="13" t="s">
        <v>29</v>
      </c>
      <c r="O266" s="35" t="str">
        <f>IF(D266="","",IF(COUNTIF(离职清单!C:C,D266)&gt;0,"已离职","在职"))</f>
        <v>在职</v>
      </c>
      <c r="P266" s="35" t="str">
        <f>IF(AND(O266="在职",J266="是"),COUNTIF(O$2:O266,"在职"),"")</f>
        <v/>
      </c>
    </row>
    <row r="267" customFormat="1" ht="18" spans="1:16">
      <c r="A267" s="14">
        <f t="shared" si="5"/>
        <v>266</v>
      </c>
      <c r="B267" s="31">
        <v>46178</v>
      </c>
      <c r="C267" s="32" t="s">
        <v>565</v>
      </c>
      <c r="D267" s="120" t="s">
        <v>482</v>
      </c>
      <c r="E267" s="33" t="s">
        <v>42</v>
      </c>
      <c r="F267" s="18" t="s">
        <v>64</v>
      </c>
      <c r="G267" s="18" t="s">
        <v>148</v>
      </c>
      <c r="H267" s="34" t="s">
        <v>86</v>
      </c>
      <c r="I267" s="18" t="s">
        <v>111</v>
      </c>
      <c r="J267" s="31" t="s">
        <v>105</v>
      </c>
      <c r="K267" s="31">
        <v>46178</v>
      </c>
      <c r="L267" s="4"/>
      <c r="M267" s="4"/>
      <c r="N267" s="13" t="s">
        <v>29</v>
      </c>
      <c r="O267" s="35" t="str">
        <f>IF(D267="","",IF(COUNTIF(离职清单!C:C,D267)&gt;0,"已离职","在职"))</f>
        <v>在职</v>
      </c>
      <c r="P267" s="35" t="str">
        <f>IF(AND(O267="在职",J267="是"),COUNTIF(O$2:O267,"在职"),"")</f>
        <v/>
      </c>
    </row>
    <row r="268" customFormat="1" ht="18" spans="1:16">
      <c r="A268" s="10">
        <f t="shared" si="5"/>
        <v>267</v>
      </c>
      <c r="B268" s="31">
        <v>46178</v>
      </c>
      <c r="C268" s="32" t="s">
        <v>566</v>
      </c>
      <c r="D268" s="120" t="s">
        <v>484</v>
      </c>
      <c r="E268" s="33" t="s">
        <v>42</v>
      </c>
      <c r="F268" s="18" t="s">
        <v>64</v>
      </c>
      <c r="G268" s="18" t="s">
        <v>148</v>
      </c>
      <c r="H268" s="34" t="s">
        <v>86</v>
      </c>
      <c r="I268" s="18" t="s">
        <v>111</v>
      </c>
      <c r="J268" s="31" t="s">
        <v>105</v>
      </c>
      <c r="K268" s="31">
        <v>46178</v>
      </c>
      <c r="L268" s="4"/>
      <c r="M268" s="4"/>
      <c r="N268" s="13" t="s">
        <v>29</v>
      </c>
      <c r="O268" s="35" t="str">
        <f>IF(D268="","",IF(COUNTIF(离职清单!C:C,D268)&gt;0,"已离职","在职"))</f>
        <v>在职</v>
      </c>
      <c r="P268" s="35" t="str">
        <f>IF(AND(O268="在职",J268="是"),COUNTIF(O$2:O268,"在职"),"")</f>
        <v/>
      </c>
    </row>
    <row r="269" customFormat="1" ht="18" spans="1:16">
      <c r="A269" s="14">
        <f t="shared" si="5"/>
        <v>268</v>
      </c>
      <c r="B269" s="31">
        <v>46178</v>
      </c>
      <c r="C269" s="32" t="s">
        <v>567</v>
      </c>
      <c r="D269" s="120" t="s">
        <v>486</v>
      </c>
      <c r="E269" s="33" t="s">
        <v>42</v>
      </c>
      <c r="F269" s="18" t="s">
        <v>64</v>
      </c>
      <c r="G269" s="18" t="s">
        <v>148</v>
      </c>
      <c r="H269" s="34" t="s">
        <v>86</v>
      </c>
      <c r="I269" s="18" t="s">
        <v>104</v>
      </c>
      <c r="J269" s="31" t="s">
        <v>114</v>
      </c>
      <c r="K269" s="31">
        <v>46178</v>
      </c>
      <c r="L269" s="4"/>
      <c r="M269" s="4"/>
      <c r="N269" s="13" t="s">
        <v>29</v>
      </c>
      <c r="O269" s="35" t="str">
        <f>IF(D269="","",IF(COUNTIF(离职清单!C:C,D269)&gt;0,"已离职","在职"))</f>
        <v>在职</v>
      </c>
      <c r="P269" s="35">
        <f>IF(AND(O269="在职",J269="是"),COUNTIF(O$2:O269,"在职"),"")</f>
        <v>262</v>
      </c>
    </row>
    <row r="270" customFormat="1" ht="18" spans="1:16">
      <c r="A270" s="10">
        <f t="shared" si="5"/>
        <v>269</v>
      </c>
      <c r="B270" s="31">
        <v>46178</v>
      </c>
      <c r="C270" s="32" t="s">
        <v>568</v>
      </c>
      <c r="D270" s="120" t="s">
        <v>488</v>
      </c>
      <c r="E270" s="33" t="s">
        <v>42</v>
      </c>
      <c r="F270" s="18" t="s">
        <v>64</v>
      </c>
      <c r="G270" s="18" t="s">
        <v>148</v>
      </c>
      <c r="H270" s="34" t="s">
        <v>86</v>
      </c>
      <c r="I270" s="18" t="s">
        <v>111</v>
      </c>
      <c r="J270" s="31" t="s">
        <v>105</v>
      </c>
      <c r="K270" s="31">
        <v>46178</v>
      </c>
      <c r="L270" s="4"/>
      <c r="M270" s="4"/>
      <c r="N270" s="13" t="s">
        <v>29</v>
      </c>
      <c r="O270" s="35" t="str">
        <f>IF(D270="","",IF(COUNTIF(离职清单!C:C,D270)&gt;0,"已离职","在职"))</f>
        <v>在职</v>
      </c>
      <c r="P270" s="35" t="str">
        <f>IF(AND(O270="在职",J270="是"),COUNTIF(O$2:O270,"在职"),"")</f>
        <v/>
      </c>
    </row>
    <row r="271" customFormat="1" ht="18" spans="1:16">
      <c r="A271" s="14">
        <f t="shared" si="5"/>
        <v>270</v>
      </c>
      <c r="B271" s="31">
        <v>46178</v>
      </c>
      <c r="C271" s="32" t="s">
        <v>569</v>
      </c>
      <c r="D271" s="120" t="s">
        <v>490</v>
      </c>
      <c r="E271" s="33" t="s">
        <v>42</v>
      </c>
      <c r="F271" s="18" t="s">
        <v>64</v>
      </c>
      <c r="G271" s="18" t="s">
        <v>148</v>
      </c>
      <c r="H271" s="34" t="s">
        <v>86</v>
      </c>
      <c r="I271" s="18" t="s">
        <v>111</v>
      </c>
      <c r="J271" s="31" t="s">
        <v>105</v>
      </c>
      <c r="K271" s="31">
        <v>46178</v>
      </c>
      <c r="L271" s="4"/>
      <c r="M271" s="4"/>
      <c r="N271" s="13" t="s">
        <v>29</v>
      </c>
      <c r="O271" s="35" t="str">
        <f>IF(D271="","",IF(COUNTIF(离职清单!C:C,D271)&gt;0,"已离职","在职"))</f>
        <v>在职</v>
      </c>
      <c r="P271" s="35" t="str">
        <f>IF(AND(O271="在职",J271="是"),COUNTIF(O$2:O271,"在职"),"")</f>
        <v/>
      </c>
    </row>
    <row r="272" customFormat="1" ht="18" spans="1:16">
      <c r="A272" s="10">
        <f t="shared" si="5"/>
        <v>271</v>
      </c>
      <c r="B272" s="31">
        <v>46178</v>
      </c>
      <c r="C272" s="32" t="s">
        <v>570</v>
      </c>
      <c r="D272" s="120" t="s">
        <v>492</v>
      </c>
      <c r="E272" s="33" t="s">
        <v>42</v>
      </c>
      <c r="F272" s="18" t="s">
        <v>64</v>
      </c>
      <c r="G272" s="18" t="s">
        <v>148</v>
      </c>
      <c r="H272" s="34" t="s">
        <v>86</v>
      </c>
      <c r="I272" s="18" t="s">
        <v>111</v>
      </c>
      <c r="J272" s="31" t="s">
        <v>105</v>
      </c>
      <c r="K272" s="31">
        <v>46178</v>
      </c>
      <c r="L272" s="4"/>
      <c r="M272" s="4"/>
      <c r="N272" s="13" t="s">
        <v>29</v>
      </c>
      <c r="O272" s="35" t="str">
        <f>IF(D272="","",IF(COUNTIF(离职清单!C:C,D272)&gt;0,"已离职","在职"))</f>
        <v>在职</v>
      </c>
      <c r="P272" s="35" t="str">
        <f>IF(AND(O272="在职",J272="是"),COUNTIF(O$2:O272,"在职"),"")</f>
        <v/>
      </c>
    </row>
    <row r="273" customFormat="1" ht="18" spans="1:16">
      <c r="A273" s="14">
        <f t="shared" si="5"/>
        <v>272</v>
      </c>
      <c r="B273" s="31">
        <v>46178</v>
      </c>
      <c r="C273" s="32" t="s">
        <v>571</v>
      </c>
      <c r="D273" s="120" t="s">
        <v>477</v>
      </c>
      <c r="E273" s="33" t="s">
        <v>42</v>
      </c>
      <c r="F273" s="18" t="s">
        <v>64</v>
      </c>
      <c r="G273" s="18" t="s">
        <v>426</v>
      </c>
      <c r="H273" s="34" t="s">
        <v>86</v>
      </c>
      <c r="I273" s="18" t="s">
        <v>104</v>
      </c>
      <c r="J273" s="31" t="s">
        <v>114</v>
      </c>
      <c r="K273" s="31">
        <v>46178</v>
      </c>
      <c r="L273" s="4"/>
      <c r="M273" s="4"/>
      <c r="N273" s="13" t="s">
        <v>29</v>
      </c>
      <c r="O273" s="35" t="str">
        <f>IF(D273="","",IF(COUNTIF(离职清单!C:C,D273)&gt;0,"已离职","在职"))</f>
        <v>在职</v>
      </c>
      <c r="P273" s="35">
        <f>IF(AND(O273="在职",J273="是"),COUNTIF(O$2:O273,"在职"),"")</f>
        <v>266</v>
      </c>
    </row>
    <row r="274" customFormat="1" ht="18" spans="1:16">
      <c r="A274" s="10">
        <f t="shared" si="5"/>
        <v>273</v>
      </c>
      <c r="B274" s="31">
        <v>46178</v>
      </c>
      <c r="C274" s="32" t="s">
        <v>572</v>
      </c>
      <c r="D274" s="120" t="s">
        <v>478</v>
      </c>
      <c r="E274" s="33" t="s">
        <v>42</v>
      </c>
      <c r="F274" s="18" t="s">
        <v>64</v>
      </c>
      <c r="G274" s="18" t="s">
        <v>332</v>
      </c>
      <c r="H274" s="34" t="s">
        <v>86</v>
      </c>
      <c r="I274" s="18" t="s">
        <v>104</v>
      </c>
      <c r="J274" s="31" t="s">
        <v>114</v>
      </c>
      <c r="K274" s="31">
        <v>46178</v>
      </c>
      <c r="L274" s="4"/>
      <c r="M274" s="4"/>
      <c r="N274" s="13" t="s">
        <v>29</v>
      </c>
      <c r="O274" s="35" t="str">
        <f>IF(D274="","",IF(COUNTIF(离职清单!C:C,D274)&gt;0,"已离职","在职"))</f>
        <v>在职</v>
      </c>
      <c r="P274" s="35">
        <f>IF(AND(O274="在职",J274="是"),COUNTIF(O$2:O274,"在职"),"")</f>
        <v>267</v>
      </c>
    </row>
    <row r="275" customFormat="1" ht="18" spans="1:16">
      <c r="A275" s="14">
        <f t="shared" si="5"/>
        <v>274</v>
      </c>
      <c r="B275" s="31">
        <v>46178</v>
      </c>
      <c r="C275" s="32" t="s">
        <v>573</v>
      </c>
      <c r="D275" s="120" t="s">
        <v>480</v>
      </c>
      <c r="E275" s="33" t="s">
        <v>42</v>
      </c>
      <c r="F275" s="18" t="s">
        <v>64</v>
      </c>
      <c r="G275" s="18" t="s">
        <v>332</v>
      </c>
      <c r="H275" s="34" t="s">
        <v>86</v>
      </c>
      <c r="I275" s="18" t="s">
        <v>104</v>
      </c>
      <c r="J275" s="31" t="s">
        <v>114</v>
      </c>
      <c r="K275" s="31">
        <v>46178</v>
      </c>
      <c r="L275" s="4"/>
      <c r="M275" s="4"/>
      <c r="N275" s="13" t="s">
        <v>29</v>
      </c>
      <c r="O275" s="35" t="str">
        <f>IF(D275="","",IF(COUNTIF(离职清单!C:C,D275)&gt;0,"已离职","在职"))</f>
        <v>在职</v>
      </c>
      <c r="P275" s="35">
        <f>IF(AND(O275="在职",J275="是"),COUNTIF(O$2:O275,"在职"),"")</f>
        <v>268</v>
      </c>
    </row>
    <row r="276" customFormat="1" ht="18" spans="1:16">
      <c r="A276" s="10">
        <f t="shared" si="5"/>
        <v>275</v>
      </c>
      <c r="B276" s="31">
        <v>46178</v>
      </c>
      <c r="C276" s="32" t="s">
        <v>574</v>
      </c>
      <c r="D276" s="120" t="s">
        <v>482</v>
      </c>
      <c r="E276" s="33" t="s">
        <v>42</v>
      </c>
      <c r="F276" s="18" t="s">
        <v>64</v>
      </c>
      <c r="G276" s="18" t="s">
        <v>117</v>
      </c>
      <c r="H276" s="34" t="s">
        <v>86</v>
      </c>
      <c r="I276" s="18" t="s">
        <v>104</v>
      </c>
      <c r="J276" s="31" t="s">
        <v>114</v>
      </c>
      <c r="K276" s="31">
        <v>46178</v>
      </c>
      <c r="L276" s="4"/>
      <c r="M276" s="4"/>
      <c r="N276" s="13" t="s">
        <v>29</v>
      </c>
      <c r="O276" s="35" t="str">
        <f>IF(D276="","",IF(COUNTIF(离职清单!C:C,D276)&gt;0,"已离职","在职"))</f>
        <v>在职</v>
      </c>
      <c r="P276" s="35">
        <f>IF(AND(O276="在职",J276="是"),COUNTIF(O$2:O276,"在职"),"")</f>
        <v>269</v>
      </c>
    </row>
    <row r="277" customFormat="1" ht="18" spans="1:16">
      <c r="A277" s="14">
        <f t="shared" si="5"/>
        <v>276</v>
      </c>
      <c r="B277" s="31">
        <v>46178</v>
      </c>
      <c r="C277" s="32" t="s">
        <v>575</v>
      </c>
      <c r="D277" s="120" t="s">
        <v>484</v>
      </c>
      <c r="E277" s="33" t="s">
        <v>42</v>
      </c>
      <c r="F277" s="18" t="s">
        <v>64</v>
      </c>
      <c r="G277" s="18" t="s">
        <v>135</v>
      </c>
      <c r="H277" s="34" t="s">
        <v>86</v>
      </c>
      <c r="I277" s="18" t="s">
        <v>104</v>
      </c>
      <c r="J277" s="31" t="s">
        <v>114</v>
      </c>
      <c r="K277" s="31">
        <v>46178</v>
      </c>
      <c r="L277" s="4"/>
      <c r="M277" s="4"/>
      <c r="N277" s="13" t="s">
        <v>29</v>
      </c>
      <c r="O277" s="35" t="str">
        <f>IF(D277="","",IF(COUNTIF(离职清单!C:C,D277)&gt;0,"已离职","在职"))</f>
        <v>在职</v>
      </c>
      <c r="P277" s="35">
        <f>IF(AND(O277="在职",J277="是"),COUNTIF(O$2:O277,"在职"),"")</f>
        <v>270</v>
      </c>
    </row>
    <row r="278" customFormat="1" ht="18" spans="1:16">
      <c r="A278" s="10">
        <f t="shared" si="5"/>
        <v>277</v>
      </c>
      <c r="B278" s="31">
        <v>46178</v>
      </c>
      <c r="C278" s="32" t="s">
        <v>576</v>
      </c>
      <c r="D278" s="120" t="s">
        <v>486</v>
      </c>
      <c r="E278" s="33" t="s">
        <v>42</v>
      </c>
      <c r="F278" s="18" t="s">
        <v>64</v>
      </c>
      <c r="G278" s="18" t="s">
        <v>512</v>
      </c>
      <c r="H278" s="34" t="s">
        <v>86</v>
      </c>
      <c r="I278" s="18" t="s">
        <v>104</v>
      </c>
      <c r="J278" s="31" t="s">
        <v>114</v>
      </c>
      <c r="K278" s="31">
        <v>46178</v>
      </c>
      <c r="L278" s="4"/>
      <c r="M278" s="4"/>
      <c r="N278" s="13" t="s">
        <v>29</v>
      </c>
      <c r="O278" s="35" t="str">
        <f>IF(D278="","",IF(COUNTIF(离职清单!C:C,D278)&gt;0,"已离职","在职"))</f>
        <v>在职</v>
      </c>
      <c r="P278" s="35">
        <f>IF(AND(O278="在职",J278="是"),COUNTIF(O$2:O278,"在职"),"")</f>
        <v>271</v>
      </c>
    </row>
    <row r="279" customFormat="1" ht="18" spans="1:16">
      <c r="A279" s="14">
        <f t="shared" si="5"/>
        <v>278</v>
      </c>
      <c r="B279" s="31">
        <v>46178</v>
      </c>
      <c r="C279" s="32" t="s">
        <v>577</v>
      </c>
      <c r="D279" s="120" t="s">
        <v>488</v>
      </c>
      <c r="E279" s="33" t="s">
        <v>42</v>
      </c>
      <c r="F279" s="18" t="s">
        <v>64</v>
      </c>
      <c r="G279" s="18" t="s">
        <v>578</v>
      </c>
      <c r="H279" s="34" t="s">
        <v>86</v>
      </c>
      <c r="I279" s="18" t="s">
        <v>104</v>
      </c>
      <c r="J279" s="31" t="s">
        <v>114</v>
      </c>
      <c r="K279" s="31">
        <v>46178</v>
      </c>
      <c r="L279" s="4"/>
      <c r="M279" s="4"/>
      <c r="N279" s="13" t="s">
        <v>29</v>
      </c>
      <c r="O279" s="35" t="str">
        <f>IF(D279="","",IF(COUNTIF(离职清单!C:C,D279)&gt;0,"已离职","在职"))</f>
        <v>在职</v>
      </c>
      <c r="P279" s="35">
        <f>IF(AND(O279="在职",J279="是"),COUNTIF(O$2:O279,"在职"),"")</f>
        <v>272</v>
      </c>
    </row>
    <row r="280" customFormat="1" ht="18" spans="1:16">
      <c r="A280" s="10">
        <f t="shared" si="5"/>
        <v>279</v>
      </c>
      <c r="B280" s="31">
        <v>46178</v>
      </c>
      <c r="C280" s="32" t="s">
        <v>579</v>
      </c>
      <c r="D280" s="120" t="s">
        <v>490</v>
      </c>
      <c r="E280" s="33" t="s">
        <v>42</v>
      </c>
      <c r="F280" s="18" t="s">
        <v>64</v>
      </c>
      <c r="G280" s="18" t="s">
        <v>578</v>
      </c>
      <c r="H280" s="34" t="s">
        <v>86</v>
      </c>
      <c r="I280" s="18" t="s">
        <v>111</v>
      </c>
      <c r="J280" s="31" t="s">
        <v>105</v>
      </c>
      <c r="K280" s="31">
        <v>46178</v>
      </c>
      <c r="L280" s="4"/>
      <c r="M280" s="4"/>
      <c r="N280" s="13" t="s">
        <v>29</v>
      </c>
      <c r="O280" s="35" t="str">
        <f>IF(D280="","",IF(COUNTIF(离职清单!C:C,D280)&gt;0,"已离职","在职"))</f>
        <v>在职</v>
      </c>
      <c r="P280" s="35" t="str">
        <f>IF(AND(O280="在职",J280="是"),COUNTIF(O$2:O280,"在职"),"")</f>
        <v/>
      </c>
    </row>
    <row r="281" customFormat="1" ht="18" spans="1:16">
      <c r="A281" s="14">
        <f t="shared" si="5"/>
        <v>280</v>
      </c>
      <c r="B281" s="31">
        <v>46178</v>
      </c>
      <c r="C281" s="32" t="s">
        <v>580</v>
      </c>
      <c r="D281" s="120" t="s">
        <v>492</v>
      </c>
      <c r="E281" s="33" t="s">
        <v>42</v>
      </c>
      <c r="F281" s="18" t="s">
        <v>64</v>
      </c>
      <c r="G281" s="18" t="s">
        <v>578</v>
      </c>
      <c r="H281" s="34" t="s">
        <v>86</v>
      </c>
      <c r="I281" s="18" t="s">
        <v>104</v>
      </c>
      <c r="J281" s="31" t="s">
        <v>114</v>
      </c>
      <c r="K281" s="31">
        <v>46178</v>
      </c>
      <c r="L281" s="4"/>
      <c r="M281" s="4"/>
      <c r="N281" s="13" t="s">
        <v>29</v>
      </c>
      <c r="O281" s="35" t="str">
        <f>IF(D281="","",IF(COUNTIF(离职清单!C:C,D281)&gt;0,"已离职","在职"))</f>
        <v>在职</v>
      </c>
      <c r="P281" s="35">
        <f>IF(AND(O281="在职",J281="是"),COUNTIF(O$2:O281,"在职"),"")</f>
        <v>274</v>
      </c>
    </row>
    <row r="282" customFormat="1" ht="18" spans="1:16">
      <c r="A282" s="10">
        <f t="shared" si="5"/>
        <v>281</v>
      </c>
      <c r="B282" s="31">
        <v>46178</v>
      </c>
      <c r="C282" s="32" t="s">
        <v>581</v>
      </c>
      <c r="D282" s="120" t="s">
        <v>477</v>
      </c>
      <c r="E282" s="33" t="s">
        <v>42</v>
      </c>
      <c r="F282" s="18" t="s">
        <v>64</v>
      </c>
      <c r="G282" s="18" t="s">
        <v>578</v>
      </c>
      <c r="H282" s="34" t="s">
        <v>86</v>
      </c>
      <c r="I282" s="18" t="s">
        <v>111</v>
      </c>
      <c r="J282" s="31" t="s">
        <v>105</v>
      </c>
      <c r="K282" s="31">
        <v>46178</v>
      </c>
      <c r="L282" s="4"/>
      <c r="M282" s="4"/>
      <c r="N282" s="13" t="s">
        <v>29</v>
      </c>
      <c r="O282" s="35" t="str">
        <f>IF(D282="","",IF(COUNTIF(离职清单!C:C,D282)&gt;0,"已离职","在职"))</f>
        <v>在职</v>
      </c>
      <c r="P282" s="35" t="str">
        <f>IF(AND(O282="在职",J282="是"),COUNTIF(O$2:O282,"在职"),"")</f>
        <v/>
      </c>
    </row>
    <row r="283" customFormat="1" ht="18" spans="1:16">
      <c r="A283" s="14">
        <f t="shared" si="5"/>
        <v>282</v>
      </c>
      <c r="B283" s="31">
        <v>46178</v>
      </c>
      <c r="C283" s="32" t="s">
        <v>582</v>
      </c>
      <c r="D283" s="120" t="s">
        <v>478</v>
      </c>
      <c r="E283" s="33" t="s">
        <v>42</v>
      </c>
      <c r="F283" s="18" t="s">
        <v>64</v>
      </c>
      <c r="G283" s="18" t="s">
        <v>578</v>
      </c>
      <c r="H283" s="34" t="s">
        <v>86</v>
      </c>
      <c r="I283" s="18" t="s">
        <v>104</v>
      </c>
      <c r="J283" s="31" t="s">
        <v>114</v>
      </c>
      <c r="K283" s="31">
        <v>46178</v>
      </c>
      <c r="L283" s="4"/>
      <c r="M283" s="4"/>
      <c r="N283" s="13" t="s">
        <v>29</v>
      </c>
      <c r="O283" s="35" t="str">
        <f>IF(D283="","",IF(COUNTIF(离职清单!C:C,D283)&gt;0,"已离职","在职"))</f>
        <v>在职</v>
      </c>
      <c r="P283" s="35">
        <f>IF(AND(O283="在职",J283="是"),COUNTIF(O$2:O283,"在职"),"")</f>
        <v>276</v>
      </c>
    </row>
    <row r="284" customFormat="1" ht="18" spans="1:16">
      <c r="A284" s="10">
        <f t="shared" si="5"/>
        <v>283</v>
      </c>
      <c r="B284" s="31">
        <v>46178</v>
      </c>
      <c r="C284" s="32" t="s">
        <v>583</v>
      </c>
      <c r="D284" s="120" t="s">
        <v>480</v>
      </c>
      <c r="E284" s="33" t="s">
        <v>42</v>
      </c>
      <c r="F284" s="18" t="s">
        <v>64</v>
      </c>
      <c r="G284" s="18" t="s">
        <v>578</v>
      </c>
      <c r="H284" s="34" t="s">
        <v>86</v>
      </c>
      <c r="I284" s="18" t="s">
        <v>104</v>
      </c>
      <c r="J284" s="31" t="s">
        <v>114</v>
      </c>
      <c r="K284" s="31">
        <v>46178</v>
      </c>
      <c r="L284" s="4"/>
      <c r="M284" s="4"/>
      <c r="N284" s="13" t="s">
        <v>29</v>
      </c>
      <c r="O284" s="35" t="str">
        <f>IF(D284="","",IF(COUNTIF(离职清单!C:C,D284)&gt;0,"已离职","在职"))</f>
        <v>在职</v>
      </c>
      <c r="P284" s="35">
        <f>IF(AND(O284="在职",J284="是"),COUNTIF(O$2:O284,"在职"),"")</f>
        <v>277</v>
      </c>
    </row>
    <row r="285" customFormat="1" ht="18" spans="1:16">
      <c r="A285" s="14">
        <f t="shared" si="5"/>
        <v>284</v>
      </c>
      <c r="B285" s="31">
        <v>46178</v>
      </c>
      <c r="C285" s="32" t="s">
        <v>584</v>
      </c>
      <c r="D285" s="120" t="s">
        <v>482</v>
      </c>
      <c r="E285" s="33" t="s">
        <v>42</v>
      </c>
      <c r="F285" s="18" t="s">
        <v>64</v>
      </c>
      <c r="G285" s="18" t="s">
        <v>578</v>
      </c>
      <c r="H285" s="34" t="s">
        <v>86</v>
      </c>
      <c r="I285" s="18" t="s">
        <v>111</v>
      </c>
      <c r="J285" s="31" t="s">
        <v>105</v>
      </c>
      <c r="K285" s="31">
        <v>46178</v>
      </c>
      <c r="L285" s="4"/>
      <c r="M285" s="4"/>
      <c r="N285" s="13" t="s">
        <v>29</v>
      </c>
      <c r="O285" s="35" t="str">
        <f>IF(D285="","",IF(COUNTIF(离职清单!C:C,D285)&gt;0,"已离职","在职"))</f>
        <v>在职</v>
      </c>
      <c r="P285" s="35" t="str">
        <f>IF(AND(O285="在职",J285="是"),COUNTIF(O$2:O285,"在职"),"")</f>
        <v/>
      </c>
    </row>
    <row r="286" customFormat="1" ht="18" spans="1:16">
      <c r="A286" s="10">
        <f t="shared" si="5"/>
        <v>285</v>
      </c>
      <c r="B286" s="31">
        <v>46178</v>
      </c>
      <c r="C286" s="32" t="s">
        <v>585</v>
      </c>
      <c r="D286" s="120" t="s">
        <v>484</v>
      </c>
      <c r="E286" s="33" t="s">
        <v>42</v>
      </c>
      <c r="F286" s="18" t="s">
        <v>64</v>
      </c>
      <c r="G286" s="18" t="s">
        <v>578</v>
      </c>
      <c r="H286" s="34" t="s">
        <v>86</v>
      </c>
      <c r="I286" s="18" t="s">
        <v>104</v>
      </c>
      <c r="J286" s="31" t="s">
        <v>114</v>
      </c>
      <c r="K286" s="31">
        <v>46178</v>
      </c>
      <c r="L286" s="4"/>
      <c r="M286" s="4"/>
      <c r="N286" s="13" t="s">
        <v>29</v>
      </c>
      <c r="O286" s="35" t="str">
        <f>IF(D286="","",IF(COUNTIF(离职清单!C:C,D286)&gt;0,"已离职","在职"))</f>
        <v>在职</v>
      </c>
      <c r="P286" s="35">
        <f>IF(AND(O286="在职",J286="是"),COUNTIF(O$2:O286,"在职"),"")</f>
        <v>279</v>
      </c>
    </row>
    <row r="287" customFormat="1" ht="18" spans="1:16">
      <c r="A287" s="14">
        <f t="shared" si="5"/>
        <v>286</v>
      </c>
      <c r="B287" s="31">
        <v>46178</v>
      </c>
      <c r="C287" s="32" t="s">
        <v>586</v>
      </c>
      <c r="D287" s="120" t="s">
        <v>486</v>
      </c>
      <c r="E287" s="33" t="s">
        <v>42</v>
      </c>
      <c r="F287" s="18" t="s">
        <v>64</v>
      </c>
      <c r="G287" s="18" t="s">
        <v>578</v>
      </c>
      <c r="H287" s="34" t="s">
        <v>86</v>
      </c>
      <c r="I287" s="18" t="s">
        <v>111</v>
      </c>
      <c r="J287" s="31" t="s">
        <v>105</v>
      </c>
      <c r="K287" s="31">
        <v>46178</v>
      </c>
      <c r="L287" s="4"/>
      <c r="M287" s="4"/>
      <c r="N287" s="13" t="s">
        <v>29</v>
      </c>
      <c r="O287" s="35" t="str">
        <f>IF(D287="","",IF(COUNTIF(离职清单!C:C,D287)&gt;0,"已离职","在职"))</f>
        <v>在职</v>
      </c>
      <c r="P287" s="35" t="str">
        <f>IF(AND(O287="在职",J287="是"),COUNTIF(O$2:O287,"在职"),"")</f>
        <v/>
      </c>
    </row>
    <row r="288" customFormat="1" ht="18" spans="1:16">
      <c r="A288" s="10">
        <f t="shared" si="5"/>
        <v>287</v>
      </c>
      <c r="B288" s="31">
        <v>46178</v>
      </c>
      <c r="C288" s="32" t="s">
        <v>587</v>
      </c>
      <c r="D288" s="120" t="s">
        <v>488</v>
      </c>
      <c r="E288" s="33" t="s">
        <v>42</v>
      </c>
      <c r="F288" s="18" t="s">
        <v>64</v>
      </c>
      <c r="G288" s="18" t="s">
        <v>578</v>
      </c>
      <c r="H288" s="34" t="s">
        <v>86</v>
      </c>
      <c r="I288" s="18" t="s">
        <v>104</v>
      </c>
      <c r="J288" s="31" t="s">
        <v>114</v>
      </c>
      <c r="K288" s="31">
        <v>46178</v>
      </c>
      <c r="L288" s="4"/>
      <c r="M288" s="4"/>
      <c r="N288" s="13" t="s">
        <v>29</v>
      </c>
      <c r="O288" s="35" t="str">
        <f>IF(D288="","",IF(COUNTIF(离职清单!C:C,D288)&gt;0,"已离职","在职"))</f>
        <v>在职</v>
      </c>
      <c r="P288" s="35">
        <f>IF(AND(O288="在职",J288="是"),COUNTIF(O$2:O288,"在职"),"")</f>
        <v>281</v>
      </c>
    </row>
    <row r="289" customFormat="1" ht="18" spans="1:16">
      <c r="A289" s="14">
        <f t="shared" si="5"/>
        <v>288</v>
      </c>
      <c r="B289" s="31">
        <v>46178</v>
      </c>
      <c r="C289" s="32" t="s">
        <v>588</v>
      </c>
      <c r="D289" s="120" t="s">
        <v>490</v>
      </c>
      <c r="E289" s="33" t="s">
        <v>42</v>
      </c>
      <c r="F289" s="18" t="s">
        <v>64</v>
      </c>
      <c r="G289" s="18" t="s">
        <v>578</v>
      </c>
      <c r="H289" s="34" t="s">
        <v>86</v>
      </c>
      <c r="I289" s="18" t="s">
        <v>104</v>
      </c>
      <c r="J289" s="31" t="s">
        <v>114</v>
      </c>
      <c r="K289" s="31">
        <v>46178</v>
      </c>
      <c r="L289" s="4"/>
      <c r="M289" s="4"/>
      <c r="N289" s="13" t="s">
        <v>29</v>
      </c>
      <c r="O289" s="35" t="str">
        <f>IF(D289="","",IF(COUNTIF(离职清单!C:C,D289)&gt;0,"已离职","在职"))</f>
        <v>在职</v>
      </c>
      <c r="P289" s="35">
        <f>IF(AND(O289="在职",J289="是"),COUNTIF(O$2:O289,"在职"),"")</f>
        <v>282</v>
      </c>
    </row>
    <row r="290" customFormat="1" ht="18" spans="1:16">
      <c r="A290" s="14">
        <f t="shared" ref="A290:A333" si="6">IF(B290&lt;&gt;"",ROW()-1,"")</f>
        <v>289</v>
      </c>
      <c r="B290" s="31">
        <v>46178</v>
      </c>
      <c r="C290" s="32" t="s">
        <v>589</v>
      </c>
      <c r="D290" s="120" t="s">
        <v>492</v>
      </c>
      <c r="E290" s="33" t="s">
        <v>42</v>
      </c>
      <c r="F290" s="18" t="s">
        <v>64</v>
      </c>
      <c r="G290" s="18" t="s">
        <v>578</v>
      </c>
      <c r="H290" s="34" t="s">
        <v>86</v>
      </c>
      <c r="I290" s="18" t="s">
        <v>111</v>
      </c>
      <c r="J290" s="31" t="s">
        <v>105</v>
      </c>
      <c r="K290" s="31">
        <v>46178</v>
      </c>
      <c r="L290" s="4"/>
      <c r="M290" s="4"/>
      <c r="N290" s="13" t="s">
        <v>29</v>
      </c>
      <c r="O290" s="35" t="str">
        <f>IF(D290="","",IF(COUNTIF(离职清单!C:C,D290)&gt;0,"已离职","在职"))</f>
        <v>在职</v>
      </c>
      <c r="P290" s="35" t="str">
        <f>IF(AND(O290="在职",J290="是"),COUNTIF(O$2:O290,"在职"),"")</f>
        <v/>
      </c>
    </row>
    <row r="291" customFormat="1" ht="18" spans="1:16">
      <c r="A291" s="10">
        <f t="shared" si="6"/>
        <v>290</v>
      </c>
      <c r="B291" s="31">
        <v>46178</v>
      </c>
      <c r="C291" s="32" t="s">
        <v>590</v>
      </c>
      <c r="D291" s="120" t="s">
        <v>477</v>
      </c>
      <c r="E291" s="33" t="s">
        <v>42</v>
      </c>
      <c r="F291" s="18" t="s">
        <v>64</v>
      </c>
      <c r="G291" s="18" t="s">
        <v>578</v>
      </c>
      <c r="H291" s="34" t="s">
        <v>86</v>
      </c>
      <c r="I291" s="18" t="s">
        <v>104</v>
      </c>
      <c r="J291" s="31" t="s">
        <v>114</v>
      </c>
      <c r="K291" s="31">
        <v>46178</v>
      </c>
      <c r="L291" s="4"/>
      <c r="M291" s="4"/>
      <c r="N291" s="13" t="s">
        <v>29</v>
      </c>
      <c r="O291" s="35" t="str">
        <f>IF(D291="","",IF(COUNTIF(离职清单!C:C,D291)&gt;0,"已离职","在职"))</f>
        <v>在职</v>
      </c>
      <c r="P291" s="35">
        <f>IF(AND(O291="在职",J291="是"),COUNTIF(O$2:O291,"在职"),"")</f>
        <v>284</v>
      </c>
    </row>
    <row r="292" customFormat="1" ht="18" spans="1:16">
      <c r="A292" s="14">
        <f t="shared" si="6"/>
        <v>291</v>
      </c>
      <c r="B292" s="31">
        <v>46178</v>
      </c>
      <c r="C292" s="32" t="s">
        <v>591</v>
      </c>
      <c r="D292" s="120" t="s">
        <v>477</v>
      </c>
      <c r="E292" s="33" t="s">
        <v>42</v>
      </c>
      <c r="F292" s="18" t="s">
        <v>64</v>
      </c>
      <c r="G292" s="18" t="s">
        <v>578</v>
      </c>
      <c r="H292" s="34" t="s">
        <v>86</v>
      </c>
      <c r="I292" s="18" t="s">
        <v>111</v>
      </c>
      <c r="J292" s="31" t="s">
        <v>105</v>
      </c>
      <c r="K292" s="31">
        <v>46178</v>
      </c>
      <c r="L292" s="4"/>
      <c r="M292" s="4"/>
      <c r="N292" s="13" t="s">
        <v>29</v>
      </c>
      <c r="O292" s="35" t="str">
        <f>IF(D292="","",IF(COUNTIF(离职清单!C:C,D292)&gt;0,"已离职","在职"))</f>
        <v>在职</v>
      </c>
      <c r="P292" s="35" t="str">
        <f>IF(AND(O292="在职",J292="是"),COUNTIF(O$2:O292,"在职"),"")</f>
        <v/>
      </c>
    </row>
    <row r="293" customFormat="1" ht="18" spans="1:16">
      <c r="A293" s="10">
        <f t="shared" si="6"/>
        <v>292</v>
      </c>
      <c r="B293" s="31">
        <v>46178</v>
      </c>
      <c r="C293" s="32" t="s">
        <v>592</v>
      </c>
      <c r="D293" s="120" t="s">
        <v>478</v>
      </c>
      <c r="E293" s="33" t="s">
        <v>42</v>
      </c>
      <c r="F293" s="18" t="s">
        <v>64</v>
      </c>
      <c r="G293" s="18" t="s">
        <v>578</v>
      </c>
      <c r="H293" s="34" t="s">
        <v>86</v>
      </c>
      <c r="I293" s="18" t="s">
        <v>111</v>
      </c>
      <c r="J293" s="31" t="s">
        <v>105</v>
      </c>
      <c r="K293" s="31">
        <v>46178</v>
      </c>
      <c r="L293" s="4"/>
      <c r="M293" s="4"/>
      <c r="N293" s="13" t="s">
        <v>29</v>
      </c>
      <c r="O293" s="35" t="str">
        <f>IF(D293="","",IF(COUNTIF(离职清单!C:C,D293)&gt;0,"已离职","在职"))</f>
        <v>在职</v>
      </c>
      <c r="P293" s="35" t="str">
        <f>IF(AND(O293="在职",J293="是"),COUNTIF(O$2:O293,"在职"),"")</f>
        <v/>
      </c>
    </row>
    <row r="294" customFormat="1" ht="18" spans="1:16">
      <c r="A294" s="14">
        <f t="shared" si="6"/>
        <v>293</v>
      </c>
      <c r="B294" s="31">
        <v>46178</v>
      </c>
      <c r="C294" s="32" t="s">
        <v>593</v>
      </c>
      <c r="D294" s="120" t="s">
        <v>480</v>
      </c>
      <c r="E294" s="33" t="s">
        <v>42</v>
      </c>
      <c r="F294" s="18" t="s">
        <v>64</v>
      </c>
      <c r="G294" s="18" t="s">
        <v>578</v>
      </c>
      <c r="H294" s="34" t="s">
        <v>86</v>
      </c>
      <c r="I294" s="18" t="s">
        <v>104</v>
      </c>
      <c r="J294" s="31" t="s">
        <v>114</v>
      </c>
      <c r="K294" s="31">
        <v>46178</v>
      </c>
      <c r="L294" s="4"/>
      <c r="M294" s="4"/>
      <c r="N294" s="13" t="s">
        <v>29</v>
      </c>
      <c r="O294" s="35" t="str">
        <f>IF(D294="","",IF(COUNTIF(离职清单!C:C,D294)&gt;0,"已离职","在职"))</f>
        <v>在职</v>
      </c>
      <c r="P294" s="35">
        <f>IF(AND(O294="在职",J294="是"),COUNTIF(O$2:O294,"在职"),"")</f>
        <v>287</v>
      </c>
    </row>
    <row r="295" customFormat="1" ht="18" spans="1:16">
      <c r="A295" s="10">
        <f t="shared" si="6"/>
        <v>294</v>
      </c>
      <c r="B295" s="31">
        <v>46178</v>
      </c>
      <c r="C295" s="32" t="s">
        <v>594</v>
      </c>
      <c r="D295" s="120" t="s">
        <v>482</v>
      </c>
      <c r="E295" s="33" t="s">
        <v>42</v>
      </c>
      <c r="F295" s="18" t="s">
        <v>64</v>
      </c>
      <c r="G295" s="18" t="s">
        <v>578</v>
      </c>
      <c r="H295" s="34" t="s">
        <v>86</v>
      </c>
      <c r="I295" s="18" t="s">
        <v>104</v>
      </c>
      <c r="J295" s="31" t="s">
        <v>114</v>
      </c>
      <c r="K295" s="31">
        <v>46178</v>
      </c>
      <c r="L295" s="4"/>
      <c r="M295" s="4"/>
      <c r="N295" s="13" t="s">
        <v>29</v>
      </c>
      <c r="O295" s="35" t="str">
        <f>IF(D295="","",IF(COUNTIF(离职清单!C:C,D295)&gt;0,"已离职","在职"))</f>
        <v>在职</v>
      </c>
      <c r="P295" s="35">
        <f>IF(AND(O295="在职",J295="是"),COUNTIF(O$2:O295,"在职"),"")</f>
        <v>288</v>
      </c>
    </row>
    <row r="296" customFormat="1" ht="18" spans="1:16">
      <c r="A296" s="14">
        <f t="shared" si="6"/>
        <v>295</v>
      </c>
      <c r="B296" s="31">
        <v>46178</v>
      </c>
      <c r="C296" s="32" t="s">
        <v>595</v>
      </c>
      <c r="D296" s="120" t="s">
        <v>484</v>
      </c>
      <c r="E296" s="33" t="s">
        <v>43</v>
      </c>
      <c r="F296" s="18" t="s">
        <v>63</v>
      </c>
      <c r="G296" s="18" t="s">
        <v>596</v>
      </c>
      <c r="H296" s="34" t="s">
        <v>86</v>
      </c>
      <c r="I296" s="18" t="s">
        <v>111</v>
      </c>
      <c r="J296" s="31" t="s">
        <v>105</v>
      </c>
      <c r="K296" s="31">
        <v>46178</v>
      </c>
      <c r="L296" s="4"/>
      <c r="M296" s="4"/>
      <c r="N296" s="13" t="s">
        <v>29</v>
      </c>
      <c r="O296" s="35" t="str">
        <f>IF(D296="","",IF(COUNTIF(离职清单!C:C,D296)&gt;0,"已离职","在职"))</f>
        <v>在职</v>
      </c>
      <c r="P296" s="35" t="str">
        <f>IF(AND(O296="在职",J296="是"),COUNTIF(O$2:O296,"在职"),"")</f>
        <v/>
      </c>
    </row>
    <row r="297" customFormat="1" ht="18" spans="1:16">
      <c r="A297" s="10">
        <f t="shared" si="6"/>
        <v>296</v>
      </c>
      <c r="B297" s="31">
        <v>46178</v>
      </c>
      <c r="C297" s="32" t="s">
        <v>597</v>
      </c>
      <c r="D297" s="120" t="s">
        <v>486</v>
      </c>
      <c r="E297" s="33" t="s">
        <v>43</v>
      </c>
      <c r="F297" s="18" t="s">
        <v>64</v>
      </c>
      <c r="G297" s="18" t="s">
        <v>596</v>
      </c>
      <c r="H297" s="34" t="s">
        <v>86</v>
      </c>
      <c r="I297" s="18" t="s">
        <v>104</v>
      </c>
      <c r="J297" s="31" t="s">
        <v>105</v>
      </c>
      <c r="K297" s="31">
        <v>46178</v>
      </c>
      <c r="L297" s="4"/>
      <c r="M297" s="4"/>
      <c r="N297" s="13" t="s">
        <v>29</v>
      </c>
      <c r="O297" s="35" t="str">
        <f>IF(D297="","",IF(COUNTIF(离职清单!C:C,D297)&gt;0,"已离职","在职"))</f>
        <v>在职</v>
      </c>
      <c r="P297" s="35" t="str">
        <f>IF(AND(O297="在职",J297="是"),COUNTIF(O$2:O297,"在职"),"")</f>
        <v/>
      </c>
    </row>
    <row r="298" customFormat="1" ht="18" spans="1:16">
      <c r="A298" s="14">
        <f t="shared" si="6"/>
        <v>297</v>
      </c>
      <c r="B298" s="31">
        <v>46178</v>
      </c>
      <c r="C298" s="32" t="s">
        <v>536</v>
      </c>
      <c r="D298" s="120" t="s">
        <v>488</v>
      </c>
      <c r="E298" s="33" t="s">
        <v>42</v>
      </c>
      <c r="F298" s="18" t="s">
        <v>64</v>
      </c>
      <c r="G298" s="18" t="s">
        <v>179</v>
      </c>
      <c r="H298" s="34" t="s">
        <v>86</v>
      </c>
      <c r="I298" s="18" t="s">
        <v>104</v>
      </c>
      <c r="J298" s="31" t="s">
        <v>105</v>
      </c>
      <c r="K298" s="31">
        <v>46178</v>
      </c>
      <c r="L298" s="4"/>
      <c r="M298" s="4"/>
      <c r="N298" s="13" t="s">
        <v>29</v>
      </c>
      <c r="O298" s="35" t="str">
        <f>IF(D298="","",IF(COUNTIF(离职清单!C:C,D298)&gt;0,"已离职","在职"))</f>
        <v>在职</v>
      </c>
      <c r="P298" s="35" t="str">
        <f>IF(AND(O298="在职",J298="是"),COUNTIF(O$2:O298,"在职"),"")</f>
        <v/>
      </c>
    </row>
    <row r="299" customFormat="1" ht="18" spans="1:16">
      <c r="A299" s="10">
        <f t="shared" si="6"/>
        <v>298</v>
      </c>
      <c r="B299" s="31">
        <v>46178</v>
      </c>
      <c r="C299" s="32" t="s">
        <v>598</v>
      </c>
      <c r="D299" s="120" t="s">
        <v>490</v>
      </c>
      <c r="E299" s="33" t="s">
        <v>43</v>
      </c>
      <c r="F299" s="18" t="s">
        <v>64</v>
      </c>
      <c r="G299" s="18" t="s">
        <v>179</v>
      </c>
      <c r="H299" s="34" t="s">
        <v>86</v>
      </c>
      <c r="I299" s="18" t="s">
        <v>104</v>
      </c>
      <c r="J299" s="31" t="s">
        <v>105</v>
      </c>
      <c r="K299" s="31">
        <v>46178</v>
      </c>
      <c r="L299" s="4"/>
      <c r="M299" s="4"/>
      <c r="N299" s="13" t="s">
        <v>29</v>
      </c>
      <c r="O299" s="35" t="str">
        <f>IF(D299="","",IF(COUNTIF(离职清单!C:C,D299)&gt;0,"已离职","在职"))</f>
        <v>在职</v>
      </c>
      <c r="P299" s="35" t="str">
        <f>IF(AND(O299="在职",J299="是"),COUNTIF(O$2:O299,"在职"),"")</f>
        <v/>
      </c>
    </row>
    <row r="300" customFormat="1" ht="18" spans="1:16">
      <c r="A300" s="14">
        <f t="shared" si="6"/>
        <v>299</v>
      </c>
      <c r="B300" s="31">
        <v>46178</v>
      </c>
      <c r="C300" s="32" t="s">
        <v>599</v>
      </c>
      <c r="D300" s="120" t="s">
        <v>492</v>
      </c>
      <c r="E300" s="33" t="s">
        <v>42</v>
      </c>
      <c r="F300" s="18" t="s">
        <v>64</v>
      </c>
      <c r="G300" s="18" t="s">
        <v>179</v>
      </c>
      <c r="H300" s="34" t="s">
        <v>86</v>
      </c>
      <c r="I300" s="18" t="s">
        <v>111</v>
      </c>
      <c r="J300" s="31" t="s">
        <v>105</v>
      </c>
      <c r="K300" s="31">
        <v>46178</v>
      </c>
      <c r="L300" s="4"/>
      <c r="M300" s="4"/>
      <c r="N300" s="13" t="s">
        <v>29</v>
      </c>
      <c r="O300" s="35" t="str">
        <f>IF(D300="","",IF(COUNTIF(离职清单!C:C,D300)&gt;0,"已离职","在职"))</f>
        <v>在职</v>
      </c>
      <c r="P300" s="35" t="str">
        <f>IF(AND(O300="在职",J300="是"),COUNTIF(O$2:O300,"在职"),"")</f>
        <v/>
      </c>
    </row>
    <row r="301" customFormat="1" ht="18" spans="1:16">
      <c r="A301" s="10">
        <f t="shared" si="6"/>
        <v>300</v>
      </c>
      <c r="B301" s="31">
        <v>46178</v>
      </c>
      <c r="C301" s="32" t="s">
        <v>600</v>
      </c>
      <c r="D301" s="120" t="s">
        <v>477</v>
      </c>
      <c r="E301" s="33" t="s">
        <v>74</v>
      </c>
      <c r="F301" s="18" t="s">
        <v>190</v>
      </c>
      <c r="G301" s="18" t="s">
        <v>179</v>
      </c>
      <c r="H301" s="34" t="s">
        <v>86</v>
      </c>
      <c r="I301" s="18" t="s">
        <v>104</v>
      </c>
      <c r="J301" s="31" t="s">
        <v>105</v>
      </c>
      <c r="K301" s="31">
        <v>46178</v>
      </c>
      <c r="L301" s="4"/>
      <c r="M301" s="4"/>
      <c r="N301" s="13" t="s">
        <v>29</v>
      </c>
      <c r="O301" s="35" t="str">
        <f>IF(D301="","",IF(COUNTIF(离职清单!C:C,D301)&gt;0,"已离职","在职"))</f>
        <v>在职</v>
      </c>
      <c r="P301" s="35" t="str">
        <f>IF(AND(O301="在职",J301="是"),COUNTIF(O$2:O301,"在职"),"")</f>
        <v/>
      </c>
    </row>
    <row r="302" customFormat="1" ht="18" spans="1:16">
      <c r="A302" s="14">
        <f t="shared" si="6"/>
        <v>301</v>
      </c>
      <c r="B302" s="31">
        <v>46178</v>
      </c>
      <c r="C302" s="32" t="s">
        <v>601</v>
      </c>
      <c r="D302" s="120" t="s">
        <v>478</v>
      </c>
      <c r="E302" s="33" t="s">
        <v>74</v>
      </c>
      <c r="F302" s="18" t="s">
        <v>64</v>
      </c>
      <c r="G302" s="18" t="s">
        <v>179</v>
      </c>
      <c r="H302" s="34" t="s">
        <v>86</v>
      </c>
      <c r="I302" s="18" t="s">
        <v>111</v>
      </c>
      <c r="J302" s="31" t="s">
        <v>105</v>
      </c>
      <c r="K302" s="31">
        <v>46178</v>
      </c>
      <c r="L302" s="4"/>
      <c r="M302" s="4"/>
      <c r="N302" s="13" t="s">
        <v>29</v>
      </c>
      <c r="O302" s="35" t="str">
        <f>IF(D302="","",IF(COUNTIF(离职清单!C:C,D302)&gt;0,"已离职","在职"))</f>
        <v>在职</v>
      </c>
      <c r="P302" s="35" t="str">
        <f>IF(AND(O302="在职",J302="是"),COUNTIF(O$2:O302,"在职"),"")</f>
        <v/>
      </c>
    </row>
    <row r="303" customFormat="1" ht="18" spans="1:16">
      <c r="A303" s="10">
        <f t="shared" si="6"/>
        <v>302</v>
      </c>
      <c r="B303" s="31">
        <v>46178</v>
      </c>
      <c r="C303" s="32" t="s">
        <v>602</v>
      </c>
      <c r="D303" s="120" t="s">
        <v>480</v>
      </c>
      <c r="E303" s="33" t="s">
        <v>74</v>
      </c>
      <c r="F303" s="18" t="s">
        <v>64</v>
      </c>
      <c r="G303" s="18" t="s">
        <v>179</v>
      </c>
      <c r="H303" s="34" t="s">
        <v>86</v>
      </c>
      <c r="I303" s="18" t="s">
        <v>111</v>
      </c>
      <c r="J303" s="31" t="s">
        <v>105</v>
      </c>
      <c r="K303" s="31">
        <v>46178</v>
      </c>
      <c r="L303" s="4"/>
      <c r="M303" s="4"/>
      <c r="N303" s="13" t="s">
        <v>29</v>
      </c>
      <c r="O303" s="35" t="str">
        <f>IF(D303="","",IF(COUNTIF(离职清单!C:C,D303)&gt;0,"已离职","在职"))</f>
        <v>在职</v>
      </c>
      <c r="P303" s="35" t="str">
        <f>IF(AND(O303="在职",J303="是"),COUNTIF(O$2:O303,"在职"),"")</f>
        <v/>
      </c>
    </row>
    <row r="304" customFormat="1" ht="18" spans="1:16">
      <c r="A304" s="14">
        <f t="shared" si="6"/>
        <v>303</v>
      </c>
      <c r="B304" s="31">
        <v>46178</v>
      </c>
      <c r="C304" s="32" t="s">
        <v>603</v>
      </c>
      <c r="D304" s="120" t="s">
        <v>482</v>
      </c>
      <c r="E304" s="33" t="s">
        <v>74</v>
      </c>
      <c r="F304" s="18" t="s">
        <v>64</v>
      </c>
      <c r="G304" s="18" t="s">
        <v>117</v>
      </c>
      <c r="H304" s="34" t="s">
        <v>86</v>
      </c>
      <c r="I304" s="18" t="s">
        <v>104</v>
      </c>
      <c r="J304" s="31" t="s">
        <v>114</v>
      </c>
      <c r="K304" s="31">
        <v>46178</v>
      </c>
      <c r="L304" s="4"/>
      <c r="M304" s="4"/>
      <c r="N304" s="13" t="s">
        <v>29</v>
      </c>
      <c r="O304" s="35" t="str">
        <f>IF(D304="","",IF(COUNTIF(离职清单!C:C,D304)&gt;0,"已离职","在职"))</f>
        <v>在职</v>
      </c>
      <c r="P304" s="35">
        <f>IF(AND(O304="在职",J304="是"),COUNTIF(O$2:O304,"在职"),"")</f>
        <v>297</v>
      </c>
    </row>
    <row r="305" customFormat="1" ht="18" spans="1:16">
      <c r="A305" s="10">
        <f t="shared" si="6"/>
        <v>304</v>
      </c>
      <c r="B305" s="31">
        <v>46178</v>
      </c>
      <c r="C305" s="32" t="s">
        <v>279</v>
      </c>
      <c r="D305" s="120" t="s">
        <v>484</v>
      </c>
      <c r="E305" s="33" t="s">
        <v>74</v>
      </c>
      <c r="F305" s="18" t="s">
        <v>64</v>
      </c>
      <c r="G305" s="18" t="s">
        <v>246</v>
      </c>
      <c r="H305" s="34" t="s">
        <v>86</v>
      </c>
      <c r="I305" s="18" t="s">
        <v>104</v>
      </c>
      <c r="J305" s="31" t="s">
        <v>105</v>
      </c>
      <c r="K305" s="31">
        <v>46178</v>
      </c>
      <c r="L305" s="4"/>
      <c r="M305" s="4"/>
      <c r="N305" s="13" t="s">
        <v>29</v>
      </c>
      <c r="O305" s="35" t="str">
        <f>IF(D305="","",IF(COUNTIF(离职清单!C:C,D305)&gt;0,"已离职","在职"))</f>
        <v>在职</v>
      </c>
      <c r="P305" s="35" t="str">
        <f>IF(AND(O305="在职",J305="是"),COUNTIF(O$2:O305,"在职"),"")</f>
        <v/>
      </c>
    </row>
    <row r="306" customFormat="1" ht="18" spans="1:16">
      <c r="A306" s="14">
        <f t="shared" si="6"/>
        <v>305</v>
      </c>
      <c r="B306" s="31">
        <v>46178</v>
      </c>
      <c r="C306" s="32" t="s">
        <v>283</v>
      </c>
      <c r="D306" s="120" t="s">
        <v>486</v>
      </c>
      <c r="E306" s="33" t="s">
        <v>74</v>
      </c>
      <c r="F306" s="18" t="s">
        <v>64</v>
      </c>
      <c r="G306" s="18" t="s">
        <v>246</v>
      </c>
      <c r="H306" s="34" t="s">
        <v>86</v>
      </c>
      <c r="I306" s="18" t="s">
        <v>104</v>
      </c>
      <c r="J306" s="31" t="s">
        <v>105</v>
      </c>
      <c r="K306" s="31">
        <v>46178</v>
      </c>
      <c r="L306" s="4"/>
      <c r="M306" s="4"/>
      <c r="N306" s="13" t="s">
        <v>29</v>
      </c>
      <c r="O306" s="35" t="str">
        <f>IF(D306="","",IF(COUNTIF(离职清单!C:C,D306)&gt;0,"已离职","在职"))</f>
        <v>在职</v>
      </c>
      <c r="P306" s="35" t="str">
        <f>IF(AND(O306="在职",J306="是"),COUNTIF(O$2:O306,"在职"),"")</f>
        <v/>
      </c>
    </row>
    <row r="307" customFormat="1" ht="18" spans="1:16">
      <c r="A307" s="10">
        <f t="shared" si="6"/>
        <v>306</v>
      </c>
      <c r="B307" s="31">
        <v>46178</v>
      </c>
      <c r="C307" s="32" t="s">
        <v>604</v>
      </c>
      <c r="D307" s="120" t="s">
        <v>488</v>
      </c>
      <c r="E307" s="33" t="s">
        <v>43</v>
      </c>
      <c r="F307" s="18" t="s">
        <v>64</v>
      </c>
      <c r="G307" s="18" t="s">
        <v>117</v>
      </c>
      <c r="H307" s="34" t="s">
        <v>86</v>
      </c>
      <c r="I307" s="18" t="s">
        <v>104</v>
      </c>
      <c r="J307" s="31" t="s">
        <v>114</v>
      </c>
      <c r="K307" s="31">
        <v>46178</v>
      </c>
      <c r="L307" s="4"/>
      <c r="M307" s="4"/>
      <c r="N307" s="13" t="s">
        <v>29</v>
      </c>
      <c r="O307" s="35" t="str">
        <f>IF(D307="","",IF(COUNTIF(离职清单!C:C,D307)&gt;0,"已离职","在职"))</f>
        <v>在职</v>
      </c>
      <c r="P307" s="35">
        <f>IF(AND(O307="在职",J307="是"),COUNTIF(O$2:O307,"在职"),"")</f>
        <v>300</v>
      </c>
    </row>
    <row r="308" customFormat="1" ht="18" spans="1:16">
      <c r="A308" s="14">
        <f t="shared" si="6"/>
        <v>307</v>
      </c>
      <c r="B308" s="31">
        <v>46178</v>
      </c>
      <c r="C308" s="32" t="s">
        <v>605</v>
      </c>
      <c r="D308" s="120" t="s">
        <v>490</v>
      </c>
      <c r="E308" s="33" t="s">
        <v>42</v>
      </c>
      <c r="F308" s="18" t="s">
        <v>64</v>
      </c>
      <c r="G308" s="18" t="s">
        <v>512</v>
      </c>
      <c r="H308" s="34" t="s">
        <v>86</v>
      </c>
      <c r="I308" s="18" t="s">
        <v>111</v>
      </c>
      <c r="J308" s="31" t="s">
        <v>105</v>
      </c>
      <c r="K308" s="31">
        <v>46178</v>
      </c>
      <c r="L308" s="4"/>
      <c r="M308" s="4"/>
      <c r="N308" s="13" t="s">
        <v>29</v>
      </c>
      <c r="O308" s="35" t="str">
        <f>IF(D308="","",IF(COUNTIF(离职清单!C:C,D308)&gt;0,"已离职","在职"))</f>
        <v>在职</v>
      </c>
      <c r="P308" s="35" t="str">
        <f>IF(AND(O308="在职",J308="是"),COUNTIF(O$2:O308,"在职"),"")</f>
        <v/>
      </c>
    </row>
    <row r="309" customFormat="1" ht="18" spans="1:16">
      <c r="A309" s="10">
        <f t="shared" si="6"/>
        <v>308</v>
      </c>
      <c r="B309" s="31">
        <v>46178</v>
      </c>
      <c r="C309" s="32" t="s">
        <v>606</v>
      </c>
      <c r="D309" s="120" t="s">
        <v>492</v>
      </c>
      <c r="E309" s="33" t="s">
        <v>42</v>
      </c>
      <c r="F309" s="18" t="s">
        <v>64</v>
      </c>
      <c r="G309" s="18" t="s">
        <v>512</v>
      </c>
      <c r="H309" s="34" t="s">
        <v>86</v>
      </c>
      <c r="I309" s="18" t="s">
        <v>111</v>
      </c>
      <c r="J309" s="31" t="s">
        <v>105</v>
      </c>
      <c r="K309" s="31">
        <v>46178</v>
      </c>
      <c r="L309" s="4"/>
      <c r="M309" s="4"/>
      <c r="N309" s="13" t="s">
        <v>29</v>
      </c>
      <c r="O309" s="35" t="str">
        <f>IF(D309="","",IF(COUNTIF(离职清单!C:C,D309)&gt;0,"已离职","在职"))</f>
        <v>在职</v>
      </c>
      <c r="P309" s="35" t="str">
        <f>IF(AND(O309="在职",J309="是"),COUNTIF(O$2:O309,"在职"),"")</f>
        <v/>
      </c>
    </row>
    <row r="310" customFormat="1" ht="18" spans="1:16">
      <c r="A310" s="14">
        <f t="shared" si="6"/>
        <v>309</v>
      </c>
      <c r="B310" s="31">
        <v>46178</v>
      </c>
      <c r="C310" s="32" t="s">
        <v>607</v>
      </c>
      <c r="D310" s="120" t="s">
        <v>477</v>
      </c>
      <c r="E310" s="33" t="s">
        <v>42</v>
      </c>
      <c r="F310" s="18" t="s">
        <v>64</v>
      </c>
      <c r="G310" s="18" t="s">
        <v>129</v>
      </c>
      <c r="H310" s="34" t="s">
        <v>86</v>
      </c>
      <c r="I310" s="18" t="s">
        <v>104</v>
      </c>
      <c r="J310" s="31" t="s">
        <v>114</v>
      </c>
      <c r="K310" s="31">
        <v>46178</v>
      </c>
      <c r="L310" s="4"/>
      <c r="M310" s="4"/>
      <c r="N310" s="13" t="s">
        <v>29</v>
      </c>
      <c r="O310" s="35" t="str">
        <f>IF(D310="","",IF(COUNTIF(离职清单!C:C,D310)&gt;0,"已离职","在职"))</f>
        <v>在职</v>
      </c>
      <c r="P310" s="35">
        <f>IF(AND(O310="在职",J310="是"),COUNTIF(O$2:O310,"在职"),"")</f>
        <v>303</v>
      </c>
    </row>
    <row r="311" customFormat="1" ht="18" spans="1:16">
      <c r="A311" s="10">
        <f t="shared" si="6"/>
        <v>310</v>
      </c>
      <c r="B311" s="31">
        <v>46178</v>
      </c>
      <c r="C311" s="32" t="s">
        <v>608</v>
      </c>
      <c r="D311" s="120" t="s">
        <v>478</v>
      </c>
      <c r="E311" s="33" t="s">
        <v>74</v>
      </c>
      <c r="F311" s="18" t="s">
        <v>190</v>
      </c>
      <c r="G311" s="18" t="s">
        <v>148</v>
      </c>
      <c r="H311" s="34" t="s">
        <v>86</v>
      </c>
      <c r="I311" s="18" t="s">
        <v>104</v>
      </c>
      <c r="J311" s="31" t="s">
        <v>105</v>
      </c>
      <c r="K311" s="31">
        <v>46178</v>
      </c>
      <c r="L311" s="4"/>
      <c r="M311" s="4"/>
      <c r="N311" s="13" t="s">
        <v>29</v>
      </c>
      <c r="O311" s="35" t="str">
        <f>IF(D311="","",IF(COUNTIF(离职清单!C:C,D311)&gt;0,"已离职","在职"))</f>
        <v>在职</v>
      </c>
      <c r="P311" s="35" t="str">
        <f>IF(AND(O311="在职",J311="是"),COUNTIF(O$2:O311,"在职"),"")</f>
        <v/>
      </c>
    </row>
    <row r="312" customFormat="1" ht="18" spans="1:16">
      <c r="A312" s="14">
        <f t="shared" si="6"/>
        <v>311</v>
      </c>
      <c r="B312" s="31">
        <v>46178</v>
      </c>
      <c r="C312" s="32" t="s">
        <v>609</v>
      </c>
      <c r="D312" s="120" t="s">
        <v>480</v>
      </c>
      <c r="E312" s="33" t="s">
        <v>43</v>
      </c>
      <c r="F312" s="18" t="s">
        <v>64</v>
      </c>
      <c r="G312" s="18" t="s">
        <v>179</v>
      </c>
      <c r="H312" s="34" t="s">
        <v>86</v>
      </c>
      <c r="I312" s="18" t="s">
        <v>104</v>
      </c>
      <c r="J312" s="31" t="s">
        <v>105</v>
      </c>
      <c r="K312" s="31">
        <v>46178</v>
      </c>
      <c r="L312" s="4"/>
      <c r="M312" s="4"/>
      <c r="N312" s="13" t="s">
        <v>29</v>
      </c>
      <c r="O312" s="35" t="str">
        <f>IF(D312="","",IF(COUNTIF(离职清单!C:C,D312)&gt;0,"已离职","在职"))</f>
        <v>在职</v>
      </c>
      <c r="P312" s="35" t="str">
        <f>IF(AND(O312="在职",J312="是"),COUNTIF(O$2:O312,"在职"),"")</f>
        <v/>
      </c>
    </row>
    <row r="313" customFormat="1" ht="18" spans="1:16">
      <c r="A313" s="10">
        <f t="shared" si="6"/>
        <v>312</v>
      </c>
      <c r="B313" s="31">
        <v>46178</v>
      </c>
      <c r="C313" s="32" t="s">
        <v>610</v>
      </c>
      <c r="D313" s="120" t="s">
        <v>482</v>
      </c>
      <c r="E313" s="33" t="s">
        <v>43</v>
      </c>
      <c r="F313" s="18" t="s">
        <v>64</v>
      </c>
      <c r="G313" s="18" t="s">
        <v>179</v>
      </c>
      <c r="H313" s="34" t="s">
        <v>86</v>
      </c>
      <c r="I313" s="18" t="s">
        <v>104</v>
      </c>
      <c r="J313" s="31" t="s">
        <v>105</v>
      </c>
      <c r="K313" s="31">
        <v>46178</v>
      </c>
      <c r="L313" s="4"/>
      <c r="M313" s="4"/>
      <c r="N313" s="13" t="s">
        <v>29</v>
      </c>
      <c r="O313" s="35" t="str">
        <f>IF(D313="","",IF(COUNTIF(离职清单!C:C,D313)&gt;0,"已离职","在职"))</f>
        <v>在职</v>
      </c>
      <c r="P313" s="35" t="str">
        <f>IF(AND(O313="在职",J313="是"),COUNTIF(O$2:O313,"在职"),"")</f>
        <v/>
      </c>
    </row>
    <row r="314" customFormat="1" ht="18" spans="1:16">
      <c r="A314" s="14">
        <f t="shared" si="6"/>
        <v>313</v>
      </c>
      <c r="B314" s="31">
        <v>46178</v>
      </c>
      <c r="C314" s="32" t="s">
        <v>611</v>
      </c>
      <c r="D314" s="120" t="s">
        <v>484</v>
      </c>
      <c r="E314" s="33" t="s">
        <v>43</v>
      </c>
      <c r="F314" s="18" t="s">
        <v>64</v>
      </c>
      <c r="G314" s="18" t="s">
        <v>179</v>
      </c>
      <c r="H314" s="34" t="s">
        <v>86</v>
      </c>
      <c r="I314" s="18" t="s">
        <v>104</v>
      </c>
      <c r="J314" s="31" t="s">
        <v>105</v>
      </c>
      <c r="K314" s="31">
        <v>46178</v>
      </c>
      <c r="L314" s="4"/>
      <c r="M314" s="4"/>
      <c r="N314" s="13" t="s">
        <v>29</v>
      </c>
      <c r="O314" s="35" t="str">
        <f>IF(D314="","",IF(COUNTIF(离职清单!C:C,D314)&gt;0,"已离职","在职"))</f>
        <v>在职</v>
      </c>
      <c r="P314" s="35" t="str">
        <f>IF(AND(O314="在职",J314="是"),COUNTIF(O$2:O314,"在职"),"")</f>
        <v/>
      </c>
    </row>
    <row r="315" customFormat="1" ht="18" spans="1:16">
      <c r="A315" s="10">
        <f t="shared" si="6"/>
        <v>314</v>
      </c>
      <c r="B315" s="31">
        <v>46178</v>
      </c>
      <c r="C315" s="32" t="s">
        <v>612</v>
      </c>
      <c r="D315" s="120" t="s">
        <v>486</v>
      </c>
      <c r="E315" s="33" t="s">
        <v>43</v>
      </c>
      <c r="F315" s="18" t="s">
        <v>64</v>
      </c>
      <c r="G315" s="18" t="s">
        <v>135</v>
      </c>
      <c r="H315" s="34" t="s">
        <v>86</v>
      </c>
      <c r="I315" s="18" t="s">
        <v>104</v>
      </c>
      <c r="J315" s="31" t="s">
        <v>114</v>
      </c>
      <c r="K315" s="31">
        <v>46178</v>
      </c>
      <c r="L315" s="4"/>
      <c r="M315" s="4"/>
      <c r="N315" s="13" t="s">
        <v>29</v>
      </c>
      <c r="O315" s="35" t="str">
        <f>IF(D315="","",IF(COUNTIF(离职清单!C:C,D315)&gt;0,"已离职","在职"))</f>
        <v>在职</v>
      </c>
      <c r="P315" s="35">
        <f>IF(AND(O315="在职",J315="是"),COUNTIF(O$2:O315,"在职"),"")</f>
        <v>308</v>
      </c>
    </row>
    <row r="316" customFormat="1" ht="18" spans="1:16">
      <c r="A316" s="14">
        <f t="shared" si="6"/>
        <v>315</v>
      </c>
      <c r="B316" s="31">
        <v>46178</v>
      </c>
      <c r="C316" s="32" t="s">
        <v>613</v>
      </c>
      <c r="D316" s="120" t="s">
        <v>488</v>
      </c>
      <c r="E316" s="33" t="s">
        <v>74</v>
      </c>
      <c r="F316" s="18" t="s">
        <v>64</v>
      </c>
      <c r="G316" s="18" t="s">
        <v>179</v>
      </c>
      <c r="H316" s="34" t="s">
        <v>86</v>
      </c>
      <c r="I316" s="18" t="s">
        <v>104</v>
      </c>
      <c r="J316" s="31" t="s">
        <v>105</v>
      </c>
      <c r="K316" s="31">
        <v>46178</v>
      </c>
      <c r="L316" s="4"/>
      <c r="M316" s="4"/>
      <c r="N316" s="13" t="s">
        <v>29</v>
      </c>
      <c r="O316" s="35" t="str">
        <f>IF(D316="","",IF(COUNTIF(离职清单!C:C,D316)&gt;0,"已离职","在职"))</f>
        <v>在职</v>
      </c>
      <c r="P316" s="35" t="str">
        <f>IF(AND(O316="在职",J316="是"),COUNTIF(O$2:O316,"在职"),"")</f>
        <v/>
      </c>
    </row>
    <row r="317" customFormat="1" ht="18" spans="1:16">
      <c r="A317" s="10">
        <f t="shared" si="6"/>
        <v>316</v>
      </c>
      <c r="B317" s="31">
        <v>46178</v>
      </c>
      <c r="C317" s="32" t="s">
        <v>614</v>
      </c>
      <c r="D317" s="120" t="s">
        <v>490</v>
      </c>
      <c r="E317" s="33" t="s">
        <v>74</v>
      </c>
      <c r="F317" s="18" t="s">
        <v>64</v>
      </c>
      <c r="G317" s="18" t="s">
        <v>179</v>
      </c>
      <c r="H317" s="34" t="s">
        <v>86</v>
      </c>
      <c r="I317" s="18" t="s">
        <v>104</v>
      </c>
      <c r="J317" s="31" t="s">
        <v>105</v>
      </c>
      <c r="K317" s="31">
        <v>46178</v>
      </c>
      <c r="L317" s="4"/>
      <c r="M317" s="4"/>
      <c r="N317" s="13" t="s">
        <v>29</v>
      </c>
      <c r="O317" s="35" t="str">
        <f>IF(D317="","",IF(COUNTIF(离职清单!C:C,D317)&gt;0,"已离职","在职"))</f>
        <v>在职</v>
      </c>
      <c r="P317" s="35" t="str">
        <f>IF(AND(O317="在职",J317="是"),COUNTIF(O$2:O317,"在职"),"")</f>
        <v/>
      </c>
    </row>
    <row r="318" customFormat="1" ht="18" spans="1:16">
      <c r="A318" s="14">
        <f t="shared" si="6"/>
        <v>317</v>
      </c>
      <c r="B318" s="31">
        <v>46178</v>
      </c>
      <c r="C318" s="32" t="s">
        <v>615</v>
      </c>
      <c r="D318" s="120" t="s">
        <v>492</v>
      </c>
      <c r="E318" s="33" t="s">
        <v>74</v>
      </c>
      <c r="F318" s="18" t="s">
        <v>190</v>
      </c>
      <c r="G318" s="18" t="s">
        <v>179</v>
      </c>
      <c r="H318" s="34" t="s">
        <v>86</v>
      </c>
      <c r="I318" s="18" t="s">
        <v>104</v>
      </c>
      <c r="J318" s="31" t="s">
        <v>105</v>
      </c>
      <c r="K318" s="31">
        <v>46178</v>
      </c>
      <c r="L318" s="4"/>
      <c r="M318" s="4"/>
      <c r="N318" s="13" t="s">
        <v>29</v>
      </c>
      <c r="O318" s="35" t="str">
        <f>IF(D318="","",IF(COUNTIF(离职清单!C:C,D318)&gt;0,"已离职","在职"))</f>
        <v>在职</v>
      </c>
      <c r="P318" s="35" t="str">
        <f>IF(AND(O318="在职",J318="是"),COUNTIF(O$2:O318,"在职"),"")</f>
        <v/>
      </c>
    </row>
    <row r="319" customFormat="1" ht="18" spans="1:16">
      <c r="A319" s="10">
        <f t="shared" si="6"/>
        <v>318</v>
      </c>
      <c r="B319" s="31">
        <v>46178</v>
      </c>
      <c r="C319" s="32" t="s">
        <v>616</v>
      </c>
      <c r="D319" s="120" t="s">
        <v>477</v>
      </c>
      <c r="E319" s="33" t="s">
        <v>43</v>
      </c>
      <c r="F319" s="18" t="s">
        <v>64</v>
      </c>
      <c r="G319" s="18" t="s">
        <v>179</v>
      </c>
      <c r="H319" s="34" t="s">
        <v>86</v>
      </c>
      <c r="I319" s="18" t="s">
        <v>104</v>
      </c>
      <c r="J319" s="31" t="s">
        <v>105</v>
      </c>
      <c r="K319" s="31">
        <v>46178</v>
      </c>
      <c r="L319" s="4"/>
      <c r="M319" s="4"/>
      <c r="N319" s="13" t="s">
        <v>29</v>
      </c>
      <c r="O319" s="35" t="str">
        <f>IF(D319="","",IF(COUNTIF(离职清单!C:C,D319)&gt;0,"已离职","在职"))</f>
        <v>在职</v>
      </c>
      <c r="P319" s="35" t="str">
        <f>IF(AND(O319="在职",J319="是"),COUNTIF(O$2:O319,"在职"),"")</f>
        <v/>
      </c>
    </row>
    <row r="320" customFormat="1" ht="18" spans="1:16">
      <c r="A320" s="14">
        <f t="shared" si="6"/>
        <v>319</v>
      </c>
      <c r="B320" s="31">
        <v>46179</v>
      </c>
      <c r="C320" s="32" t="s">
        <v>617</v>
      </c>
      <c r="D320" s="120" t="s">
        <v>478</v>
      </c>
      <c r="E320" s="33" t="s">
        <v>42</v>
      </c>
      <c r="F320" s="18" t="s">
        <v>64</v>
      </c>
      <c r="G320" s="18" t="s">
        <v>129</v>
      </c>
      <c r="H320" s="34" t="s">
        <v>86</v>
      </c>
      <c r="I320" s="18" t="s">
        <v>104</v>
      </c>
      <c r="J320" s="31" t="s">
        <v>114</v>
      </c>
      <c r="K320" s="31">
        <v>46179</v>
      </c>
      <c r="L320" s="4"/>
      <c r="M320" s="4"/>
      <c r="N320" s="13" t="s">
        <v>29</v>
      </c>
      <c r="O320" s="35" t="str">
        <f>IF(D320="","",IF(COUNTIF(离职清单!C:C,D320)&gt;0,"已离职","在职"))</f>
        <v>在职</v>
      </c>
      <c r="P320" s="35">
        <f>IF(AND(O320="在职",J320="是"),COUNTIF(O$2:O320,"在职"),"")</f>
        <v>313</v>
      </c>
    </row>
    <row r="321" customFormat="1" ht="18" spans="1:16">
      <c r="A321" s="10">
        <f t="shared" si="6"/>
        <v>320</v>
      </c>
      <c r="B321" s="31">
        <v>46179</v>
      </c>
      <c r="C321" s="32" t="s">
        <v>618</v>
      </c>
      <c r="D321" s="120" t="s">
        <v>480</v>
      </c>
      <c r="E321" s="33" t="s">
        <v>74</v>
      </c>
      <c r="F321" s="18" t="s">
        <v>190</v>
      </c>
      <c r="G321" s="18" t="s">
        <v>148</v>
      </c>
      <c r="H321" s="34" t="s">
        <v>86</v>
      </c>
      <c r="I321" s="18" t="s">
        <v>104</v>
      </c>
      <c r="J321" s="31" t="s">
        <v>105</v>
      </c>
      <c r="K321" s="31">
        <v>46179</v>
      </c>
      <c r="L321" s="4"/>
      <c r="M321" s="4"/>
      <c r="N321" s="13" t="s">
        <v>29</v>
      </c>
      <c r="O321" s="35" t="str">
        <f>IF(D321="","",IF(COUNTIF(离职清单!C:C,D321)&gt;0,"已离职","在职"))</f>
        <v>在职</v>
      </c>
      <c r="P321" s="35" t="str">
        <f>IF(AND(O321="在职",J321="是"),COUNTIF(O$2:O321,"在职"),"")</f>
        <v/>
      </c>
    </row>
    <row r="322" customFormat="1" ht="18" spans="1:16">
      <c r="A322" s="14">
        <f t="shared" si="6"/>
        <v>321</v>
      </c>
      <c r="B322" s="31">
        <v>46179</v>
      </c>
      <c r="C322" s="32" t="s">
        <v>619</v>
      </c>
      <c r="D322" s="120" t="s">
        <v>482</v>
      </c>
      <c r="E322" s="33" t="s">
        <v>74</v>
      </c>
      <c r="F322" s="18" t="s">
        <v>190</v>
      </c>
      <c r="G322" s="18" t="s">
        <v>148</v>
      </c>
      <c r="H322" s="34" t="s">
        <v>86</v>
      </c>
      <c r="I322" s="18" t="s">
        <v>111</v>
      </c>
      <c r="J322" s="31" t="s">
        <v>105</v>
      </c>
      <c r="K322" s="31">
        <v>46179</v>
      </c>
      <c r="L322" s="4"/>
      <c r="M322" s="4"/>
      <c r="N322" s="13" t="s">
        <v>29</v>
      </c>
      <c r="O322" s="35" t="str">
        <f>IF(D322="","",IF(COUNTIF(离职清单!C:C,D322)&gt;0,"已离职","在职"))</f>
        <v>在职</v>
      </c>
      <c r="P322" s="35" t="str">
        <f>IF(AND(O322="在职",J322="是"),COUNTIF(O$2:O322,"在职"),"")</f>
        <v/>
      </c>
    </row>
    <row r="323" customFormat="1" ht="18" spans="1:16">
      <c r="A323" s="10">
        <f t="shared" si="6"/>
        <v>322</v>
      </c>
      <c r="B323" s="31">
        <v>46179</v>
      </c>
      <c r="C323" s="32" t="s">
        <v>620</v>
      </c>
      <c r="D323" s="120" t="s">
        <v>484</v>
      </c>
      <c r="E323" s="33" t="s">
        <v>42</v>
      </c>
      <c r="F323" s="18" t="s">
        <v>64</v>
      </c>
      <c r="G323" s="18" t="s">
        <v>124</v>
      </c>
      <c r="H323" s="34" t="s">
        <v>86</v>
      </c>
      <c r="I323" s="18" t="s">
        <v>104</v>
      </c>
      <c r="J323" s="31" t="s">
        <v>114</v>
      </c>
      <c r="K323" s="31">
        <v>46179</v>
      </c>
      <c r="L323" s="4"/>
      <c r="M323" s="4"/>
      <c r="N323" s="13" t="s">
        <v>29</v>
      </c>
      <c r="O323" s="35" t="str">
        <f>IF(D323="","",IF(COUNTIF(离职清单!C:C,D323)&gt;0,"已离职","在职"))</f>
        <v>在职</v>
      </c>
      <c r="P323" s="35">
        <f>IF(AND(O323="在职",J323="是"),COUNTIF(O$2:O323,"在职"),"")</f>
        <v>316</v>
      </c>
    </row>
    <row r="324" customFormat="1" ht="18" spans="1:16">
      <c r="A324" s="14">
        <f t="shared" si="6"/>
        <v>323</v>
      </c>
      <c r="B324" s="31">
        <v>46179</v>
      </c>
      <c r="C324" s="32" t="s">
        <v>621</v>
      </c>
      <c r="D324" s="120" t="s">
        <v>486</v>
      </c>
      <c r="E324" s="33" t="s">
        <v>43</v>
      </c>
      <c r="F324" s="18" t="s">
        <v>62</v>
      </c>
      <c r="G324" s="18" t="s">
        <v>233</v>
      </c>
      <c r="H324" s="34" t="s">
        <v>86</v>
      </c>
      <c r="I324" s="18" t="s">
        <v>104</v>
      </c>
      <c r="J324" s="31" t="s">
        <v>114</v>
      </c>
      <c r="K324" s="31">
        <v>46179</v>
      </c>
      <c r="L324" s="4"/>
      <c r="M324" s="4"/>
      <c r="N324" s="13" t="s">
        <v>29</v>
      </c>
      <c r="O324" s="35" t="str">
        <f>IF(D324="","",IF(COUNTIF(离职清单!C:C,D324)&gt;0,"已离职","在职"))</f>
        <v>在职</v>
      </c>
      <c r="P324" s="35">
        <f>IF(AND(O324="在职",J324="是"),COUNTIF(O$2:O324,"在职"),"")</f>
        <v>317</v>
      </c>
    </row>
    <row r="325" customFormat="1" ht="18" spans="1:16">
      <c r="A325" s="14">
        <f t="shared" si="6"/>
        <v>324</v>
      </c>
      <c r="B325" s="31">
        <v>46179</v>
      </c>
      <c r="C325" s="32" t="s">
        <v>622</v>
      </c>
      <c r="D325" s="120" t="s">
        <v>488</v>
      </c>
      <c r="E325" s="33" t="s">
        <v>42</v>
      </c>
      <c r="F325" s="18" t="s">
        <v>64</v>
      </c>
      <c r="G325" s="18" t="s">
        <v>173</v>
      </c>
      <c r="H325" s="34" t="s">
        <v>86</v>
      </c>
      <c r="I325" s="18" t="s">
        <v>104</v>
      </c>
      <c r="J325" s="31" t="s">
        <v>114</v>
      </c>
      <c r="K325" s="31">
        <v>46179</v>
      </c>
      <c r="L325" s="4"/>
      <c r="M325" s="4"/>
      <c r="N325" s="13" t="s">
        <v>29</v>
      </c>
      <c r="O325" s="35" t="str">
        <f>IF(D325="","",IF(COUNTIF(离职清单!C:C,D325)&gt;0,"已离职","在职"))</f>
        <v>在职</v>
      </c>
      <c r="P325" s="35">
        <f>IF(AND(O325="在职",J325="是"),COUNTIF(O$2:O325,"在职"),"")</f>
        <v>318</v>
      </c>
    </row>
    <row r="326" customFormat="1" ht="18" spans="1:16">
      <c r="A326" s="10">
        <f t="shared" si="6"/>
        <v>325</v>
      </c>
      <c r="B326" s="31">
        <v>46179</v>
      </c>
      <c r="C326" s="32" t="s">
        <v>623</v>
      </c>
      <c r="D326" s="120" t="s">
        <v>490</v>
      </c>
      <c r="E326" s="33" t="s">
        <v>42</v>
      </c>
      <c r="F326" s="18" t="s">
        <v>64</v>
      </c>
      <c r="G326" s="18" t="s">
        <v>173</v>
      </c>
      <c r="H326" s="34" t="s">
        <v>86</v>
      </c>
      <c r="I326" s="18" t="s">
        <v>104</v>
      </c>
      <c r="J326" s="31" t="s">
        <v>114</v>
      </c>
      <c r="K326" s="31">
        <v>46179</v>
      </c>
      <c r="L326" s="4"/>
      <c r="M326" s="4"/>
      <c r="N326" s="13" t="s">
        <v>29</v>
      </c>
      <c r="O326" s="35" t="str">
        <f>IF(D326="","",IF(COUNTIF(离职清单!C:C,D326)&gt;0,"已离职","在职"))</f>
        <v>在职</v>
      </c>
      <c r="P326" s="35">
        <f>IF(AND(O326="在职",J326="是"),COUNTIF(O$2:O326,"在职"),"")</f>
        <v>319</v>
      </c>
    </row>
    <row r="327" customFormat="1" ht="18" spans="1:16">
      <c r="A327" s="10">
        <f t="shared" si="6"/>
        <v>326</v>
      </c>
      <c r="B327" s="31">
        <v>46179</v>
      </c>
      <c r="C327" s="32" t="s">
        <v>624</v>
      </c>
      <c r="D327" s="120" t="s">
        <v>492</v>
      </c>
      <c r="E327" s="33" t="s">
        <v>43</v>
      </c>
      <c r="F327" s="18" t="s">
        <v>62</v>
      </c>
      <c r="G327" s="18" t="s">
        <v>173</v>
      </c>
      <c r="H327" s="34" t="s">
        <v>86</v>
      </c>
      <c r="I327" s="18" t="s">
        <v>104</v>
      </c>
      <c r="J327" s="31" t="s">
        <v>114</v>
      </c>
      <c r="K327" s="31">
        <v>46179</v>
      </c>
      <c r="L327" s="4"/>
      <c r="M327" s="4"/>
      <c r="N327" s="13" t="s">
        <v>29</v>
      </c>
      <c r="O327" s="35" t="str">
        <f>IF(D327="","",IF(COUNTIF(离职清单!C:C,D327)&gt;0,"已离职","在职"))</f>
        <v>在职</v>
      </c>
      <c r="P327" s="35">
        <f>IF(AND(O327="在职",J327="是"),COUNTIF(O$2:O327,"在职"),"")</f>
        <v>320</v>
      </c>
    </row>
    <row r="328" customFormat="1" ht="18" spans="1:16">
      <c r="A328" s="14">
        <f t="shared" si="6"/>
        <v>327</v>
      </c>
      <c r="B328" s="31">
        <v>46179</v>
      </c>
      <c r="C328" s="32" t="s">
        <v>625</v>
      </c>
      <c r="D328" s="120" t="s">
        <v>477</v>
      </c>
      <c r="E328" s="33" t="s">
        <v>42</v>
      </c>
      <c r="F328" s="18" t="s">
        <v>63</v>
      </c>
      <c r="G328" s="18" t="s">
        <v>173</v>
      </c>
      <c r="H328" s="34" t="s">
        <v>86</v>
      </c>
      <c r="I328" s="18" t="s">
        <v>104</v>
      </c>
      <c r="J328" s="31" t="s">
        <v>114</v>
      </c>
      <c r="K328" s="31">
        <v>46179</v>
      </c>
      <c r="L328" s="4"/>
      <c r="M328" s="4"/>
      <c r="N328" s="13" t="s">
        <v>29</v>
      </c>
      <c r="O328" s="35" t="str">
        <f>IF(D328="","",IF(COUNTIF(离职清单!C:C,D328)&gt;0,"已离职","在职"))</f>
        <v>在职</v>
      </c>
      <c r="P328" s="35">
        <f>IF(AND(O328="在职",J328="是"),COUNTIF(O$2:O328,"在职"),"")</f>
        <v>321</v>
      </c>
    </row>
    <row r="329" customFormat="1" ht="18" spans="1:16">
      <c r="A329" s="10">
        <f t="shared" si="6"/>
        <v>328</v>
      </c>
      <c r="B329" s="31">
        <v>46179</v>
      </c>
      <c r="C329" s="32" t="s">
        <v>626</v>
      </c>
      <c r="D329" s="120" t="s">
        <v>478</v>
      </c>
      <c r="E329" s="33" t="s">
        <v>42</v>
      </c>
      <c r="F329" s="18" t="s">
        <v>63</v>
      </c>
      <c r="G329" s="18" t="s">
        <v>173</v>
      </c>
      <c r="H329" s="34" t="s">
        <v>86</v>
      </c>
      <c r="I329" s="18" t="s">
        <v>104</v>
      </c>
      <c r="J329" s="31" t="s">
        <v>114</v>
      </c>
      <c r="K329" s="31">
        <v>46179</v>
      </c>
      <c r="L329" s="4"/>
      <c r="M329" s="4"/>
      <c r="N329" s="13" t="s">
        <v>29</v>
      </c>
      <c r="O329" s="35" t="str">
        <f>IF(D329="","",IF(COUNTIF(离职清单!C:C,D329)&gt;0,"已离职","在职"))</f>
        <v>在职</v>
      </c>
      <c r="P329" s="35">
        <f>IF(AND(O329="在职",J329="是"),COUNTIF(O$2:O329,"在职"),"")</f>
        <v>322</v>
      </c>
    </row>
    <row r="330" customFormat="1" ht="18" spans="1:16">
      <c r="A330" s="14">
        <f t="shared" si="6"/>
        <v>329</v>
      </c>
      <c r="B330" s="31">
        <v>46179</v>
      </c>
      <c r="C330" s="32" t="s">
        <v>627</v>
      </c>
      <c r="D330" s="120" t="s">
        <v>480</v>
      </c>
      <c r="E330" s="33" t="s">
        <v>42</v>
      </c>
      <c r="F330" s="18" t="s">
        <v>63</v>
      </c>
      <c r="G330" s="18" t="s">
        <v>173</v>
      </c>
      <c r="H330" s="34" t="s">
        <v>86</v>
      </c>
      <c r="I330" s="18" t="s">
        <v>104</v>
      </c>
      <c r="J330" s="31" t="s">
        <v>114</v>
      </c>
      <c r="K330" s="31">
        <v>46179</v>
      </c>
      <c r="L330" s="4"/>
      <c r="M330" s="4"/>
      <c r="N330" s="13" t="s">
        <v>29</v>
      </c>
      <c r="O330" s="35" t="str">
        <f>IF(D330="","",IF(COUNTIF(离职清单!C:C,D330)&gt;0,"已离职","在职"))</f>
        <v>在职</v>
      </c>
      <c r="P330" s="35">
        <f>IF(AND(O330="在职",J330="是"),COUNTIF(O$2:O330,"在职"),"")</f>
        <v>323</v>
      </c>
    </row>
    <row r="331" customFormat="1" ht="18" spans="1:16">
      <c r="A331" s="10">
        <f t="shared" si="6"/>
        <v>330</v>
      </c>
      <c r="B331" s="31">
        <v>46179</v>
      </c>
      <c r="C331" s="32" t="s">
        <v>628</v>
      </c>
      <c r="D331" s="120" t="s">
        <v>482</v>
      </c>
      <c r="E331" s="33" t="s">
        <v>42</v>
      </c>
      <c r="F331" s="18" t="s">
        <v>63</v>
      </c>
      <c r="G331" s="18" t="s">
        <v>173</v>
      </c>
      <c r="H331" s="34" t="s">
        <v>86</v>
      </c>
      <c r="I331" s="18" t="s">
        <v>104</v>
      </c>
      <c r="J331" s="31" t="s">
        <v>114</v>
      </c>
      <c r="K331" s="31">
        <v>46179</v>
      </c>
      <c r="L331" s="4"/>
      <c r="M331" s="4"/>
      <c r="N331" s="13" t="s">
        <v>29</v>
      </c>
      <c r="O331" s="35" t="str">
        <f>IF(D331="","",IF(COUNTIF(离职清单!C:C,D331)&gt;0,"已离职","在职"))</f>
        <v>在职</v>
      </c>
      <c r="P331" s="35">
        <f>IF(AND(O331="在职",J331="是"),COUNTIF(O$2:O331,"在职"),"")</f>
        <v>324</v>
      </c>
    </row>
    <row r="332" customFormat="1" ht="18" spans="1:16">
      <c r="A332" s="14">
        <f t="shared" si="6"/>
        <v>331</v>
      </c>
      <c r="B332" s="31">
        <v>46179</v>
      </c>
      <c r="C332" s="32" t="s">
        <v>629</v>
      </c>
      <c r="D332" s="120" t="s">
        <v>484</v>
      </c>
      <c r="E332" s="33" t="s">
        <v>42</v>
      </c>
      <c r="F332" s="18" t="s">
        <v>63</v>
      </c>
      <c r="G332" s="18" t="s">
        <v>173</v>
      </c>
      <c r="H332" s="34" t="s">
        <v>86</v>
      </c>
      <c r="I332" s="18" t="s">
        <v>104</v>
      </c>
      <c r="J332" s="31" t="s">
        <v>114</v>
      </c>
      <c r="K332" s="31">
        <v>46179</v>
      </c>
      <c r="L332" s="4"/>
      <c r="M332" s="4"/>
      <c r="N332" s="13" t="s">
        <v>29</v>
      </c>
      <c r="O332" s="35" t="str">
        <f>IF(D332="","",IF(COUNTIF(离职清单!C:C,D332)&gt;0,"已离职","在职"))</f>
        <v>在职</v>
      </c>
      <c r="P332" s="35">
        <f>IF(AND(O332="在职",J332="是"),COUNTIF(O$2:O332,"在职"),"")</f>
        <v>325</v>
      </c>
    </row>
    <row r="333" customFormat="1" ht="18" spans="1:16">
      <c r="A333" s="10">
        <f t="shared" si="6"/>
        <v>332</v>
      </c>
      <c r="B333" s="31">
        <v>46179</v>
      </c>
      <c r="C333" s="32" t="s">
        <v>630</v>
      </c>
      <c r="D333" s="120" t="s">
        <v>486</v>
      </c>
      <c r="E333" s="33" t="s">
        <v>42</v>
      </c>
      <c r="F333" s="18" t="s">
        <v>64</v>
      </c>
      <c r="G333" s="18" t="s">
        <v>631</v>
      </c>
      <c r="H333" s="34" t="s">
        <v>86</v>
      </c>
      <c r="I333" s="18" t="s">
        <v>104</v>
      </c>
      <c r="J333" s="31" t="s">
        <v>105</v>
      </c>
      <c r="K333" s="31">
        <v>46179</v>
      </c>
      <c r="L333" s="4"/>
      <c r="M333" s="4"/>
      <c r="N333" s="13" t="s">
        <v>29</v>
      </c>
      <c r="O333" s="35" t="str">
        <f>IF(D333="","",IF(COUNTIF(离职清单!C:C,D333)&gt;0,"已离职","在职"))</f>
        <v>在职</v>
      </c>
      <c r="P333" s="35" t="str">
        <f>IF(AND(O333="在职",J333="是"),COUNTIF(O$2:O333,"在职"),"")</f>
        <v/>
      </c>
    </row>
    <row r="334" customFormat="1" ht="18" spans="1:16">
      <c r="A334" s="14">
        <f t="shared" ref="A334:A397" si="7">IF(B334&lt;&gt;"",ROW()-1,"")</f>
        <v>333</v>
      </c>
      <c r="B334" s="31">
        <v>46179</v>
      </c>
      <c r="C334" s="32" t="s">
        <v>575</v>
      </c>
      <c r="D334" s="120" t="s">
        <v>488</v>
      </c>
      <c r="E334" s="33" t="s">
        <v>42</v>
      </c>
      <c r="F334" s="18" t="s">
        <v>64</v>
      </c>
      <c r="G334" s="18" t="s">
        <v>135</v>
      </c>
      <c r="H334" s="34" t="s">
        <v>86</v>
      </c>
      <c r="I334" s="18" t="s">
        <v>104</v>
      </c>
      <c r="J334" s="31" t="s">
        <v>114</v>
      </c>
      <c r="K334" s="31">
        <v>46179</v>
      </c>
      <c r="L334" s="4"/>
      <c r="M334" s="4"/>
      <c r="N334" s="13" t="s">
        <v>29</v>
      </c>
      <c r="O334" s="35" t="str">
        <f>IF(D334="","",IF(COUNTIF(离职清单!C:C,D334)&gt;0,"已离职","在职"))</f>
        <v>在职</v>
      </c>
      <c r="P334" s="35">
        <f>IF(AND(O334="在职",J334="是"),COUNTIF(O$2:O334,"在职"),"")</f>
        <v>327</v>
      </c>
    </row>
    <row r="335" customFormat="1" ht="18" spans="1:16">
      <c r="A335" s="10">
        <f t="shared" si="7"/>
        <v>334</v>
      </c>
      <c r="B335" s="31">
        <v>46179</v>
      </c>
      <c r="C335" s="32" t="s">
        <v>632</v>
      </c>
      <c r="D335" s="120" t="s">
        <v>490</v>
      </c>
      <c r="E335" s="33" t="s">
        <v>74</v>
      </c>
      <c r="F335" s="18" t="s">
        <v>64</v>
      </c>
      <c r="G335" s="18" t="s">
        <v>135</v>
      </c>
      <c r="H335" s="34" t="s">
        <v>86</v>
      </c>
      <c r="I335" s="18" t="s">
        <v>104</v>
      </c>
      <c r="J335" s="31" t="s">
        <v>105</v>
      </c>
      <c r="K335" s="31">
        <v>46179</v>
      </c>
      <c r="L335" s="4"/>
      <c r="M335" s="4"/>
      <c r="N335" s="13" t="s">
        <v>29</v>
      </c>
      <c r="O335" s="35" t="str">
        <f>IF(D335="","",IF(COUNTIF(离职清单!C:C,D335)&gt;0,"已离职","在职"))</f>
        <v>在职</v>
      </c>
      <c r="P335" s="35" t="str">
        <f>IF(AND(O335="在职",J335="是"),COUNTIF(O$2:O335,"在职"),"")</f>
        <v/>
      </c>
    </row>
    <row r="336" customFormat="1" ht="18" spans="1:16">
      <c r="A336" s="14">
        <f t="shared" si="7"/>
        <v>335</v>
      </c>
      <c r="B336" s="31">
        <v>46179</v>
      </c>
      <c r="C336" s="32" t="s">
        <v>633</v>
      </c>
      <c r="D336" s="120" t="s">
        <v>492</v>
      </c>
      <c r="E336" s="33" t="s">
        <v>74</v>
      </c>
      <c r="F336" s="18" t="s">
        <v>64</v>
      </c>
      <c r="G336" s="18" t="s">
        <v>135</v>
      </c>
      <c r="H336" s="34" t="s">
        <v>86</v>
      </c>
      <c r="I336" s="18" t="s">
        <v>104</v>
      </c>
      <c r="J336" s="31" t="s">
        <v>105</v>
      </c>
      <c r="K336" s="31">
        <v>46179</v>
      </c>
      <c r="L336" s="4"/>
      <c r="M336" s="4"/>
      <c r="N336" s="13" t="s">
        <v>29</v>
      </c>
      <c r="O336" s="35" t="str">
        <f>IF(D336="","",IF(COUNTIF(离职清单!C:C,D336)&gt;0,"已离职","在职"))</f>
        <v>在职</v>
      </c>
      <c r="P336" s="35" t="str">
        <f>IF(AND(O336="在职",J336="是"),COUNTIF(O$2:O336,"在职"),"")</f>
        <v/>
      </c>
    </row>
    <row r="337" customFormat="1" ht="18" spans="1:16">
      <c r="A337" s="10">
        <f t="shared" si="7"/>
        <v>336</v>
      </c>
      <c r="B337" s="31">
        <v>46179</v>
      </c>
      <c r="C337" s="32" t="s">
        <v>634</v>
      </c>
      <c r="D337" s="120" t="s">
        <v>477</v>
      </c>
      <c r="E337" s="33" t="s">
        <v>42</v>
      </c>
      <c r="F337" s="18" t="s">
        <v>64</v>
      </c>
      <c r="G337" s="18" t="s">
        <v>509</v>
      </c>
      <c r="H337" s="34" t="s">
        <v>86</v>
      </c>
      <c r="I337" s="18" t="s">
        <v>111</v>
      </c>
      <c r="J337" s="31" t="s">
        <v>105</v>
      </c>
      <c r="K337" s="31">
        <v>46179</v>
      </c>
      <c r="L337" s="4"/>
      <c r="M337" s="4"/>
      <c r="N337" s="13" t="s">
        <v>29</v>
      </c>
      <c r="O337" s="35" t="str">
        <f>IF(D337="","",IF(COUNTIF(离职清单!C:C,D337)&gt;0,"已离职","在职"))</f>
        <v>在职</v>
      </c>
      <c r="P337" s="35" t="str">
        <f>IF(AND(O337="在职",J337="是"),COUNTIF(O$2:O337,"在职"),"")</f>
        <v/>
      </c>
    </row>
    <row r="338" customFormat="1" ht="18" spans="1:16">
      <c r="A338" s="14">
        <f t="shared" si="7"/>
        <v>337</v>
      </c>
      <c r="B338" s="31">
        <v>46179</v>
      </c>
      <c r="C338" s="32" t="s">
        <v>635</v>
      </c>
      <c r="D338" s="120" t="s">
        <v>478</v>
      </c>
      <c r="E338" s="33" t="s">
        <v>42</v>
      </c>
      <c r="F338" s="18" t="s">
        <v>64</v>
      </c>
      <c r="G338" s="18" t="s">
        <v>509</v>
      </c>
      <c r="H338" s="34" t="s">
        <v>86</v>
      </c>
      <c r="I338" s="18" t="s">
        <v>104</v>
      </c>
      <c r="J338" s="31" t="s">
        <v>105</v>
      </c>
      <c r="K338" s="31">
        <v>46179</v>
      </c>
      <c r="L338" s="4"/>
      <c r="M338" s="4"/>
      <c r="N338" s="13" t="s">
        <v>29</v>
      </c>
      <c r="O338" s="35" t="str">
        <f>IF(D338="","",IF(COUNTIF(离职清单!C:C,D338)&gt;0,"已离职","在职"))</f>
        <v>在职</v>
      </c>
      <c r="P338" s="35" t="str">
        <f>IF(AND(O338="在职",J338="是"),COUNTIF(O$2:O338,"在职"),"")</f>
        <v/>
      </c>
    </row>
    <row r="339" customFormat="1" ht="18" spans="1:16">
      <c r="A339" s="10">
        <f t="shared" si="7"/>
        <v>338</v>
      </c>
      <c r="B339" s="31">
        <v>46179</v>
      </c>
      <c r="C339" s="32" t="s">
        <v>636</v>
      </c>
      <c r="D339" s="120" t="s">
        <v>480</v>
      </c>
      <c r="E339" s="33" t="s">
        <v>43</v>
      </c>
      <c r="F339" s="18" t="s">
        <v>63</v>
      </c>
      <c r="G339" s="18" t="s">
        <v>332</v>
      </c>
      <c r="H339" s="34" t="s">
        <v>86</v>
      </c>
      <c r="I339" s="18" t="s">
        <v>104</v>
      </c>
      <c r="J339" s="31" t="s">
        <v>105</v>
      </c>
      <c r="K339" s="31">
        <v>46179</v>
      </c>
      <c r="L339" s="4"/>
      <c r="M339" s="4"/>
      <c r="N339" s="13" t="s">
        <v>29</v>
      </c>
      <c r="O339" s="35" t="str">
        <f>IF(D339="","",IF(COUNTIF(离职清单!C:C,D339)&gt;0,"已离职","在职"))</f>
        <v>在职</v>
      </c>
      <c r="P339" s="35" t="str">
        <f>IF(AND(O339="在职",J339="是"),COUNTIF(O$2:O339,"在职"),"")</f>
        <v/>
      </c>
    </row>
    <row r="340" customFormat="1" ht="18" spans="1:16">
      <c r="A340" s="14">
        <f t="shared" si="7"/>
        <v>339</v>
      </c>
      <c r="B340" s="31">
        <v>46179</v>
      </c>
      <c r="C340" s="32" t="s">
        <v>637</v>
      </c>
      <c r="D340" s="120" t="s">
        <v>482</v>
      </c>
      <c r="E340" s="33" t="s">
        <v>74</v>
      </c>
      <c r="F340" s="18" t="s">
        <v>190</v>
      </c>
      <c r="G340" s="18" t="s">
        <v>426</v>
      </c>
      <c r="H340" s="34" t="s">
        <v>86</v>
      </c>
      <c r="I340" s="18" t="s">
        <v>104</v>
      </c>
      <c r="J340" s="31" t="s">
        <v>105</v>
      </c>
      <c r="K340" s="31">
        <v>46179</v>
      </c>
      <c r="L340" s="4"/>
      <c r="M340" s="4"/>
      <c r="N340" s="13" t="s">
        <v>29</v>
      </c>
      <c r="O340" s="35" t="str">
        <f>IF(D340="","",IF(COUNTIF(离职清单!C:C,D340)&gt;0,"已离职","在职"))</f>
        <v>在职</v>
      </c>
      <c r="P340" s="35" t="str">
        <f>IF(AND(O340="在职",J340="是"),COUNTIF(O$2:O340,"在职"),"")</f>
        <v/>
      </c>
    </row>
    <row r="341" customFormat="1" ht="18" spans="1:16">
      <c r="A341" s="10">
        <f t="shared" si="7"/>
        <v>340</v>
      </c>
      <c r="B341" s="31">
        <v>46179</v>
      </c>
      <c r="C341" s="32" t="s">
        <v>638</v>
      </c>
      <c r="D341" s="120" t="s">
        <v>484</v>
      </c>
      <c r="E341" s="33" t="s">
        <v>42</v>
      </c>
      <c r="F341" s="18" t="s">
        <v>64</v>
      </c>
      <c r="G341" s="18" t="s">
        <v>179</v>
      </c>
      <c r="H341" s="34" t="s">
        <v>86</v>
      </c>
      <c r="I341" s="18" t="s">
        <v>104</v>
      </c>
      <c r="J341" s="31" t="s">
        <v>114</v>
      </c>
      <c r="K341" s="31">
        <v>46179</v>
      </c>
      <c r="L341" s="4"/>
      <c r="M341" s="4"/>
      <c r="N341" s="13" t="s">
        <v>29</v>
      </c>
      <c r="O341" s="35" t="str">
        <f>IF(D341="","",IF(COUNTIF(离职清单!C:C,D341)&gt;0,"已离职","在职"))</f>
        <v>在职</v>
      </c>
      <c r="P341" s="35">
        <f>IF(AND(O341="在职",J341="是"),COUNTIF(O$2:O341,"在职"),"")</f>
        <v>334</v>
      </c>
    </row>
    <row r="342" customFormat="1" ht="18" spans="1:16">
      <c r="A342" s="14">
        <f t="shared" si="7"/>
        <v>341</v>
      </c>
      <c r="B342" s="31">
        <v>46179</v>
      </c>
      <c r="C342" s="32" t="s">
        <v>639</v>
      </c>
      <c r="D342" s="120" t="s">
        <v>486</v>
      </c>
      <c r="E342" s="33" t="s">
        <v>42</v>
      </c>
      <c r="F342" s="18" t="s">
        <v>64</v>
      </c>
      <c r="G342" s="18" t="s">
        <v>179</v>
      </c>
      <c r="H342" s="34" t="s">
        <v>86</v>
      </c>
      <c r="I342" s="18" t="s">
        <v>104</v>
      </c>
      <c r="J342" s="31" t="s">
        <v>114</v>
      </c>
      <c r="K342" s="31">
        <v>46179</v>
      </c>
      <c r="L342" s="4"/>
      <c r="M342" s="4"/>
      <c r="N342" s="13" t="s">
        <v>29</v>
      </c>
      <c r="O342" s="35" t="str">
        <f>IF(D342="","",IF(COUNTIF(离职清单!C:C,D342)&gt;0,"已离职","在职"))</f>
        <v>在职</v>
      </c>
      <c r="P342" s="35">
        <f>IF(AND(O342="在职",J342="是"),COUNTIF(O$2:O342,"在职"),"")</f>
        <v>335</v>
      </c>
    </row>
    <row r="343" customFormat="1" ht="18" spans="1:16">
      <c r="A343" s="10">
        <f t="shared" si="7"/>
        <v>342</v>
      </c>
      <c r="B343" s="31">
        <v>46179</v>
      </c>
      <c r="C343" s="32" t="s">
        <v>640</v>
      </c>
      <c r="D343" s="120" t="s">
        <v>488</v>
      </c>
      <c r="E343" s="33" t="s">
        <v>43</v>
      </c>
      <c r="F343" s="18" t="s">
        <v>64</v>
      </c>
      <c r="G343" s="18" t="s">
        <v>179</v>
      </c>
      <c r="H343" s="34" t="s">
        <v>86</v>
      </c>
      <c r="I343" s="18" t="s">
        <v>104</v>
      </c>
      <c r="J343" s="31" t="s">
        <v>114</v>
      </c>
      <c r="K343" s="31">
        <v>46179</v>
      </c>
      <c r="L343" s="4"/>
      <c r="M343" s="4"/>
      <c r="N343" s="13" t="s">
        <v>29</v>
      </c>
      <c r="O343" s="35" t="str">
        <f>IF(D343="","",IF(COUNTIF(离职清单!C:C,D343)&gt;0,"已离职","在职"))</f>
        <v>在职</v>
      </c>
      <c r="P343" s="35">
        <f>IF(AND(O343="在职",J343="是"),COUNTIF(O$2:O343,"在职"),"")</f>
        <v>336</v>
      </c>
    </row>
    <row r="344" customFormat="1" ht="18" spans="1:16">
      <c r="A344" s="14">
        <f t="shared" si="7"/>
        <v>343</v>
      </c>
      <c r="B344" s="31">
        <v>46179</v>
      </c>
      <c r="C344" s="32" t="s">
        <v>641</v>
      </c>
      <c r="D344" s="120" t="s">
        <v>490</v>
      </c>
      <c r="E344" s="33" t="s">
        <v>43</v>
      </c>
      <c r="F344" s="18" t="s">
        <v>64</v>
      </c>
      <c r="G344" s="18" t="s">
        <v>179</v>
      </c>
      <c r="H344" s="34" t="s">
        <v>86</v>
      </c>
      <c r="I344" s="18" t="s">
        <v>111</v>
      </c>
      <c r="J344" s="31" t="s">
        <v>105</v>
      </c>
      <c r="K344" s="31">
        <v>46179</v>
      </c>
      <c r="L344" s="4"/>
      <c r="M344" s="4"/>
      <c r="N344" s="13" t="s">
        <v>29</v>
      </c>
      <c r="O344" s="35" t="str">
        <f>IF(D344="","",IF(COUNTIF(离职清单!C:C,D344)&gt;0,"已离职","在职"))</f>
        <v>在职</v>
      </c>
      <c r="P344" s="35" t="str">
        <f>IF(AND(O344="在职",J344="是"),COUNTIF(O$2:O344,"在职"),"")</f>
        <v/>
      </c>
    </row>
    <row r="345" customFormat="1" ht="18" spans="1:16">
      <c r="A345" s="10">
        <f t="shared" si="7"/>
        <v>344</v>
      </c>
      <c r="B345" s="31">
        <v>46179</v>
      </c>
      <c r="C345" s="32" t="s">
        <v>642</v>
      </c>
      <c r="D345" s="120" t="s">
        <v>492</v>
      </c>
      <c r="E345" s="33" t="s">
        <v>43</v>
      </c>
      <c r="F345" s="18" t="s">
        <v>64</v>
      </c>
      <c r="G345" s="18" t="s">
        <v>179</v>
      </c>
      <c r="H345" s="34" t="s">
        <v>86</v>
      </c>
      <c r="I345" s="18" t="s">
        <v>104</v>
      </c>
      <c r="J345" s="31" t="s">
        <v>114</v>
      </c>
      <c r="K345" s="31">
        <v>46179</v>
      </c>
      <c r="L345" s="4"/>
      <c r="M345" s="4"/>
      <c r="N345" s="13" t="s">
        <v>29</v>
      </c>
      <c r="O345" s="35" t="str">
        <f>IF(D345="","",IF(COUNTIF(离职清单!C:C,D345)&gt;0,"已离职","在职"))</f>
        <v>在职</v>
      </c>
      <c r="P345" s="35">
        <f>IF(AND(O345="在职",J345="是"),COUNTIF(O$2:O345,"在职"),"")</f>
        <v>338</v>
      </c>
    </row>
    <row r="346" customFormat="1" ht="18" spans="1:16">
      <c r="A346" s="14">
        <f t="shared" si="7"/>
        <v>345</v>
      </c>
      <c r="B346" s="31">
        <v>46179</v>
      </c>
      <c r="C346" s="32" t="s">
        <v>643</v>
      </c>
      <c r="D346" s="120" t="s">
        <v>477</v>
      </c>
      <c r="E346" s="33" t="s">
        <v>42</v>
      </c>
      <c r="F346" s="18" t="s">
        <v>64</v>
      </c>
      <c r="G346" s="18" t="s">
        <v>179</v>
      </c>
      <c r="H346" s="34" t="s">
        <v>86</v>
      </c>
      <c r="I346" s="18" t="s">
        <v>104</v>
      </c>
      <c r="J346" s="31" t="s">
        <v>114</v>
      </c>
      <c r="K346" s="31">
        <v>46179</v>
      </c>
      <c r="L346" s="4"/>
      <c r="M346" s="4"/>
      <c r="N346" s="13" t="s">
        <v>29</v>
      </c>
      <c r="O346" s="35" t="str">
        <f>IF(D346="","",IF(COUNTIF(离职清单!C:C,D346)&gt;0,"已离职","在职"))</f>
        <v>在职</v>
      </c>
      <c r="P346" s="35">
        <f>IF(AND(O346="在职",J346="是"),COUNTIF(O$2:O346,"在职"),"")</f>
        <v>339</v>
      </c>
    </row>
    <row r="347" customFormat="1" ht="18" spans="1:16">
      <c r="A347" s="10">
        <f t="shared" si="7"/>
        <v>346</v>
      </c>
      <c r="B347" s="31">
        <v>46179</v>
      </c>
      <c r="C347" s="32" t="s">
        <v>644</v>
      </c>
      <c r="D347" s="120" t="s">
        <v>477</v>
      </c>
      <c r="E347" s="33" t="s">
        <v>42</v>
      </c>
      <c r="F347" s="18" t="s">
        <v>64</v>
      </c>
      <c r="G347" s="18" t="s">
        <v>179</v>
      </c>
      <c r="H347" s="34" t="s">
        <v>86</v>
      </c>
      <c r="I347" s="18" t="s">
        <v>104</v>
      </c>
      <c r="J347" s="31" t="s">
        <v>114</v>
      </c>
      <c r="K347" s="31">
        <v>46179</v>
      </c>
      <c r="L347" s="4"/>
      <c r="M347" s="4"/>
      <c r="N347" s="13" t="s">
        <v>29</v>
      </c>
      <c r="O347" s="35" t="str">
        <f>IF(D347="","",IF(COUNTIF(离职清单!C:C,D347)&gt;0,"已离职","在职"))</f>
        <v>在职</v>
      </c>
      <c r="P347" s="35">
        <f>IF(AND(O347="在职",J347="是"),COUNTIF(O$2:O347,"在职"),"")</f>
        <v>340</v>
      </c>
    </row>
    <row r="348" customFormat="1" ht="18" spans="1:16">
      <c r="A348" s="14">
        <f t="shared" si="7"/>
        <v>347</v>
      </c>
      <c r="B348" s="31">
        <v>46179</v>
      </c>
      <c r="C348" s="32" t="s">
        <v>645</v>
      </c>
      <c r="D348" s="120" t="s">
        <v>478</v>
      </c>
      <c r="E348" s="33" t="s">
        <v>74</v>
      </c>
      <c r="F348" s="18" t="s">
        <v>190</v>
      </c>
      <c r="G348" s="18" t="s">
        <v>179</v>
      </c>
      <c r="H348" s="34" t="s">
        <v>86</v>
      </c>
      <c r="I348" s="18" t="s">
        <v>104</v>
      </c>
      <c r="J348" s="31" t="s">
        <v>114</v>
      </c>
      <c r="K348" s="31">
        <v>46179</v>
      </c>
      <c r="L348" s="4"/>
      <c r="M348" s="4"/>
      <c r="N348" s="13" t="s">
        <v>29</v>
      </c>
      <c r="O348" s="35" t="str">
        <f>IF(D348="","",IF(COUNTIF(离职清单!C:C,D348)&gt;0,"已离职","在职"))</f>
        <v>在职</v>
      </c>
      <c r="P348" s="35">
        <f>IF(AND(O348="在职",J348="是"),COUNTIF(O$2:O348,"在职"),"")</f>
        <v>341</v>
      </c>
    </row>
    <row r="349" customFormat="1" ht="18" spans="1:16">
      <c r="A349" s="10">
        <f t="shared" si="7"/>
        <v>348</v>
      </c>
      <c r="B349" s="31">
        <v>46179</v>
      </c>
      <c r="C349" s="32" t="s">
        <v>646</v>
      </c>
      <c r="D349" s="120" t="s">
        <v>480</v>
      </c>
      <c r="E349" s="33" t="s">
        <v>74</v>
      </c>
      <c r="F349" s="18" t="s">
        <v>190</v>
      </c>
      <c r="G349" s="18" t="s">
        <v>179</v>
      </c>
      <c r="H349" s="34" t="s">
        <v>86</v>
      </c>
      <c r="I349" s="18" t="s">
        <v>111</v>
      </c>
      <c r="J349" s="31" t="s">
        <v>105</v>
      </c>
      <c r="K349" s="31">
        <v>46179</v>
      </c>
      <c r="L349" s="4"/>
      <c r="M349" s="4"/>
      <c r="N349" s="13" t="s">
        <v>29</v>
      </c>
      <c r="O349" s="35" t="str">
        <f>IF(D349="","",IF(COUNTIF(离职清单!C:C,D349)&gt;0,"已离职","在职"))</f>
        <v>在职</v>
      </c>
      <c r="P349" s="35" t="str">
        <f>IF(AND(O349="在职",J349="是"),COUNTIF(O$2:O349,"在职"),"")</f>
        <v/>
      </c>
    </row>
    <row r="350" customFormat="1" ht="18" spans="1:16">
      <c r="A350" s="14">
        <f t="shared" si="7"/>
        <v>349</v>
      </c>
      <c r="B350" s="31">
        <v>46179</v>
      </c>
      <c r="C350" s="32" t="s">
        <v>647</v>
      </c>
      <c r="D350" s="120" t="s">
        <v>482</v>
      </c>
      <c r="E350" s="33" t="s">
        <v>43</v>
      </c>
      <c r="F350" s="18" t="s">
        <v>64</v>
      </c>
      <c r="G350" s="18" t="s">
        <v>179</v>
      </c>
      <c r="H350" s="34" t="s">
        <v>86</v>
      </c>
      <c r="I350" s="18" t="s">
        <v>111</v>
      </c>
      <c r="J350" s="31" t="s">
        <v>105</v>
      </c>
      <c r="K350" s="31">
        <v>46179</v>
      </c>
      <c r="L350" s="4"/>
      <c r="M350" s="4"/>
      <c r="N350" s="13" t="s">
        <v>29</v>
      </c>
      <c r="O350" s="35" t="str">
        <f>IF(D350="","",IF(COUNTIF(离职清单!C:C,D350)&gt;0,"已离职","在职"))</f>
        <v>在职</v>
      </c>
      <c r="P350" s="35" t="str">
        <f>IF(AND(O350="在职",J350="是"),COUNTIF(O$2:O350,"在职"),"")</f>
        <v/>
      </c>
    </row>
    <row r="351" customFormat="1" ht="18" spans="1:16">
      <c r="A351" s="10">
        <f t="shared" si="7"/>
        <v>350</v>
      </c>
      <c r="B351" s="31">
        <v>46179</v>
      </c>
      <c r="C351" s="32" t="s">
        <v>648</v>
      </c>
      <c r="D351" s="120" t="s">
        <v>484</v>
      </c>
      <c r="E351" s="33" t="s">
        <v>42</v>
      </c>
      <c r="F351" s="18" t="s">
        <v>64</v>
      </c>
      <c r="G351" s="18" t="s">
        <v>179</v>
      </c>
      <c r="H351" s="34" t="s">
        <v>86</v>
      </c>
      <c r="I351" s="18" t="s">
        <v>104</v>
      </c>
      <c r="J351" s="31" t="s">
        <v>105</v>
      </c>
      <c r="K351" s="31">
        <v>46179</v>
      </c>
      <c r="L351" s="4"/>
      <c r="M351" s="4"/>
      <c r="N351" s="13" t="s">
        <v>29</v>
      </c>
      <c r="O351" s="35" t="str">
        <f>IF(D351="","",IF(COUNTIF(离职清单!C:C,D351)&gt;0,"已离职","在职"))</f>
        <v>在职</v>
      </c>
      <c r="P351" s="35" t="str">
        <f>IF(AND(O351="在职",J351="是"),COUNTIF(O$2:O351,"在职"),"")</f>
        <v/>
      </c>
    </row>
    <row r="352" customFormat="1" ht="18" spans="1:16">
      <c r="A352" s="14">
        <f t="shared" si="7"/>
        <v>351</v>
      </c>
      <c r="B352" s="31">
        <v>46179</v>
      </c>
      <c r="C352" s="32" t="s">
        <v>649</v>
      </c>
      <c r="D352" s="120" t="s">
        <v>486</v>
      </c>
      <c r="E352" s="33" t="s">
        <v>74</v>
      </c>
      <c r="F352" s="18" t="s">
        <v>190</v>
      </c>
      <c r="G352" s="18" t="s">
        <v>179</v>
      </c>
      <c r="H352" s="34" t="s">
        <v>86</v>
      </c>
      <c r="I352" s="18" t="s">
        <v>111</v>
      </c>
      <c r="J352" s="31" t="s">
        <v>105</v>
      </c>
      <c r="K352" s="31">
        <v>46179</v>
      </c>
      <c r="L352" s="4"/>
      <c r="M352" s="4"/>
      <c r="N352" s="13" t="s">
        <v>29</v>
      </c>
      <c r="O352" s="35" t="str">
        <f>IF(D352="","",IF(COUNTIF(离职清单!C:C,D352)&gt;0,"已离职","在职"))</f>
        <v>在职</v>
      </c>
      <c r="P352" s="35" t="str">
        <f>IF(AND(O352="在职",J352="是"),COUNTIF(O$2:O352,"在职"),"")</f>
        <v/>
      </c>
    </row>
    <row r="353" customFormat="1" ht="18" spans="1:16">
      <c r="A353" s="10">
        <f t="shared" si="7"/>
        <v>352</v>
      </c>
      <c r="B353" s="31">
        <v>46179</v>
      </c>
      <c r="C353" s="32" t="s">
        <v>650</v>
      </c>
      <c r="D353" s="120" t="s">
        <v>488</v>
      </c>
      <c r="E353" s="33" t="s">
        <v>43</v>
      </c>
      <c r="F353" s="18" t="s">
        <v>64</v>
      </c>
      <c r="G353" s="18" t="s">
        <v>179</v>
      </c>
      <c r="H353" s="34" t="s">
        <v>86</v>
      </c>
      <c r="I353" s="18" t="s">
        <v>111</v>
      </c>
      <c r="J353" s="31" t="s">
        <v>105</v>
      </c>
      <c r="K353" s="31">
        <v>46179</v>
      </c>
      <c r="L353" s="4"/>
      <c r="M353" s="4"/>
      <c r="N353" s="13" t="s">
        <v>29</v>
      </c>
      <c r="O353" s="35" t="str">
        <f>IF(D353="","",IF(COUNTIF(离职清单!C:C,D353)&gt;0,"已离职","在职"))</f>
        <v>在职</v>
      </c>
      <c r="P353" s="35" t="str">
        <f>IF(AND(O353="在职",J353="是"),COUNTIF(O$2:O353,"在职"),"")</f>
        <v/>
      </c>
    </row>
    <row r="354" customFormat="1" ht="18" spans="1:16">
      <c r="A354" s="14">
        <f t="shared" si="7"/>
        <v>353</v>
      </c>
      <c r="B354" s="31">
        <v>46179</v>
      </c>
      <c r="C354" s="32" t="s">
        <v>651</v>
      </c>
      <c r="D354" s="120" t="s">
        <v>490</v>
      </c>
      <c r="E354" s="33" t="s">
        <v>43</v>
      </c>
      <c r="F354" s="18" t="s">
        <v>63</v>
      </c>
      <c r="G354" s="18" t="s">
        <v>246</v>
      </c>
      <c r="H354" s="34" t="s">
        <v>86</v>
      </c>
      <c r="I354" s="18" t="s">
        <v>104</v>
      </c>
      <c r="J354" s="31" t="s">
        <v>114</v>
      </c>
      <c r="K354" s="31">
        <v>46179</v>
      </c>
      <c r="L354" s="4"/>
      <c r="M354" s="4"/>
      <c r="N354" s="13" t="s">
        <v>29</v>
      </c>
      <c r="O354" s="35" t="str">
        <f>IF(D354="","",IF(COUNTIF(离职清单!C:C,D354)&gt;0,"已离职","在职"))</f>
        <v>在职</v>
      </c>
      <c r="P354" s="35">
        <f>IF(AND(O354="在职",J354="是"),COUNTIF(O$2:O354,"在职"),"")</f>
        <v>347</v>
      </c>
    </row>
    <row r="355" customFormat="1" ht="18" spans="1:16">
      <c r="A355" s="10">
        <f t="shared" si="7"/>
        <v>354</v>
      </c>
      <c r="B355" s="31">
        <v>46179</v>
      </c>
      <c r="C355" s="32" t="s">
        <v>652</v>
      </c>
      <c r="D355" s="120" t="s">
        <v>492</v>
      </c>
      <c r="E355" s="33" t="s">
        <v>43</v>
      </c>
      <c r="F355" s="18" t="s">
        <v>63</v>
      </c>
      <c r="G355" s="18" t="s">
        <v>246</v>
      </c>
      <c r="H355" s="34" t="s">
        <v>86</v>
      </c>
      <c r="I355" s="18" t="s">
        <v>104</v>
      </c>
      <c r="J355" s="31" t="s">
        <v>114</v>
      </c>
      <c r="K355" s="31">
        <v>46179</v>
      </c>
      <c r="L355" s="4"/>
      <c r="M355" s="4"/>
      <c r="N355" s="13" t="s">
        <v>29</v>
      </c>
      <c r="O355" s="35" t="str">
        <f>IF(D355="","",IF(COUNTIF(离职清单!C:C,D355)&gt;0,"已离职","在职"))</f>
        <v>在职</v>
      </c>
      <c r="P355" s="35">
        <f>IF(AND(O355="在职",J355="是"),COUNTIF(O$2:O355,"在职"),"")</f>
        <v>348</v>
      </c>
    </row>
    <row r="356" customFormat="1" ht="18" spans="1:16">
      <c r="A356" s="14">
        <f t="shared" si="7"/>
        <v>355</v>
      </c>
      <c r="B356" s="31">
        <v>46179</v>
      </c>
      <c r="C356" s="32" t="s">
        <v>653</v>
      </c>
      <c r="D356" s="120" t="s">
        <v>477</v>
      </c>
      <c r="E356" s="33" t="s">
        <v>43</v>
      </c>
      <c r="F356" s="18" t="s">
        <v>63</v>
      </c>
      <c r="G356" s="18" t="s">
        <v>246</v>
      </c>
      <c r="H356" s="34" t="s">
        <v>86</v>
      </c>
      <c r="I356" s="18" t="s">
        <v>104</v>
      </c>
      <c r="J356" s="31" t="s">
        <v>114</v>
      </c>
      <c r="K356" s="31">
        <v>46179</v>
      </c>
      <c r="L356" s="4"/>
      <c r="M356" s="4"/>
      <c r="N356" s="13" t="s">
        <v>29</v>
      </c>
      <c r="O356" s="35" t="str">
        <f>IF(D356="","",IF(COUNTIF(离职清单!C:C,D356)&gt;0,"已离职","在职"))</f>
        <v>在职</v>
      </c>
      <c r="P356" s="35">
        <f>IF(AND(O356="在职",J356="是"),COUNTIF(O$2:O356,"在职"),"")</f>
        <v>349</v>
      </c>
    </row>
    <row r="357" customFormat="1" ht="18" spans="1:16">
      <c r="A357" s="10">
        <f t="shared" si="7"/>
        <v>356</v>
      </c>
      <c r="B357" s="31">
        <v>46179</v>
      </c>
      <c r="C357" s="32" t="s">
        <v>654</v>
      </c>
      <c r="D357" s="120" t="s">
        <v>478</v>
      </c>
      <c r="E357" s="33" t="s">
        <v>43</v>
      </c>
      <c r="F357" s="18" t="s">
        <v>64</v>
      </c>
      <c r="G357" s="18" t="s">
        <v>117</v>
      </c>
      <c r="H357" s="34" t="s">
        <v>86</v>
      </c>
      <c r="I357" s="18" t="s">
        <v>111</v>
      </c>
      <c r="J357" s="31" t="s">
        <v>105</v>
      </c>
      <c r="K357" s="31">
        <v>46179</v>
      </c>
      <c r="L357" s="4"/>
      <c r="M357" s="4"/>
      <c r="N357" s="13" t="s">
        <v>29</v>
      </c>
      <c r="O357" s="35" t="str">
        <f>IF(D357="","",IF(COUNTIF(离职清单!C:C,D357)&gt;0,"已离职","在职"))</f>
        <v>在职</v>
      </c>
      <c r="P357" s="35" t="str">
        <f>IF(AND(O357="在职",J357="是"),COUNTIF(O$2:O357,"在职"),"")</f>
        <v/>
      </c>
    </row>
    <row r="358" customFormat="1" ht="18" spans="1:16">
      <c r="A358" s="14">
        <f t="shared" si="7"/>
        <v>357</v>
      </c>
      <c r="B358" s="31">
        <v>46179</v>
      </c>
      <c r="C358" s="32" t="s">
        <v>655</v>
      </c>
      <c r="D358" s="120" t="s">
        <v>480</v>
      </c>
      <c r="E358" s="33" t="s">
        <v>74</v>
      </c>
      <c r="F358" s="18" t="s">
        <v>190</v>
      </c>
      <c r="G358" s="18" t="s">
        <v>117</v>
      </c>
      <c r="H358" s="34" t="s">
        <v>86</v>
      </c>
      <c r="I358" s="18" t="s">
        <v>111</v>
      </c>
      <c r="J358" s="31" t="s">
        <v>105</v>
      </c>
      <c r="K358" s="31">
        <v>46179</v>
      </c>
      <c r="L358" s="4"/>
      <c r="M358" s="4"/>
      <c r="N358" s="13" t="s">
        <v>29</v>
      </c>
      <c r="O358" s="35" t="str">
        <f>IF(D358="","",IF(COUNTIF(离职清单!C:C,D358)&gt;0,"已离职","在职"))</f>
        <v>在职</v>
      </c>
      <c r="P358" s="35" t="str">
        <f>IF(AND(O358="在职",J358="是"),COUNTIF(O$2:O358,"在职"),"")</f>
        <v/>
      </c>
    </row>
    <row r="359" customFormat="1" ht="18" spans="1:16">
      <c r="A359" s="10">
        <f t="shared" si="7"/>
        <v>358</v>
      </c>
      <c r="B359" s="31">
        <v>46179</v>
      </c>
      <c r="C359" s="32" t="s">
        <v>656</v>
      </c>
      <c r="D359" s="120" t="s">
        <v>482</v>
      </c>
      <c r="E359" s="33" t="s">
        <v>43</v>
      </c>
      <c r="F359" s="18" t="s">
        <v>64</v>
      </c>
      <c r="G359" s="18" t="s">
        <v>117</v>
      </c>
      <c r="H359" s="34" t="s">
        <v>86</v>
      </c>
      <c r="I359" s="18" t="s">
        <v>111</v>
      </c>
      <c r="J359" s="31" t="s">
        <v>105</v>
      </c>
      <c r="K359" s="31">
        <v>46179</v>
      </c>
      <c r="L359" s="4"/>
      <c r="M359" s="4"/>
      <c r="N359" s="13" t="s">
        <v>29</v>
      </c>
      <c r="O359" s="35" t="str">
        <f>IF(D359="","",IF(COUNTIF(离职清单!C:C,D359)&gt;0,"已离职","在职"))</f>
        <v>在职</v>
      </c>
      <c r="P359" s="35" t="str">
        <f>IF(AND(O359="在职",J359="是"),COUNTIF(O$2:O359,"在职"),"")</f>
        <v/>
      </c>
    </row>
    <row r="360" customFormat="1" ht="18" spans="1:16">
      <c r="A360" s="14">
        <f t="shared" si="7"/>
        <v>359</v>
      </c>
      <c r="B360" s="31">
        <v>46179</v>
      </c>
      <c r="C360" s="32" t="s">
        <v>657</v>
      </c>
      <c r="D360" s="120" t="s">
        <v>484</v>
      </c>
      <c r="E360" s="33" t="s">
        <v>43</v>
      </c>
      <c r="F360" s="18" t="s">
        <v>64</v>
      </c>
      <c r="G360" s="18" t="s">
        <v>179</v>
      </c>
      <c r="H360" s="34" t="s">
        <v>86</v>
      </c>
      <c r="I360" s="18" t="s">
        <v>111</v>
      </c>
      <c r="J360" s="31" t="s">
        <v>105</v>
      </c>
      <c r="K360" s="31">
        <v>46179</v>
      </c>
      <c r="L360" s="4"/>
      <c r="M360" s="4"/>
      <c r="N360" s="13" t="s">
        <v>29</v>
      </c>
      <c r="O360" s="35" t="str">
        <f>IF(D360="","",IF(COUNTIF(离职清单!C:C,D360)&gt;0,"已离职","在职"))</f>
        <v>在职</v>
      </c>
      <c r="P360" s="35" t="str">
        <f>IF(AND(O360="在职",J360="是"),COUNTIF(O$2:O360,"在职"),"")</f>
        <v/>
      </c>
    </row>
    <row r="361" customFormat="1" ht="18" spans="1:16">
      <c r="A361" s="10">
        <f t="shared" si="7"/>
        <v>360</v>
      </c>
      <c r="B361" s="31">
        <v>46179</v>
      </c>
      <c r="C361" s="32" t="s">
        <v>593</v>
      </c>
      <c r="D361" s="120" t="s">
        <v>486</v>
      </c>
      <c r="E361" s="33" t="s">
        <v>43</v>
      </c>
      <c r="F361" s="18" t="s">
        <v>64</v>
      </c>
      <c r="G361" s="18" t="s">
        <v>578</v>
      </c>
      <c r="H361" s="34" t="s">
        <v>86</v>
      </c>
      <c r="I361" s="18" t="s">
        <v>104</v>
      </c>
      <c r="J361" s="31" t="s">
        <v>114</v>
      </c>
      <c r="K361" s="31">
        <v>46179</v>
      </c>
      <c r="L361" s="4"/>
      <c r="M361" s="4"/>
      <c r="N361" s="13" t="s">
        <v>29</v>
      </c>
      <c r="O361" s="35" t="str">
        <f>IF(D361="","",IF(COUNTIF(离职清单!C:C,D361)&gt;0,"已离职","在职"))</f>
        <v>在职</v>
      </c>
      <c r="P361" s="35">
        <f>IF(AND(O361="在职",J361="是"),COUNTIF(O$2:O361,"在职"),"")</f>
        <v>354</v>
      </c>
    </row>
    <row r="362" customFormat="1" ht="18" spans="1:16">
      <c r="A362" s="14">
        <f t="shared" si="7"/>
        <v>361</v>
      </c>
      <c r="B362" s="31">
        <v>46179</v>
      </c>
      <c r="C362" s="32" t="s">
        <v>586</v>
      </c>
      <c r="D362" s="120" t="s">
        <v>488</v>
      </c>
      <c r="E362" s="33" t="s">
        <v>43</v>
      </c>
      <c r="F362" s="18" t="s">
        <v>64</v>
      </c>
      <c r="G362" s="18" t="s">
        <v>179</v>
      </c>
      <c r="H362" s="34" t="s">
        <v>86</v>
      </c>
      <c r="I362" s="18" t="s">
        <v>111</v>
      </c>
      <c r="J362" s="31" t="s">
        <v>105</v>
      </c>
      <c r="K362" s="31">
        <v>46179</v>
      </c>
      <c r="L362" s="4"/>
      <c r="M362" s="4"/>
      <c r="N362" s="13" t="s">
        <v>29</v>
      </c>
      <c r="O362" s="35" t="str">
        <f>IF(D362="","",IF(COUNTIF(离职清单!C:C,D362)&gt;0,"已离职","在职"))</f>
        <v>在职</v>
      </c>
      <c r="P362" s="35" t="str">
        <f>IF(AND(O362="在职",J362="是"),COUNTIF(O$2:O362,"在职"),"")</f>
        <v/>
      </c>
    </row>
    <row r="363" customFormat="1" ht="18" spans="1:16">
      <c r="A363" s="10">
        <f t="shared" si="7"/>
        <v>362</v>
      </c>
      <c r="B363" s="31">
        <v>46179</v>
      </c>
      <c r="C363" s="32" t="s">
        <v>579</v>
      </c>
      <c r="D363" s="120" t="s">
        <v>490</v>
      </c>
      <c r="E363" s="33" t="s">
        <v>43</v>
      </c>
      <c r="F363" s="18" t="s">
        <v>64</v>
      </c>
      <c r="G363" s="18" t="s">
        <v>179</v>
      </c>
      <c r="H363" s="34" t="s">
        <v>86</v>
      </c>
      <c r="I363" s="18" t="s">
        <v>111</v>
      </c>
      <c r="J363" s="31" t="s">
        <v>105</v>
      </c>
      <c r="K363" s="31">
        <v>46179</v>
      </c>
      <c r="L363" s="4"/>
      <c r="M363" s="4"/>
      <c r="N363" s="13" t="s">
        <v>29</v>
      </c>
      <c r="O363" s="35" t="str">
        <f>IF(D363="","",IF(COUNTIF(离职清单!C:C,D363)&gt;0,"已离职","在职"))</f>
        <v>在职</v>
      </c>
      <c r="P363" s="35" t="str">
        <f>IF(AND(O363="在职",J363="是"),COUNTIF(O$2:O363,"在职"),"")</f>
        <v/>
      </c>
    </row>
    <row r="364" customFormat="1" ht="18" spans="1:16">
      <c r="A364" s="14">
        <f t="shared" si="7"/>
        <v>363</v>
      </c>
      <c r="B364" s="31">
        <v>46179</v>
      </c>
      <c r="C364" s="32" t="s">
        <v>589</v>
      </c>
      <c r="D364" s="120" t="s">
        <v>492</v>
      </c>
      <c r="E364" s="33" t="s">
        <v>43</v>
      </c>
      <c r="F364" s="18" t="s">
        <v>64</v>
      </c>
      <c r="G364" s="18" t="s">
        <v>179</v>
      </c>
      <c r="H364" s="34" t="s">
        <v>86</v>
      </c>
      <c r="I364" s="18" t="s">
        <v>104</v>
      </c>
      <c r="J364" s="31" t="s">
        <v>105</v>
      </c>
      <c r="K364" s="31">
        <v>46179</v>
      </c>
      <c r="L364" s="4"/>
      <c r="M364" s="4"/>
      <c r="N364" s="13" t="s">
        <v>29</v>
      </c>
      <c r="O364" s="35" t="str">
        <f>IF(D364="","",IF(COUNTIF(离职清单!C:C,D364)&gt;0,"已离职","在职"))</f>
        <v>在职</v>
      </c>
      <c r="P364" s="35" t="str">
        <f>IF(AND(O364="在职",J364="是"),COUNTIF(O$2:O364,"在职"),"")</f>
        <v/>
      </c>
    </row>
    <row r="365" customFormat="1" ht="18" spans="1:16">
      <c r="A365" s="10">
        <f t="shared" si="7"/>
        <v>364</v>
      </c>
      <c r="B365" s="31">
        <v>46179</v>
      </c>
      <c r="C365" s="32" t="s">
        <v>658</v>
      </c>
      <c r="D365" s="120" t="s">
        <v>477</v>
      </c>
      <c r="E365" s="33" t="s">
        <v>43</v>
      </c>
      <c r="F365" s="18" t="s">
        <v>64</v>
      </c>
      <c r="G365" s="18" t="s">
        <v>179</v>
      </c>
      <c r="H365" s="34" t="s">
        <v>86</v>
      </c>
      <c r="I365" s="18" t="s">
        <v>111</v>
      </c>
      <c r="J365" s="31" t="s">
        <v>105</v>
      </c>
      <c r="K365" s="31">
        <v>46179</v>
      </c>
      <c r="L365" s="4"/>
      <c r="M365" s="4"/>
      <c r="N365" s="13" t="s">
        <v>29</v>
      </c>
      <c r="O365" s="35" t="str">
        <f>IF(D365="","",IF(COUNTIF(离职清单!C:C,D365)&gt;0,"已离职","在职"))</f>
        <v>在职</v>
      </c>
      <c r="P365" s="35" t="str">
        <f>IF(AND(O365="在职",J365="是"),COUNTIF(O$2:O365,"在职"),"")</f>
        <v/>
      </c>
    </row>
    <row r="366" customFormat="1" ht="18" spans="1:16">
      <c r="A366" s="14">
        <f t="shared" si="7"/>
        <v>365</v>
      </c>
      <c r="B366" s="31">
        <v>46179</v>
      </c>
      <c r="C366" s="32" t="s">
        <v>659</v>
      </c>
      <c r="D366" s="120" t="s">
        <v>478</v>
      </c>
      <c r="E366" s="33" t="s">
        <v>43</v>
      </c>
      <c r="F366" s="18" t="s">
        <v>64</v>
      </c>
      <c r="G366" s="18" t="s">
        <v>179</v>
      </c>
      <c r="H366" s="34" t="s">
        <v>86</v>
      </c>
      <c r="I366" s="18" t="s">
        <v>104</v>
      </c>
      <c r="J366" s="31" t="s">
        <v>105</v>
      </c>
      <c r="K366" s="31">
        <v>46179</v>
      </c>
      <c r="L366" s="4"/>
      <c r="M366" s="4"/>
      <c r="N366" s="13" t="s">
        <v>29</v>
      </c>
      <c r="O366" s="35" t="str">
        <f>IF(D366="","",IF(COUNTIF(离职清单!C:C,D366)&gt;0,"已离职","在职"))</f>
        <v>在职</v>
      </c>
      <c r="P366" s="35" t="str">
        <f>IF(AND(O366="在职",J366="是"),COUNTIF(O$2:O366,"在职"),"")</f>
        <v/>
      </c>
    </row>
    <row r="367" customFormat="1" ht="18" spans="1:16">
      <c r="A367" s="10">
        <f t="shared" si="7"/>
        <v>366</v>
      </c>
      <c r="B367" s="31">
        <v>46179</v>
      </c>
      <c r="C367" s="32" t="s">
        <v>660</v>
      </c>
      <c r="D367" s="120" t="s">
        <v>480</v>
      </c>
      <c r="E367" s="33" t="s">
        <v>43</v>
      </c>
      <c r="F367" s="18" t="s">
        <v>64</v>
      </c>
      <c r="G367" s="18" t="s">
        <v>179</v>
      </c>
      <c r="H367" s="34" t="s">
        <v>86</v>
      </c>
      <c r="I367" s="18" t="s">
        <v>104</v>
      </c>
      <c r="J367" s="31" t="s">
        <v>105</v>
      </c>
      <c r="K367" s="31">
        <v>46179</v>
      </c>
      <c r="L367" s="4"/>
      <c r="M367" s="4"/>
      <c r="N367" s="13" t="s">
        <v>29</v>
      </c>
      <c r="O367" s="35" t="str">
        <f>IF(D367="","",IF(COUNTIF(离职清单!C:C,D367)&gt;0,"已离职","在职"))</f>
        <v>在职</v>
      </c>
      <c r="P367" s="35" t="str">
        <f>IF(AND(O367="在职",J367="是"),COUNTIF(O$2:O367,"在职"),"")</f>
        <v/>
      </c>
    </row>
    <row r="368" customFormat="1" ht="18" spans="1:16">
      <c r="A368" s="14">
        <f t="shared" si="7"/>
        <v>367</v>
      </c>
      <c r="B368" s="31">
        <v>46179</v>
      </c>
      <c r="C368" s="32" t="s">
        <v>661</v>
      </c>
      <c r="D368" s="120" t="s">
        <v>482</v>
      </c>
      <c r="E368" s="33" t="s">
        <v>74</v>
      </c>
      <c r="F368" s="18" t="s">
        <v>190</v>
      </c>
      <c r="G368" s="18" t="s">
        <v>179</v>
      </c>
      <c r="H368" s="34" t="s">
        <v>86</v>
      </c>
      <c r="I368" s="18" t="s">
        <v>104</v>
      </c>
      <c r="J368" s="31" t="s">
        <v>114</v>
      </c>
      <c r="K368" s="31">
        <v>46179</v>
      </c>
      <c r="L368" s="4"/>
      <c r="M368" s="4"/>
      <c r="N368" s="13" t="s">
        <v>29</v>
      </c>
      <c r="O368" s="35" t="str">
        <f>IF(D368="","",IF(COUNTIF(离职清单!C:C,D368)&gt;0,"已离职","在职"))</f>
        <v>在职</v>
      </c>
      <c r="P368" s="35">
        <f>IF(AND(O368="在职",J368="是"),COUNTIF(O$2:O368,"在职"),"")</f>
        <v>361</v>
      </c>
    </row>
    <row r="369" customFormat="1" ht="18" spans="1:16">
      <c r="A369" s="10">
        <f t="shared" si="7"/>
        <v>368</v>
      </c>
      <c r="B369" s="31">
        <v>46179</v>
      </c>
      <c r="C369" s="32" t="s">
        <v>662</v>
      </c>
      <c r="D369" s="120" t="s">
        <v>484</v>
      </c>
      <c r="E369" s="33" t="s">
        <v>74</v>
      </c>
      <c r="F369" s="18" t="s">
        <v>64</v>
      </c>
      <c r="G369" s="18" t="s">
        <v>179</v>
      </c>
      <c r="H369" s="34" t="s">
        <v>86</v>
      </c>
      <c r="I369" s="18" t="s">
        <v>104</v>
      </c>
      <c r="J369" s="31" t="s">
        <v>114</v>
      </c>
      <c r="K369" s="31">
        <v>46179</v>
      </c>
      <c r="L369" s="4"/>
      <c r="M369" s="4"/>
      <c r="N369" s="13" t="s">
        <v>29</v>
      </c>
      <c r="O369" s="35" t="str">
        <f>IF(D369="","",IF(COUNTIF(离职清单!C:C,D369)&gt;0,"已离职","在职"))</f>
        <v>在职</v>
      </c>
      <c r="P369" s="35">
        <f>IF(AND(O369="在职",J369="是"),COUNTIF(O$2:O369,"在职"),"")</f>
        <v>362</v>
      </c>
    </row>
    <row r="370" customFormat="1" ht="18" spans="1:16">
      <c r="A370" s="14">
        <f t="shared" si="7"/>
        <v>369</v>
      </c>
      <c r="B370" s="31">
        <v>46179</v>
      </c>
      <c r="C370" s="32" t="s">
        <v>663</v>
      </c>
      <c r="D370" s="120" t="s">
        <v>486</v>
      </c>
      <c r="E370" s="33" t="s">
        <v>74</v>
      </c>
      <c r="F370" s="18" t="s">
        <v>64</v>
      </c>
      <c r="G370" s="18" t="s">
        <v>179</v>
      </c>
      <c r="H370" s="34" t="s">
        <v>86</v>
      </c>
      <c r="I370" s="18" t="s">
        <v>104</v>
      </c>
      <c r="J370" s="31" t="s">
        <v>114</v>
      </c>
      <c r="K370" s="31">
        <v>46179</v>
      </c>
      <c r="L370" s="4"/>
      <c r="M370" s="4"/>
      <c r="N370" s="13" t="s">
        <v>29</v>
      </c>
      <c r="O370" s="35" t="str">
        <f>IF(D370="","",IF(COUNTIF(离职清单!C:C,D370)&gt;0,"已离职","在职"))</f>
        <v>在职</v>
      </c>
      <c r="P370" s="35">
        <f>IF(AND(O370="在职",J370="是"),COUNTIF(O$2:O370,"在职"),"")</f>
        <v>363</v>
      </c>
    </row>
    <row r="371" customFormat="1" ht="18" spans="1:16">
      <c r="A371" s="10">
        <f t="shared" si="7"/>
        <v>370</v>
      </c>
      <c r="B371" s="31">
        <v>46179</v>
      </c>
      <c r="C371" s="32" t="s">
        <v>664</v>
      </c>
      <c r="D371" s="120" t="s">
        <v>488</v>
      </c>
      <c r="E371" s="33" t="s">
        <v>74</v>
      </c>
      <c r="F371" s="18" t="s">
        <v>64</v>
      </c>
      <c r="G371" s="18" t="s">
        <v>179</v>
      </c>
      <c r="H371" s="34" t="s">
        <v>86</v>
      </c>
      <c r="I371" s="18" t="s">
        <v>104</v>
      </c>
      <c r="J371" s="31" t="s">
        <v>105</v>
      </c>
      <c r="K371" s="31">
        <v>46179</v>
      </c>
      <c r="L371" s="4"/>
      <c r="M371" s="4"/>
      <c r="N371" s="13" t="s">
        <v>29</v>
      </c>
      <c r="O371" s="35" t="str">
        <f>IF(D371="","",IF(COUNTIF(离职清单!C:C,D371)&gt;0,"已离职","在职"))</f>
        <v>在职</v>
      </c>
      <c r="P371" s="35" t="str">
        <f>IF(AND(O371="在职",J371="是"),COUNTIF(O$2:O371,"在职"),"")</f>
        <v/>
      </c>
    </row>
    <row r="372" customFormat="1" ht="18" spans="1:16">
      <c r="A372" s="14">
        <f t="shared" si="7"/>
        <v>371</v>
      </c>
      <c r="B372" s="31">
        <v>46179</v>
      </c>
      <c r="C372" s="32" t="s">
        <v>665</v>
      </c>
      <c r="D372" s="120" t="s">
        <v>490</v>
      </c>
      <c r="E372" s="33" t="s">
        <v>43</v>
      </c>
      <c r="F372" s="18" t="s">
        <v>62</v>
      </c>
      <c r="G372" s="18" t="s">
        <v>233</v>
      </c>
      <c r="H372" s="34" t="s">
        <v>86</v>
      </c>
      <c r="I372" s="18" t="s">
        <v>104</v>
      </c>
      <c r="J372" s="31" t="s">
        <v>114</v>
      </c>
      <c r="K372" s="31">
        <v>46179</v>
      </c>
      <c r="L372" s="4"/>
      <c r="M372" s="4"/>
      <c r="N372" s="13" t="s">
        <v>29</v>
      </c>
      <c r="O372" s="35" t="str">
        <f>IF(D372="","",IF(COUNTIF(离职清单!C:C,D372)&gt;0,"已离职","在职"))</f>
        <v>在职</v>
      </c>
      <c r="P372" s="35">
        <f>IF(AND(O372="在职",J372="是"),COUNTIF(O$2:O372,"在职"),"")</f>
        <v>365</v>
      </c>
    </row>
    <row r="373" customFormat="1" ht="18" spans="1:16">
      <c r="A373" s="10">
        <f t="shared" si="7"/>
        <v>372</v>
      </c>
      <c r="B373" s="31">
        <v>46179</v>
      </c>
      <c r="C373" s="32" t="s">
        <v>666</v>
      </c>
      <c r="D373" s="120" t="s">
        <v>492</v>
      </c>
      <c r="E373" s="33" t="s">
        <v>43</v>
      </c>
      <c r="F373" s="18" t="s">
        <v>64</v>
      </c>
      <c r="G373" s="18" t="s">
        <v>132</v>
      </c>
      <c r="H373" s="34" t="s">
        <v>86</v>
      </c>
      <c r="I373" s="18" t="s">
        <v>111</v>
      </c>
      <c r="J373" s="31" t="s">
        <v>105</v>
      </c>
      <c r="K373" s="31">
        <v>46179</v>
      </c>
      <c r="L373" s="4"/>
      <c r="M373" s="4"/>
      <c r="N373" s="13" t="s">
        <v>29</v>
      </c>
      <c r="O373" s="35" t="str">
        <f>IF(D373="","",IF(COUNTIF(离职清单!C:C,D373)&gt;0,"已离职","在职"))</f>
        <v>在职</v>
      </c>
      <c r="P373" s="35" t="str">
        <f>IF(AND(O373="在职",J373="是"),COUNTIF(O$2:O373,"在职"),"")</f>
        <v/>
      </c>
    </row>
    <row r="374" customFormat="1" ht="18" spans="1:16">
      <c r="A374" s="14">
        <f t="shared" si="7"/>
        <v>373</v>
      </c>
      <c r="B374" s="31">
        <v>46179</v>
      </c>
      <c r="C374" s="32" t="s">
        <v>667</v>
      </c>
      <c r="D374" s="120" t="s">
        <v>477</v>
      </c>
      <c r="E374" s="33" t="s">
        <v>42</v>
      </c>
      <c r="F374" s="18" t="s">
        <v>64</v>
      </c>
      <c r="G374" s="18" t="s">
        <v>148</v>
      </c>
      <c r="H374" s="34" t="s">
        <v>86</v>
      </c>
      <c r="I374" s="18" t="s">
        <v>104</v>
      </c>
      <c r="J374" s="31" t="s">
        <v>114</v>
      </c>
      <c r="K374" s="31">
        <v>46179</v>
      </c>
      <c r="L374" s="4"/>
      <c r="M374" s="4"/>
      <c r="N374" s="13" t="s">
        <v>29</v>
      </c>
      <c r="O374" s="35" t="str">
        <f>IF(D374="","",IF(COUNTIF(离职清单!C:C,D374)&gt;0,"已离职","在职"))</f>
        <v>在职</v>
      </c>
      <c r="P374" s="35">
        <f>IF(AND(O374="在职",J374="是"),COUNTIF(O$2:O374,"在职"),"")</f>
        <v>367</v>
      </c>
    </row>
    <row r="375" customFormat="1" ht="18" spans="1:16">
      <c r="A375" s="10">
        <f t="shared" si="7"/>
        <v>374</v>
      </c>
      <c r="B375" s="31">
        <v>46179</v>
      </c>
      <c r="C375" s="32" t="s">
        <v>668</v>
      </c>
      <c r="D375" s="120" t="s">
        <v>478</v>
      </c>
      <c r="E375" s="33" t="s">
        <v>43</v>
      </c>
      <c r="F375" s="18" t="s">
        <v>64</v>
      </c>
      <c r="G375" s="18" t="s">
        <v>148</v>
      </c>
      <c r="H375" s="34" t="s">
        <v>86</v>
      </c>
      <c r="I375" s="18" t="s">
        <v>104</v>
      </c>
      <c r="J375" s="31" t="s">
        <v>114</v>
      </c>
      <c r="K375" s="31">
        <v>46179</v>
      </c>
      <c r="L375" s="4"/>
      <c r="M375" s="4"/>
      <c r="N375" s="13" t="s">
        <v>29</v>
      </c>
      <c r="O375" s="35" t="str">
        <f>IF(D375="","",IF(COUNTIF(离职清单!C:C,D375)&gt;0,"已离职","在职"))</f>
        <v>在职</v>
      </c>
      <c r="P375" s="35">
        <f>IF(AND(O375="在职",J375="是"),COUNTIF(O$2:O375,"在职"),"")</f>
        <v>368</v>
      </c>
    </row>
    <row r="376" customFormat="1" ht="18" spans="1:16">
      <c r="A376" s="14">
        <f t="shared" si="7"/>
        <v>375</v>
      </c>
      <c r="B376" s="31">
        <v>46179</v>
      </c>
      <c r="C376" s="32" t="s">
        <v>669</v>
      </c>
      <c r="D376" s="120" t="s">
        <v>480</v>
      </c>
      <c r="E376" s="33" t="s">
        <v>43</v>
      </c>
      <c r="F376" s="18" t="s">
        <v>64</v>
      </c>
      <c r="G376" s="18" t="s">
        <v>148</v>
      </c>
      <c r="H376" s="34" t="s">
        <v>86</v>
      </c>
      <c r="I376" s="18" t="s">
        <v>104</v>
      </c>
      <c r="J376" s="31" t="s">
        <v>114</v>
      </c>
      <c r="K376" s="31">
        <v>46179</v>
      </c>
      <c r="L376" s="4"/>
      <c r="M376" s="4"/>
      <c r="N376" s="13" t="s">
        <v>29</v>
      </c>
      <c r="O376" s="35" t="str">
        <f>IF(D376="","",IF(COUNTIF(离职清单!C:C,D376)&gt;0,"已离职","在职"))</f>
        <v>在职</v>
      </c>
      <c r="P376" s="35">
        <f>IF(AND(O376="在职",J376="是"),COUNTIF(O$2:O376,"在职"),"")</f>
        <v>369</v>
      </c>
    </row>
    <row r="377" customFormat="1" ht="18" spans="1:16">
      <c r="A377" s="10">
        <f t="shared" si="7"/>
        <v>376</v>
      </c>
      <c r="B377" s="31">
        <v>46179</v>
      </c>
      <c r="C377" s="32" t="s">
        <v>149</v>
      </c>
      <c r="D377" s="120" t="s">
        <v>482</v>
      </c>
      <c r="E377" s="33" t="s">
        <v>42</v>
      </c>
      <c r="F377" s="18" t="s">
        <v>64</v>
      </c>
      <c r="G377" s="18" t="s">
        <v>148</v>
      </c>
      <c r="H377" s="34" t="s">
        <v>86</v>
      </c>
      <c r="I377" s="18" t="s">
        <v>104</v>
      </c>
      <c r="J377" s="31" t="s">
        <v>114</v>
      </c>
      <c r="K377" s="31">
        <v>46179</v>
      </c>
      <c r="L377" s="4"/>
      <c r="M377" s="4"/>
      <c r="N377" s="13" t="s">
        <v>29</v>
      </c>
      <c r="O377" s="35" t="str">
        <f>IF(D377="","",IF(COUNTIF(离职清单!C:C,D377)&gt;0,"已离职","在职"))</f>
        <v>在职</v>
      </c>
      <c r="P377" s="35">
        <f>IF(AND(O377="在职",J377="是"),COUNTIF(O$2:O377,"在职"),"")</f>
        <v>370</v>
      </c>
    </row>
    <row r="378" customFormat="1" ht="18" spans="1:16">
      <c r="A378" s="14">
        <f t="shared" si="7"/>
        <v>377</v>
      </c>
      <c r="B378" s="31">
        <v>46179</v>
      </c>
      <c r="C378" s="32" t="s">
        <v>670</v>
      </c>
      <c r="D378" s="120" t="s">
        <v>484</v>
      </c>
      <c r="E378" s="33" t="s">
        <v>43</v>
      </c>
      <c r="F378" s="18" t="s">
        <v>64</v>
      </c>
      <c r="G378" s="18" t="s">
        <v>148</v>
      </c>
      <c r="H378" s="34" t="s">
        <v>86</v>
      </c>
      <c r="I378" s="18" t="s">
        <v>104</v>
      </c>
      <c r="J378" s="31" t="s">
        <v>105</v>
      </c>
      <c r="K378" s="31">
        <v>46179</v>
      </c>
      <c r="L378" s="4"/>
      <c r="M378" s="4"/>
      <c r="N378" s="13" t="s">
        <v>29</v>
      </c>
      <c r="O378" s="35" t="str">
        <f>IF(D378="","",IF(COUNTIF(离职清单!C:C,D378)&gt;0,"已离职","在职"))</f>
        <v>在职</v>
      </c>
      <c r="P378" s="35" t="str">
        <f>IF(AND(O378="在职",J378="是"),COUNTIF(O$2:O378,"在职"),"")</f>
        <v/>
      </c>
    </row>
    <row r="379" customFormat="1" ht="18" spans="1:16">
      <c r="A379" s="10">
        <f t="shared" si="7"/>
        <v>378</v>
      </c>
      <c r="B379" s="31">
        <v>46179</v>
      </c>
      <c r="C379" s="32" t="s">
        <v>671</v>
      </c>
      <c r="D379" s="120" t="s">
        <v>486</v>
      </c>
      <c r="E379" s="33" t="s">
        <v>43</v>
      </c>
      <c r="F379" s="18" t="s">
        <v>63</v>
      </c>
      <c r="G379" s="18" t="s">
        <v>426</v>
      </c>
      <c r="H379" s="34" t="s">
        <v>86</v>
      </c>
      <c r="I379" s="18" t="s">
        <v>104</v>
      </c>
      <c r="J379" s="31" t="s">
        <v>105</v>
      </c>
      <c r="K379" s="31">
        <v>46179</v>
      </c>
      <c r="L379" s="4"/>
      <c r="M379" s="4"/>
      <c r="N379" s="13" t="s">
        <v>29</v>
      </c>
      <c r="O379" s="35" t="str">
        <f>IF(D379="","",IF(COUNTIF(离职清单!C:C,D379)&gt;0,"已离职","在职"))</f>
        <v>在职</v>
      </c>
      <c r="P379" s="35" t="str">
        <f>IF(AND(O379="在职",J379="是"),COUNTIF(O$2:O379,"在职"),"")</f>
        <v/>
      </c>
    </row>
    <row r="380" customFormat="1" ht="18" spans="1:16">
      <c r="A380" s="14">
        <f t="shared" si="7"/>
        <v>379</v>
      </c>
      <c r="B380" s="31">
        <v>46179</v>
      </c>
      <c r="C380" s="32" t="s">
        <v>672</v>
      </c>
      <c r="D380" s="120" t="s">
        <v>488</v>
      </c>
      <c r="E380" s="33" t="s">
        <v>43</v>
      </c>
      <c r="F380" s="18" t="s">
        <v>64</v>
      </c>
      <c r="G380" s="18" t="s">
        <v>179</v>
      </c>
      <c r="H380" s="34" t="s">
        <v>86</v>
      </c>
      <c r="I380" s="18" t="s">
        <v>104</v>
      </c>
      <c r="J380" s="31" t="s">
        <v>114</v>
      </c>
      <c r="K380" s="31">
        <v>46179</v>
      </c>
      <c r="L380" s="4"/>
      <c r="M380" s="4"/>
      <c r="N380" s="13" t="s">
        <v>29</v>
      </c>
      <c r="O380" s="35" t="str">
        <f>IF(D380="","",IF(COUNTIF(离职清单!C:C,D380)&gt;0,"已离职","在职"))</f>
        <v>在职</v>
      </c>
      <c r="P380" s="35">
        <f>IF(AND(O380="在职",J380="是"),COUNTIF(O$2:O380,"在职"),"")</f>
        <v>373</v>
      </c>
    </row>
    <row r="381" customFormat="1" ht="18" spans="1:16">
      <c r="A381" s="10">
        <f t="shared" si="7"/>
        <v>380</v>
      </c>
      <c r="B381" s="31">
        <v>46179</v>
      </c>
      <c r="C381" s="32" t="s">
        <v>673</v>
      </c>
      <c r="D381" s="120" t="s">
        <v>490</v>
      </c>
      <c r="E381" s="33" t="s">
        <v>74</v>
      </c>
      <c r="F381" s="18" t="s">
        <v>190</v>
      </c>
      <c r="G381" s="18" t="s">
        <v>148</v>
      </c>
      <c r="H381" s="34" t="s">
        <v>86</v>
      </c>
      <c r="I381" s="18" t="s">
        <v>104</v>
      </c>
      <c r="J381" s="31" t="s">
        <v>114</v>
      </c>
      <c r="K381" s="31">
        <v>46179</v>
      </c>
      <c r="L381" s="4"/>
      <c r="M381" s="4"/>
      <c r="N381" s="13" t="s">
        <v>29</v>
      </c>
      <c r="O381" s="35" t="str">
        <f>IF(D381="","",IF(COUNTIF(离职清单!C:C,D381)&gt;0,"已离职","在职"))</f>
        <v>在职</v>
      </c>
      <c r="P381" s="35">
        <f>IF(AND(O381="在职",J381="是"),COUNTIF(O$2:O381,"在职"),"")</f>
        <v>374</v>
      </c>
    </row>
    <row r="382" customFormat="1" ht="18" spans="1:16">
      <c r="A382" s="14">
        <f t="shared" si="7"/>
        <v>381</v>
      </c>
      <c r="B382" s="31">
        <v>46179</v>
      </c>
      <c r="C382" s="32" t="s">
        <v>674</v>
      </c>
      <c r="D382" s="120" t="s">
        <v>492</v>
      </c>
      <c r="E382" s="33" t="s">
        <v>74</v>
      </c>
      <c r="F382" s="18" t="s">
        <v>190</v>
      </c>
      <c r="G382" s="18" t="s">
        <v>148</v>
      </c>
      <c r="H382" s="34" t="s">
        <v>86</v>
      </c>
      <c r="I382" s="18" t="s">
        <v>104</v>
      </c>
      <c r="J382" s="31" t="s">
        <v>114</v>
      </c>
      <c r="K382" s="31">
        <v>46179</v>
      </c>
      <c r="L382" s="4"/>
      <c r="M382" s="4"/>
      <c r="N382" s="13" t="s">
        <v>29</v>
      </c>
      <c r="O382" s="35" t="str">
        <f>IF(D382="","",IF(COUNTIF(离职清单!C:C,D382)&gt;0,"已离职","在职"))</f>
        <v>在职</v>
      </c>
      <c r="P382" s="35">
        <f>IF(AND(O382="在职",J382="是"),COUNTIF(O$2:O382,"在职"),"")</f>
        <v>375</v>
      </c>
    </row>
    <row r="383" customFormat="1" ht="18" spans="1:16">
      <c r="A383" s="10">
        <f t="shared" si="7"/>
        <v>382</v>
      </c>
      <c r="B383" s="31">
        <v>46179</v>
      </c>
      <c r="C383" s="32" t="s">
        <v>675</v>
      </c>
      <c r="D383" s="120" t="s">
        <v>477</v>
      </c>
      <c r="E383" s="33" t="s">
        <v>42</v>
      </c>
      <c r="F383" s="18" t="s">
        <v>64</v>
      </c>
      <c r="G383" s="18" t="s">
        <v>117</v>
      </c>
      <c r="H383" s="34" t="s">
        <v>86</v>
      </c>
      <c r="I383" s="18" t="s">
        <v>111</v>
      </c>
      <c r="J383" s="31" t="s">
        <v>105</v>
      </c>
      <c r="K383" s="31">
        <v>46179</v>
      </c>
      <c r="L383" s="4"/>
      <c r="M383" s="4"/>
      <c r="N383" s="13" t="s">
        <v>29</v>
      </c>
      <c r="O383" s="35" t="str">
        <f>IF(D383="","",IF(COUNTIF(离职清单!C:C,D383)&gt;0,"已离职","在职"))</f>
        <v>在职</v>
      </c>
      <c r="P383" s="35" t="str">
        <f>IF(AND(O383="在职",J383="是"),COUNTIF(O$2:O383,"在职"),"")</f>
        <v/>
      </c>
    </row>
    <row r="384" customFormat="1" ht="18" spans="1:16">
      <c r="A384" s="14">
        <f t="shared" si="7"/>
        <v>383</v>
      </c>
      <c r="B384" s="31">
        <v>46179</v>
      </c>
      <c r="C384" s="32" t="s">
        <v>574</v>
      </c>
      <c r="D384" s="120" t="s">
        <v>478</v>
      </c>
      <c r="E384" s="33" t="s">
        <v>42</v>
      </c>
      <c r="F384" s="18" t="s">
        <v>64</v>
      </c>
      <c r="G384" s="18" t="s">
        <v>117</v>
      </c>
      <c r="H384" s="34" t="s">
        <v>86</v>
      </c>
      <c r="I384" s="18" t="s">
        <v>104</v>
      </c>
      <c r="J384" s="31" t="s">
        <v>114</v>
      </c>
      <c r="K384" s="31">
        <v>46179</v>
      </c>
      <c r="L384" s="4"/>
      <c r="M384" s="4"/>
      <c r="N384" s="13" t="s">
        <v>29</v>
      </c>
      <c r="O384" s="35" t="str">
        <f>IF(D384="","",IF(COUNTIF(离职清单!C:C,D384)&gt;0,"已离职","在职"))</f>
        <v>在职</v>
      </c>
      <c r="P384" s="35">
        <f>IF(AND(O384="在职",J384="是"),COUNTIF(O$2:O384,"在职"),"")</f>
        <v>377</v>
      </c>
    </row>
    <row r="385" customFormat="1" ht="18" spans="1:16">
      <c r="A385" s="10">
        <f t="shared" si="7"/>
        <v>384</v>
      </c>
      <c r="B385" s="31">
        <v>46179</v>
      </c>
      <c r="C385" s="32" t="s">
        <v>676</v>
      </c>
      <c r="D385" s="120" t="s">
        <v>480</v>
      </c>
      <c r="E385" s="33" t="s">
        <v>42</v>
      </c>
      <c r="F385" s="18" t="s">
        <v>64</v>
      </c>
      <c r="G385" s="18" t="s">
        <v>117</v>
      </c>
      <c r="H385" s="34" t="s">
        <v>86</v>
      </c>
      <c r="I385" s="18" t="s">
        <v>104</v>
      </c>
      <c r="J385" s="31" t="s">
        <v>114</v>
      </c>
      <c r="K385" s="31">
        <v>46179</v>
      </c>
      <c r="L385" s="4"/>
      <c r="M385" s="4"/>
      <c r="N385" s="13" t="s">
        <v>29</v>
      </c>
      <c r="O385" s="35" t="str">
        <f>IF(D385="","",IF(COUNTIF(离职清单!C:C,D385)&gt;0,"已离职","在职"))</f>
        <v>在职</v>
      </c>
      <c r="P385" s="35">
        <f>IF(AND(O385="在职",J385="是"),COUNTIF(O$2:O385,"在职"),"")</f>
        <v>378</v>
      </c>
    </row>
    <row r="386" customFormat="1" ht="18" spans="1:16">
      <c r="A386" s="14">
        <f t="shared" si="7"/>
        <v>385</v>
      </c>
      <c r="B386" s="31">
        <v>46179</v>
      </c>
      <c r="C386" s="32" t="s">
        <v>677</v>
      </c>
      <c r="D386" s="120" t="s">
        <v>482</v>
      </c>
      <c r="E386" s="33" t="s">
        <v>42</v>
      </c>
      <c r="F386" s="18" t="s">
        <v>64</v>
      </c>
      <c r="G386" s="18" t="s">
        <v>148</v>
      </c>
      <c r="H386" s="34" t="s">
        <v>86</v>
      </c>
      <c r="I386" s="18" t="s">
        <v>104</v>
      </c>
      <c r="J386" s="31" t="s">
        <v>114</v>
      </c>
      <c r="K386" s="31">
        <v>46179</v>
      </c>
      <c r="L386" s="4"/>
      <c r="M386" s="4"/>
      <c r="N386" s="13" t="s">
        <v>29</v>
      </c>
      <c r="O386" s="35" t="str">
        <f>IF(D386="","",IF(COUNTIF(离职清单!C:C,D386)&gt;0,"已离职","在职"))</f>
        <v>在职</v>
      </c>
      <c r="P386" s="35">
        <f>IF(AND(O386="在职",J386="是"),COUNTIF(O$2:O386,"在职"),"")</f>
        <v>379</v>
      </c>
    </row>
    <row r="387" customFormat="1" ht="18" spans="1:16">
      <c r="A387" s="10">
        <f t="shared" si="7"/>
        <v>386</v>
      </c>
      <c r="B387" s="31">
        <v>46179</v>
      </c>
      <c r="C387" s="32" t="s">
        <v>678</v>
      </c>
      <c r="D387" s="120" t="s">
        <v>484</v>
      </c>
      <c r="E387" s="33" t="s">
        <v>42</v>
      </c>
      <c r="F387" s="18" t="s">
        <v>64</v>
      </c>
      <c r="G387" s="18" t="s">
        <v>179</v>
      </c>
      <c r="H387" s="34" t="s">
        <v>86</v>
      </c>
      <c r="I387" s="18" t="s">
        <v>104</v>
      </c>
      <c r="J387" s="31" t="s">
        <v>105</v>
      </c>
      <c r="K387" s="31">
        <v>46179</v>
      </c>
      <c r="L387" s="4"/>
      <c r="M387" s="4"/>
      <c r="N387" s="13" t="s">
        <v>29</v>
      </c>
      <c r="O387" s="35" t="str">
        <f>IF(D387="","",IF(COUNTIF(离职清单!C:C,D387)&gt;0,"已离职","在职"))</f>
        <v>在职</v>
      </c>
      <c r="P387" s="35" t="str">
        <f>IF(AND(O387="在职",J387="是"),COUNTIF(O$2:O387,"在职"),"")</f>
        <v/>
      </c>
    </row>
    <row r="388" customFormat="1" ht="18" spans="1:16">
      <c r="A388" s="14">
        <f t="shared" si="7"/>
        <v>387</v>
      </c>
      <c r="B388" s="31">
        <v>46180</v>
      </c>
      <c r="C388" s="32" t="s">
        <v>679</v>
      </c>
      <c r="D388" s="120" t="s">
        <v>486</v>
      </c>
      <c r="E388" s="33" t="s">
        <v>42</v>
      </c>
      <c r="F388" s="18" t="s">
        <v>64</v>
      </c>
      <c r="G388" s="18" t="s">
        <v>176</v>
      </c>
      <c r="H388" s="34" t="s">
        <v>86</v>
      </c>
      <c r="I388" s="18" t="s">
        <v>104</v>
      </c>
      <c r="J388" s="31" t="s">
        <v>114</v>
      </c>
      <c r="K388" s="31">
        <v>46180</v>
      </c>
      <c r="L388" s="4"/>
      <c r="M388" s="4"/>
      <c r="N388" s="13" t="s">
        <v>29</v>
      </c>
      <c r="O388" s="35" t="str">
        <f>IF(D388="","",IF(COUNTIF(离职清单!C:C,D388)&gt;0,"已离职","在职"))</f>
        <v>在职</v>
      </c>
      <c r="P388" s="35">
        <f>IF(AND(O388="在职",J388="是"),COUNTIF(O$2:O388,"在职"),"")</f>
        <v>381</v>
      </c>
    </row>
    <row r="389" customFormat="1" ht="18" spans="1:16">
      <c r="A389" s="10">
        <f t="shared" si="7"/>
        <v>388</v>
      </c>
      <c r="B389" s="31">
        <v>46180</v>
      </c>
      <c r="C389" s="32" t="s">
        <v>680</v>
      </c>
      <c r="D389" s="120" t="s">
        <v>488</v>
      </c>
      <c r="E389" s="33" t="s">
        <v>42</v>
      </c>
      <c r="F389" s="18" t="s">
        <v>64</v>
      </c>
      <c r="G389" s="18" t="s">
        <v>681</v>
      </c>
      <c r="H389" s="34" t="s">
        <v>86</v>
      </c>
      <c r="I389" s="18" t="s">
        <v>111</v>
      </c>
      <c r="J389" s="31" t="s">
        <v>105</v>
      </c>
      <c r="K389" s="31">
        <v>46180</v>
      </c>
      <c r="L389" s="4"/>
      <c r="M389" s="4"/>
      <c r="N389" s="13" t="s">
        <v>29</v>
      </c>
      <c r="O389" s="35" t="str">
        <f>IF(D389="","",IF(COUNTIF(离职清单!C:C,D389)&gt;0,"已离职","在职"))</f>
        <v>在职</v>
      </c>
      <c r="P389" s="35" t="str">
        <f>IF(AND(O389="在职",J389="是"),COUNTIF(O$2:O389,"在职"),"")</f>
        <v/>
      </c>
    </row>
    <row r="390" customFormat="1" ht="18" spans="1:16">
      <c r="A390" s="14">
        <f t="shared" si="7"/>
        <v>389</v>
      </c>
      <c r="B390" s="31">
        <v>46180</v>
      </c>
      <c r="C390" s="32" t="s">
        <v>667</v>
      </c>
      <c r="D390" s="120" t="s">
        <v>490</v>
      </c>
      <c r="E390" s="33" t="s">
        <v>42</v>
      </c>
      <c r="F390" s="18" t="s">
        <v>64</v>
      </c>
      <c r="G390" s="18" t="s">
        <v>148</v>
      </c>
      <c r="H390" s="34" t="s">
        <v>86</v>
      </c>
      <c r="I390" s="18" t="s">
        <v>104</v>
      </c>
      <c r="J390" s="31" t="s">
        <v>114</v>
      </c>
      <c r="K390" s="31">
        <v>46180</v>
      </c>
      <c r="L390" s="4"/>
      <c r="M390" s="4"/>
      <c r="N390" s="13" t="s">
        <v>29</v>
      </c>
      <c r="O390" s="35" t="str">
        <f>IF(D390="","",IF(COUNTIF(离职清单!C:C,D390)&gt;0,"已离职","在职"))</f>
        <v>在职</v>
      </c>
      <c r="P390" s="35">
        <f>IF(AND(O390="在职",J390="是"),COUNTIF(O$2:O390,"在职"),"")</f>
        <v>383</v>
      </c>
    </row>
    <row r="391" customFormat="1" ht="18" spans="1:16">
      <c r="A391" s="10">
        <f t="shared" si="7"/>
        <v>390</v>
      </c>
      <c r="B391" s="31">
        <v>46180</v>
      </c>
      <c r="C391" s="32" t="s">
        <v>682</v>
      </c>
      <c r="D391" s="120" t="s">
        <v>492</v>
      </c>
      <c r="E391" s="33" t="s">
        <v>74</v>
      </c>
      <c r="F391" s="18" t="s">
        <v>190</v>
      </c>
      <c r="G391" s="18" t="s">
        <v>148</v>
      </c>
      <c r="H391" s="34" t="s">
        <v>86</v>
      </c>
      <c r="I391" s="18" t="s">
        <v>111</v>
      </c>
      <c r="J391" s="31" t="s">
        <v>105</v>
      </c>
      <c r="K391" s="31">
        <v>46180</v>
      </c>
      <c r="L391" s="4"/>
      <c r="M391" s="4"/>
      <c r="N391" s="13" t="s">
        <v>29</v>
      </c>
      <c r="O391" s="35" t="str">
        <f>IF(D391="","",IF(COUNTIF(离职清单!C:C,D391)&gt;0,"已离职","在职"))</f>
        <v>在职</v>
      </c>
      <c r="P391" s="35" t="str">
        <f>IF(AND(O391="在职",J391="是"),COUNTIF(O$2:O391,"在职"),"")</f>
        <v/>
      </c>
    </row>
    <row r="392" customFormat="1" ht="18" spans="1:16">
      <c r="A392" s="14">
        <f t="shared" si="7"/>
        <v>391</v>
      </c>
      <c r="B392" s="31">
        <v>46180</v>
      </c>
      <c r="C392" s="32" t="s">
        <v>683</v>
      </c>
      <c r="D392" s="120" t="s">
        <v>477</v>
      </c>
      <c r="E392" s="33" t="s">
        <v>42</v>
      </c>
      <c r="F392" s="18" t="s">
        <v>64</v>
      </c>
      <c r="G392" s="18" t="s">
        <v>148</v>
      </c>
      <c r="H392" s="34" t="s">
        <v>86</v>
      </c>
      <c r="I392" s="18" t="s">
        <v>104</v>
      </c>
      <c r="J392" s="31" t="s">
        <v>114</v>
      </c>
      <c r="K392" s="31">
        <v>46180</v>
      </c>
      <c r="L392" s="4"/>
      <c r="M392" s="4"/>
      <c r="N392" s="13" t="s">
        <v>29</v>
      </c>
      <c r="O392" s="35" t="str">
        <f>IF(D392="","",IF(COUNTIF(离职清单!C:C,D392)&gt;0,"已离职","在职"))</f>
        <v>在职</v>
      </c>
      <c r="P392" s="35">
        <f>IF(AND(O392="在职",J392="是"),COUNTIF(O$2:O392,"在职"),"")</f>
        <v>385</v>
      </c>
    </row>
    <row r="393" customFormat="1" ht="18" spans="1:16">
      <c r="A393" s="10">
        <f t="shared" si="7"/>
        <v>392</v>
      </c>
      <c r="B393" s="31">
        <v>46180</v>
      </c>
      <c r="C393" s="32" t="s">
        <v>684</v>
      </c>
      <c r="D393" s="120" t="s">
        <v>478</v>
      </c>
      <c r="E393" s="33" t="s">
        <v>42</v>
      </c>
      <c r="F393" s="18" t="s">
        <v>64</v>
      </c>
      <c r="G393" s="18" t="s">
        <v>124</v>
      </c>
      <c r="H393" s="34" t="s">
        <v>86</v>
      </c>
      <c r="I393" s="18" t="s">
        <v>111</v>
      </c>
      <c r="J393" s="31" t="s">
        <v>105</v>
      </c>
      <c r="K393" s="31">
        <v>46180</v>
      </c>
      <c r="L393" s="4"/>
      <c r="M393" s="4"/>
      <c r="N393" s="13" t="s">
        <v>29</v>
      </c>
      <c r="O393" s="35" t="str">
        <f>IF(D393="","",IF(COUNTIF(离职清单!C:C,D393)&gt;0,"已离职","在职"))</f>
        <v>在职</v>
      </c>
      <c r="P393" s="35" t="str">
        <f>IF(AND(O393="在职",J393="是"),COUNTIF(O$2:O393,"在职"),"")</f>
        <v/>
      </c>
    </row>
    <row r="394" customFormat="1" ht="18" spans="1:16">
      <c r="A394" s="14">
        <f t="shared" si="7"/>
        <v>393</v>
      </c>
      <c r="B394" s="31">
        <v>46180</v>
      </c>
      <c r="C394" s="32" t="s">
        <v>685</v>
      </c>
      <c r="D394" s="120" t="s">
        <v>480</v>
      </c>
      <c r="E394" s="33" t="s">
        <v>74</v>
      </c>
      <c r="F394" s="18" t="s">
        <v>190</v>
      </c>
      <c r="G394" s="18" t="s">
        <v>124</v>
      </c>
      <c r="H394" s="34" t="s">
        <v>86</v>
      </c>
      <c r="I394" s="18" t="s">
        <v>104</v>
      </c>
      <c r="J394" s="31" t="s">
        <v>114</v>
      </c>
      <c r="K394" s="31">
        <v>46180</v>
      </c>
      <c r="L394" s="4"/>
      <c r="M394" s="4"/>
      <c r="N394" s="13" t="s">
        <v>29</v>
      </c>
      <c r="O394" s="35" t="str">
        <f>IF(D394="","",IF(COUNTIF(离职清单!C:C,D394)&gt;0,"已离职","在职"))</f>
        <v>在职</v>
      </c>
      <c r="P394" s="35">
        <f>IF(AND(O394="在职",J394="是"),COUNTIF(O$2:O394,"在职"),"")</f>
        <v>387</v>
      </c>
    </row>
    <row r="395" customFormat="1" ht="18" spans="1:16">
      <c r="A395" s="10">
        <f t="shared" si="7"/>
        <v>394</v>
      </c>
      <c r="B395" s="31">
        <v>46180</v>
      </c>
      <c r="C395" s="32" t="s">
        <v>676</v>
      </c>
      <c r="D395" s="120" t="s">
        <v>482</v>
      </c>
      <c r="E395" s="33" t="s">
        <v>42</v>
      </c>
      <c r="F395" s="18" t="s">
        <v>64</v>
      </c>
      <c r="G395" s="18" t="s">
        <v>117</v>
      </c>
      <c r="H395" s="34" t="s">
        <v>86</v>
      </c>
      <c r="I395" s="18" t="s">
        <v>104</v>
      </c>
      <c r="J395" s="31" t="s">
        <v>114</v>
      </c>
      <c r="K395" s="31">
        <v>46180</v>
      </c>
      <c r="L395" s="4"/>
      <c r="M395" s="4"/>
      <c r="N395" s="13" t="s">
        <v>29</v>
      </c>
      <c r="O395" s="35" t="str">
        <f>IF(D395="","",IF(COUNTIF(离职清单!C:C,D395)&gt;0,"已离职","在职"))</f>
        <v>在职</v>
      </c>
      <c r="P395" s="35">
        <f>IF(AND(O395="在职",J395="是"),COUNTIF(O$2:O395,"在职"),"")</f>
        <v>388</v>
      </c>
    </row>
    <row r="396" customFormat="1" ht="18" spans="1:16">
      <c r="A396" s="14">
        <f t="shared" si="7"/>
        <v>395</v>
      </c>
      <c r="B396" s="31">
        <v>46180</v>
      </c>
      <c r="C396" s="32" t="s">
        <v>686</v>
      </c>
      <c r="D396" s="120" t="s">
        <v>484</v>
      </c>
      <c r="E396" s="33" t="s">
        <v>74</v>
      </c>
      <c r="F396" s="18" t="s">
        <v>64</v>
      </c>
      <c r="G396" s="18" t="s">
        <v>135</v>
      </c>
      <c r="H396" s="34" t="s">
        <v>86</v>
      </c>
      <c r="I396" s="18" t="s">
        <v>104</v>
      </c>
      <c r="J396" s="31" t="s">
        <v>114</v>
      </c>
      <c r="K396" s="31">
        <v>46180</v>
      </c>
      <c r="L396" s="4"/>
      <c r="M396" s="4"/>
      <c r="N396" s="13" t="s">
        <v>29</v>
      </c>
      <c r="O396" s="35" t="str">
        <f>IF(D396="","",IF(COUNTIF(离职清单!C:C,D396)&gt;0,"已离职","在职"))</f>
        <v>在职</v>
      </c>
      <c r="P396" s="35">
        <f>IF(AND(O396="在职",J396="是"),COUNTIF(O$2:O396,"在职"),"")</f>
        <v>389</v>
      </c>
    </row>
    <row r="397" customFormat="1" ht="18" spans="1:16">
      <c r="A397" s="10">
        <f t="shared" si="7"/>
        <v>396</v>
      </c>
      <c r="B397" s="31">
        <v>46180</v>
      </c>
      <c r="C397" s="32" t="s">
        <v>687</v>
      </c>
      <c r="D397" s="120" t="s">
        <v>486</v>
      </c>
      <c r="E397" s="33" t="s">
        <v>74</v>
      </c>
      <c r="F397" s="18" t="s">
        <v>64</v>
      </c>
      <c r="G397" s="18" t="s">
        <v>135</v>
      </c>
      <c r="H397" s="34" t="s">
        <v>86</v>
      </c>
      <c r="I397" s="18" t="s">
        <v>104</v>
      </c>
      <c r="J397" s="31" t="s">
        <v>114</v>
      </c>
      <c r="K397" s="31">
        <v>46180</v>
      </c>
      <c r="L397" s="4"/>
      <c r="M397" s="4"/>
      <c r="N397" s="13" t="s">
        <v>29</v>
      </c>
      <c r="O397" s="35" t="str">
        <f>IF(D397="","",IF(COUNTIF(离职清单!C:C,D397)&gt;0,"已离职","在职"))</f>
        <v>在职</v>
      </c>
      <c r="P397" s="35">
        <f>IF(AND(O397="在职",J397="是"),COUNTIF(O$2:O397,"在职"),"")</f>
        <v>390</v>
      </c>
    </row>
    <row r="398" customFormat="1" ht="18" spans="1:16">
      <c r="A398" s="14">
        <f t="shared" ref="A398:A431" si="8">IF(B398&lt;&gt;"",ROW()-1,"")</f>
        <v>397</v>
      </c>
      <c r="B398" s="31">
        <v>46180</v>
      </c>
      <c r="C398" s="32" t="s">
        <v>688</v>
      </c>
      <c r="D398" s="120" t="s">
        <v>488</v>
      </c>
      <c r="E398" s="33" t="s">
        <v>74</v>
      </c>
      <c r="F398" s="18" t="s">
        <v>64</v>
      </c>
      <c r="G398" s="18" t="s">
        <v>135</v>
      </c>
      <c r="H398" s="34" t="s">
        <v>86</v>
      </c>
      <c r="I398" s="18" t="s">
        <v>104</v>
      </c>
      <c r="J398" s="31" t="s">
        <v>114</v>
      </c>
      <c r="K398" s="31">
        <v>46180</v>
      </c>
      <c r="L398" s="4"/>
      <c r="M398" s="4"/>
      <c r="N398" s="13" t="s">
        <v>29</v>
      </c>
      <c r="O398" s="35" t="str">
        <f>IF(D398="","",IF(COUNTIF(离职清单!C:C,D398)&gt;0,"已离职","在职"))</f>
        <v>在职</v>
      </c>
      <c r="P398" s="35">
        <f>IF(AND(O398="在职",J398="是"),COUNTIF(O$2:O398,"在职"),"")</f>
        <v>391</v>
      </c>
    </row>
    <row r="399" customFormat="1" ht="18" spans="1:16">
      <c r="A399" s="10">
        <f t="shared" si="8"/>
        <v>398</v>
      </c>
      <c r="B399" s="31">
        <v>46180</v>
      </c>
      <c r="C399" s="32" t="s">
        <v>689</v>
      </c>
      <c r="D399" s="120" t="s">
        <v>490</v>
      </c>
      <c r="E399" s="33" t="s">
        <v>42</v>
      </c>
      <c r="F399" s="18" t="s">
        <v>64</v>
      </c>
      <c r="G399" s="18" t="s">
        <v>690</v>
      </c>
      <c r="H399" s="34" t="s">
        <v>86</v>
      </c>
      <c r="I399" s="18" t="s">
        <v>104</v>
      </c>
      <c r="J399" s="31" t="s">
        <v>114</v>
      </c>
      <c r="K399" s="31">
        <v>46180</v>
      </c>
      <c r="L399" s="4"/>
      <c r="M399" s="4"/>
      <c r="N399" s="13" t="s">
        <v>29</v>
      </c>
      <c r="O399" s="35" t="str">
        <f>IF(D399="","",IF(COUNTIF(离职清单!C:C,D399)&gt;0,"已离职","在职"))</f>
        <v>在职</v>
      </c>
      <c r="P399" s="35">
        <f>IF(AND(O399="在职",J399="是"),COUNTIF(O$2:O399,"在职"),"")</f>
        <v>392</v>
      </c>
    </row>
    <row r="400" customFormat="1" ht="18" spans="1:16">
      <c r="A400" s="14">
        <f t="shared" si="8"/>
        <v>399</v>
      </c>
      <c r="B400" s="31">
        <v>46180</v>
      </c>
      <c r="C400" s="32" t="s">
        <v>691</v>
      </c>
      <c r="D400" s="120" t="s">
        <v>492</v>
      </c>
      <c r="E400" s="33" t="s">
        <v>42</v>
      </c>
      <c r="F400" s="18" t="s">
        <v>64</v>
      </c>
      <c r="G400" s="18" t="s">
        <v>173</v>
      </c>
      <c r="H400" s="34" t="s">
        <v>86</v>
      </c>
      <c r="I400" s="18" t="s">
        <v>111</v>
      </c>
      <c r="J400" s="31" t="s">
        <v>105</v>
      </c>
      <c r="K400" s="31">
        <v>46180</v>
      </c>
      <c r="L400" s="4"/>
      <c r="M400" s="4"/>
      <c r="N400" s="13" t="s">
        <v>29</v>
      </c>
      <c r="O400" s="35" t="str">
        <f>IF(D400="","",IF(COUNTIF(离职清单!C:C,D400)&gt;0,"已离职","在职"))</f>
        <v>在职</v>
      </c>
      <c r="P400" s="35" t="str">
        <f>IF(AND(O400="在职",J400="是"),COUNTIF(O$2:O400,"在职"),"")</f>
        <v/>
      </c>
    </row>
    <row r="401" customFormat="1" ht="18" spans="1:16">
      <c r="A401" s="10">
        <f t="shared" si="8"/>
        <v>400</v>
      </c>
      <c r="B401" s="31">
        <v>46180</v>
      </c>
      <c r="C401" s="32" t="s">
        <v>692</v>
      </c>
      <c r="D401" s="120" t="s">
        <v>477</v>
      </c>
      <c r="E401" s="33" t="s">
        <v>42</v>
      </c>
      <c r="F401" s="18" t="s">
        <v>63</v>
      </c>
      <c r="G401" s="18" t="s">
        <v>173</v>
      </c>
      <c r="H401" s="34" t="s">
        <v>86</v>
      </c>
      <c r="I401" s="18" t="s">
        <v>104</v>
      </c>
      <c r="J401" s="31" t="s">
        <v>114</v>
      </c>
      <c r="K401" s="31">
        <v>46180</v>
      </c>
      <c r="L401" s="4"/>
      <c r="M401" s="4"/>
      <c r="N401" s="13" t="s">
        <v>29</v>
      </c>
      <c r="O401" s="35" t="str">
        <f>IF(D401="","",IF(COUNTIF(离职清单!C:C,D401)&gt;0,"已离职","在职"))</f>
        <v>在职</v>
      </c>
      <c r="P401" s="35">
        <f>IF(AND(O401="在职",J401="是"),COUNTIF(O$2:O401,"在职"),"")</f>
        <v>394</v>
      </c>
    </row>
    <row r="402" customFormat="1" ht="18" spans="1:16">
      <c r="A402" s="14">
        <f t="shared" si="8"/>
        <v>401</v>
      </c>
      <c r="B402" s="31">
        <v>46180</v>
      </c>
      <c r="C402" s="32" t="s">
        <v>693</v>
      </c>
      <c r="D402" s="120" t="s">
        <v>477</v>
      </c>
      <c r="E402" s="33" t="s">
        <v>42</v>
      </c>
      <c r="F402" s="18" t="s">
        <v>62</v>
      </c>
      <c r="G402" s="18" t="s">
        <v>132</v>
      </c>
      <c r="H402" s="34" t="s">
        <v>86</v>
      </c>
      <c r="I402" s="18" t="s">
        <v>104</v>
      </c>
      <c r="J402" s="31" t="s">
        <v>105</v>
      </c>
      <c r="K402" s="31">
        <v>46180</v>
      </c>
      <c r="L402" s="4"/>
      <c r="M402" s="4"/>
      <c r="N402" s="13" t="s">
        <v>29</v>
      </c>
      <c r="O402" s="35" t="str">
        <f>IF(D402="","",IF(COUNTIF(离职清单!C:C,D402)&gt;0,"已离职","在职"))</f>
        <v>在职</v>
      </c>
      <c r="P402" s="35" t="str">
        <f>IF(AND(O402="在职",J402="是"),COUNTIF(O$2:O402,"在职"),"")</f>
        <v/>
      </c>
    </row>
    <row r="403" customFormat="1" ht="18" spans="1:16">
      <c r="A403" s="10">
        <f t="shared" si="8"/>
        <v>402</v>
      </c>
      <c r="B403" s="31">
        <v>46180</v>
      </c>
      <c r="C403" s="32" t="s">
        <v>694</v>
      </c>
      <c r="D403" s="120" t="s">
        <v>478</v>
      </c>
      <c r="E403" s="33" t="s">
        <v>42</v>
      </c>
      <c r="F403" s="18" t="s">
        <v>64</v>
      </c>
      <c r="G403" s="18" t="s">
        <v>695</v>
      </c>
      <c r="H403" s="34" t="s">
        <v>86</v>
      </c>
      <c r="I403" s="18" t="s">
        <v>111</v>
      </c>
      <c r="J403" s="31" t="s">
        <v>105</v>
      </c>
      <c r="K403" s="31">
        <v>46180</v>
      </c>
      <c r="L403" s="4"/>
      <c r="M403" s="4"/>
      <c r="N403" s="13" t="s">
        <v>29</v>
      </c>
      <c r="O403" s="35" t="str">
        <f>IF(D403="","",IF(COUNTIF(离职清单!C:C,D403)&gt;0,"已离职","在职"))</f>
        <v>在职</v>
      </c>
      <c r="P403" s="35" t="str">
        <f>IF(AND(O403="在职",J403="是"),COUNTIF(O$2:O403,"在职"),"")</f>
        <v/>
      </c>
    </row>
    <row r="404" customFormat="1" ht="18" spans="1:16">
      <c r="A404" s="14">
        <f t="shared" si="8"/>
        <v>403</v>
      </c>
      <c r="B404" s="31">
        <v>46180</v>
      </c>
      <c r="C404" s="32" t="s">
        <v>696</v>
      </c>
      <c r="D404" s="120" t="s">
        <v>480</v>
      </c>
      <c r="E404" s="33" t="s">
        <v>42</v>
      </c>
      <c r="F404" s="18" t="s">
        <v>64</v>
      </c>
      <c r="G404" s="18" t="s">
        <v>695</v>
      </c>
      <c r="H404" s="34" t="s">
        <v>86</v>
      </c>
      <c r="I404" s="18" t="s">
        <v>111</v>
      </c>
      <c r="J404" s="31" t="s">
        <v>105</v>
      </c>
      <c r="K404" s="31">
        <v>46180</v>
      </c>
      <c r="L404" s="4"/>
      <c r="M404" s="4"/>
      <c r="N404" s="13" t="s">
        <v>29</v>
      </c>
      <c r="O404" s="35" t="str">
        <f>IF(D404="","",IF(COUNTIF(离职清单!C:C,D404)&gt;0,"已离职","在职"))</f>
        <v>在职</v>
      </c>
      <c r="P404" s="35" t="str">
        <f>IF(AND(O404="在职",J404="是"),COUNTIF(O$2:O404,"在职"),"")</f>
        <v/>
      </c>
    </row>
    <row r="405" customFormat="1" ht="18" spans="1:16">
      <c r="A405" s="10">
        <f t="shared" si="8"/>
        <v>404</v>
      </c>
      <c r="B405" s="31">
        <v>46180</v>
      </c>
      <c r="C405" s="32" t="s">
        <v>697</v>
      </c>
      <c r="D405" s="120" t="s">
        <v>482</v>
      </c>
      <c r="E405" s="33" t="s">
        <v>42</v>
      </c>
      <c r="F405" s="18" t="s">
        <v>64</v>
      </c>
      <c r="G405" s="18" t="s">
        <v>695</v>
      </c>
      <c r="H405" s="34" t="s">
        <v>86</v>
      </c>
      <c r="I405" s="18" t="s">
        <v>111</v>
      </c>
      <c r="J405" s="31" t="s">
        <v>105</v>
      </c>
      <c r="K405" s="31">
        <v>46180</v>
      </c>
      <c r="L405" s="4"/>
      <c r="M405" s="4"/>
      <c r="N405" s="13" t="s">
        <v>29</v>
      </c>
      <c r="O405" s="35" t="str">
        <f>IF(D405="","",IF(COUNTIF(离职清单!C:C,D405)&gt;0,"已离职","在职"))</f>
        <v>在职</v>
      </c>
      <c r="P405" s="35" t="str">
        <f>IF(AND(O405="在职",J405="是"),COUNTIF(O$2:O405,"在职"),"")</f>
        <v/>
      </c>
    </row>
    <row r="406" customFormat="1" ht="18" spans="1:16">
      <c r="A406" s="14">
        <f t="shared" si="8"/>
        <v>405</v>
      </c>
      <c r="B406" s="31">
        <v>46180</v>
      </c>
      <c r="C406" s="32" t="s">
        <v>698</v>
      </c>
      <c r="D406" s="120" t="s">
        <v>484</v>
      </c>
      <c r="E406" s="33" t="s">
        <v>42</v>
      </c>
      <c r="F406" s="18" t="s">
        <v>64</v>
      </c>
      <c r="G406" s="18" t="s">
        <v>695</v>
      </c>
      <c r="H406" s="34" t="s">
        <v>86</v>
      </c>
      <c r="I406" s="18" t="s">
        <v>111</v>
      </c>
      <c r="J406" s="31" t="s">
        <v>105</v>
      </c>
      <c r="K406" s="31">
        <v>46180</v>
      </c>
      <c r="L406" s="4"/>
      <c r="M406" s="4"/>
      <c r="N406" s="13" t="s">
        <v>29</v>
      </c>
      <c r="O406" s="35" t="str">
        <f>IF(D406="","",IF(COUNTIF(离职清单!C:C,D406)&gt;0,"已离职","在职"))</f>
        <v>在职</v>
      </c>
      <c r="P406" s="35" t="str">
        <f>IF(AND(O406="在职",J406="是"),COUNTIF(O$2:O406,"在职"),"")</f>
        <v/>
      </c>
    </row>
    <row r="407" customFormat="1" ht="18" spans="1:16">
      <c r="A407" s="10">
        <f t="shared" si="8"/>
        <v>406</v>
      </c>
      <c r="B407" s="31">
        <v>46180</v>
      </c>
      <c r="C407" s="32" t="s">
        <v>699</v>
      </c>
      <c r="D407" s="120" t="s">
        <v>486</v>
      </c>
      <c r="E407" s="33" t="s">
        <v>42</v>
      </c>
      <c r="F407" s="18" t="s">
        <v>64</v>
      </c>
      <c r="G407" s="18" t="s">
        <v>695</v>
      </c>
      <c r="H407" s="34" t="s">
        <v>86</v>
      </c>
      <c r="I407" s="18" t="s">
        <v>111</v>
      </c>
      <c r="J407" s="31" t="s">
        <v>105</v>
      </c>
      <c r="K407" s="31">
        <v>46180</v>
      </c>
      <c r="L407" s="4"/>
      <c r="M407" s="4"/>
      <c r="N407" s="13" t="s">
        <v>29</v>
      </c>
      <c r="O407" s="35" t="str">
        <f>IF(D407="","",IF(COUNTIF(离职清单!C:C,D407)&gt;0,"已离职","在职"))</f>
        <v>在职</v>
      </c>
      <c r="P407" s="35" t="str">
        <f>IF(AND(O407="在职",J407="是"),COUNTIF(O$2:O407,"在职"),"")</f>
        <v/>
      </c>
    </row>
    <row r="408" customFormat="1" ht="18" spans="1:16">
      <c r="A408" s="14">
        <f t="shared" si="8"/>
        <v>407</v>
      </c>
      <c r="B408" s="31">
        <v>46180</v>
      </c>
      <c r="C408" s="32" t="s">
        <v>700</v>
      </c>
      <c r="D408" s="120" t="s">
        <v>488</v>
      </c>
      <c r="E408" s="33" t="s">
        <v>42</v>
      </c>
      <c r="F408" s="18" t="s">
        <v>64</v>
      </c>
      <c r="G408" s="18" t="s">
        <v>695</v>
      </c>
      <c r="H408" s="34" t="s">
        <v>86</v>
      </c>
      <c r="I408" s="18" t="s">
        <v>111</v>
      </c>
      <c r="J408" s="31" t="s">
        <v>105</v>
      </c>
      <c r="K408" s="31">
        <v>46180</v>
      </c>
      <c r="L408" s="4"/>
      <c r="M408" s="4"/>
      <c r="N408" s="13" t="s">
        <v>29</v>
      </c>
      <c r="O408" s="35" t="str">
        <f>IF(D408="","",IF(COUNTIF(离职清单!C:C,D408)&gt;0,"已离职","在职"))</f>
        <v>在职</v>
      </c>
      <c r="P408" s="35" t="str">
        <f>IF(AND(O408="在职",J408="是"),COUNTIF(O$2:O408,"在职"),"")</f>
        <v/>
      </c>
    </row>
    <row r="409" customFormat="1" ht="18" spans="1:16">
      <c r="A409" s="10">
        <f t="shared" si="8"/>
        <v>408</v>
      </c>
      <c r="B409" s="31">
        <v>46180</v>
      </c>
      <c r="C409" s="32" t="s">
        <v>701</v>
      </c>
      <c r="D409" s="120" t="s">
        <v>490</v>
      </c>
      <c r="E409" s="33" t="s">
        <v>42</v>
      </c>
      <c r="F409" s="18" t="s">
        <v>64</v>
      </c>
      <c r="G409" s="18" t="s">
        <v>695</v>
      </c>
      <c r="H409" s="34" t="s">
        <v>86</v>
      </c>
      <c r="I409" s="18" t="s">
        <v>111</v>
      </c>
      <c r="J409" s="31" t="s">
        <v>105</v>
      </c>
      <c r="K409" s="31">
        <v>46180</v>
      </c>
      <c r="L409" s="4"/>
      <c r="M409" s="4"/>
      <c r="N409" s="13" t="s">
        <v>29</v>
      </c>
      <c r="O409" s="35" t="str">
        <f>IF(D409="","",IF(COUNTIF(离职清单!C:C,D409)&gt;0,"已离职","在职"))</f>
        <v>在职</v>
      </c>
      <c r="P409" s="35" t="str">
        <f>IF(AND(O409="在职",J409="是"),COUNTIF(O$2:O409,"在职"),"")</f>
        <v/>
      </c>
    </row>
    <row r="410" customFormat="1" ht="18" spans="1:16">
      <c r="A410" s="14">
        <f t="shared" si="8"/>
        <v>409</v>
      </c>
      <c r="B410" s="31">
        <v>46180</v>
      </c>
      <c r="C410" s="32" t="s">
        <v>702</v>
      </c>
      <c r="D410" s="120" t="s">
        <v>492</v>
      </c>
      <c r="E410" s="33" t="s">
        <v>42</v>
      </c>
      <c r="F410" s="18" t="s">
        <v>64</v>
      </c>
      <c r="G410" s="18" t="s">
        <v>695</v>
      </c>
      <c r="H410" s="34" t="s">
        <v>86</v>
      </c>
      <c r="I410" s="18" t="s">
        <v>111</v>
      </c>
      <c r="J410" s="31" t="s">
        <v>105</v>
      </c>
      <c r="K410" s="31">
        <v>46180</v>
      </c>
      <c r="L410" s="4"/>
      <c r="M410" s="4"/>
      <c r="N410" s="13" t="s">
        <v>29</v>
      </c>
      <c r="O410" s="35" t="str">
        <f>IF(D410="","",IF(COUNTIF(离职清单!C:C,D410)&gt;0,"已离职","在职"))</f>
        <v>在职</v>
      </c>
      <c r="P410" s="35" t="str">
        <f>IF(AND(O410="在职",J410="是"),COUNTIF(O$2:O410,"在职"),"")</f>
        <v/>
      </c>
    </row>
    <row r="411" customFormat="1" ht="18" spans="1:16">
      <c r="A411" s="10">
        <f t="shared" si="8"/>
        <v>410</v>
      </c>
      <c r="B411" s="31">
        <v>46180</v>
      </c>
      <c r="C411" s="32" t="s">
        <v>703</v>
      </c>
      <c r="D411" s="120" t="s">
        <v>477</v>
      </c>
      <c r="E411" s="33" t="s">
        <v>42</v>
      </c>
      <c r="F411" s="18" t="s">
        <v>64</v>
      </c>
      <c r="G411" s="18" t="s">
        <v>695</v>
      </c>
      <c r="H411" s="34" t="s">
        <v>86</v>
      </c>
      <c r="I411" s="18" t="s">
        <v>111</v>
      </c>
      <c r="J411" s="31" t="s">
        <v>105</v>
      </c>
      <c r="K411" s="31">
        <v>46180</v>
      </c>
      <c r="L411" s="4"/>
      <c r="M411" s="4"/>
      <c r="N411" s="13" t="s">
        <v>29</v>
      </c>
      <c r="O411" s="35" t="str">
        <f>IF(D411="","",IF(COUNTIF(离职清单!C:C,D411)&gt;0,"已离职","在职"))</f>
        <v>在职</v>
      </c>
      <c r="P411" s="35" t="str">
        <f>IF(AND(O411="在职",J411="是"),COUNTIF(O$2:O411,"在职"),"")</f>
        <v/>
      </c>
    </row>
    <row r="412" customFormat="1" ht="18" spans="1:16">
      <c r="A412" s="14">
        <f t="shared" si="8"/>
        <v>411</v>
      </c>
      <c r="B412" s="31">
        <v>46180</v>
      </c>
      <c r="C412" s="32" t="s">
        <v>704</v>
      </c>
      <c r="D412" s="120" t="s">
        <v>478</v>
      </c>
      <c r="E412" s="33" t="s">
        <v>42</v>
      </c>
      <c r="F412" s="18" t="s">
        <v>64</v>
      </c>
      <c r="G412" s="18" t="s">
        <v>695</v>
      </c>
      <c r="H412" s="34" t="s">
        <v>86</v>
      </c>
      <c r="I412" s="18" t="s">
        <v>104</v>
      </c>
      <c r="J412" s="31" t="s">
        <v>105</v>
      </c>
      <c r="K412" s="31">
        <v>46180</v>
      </c>
      <c r="L412" s="4"/>
      <c r="M412" s="4"/>
      <c r="N412" s="13" t="s">
        <v>29</v>
      </c>
      <c r="O412" s="35" t="str">
        <f>IF(D412="","",IF(COUNTIF(离职清单!C:C,D412)&gt;0,"已离职","在职"))</f>
        <v>在职</v>
      </c>
      <c r="P412" s="35" t="str">
        <f>IF(AND(O412="在职",J412="是"),COUNTIF(O$2:O412,"在职"),"")</f>
        <v/>
      </c>
    </row>
    <row r="413" customFormat="1" ht="18" spans="1:16">
      <c r="A413" s="10">
        <f t="shared" si="8"/>
        <v>412</v>
      </c>
      <c r="B413" s="31">
        <v>46180</v>
      </c>
      <c r="C413" s="32" t="s">
        <v>705</v>
      </c>
      <c r="D413" s="120" t="s">
        <v>480</v>
      </c>
      <c r="E413" s="33" t="s">
        <v>42</v>
      </c>
      <c r="F413" s="18" t="s">
        <v>64</v>
      </c>
      <c r="G413" s="18" t="s">
        <v>695</v>
      </c>
      <c r="H413" s="34" t="s">
        <v>86</v>
      </c>
      <c r="I413" s="18" t="s">
        <v>111</v>
      </c>
      <c r="J413" s="31" t="s">
        <v>105</v>
      </c>
      <c r="K413" s="31">
        <v>46180</v>
      </c>
      <c r="L413" s="4"/>
      <c r="M413" s="4"/>
      <c r="N413" s="13" t="s">
        <v>29</v>
      </c>
      <c r="O413" s="35" t="str">
        <f>IF(D413="","",IF(COUNTIF(离职清单!C:C,D413)&gt;0,"已离职","在职"))</f>
        <v>在职</v>
      </c>
      <c r="P413" s="35" t="str">
        <f>IF(AND(O413="在职",J413="是"),COUNTIF(O$2:O413,"在职"),"")</f>
        <v/>
      </c>
    </row>
    <row r="414" customFormat="1" ht="18" spans="1:16">
      <c r="A414" s="14">
        <f t="shared" si="8"/>
        <v>413</v>
      </c>
      <c r="B414" s="31">
        <v>46180</v>
      </c>
      <c r="C414" s="32" t="s">
        <v>706</v>
      </c>
      <c r="D414" s="120" t="s">
        <v>482</v>
      </c>
      <c r="E414" s="33" t="s">
        <v>42</v>
      </c>
      <c r="F414" s="18" t="s">
        <v>64</v>
      </c>
      <c r="G414" s="18" t="s">
        <v>631</v>
      </c>
      <c r="H414" s="34" t="s">
        <v>86</v>
      </c>
      <c r="I414" s="18" t="s">
        <v>111</v>
      </c>
      <c r="J414" s="31" t="s">
        <v>105</v>
      </c>
      <c r="K414" s="31">
        <v>46180</v>
      </c>
      <c r="L414" s="4"/>
      <c r="M414" s="4"/>
      <c r="N414" s="13" t="s">
        <v>29</v>
      </c>
      <c r="O414" s="35" t="str">
        <f>IF(D414="","",IF(COUNTIF(离职清单!C:C,D414)&gt;0,"已离职","在职"))</f>
        <v>在职</v>
      </c>
      <c r="P414" s="35" t="str">
        <f>IF(AND(O414="在职",J414="是"),COUNTIF(O$2:O414,"在职"),"")</f>
        <v/>
      </c>
    </row>
    <row r="415" customFormat="1" ht="18" spans="1:16">
      <c r="A415" s="10">
        <f t="shared" si="8"/>
        <v>414</v>
      </c>
      <c r="B415" s="31">
        <v>46180</v>
      </c>
      <c r="C415" s="32" t="s">
        <v>353</v>
      </c>
      <c r="D415" s="120" t="s">
        <v>484</v>
      </c>
      <c r="E415" s="33" t="s">
        <v>42</v>
      </c>
      <c r="F415" s="18" t="s">
        <v>64</v>
      </c>
      <c r="G415" s="18" t="s">
        <v>148</v>
      </c>
      <c r="H415" s="34" t="s">
        <v>86</v>
      </c>
      <c r="I415" s="18" t="s">
        <v>104</v>
      </c>
      <c r="J415" s="31" t="s">
        <v>114</v>
      </c>
      <c r="K415" s="31">
        <v>46180</v>
      </c>
      <c r="L415" s="4"/>
      <c r="M415" s="4"/>
      <c r="N415" s="13" t="s">
        <v>29</v>
      </c>
      <c r="O415" s="35" t="str">
        <f>IF(D415="","",IF(COUNTIF(离职清单!C:C,D415)&gt;0,"已离职","在职"))</f>
        <v>在职</v>
      </c>
      <c r="P415" s="35">
        <f>IF(AND(O415="在职",J415="是"),COUNTIF(O$2:O415,"在职"),"")</f>
        <v>408</v>
      </c>
    </row>
    <row r="416" customFormat="1" ht="18" spans="1:16">
      <c r="A416" s="14">
        <f t="shared" si="8"/>
        <v>415</v>
      </c>
      <c r="B416" s="31">
        <v>46180</v>
      </c>
      <c r="C416" s="32" t="s">
        <v>707</v>
      </c>
      <c r="D416" s="120" t="s">
        <v>486</v>
      </c>
      <c r="E416" s="33" t="s">
        <v>42</v>
      </c>
      <c r="F416" s="18" t="s">
        <v>64</v>
      </c>
      <c r="G416" s="18" t="s">
        <v>179</v>
      </c>
      <c r="H416" s="34" t="s">
        <v>86</v>
      </c>
      <c r="I416" s="18" t="s">
        <v>104</v>
      </c>
      <c r="J416" s="31" t="s">
        <v>114</v>
      </c>
      <c r="K416" s="31">
        <v>46180</v>
      </c>
      <c r="L416" s="4"/>
      <c r="M416" s="4"/>
      <c r="N416" s="13" t="s">
        <v>29</v>
      </c>
      <c r="O416" s="35" t="str">
        <f>IF(D416="","",IF(COUNTIF(离职清单!C:C,D416)&gt;0,"已离职","在职"))</f>
        <v>在职</v>
      </c>
      <c r="P416" s="35">
        <f>IF(AND(O416="在职",J416="是"),COUNTIF(O$2:O416,"在职"),"")</f>
        <v>409</v>
      </c>
    </row>
    <row r="417" customFormat="1" ht="18" spans="1:16">
      <c r="A417" s="10">
        <f t="shared" si="8"/>
        <v>416</v>
      </c>
      <c r="B417" s="31">
        <v>46180</v>
      </c>
      <c r="C417" s="32" t="s">
        <v>708</v>
      </c>
      <c r="D417" s="120" t="s">
        <v>488</v>
      </c>
      <c r="E417" s="33" t="s">
        <v>42</v>
      </c>
      <c r="F417" s="18" t="s">
        <v>64</v>
      </c>
      <c r="G417" s="18" t="s">
        <v>179</v>
      </c>
      <c r="H417" s="34" t="s">
        <v>86</v>
      </c>
      <c r="I417" s="18" t="s">
        <v>104</v>
      </c>
      <c r="J417" s="31" t="s">
        <v>114</v>
      </c>
      <c r="K417" s="31">
        <v>46180</v>
      </c>
      <c r="L417" s="4"/>
      <c r="M417" s="4"/>
      <c r="N417" s="13" t="s">
        <v>29</v>
      </c>
      <c r="O417" s="35" t="str">
        <f>IF(D417="","",IF(COUNTIF(离职清单!C:C,D417)&gt;0,"已离职","在职"))</f>
        <v>在职</v>
      </c>
      <c r="P417" s="35">
        <f>IF(AND(O417="在职",J417="是"),COUNTIF(O$2:O417,"在职"),"")</f>
        <v>410</v>
      </c>
    </row>
    <row r="418" customFormat="1" ht="18" spans="1:16">
      <c r="A418" s="14">
        <f t="shared" si="8"/>
        <v>417</v>
      </c>
      <c r="B418" s="31">
        <v>46180</v>
      </c>
      <c r="C418" s="32" t="s">
        <v>709</v>
      </c>
      <c r="D418" s="120" t="s">
        <v>490</v>
      </c>
      <c r="E418" s="33" t="s">
        <v>42</v>
      </c>
      <c r="F418" s="18" t="s">
        <v>64</v>
      </c>
      <c r="G418" s="18" t="s">
        <v>179</v>
      </c>
      <c r="H418" s="34" t="s">
        <v>86</v>
      </c>
      <c r="I418" s="18" t="s">
        <v>111</v>
      </c>
      <c r="J418" s="31" t="s">
        <v>105</v>
      </c>
      <c r="K418" s="31">
        <v>46180</v>
      </c>
      <c r="L418" s="4"/>
      <c r="M418" s="4"/>
      <c r="N418" s="13" t="s">
        <v>29</v>
      </c>
      <c r="O418" s="35" t="str">
        <f>IF(D418="","",IF(COUNTIF(离职清单!C:C,D418)&gt;0,"已离职","在职"))</f>
        <v>在职</v>
      </c>
      <c r="P418" s="35" t="str">
        <f>IF(AND(O418="在职",J418="是"),COUNTIF(O$2:O418,"在职"),"")</f>
        <v/>
      </c>
    </row>
    <row r="419" customFormat="1" ht="18" spans="1:16">
      <c r="A419" s="10">
        <f t="shared" si="8"/>
        <v>418</v>
      </c>
      <c r="B419" s="31">
        <v>46180</v>
      </c>
      <c r="C419" s="32" t="s">
        <v>710</v>
      </c>
      <c r="D419" s="120" t="s">
        <v>492</v>
      </c>
      <c r="E419" s="33" t="s">
        <v>74</v>
      </c>
      <c r="F419" s="18" t="s">
        <v>190</v>
      </c>
      <c r="G419" s="18" t="s">
        <v>179</v>
      </c>
      <c r="H419" s="34" t="s">
        <v>86</v>
      </c>
      <c r="I419" s="18" t="s">
        <v>104</v>
      </c>
      <c r="J419" s="31" t="s">
        <v>114</v>
      </c>
      <c r="K419" s="31">
        <v>46180</v>
      </c>
      <c r="L419" s="4"/>
      <c r="M419" s="4"/>
      <c r="N419" s="13" t="s">
        <v>29</v>
      </c>
      <c r="O419" s="35" t="str">
        <f>IF(D419="","",IF(COUNTIF(离职清单!C:C,D419)&gt;0,"已离职","在职"))</f>
        <v>在职</v>
      </c>
      <c r="P419" s="35">
        <f>IF(AND(O419="在职",J419="是"),COUNTIF(O$2:O419,"在职"),"")</f>
        <v>412</v>
      </c>
    </row>
    <row r="420" customFormat="1" ht="18" spans="1:16">
      <c r="A420" s="14">
        <f t="shared" si="8"/>
        <v>419</v>
      </c>
      <c r="B420" s="31">
        <v>46180</v>
      </c>
      <c r="C420" s="32" t="s">
        <v>711</v>
      </c>
      <c r="D420" s="120" t="s">
        <v>477</v>
      </c>
      <c r="E420" s="33" t="s">
        <v>74</v>
      </c>
      <c r="F420" s="18" t="s">
        <v>64</v>
      </c>
      <c r="G420" s="18" t="s">
        <v>179</v>
      </c>
      <c r="H420" s="34" t="s">
        <v>86</v>
      </c>
      <c r="I420" s="18" t="s">
        <v>104</v>
      </c>
      <c r="J420" s="31" t="s">
        <v>114</v>
      </c>
      <c r="K420" s="31">
        <v>46180</v>
      </c>
      <c r="L420" s="4"/>
      <c r="M420" s="4"/>
      <c r="N420" s="13" t="s">
        <v>29</v>
      </c>
      <c r="O420" s="35" t="str">
        <f>IF(D420="","",IF(COUNTIF(离职清单!C:C,D420)&gt;0,"已离职","在职"))</f>
        <v>在职</v>
      </c>
      <c r="P420" s="35">
        <f>IF(AND(O420="在职",J420="是"),COUNTIF(O$2:O420,"在职"),"")</f>
        <v>413</v>
      </c>
    </row>
    <row r="421" customFormat="1" ht="18" spans="1:16">
      <c r="A421" s="10">
        <f t="shared" si="8"/>
        <v>420</v>
      </c>
      <c r="B421" s="31">
        <v>46180</v>
      </c>
      <c r="C421" s="32" t="s">
        <v>712</v>
      </c>
      <c r="D421" s="120" t="s">
        <v>478</v>
      </c>
      <c r="E421" s="33" t="s">
        <v>74</v>
      </c>
      <c r="F421" s="18" t="s">
        <v>64</v>
      </c>
      <c r="G421" s="18" t="s">
        <v>179</v>
      </c>
      <c r="H421" s="34" t="s">
        <v>86</v>
      </c>
      <c r="I421" s="18" t="s">
        <v>104</v>
      </c>
      <c r="J421" s="31" t="s">
        <v>114</v>
      </c>
      <c r="K421" s="31">
        <v>46180</v>
      </c>
      <c r="L421" s="4"/>
      <c r="M421" s="4"/>
      <c r="N421" s="13" t="s">
        <v>29</v>
      </c>
      <c r="O421" s="35" t="str">
        <f>IF(D421="","",IF(COUNTIF(离职清单!C:C,D421)&gt;0,"已离职","在职"))</f>
        <v>在职</v>
      </c>
      <c r="P421" s="35">
        <f>IF(AND(O421="在职",J421="是"),COUNTIF(O$2:O421,"在职"),"")</f>
        <v>414</v>
      </c>
    </row>
    <row r="422" customFormat="1" ht="18" spans="1:16">
      <c r="A422" s="14">
        <f t="shared" si="8"/>
        <v>421</v>
      </c>
      <c r="B422" s="31">
        <v>46180</v>
      </c>
      <c r="C422" s="32" t="s">
        <v>713</v>
      </c>
      <c r="D422" s="120" t="s">
        <v>480</v>
      </c>
      <c r="E422" s="33" t="s">
        <v>42</v>
      </c>
      <c r="F422" s="18" t="s">
        <v>64</v>
      </c>
      <c r="G422" s="18" t="s">
        <v>179</v>
      </c>
      <c r="H422" s="34" t="s">
        <v>86</v>
      </c>
      <c r="I422" s="18" t="s">
        <v>111</v>
      </c>
      <c r="J422" s="31" t="s">
        <v>105</v>
      </c>
      <c r="K422" s="31">
        <v>46180</v>
      </c>
      <c r="L422" s="4"/>
      <c r="M422" s="4"/>
      <c r="N422" s="13" t="s">
        <v>29</v>
      </c>
      <c r="O422" s="35" t="str">
        <f>IF(D422="","",IF(COUNTIF(离职清单!C:C,D422)&gt;0,"已离职","在职"))</f>
        <v>在职</v>
      </c>
      <c r="P422" s="35" t="str">
        <f>IF(AND(O422="在职",J422="是"),COUNTIF(O$2:O422,"在职"),"")</f>
        <v/>
      </c>
    </row>
    <row r="423" customFormat="1" ht="18" spans="1:16">
      <c r="A423" s="10">
        <f t="shared" si="8"/>
        <v>422</v>
      </c>
      <c r="B423" s="31">
        <v>46180</v>
      </c>
      <c r="C423" s="32" t="s">
        <v>714</v>
      </c>
      <c r="D423" s="120" t="s">
        <v>482</v>
      </c>
      <c r="E423" s="33" t="s">
        <v>42</v>
      </c>
      <c r="F423" s="18" t="s">
        <v>64</v>
      </c>
      <c r="G423" s="18" t="s">
        <v>179</v>
      </c>
      <c r="H423" s="34" t="s">
        <v>86</v>
      </c>
      <c r="I423" s="18" t="s">
        <v>111</v>
      </c>
      <c r="J423" s="31" t="s">
        <v>105</v>
      </c>
      <c r="K423" s="31">
        <v>46180</v>
      </c>
      <c r="L423" s="4"/>
      <c r="M423" s="4"/>
      <c r="N423" s="13" t="s">
        <v>29</v>
      </c>
      <c r="O423" s="35" t="str">
        <f>IF(D423="","",IF(COUNTIF(离职清单!C:C,D423)&gt;0,"已离职","在职"))</f>
        <v>在职</v>
      </c>
      <c r="P423" s="35" t="str">
        <f>IF(AND(O423="在职",J423="是"),COUNTIF(O$2:O423,"在职"),"")</f>
        <v/>
      </c>
    </row>
    <row r="424" customFormat="1" ht="18" spans="1:16">
      <c r="A424" s="14">
        <f t="shared" si="8"/>
        <v>423</v>
      </c>
      <c r="B424" s="31">
        <v>46180</v>
      </c>
      <c r="C424" s="32" t="s">
        <v>715</v>
      </c>
      <c r="D424" s="120" t="s">
        <v>484</v>
      </c>
      <c r="E424" s="33" t="s">
        <v>74</v>
      </c>
      <c r="F424" s="18" t="s">
        <v>64</v>
      </c>
      <c r="G424" s="18" t="s">
        <v>179</v>
      </c>
      <c r="H424" s="34" t="s">
        <v>86</v>
      </c>
      <c r="I424" s="18" t="s">
        <v>111</v>
      </c>
      <c r="J424" s="31" t="s">
        <v>105</v>
      </c>
      <c r="K424" s="31">
        <v>46180</v>
      </c>
      <c r="L424" s="4"/>
      <c r="M424" s="4"/>
      <c r="N424" s="13" t="s">
        <v>29</v>
      </c>
      <c r="O424" s="35" t="str">
        <f>IF(D424="","",IF(COUNTIF(离职清单!C:C,D424)&gt;0,"已离职","在职"))</f>
        <v>在职</v>
      </c>
      <c r="P424" s="35" t="str">
        <f>IF(AND(O424="在职",J424="是"),COUNTIF(O$2:O424,"在职"),"")</f>
        <v/>
      </c>
    </row>
    <row r="425" customFormat="1" ht="18" spans="1:16">
      <c r="A425" s="14">
        <f t="shared" si="8"/>
        <v>424</v>
      </c>
      <c r="B425" s="31">
        <v>46180</v>
      </c>
      <c r="C425" s="32" t="s">
        <v>716</v>
      </c>
      <c r="D425" s="120" t="s">
        <v>486</v>
      </c>
      <c r="E425" s="33" t="s">
        <v>74</v>
      </c>
      <c r="F425" s="18" t="s">
        <v>64</v>
      </c>
      <c r="G425" s="18" t="s">
        <v>179</v>
      </c>
      <c r="H425" s="34" t="s">
        <v>86</v>
      </c>
      <c r="I425" s="18" t="s">
        <v>111</v>
      </c>
      <c r="J425" s="31" t="s">
        <v>105</v>
      </c>
      <c r="K425" s="31">
        <v>46180</v>
      </c>
      <c r="L425" s="4"/>
      <c r="M425" s="4"/>
      <c r="N425" s="13" t="s">
        <v>29</v>
      </c>
      <c r="O425" s="35" t="str">
        <f>IF(D425="","",IF(COUNTIF(离职清单!C:C,D425)&gt;0,"已离职","在职"))</f>
        <v>在职</v>
      </c>
      <c r="P425" s="35" t="str">
        <f>IF(AND(O425="在职",J425="是"),COUNTIF(O$2:O425,"在职"),"")</f>
        <v/>
      </c>
    </row>
    <row r="426" customFormat="1" ht="18" spans="1:16">
      <c r="A426" s="10">
        <f t="shared" si="8"/>
        <v>425</v>
      </c>
      <c r="B426" s="31">
        <v>46180</v>
      </c>
      <c r="C426" s="32" t="s">
        <v>717</v>
      </c>
      <c r="D426" s="120" t="s">
        <v>488</v>
      </c>
      <c r="E426" s="33" t="s">
        <v>74</v>
      </c>
      <c r="F426" s="18" t="s">
        <v>64</v>
      </c>
      <c r="G426" s="18" t="s">
        <v>179</v>
      </c>
      <c r="H426" s="34" t="s">
        <v>86</v>
      </c>
      <c r="I426" s="18" t="s">
        <v>104</v>
      </c>
      <c r="J426" s="31" t="s">
        <v>105</v>
      </c>
      <c r="K426" s="31">
        <v>46180</v>
      </c>
      <c r="L426" s="4"/>
      <c r="M426" s="4"/>
      <c r="N426" s="13" t="s">
        <v>29</v>
      </c>
      <c r="O426" s="35" t="str">
        <f>IF(D426="","",IF(COUNTIF(离职清单!C:C,D426)&gt;0,"已离职","在职"))</f>
        <v>在职</v>
      </c>
      <c r="P426" s="35" t="str">
        <f>IF(AND(O426="在职",J426="是"),COUNTIF(O$2:O426,"在职"),"")</f>
        <v/>
      </c>
    </row>
    <row r="427" customFormat="1" ht="18" spans="1:16">
      <c r="A427" s="14">
        <f t="shared" si="8"/>
        <v>426</v>
      </c>
      <c r="B427" s="31">
        <v>46180</v>
      </c>
      <c r="C427" s="32" t="s">
        <v>718</v>
      </c>
      <c r="D427" s="120" t="s">
        <v>490</v>
      </c>
      <c r="E427" s="33" t="s">
        <v>74</v>
      </c>
      <c r="F427" s="18" t="s">
        <v>190</v>
      </c>
      <c r="G427" s="18" t="s">
        <v>179</v>
      </c>
      <c r="H427" s="34" t="s">
        <v>86</v>
      </c>
      <c r="I427" s="18" t="s">
        <v>104</v>
      </c>
      <c r="J427" s="31" t="s">
        <v>114</v>
      </c>
      <c r="K427" s="31">
        <v>46180</v>
      </c>
      <c r="L427" s="4"/>
      <c r="M427" s="4"/>
      <c r="N427" s="13" t="s">
        <v>29</v>
      </c>
      <c r="O427" s="35" t="str">
        <f>IF(D427="","",IF(COUNTIF(离职清单!C:C,D427)&gt;0,"已离职","在职"))</f>
        <v>在职</v>
      </c>
      <c r="P427" s="35">
        <f>IF(AND(O427="在职",J427="是"),COUNTIF(O$2:O427,"在职"),"")</f>
        <v>420</v>
      </c>
    </row>
    <row r="428" customFormat="1" ht="18" spans="1:16">
      <c r="A428" s="10">
        <f t="shared" si="8"/>
        <v>427</v>
      </c>
      <c r="B428" s="31">
        <v>46180</v>
      </c>
      <c r="C428" s="32" t="s">
        <v>719</v>
      </c>
      <c r="D428" s="120" t="s">
        <v>492</v>
      </c>
      <c r="E428" s="33" t="s">
        <v>74</v>
      </c>
      <c r="F428" s="18" t="s">
        <v>190</v>
      </c>
      <c r="G428" s="18" t="s">
        <v>179</v>
      </c>
      <c r="H428" s="34" t="s">
        <v>86</v>
      </c>
      <c r="I428" s="18" t="s">
        <v>104</v>
      </c>
      <c r="J428" s="31" t="s">
        <v>114</v>
      </c>
      <c r="K428" s="31">
        <v>46180</v>
      </c>
      <c r="L428" s="4"/>
      <c r="M428" s="4"/>
      <c r="N428" s="13" t="s">
        <v>29</v>
      </c>
      <c r="O428" s="35" t="str">
        <f>IF(D428="","",IF(COUNTIF(离职清单!C:C,D428)&gt;0,"已离职","在职"))</f>
        <v>在职</v>
      </c>
      <c r="P428" s="35">
        <f>IF(AND(O428="在职",J428="是"),COUNTIF(O$2:O428,"在职"),"")</f>
        <v>421</v>
      </c>
    </row>
    <row r="429" customFormat="1" ht="18" spans="1:16">
      <c r="A429" s="10">
        <f t="shared" si="8"/>
        <v>428</v>
      </c>
      <c r="B429" s="31">
        <v>46180</v>
      </c>
      <c r="C429" s="32" t="s">
        <v>720</v>
      </c>
      <c r="D429" s="120" t="s">
        <v>477</v>
      </c>
      <c r="E429" s="33" t="s">
        <v>43</v>
      </c>
      <c r="F429" s="18" t="s">
        <v>64</v>
      </c>
      <c r="G429" s="18" t="s">
        <v>179</v>
      </c>
      <c r="H429" s="34" t="s">
        <v>86</v>
      </c>
      <c r="I429" s="18" t="s">
        <v>104</v>
      </c>
      <c r="J429" s="31" t="s">
        <v>114</v>
      </c>
      <c r="K429" s="31">
        <v>46180</v>
      </c>
      <c r="L429" s="4"/>
      <c r="M429" s="4"/>
      <c r="N429" s="13" t="s">
        <v>29</v>
      </c>
      <c r="O429" s="35" t="str">
        <f>IF(D429="","",IF(COUNTIF(离职清单!C:C,D429)&gt;0,"已离职","在职"))</f>
        <v>在职</v>
      </c>
      <c r="P429" s="35">
        <f>IF(AND(O429="在职",J429="是"),COUNTIF(O$2:O429,"在职"),"")</f>
        <v>422</v>
      </c>
    </row>
    <row r="430" customFormat="1" ht="18" spans="1:16">
      <c r="A430" s="14">
        <f t="shared" si="8"/>
        <v>429</v>
      </c>
      <c r="B430" s="31">
        <v>46180</v>
      </c>
      <c r="C430" s="32" t="s">
        <v>721</v>
      </c>
      <c r="D430" s="120" t="s">
        <v>478</v>
      </c>
      <c r="E430" s="33" t="s">
        <v>43</v>
      </c>
      <c r="F430" s="18" t="s">
        <v>64</v>
      </c>
      <c r="G430" s="18" t="s">
        <v>179</v>
      </c>
      <c r="H430" s="34" t="s">
        <v>86</v>
      </c>
      <c r="I430" s="18" t="s">
        <v>104</v>
      </c>
      <c r="J430" s="31" t="s">
        <v>114</v>
      </c>
      <c r="K430" s="31">
        <v>46180</v>
      </c>
      <c r="L430" s="4"/>
      <c r="M430" s="4"/>
      <c r="N430" s="13" t="s">
        <v>29</v>
      </c>
      <c r="O430" s="35" t="str">
        <f>IF(D430="","",IF(COUNTIF(离职清单!C:C,D430)&gt;0,"已离职","在职"))</f>
        <v>在职</v>
      </c>
      <c r="P430" s="35">
        <f>IF(AND(O430="在职",J430="是"),COUNTIF(O$2:O430,"在职"),"")</f>
        <v>423</v>
      </c>
    </row>
    <row r="431" customFormat="1" ht="18" spans="1:16">
      <c r="A431" s="10">
        <f t="shared" si="8"/>
        <v>430</v>
      </c>
      <c r="B431" s="31">
        <v>46180</v>
      </c>
      <c r="C431" s="32" t="s">
        <v>722</v>
      </c>
      <c r="D431" s="120" t="s">
        <v>480</v>
      </c>
      <c r="E431" s="33" t="s">
        <v>43</v>
      </c>
      <c r="F431" s="18" t="s">
        <v>64</v>
      </c>
      <c r="G431" s="18" t="s">
        <v>179</v>
      </c>
      <c r="H431" s="34" t="s">
        <v>86</v>
      </c>
      <c r="I431" s="18" t="s">
        <v>111</v>
      </c>
      <c r="J431" s="31" t="s">
        <v>105</v>
      </c>
      <c r="K431" s="31">
        <v>46180</v>
      </c>
      <c r="L431" s="4"/>
      <c r="M431" s="4"/>
      <c r="N431" s="13" t="s">
        <v>29</v>
      </c>
      <c r="O431" s="35" t="str">
        <f>IF(D431="","",IF(COUNTIF(离职清单!C:C,D431)&gt;0,"已离职","在职"))</f>
        <v>在职</v>
      </c>
      <c r="P431" s="35" t="str">
        <f>IF(AND(O431="在职",J431="是"),COUNTIF(O$2:O431,"在职"),"")</f>
        <v/>
      </c>
    </row>
    <row r="432" customFormat="1" ht="18" spans="1:16">
      <c r="A432" s="10">
        <f t="shared" ref="A432:A474" si="9">IF(B432&lt;&gt;"",ROW()-1,"")</f>
        <v>431</v>
      </c>
      <c r="B432" s="31">
        <v>46180</v>
      </c>
      <c r="C432" s="32" t="s">
        <v>723</v>
      </c>
      <c r="D432" s="120" t="s">
        <v>482</v>
      </c>
      <c r="E432" s="33" t="s">
        <v>43</v>
      </c>
      <c r="F432" s="18" t="s">
        <v>64</v>
      </c>
      <c r="G432" s="18" t="s">
        <v>578</v>
      </c>
      <c r="H432" s="34" t="s">
        <v>86</v>
      </c>
      <c r="I432" s="18" t="s">
        <v>111</v>
      </c>
      <c r="J432" s="31" t="s">
        <v>105</v>
      </c>
      <c r="K432" s="31">
        <v>46180</v>
      </c>
      <c r="L432" s="4"/>
      <c r="M432" s="4"/>
      <c r="N432" s="13" t="s">
        <v>29</v>
      </c>
      <c r="O432" s="35" t="str">
        <f>IF(D432="","",IF(COUNTIF(离职清单!C:C,D432)&gt;0,"已离职","在职"))</f>
        <v>在职</v>
      </c>
      <c r="P432" s="35" t="str">
        <f>IF(AND(O432="在职",J432="是"),COUNTIF(O$2:O432,"在职"),"")</f>
        <v/>
      </c>
    </row>
    <row r="433" customFormat="1" ht="18" spans="1:16">
      <c r="A433" s="14">
        <f t="shared" si="9"/>
        <v>432</v>
      </c>
      <c r="B433" s="31">
        <v>46180</v>
      </c>
      <c r="C433" s="32" t="s">
        <v>724</v>
      </c>
      <c r="D433" s="120" t="s">
        <v>484</v>
      </c>
      <c r="E433" s="33" t="s">
        <v>43</v>
      </c>
      <c r="F433" s="18" t="s">
        <v>64</v>
      </c>
      <c r="G433" s="18" t="s">
        <v>179</v>
      </c>
      <c r="H433" s="34" t="s">
        <v>86</v>
      </c>
      <c r="I433" s="18" t="s">
        <v>111</v>
      </c>
      <c r="J433" s="31" t="s">
        <v>105</v>
      </c>
      <c r="K433" s="31">
        <v>46180</v>
      </c>
      <c r="L433" s="4"/>
      <c r="M433" s="4"/>
      <c r="N433" s="13" t="s">
        <v>29</v>
      </c>
      <c r="O433" s="35" t="str">
        <f>IF(D433="","",IF(COUNTIF(离职清单!C:C,D433)&gt;0,"已离职","在职"))</f>
        <v>在职</v>
      </c>
      <c r="P433" s="35" t="str">
        <f>IF(AND(O433="在职",J433="是"),COUNTIF(O$2:O433,"在职"),"")</f>
        <v/>
      </c>
    </row>
    <row r="434" customFormat="1" ht="18" spans="1:16">
      <c r="A434" s="10">
        <f t="shared" si="9"/>
        <v>433</v>
      </c>
      <c r="B434" s="31">
        <v>46180</v>
      </c>
      <c r="C434" s="32" t="s">
        <v>725</v>
      </c>
      <c r="D434" s="120" t="s">
        <v>486</v>
      </c>
      <c r="E434" s="33" t="s">
        <v>74</v>
      </c>
      <c r="F434" s="18" t="s">
        <v>64</v>
      </c>
      <c r="G434" s="18" t="s">
        <v>135</v>
      </c>
      <c r="H434" s="34" t="s">
        <v>86</v>
      </c>
      <c r="I434" s="18" t="s">
        <v>104</v>
      </c>
      <c r="J434" s="31" t="s">
        <v>114</v>
      </c>
      <c r="K434" s="31">
        <v>46180</v>
      </c>
      <c r="L434" s="4"/>
      <c r="M434" s="4"/>
      <c r="N434" s="13" t="s">
        <v>29</v>
      </c>
      <c r="O434" s="35" t="str">
        <f>IF(D434="","",IF(COUNTIF(离职清单!C:C,D434)&gt;0,"已离职","在职"))</f>
        <v>在职</v>
      </c>
      <c r="P434" s="35">
        <f>IF(AND(O434="在职",J434="是"),COUNTIF(O$2:O434,"在职"),"")</f>
        <v>427</v>
      </c>
    </row>
    <row r="435" customFormat="1" ht="18" spans="1:16">
      <c r="A435" s="14">
        <f t="shared" si="9"/>
        <v>434</v>
      </c>
      <c r="B435" s="31">
        <v>46180</v>
      </c>
      <c r="C435" s="32" t="s">
        <v>726</v>
      </c>
      <c r="D435" s="120" t="s">
        <v>488</v>
      </c>
      <c r="E435" s="33" t="s">
        <v>74</v>
      </c>
      <c r="F435" s="18" t="s">
        <v>64</v>
      </c>
      <c r="G435" s="18" t="s">
        <v>135</v>
      </c>
      <c r="H435" s="34" t="s">
        <v>86</v>
      </c>
      <c r="I435" s="18" t="s">
        <v>104</v>
      </c>
      <c r="J435" s="31" t="s">
        <v>114</v>
      </c>
      <c r="K435" s="31">
        <v>46180</v>
      </c>
      <c r="L435" s="4"/>
      <c r="M435" s="4"/>
      <c r="N435" s="13" t="s">
        <v>29</v>
      </c>
      <c r="O435" s="35" t="str">
        <f>IF(D435="","",IF(COUNTIF(离职清单!C:C,D435)&gt;0,"已离职","在职"))</f>
        <v>在职</v>
      </c>
      <c r="P435" s="35">
        <f>IF(AND(O435="在职",J435="是"),COUNTIF(O$2:O435,"在职"),"")</f>
        <v>428</v>
      </c>
    </row>
    <row r="436" customFormat="1" ht="18" spans="1:16">
      <c r="A436" s="10">
        <f t="shared" si="9"/>
        <v>435</v>
      </c>
      <c r="B436" s="31">
        <v>46180</v>
      </c>
      <c r="C436" s="32" t="s">
        <v>724</v>
      </c>
      <c r="D436" s="120" t="s">
        <v>490</v>
      </c>
      <c r="E436" s="33" t="s">
        <v>74</v>
      </c>
      <c r="F436" s="18" t="s">
        <v>64</v>
      </c>
      <c r="G436" s="18" t="s">
        <v>179</v>
      </c>
      <c r="H436" s="34" t="s">
        <v>86</v>
      </c>
      <c r="I436" s="18" t="s">
        <v>104</v>
      </c>
      <c r="J436" s="31" t="s">
        <v>114</v>
      </c>
      <c r="K436" s="31">
        <v>46180</v>
      </c>
      <c r="L436" s="4"/>
      <c r="M436" s="4"/>
      <c r="N436" s="13" t="s">
        <v>29</v>
      </c>
      <c r="O436" s="35" t="str">
        <f>IF(D436="","",IF(COUNTIF(离职清单!C:C,D436)&gt;0,"已离职","在职"))</f>
        <v>在职</v>
      </c>
      <c r="P436" s="35">
        <f>IF(AND(O436="在职",J436="是"),COUNTIF(O$2:O436,"在职"),"")</f>
        <v>429</v>
      </c>
    </row>
    <row r="437" customFormat="1" ht="18" spans="1:16">
      <c r="A437" s="14">
        <f t="shared" si="9"/>
        <v>436</v>
      </c>
      <c r="B437" s="31">
        <v>46180</v>
      </c>
      <c r="C437" s="32" t="s">
        <v>722</v>
      </c>
      <c r="D437" s="120" t="s">
        <v>492</v>
      </c>
      <c r="E437" s="33" t="s">
        <v>74</v>
      </c>
      <c r="F437" s="18" t="s">
        <v>64</v>
      </c>
      <c r="G437" s="18" t="s">
        <v>179</v>
      </c>
      <c r="H437" s="34" t="s">
        <v>86</v>
      </c>
      <c r="I437" s="18" t="s">
        <v>104</v>
      </c>
      <c r="J437" s="31" t="s">
        <v>114</v>
      </c>
      <c r="K437" s="31">
        <v>46180</v>
      </c>
      <c r="L437" s="4"/>
      <c r="M437" s="4"/>
      <c r="N437" s="13" t="s">
        <v>29</v>
      </c>
      <c r="O437" s="35" t="str">
        <f>IF(D437="","",IF(COUNTIF(离职清单!C:C,D437)&gt;0,"已离职","在职"))</f>
        <v>在职</v>
      </c>
      <c r="P437" s="35">
        <f>IF(AND(O437="在职",J437="是"),COUNTIF(O$2:O437,"在职"),"")</f>
        <v>430</v>
      </c>
    </row>
    <row r="438" customFormat="1" ht="18" spans="1:16">
      <c r="A438" s="10">
        <f t="shared" si="9"/>
        <v>437</v>
      </c>
      <c r="B438" s="31">
        <v>46180</v>
      </c>
      <c r="C438" s="32" t="s">
        <v>727</v>
      </c>
      <c r="D438" s="120" t="s">
        <v>477</v>
      </c>
      <c r="E438" s="33" t="s">
        <v>74</v>
      </c>
      <c r="F438" s="18" t="s">
        <v>64</v>
      </c>
      <c r="G438" s="18" t="s">
        <v>179</v>
      </c>
      <c r="H438" s="34" t="s">
        <v>86</v>
      </c>
      <c r="I438" s="18" t="s">
        <v>111</v>
      </c>
      <c r="J438" s="31" t="s">
        <v>105</v>
      </c>
      <c r="K438" s="31">
        <v>46180</v>
      </c>
      <c r="L438" s="4"/>
      <c r="M438" s="4"/>
      <c r="N438" s="13" t="s">
        <v>29</v>
      </c>
      <c r="O438" s="35" t="str">
        <f>IF(D438="","",IF(COUNTIF(离职清单!C:C,D438)&gt;0,"已离职","在职"))</f>
        <v>在职</v>
      </c>
      <c r="P438" s="35" t="str">
        <f>IF(AND(O438="在职",J438="是"),COUNTIF(O$2:O438,"在职"),"")</f>
        <v/>
      </c>
    </row>
    <row r="439" customFormat="1" ht="18" spans="1:16">
      <c r="A439" s="14">
        <f t="shared" si="9"/>
        <v>438</v>
      </c>
      <c r="B439" s="31">
        <v>46180</v>
      </c>
      <c r="C439" s="32" t="s">
        <v>574</v>
      </c>
      <c r="D439" s="120" t="s">
        <v>478</v>
      </c>
      <c r="E439" s="33" t="s">
        <v>42</v>
      </c>
      <c r="F439" s="18" t="s">
        <v>64</v>
      </c>
      <c r="G439" s="18" t="s">
        <v>117</v>
      </c>
      <c r="H439" s="34" t="s">
        <v>86</v>
      </c>
      <c r="I439" s="18" t="s">
        <v>104</v>
      </c>
      <c r="J439" s="31" t="s">
        <v>114</v>
      </c>
      <c r="K439" s="31">
        <v>46180</v>
      </c>
      <c r="L439" s="4"/>
      <c r="M439" s="4"/>
      <c r="N439" s="13" t="s">
        <v>29</v>
      </c>
      <c r="O439" s="35" t="str">
        <f>IF(D439="","",IF(COUNTIF(离职清单!C:C,D439)&gt;0,"已离职","在职"))</f>
        <v>在职</v>
      </c>
      <c r="P439" s="35">
        <f>IF(AND(O439="在职",J439="是"),COUNTIF(O$2:O439,"在职"),"")</f>
        <v>432</v>
      </c>
    </row>
    <row r="440" customFormat="1" ht="18" spans="1:16">
      <c r="A440" s="10">
        <f t="shared" si="9"/>
        <v>439</v>
      </c>
      <c r="B440" s="31">
        <v>46180</v>
      </c>
      <c r="C440" s="32" t="s">
        <v>728</v>
      </c>
      <c r="D440" s="120" t="s">
        <v>480</v>
      </c>
      <c r="E440" s="33" t="s">
        <v>74</v>
      </c>
      <c r="F440" s="18" t="s">
        <v>190</v>
      </c>
      <c r="G440" s="18" t="s">
        <v>179</v>
      </c>
      <c r="H440" s="34" t="s">
        <v>86</v>
      </c>
      <c r="I440" s="18" t="s">
        <v>111</v>
      </c>
      <c r="J440" s="31" t="s">
        <v>105</v>
      </c>
      <c r="K440" s="31">
        <v>46180</v>
      </c>
      <c r="L440" s="4"/>
      <c r="M440" s="4"/>
      <c r="N440" s="13" t="s">
        <v>29</v>
      </c>
      <c r="O440" s="35" t="str">
        <f>IF(D440="","",IF(COUNTIF(离职清单!C:C,D440)&gt;0,"已离职","在职"))</f>
        <v>在职</v>
      </c>
      <c r="P440" s="35" t="str">
        <f>IF(AND(O440="在职",J440="是"),COUNTIF(O$2:O440,"在职"),"")</f>
        <v/>
      </c>
    </row>
    <row r="441" customFormat="1" ht="18" spans="1:16">
      <c r="A441" s="14">
        <f t="shared" si="9"/>
        <v>440</v>
      </c>
      <c r="B441" s="31">
        <v>46180</v>
      </c>
      <c r="C441" s="32" t="s">
        <v>729</v>
      </c>
      <c r="D441" s="120" t="s">
        <v>482</v>
      </c>
      <c r="E441" s="33" t="s">
        <v>74</v>
      </c>
      <c r="F441" s="18" t="s">
        <v>190</v>
      </c>
      <c r="G441" s="18" t="s">
        <v>179</v>
      </c>
      <c r="H441" s="34" t="s">
        <v>86</v>
      </c>
      <c r="I441" s="18" t="s">
        <v>104</v>
      </c>
      <c r="J441" s="31" t="s">
        <v>114</v>
      </c>
      <c r="K441" s="31">
        <v>46180</v>
      </c>
      <c r="L441" s="4"/>
      <c r="M441" s="4"/>
      <c r="N441" s="13" t="s">
        <v>29</v>
      </c>
      <c r="O441" s="35" t="str">
        <f>IF(D441="","",IF(COUNTIF(离职清单!C:C,D441)&gt;0,"已离职","在职"))</f>
        <v>在职</v>
      </c>
      <c r="P441" s="35">
        <f>IF(AND(O441="在职",J441="是"),COUNTIF(O$2:O441,"在职"),"")</f>
        <v>434</v>
      </c>
    </row>
    <row r="442" customFormat="1" ht="18" spans="1:16">
      <c r="A442" s="10">
        <f t="shared" si="9"/>
        <v>441</v>
      </c>
      <c r="B442" s="31">
        <v>46181</v>
      </c>
      <c r="C442" s="32" t="s">
        <v>730</v>
      </c>
      <c r="D442" s="120" t="s">
        <v>484</v>
      </c>
      <c r="E442" s="33" t="s">
        <v>74</v>
      </c>
      <c r="F442" s="18" t="s">
        <v>64</v>
      </c>
      <c r="G442" s="18" t="s">
        <v>135</v>
      </c>
      <c r="H442" s="34" t="s">
        <v>86</v>
      </c>
      <c r="I442" s="18" t="s">
        <v>104</v>
      </c>
      <c r="J442" s="31" t="s">
        <v>105</v>
      </c>
      <c r="K442" s="31">
        <v>46181</v>
      </c>
      <c r="L442" s="4"/>
      <c r="M442" s="4"/>
      <c r="N442" s="13" t="s">
        <v>29</v>
      </c>
      <c r="O442" s="35" t="str">
        <f>IF(D442="","",IF(COUNTIF(离职清单!C:C,D442)&gt;0,"已离职","在职"))</f>
        <v>在职</v>
      </c>
      <c r="P442" s="35" t="str">
        <f>IF(AND(O442="在职",J442="是"),COUNTIF(O$2:O442,"在职"),"")</f>
        <v/>
      </c>
    </row>
    <row r="443" customFormat="1" ht="18" spans="1:16">
      <c r="A443" s="14">
        <f t="shared" si="9"/>
        <v>442</v>
      </c>
      <c r="B443" s="31">
        <v>46181</v>
      </c>
      <c r="C443" s="32" t="s">
        <v>731</v>
      </c>
      <c r="D443" s="120" t="s">
        <v>486</v>
      </c>
      <c r="E443" s="33" t="s">
        <v>43</v>
      </c>
      <c r="F443" s="18" t="s">
        <v>62</v>
      </c>
      <c r="G443" s="18" t="s">
        <v>307</v>
      </c>
      <c r="H443" s="34" t="s">
        <v>86</v>
      </c>
      <c r="I443" s="18" t="s">
        <v>104</v>
      </c>
      <c r="J443" s="31" t="s">
        <v>114</v>
      </c>
      <c r="K443" s="31">
        <v>46181</v>
      </c>
      <c r="L443" s="4"/>
      <c r="M443" s="4"/>
      <c r="N443" s="13" t="s">
        <v>29</v>
      </c>
      <c r="O443" s="35" t="str">
        <f>IF(D443="","",IF(COUNTIF(离职清单!C:C,D443)&gt;0,"已离职","在职"))</f>
        <v>在职</v>
      </c>
      <c r="P443" s="35">
        <f>IF(AND(O443="在职",J443="是"),COUNTIF(O$2:O443,"在职"),"")</f>
        <v>436</v>
      </c>
    </row>
    <row r="444" customFormat="1" ht="18" spans="1:16">
      <c r="A444" s="10">
        <f t="shared" si="9"/>
        <v>443</v>
      </c>
      <c r="B444" s="31">
        <v>46181</v>
      </c>
      <c r="C444" s="32" t="s">
        <v>679</v>
      </c>
      <c r="D444" s="120" t="s">
        <v>488</v>
      </c>
      <c r="E444" s="33" t="s">
        <v>42</v>
      </c>
      <c r="F444" s="18" t="s">
        <v>64</v>
      </c>
      <c r="G444" s="18" t="s">
        <v>176</v>
      </c>
      <c r="H444" s="34" t="s">
        <v>86</v>
      </c>
      <c r="I444" s="18" t="s">
        <v>104</v>
      </c>
      <c r="J444" s="31" t="s">
        <v>114</v>
      </c>
      <c r="K444" s="31">
        <v>46181</v>
      </c>
      <c r="L444" s="4"/>
      <c r="M444" s="4"/>
      <c r="N444" s="13" t="s">
        <v>29</v>
      </c>
      <c r="O444" s="35" t="str">
        <f>IF(D444="","",IF(COUNTIF(离职清单!C:C,D444)&gt;0,"已离职","在职"))</f>
        <v>在职</v>
      </c>
      <c r="P444" s="35">
        <f>IF(AND(O444="在职",J444="是"),COUNTIF(O$2:O444,"在职"),"")</f>
        <v>437</v>
      </c>
    </row>
    <row r="445" customFormat="1" ht="18" spans="1:16">
      <c r="A445" s="14">
        <f t="shared" si="9"/>
        <v>444</v>
      </c>
      <c r="B445" s="31">
        <v>46181</v>
      </c>
      <c r="C445" s="32" t="s">
        <v>732</v>
      </c>
      <c r="D445" s="120" t="s">
        <v>490</v>
      </c>
      <c r="E445" s="33" t="s">
        <v>42</v>
      </c>
      <c r="F445" s="18" t="s">
        <v>62</v>
      </c>
      <c r="G445" s="18" t="s">
        <v>733</v>
      </c>
      <c r="H445" s="34" t="s">
        <v>86</v>
      </c>
      <c r="I445" s="18" t="s">
        <v>104</v>
      </c>
      <c r="J445" s="31" t="s">
        <v>114</v>
      </c>
      <c r="K445" s="31">
        <v>46181</v>
      </c>
      <c r="L445" s="4"/>
      <c r="M445" s="4"/>
      <c r="N445" s="13" t="s">
        <v>29</v>
      </c>
      <c r="O445" s="35" t="str">
        <f>IF(D445="","",IF(COUNTIF(离职清单!C:C,D445)&gt;0,"已离职","在职"))</f>
        <v>在职</v>
      </c>
      <c r="P445" s="35">
        <f>IF(AND(O445="在职",J445="是"),COUNTIF(O$2:O445,"在职"),"")</f>
        <v>438</v>
      </c>
    </row>
    <row r="446" customFormat="1" ht="18" spans="1:16">
      <c r="A446" s="10">
        <f t="shared" si="9"/>
        <v>445</v>
      </c>
      <c r="B446" s="31">
        <v>46181</v>
      </c>
      <c r="C446" s="32" t="s">
        <v>734</v>
      </c>
      <c r="D446" s="120" t="s">
        <v>492</v>
      </c>
      <c r="E446" s="33" t="s">
        <v>42</v>
      </c>
      <c r="F446" s="18" t="s">
        <v>64</v>
      </c>
      <c r="G446" s="18" t="s">
        <v>103</v>
      </c>
      <c r="H446" s="34" t="s">
        <v>86</v>
      </c>
      <c r="I446" s="18" t="s">
        <v>111</v>
      </c>
      <c r="J446" s="31" t="s">
        <v>105</v>
      </c>
      <c r="K446" s="31">
        <v>46181</v>
      </c>
      <c r="L446" s="4"/>
      <c r="M446" s="4"/>
      <c r="N446" s="13" t="s">
        <v>29</v>
      </c>
      <c r="O446" s="35" t="str">
        <f>IF(D446="","",IF(COUNTIF(离职清单!C:C,D446)&gt;0,"已离职","在职"))</f>
        <v>在职</v>
      </c>
      <c r="P446" s="35" t="str">
        <f>IF(AND(O446="在职",J446="是"),COUNTIF(O$2:O446,"在职"),"")</f>
        <v/>
      </c>
    </row>
    <row r="447" customFormat="1" ht="18" spans="1:16">
      <c r="A447" s="14">
        <f t="shared" si="9"/>
        <v>446</v>
      </c>
      <c r="B447" s="31">
        <v>46181</v>
      </c>
      <c r="C447" s="32" t="s">
        <v>735</v>
      </c>
      <c r="D447" s="120" t="s">
        <v>477</v>
      </c>
      <c r="E447" s="33" t="s">
        <v>42</v>
      </c>
      <c r="F447" s="18" t="s">
        <v>63</v>
      </c>
      <c r="G447" s="18" t="s">
        <v>103</v>
      </c>
      <c r="H447" s="34" t="s">
        <v>86</v>
      </c>
      <c r="I447" s="18" t="s">
        <v>104</v>
      </c>
      <c r="J447" s="31" t="s">
        <v>114</v>
      </c>
      <c r="K447" s="31">
        <v>46181</v>
      </c>
      <c r="L447" s="4"/>
      <c r="M447" s="4"/>
      <c r="N447" s="13" t="s">
        <v>29</v>
      </c>
      <c r="O447" s="35" t="str">
        <f>IF(D447="","",IF(COUNTIF(离职清单!C:C,D447)&gt;0,"已离职","在职"))</f>
        <v>在职</v>
      </c>
      <c r="P447" s="35">
        <f>IF(AND(O447="在职",J447="是"),COUNTIF(O$2:O447,"在职"),"")</f>
        <v>440</v>
      </c>
    </row>
    <row r="448" customFormat="1" ht="18" spans="1:16">
      <c r="A448" s="10">
        <f t="shared" si="9"/>
        <v>447</v>
      </c>
      <c r="B448" s="31">
        <v>46181</v>
      </c>
      <c r="C448" s="32" t="s">
        <v>736</v>
      </c>
      <c r="D448" s="120" t="s">
        <v>478</v>
      </c>
      <c r="E448" s="33" t="s">
        <v>42</v>
      </c>
      <c r="F448" s="18" t="s">
        <v>64</v>
      </c>
      <c r="G448" s="18" t="s">
        <v>148</v>
      </c>
      <c r="H448" s="34" t="s">
        <v>86</v>
      </c>
      <c r="I448" s="18" t="s">
        <v>111</v>
      </c>
      <c r="J448" s="31" t="s">
        <v>105</v>
      </c>
      <c r="K448" s="31">
        <v>46181</v>
      </c>
      <c r="L448" s="4"/>
      <c r="M448" s="4"/>
      <c r="N448" s="13" t="s">
        <v>29</v>
      </c>
      <c r="O448" s="35" t="str">
        <f>IF(D448="","",IF(COUNTIF(离职清单!C:C,D448)&gt;0,"已离职","在职"))</f>
        <v>在职</v>
      </c>
      <c r="P448" s="35" t="str">
        <f>IF(AND(O448="在职",J448="是"),COUNTIF(O$2:O448,"在职"),"")</f>
        <v/>
      </c>
    </row>
    <row r="449" customFormat="1" ht="18" spans="1:16">
      <c r="A449" s="14">
        <f t="shared" si="9"/>
        <v>448</v>
      </c>
      <c r="B449" s="31">
        <v>46181</v>
      </c>
      <c r="C449" s="32" t="s">
        <v>737</v>
      </c>
      <c r="D449" s="120" t="s">
        <v>480</v>
      </c>
      <c r="E449" s="33" t="s">
        <v>42</v>
      </c>
      <c r="F449" s="18" t="s">
        <v>64</v>
      </c>
      <c r="G449" s="18" t="s">
        <v>148</v>
      </c>
      <c r="H449" s="34" t="s">
        <v>86</v>
      </c>
      <c r="I449" s="18" t="s">
        <v>111</v>
      </c>
      <c r="J449" s="31" t="s">
        <v>105</v>
      </c>
      <c r="K449" s="31">
        <v>46181</v>
      </c>
      <c r="L449" s="4"/>
      <c r="M449" s="4"/>
      <c r="N449" s="13" t="s">
        <v>29</v>
      </c>
      <c r="O449" s="35" t="str">
        <f>IF(D449="","",IF(COUNTIF(离职清单!C:C,D449)&gt;0,"已离职","在职"))</f>
        <v>在职</v>
      </c>
      <c r="P449" s="35" t="str">
        <f>IF(AND(O449="在职",J449="是"),COUNTIF(O$2:O449,"在职"),"")</f>
        <v/>
      </c>
    </row>
    <row r="450" customFormat="1" ht="18" spans="1:16">
      <c r="A450" s="10">
        <f t="shared" si="9"/>
        <v>449</v>
      </c>
      <c r="B450" s="31">
        <v>46181</v>
      </c>
      <c r="C450" s="32" t="s">
        <v>738</v>
      </c>
      <c r="D450" s="120" t="s">
        <v>482</v>
      </c>
      <c r="E450" s="33" t="s">
        <v>42</v>
      </c>
      <c r="F450" s="18" t="s">
        <v>64</v>
      </c>
      <c r="G450" s="18" t="s">
        <v>148</v>
      </c>
      <c r="H450" s="34" t="s">
        <v>86</v>
      </c>
      <c r="I450" s="18" t="s">
        <v>104</v>
      </c>
      <c r="J450" s="31" t="s">
        <v>114</v>
      </c>
      <c r="K450" s="31">
        <v>46181</v>
      </c>
      <c r="L450" s="4"/>
      <c r="M450" s="4"/>
      <c r="N450" s="13" t="s">
        <v>29</v>
      </c>
      <c r="O450" s="35" t="str">
        <f>IF(D450="","",IF(COUNTIF(离职清单!C:C,D450)&gt;0,"已离职","在职"))</f>
        <v>在职</v>
      </c>
      <c r="P450" s="35">
        <f>IF(AND(O450="在职",J450="是"),COUNTIF(O$2:O450,"在职"),"")</f>
        <v>443</v>
      </c>
    </row>
    <row r="451" customFormat="1" ht="18" spans="1:16">
      <c r="A451" s="14">
        <f t="shared" si="9"/>
        <v>450</v>
      </c>
      <c r="B451" s="31">
        <v>46181</v>
      </c>
      <c r="C451" s="32" t="s">
        <v>739</v>
      </c>
      <c r="D451" s="120" t="s">
        <v>484</v>
      </c>
      <c r="E451" s="33" t="s">
        <v>42</v>
      </c>
      <c r="F451" s="18" t="s">
        <v>62</v>
      </c>
      <c r="G451" s="18" t="s">
        <v>148</v>
      </c>
      <c r="H451" s="34" t="s">
        <v>86</v>
      </c>
      <c r="I451" s="18" t="s">
        <v>111</v>
      </c>
      <c r="J451" s="31" t="s">
        <v>105</v>
      </c>
      <c r="K451" s="31">
        <v>46181</v>
      </c>
      <c r="L451" s="4"/>
      <c r="M451" s="4"/>
      <c r="N451" s="13" t="s">
        <v>29</v>
      </c>
      <c r="O451" s="35" t="str">
        <f>IF(D451="","",IF(COUNTIF(离职清单!C:C,D451)&gt;0,"已离职","在职"))</f>
        <v>在职</v>
      </c>
      <c r="P451" s="35" t="str">
        <f>IF(AND(O451="在职",J451="是"),COUNTIF(O$2:O451,"在职"),"")</f>
        <v/>
      </c>
    </row>
    <row r="452" customFormat="1" ht="18" spans="1:16">
      <c r="A452" s="10">
        <f t="shared" si="9"/>
        <v>451</v>
      </c>
      <c r="B452" s="31">
        <v>46181</v>
      </c>
      <c r="C452" s="32" t="s">
        <v>740</v>
      </c>
      <c r="D452" s="120" t="s">
        <v>486</v>
      </c>
      <c r="E452" s="33" t="s">
        <v>43</v>
      </c>
      <c r="F452" s="18" t="s">
        <v>64</v>
      </c>
      <c r="G452" s="18" t="s">
        <v>148</v>
      </c>
      <c r="H452" s="34" t="s">
        <v>86</v>
      </c>
      <c r="I452" s="18" t="s">
        <v>111</v>
      </c>
      <c r="J452" s="31" t="s">
        <v>105</v>
      </c>
      <c r="K452" s="31">
        <v>46181</v>
      </c>
      <c r="L452" s="4"/>
      <c r="M452" s="4"/>
      <c r="N452" s="13" t="s">
        <v>29</v>
      </c>
      <c r="O452" s="35" t="str">
        <f>IF(D452="","",IF(COUNTIF(离职清单!C:C,D452)&gt;0,"已离职","在职"))</f>
        <v>在职</v>
      </c>
      <c r="P452" s="35" t="str">
        <f>IF(AND(O452="在职",J452="是"),COUNTIF(O$2:O452,"在职"),"")</f>
        <v/>
      </c>
    </row>
    <row r="453" customFormat="1" ht="18" spans="1:16">
      <c r="A453" s="14">
        <f t="shared" si="9"/>
        <v>452</v>
      </c>
      <c r="B453" s="31">
        <v>46181</v>
      </c>
      <c r="C453" s="32" t="s">
        <v>741</v>
      </c>
      <c r="D453" s="120" t="s">
        <v>488</v>
      </c>
      <c r="E453" s="33" t="s">
        <v>42</v>
      </c>
      <c r="F453" s="18" t="s">
        <v>64</v>
      </c>
      <c r="G453" s="18" t="s">
        <v>148</v>
      </c>
      <c r="H453" s="34" t="s">
        <v>86</v>
      </c>
      <c r="I453" s="18" t="s">
        <v>111</v>
      </c>
      <c r="J453" s="31" t="s">
        <v>105</v>
      </c>
      <c r="K453" s="31">
        <v>46181</v>
      </c>
      <c r="L453" s="4"/>
      <c r="M453" s="4"/>
      <c r="N453" s="13" t="s">
        <v>29</v>
      </c>
      <c r="O453" s="35" t="str">
        <f>IF(D453="","",IF(COUNTIF(离职清单!C:C,D453)&gt;0,"已离职","在职"))</f>
        <v>在职</v>
      </c>
      <c r="P453" s="35" t="str">
        <f>IF(AND(O453="在职",J453="是"),COUNTIF(O$2:O453,"在职"),"")</f>
        <v/>
      </c>
    </row>
    <row r="454" customFormat="1" ht="18" spans="1:16">
      <c r="A454" s="10">
        <f t="shared" si="9"/>
        <v>453</v>
      </c>
      <c r="B454" s="31">
        <v>46181</v>
      </c>
      <c r="C454" s="32" t="s">
        <v>742</v>
      </c>
      <c r="D454" s="120" t="s">
        <v>490</v>
      </c>
      <c r="E454" s="33" t="s">
        <v>43</v>
      </c>
      <c r="F454" s="18" t="s">
        <v>64</v>
      </c>
      <c r="G454" s="18" t="s">
        <v>124</v>
      </c>
      <c r="H454" s="34" t="s">
        <v>86</v>
      </c>
      <c r="I454" s="18" t="s">
        <v>111</v>
      </c>
      <c r="J454" s="31" t="s">
        <v>105</v>
      </c>
      <c r="K454" s="31">
        <v>46181</v>
      </c>
      <c r="L454" s="4"/>
      <c r="M454" s="4"/>
      <c r="N454" s="13" t="s">
        <v>29</v>
      </c>
      <c r="O454" s="35" t="str">
        <f>IF(D454="","",IF(COUNTIF(离职清单!C:C,D454)&gt;0,"已离职","在职"))</f>
        <v>在职</v>
      </c>
      <c r="P454" s="35" t="str">
        <f>IF(AND(O454="在职",J454="是"),COUNTIF(O$2:O454,"在职"),"")</f>
        <v/>
      </c>
    </row>
    <row r="455" customFormat="1" ht="18" spans="1:16">
      <c r="A455" s="14">
        <f t="shared" si="9"/>
        <v>454</v>
      </c>
      <c r="B455" s="31">
        <v>46181</v>
      </c>
      <c r="C455" s="32" t="s">
        <v>743</v>
      </c>
      <c r="D455" s="120" t="s">
        <v>492</v>
      </c>
      <c r="E455" s="33" t="s">
        <v>42</v>
      </c>
      <c r="F455" s="18" t="s">
        <v>64</v>
      </c>
      <c r="G455" s="18" t="s">
        <v>744</v>
      </c>
      <c r="H455" s="34" t="s">
        <v>86</v>
      </c>
      <c r="I455" s="18" t="s">
        <v>104</v>
      </c>
      <c r="J455" s="31" t="s">
        <v>114</v>
      </c>
      <c r="K455" s="31">
        <v>46181</v>
      </c>
      <c r="L455" s="4"/>
      <c r="M455" s="4"/>
      <c r="N455" s="13" t="s">
        <v>29</v>
      </c>
      <c r="O455" s="35" t="str">
        <f>IF(D455="","",IF(COUNTIF(离职清单!C:C,D455)&gt;0,"已离职","在职"))</f>
        <v>在职</v>
      </c>
      <c r="P455" s="35">
        <f>IF(AND(O455="在职",J455="是"),COUNTIF(O$2:O455,"在职"),"")</f>
        <v>448</v>
      </c>
    </row>
    <row r="456" customFormat="1" ht="18" spans="1:16">
      <c r="A456" s="10">
        <f t="shared" si="9"/>
        <v>455</v>
      </c>
      <c r="B456" s="31">
        <v>46181</v>
      </c>
      <c r="C456" s="32" t="s">
        <v>745</v>
      </c>
      <c r="D456" s="120" t="s">
        <v>477</v>
      </c>
      <c r="E456" s="33" t="s">
        <v>42</v>
      </c>
      <c r="F456" s="18" t="s">
        <v>64</v>
      </c>
      <c r="G456" s="18" t="s">
        <v>744</v>
      </c>
      <c r="H456" s="34" t="s">
        <v>86</v>
      </c>
      <c r="I456" s="18" t="s">
        <v>111</v>
      </c>
      <c r="J456" s="31" t="s">
        <v>105</v>
      </c>
      <c r="K456" s="31">
        <v>46181</v>
      </c>
      <c r="L456" s="4"/>
      <c r="M456" s="4"/>
      <c r="N456" s="13" t="s">
        <v>29</v>
      </c>
      <c r="O456" s="35" t="str">
        <f>IF(D456="","",IF(COUNTIF(离职清单!C:C,D456)&gt;0,"已离职","在职"))</f>
        <v>在职</v>
      </c>
      <c r="P456" s="35" t="str">
        <f>IF(AND(O456="在职",J456="是"),COUNTIF(O$2:O456,"在职"),"")</f>
        <v/>
      </c>
    </row>
    <row r="457" customFormat="1" ht="18" spans="1:16">
      <c r="A457" s="14">
        <f t="shared" si="9"/>
        <v>456</v>
      </c>
      <c r="B457" s="31">
        <v>46181</v>
      </c>
      <c r="C457" s="32" t="s">
        <v>746</v>
      </c>
      <c r="D457" s="120" t="s">
        <v>477</v>
      </c>
      <c r="E457" s="33" t="s">
        <v>42</v>
      </c>
      <c r="F457" s="18" t="s">
        <v>64</v>
      </c>
      <c r="G457" s="18" t="s">
        <v>744</v>
      </c>
      <c r="H457" s="34" t="s">
        <v>86</v>
      </c>
      <c r="I457" s="18" t="s">
        <v>111</v>
      </c>
      <c r="J457" s="31" t="s">
        <v>105</v>
      </c>
      <c r="K457" s="31">
        <v>46181</v>
      </c>
      <c r="L457" s="4"/>
      <c r="M457" s="4"/>
      <c r="N457" s="13" t="s">
        <v>29</v>
      </c>
      <c r="O457" s="35" t="str">
        <f>IF(D457="","",IF(COUNTIF(离职清单!C:C,D457)&gt;0,"已离职","在职"))</f>
        <v>在职</v>
      </c>
      <c r="P457" s="35" t="str">
        <f>IF(AND(O457="在职",J457="是"),COUNTIF(O$2:O457,"在职"),"")</f>
        <v/>
      </c>
    </row>
    <row r="458" customFormat="1" ht="18" spans="1:16">
      <c r="A458" s="10">
        <f t="shared" si="9"/>
        <v>457</v>
      </c>
      <c r="B458" s="31">
        <v>46181</v>
      </c>
      <c r="C458" s="32" t="s">
        <v>747</v>
      </c>
      <c r="D458" s="120" t="s">
        <v>478</v>
      </c>
      <c r="E458" s="33" t="s">
        <v>42</v>
      </c>
      <c r="F458" s="18" t="s">
        <v>64</v>
      </c>
      <c r="G458" s="18" t="s">
        <v>744</v>
      </c>
      <c r="H458" s="34" t="s">
        <v>86</v>
      </c>
      <c r="I458" s="18" t="s">
        <v>111</v>
      </c>
      <c r="J458" s="31" t="s">
        <v>105</v>
      </c>
      <c r="K458" s="31">
        <v>46181</v>
      </c>
      <c r="L458" s="4"/>
      <c r="M458" s="4"/>
      <c r="N458" s="13" t="s">
        <v>29</v>
      </c>
      <c r="O458" s="35" t="str">
        <f>IF(D458="","",IF(COUNTIF(离职清单!C:C,D458)&gt;0,"已离职","在职"))</f>
        <v>在职</v>
      </c>
      <c r="P458" s="35" t="str">
        <f>IF(AND(O458="在职",J458="是"),COUNTIF(O$2:O458,"在职"),"")</f>
        <v/>
      </c>
    </row>
    <row r="459" customFormat="1" ht="18" spans="1:16">
      <c r="A459" s="14">
        <f t="shared" si="9"/>
        <v>458</v>
      </c>
      <c r="B459" s="31">
        <v>46181</v>
      </c>
      <c r="C459" s="32" t="s">
        <v>748</v>
      </c>
      <c r="D459" s="120" t="s">
        <v>480</v>
      </c>
      <c r="E459" s="33" t="s">
        <v>42</v>
      </c>
      <c r="F459" s="18" t="s">
        <v>62</v>
      </c>
      <c r="G459" s="18" t="s">
        <v>233</v>
      </c>
      <c r="H459" s="34" t="s">
        <v>86</v>
      </c>
      <c r="I459" s="18" t="s">
        <v>104</v>
      </c>
      <c r="J459" s="31" t="s">
        <v>114</v>
      </c>
      <c r="K459" s="31">
        <v>46181</v>
      </c>
      <c r="L459" s="4"/>
      <c r="M459" s="4"/>
      <c r="N459" s="13" t="s">
        <v>29</v>
      </c>
      <c r="O459" s="35" t="str">
        <f>IF(D459="","",IF(COUNTIF(离职清单!C:C,D459)&gt;0,"已离职","在职"))</f>
        <v>在职</v>
      </c>
      <c r="P459" s="35">
        <f>IF(AND(O459="在职",J459="是"),COUNTIF(O$2:O459,"在职"),"")</f>
        <v>452</v>
      </c>
    </row>
    <row r="460" customFormat="1" ht="18" spans="1:16">
      <c r="A460" s="10">
        <f t="shared" si="9"/>
        <v>459</v>
      </c>
      <c r="B460" s="31">
        <v>46181</v>
      </c>
      <c r="C460" s="32" t="s">
        <v>749</v>
      </c>
      <c r="D460" s="120" t="s">
        <v>482</v>
      </c>
      <c r="E460" s="33" t="s">
        <v>42</v>
      </c>
      <c r="F460" s="18" t="s">
        <v>64</v>
      </c>
      <c r="G460" s="18" t="s">
        <v>135</v>
      </c>
      <c r="H460" s="34" t="s">
        <v>86</v>
      </c>
      <c r="I460" s="18" t="s">
        <v>111</v>
      </c>
      <c r="J460" s="31" t="s">
        <v>105</v>
      </c>
      <c r="K460" s="31">
        <v>46181</v>
      </c>
      <c r="L460" s="4"/>
      <c r="M460" s="4"/>
      <c r="N460" s="13" t="s">
        <v>29</v>
      </c>
      <c r="O460" s="35" t="str">
        <f>IF(D460="","",IF(COUNTIF(离职清单!C:C,D460)&gt;0,"已离职","在职"))</f>
        <v>在职</v>
      </c>
      <c r="P460" s="35" t="str">
        <f>IF(AND(O460="在职",J460="是"),COUNTIF(O$2:O460,"在职"),"")</f>
        <v/>
      </c>
    </row>
    <row r="461" customFormat="1" ht="18" spans="1:16">
      <c r="A461" s="14">
        <f t="shared" si="9"/>
        <v>460</v>
      </c>
      <c r="B461" s="31">
        <v>46181</v>
      </c>
      <c r="C461" s="32" t="s">
        <v>750</v>
      </c>
      <c r="D461" s="120" t="s">
        <v>484</v>
      </c>
      <c r="E461" s="33" t="s">
        <v>74</v>
      </c>
      <c r="F461" s="18" t="s">
        <v>64</v>
      </c>
      <c r="G461" s="18" t="s">
        <v>135</v>
      </c>
      <c r="H461" s="34" t="s">
        <v>86</v>
      </c>
      <c r="I461" s="18" t="s">
        <v>104</v>
      </c>
      <c r="J461" s="31" t="s">
        <v>114</v>
      </c>
      <c r="K461" s="31">
        <v>46181</v>
      </c>
      <c r="L461" s="4"/>
      <c r="M461" s="4"/>
      <c r="N461" s="13" t="s">
        <v>29</v>
      </c>
      <c r="O461" s="35" t="str">
        <f>IF(D461="","",IF(COUNTIF(离职清单!C:C,D461)&gt;0,"已离职","在职"))</f>
        <v>在职</v>
      </c>
      <c r="P461" s="35">
        <f>IF(AND(O461="在职",J461="是"),COUNTIF(O$2:O461,"在职"),"")</f>
        <v>454</v>
      </c>
    </row>
    <row r="462" customFormat="1" ht="18" spans="1:16">
      <c r="A462" s="10">
        <f t="shared" si="9"/>
        <v>461</v>
      </c>
      <c r="B462" s="31">
        <v>46181</v>
      </c>
      <c r="C462" s="32" t="s">
        <v>751</v>
      </c>
      <c r="D462" s="120" t="s">
        <v>486</v>
      </c>
      <c r="E462" s="33" t="s">
        <v>42</v>
      </c>
      <c r="F462" s="18" t="s">
        <v>63</v>
      </c>
      <c r="G462" s="18" t="s">
        <v>681</v>
      </c>
      <c r="H462" s="34" t="s">
        <v>86</v>
      </c>
      <c r="I462" s="18" t="s">
        <v>111</v>
      </c>
      <c r="J462" s="31" t="s">
        <v>105</v>
      </c>
      <c r="K462" s="31">
        <v>46181</v>
      </c>
      <c r="L462" s="4"/>
      <c r="M462" s="4"/>
      <c r="N462" s="13" t="s">
        <v>29</v>
      </c>
      <c r="O462" s="35" t="str">
        <f>IF(D462="","",IF(COUNTIF(离职清单!C:C,D462)&gt;0,"已离职","在职"))</f>
        <v>在职</v>
      </c>
      <c r="P462" s="35" t="str">
        <f>IF(AND(O462="在职",J462="是"),COUNTIF(O$2:O462,"在职"),"")</f>
        <v/>
      </c>
    </row>
    <row r="463" customFormat="1" ht="18" spans="1:16">
      <c r="A463" s="14">
        <f t="shared" si="9"/>
        <v>462</v>
      </c>
      <c r="B463" s="31">
        <v>46181</v>
      </c>
      <c r="C463" s="32" t="s">
        <v>752</v>
      </c>
      <c r="D463" s="120" t="s">
        <v>488</v>
      </c>
      <c r="E463" s="33" t="s">
        <v>42</v>
      </c>
      <c r="F463" s="18" t="s">
        <v>64</v>
      </c>
      <c r="G463" s="18" t="s">
        <v>681</v>
      </c>
      <c r="H463" s="34" t="s">
        <v>86</v>
      </c>
      <c r="I463" s="18" t="s">
        <v>111</v>
      </c>
      <c r="J463" s="31" t="s">
        <v>105</v>
      </c>
      <c r="K463" s="31">
        <v>46181</v>
      </c>
      <c r="L463" s="4"/>
      <c r="M463" s="4"/>
      <c r="N463" s="13" t="s">
        <v>29</v>
      </c>
      <c r="O463" s="35" t="str">
        <f>IF(D463="","",IF(COUNTIF(离职清单!C:C,D463)&gt;0,"已离职","在职"))</f>
        <v>在职</v>
      </c>
      <c r="P463" s="35" t="str">
        <f>IF(AND(O463="在职",J463="是"),COUNTIF(O$2:O463,"在职"),"")</f>
        <v/>
      </c>
    </row>
    <row r="464" customFormat="1" ht="18" spans="1:16">
      <c r="A464" s="10">
        <f t="shared" si="9"/>
        <v>463</v>
      </c>
      <c r="B464" s="31">
        <v>46181</v>
      </c>
      <c r="C464" s="32" t="s">
        <v>753</v>
      </c>
      <c r="D464" s="120" t="s">
        <v>490</v>
      </c>
      <c r="E464" s="33" t="s">
        <v>74</v>
      </c>
      <c r="F464" s="18" t="s">
        <v>190</v>
      </c>
      <c r="G464" s="18" t="s">
        <v>117</v>
      </c>
      <c r="H464" s="34" t="s">
        <v>86</v>
      </c>
      <c r="I464" s="18" t="s">
        <v>111</v>
      </c>
      <c r="J464" s="31" t="s">
        <v>105</v>
      </c>
      <c r="K464" s="31">
        <v>46181</v>
      </c>
      <c r="L464" s="4"/>
      <c r="M464" s="4"/>
      <c r="N464" s="13" t="s">
        <v>29</v>
      </c>
      <c r="O464" s="35" t="str">
        <f>IF(D464="","",IF(COUNTIF(离职清单!C:C,D464)&gt;0,"已离职","在职"))</f>
        <v>在职</v>
      </c>
      <c r="P464" s="35" t="str">
        <f>IF(AND(O464="在职",J464="是"),COUNTIF(O$2:O464,"在职"),"")</f>
        <v/>
      </c>
    </row>
    <row r="465" customFormat="1" ht="18" spans="1:16">
      <c r="A465" s="14">
        <f t="shared" si="9"/>
        <v>464</v>
      </c>
      <c r="B465" s="31">
        <v>46181</v>
      </c>
      <c r="C465" s="32" t="s">
        <v>754</v>
      </c>
      <c r="D465" s="120" t="s">
        <v>492</v>
      </c>
      <c r="E465" s="33" t="s">
        <v>74</v>
      </c>
      <c r="F465" s="18" t="s">
        <v>190</v>
      </c>
      <c r="G465" s="18" t="s">
        <v>117</v>
      </c>
      <c r="H465" s="34" t="s">
        <v>86</v>
      </c>
      <c r="I465" s="18" t="s">
        <v>104</v>
      </c>
      <c r="J465" s="31" t="s">
        <v>105</v>
      </c>
      <c r="K465" s="31">
        <v>46181</v>
      </c>
      <c r="L465" s="4"/>
      <c r="M465" s="4"/>
      <c r="N465" s="13" t="s">
        <v>29</v>
      </c>
      <c r="O465" s="35" t="str">
        <f>IF(D465="","",IF(COUNTIF(离职清单!C:C,D465)&gt;0,"已离职","在职"))</f>
        <v>在职</v>
      </c>
      <c r="P465" s="35" t="str">
        <f>IF(AND(O465="在职",J465="是"),COUNTIF(O$2:O465,"在职"),"")</f>
        <v/>
      </c>
    </row>
    <row r="466" customFormat="1" ht="18" spans="1:16">
      <c r="A466" s="10">
        <f t="shared" si="9"/>
        <v>465</v>
      </c>
      <c r="B466" s="31">
        <v>46181</v>
      </c>
      <c r="C466" s="32" t="s">
        <v>755</v>
      </c>
      <c r="D466" s="120" t="s">
        <v>477</v>
      </c>
      <c r="E466" s="33" t="s">
        <v>42</v>
      </c>
      <c r="F466" s="18" t="s">
        <v>64</v>
      </c>
      <c r="G466" s="18" t="s">
        <v>117</v>
      </c>
      <c r="H466" s="34" t="s">
        <v>86</v>
      </c>
      <c r="I466" s="18" t="s">
        <v>104</v>
      </c>
      <c r="J466" s="31" t="s">
        <v>114</v>
      </c>
      <c r="K466" s="31">
        <v>46181</v>
      </c>
      <c r="L466" s="4"/>
      <c r="M466" s="4"/>
      <c r="N466" s="13" t="s">
        <v>29</v>
      </c>
      <c r="O466" s="35" t="str">
        <f>IF(D466="","",IF(COUNTIF(离职清单!C:C,D466)&gt;0,"已离职","在职"))</f>
        <v>在职</v>
      </c>
      <c r="P466" s="35">
        <f>IF(AND(O466="在职",J466="是"),COUNTIF(O$2:O466,"在职"),"")</f>
        <v>459</v>
      </c>
    </row>
    <row r="467" customFormat="1" ht="18" spans="1:16">
      <c r="A467" s="14">
        <f t="shared" si="9"/>
        <v>466</v>
      </c>
      <c r="B467" s="31">
        <v>46181</v>
      </c>
      <c r="C467" s="32" t="s">
        <v>526</v>
      </c>
      <c r="D467" s="120" t="s">
        <v>478</v>
      </c>
      <c r="E467" s="33" t="s">
        <v>43</v>
      </c>
      <c r="F467" s="18" t="s">
        <v>64</v>
      </c>
      <c r="G467" s="18" t="s">
        <v>124</v>
      </c>
      <c r="H467" s="34" t="s">
        <v>86</v>
      </c>
      <c r="I467" s="18" t="s">
        <v>111</v>
      </c>
      <c r="J467" s="31" t="s">
        <v>105</v>
      </c>
      <c r="K467" s="31">
        <v>46181</v>
      </c>
      <c r="L467" s="4"/>
      <c r="M467" s="4"/>
      <c r="N467" s="13" t="s">
        <v>29</v>
      </c>
      <c r="O467" s="35" t="str">
        <f>IF(D467="","",IF(COUNTIF(离职清单!C:C,D467)&gt;0,"已离职","在职"))</f>
        <v>在职</v>
      </c>
      <c r="P467" s="35" t="str">
        <f>IF(AND(O467="在职",J467="是"),COUNTIF(O$2:O467,"在职"),"")</f>
        <v/>
      </c>
    </row>
    <row r="468" customFormat="1" ht="18" spans="1:16">
      <c r="A468" s="14">
        <f t="shared" si="9"/>
        <v>467</v>
      </c>
      <c r="B468" s="31">
        <v>46181</v>
      </c>
      <c r="C468" s="32" t="s">
        <v>756</v>
      </c>
      <c r="D468" s="120" t="s">
        <v>480</v>
      </c>
      <c r="E468" s="33" t="s">
        <v>42</v>
      </c>
      <c r="F468" s="18" t="s">
        <v>64</v>
      </c>
      <c r="G468" s="18" t="s">
        <v>148</v>
      </c>
      <c r="H468" s="34" t="s">
        <v>86</v>
      </c>
      <c r="I468" s="18" t="s">
        <v>111</v>
      </c>
      <c r="J468" s="31" t="s">
        <v>105</v>
      </c>
      <c r="K468" s="31">
        <v>46181</v>
      </c>
      <c r="L468" s="4"/>
      <c r="M468" s="4"/>
      <c r="N468" s="13" t="s">
        <v>29</v>
      </c>
      <c r="O468" s="35" t="str">
        <f>IF(D468="","",IF(COUNTIF(离职清单!C:C,D468)&gt;0,"已离职","在职"))</f>
        <v>在职</v>
      </c>
      <c r="P468" s="35" t="str">
        <f>IF(AND(O468="在职",J468="是"),COUNTIF(O$2:O468,"在职"),"")</f>
        <v/>
      </c>
    </row>
    <row r="469" customFormat="1" ht="18" spans="1:16">
      <c r="A469" s="10">
        <f t="shared" si="9"/>
        <v>468</v>
      </c>
      <c r="B469" s="31">
        <v>46181</v>
      </c>
      <c r="C469" s="32" t="s">
        <v>757</v>
      </c>
      <c r="D469" s="120" t="s">
        <v>482</v>
      </c>
      <c r="E469" s="33" t="s">
        <v>42</v>
      </c>
      <c r="F469" s="18" t="s">
        <v>63</v>
      </c>
      <c r="G469" s="18" t="s">
        <v>173</v>
      </c>
      <c r="H469" s="34" t="s">
        <v>86</v>
      </c>
      <c r="I469" s="18" t="s">
        <v>104</v>
      </c>
      <c r="J469" s="31" t="s">
        <v>114</v>
      </c>
      <c r="K469" s="31">
        <v>46181</v>
      </c>
      <c r="L469" s="4"/>
      <c r="M469" s="4"/>
      <c r="N469" s="13" t="s">
        <v>29</v>
      </c>
      <c r="O469" s="35" t="str">
        <f>IF(D469="","",IF(COUNTIF(离职清单!C:C,D469)&gt;0,"已离职","在职"))</f>
        <v>在职</v>
      </c>
      <c r="P469" s="35">
        <f>IF(AND(O469="在职",J469="是"),COUNTIF(O$2:O469,"在职"),"")</f>
        <v>462</v>
      </c>
    </row>
    <row r="470" customFormat="1" ht="18" spans="1:16">
      <c r="A470" s="14">
        <f t="shared" si="9"/>
        <v>469</v>
      </c>
      <c r="B470" s="31">
        <v>46181</v>
      </c>
      <c r="C470" s="32" t="s">
        <v>758</v>
      </c>
      <c r="D470" s="120" t="s">
        <v>484</v>
      </c>
      <c r="E470" s="33" t="s">
        <v>42</v>
      </c>
      <c r="F470" s="18" t="s">
        <v>63</v>
      </c>
      <c r="G470" s="18" t="s">
        <v>173</v>
      </c>
      <c r="H470" s="34" t="s">
        <v>86</v>
      </c>
      <c r="I470" s="18" t="s">
        <v>104</v>
      </c>
      <c r="J470" s="31" t="s">
        <v>114</v>
      </c>
      <c r="K470" s="31">
        <v>46181</v>
      </c>
      <c r="L470" s="4"/>
      <c r="M470" s="4"/>
      <c r="N470" s="13" t="s">
        <v>29</v>
      </c>
      <c r="O470" s="35" t="str">
        <f>IF(D470="","",IF(COUNTIF(离职清单!C:C,D470)&gt;0,"已离职","在职"))</f>
        <v>在职</v>
      </c>
      <c r="P470" s="35">
        <f>IF(AND(O470="在职",J470="是"),COUNTIF(O$2:O470,"在职"),"")</f>
        <v>463</v>
      </c>
    </row>
    <row r="471" customFormat="1" ht="18" spans="1:16">
      <c r="A471" s="10">
        <f t="shared" si="9"/>
        <v>470</v>
      </c>
      <c r="B471" s="31">
        <v>46181</v>
      </c>
      <c r="C471" s="32" t="s">
        <v>759</v>
      </c>
      <c r="D471" s="120" t="s">
        <v>486</v>
      </c>
      <c r="E471" s="33" t="s">
        <v>42</v>
      </c>
      <c r="F471" s="18" t="s">
        <v>63</v>
      </c>
      <c r="G471" s="18" t="s">
        <v>173</v>
      </c>
      <c r="H471" s="34" t="s">
        <v>86</v>
      </c>
      <c r="I471" s="18" t="s">
        <v>104</v>
      </c>
      <c r="J471" s="31" t="s">
        <v>114</v>
      </c>
      <c r="K471" s="31">
        <v>46181</v>
      </c>
      <c r="L471" s="4"/>
      <c r="M471" s="4"/>
      <c r="N471" s="13" t="s">
        <v>29</v>
      </c>
      <c r="O471" s="35" t="str">
        <f>IF(D471="","",IF(COUNTIF(离职清单!C:C,D471)&gt;0,"已离职","在职"))</f>
        <v>在职</v>
      </c>
      <c r="P471" s="35">
        <f>IF(AND(O471="在职",J471="是"),COUNTIF(O$2:O471,"在职"),"")</f>
        <v>464</v>
      </c>
    </row>
    <row r="472" customFormat="1" ht="18" spans="1:16">
      <c r="A472" s="14">
        <f t="shared" si="9"/>
        <v>471</v>
      </c>
      <c r="B472" s="31">
        <v>46181</v>
      </c>
      <c r="C472" s="32" t="s">
        <v>760</v>
      </c>
      <c r="D472" s="120" t="s">
        <v>488</v>
      </c>
      <c r="E472" s="33" t="s">
        <v>42</v>
      </c>
      <c r="F472" s="18" t="s">
        <v>63</v>
      </c>
      <c r="G472" s="18" t="s">
        <v>173</v>
      </c>
      <c r="H472" s="34" t="s">
        <v>86</v>
      </c>
      <c r="I472" s="18" t="s">
        <v>104</v>
      </c>
      <c r="J472" s="31" t="s">
        <v>114</v>
      </c>
      <c r="K472" s="31">
        <v>46181</v>
      </c>
      <c r="L472" s="4"/>
      <c r="M472" s="4"/>
      <c r="N472" s="13" t="s">
        <v>29</v>
      </c>
      <c r="O472" s="35" t="str">
        <f>IF(D472="","",IF(COUNTIF(离职清单!C:C,D472)&gt;0,"已离职","在职"))</f>
        <v>在职</v>
      </c>
      <c r="P472" s="35">
        <f>IF(AND(O472="在职",J472="是"),COUNTIF(O$2:O472,"在职"),"")</f>
        <v>465</v>
      </c>
    </row>
    <row r="473" customFormat="1" ht="18" spans="1:16">
      <c r="A473" s="14">
        <f t="shared" si="9"/>
        <v>472</v>
      </c>
      <c r="B473" s="31">
        <v>46181</v>
      </c>
      <c r="C473" s="32" t="s">
        <v>761</v>
      </c>
      <c r="D473" s="120" t="s">
        <v>490</v>
      </c>
      <c r="E473" s="33" t="s">
        <v>42</v>
      </c>
      <c r="F473" s="18" t="s">
        <v>63</v>
      </c>
      <c r="G473" s="18" t="s">
        <v>173</v>
      </c>
      <c r="H473" s="34" t="s">
        <v>86</v>
      </c>
      <c r="I473" s="18" t="s">
        <v>104</v>
      </c>
      <c r="J473" s="31" t="s">
        <v>114</v>
      </c>
      <c r="K473" s="31">
        <v>46181</v>
      </c>
      <c r="L473" s="4"/>
      <c r="M473" s="4"/>
      <c r="N473" s="13" t="s">
        <v>29</v>
      </c>
      <c r="O473" s="35" t="str">
        <f>IF(D473="","",IF(COUNTIF(离职清单!C:C,D473)&gt;0,"已离职","在职"))</f>
        <v>在职</v>
      </c>
      <c r="P473" s="35">
        <f>IF(AND(O473="在职",J473="是"),COUNTIF(O$2:O473,"在职"),"")</f>
        <v>466</v>
      </c>
    </row>
    <row r="474" customFormat="1" ht="18" spans="1:16">
      <c r="A474" s="10">
        <f t="shared" si="9"/>
        <v>473</v>
      </c>
      <c r="B474" s="31">
        <v>46181</v>
      </c>
      <c r="C474" s="32" t="s">
        <v>762</v>
      </c>
      <c r="D474" s="120" t="s">
        <v>492</v>
      </c>
      <c r="E474" s="33" t="s">
        <v>43</v>
      </c>
      <c r="F474" s="18" t="s">
        <v>64</v>
      </c>
      <c r="G474" s="18" t="s">
        <v>426</v>
      </c>
      <c r="H474" s="34" t="s">
        <v>86</v>
      </c>
      <c r="I474" s="18" t="s">
        <v>111</v>
      </c>
      <c r="J474" s="31" t="s">
        <v>105</v>
      </c>
      <c r="K474" s="31">
        <v>46181</v>
      </c>
      <c r="L474" s="4"/>
      <c r="M474" s="4"/>
      <c r="N474" s="13" t="s">
        <v>29</v>
      </c>
      <c r="O474" s="35" t="str">
        <f>IF(D474="","",IF(COUNTIF(离职清单!C:C,D474)&gt;0,"已离职","在职"))</f>
        <v>在职</v>
      </c>
      <c r="P474" s="35" t="str">
        <f>IF(AND(O474="在职",J474="是"),COUNTIF(O$2:O474,"在职"),"")</f>
        <v/>
      </c>
    </row>
    <row r="475" customFormat="1" ht="18" spans="1:16">
      <c r="A475" s="10">
        <f t="shared" ref="A475:A526" si="10">IF(B475&lt;&gt;"",ROW()-1,"")</f>
        <v>474</v>
      </c>
      <c r="B475" s="31">
        <v>46181</v>
      </c>
      <c r="C475" s="32" t="s">
        <v>763</v>
      </c>
      <c r="D475" s="120" t="s">
        <v>477</v>
      </c>
      <c r="E475" s="33" t="s">
        <v>42</v>
      </c>
      <c r="F475" s="18" t="s">
        <v>64</v>
      </c>
      <c r="G475" s="18" t="s">
        <v>512</v>
      </c>
      <c r="H475" s="34" t="s">
        <v>86</v>
      </c>
      <c r="I475" s="18" t="s">
        <v>111</v>
      </c>
      <c r="J475" s="31" t="s">
        <v>105</v>
      </c>
      <c r="K475" s="31">
        <v>46181</v>
      </c>
      <c r="L475" s="4"/>
      <c r="M475" s="4"/>
      <c r="N475" s="13" t="s">
        <v>29</v>
      </c>
      <c r="O475" s="35" t="str">
        <f>IF(D475="","",IF(COUNTIF(离职清单!C:C,D475)&gt;0,"已离职","在职"))</f>
        <v>在职</v>
      </c>
      <c r="P475" s="35" t="str">
        <f>IF(AND(O475="在职",J475="是"),COUNTIF(O$2:O475,"在职"),"")</f>
        <v/>
      </c>
    </row>
    <row r="476" customFormat="1" ht="18" spans="1:16">
      <c r="A476" s="14">
        <f t="shared" si="10"/>
        <v>475</v>
      </c>
      <c r="B476" s="31">
        <v>46181</v>
      </c>
      <c r="C476" s="32" t="s">
        <v>764</v>
      </c>
      <c r="D476" s="120" t="s">
        <v>478</v>
      </c>
      <c r="E476" s="33" t="s">
        <v>42</v>
      </c>
      <c r="F476" s="18" t="s">
        <v>64</v>
      </c>
      <c r="G476" s="18" t="s">
        <v>512</v>
      </c>
      <c r="H476" s="34" t="s">
        <v>86</v>
      </c>
      <c r="I476" s="18" t="s">
        <v>111</v>
      </c>
      <c r="J476" s="31" t="s">
        <v>105</v>
      </c>
      <c r="K476" s="31">
        <v>46181</v>
      </c>
      <c r="L476" s="4"/>
      <c r="M476" s="4"/>
      <c r="N476" s="13" t="s">
        <v>29</v>
      </c>
      <c r="O476" s="35" t="str">
        <f>IF(D476="","",IF(COUNTIF(离职清单!C:C,D476)&gt;0,"已离职","在职"))</f>
        <v>在职</v>
      </c>
      <c r="P476" s="35" t="str">
        <f>IF(AND(O476="在职",J476="是"),COUNTIF(O$2:O476,"在职"),"")</f>
        <v/>
      </c>
    </row>
    <row r="477" customFormat="1" ht="18" spans="1:16">
      <c r="A477" s="10">
        <f t="shared" si="10"/>
        <v>476</v>
      </c>
      <c r="B477" s="31">
        <v>46181</v>
      </c>
      <c r="C477" s="32" t="s">
        <v>765</v>
      </c>
      <c r="D477" s="120" t="s">
        <v>480</v>
      </c>
      <c r="E477" s="33" t="s">
        <v>42</v>
      </c>
      <c r="F477" s="18" t="s">
        <v>64</v>
      </c>
      <c r="G477" s="18" t="s">
        <v>179</v>
      </c>
      <c r="H477" s="34" t="s">
        <v>86</v>
      </c>
      <c r="I477" s="18" t="s">
        <v>111</v>
      </c>
      <c r="J477" s="31" t="s">
        <v>105</v>
      </c>
      <c r="K477" s="31">
        <v>46181</v>
      </c>
      <c r="L477" s="4"/>
      <c r="M477" s="4"/>
      <c r="N477" s="13" t="s">
        <v>29</v>
      </c>
      <c r="O477" s="35" t="str">
        <f>IF(D477="","",IF(COUNTIF(离职清单!C:C,D477)&gt;0,"已离职","在职"))</f>
        <v>在职</v>
      </c>
      <c r="P477" s="35" t="str">
        <f>IF(AND(O477="在职",J477="是"),COUNTIF(O$2:O477,"在职"),"")</f>
        <v/>
      </c>
    </row>
    <row r="478" customFormat="1" ht="18" spans="1:16">
      <c r="A478" s="14">
        <f t="shared" si="10"/>
        <v>477</v>
      </c>
      <c r="B478" s="31">
        <v>46181</v>
      </c>
      <c r="C478" s="32" t="s">
        <v>766</v>
      </c>
      <c r="D478" s="120" t="s">
        <v>482</v>
      </c>
      <c r="E478" s="33" t="s">
        <v>42</v>
      </c>
      <c r="F478" s="18" t="s">
        <v>64</v>
      </c>
      <c r="G478" s="18" t="s">
        <v>179</v>
      </c>
      <c r="H478" s="34" t="s">
        <v>86</v>
      </c>
      <c r="I478" s="18" t="s">
        <v>111</v>
      </c>
      <c r="J478" s="31" t="s">
        <v>105</v>
      </c>
      <c r="K478" s="31">
        <v>46181</v>
      </c>
      <c r="L478" s="4"/>
      <c r="M478" s="4"/>
      <c r="N478" s="13" t="s">
        <v>29</v>
      </c>
      <c r="O478" s="35" t="str">
        <f>IF(D478="","",IF(COUNTIF(离职清单!C:C,D478)&gt;0,"已离职","在职"))</f>
        <v>在职</v>
      </c>
      <c r="P478" s="35" t="str">
        <f>IF(AND(O478="在职",J478="是"),COUNTIF(O$2:O478,"在职"),"")</f>
        <v/>
      </c>
    </row>
    <row r="479" customFormat="1" ht="18" spans="1:16">
      <c r="A479" s="10">
        <f t="shared" si="10"/>
        <v>478</v>
      </c>
      <c r="B479" s="31">
        <v>46181</v>
      </c>
      <c r="C479" s="32" t="s">
        <v>182</v>
      </c>
      <c r="D479" s="120" t="s">
        <v>484</v>
      </c>
      <c r="E479" s="33" t="s">
        <v>74</v>
      </c>
      <c r="F479" s="18" t="s">
        <v>64</v>
      </c>
      <c r="G479" s="18" t="s">
        <v>179</v>
      </c>
      <c r="H479" s="34" t="s">
        <v>86</v>
      </c>
      <c r="I479" s="18" t="s">
        <v>104</v>
      </c>
      <c r="J479" s="31" t="s">
        <v>114</v>
      </c>
      <c r="K479" s="31">
        <v>46181</v>
      </c>
      <c r="L479" s="4"/>
      <c r="M479" s="4"/>
      <c r="N479" s="13" t="s">
        <v>29</v>
      </c>
      <c r="O479" s="35" t="str">
        <f>IF(D479="","",IF(COUNTIF(离职清单!C:C,D479)&gt;0,"已离职","在职"))</f>
        <v>在职</v>
      </c>
      <c r="P479" s="35">
        <f>IF(AND(O479="在职",J479="是"),COUNTIF(O$2:O479,"在职"),"")</f>
        <v>472</v>
      </c>
    </row>
    <row r="480" customFormat="1" ht="18" spans="1:16">
      <c r="A480" s="14">
        <f t="shared" si="10"/>
        <v>479</v>
      </c>
      <c r="B480" s="31">
        <v>46181</v>
      </c>
      <c r="C480" s="32" t="s">
        <v>767</v>
      </c>
      <c r="D480" s="120" t="s">
        <v>486</v>
      </c>
      <c r="E480" s="33" t="s">
        <v>74</v>
      </c>
      <c r="F480" s="18" t="s">
        <v>64</v>
      </c>
      <c r="G480" s="18" t="s">
        <v>179</v>
      </c>
      <c r="H480" s="34" t="s">
        <v>86</v>
      </c>
      <c r="I480" s="18" t="s">
        <v>104</v>
      </c>
      <c r="J480" s="31" t="s">
        <v>114</v>
      </c>
      <c r="K480" s="31">
        <v>46181</v>
      </c>
      <c r="L480" s="4"/>
      <c r="M480" s="4"/>
      <c r="N480" s="13" t="s">
        <v>29</v>
      </c>
      <c r="O480" s="35" t="str">
        <f>IF(D480="","",IF(COUNTIF(离职清单!C:C,D480)&gt;0,"已离职","在职"))</f>
        <v>在职</v>
      </c>
      <c r="P480" s="35">
        <f>IF(AND(O480="在职",J480="是"),COUNTIF(O$2:O480,"在职"),"")</f>
        <v>473</v>
      </c>
    </row>
    <row r="481" customFormat="1" ht="18" spans="1:16">
      <c r="A481" s="10">
        <f t="shared" si="10"/>
        <v>480</v>
      </c>
      <c r="B481" s="31">
        <v>46181</v>
      </c>
      <c r="C481" s="32" t="s">
        <v>768</v>
      </c>
      <c r="D481" s="120" t="s">
        <v>488</v>
      </c>
      <c r="E481" s="33" t="s">
        <v>43</v>
      </c>
      <c r="F481" s="18" t="s">
        <v>64</v>
      </c>
      <c r="G481" s="18" t="s">
        <v>179</v>
      </c>
      <c r="H481" s="34" t="s">
        <v>86</v>
      </c>
      <c r="I481" s="18" t="s">
        <v>104</v>
      </c>
      <c r="J481" s="31" t="s">
        <v>114</v>
      </c>
      <c r="K481" s="31">
        <v>46181</v>
      </c>
      <c r="L481" s="4"/>
      <c r="M481" s="4"/>
      <c r="N481" s="13" t="s">
        <v>29</v>
      </c>
      <c r="O481" s="35" t="str">
        <f>IF(D481="","",IF(COUNTIF(离职清单!C:C,D481)&gt;0,"已离职","在职"))</f>
        <v>在职</v>
      </c>
      <c r="P481" s="35">
        <f>IF(AND(O481="在职",J481="是"),COUNTIF(O$2:O481,"在职"),"")</f>
        <v>474</v>
      </c>
    </row>
    <row r="482" customFormat="1" ht="18" spans="1:16">
      <c r="A482" s="14">
        <f t="shared" si="10"/>
        <v>481</v>
      </c>
      <c r="B482" s="31">
        <v>46181</v>
      </c>
      <c r="C482" s="32" t="s">
        <v>709</v>
      </c>
      <c r="D482" s="120" t="s">
        <v>490</v>
      </c>
      <c r="E482" s="33" t="s">
        <v>42</v>
      </c>
      <c r="F482" s="18" t="s">
        <v>64</v>
      </c>
      <c r="G482" s="18" t="s">
        <v>179</v>
      </c>
      <c r="H482" s="34" t="s">
        <v>86</v>
      </c>
      <c r="I482" s="18" t="s">
        <v>104</v>
      </c>
      <c r="J482" s="31" t="s">
        <v>114</v>
      </c>
      <c r="K482" s="31">
        <v>46181</v>
      </c>
      <c r="L482" s="4"/>
      <c r="M482" s="4"/>
      <c r="N482" s="13" t="s">
        <v>29</v>
      </c>
      <c r="O482" s="35" t="str">
        <f>IF(D482="","",IF(COUNTIF(离职清单!C:C,D482)&gt;0,"已离职","在职"))</f>
        <v>在职</v>
      </c>
      <c r="P482" s="35">
        <f>IF(AND(O482="在职",J482="是"),COUNTIF(O$2:O482,"在职"),"")</f>
        <v>475</v>
      </c>
    </row>
    <row r="483" customFormat="1" ht="18" spans="1:16">
      <c r="A483" s="10">
        <f t="shared" si="10"/>
        <v>482</v>
      </c>
      <c r="B483" s="31">
        <v>46181</v>
      </c>
      <c r="C483" s="32" t="s">
        <v>708</v>
      </c>
      <c r="D483" s="120" t="s">
        <v>492</v>
      </c>
      <c r="E483" s="33" t="s">
        <v>42</v>
      </c>
      <c r="F483" s="18" t="s">
        <v>64</v>
      </c>
      <c r="G483" s="18" t="s">
        <v>179</v>
      </c>
      <c r="H483" s="34" t="s">
        <v>86</v>
      </c>
      <c r="I483" s="18" t="s">
        <v>104</v>
      </c>
      <c r="J483" s="31" t="s">
        <v>114</v>
      </c>
      <c r="K483" s="31">
        <v>46181</v>
      </c>
      <c r="L483" s="4"/>
      <c r="M483" s="4"/>
      <c r="N483" s="13" t="s">
        <v>29</v>
      </c>
      <c r="O483" s="35" t="str">
        <f>IF(D483="","",IF(COUNTIF(离职清单!C:C,D483)&gt;0,"已离职","在职"))</f>
        <v>在职</v>
      </c>
      <c r="P483" s="35">
        <f>IF(AND(O483="在职",J483="是"),COUNTIF(O$2:O483,"在职"),"")</f>
        <v>476</v>
      </c>
    </row>
    <row r="484" customFormat="1" ht="18" spans="1:16">
      <c r="A484" s="14">
        <f t="shared" si="10"/>
        <v>483</v>
      </c>
      <c r="B484" s="31">
        <v>46181</v>
      </c>
      <c r="C484" s="32" t="s">
        <v>769</v>
      </c>
      <c r="D484" s="120" t="s">
        <v>477</v>
      </c>
      <c r="E484" s="33" t="s">
        <v>43</v>
      </c>
      <c r="F484" s="18" t="s">
        <v>64</v>
      </c>
      <c r="G484" s="18" t="s">
        <v>179</v>
      </c>
      <c r="H484" s="34" t="s">
        <v>86</v>
      </c>
      <c r="I484" s="18" t="s">
        <v>104</v>
      </c>
      <c r="J484" s="31" t="s">
        <v>114</v>
      </c>
      <c r="K484" s="31">
        <v>46181</v>
      </c>
      <c r="L484" s="4"/>
      <c r="M484" s="4"/>
      <c r="N484" s="13" t="s">
        <v>29</v>
      </c>
      <c r="O484" s="35" t="str">
        <f>IF(D484="","",IF(COUNTIF(离职清单!C:C,D484)&gt;0,"已离职","在职"))</f>
        <v>在职</v>
      </c>
      <c r="P484" s="35">
        <f>IF(AND(O484="在职",J484="是"),COUNTIF(O$2:O484,"在职"),"")</f>
        <v>477</v>
      </c>
    </row>
    <row r="485" customFormat="1" ht="18" spans="1:16">
      <c r="A485" s="10">
        <f t="shared" si="10"/>
        <v>484</v>
      </c>
      <c r="B485" s="31">
        <v>46181</v>
      </c>
      <c r="C485" s="32" t="s">
        <v>770</v>
      </c>
      <c r="D485" s="120" t="s">
        <v>478</v>
      </c>
      <c r="E485" s="33" t="s">
        <v>74</v>
      </c>
      <c r="F485" s="18" t="s">
        <v>190</v>
      </c>
      <c r="G485" s="18" t="s">
        <v>179</v>
      </c>
      <c r="H485" s="34" t="s">
        <v>86</v>
      </c>
      <c r="I485" s="18" t="s">
        <v>104</v>
      </c>
      <c r="J485" s="31" t="s">
        <v>114</v>
      </c>
      <c r="K485" s="31">
        <v>46181</v>
      </c>
      <c r="L485" s="4"/>
      <c r="M485" s="4"/>
      <c r="N485" s="13" t="s">
        <v>29</v>
      </c>
      <c r="O485" s="35" t="str">
        <f>IF(D485="","",IF(COUNTIF(离职清单!C:C,D485)&gt;0,"已离职","在职"))</f>
        <v>在职</v>
      </c>
      <c r="P485" s="35">
        <f>IF(AND(O485="在职",J485="是"),COUNTIF(O$2:O485,"在职"),"")</f>
        <v>478</v>
      </c>
    </row>
    <row r="486" customFormat="1" ht="18" spans="1:16">
      <c r="A486" s="14">
        <f t="shared" si="10"/>
        <v>485</v>
      </c>
      <c r="B486" s="31">
        <v>46181</v>
      </c>
      <c r="C486" s="32" t="s">
        <v>771</v>
      </c>
      <c r="D486" s="120" t="s">
        <v>480</v>
      </c>
      <c r="E486" s="33" t="s">
        <v>74</v>
      </c>
      <c r="F486" s="18" t="s">
        <v>64</v>
      </c>
      <c r="G486" s="18" t="s">
        <v>179</v>
      </c>
      <c r="H486" s="34" t="s">
        <v>86</v>
      </c>
      <c r="I486" s="18" t="s">
        <v>104</v>
      </c>
      <c r="J486" s="31" t="s">
        <v>114</v>
      </c>
      <c r="K486" s="31">
        <v>46181</v>
      </c>
      <c r="L486" s="4"/>
      <c r="M486" s="4"/>
      <c r="N486" s="13" t="s">
        <v>29</v>
      </c>
      <c r="O486" s="35" t="str">
        <f>IF(D486="","",IF(COUNTIF(离职清单!C:C,D486)&gt;0,"已离职","在职"))</f>
        <v>在职</v>
      </c>
      <c r="P486" s="35">
        <f>IF(AND(O486="在职",J486="是"),COUNTIF(O$2:O486,"在职"),"")</f>
        <v>479</v>
      </c>
    </row>
    <row r="487" customFormat="1" ht="18" spans="1:16">
      <c r="A487" s="10">
        <f t="shared" si="10"/>
        <v>486</v>
      </c>
      <c r="B487" s="31">
        <v>46181</v>
      </c>
      <c r="C487" s="32" t="s">
        <v>772</v>
      </c>
      <c r="D487" s="120" t="s">
        <v>482</v>
      </c>
      <c r="E487" s="33" t="s">
        <v>74</v>
      </c>
      <c r="F487" s="18" t="s">
        <v>64</v>
      </c>
      <c r="G487" s="18" t="s">
        <v>179</v>
      </c>
      <c r="H487" s="34" t="s">
        <v>86</v>
      </c>
      <c r="I487" s="18" t="s">
        <v>104</v>
      </c>
      <c r="J487" s="31" t="s">
        <v>114</v>
      </c>
      <c r="K487" s="31">
        <v>46181</v>
      </c>
      <c r="L487" s="4"/>
      <c r="M487" s="4"/>
      <c r="N487" s="13" t="s">
        <v>29</v>
      </c>
      <c r="O487" s="35" t="str">
        <f>IF(D487="","",IF(COUNTIF(离职清单!C:C,D487)&gt;0,"已离职","在职"))</f>
        <v>在职</v>
      </c>
      <c r="P487" s="35">
        <f>IF(AND(O487="在职",J487="是"),COUNTIF(O$2:O487,"在职"),"")</f>
        <v>480</v>
      </c>
    </row>
    <row r="488" customFormat="1" ht="18" spans="1:16">
      <c r="A488" s="14">
        <f t="shared" si="10"/>
        <v>487</v>
      </c>
      <c r="B488" s="31">
        <v>46181</v>
      </c>
      <c r="C488" s="32" t="s">
        <v>773</v>
      </c>
      <c r="D488" s="120" t="s">
        <v>484</v>
      </c>
      <c r="E488" s="33" t="s">
        <v>42</v>
      </c>
      <c r="F488" s="18" t="s">
        <v>64</v>
      </c>
      <c r="G488" s="18" t="s">
        <v>179</v>
      </c>
      <c r="H488" s="34" t="s">
        <v>86</v>
      </c>
      <c r="I488" s="18" t="s">
        <v>104</v>
      </c>
      <c r="J488" s="31" t="s">
        <v>114</v>
      </c>
      <c r="K488" s="31">
        <v>46181</v>
      </c>
      <c r="L488" s="4"/>
      <c r="M488" s="4"/>
      <c r="N488" s="13" t="s">
        <v>29</v>
      </c>
      <c r="O488" s="35" t="str">
        <f>IF(D488="","",IF(COUNTIF(离职清单!C:C,D488)&gt;0,"已离职","在职"))</f>
        <v>在职</v>
      </c>
      <c r="P488" s="35">
        <f>IF(AND(O488="在职",J488="是"),COUNTIF(O$2:O488,"在职"),"")</f>
        <v>481</v>
      </c>
    </row>
    <row r="489" customFormat="1" ht="18" spans="1:16">
      <c r="A489" s="10">
        <f t="shared" si="10"/>
        <v>488</v>
      </c>
      <c r="B489" s="31">
        <v>46181</v>
      </c>
      <c r="C489" s="32" t="s">
        <v>774</v>
      </c>
      <c r="D489" s="120" t="s">
        <v>486</v>
      </c>
      <c r="E489" s="33" t="s">
        <v>42</v>
      </c>
      <c r="F489" s="18" t="s">
        <v>64</v>
      </c>
      <c r="G489" s="18" t="s">
        <v>179</v>
      </c>
      <c r="H489" s="34" t="s">
        <v>86</v>
      </c>
      <c r="I489" s="18" t="s">
        <v>104</v>
      </c>
      <c r="J489" s="31" t="s">
        <v>114</v>
      </c>
      <c r="K489" s="31">
        <v>46181</v>
      </c>
      <c r="L489" s="4"/>
      <c r="M489" s="4"/>
      <c r="N489" s="13" t="s">
        <v>29</v>
      </c>
      <c r="O489" s="35" t="str">
        <f>IF(D489="","",IF(COUNTIF(离职清单!C:C,D489)&gt;0,"已离职","在职"))</f>
        <v>在职</v>
      </c>
      <c r="P489" s="35">
        <f>IF(AND(O489="在职",J489="是"),COUNTIF(O$2:O489,"在职"),"")</f>
        <v>482</v>
      </c>
    </row>
    <row r="490" customFormat="1" ht="18" spans="1:16">
      <c r="A490" s="14">
        <f t="shared" si="10"/>
        <v>489</v>
      </c>
      <c r="B490" s="31">
        <v>46181</v>
      </c>
      <c r="C490" s="32" t="s">
        <v>775</v>
      </c>
      <c r="D490" s="120" t="s">
        <v>488</v>
      </c>
      <c r="E490" s="33" t="s">
        <v>74</v>
      </c>
      <c r="F490" s="18" t="s">
        <v>190</v>
      </c>
      <c r="G490" s="18" t="s">
        <v>179</v>
      </c>
      <c r="H490" s="34" t="s">
        <v>86</v>
      </c>
      <c r="I490" s="18" t="s">
        <v>104</v>
      </c>
      <c r="J490" s="31" t="s">
        <v>114</v>
      </c>
      <c r="K490" s="31">
        <v>46181</v>
      </c>
      <c r="L490" s="4"/>
      <c r="M490" s="4"/>
      <c r="N490" s="13" t="s">
        <v>29</v>
      </c>
      <c r="O490" s="35" t="str">
        <f>IF(D490="","",IF(COUNTIF(离职清单!C:C,D490)&gt;0,"已离职","在职"))</f>
        <v>在职</v>
      </c>
      <c r="P490" s="35">
        <f>IF(AND(O490="在职",J490="是"),COUNTIF(O$2:O490,"在职"),"")</f>
        <v>483</v>
      </c>
    </row>
    <row r="491" customFormat="1" ht="18" spans="1:16">
      <c r="A491" s="10">
        <f t="shared" si="10"/>
        <v>490</v>
      </c>
      <c r="B491" s="31">
        <v>46181</v>
      </c>
      <c r="C491" s="32" t="s">
        <v>776</v>
      </c>
      <c r="D491" s="120" t="s">
        <v>490</v>
      </c>
      <c r="E491" s="33" t="s">
        <v>43</v>
      </c>
      <c r="F491" s="18" t="s">
        <v>64</v>
      </c>
      <c r="G491" s="18" t="s">
        <v>117</v>
      </c>
      <c r="H491" s="34" t="s">
        <v>86</v>
      </c>
      <c r="I491" s="18" t="s">
        <v>111</v>
      </c>
      <c r="J491" s="31" t="s">
        <v>105</v>
      </c>
      <c r="K491" s="31">
        <v>46181</v>
      </c>
      <c r="L491" s="4"/>
      <c r="M491" s="4"/>
      <c r="N491" s="13" t="s">
        <v>29</v>
      </c>
      <c r="O491" s="35" t="str">
        <f>IF(D491="","",IF(COUNTIF(离职清单!C:C,D491)&gt;0,"已离职","在职"))</f>
        <v>在职</v>
      </c>
      <c r="P491" s="35" t="str">
        <f>IF(AND(O491="在职",J491="是"),COUNTIF(O$2:O491,"在职"),"")</f>
        <v/>
      </c>
    </row>
    <row r="492" customFormat="1" ht="18" spans="1:16">
      <c r="A492" s="14">
        <f t="shared" si="10"/>
        <v>491</v>
      </c>
      <c r="B492" s="31">
        <v>46181</v>
      </c>
      <c r="C492" s="32" t="s">
        <v>777</v>
      </c>
      <c r="D492" s="120" t="s">
        <v>492</v>
      </c>
      <c r="E492" s="33" t="s">
        <v>42</v>
      </c>
      <c r="F492" s="18" t="s">
        <v>64</v>
      </c>
      <c r="G492" s="18" t="s">
        <v>117</v>
      </c>
      <c r="H492" s="34" t="s">
        <v>86</v>
      </c>
      <c r="I492" s="18" t="s">
        <v>111</v>
      </c>
      <c r="J492" s="31" t="s">
        <v>105</v>
      </c>
      <c r="K492" s="31">
        <v>46181</v>
      </c>
      <c r="L492" s="4"/>
      <c r="M492" s="4"/>
      <c r="N492" s="13" t="s">
        <v>29</v>
      </c>
      <c r="O492" s="35" t="str">
        <f>IF(D492="","",IF(COUNTIF(离职清单!C:C,D492)&gt;0,"已离职","在职"))</f>
        <v>在职</v>
      </c>
      <c r="P492" s="35" t="str">
        <f>IF(AND(O492="在职",J492="是"),COUNTIF(O$2:O492,"在职"),"")</f>
        <v/>
      </c>
    </row>
    <row r="493" customFormat="1" ht="18" spans="1:16">
      <c r="A493" s="10">
        <f t="shared" si="10"/>
        <v>492</v>
      </c>
      <c r="B493" s="31">
        <v>46181</v>
      </c>
      <c r="C493" s="32" t="s">
        <v>778</v>
      </c>
      <c r="D493" s="120" t="s">
        <v>477</v>
      </c>
      <c r="E493" s="33" t="s">
        <v>42</v>
      </c>
      <c r="F493" s="18" t="s">
        <v>64</v>
      </c>
      <c r="G493" s="18" t="s">
        <v>117</v>
      </c>
      <c r="H493" s="34" t="s">
        <v>86</v>
      </c>
      <c r="I493" s="18" t="s">
        <v>111</v>
      </c>
      <c r="J493" s="31" t="s">
        <v>105</v>
      </c>
      <c r="K493" s="31">
        <v>46181</v>
      </c>
      <c r="L493" s="4"/>
      <c r="M493" s="4"/>
      <c r="N493" s="13" t="s">
        <v>29</v>
      </c>
      <c r="O493" s="35" t="str">
        <f>IF(D493="","",IF(COUNTIF(离职清单!C:C,D493)&gt;0,"已离职","在职"))</f>
        <v>在职</v>
      </c>
      <c r="P493" s="35" t="str">
        <f>IF(AND(O493="在职",J493="是"),COUNTIF(O$2:O493,"在职"),"")</f>
        <v/>
      </c>
    </row>
    <row r="494" customFormat="1" ht="18" spans="1:16">
      <c r="A494" s="14">
        <f t="shared" si="10"/>
        <v>493</v>
      </c>
      <c r="B494" s="31">
        <v>46181</v>
      </c>
      <c r="C494" s="32" t="s">
        <v>779</v>
      </c>
      <c r="D494" s="120" t="s">
        <v>478</v>
      </c>
      <c r="E494" s="33" t="s">
        <v>42</v>
      </c>
      <c r="F494" s="18" t="s">
        <v>64</v>
      </c>
      <c r="G494" s="18" t="s">
        <v>103</v>
      </c>
      <c r="H494" s="34" t="s">
        <v>86</v>
      </c>
      <c r="I494" s="18" t="s">
        <v>111</v>
      </c>
      <c r="J494" s="31" t="s">
        <v>105</v>
      </c>
      <c r="K494" s="31">
        <v>46181</v>
      </c>
      <c r="L494" s="4"/>
      <c r="M494" s="4"/>
      <c r="N494" s="13" t="s">
        <v>29</v>
      </c>
      <c r="O494" s="35" t="str">
        <f>IF(D494="","",IF(COUNTIF(离职清单!C:C,D494)&gt;0,"已离职","在职"))</f>
        <v>在职</v>
      </c>
      <c r="P494" s="35" t="str">
        <f>IF(AND(O494="在职",J494="是"),COUNTIF(O$2:O494,"在职"),"")</f>
        <v/>
      </c>
    </row>
    <row r="495" customFormat="1" ht="18" spans="1:16">
      <c r="A495" s="10">
        <f t="shared" si="10"/>
        <v>494</v>
      </c>
      <c r="B495" s="31">
        <v>46181</v>
      </c>
      <c r="C495" s="32" t="s">
        <v>780</v>
      </c>
      <c r="D495" s="120" t="s">
        <v>480</v>
      </c>
      <c r="E495" s="33" t="s">
        <v>43</v>
      </c>
      <c r="F495" s="18" t="s">
        <v>64</v>
      </c>
      <c r="G495" s="18" t="s">
        <v>148</v>
      </c>
      <c r="H495" s="34" t="s">
        <v>86</v>
      </c>
      <c r="I495" s="18" t="s">
        <v>111</v>
      </c>
      <c r="J495" s="31" t="s">
        <v>105</v>
      </c>
      <c r="K495" s="31">
        <v>46181</v>
      </c>
      <c r="L495" s="4"/>
      <c r="M495" s="4"/>
      <c r="N495" s="13" t="s">
        <v>29</v>
      </c>
      <c r="O495" s="35" t="str">
        <f>IF(D495="","",IF(COUNTIF(离职清单!C:C,D495)&gt;0,"已离职","在职"))</f>
        <v>在职</v>
      </c>
      <c r="P495" s="35" t="str">
        <f>IF(AND(O495="在职",J495="是"),COUNTIF(O$2:O495,"在职"),"")</f>
        <v/>
      </c>
    </row>
    <row r="496" customFormat="1" ht="18" spans="1:16">
      <c r="A496" s="14">
        <f t="shared" si="10"/>
        <v>495</v>
      </c>
      <c r="B496" s="31">
        <v>46181</v>
      </c>
      <c r="C496" s="32" t="s">
        <v>679</v>
      </c>
      <c r="D496" s="120" t="s">
        <v>482</v>
      </c>
      <c r="E496" s="33" t="s">
        <v>74</v>
      </c>
      <c r="F496" s="18" t="s">
        <v>64</v>
      </c>
      <c r="G496" s="18" t="s">
        <v>176</v>
      </c>
      <c r="H496" s="34" t="s">
        <v>86</v>
      </c>
      <c r="I496" s="18" t="s">
        <v>104</v>
      </c>
      <c r="J496" s="31" t="s">
        <v>114</v>
      </c>
      <c r="K496" s="31">
        <v>46181</v>
      </c>
      <c r="L496" s="4"/>
      <c r="M496" s="4"/>
      <c r="N496" s="13" t="s">
        <v>29</v>
      </c>
      <c r="O496" s="35" t="str">
        <f>IF(D496="","",IF(COUNTIF(离职清单!C:C,D496)&gt;0,"已离职","在职"))</f>
        <v>在职</v>
      </c>
      <c r="P496" s="35">
        <f>IF(AND(O496="在职",J496="是"),COUNTIF(O$2:O496,"在职"),"")</f>
        <v>489</v>
      </c>
    </row>
    <row r="497" customFormat="1" ht="18" spans="1:16">
      <c r="A497" s="10">
        <f t="shared" si="10"/>
        <v>496</v>
      </c>
      <c r="B497" s="31">
        <v>46181</v>
      </c>
      <c r="C497" s="32" t="s">
        <v>781</v>
      </c>
      <c r="D497" s="120" t="s">
        <v>484</v>
      </c>
      <c r="E497" s="33" t="s">
        <v>74</v>
      </c>
      <c r="F497" s="18" t="s">
        <v>64</v>
      </c>
      <c r="G497" s="18" t="s">
        <v>179</v>
      </c>
      <c r="H497" s="34" t="s">
        <v>86</v>
      </c>
      <c r="I497" s="18" t="s">
        <v>104</v>
      </c>
      <c r="J497" s="31" t="s">
        <v>114</v>
      </c>
      <c r="K497" s="31">
        <v>46181</v>
      </c>
      <c r="L497" s="4"/>
      <c r="M497" s="4"/>
      <c r="N497" s="13" t="s">
        <v>29</v>
      </c>
      <c r="O497" s="35" t="str">
        <f>IF(D497="","",IF(COUNTIF(离职清单!C:C,D497)&gt;0,"已离职","在职"))</f>
        <v>在职</v>
      </c>
      <c r="P497" s="35">
        <f>IF(AND(O497="在职",J497="是"),COUNTIF(O$2:O497,"在职"),"")</f>
        <v>490</v>
      </c>
    </row>
    <row r="498" customFormat="1" ht="18" spans="1:16">
      <c r="A498" s="14">
        <f t="shared" si="10"/>
        <v>497</v>
      </c>
      <c r="B498" s="31">
        <v>46181</v>
      </c>
      <c r="C498" s="32" t="s">
        <v>769</v>
      </c>
      <c r="D498" s="120" t="s">
        <v>486</v>
      </c>
      <c r="E498" s="33" t="s">
        <v>74</v>
      </c>
      <c r="F498" s="18" t="s">
        <v>64</v>
      </c>
      <c r="G498" s="18" t="s">
        <v>179</v>
      </c>
      <c r="H498" s="34" t="s">
        <v>86</v>
      </c>
      <c r="I498" s="18" t="s">
        <v>104</v>
      </c>
      <c r="J498" s="31" t="s">
        <v>114</v>
      </c>
      <c r="K498" s="31">
        <v>46181</v>
      </c>
      <c r="L498" s="4"/>
      <c r="M498" s="4"/>
      <c r="N498" s="13" t="s">
        <v>29</v>
      </c>
      <c r="O498" s="35" t="str">
        <f>IF(D498="","",IF(COUNTIF(离职清单!C:C,D498)&gt;0,"已离职","在职"))</f>
        <v>在职</v>
      </c>
      <c r="P498" s="35">
        <f>IF(AND(O498="在职",J498="是"),COUNTIF(O$2:O498,"在职"),"")</f>
        <v>491</v>
      </c>
    </row>
    <row r="499" customFormat="1" ht="18" spans="1:16">
      <c r="A499" s="10">
        <f t="shared" si="10"/>
        <v>498</v>
      </c>
      <c r="B499" s="31">
        <v>46181</v>
      </c>
      <c r="C499" s="32" t="s">
        <v>782</v>
      </c>
      <c r="D499" s="120" t="s">
        <v>488</v>
      </c>
      <c r="E499" s="33" t="s">
        <v>74</v>
      </c>
      <c r="F499" s="18" t="s">
        <v>64</v>
      </c>
      <c r="G499" s="18" t="s">
        <v>179</v>
      </c>
      <c r="H499" s="34" t="s">
        <v>86</v>
      </c>
      <c r="I499" s="18" t="s">
        <v>104</v>
      </c>
      <c r="J499" s="31" t="s">
        <v>114</v>
      </c>
      <c r="K499" s="31">
        <v>46181</v>
      </c>
      <c r="L499" s="4"/>
      <c r="M499" s="4"/>
      <c r="N499" s="13" t="s">
        <v>29</v>
      </c>
      <c r="O499" s="35" t="str">
        <f>IF(D499="","",IF(COUNTIF(离职清单!C:C,D499)&gt;0,"已离职","在职"))</f>
        <v>在职</v>
      </c>
      <c r="P499" s="35">
        <f>IF(AND(O499="在职",J499="是"),COUNTIF(O$2:O499,"在职"),"")</f>
        <v>492</v>
      </c>
    </row>
    <row r="500" customFormat="1" ht="18" spans="1:16">
      <c r="A500" s="14">
        <f t="shared" si="10"/>
        <v>499</v>
      </c>
      <c r="B500" s="31">
        <v>46181</v>
      </c>
      <c r="C500" s="32" t="s">
        <v>783</v>
      </c>
      <c r="D500" s="120" t="s">
        <v>490</v>
      </c>
      <c r="E500" s="33" t="s">
        <v>74</v>
      </c>
      <c r="F500" s="18" t="s">
        <v>64</v>
      </c>
      <c r="G500" s="18" t="s">
        <v>179</v>
      </c>
      <c r="H500" s="34" t="s">
        <v>86</v>
      </c>
      <c r="I500" s="18" t="s">
        <v>104</v>
      </c>
      <c r="J500" s="31" t="s">
        <v>114</v>
      </c>
      <c r="K500" s="31">
        <v>46181</v>
      </c>
      <c r="L500" s="4"/>
      <c r="M500" s="4"/>
      <c r="N500" s="13" t="s">
        <v>29</v>
      </c>
      <c r="O500" s="35" t="str">
        <f>IF(D500="","",IF(COUNTIF(离职清单!C:C,D500)&gt;0,"已离职","在职"))</f>
        <v>在职</v>
      </c>
      <c r="P500" s="35">
        <f>IF(AND(O500="在职",J500="是"),COUNTIF(O$2:O500,"在职"),"")</f>
        <v>493</v>
      </c>
    </row>
    <row r="501" customFormat="1" ht="18" spans="1:16">
      <c r="A501" s="10">
        <f t="shared" si="10"/>
        <v>500</v>
      </c>
      <c r="B501" s="31">
        <v>46181</v>
      </c>
      <c r="C501" s="32" t="s">
        <v>784</v>
      </c>
      <c r="D501" s="120" t="s">
        <v>492</v>
      </c>
      <c r="E501" s="33" t="s">
        <v>43</v>
      </c>
      <c r="F501" s="18" t="s">
        <v>63</v>
      </c>
      <c r="G501" s="18" t="s">
        <v>785</v>
      </c>
      <c r="H501" s="34" t="s">
        <v>86</v>
      </c>
      <c r="I501" s="18" t="s">
        <v>111</v>
      </c>
      <c r="J501" s="31" t="s">
        <v>105</v>
      </c>
      <c r="K501" s="31">
        <v>46181</v>
      </c>
      <c r="L501" s="4"/>
      <c r="M501" s="4"/>
      <c r="N501" s="13" t="s">
        <v>29</v>
      </c>
      <c r="O501" s="35" t="str">
        <f>IF(D501="","",IF(COUNTIF(离职清单!C:C,D501)&gt;0,"已离职","在职"))</f>
        <v>在职</v>
      </c>
      <c r="P501" s="35" t="str">
        <f>IF(AND(O501="在职",J501="是"),COUNTIF(O$2:O501,"在职"),"")</f>
        <v/>
      </c>
    </row>
    <row r="502" customFormat="1" ht="18" spans="1:16">
      <c r="A502" s="14">
        <f t="shared" si="10"/>
        <v>501</v>
      </c>
      <c r="B502" s="31">
        <v>46181</v>
      </c>
      <c r="C502" s="32" t="s">
        <v>786</v>
      </c>
      <c r="D502" s="120" t="s">
        <v>477</v>
      </c>
      <c r="E502" s="33" t="s">
        <v>43</v>
      </c>
      <c r="F502" s="18" t="s">
        <v>64</v>
      </c>
      <c r="G502" s="18" t="s">
        <v>179</v>
      </c>
      <c r="H502" s="34" t="s">
        <v>86</v>
      </c>
      <c r="I502" s="18" t="s">
        <v>104</v>
      </c>
      <c r="J502" s="31" t="s">
        <v>114</v>
      </c>
      <c r="K502" s="31">
        <v>46181</v>
      </c>
      <c r="L502" s="4"/>
      <c r="M502" s="4"/>
      <c r="N502" s="13" t="s">
        <v>29</v>
      </c>
      <c r="O502" s="35" t="str">
        <f>IF(D502="","",IF(COUNTIF(离职清单!C:C,D502)&gt;0,"已离职","在职"))</f>
        <v>在职</v>
      </c>
      <c r="P502" s="35">
        <f>IF(AND(O502="在职",J502="是"),COUNTIF(O$2:O502,"在职"),"")</f>
        <v>495</v>
      </c>
    </row>
    <row r="503" customFormat="1" ht="18" spans="1:16">
      <c r="A503" s="10">
        <f t="shared" si="10"/>
        <v>502</v>
      </c>
      <c r="B503" s="31">
        <v>46182</v>
      </c>
      <c r="C503" s="32" t="s">
        <v>787</v>
      </c>
      <c r="D503" s="120" t="s">
        <v>478</v>
      </c>
      <c r="E503" s="33" t="s">
        <v>43</v>
      </c>
      <c r="F503" s="18" t="s">
        <v>64</v>
      </c>
      <c r="G503" s="18" t="s">
        <v>681</v>
      </c>
      <c r="H503" s="34" t="s">
        <v>86</v>
      </c>
      <c r="I503" s="18" t="s">
        <v>111</v>
      </c>
      <c r="J503" s="31" t="s">
        <v>105</v>
      </c>
      <c r="K503" s="31">
        <v>46182</v>
      </c>
      <c r="L503" s="4"/>
      <c r="M503" s="4"/>
      <c r="N503" s="13" t="s">
        <v>29</v>
      </c>
      <c r="O503" s="35" t="str">
        <f>IF(D503="","",IF(COUNTIF(离职清单!C:C,D503)&gt;0,"已离职","在职"))</f>
        <v>在职</v>
      </c>
      <c r="P503" s="35" t="str">
        <f>IF(AND(O503="在职",J503="是"),COUNTIF(O$2:O503,"在职"),"")</f>
        <v/>
      </c>
    </row>
    <row r="504" customFormat="1" ht="18" spans="1:16">
      <c r="A504" s="14">
        <f t="shared" si="10"/>
        <v>503</v>
      </c>
      <c r="B504" s="31">
        <v>46182</v>
      </c>
      <c r="C504" s="32" t="s">
        <v>751</v>
      </c>
      <c r="D504" s="120" t="s">
        <v>480</v>
      </c>
      <c r="E504" s="33" t="s">
        <v>42</v>
      </c>
      <c r="F504" s="18" t="s">
        <v>64</v>
      </c>
      <c r="G504" s="18" t="s">
        <v>681</v>
      </c>
      <c r="H504" s="34" t="s">
        <v>86</v>
      </c>
      <c r="I504" s="18" t="s">
        <v>111</v>
      </c>
      <c r="J504" s="31" t="s">
        <v>105</v>
      </c>
      <c r="K504" s="31">
        <v>46182</v>
      </c>
      <c r="L504" s="4"/>
      <c r="M504" s="4"/>
      <c r="N504" s="13" t="s">
        <v>29</v>
      </c>
      <c r="O504" s="35" t="str">
        <f>IF(D504="","",IF(COUNTIF(离职清单!C:C,D504)&gt;0,"已离职","在职"))</f>
        <v>在职</v>
      </c>
      <c r="P504" s="35" t="str">
        <f>IF(AND(O504="在职",J504="是"),COUNTIF(O$2:O504,"在职"),"")</f>
        <v/>
      </c>
    </row>
    <row r="505" customFormat="1" ht="18" spans="1:16">
      <c r="A505" s="10">
        <f t="shared" si="10"/>
        <v>504</v>
      </c>
      <c r="B505" s="31">
        <v>46182</v>
      </c>
      <c r="C505" s="32" t="s">
        <v>752</v>
      </c>
      <c r="D505" s="120" t="s">
        <v>482</v>
      </c>
      <c r="E505" s="33" t="s">
        <v>42</v>
      </c>
      <c r="F505" s="18" t="s">
        <v>64</v>
      </c>
      <c r="G505" s="18" t="s">
        <v>681</v>
      </c>
      <c r="H505" s="34" t="s">
        <v>86</v>
      </c>
      <c r="I505" s="18" t="s">
        <v>111</v>
      </c>
      <c r="J505" s="31" t="s">
        <v>105</v>
      </c>
      <c r="K505" s="31">
        <v>46182</v>
      </c>
      <c r="L505" s="4"/>
      <c r="M505" s="4"/>
      <c r="N505" s="13" t="s">
        <v>29</v>
      </c>
      <c r="O505" s="35" t="str">
        <f>IF(D505="","",IF(COUNTIF(离职清单!C:C,D505)&gt;0,"已离职","在职"))</f>
        <v>在职</v>
      </c>
      <c r="P505" s="35" t="str">
        <f>IF(AND(O505="在职",J505="是"),COUNTIF(O$2:O505,"在职"),"")</f>
        <v/>
      </c>
    </row>
    <row r="506" customFormat="1" ht="18" spans="1:16">
      <c r="A506" s="14">
        <f t="shared" si="10"/>
        <v>505</v>
      </c>
      <c r="B506" s="31">
        <v>46182</v>
      </c>
      <c r="C506" s="32" t="s">
        <v>788</v>
      </c>
      <c r="D506" s="120" t="s">
        <v>484</v>
      </c>
      <c r="E506" s="33" t="s">
        <v>42</v>
      </c>
      <c r="F506" s="18" t="s">
        <v>64</v>
      </c>
      <c r="G506" s="18" t="s">
        <v>681</v>
      </c>
      <c r="H506" s="34" t="s">
        <v>86</v>
      </c>
      <c r="I506" s="18" t="s">
        <v>111</v>
      </c>
      <c r="J506" s="31" t="s">
        <v>105</v>
      </c>
      <c r="K506" s="31">
        <v>46182</v>
      </c>
      <c r="L506" s="4"/>
      <c r="M506" s="4"/>
      <c r="N506" s="13" t="s">
        <v>29</v>
      </c>
      <c r="O506" s="35" t="str">
        <f>IF(D506="","",IF(COUNTIF(离职清单!C:C,D506)&gt;0,"已离职","在职"))</f>
        <v>在职</v>
      </c>
      <c r="P506" s="35" t="str">
        <f>IF(AND(O506="在职",J506="是"),COUNTIF(O$2:O506,"在职"),"")</f>
        <v/>
      </c>
    </row>
    <row r="507" customFormat="1" ht="18" spans="1:16">
      <c r="A507" s="10">
        <f t="shared" si="10"/>
        <v>506</v>
      </c>
      <c r="B507" s="31">
        <v>46182</v>
      </c>
      <c r="C507" s="32" t="s">
        <v>740</v>
      </c>
      <c r="D507" s="120" t="s">
        <v>486</v>
      </c>
      <c r="E507" s="33" t="s">
        <v>43</v>
      </c>
      <c r="F507" s="18" t="s">
        <v>64</v>
      </c>
      <c r="G507" s="18" t="s">
        <v>148</v>
      </c>
      <c r="H507" s="34" t="s">
        <v>86</v>
      </c>
      <c r="I507" s="18" t="s">
        <v>111</v>
      </c>
      <c r="J507" s="31" t="s">
        <v>105</v>
      </c>
      <c r="K507" s="31">
        <v>46182</v>
      </c>
      <c r="L507" s="4"/>
      <c r="M507" s="4"/>
      <c r="N507" s="13" t="s">
        <v>29</v>
      </c>
      <c r="O507" s="35" t="str">
        <f>IF(D507="","",IF(COUNTIF(离职清单!C:C,D507)&gt;0,"已离职","在职"))</f>
        <v>在职</v>
      </c>
      <c r="P507" s="35" t="str">
        <f>IF(AND(O507="在职",J507="是"),COUNTIF(O$2:O507,"在职"),"")</f>
        <v/>
      </c>
    </row>
    <row r="508" customFormat="1" ht="18" spans="1:16">
      <c r="A508" s="14">
        <f t="shared" si="10"/>
        <v>507</v>
      </c>
      <c r="B508" s="31">
        <v>46182</v>
      </c>
      <c r="C508" s="32" t="s">
        <v>789</v>
      </c>
      <c r="D508" s="120" t="s">
        <v>488</v>
      </c>
      <c r="E508" s="33" t="s">
        <v>42</v>
      </c>
      <c r="F508" s="18" t="s">
        <v>64</v>
      </c>
      <c r="G508" s="18" t="s">
        <v>148</v>
      </c>
      <c r="H508" s="34" t="s">
        <v>86</v>
      </c>
      <c r="I508" s="18" t="s">
        <v>111</v>
      </c>
      <c r="J508" s="31" t="s">
        <v>105</v>
      </c>
      <c r="K508" s="31">
        <v>46182</v>
      </c>
      <c r="L508" s="4"/>
      <c r="M508" s="4"/>
      <c r="N508" s="13" t="s">
        <v>29</v>
      </c>
      <c r="O508" s="35" t="str">
        <f>IF(D508="","",IF(COUNTIF(离职清单!C:C,D508)&gt;0,"已离职","在职"))</f>
        <v>在职</v>
      </c>
      <c r="P508" s="35" t="str">
        <f>IF(AND(O508="在职",J508="是"),COUNTIF(O$2:O508,"在职"),"")</f>
        <v/>
      </c>
    </row>
    <row r="509" customFormat="1" ht="18" spans="1:16">
      <c r="A509" s="10">
        <f t="shared" si="10"/>
        <v>508</v>
      </c>
      <c r="B509" s="31">
        <v>46182</v>
      </c>
      <c r="C509" s="32" t="s">
        <v>741</v>
      </c>
      <c r="D509" s="120" t="s">
        <v>490</v>
      </c>
      <c r="E509" s="33" t="s">
        <v>42</v>
      </c>
      <c r="F509" s="18" t="s">
        <v>64</v>
      </c>
      <c r="G509" s="18" t="s">
        <v>148</v>
      </c>
      <c r="H509" s="34" t="s">
        <v>86</v>
      </c>
      <c r="I509" s="18" t="s">
        <v>111</v>
      </c>
      <c r="J509" s="31" t="s">
        <v>105</v>
      </c>
      <c r="K509" s="31">
        <v>46182</v>
      </c>
      <c r="L509" s="4"/>
      <c r="M509" s="4"/>
      <c r="N509" s="13" t="s">
        <v>29</v>
      </c>
      <c r="O509" s="35" t="str">
        <f>IF(D509="","",IF(COUNTIF(离职清单!C:C,D509)&gt;0,"已离职","在职"))</f>
        <v>在职</v>
      </c>
      <c r="P509" s="35" t="str">
        <f>IF(AND(O509="在职",J509="是"),COUNTIF(O$2:O509,"在职"),"")</f>
        <v/>
      </c>
    </row>
    <row r="510" customFormat="1" ht="18" spans="1:16">
      <c r="A510" s="14">
        <f t="shared" si="10"/>
        <v>509</v>
      </c>
      <c r="B510" s="31">
        <v>46182</v>
      </c>
      <c r="C510" s="32" t="s">
        <v>790</v>
      </c>
      <c r="D510" s="120" t="s">
        <v>492</v>
      </c>
      <c r="E510" s="33" t="s">
        <v>42</v>
      </c>
      <c r="F510" s="18" t="s">
        <v>64</v>
      </c>
      <c r="G510" s="18" t="s">
        <v>148</v>
      </c>
      <c r="H510" s="34" t="s">
        <v>86</v>
      </c>
      <c r="I510" s="18" t="s">
        <v>111</v>
      </c>
      <c r="J510" s="31" t="s">
        <v>105</v>
      </c>
      <c r="K510" s="31">
        <v>46182</v>
      </c>
      <c r="L510" s="4"/>
      <c r="M510" s="4"/>
      <c r="N510" s="13" t="s">
        <v>29</v>
      </c>
      <c r="O510" s="35" t="str">
        <f>IF(D510="","",IF(COUNTIF(离职清单!C:C,D510)&gt;0,"已离职","在职"))</f>
        <v>在职</v>
      </c>
      <c r="P510" s="35" t="str">
        <f>IF(AND(O510="在职",J510="是"),COUNTIF(O$2:O510,"在职"),"")</f>
        <v/>
      </c>
    </row>
    <row r="511" customFormat="1" ht="18" spans="1:16">
      <c r="A511" s="10">
        <f t="shared" si="10"/>
        <v>510</v>
      </c>
      <c r="B511" s="31">
        <v>46182</v>
      </c>
      <c r="C511" s="32" t="s">
        <v>791</v>
      </c>
      <c r="D511" s="120" t="s">
        <v>477</v>
      </c>
      <c r="E511" s="33" t="s">
        <v>42</v>
      </c>
      <c r="F511" s="18" t="s">
        <v>64</v>
      </c>
      <c r="G511" s="18" t="s">
        <v>148</v>
      </c>
      <c r="H511" s="34" t="s">
        <v>86</v>
      </c>
      <c r="I511" s="18" t="s">
        <v>104</v>
      </c>
      <c r="J511" s="31" t="s">
        <v>114</v>
      </c>
      <c r="K511" s="31">
        <v>46182</v>
      </c>
      <c r="L511" s="4"/>
      <c r="M511" s="4"/>
      <c r="N511" s="13" t="s">
        <v>29</v>
      </c>
      <c r="O511" s="35" t="str">
        <f>IF(D511="","",IF(COUNTIF(离职清单!C:C,D511)&gt;0,"已离职","在职"))</f>
        <v>在职</v>
      </c>
      <c r="P511" s="35">
        <f>IF(AND(O511="在职",J511="是"),COUNTIF(O$2:O511,"在职"),"")</f>
        <v>504</v>
      </c>
    </row>
    <row r="512" customFormat="1" ht="18" spans="1:16">
      <c r="A512" s="14">
        <f t="shared" si="10"/>
        <v>511</v>
      </c>
      <c r="B512" s="31">
        <v>46182</v>
      </c>
      <c r="C512" s="32" t="s">
        <v>792</v>
      </c>
      <c r="D512" s="120" t="s">
        <v>477</v>
      </c>
      <c r="E512" s="33" t="s">
        <v>42</v>
      </c>
      <c r="F512" s="18" t="s">
        <v>64</v>
      </c>
      <c r="G512" s="18" t="s">
        <v>148</v>
      </c>
      <c r="H512" s="34" t="s">
        <v>86</v>
      </c>
      <c r="I512" s="18" t="s">
        <v>104</v>
      </c>
      <c r="J512" s="31" t="s">
        <v>114</v>
      </c>
      <c r="K512" s="31">
        <v>46182</v>
      </c>
      <c r="L512" s="4"/>
      <c r="M512" s="4"/>
      <c r="N512" s="13" t="s">
        <v>29</v>
      </c>
      <c r="O512" s="35" t="str">
        <f>IF(D512="","",IF(COUNTIF(离职清单!C:C,D512)&gt;0,"已离职","在职"))</f>
        <v>在职</v>
      </c>
      <c r="P512" s="35">
        <f>IF(AND(O512="在职",J512="是"),COUNTIF(O$2:O512,"在职"),"")</f>
        <v>505</v>
      </c>
    </row>
    <row r="513" customFormat="1" ht="18" spans="1:16">
      <c r="A513" s="10">
        <f t="shared" si="10"/>
        <v>512</v>
      </c>
      <c r="B513" s="31">
        <v>46182</v>
      </c>
      <c r="C513" s="32" t="s">
        <v>793</v>
      </c>
      <c r="D513" s="120" t="s">
        <v>478</v>
      </c>
      <c r="E513" s="33" t="s">
        <v>42</v>
      </c>
      <c r="F513" s="18" t="s">
        <v>64</v>
      </c>
      <c r="G513" s="18" t="s">
        <v>124</v>
      </c>
      <c r="H513" s="34" t="s">
        <v>86</v>
      </c>
      <c r="I513" s="18" t="s">
        <v>111</v>
      </c>
      <c r="J513" s="31" t="s">
        <v>105</v>
      </c>
      <c r="K513" s="31">
        <v>46182</v>
      </c>
      <c r="L513" s="4"/>
      <c r="M513" s="4"/>
      <c r="N513" s="13" t="s">
        <v>29</v>
      </c>
      <c r="O513" s="35" t="str">
        <f>IF(D513="","",IF(COUNTIF(离职清单!C:C,D513)&gt;0,"已离职","在职"))</f>
        <v>在职</v>
      </c>
      <c r="P513" s="35" t="str">
        <f>IF(AND(O513="在职",J513="是"),COUNTIF(O$2:O513,"在职"),"")</f>
        <v/>
      </c>
    </row>
    <row r="514" customFormat="1" ht="18" spans="1:16">
      <c r="A514" s="14">
        <f t="shared" si="10"/>
        <v>513</v>
      </c>
      <c r="B514" s="31">
        <v>46182</v>
      </c>
      <c r="C514" s="32" t="s">
        <v>668</v>
      </c>
      <c r="D514" s="120" t="s">
        <v>480</v>
      </c>
      <c r="E514" s="33" t="s">
        <v>74</v>
      </c>
      <c r="F514" s="18" t="s">
        <v>64</v>
      </c>
      <c r="G514" s="18" t="s">
        <v>124</v>
      </c>
      <c r="H514" s="34" t="s">
        <v>86</v>
      </c>
      <c r="I514" s="18" t="s">
        <v>104</v>
      </c>
      <c r="J514" s="31" t="s">
        <v>114</v>
      </c>
      <c r="K514" s="31">
        <v>46182</v>
      </c>
      <c r="L514" s="4"/>
      <c r="M514" s="4"/>
      <c r="N514" s="13" t="s">
        <v>29</v>
      </c>
      <c r="O514" s="35" t="str">
        <f>IF(D514="","",IF(COUNTIF(离职清单!C:C,D514)&gt;0,"已离职","在职"))</f>
        <v>在职</v>
      </c>
      <c r="P514" s="35">
        <f>IF(AND(O514="在职",J514="是"),COUNTIF(O$2:O514,"在职"),"")</f>
        <v>507</v>
      </c>
    </row>
    <row r="515" customFormat="1" ht="18" spans="1:16">
      <c r="A515" s="10">
        <f t="shared" si="10"/>
        <v>514</v>
      </c>
      <c r="B515" s="31">
        <v>46182</v>
      </c>
      <c r="C515" s="32" t="s">
        <v>669</v>
      </c>
      <c r="D515" s="120" t="s">
        <v>482</v>
      </c>
      <c r="E515" s="33" t="s">
        <v>74</v>
      </c>
      <c r="F515" s="18" t="s">
        <v>64</v>
      </c>
      <c r="G515" s="18" t="s">
        <v>124</v>
      </c>
      <c r="H515" s="34" t="s">
        <v>86</v>
      </c>
      <c r="I515" s="18" t="s">
        <v>104</v>
      </c>
      <c r="J515" s="31" t="s">
        <v>114</v>
      </c>
      <c r="K515" s="31">
        <v>46182</v>
      </c>
      <c r="L515" s="4"/>
      <c r="M515" s="4"/>
      <c r="N515" s="13" t="s">
        <v>29</v>
      </c>
      <c r="O515" s="35" t="str">
        <f>IF(D515="","",IF(COUNTIF(离职清单!C:C,D515)&gt;0,"已离职","在职"))</f>
        <v>在职</v>
      </c>
      <c r="P515" s="35">
        <f>IF(AND(O515="在职",J515="是"),COUNTIF(O$2:O515,"在职"),"")</f>
        <v>508</v>
      </c>
    </row>
    <row r="516" customFormat="1" ht="18" spans="1:16">
      <c r="A516" s="14">
        <f t="shared" si="10"/>
        <v>515</v>
      </c>
      <c r="B516" s="31">
        <v>46182</v>
      </c>
      <c r="C516" s="32" t="s">
        <v>794</v>
      </c>
      <c r="D516" s="120" t="s">
        <v>484</v>
      </c>
      <c r="E516" s="33" t="s">
        <v>74</v>
      </c>
      <c r="F516" s="18" t="s">
        <v>64</v>
      </c>
      <c r="G516" s="18" t="s">
        <v>124</v>
      </c>
      <c r="H516" s="34" t="s">
        <v>86</v>
      </c>
      <c r="I516" s="18" t="s">
        <v>104</v>
      </c>
      <c r="J516" s="31" t="s">
        <v>114</v>
      </c>
      <c r="K516" s="31">
        <v>46182</v>
      </c>
      <c r="L516" s="4"/>
      <c r="M516" s="4"/>
      <c r="N516" s="13" t="s">
        <v>29</v>
      </c>
      <c r="O516" s="35" t="str">
        <f>IF(D516="","",IF(COUNTIF(离职清单!C:C,D516)&gt;0,"已离职","在职"))</f>
        <v>在职</v>
      </c>
      <c r="P516" s="35">
        <f>IF(AND(O516="在职",J516="是"),COUNTIF(O$2:O516,"在职"),"")</f>
        <v>509</v>
      </c>
    </row>
    <row r="517" customFormat="1" ht="18" spans="1:16">
      <c r="A517" s="14">
        <f t="shared" si="10"/>
        <v>516</v>
      </c>
      <c r="B517" s="31">
        <v>46182</v>
      </c>
      <c r="C517" s="32" t="s">
        <v>795</v>
      </c>
      <c r="D517" s="120" t="s">
        <v>486</v>
      </c>
      <c r="E517" s="33" t="s">
        <v>43</v>
      </c>
      <c r="F517" s="18" t="s">
        <v>64</v>
      </c>
      <c r="G517" s="18" t="s">
        <v>796</v>
      </c>
      <c r="H517" s="34" t="s">
        <v>86</v>
      </c>
      <c r="I517" s="18" t="s">
        <v>111</v>
      </c>
      <c r="J517" s="31" t="s">
        <v>105</v>
      </c>
      <c r="K517" s="31">
        <v>46182</v>
      </c>
      <c r="L517" s="4"/>
      <c r="M517" s="4"/>
      <c r="N517" s="13" t="s">
        <v>29</v>
      </c>
      <c r="O517" s="35" t="str">
        <f>IF(D517="","",IF(COUNTIF(离职清单!C:C,D517)&gt;0,"已离职","在职"))</f>
        <v>在职</v>
      </c>
      <c r="P517" s="35" t="str">
        <f>IF(AND(O517="在职",J517="是"),COUNTIF(O$2:O517,"在职"),"")</f>
        <v/>
      </c>
    </row>
    <row r="518" customFormat="1" ht="18" spans="1:16">
      <c r="A518" s="10">
        <f t="shared" si="10"/>
        <v>517</v>
      </c>
      <c r="B518" s="31">
        <v>46182</v>
      </c>
      <c r="C518" s="32" t="s">
        <v>797</v>
      </c>
      <c r="D518" s="120" t="s">
        <v>488</v>
      </c>
      <c r="E518" s="33" t="s">
        <v>43</v>
      </c>
      <c r="F518" s="18" t="s">
        <v>64</v>
      </c>
      <c r="G518" s="18" t="s">
        <v>103</v>
      </c>
      <c r="H518" s="34" t="s">
        <v>86</v>
      </c>
      <c r="I518" s="18" t="s">
        <v>111</v>
      </c>
      <c r="J518" s="31" t="s">
        <v>105</v>
      </c>
      <c r="K518" s="31">
        <v>46182</v>
      </c>
      <c r="L518" s="4"/>
      <c r="M518" s="4"/>
      <c r="N518" s="13" t="s">
        <v>29</v>
      </c>
      <c r="O518" s="35" t="str">
        <f>IF(D518="","",IF(COUNTIF(离职清单!C:C,D518)&gt;0,"已离职","在职"))</f>
        <v>在职</v>
      </c>
      <c r="P518" s="35" t="str">
        <f>IF(AND(O518="在职",J518="是"),COUNTIF(O$2:O518,"在职"),"")</f>
        <v/>
      </c>
    </row>
    <row r="519" customFormat="1" ht="18" spans="1:16">
      <c r="A519" s="14">
        <f t="shared" si="10"/>
        <v>518</v>
      </c>
      <c r="B519" s="31">
        <v>46182</v>
      </c>
      <c r="C519" s="32" t="s">
        <v>798</v>
      </c>
      <c r="D519" s="120" t="s">
        <v>490</v>
      </c>
      <c r="E519" s="33" t="s">
        <v>43</v>
      </c>
      <c r="F519" s="18" t="s">
        <v>62</v>
      </c>
      <c r="G519" s="18" t="s">
        <v>103</v>
      </c>
      <c r="H519" s="34" t="s">
        <v>86</v>
      </c>
      <c r="I519" s="18" t="s">
        <v>104</v>
      </c>
      <c r="J519" s="31" t="s">
        <v>114</v>
      </c>
      <c r="K519" s="31">
        <v>46182</v>
      </c>
      <c r="L519" s="4"/>
      <c r="M519" s="4"/>
      <c r="N519" s="13" t="s">
        <v>29</v>
      </c>
      <c r="O519" s="35" t="str">
        <f>IF(D519="","",IF(COUNTIF(离职清单!C:C,D519)&gt;0,"已离职","在职"))</f>
        <v>在职</v>
      </c>
      <c r="P519" s="35">
        <f>IF(AND(O519="在职",J519="是"),COUNTIF(O$2:O519,"在职"),"")</f>
        <v>512</v>
      </c>
    </row>
    <row r="520" customFormat="1" ht="18" spans="1:16">
      <c r="A520" s="10">
        <f t="shared" si="10"/>
        <v>519</v>
      </c>
      <c r="B520" s="31">
        <v>46182</v>
      </c>
      <c r="C520" s="32" t="s">
        <v>799</v>
      </c>
      <c r="D520" s="120" t="s">
        <v>492</v>
      </c>
      <c r="E520" s="33" t="s">
        <v>43</v>
      </c>
      <c r="F520" s="18" t="s">
        <v>62</v>
      </c>
      <c r="G520" s="18" t="s">
        <v>103</v>
      </c>
      <c r="H520" s="34" t="s">
        <v>86</v>
      </c>
      <c r="I520" s="18" t="s">
        <v>104</v>
      </c>
      <c r="J520" s="31" t="s">
        <v>114</v>
      </c>
      <c r="K520" s="31">
        <v>46182</v>
      </c>
      <c r="L520" s="4"/>
      <c r="M520" s="4"/>
      <c r="N520" s="13" t="s">
        <v>29</v>
      </c>
      <c r="O520" s="35" t="str">
        <f>IF(D520="","",IF(COUNTIF(离职清单!C:C,D520)&gt;0,"已离职","在职"))</f>
        <v>在职</v>
      </c>
      <c r="P520" s="35">
        <f>IF(AND(O520="在职",J520="是"),COUNTIF(O$2:O520,"在职"),"")</f>
        <v>513</v>
      </c>
    </row>
    <row r="521" customFormat="1" ht="18" spans="1:16">
      <c r="A521" s="14">
        <f t="shared" si="10"/>
        <v>520</v>
      </c>
      <c r="B521" s="31">
        <v>46182</v>
      </c>
      <c r="C521" s="32" t="s">
        <v>800</v>
      </c>
      <c r="D521" s="120" t="s">
        <v>477</v>
      </c>
      <c r="E521" s="33" t="s">
        <v>43</v>
      </c>
      <c r="F521" s="18" t="s">
        <v>62</v>
      </c>
      <c r="G521" s="18" t="s">
        <v>103</v>
      </c>
      <c r="H521" s="34" t="s">
        <v>86</v>
      </c>
      <c r="I521" s="18" t="s">
        <v>104</v>
      </c>
      <c r="J521" s="31" t="s">
        <v>114</v>
      </c>
      <c r="K521" s="31">
        <v>46182</v>
      </c>
      <c r="L521" s="4"/>
      <c r="M521" s="4"/>
      <c r="N521" s="13" t="s">
        <v>29</v>
      </c>
      <c r="O521" s="35" t="str">
        <f>IF(D521="","",IF(COUNTIF(离职清单!C:C,D521)&gt;0,"已离职","在职"))</f>
        <v>在职</v>
      </c>
      <c r="P521" s="35">
        <f>IF(AND(O521="在职",J521="是"),COUNTIF(O$2:O521,"在职"),"")</f>
        <v>514</v>
      </c>
    </row>
    <row r="522" customFormat="1" ht="18" spans="1:16">
      <c r="A522" s="10">
        <f t="shared" si="10"/>
        <v>521</v>
      </c>
      <c r="B522" s="31">
        <v>46182</v>
      </c>
      <c r="C522" s="32" t="s">
        <v>801</v>
      </c>
      <c r="D522" s="120" t="s">
        <v>478</v>
      </c>
      <c r="E522" s="33" t="s">
        <v>74</v>
      </c>
      <c r="F522" s="18" t="s">
        <v>190</v>
      </c>
      <c r="G522" s="18" t="s">
        <v>117</v>
      </c>
      <c r="H522" s="34" t="s">
        <v>86</v>
      </c>
      <c r="I522" s="18" t="s">
        <v>104</v>
      </c>
      <c r="J522" s="31" t="s">
        <v>114</v>
      </c>
      <c r="K522" s="31">
        <v>46182</v>
      </c>
      <c r="L522" s="4"/>
      <c r="M522" s="4"/>
      <c r="N522" s="13" t="s">
        <v>29</v>
      </c>
      <c r="O522" s="35" t="str">
        <f>IF(D522="","",IF(COUNTIF(离职清单!C:C,D522)&gt;0,"已离职","在职"))</f>
        <v>在职</v>
      </c>
      <c r="P522" s="35">
        <f>IF(AND(O522="在职",J522="是"),COUNTIF(O$2:O522,"在职"),"")</f>
        <v>515</v>
      </c>
    </row>
    <row r="523" customFormat="1" ht="18" spans="1:16">
      <c r="A523" s="14">
        <f t="shared" si="10"/>
        <v>522</v>
      </c>
      <c r="B523" s="31">
        <v>46182</v>
      </c>
      <c r="C523" s="32" t="s">
        <v>655</v>
      </c>
      <c r="D523" s="120" t="s">
        <v>480</v>
      </c>
      <c r="E523" s="33" t="s">
        <v>74</v>
      </c>
      <c r="F523" s="18" t="s">
        <v>190</v>
      </c>
      <c r="G523" s="18" t="s">
        <v>117</v>
      </c>
      <c r="H523" s="34" t="s">
        <v>86</v>
      </c>
      <c r="I523" s="18" t="s">
        <v>104</v>
      </c>
      <c r="J523" s="31" t="s">
        <v>105</v>
      </c>
      <c r="K523" s="31">
        <v>46182</v>
      </c>
      <c r="L523" s="4"/>
      <c r="M523" s="4"/>
      <c r="N523" s="13" t="s">
        <v>29</v>
      </c>
      <c r="O523" s="35" t="str">
        <f>IF(D523="","",IF(COUNTIF(离职清单!C:C,D523)&gt;0,"已离职","在职"))</f>
        <v>在职</v>
      </c>
      <c r="P523" s="35" t="str">
        <f>IF(AND(O523="在职",J523="是"),COUNTIF(O$2:O523,"在职"),"")</f>
        <v/>
      </c>
    </row>
    <row r="524" customFormat="1" ht="18" spans="1:16">
      <c r="A524" s="10">
        <f t="shared" si="10"/>
        <v>523</v>
      </c>
      <c r="B524" s="31">
        <v>46182</v>
      </c>
      <c r="C524" s="32" t="s">
        <v>802</v>
      </c>
      <c r="D524" s="120" t="s">
        <v>482</v>
      </c>
      <c r="E524" s="33" t="s">
        <v>74</v>
      </c>
      <c r="F524" s="18" t="s">
        <v>190</v>
      </c>
      <c r="G524" s="18" t="s">
        <v>117</v>
      </c>
      <c r="H524" s="34" t="s">
        <v>86</v>
      </c>
      <c r="I524" s="18" t="s">
        <v>111</v>
      </c>
      <c r="J524" s="31" t="s">
        <v>105</v>
      </c>
      <c r="K524" s="31">
        <v>46182</v>
      </c>
      <c r="L524" s="4"/>
      <c r="M524" s="4"/>
      <c r="N524" s="13" t="s">
        <v>29</v>
      </c>
      <c r="O524" s="35" t="str">
        <f>IF(D524="","",IF(COUNTIF(离职清单!C:C,D524)&gt;0,"已离职","在职"))</f>
        <v>在职</v>
      </c>
      <c r="P524" s="35" t="str">
        <f>IF(AND(O524="在职",J524="是"),COUNTIF(O$2:O524,"在职"),"")</f>
        <v/>
      </c>
    </row>
    <row r="525" customFormat="1" ht="18" spans="1:16">
      <c r="A525" s="14">
        <f t="shared" si="10"/>
        <v>524</v>
      </c>
      <c r="B525" s="31">
        <v>46182</v>
      </c>
      <c r="C525" s="32" t="s">
        <v>803</v>
      </c>
      <c r="D525" s="120" t="s">
        <v>484</v>
      </c>
      <c r="E525" s="33" t="s">
        <v>74</v>
      </c>
      <c r="F525" s="18" t="s">
        <v>190</v>
      </c>
      <c r="G525" s="18" t="s">
        <v>117</v>
      </c>
      <c r="H525" s="34" t="s">
        <v>86</v>
      </c>
      <c r="I525" s="18" t="s">
        <v>104</v>
      </c>
      <c r="J525" s="31" t="s">
        <v>114</v>
      </c>
      <c r="K525" s="31">
        <v>46182</v>
      </c>
      <c r="L525" s="4"/>
      <c r="M525" s="4"/>
      <c r="N525" s="13" t="s">
        <v>29</v>
      </c>
      <c r="O525" s="35" t="str">
        <f>IF(D525="","",IF(COUNTIF(离职清单!C:C,D525)&gt;0,"已离职","在职"))</f>
        <v>在职</v>
      </c>
      <c r="P525" s="35">
        <f>IF(AND(O525="在职",J525="是"),COUNTIF(O$2:O525,"在职"),"")</f>
        <v>518</v>
      </c>
    </row>
    <row r="526" customFormat="1" ht="18" spans="1:16">
      <c r="A526" s="10">
        <f t="shared" si="10"/>
        <v>525</v>
      </c>
      <c r="B526" s="31">
        <v>46182</v>
      </c>
      <c r="C526" s="32" t="s">
        <v>804</v>
      </c>
      <c r="D526" s="120" t="s">
        <v>486</v>
      </c>
      <c r="E526" s="33" t="s">
        <v>74</v>
      </c>
      <c r="F526" s="18" t="s">
        <v>190</v>
      </c>
      <c r="G526" s="18" t="s">
        <v>117</v>
      </c>
      <c r="H526" s="34" t="s">
        <v>86</v>
      </c>
      <c r="I526" s="18" t="s">
        <v>104</v>
      </c>
      <c r="J526" s="31" t="s">
        <v>105</v>
      </c>
      <c r="K526" s="31">
        <v>46182</v>
      </c>
      <c r="L526" s="4"/>
      <c r="M526" s="4"/>
      <c r="N526" s="13" t="s">
        <v>29</v>
      </c>
      <c r="O526" s="35" t="str">
        <f>IF(D526="","",IF(COUNTIF(离职清单!C:C,D526)&gt;0,"已离职","在职"))</f>
        <v>在职</v>
      </c>
      <c r="P526" s="35" t="str">
        <f>IF(AND(O526="在职",J526="是"),COUNTIF(O$2:O526,"在职"),"")</f>
        <v/>
      </c>
    </row>
    <row r="527" customFormat="1" ht="18" spans="1:16">
      <c r="A527" s="14">
        <f t="shared" ref="A527:A586" si="11">IF(B527&lt;&gt;"",ROW()-1,"")</f>
        <v>526</v>
      </c>
      <c r="B527" s="31">
        <v>46182</v>
      </c>
      <c r="C527" s="32" t="s">
        <v>805</v>
      </c>
      <c r="D527" s="120" t="s">
        <v>488</v>
      </c>
      <c r="E527" s="33" t="s">
        <v>74</v>
      </c>
      <c r="F527" s="18" t="s">
        <v>64</v>
      </c>
      <c r="G527" s="18" t="s">
        <v>117</v>
      </c>
      <c r="H527" s="34" t="s">
        <v>86</v>
      </c>
      <c r="I527" s="18" t="s">
        <v>111</v>
      </c>
      <c r="J527" s="31" t="s">
        <v>105</v>
      </c>
      <c r="K527" s="31">
        <v>46182</v>
      </c>
      <c r="L527" s="4"/>
      <c r="M527" s="4"/>
      <c r="N527" s="13" t="s">
        <v>29</v>
      </c>
      <c r="O527" s="35" t="str">
        <f>IF(D527="","",IF(COUNTIF(离职清单!C:C,D527)&gt;0,"已离职","在职"))</f>
        <v>在职</v>
      </c>
      <c r="P527" s="35" t="str">
        <f>IF(AND(O527="在职",J527="是"),COUNTIF(O$2:O527,"在职"),"")</f>
        <v/>
      </c>
    </row>
    <row r="528" customFormat="1" ht="18" spans="1:16">
      <c r="A528" s="10">
        <f t="shared" si="11"/>
        <v>527</v>
      </c>
      <c r="B528" s="31">
        <v>46182</v>
      </c>
      <c r="C528" s="32" t="s">
        <v>806</v>
      </c>
      <c r="D528" s="120" t="s">
        <v>490</v>
      </c>
      <c r="E528" s="33" t="s">
        <v>74</v>
      </c>
      <c r="F528" s="18" t="s">
        <v>64</v>
      </c>
      <c r="G528" s="18" t="s">
        <v>117</v>
      </c>
      <c r="H528" s="34" t="s">
        <v>86</v>
      </c>
      <c r="I528" s="18" t="s">
        <v>111</v>
      </c>
      <c r="J528" s="31" t="s">
        <v>105</v>
      </c>
      <c r="K528" s="31">
        <v>46182</v>
      </c>
      <c r="L528" s="4"/>
      <c r="M528" s="4"/>
      <c r="N528" s="13" t="s">
        <v>29</v>
      </c>
      <c r="O528" s="35" t="str">
        <f>IF(D528="","",IF(COUNTIF(离职清单!C:C,D528)&gt;0,"已离职","在职"))</f>
        <v>在职</v>
      </c>
      <c r="P528" s="35" t="str">
        <f>IF(AND(O528="在职",J528="是"),COUNTIF(O$2:O528,"在职"),"")</f>
        <v/>
      </c>
    </row>
    <row r="529" customFormat="1" ht="18" spans="1:16">
      <c r="A529" s="14">
        <f t="shared" si="11"/>
        <v>528</v>
      </c>
      <c r="B529" s="31">
        <v>46182</v>
      </c>
      <c r="C529" s="32" t="s">
        <v>807</v>
      </c>
      <c r="D529" s="120" t="s">
        <v>492</v>
      </c>
      <c r="E529" s="33" t="s">
        <v>42</v>
      </c>
      <c r="F529" s="18" t="s">
        <v>64</v>
      </c>
      <c r="G529" s="18" t="s">
        <v>307</v>
      </c>
      <c r="H529" s="34" t="s">
        <v>86</v>
      </c>
      <c r="I529" s="18" t="s">
        <v>104</v>
      </c>
      <c r="J529" s="31" t="s">
        <v>114</v>
      </c>
      <c r="K529" s="31">
        <v>46182</v>
      </c>
      <c r="L529" s="4"/>
      <c r="M529" s="4"/>
      <c r="N529" s="13" t="s">
        <v>29</v>
      </c>
      <c r="O529" s="35" t="str">
        <f>IF(D529="","",IF(COUNTIF(离职清单!C:C,D529)&gt;0,"已离职","在职"))</f>
        <v>在职</v>
      </c>
      <c r="P529" s="35">
        <f>IF(AND(O529="在职",J529="是"),COUNTIF(O$2:O529,"在职"),"")</f>
        <v>522</v>
      </c>
    </row>
    <row r="530" customFormat="1" ht="18" spans="1:16">
      <c r="A530" s="10">
        <f t="shared" si="11"/>
        <v>529</v>
      </c>
      <c r="B530" s="31">
        <v>46182</v>
      </c>
      <c r="C530" s="32" t="s">
        <v>808</v>
      </c>
      <c r="D530" s="120" t="s">
        <v>477</v>
      </c>
      <c r="E530" s="33" t="s">
        <v>42</v>
      </c>
      <c r="F530" s="18" t="s">
        <v>64</v>
      </c>
      <c r="G530" s="18" t="s">
        <v>631</v>
      </c>
      <c r="H530" s="34" t="s">
        <v>86</v>
      </c>
      <c r="I530" s="18" t="s">
        <v>111</v>
      </c>
      <c r="J530" s="31" t="s">
        <v>105</v>
      </c>
      <c r="K530" s="31">
        <v>46182</v>
      </c>
      <c r="L530" s="4"/>
      <c r="M530" s="4"/>
      <c r="N530" s="13" t="s">
        <v>29</v>
      </c>
      <c r="O530" s="35" t="str">
        <f>IF(D530="","",IF(COUNTIF(离职清单!C:C,D530)&gt;0,"已离职","在职"))</f>
        <v>在职</v>
      </c>
      <c r="P530" s="35" t="str">
        <f>IF(AND(O530="在职",J530="是"),COUNTIF(O$2:O530,"在职"),"")</f>
        <v/>
      </c>
    </row>
    <row r="531" customFormat="1" ht="18" spans="1:16">
      <c r="A531" s="14">
        <f t="shared" si="11"/>
        <v>530</v>
      </c>
      <c r="B531" s="31">
        <v>46182</v>
      </c>
      <c r="C531" s="32" t="s">
        <v>464</v>
      </c>
      <c r="D531" s="120" t="s">
        <v>478</v>
      </c>
      <c r="E531" s="33" t="s">
        <v>74</v>
      </c>
      <c r="F531" s="18" t="s">
        <v>190</v>
      </c>
      <c r="G531" s="18" t="s">
        <v>135</v>
      </c>
      <c r="H531" s="34" t="s">
        <v>86</v>
      </c>
      <c r="I531" s="18" t="s">
        <v>104</v>
      </c>
      <c r="J531" s="31" t="s">
        <v>114</v>
      </c>
      <c r="K531" s="31">
        <v>46182</v>
      </c>
      <c r="L531" s="4"/>
      <c r="M531" s="4"/>
      <c r="N531" s="13" t="s">
        <v>29</v>
      </c>
      <c r="O531" s="35" t="str">
        <f>IF(D531="","",IF(COUNTIF(离职清单!C:C,D531)&gt;0,"已离职","在职"))</f>
        <v>在职</v>
      </c>
      <c r="P531" s="35">
        <f>IF(AND(O531="在职",J531="是"),COUNTIF(O$2:O531,"在职"),"")</f>
        <v>524</v>
      </c>
    </row>
    <row r="532" customFormat="1" ht="18" spans="1:16">
      <c r="A532" s="10">
        <f t="shared" si="11"/>
        <v>531</v>
      </c>
      <c r="B532" s="31">
        <v>46182</v>
      </c>
      <c r="C532" s="32" t="s">
        <v>809</v>
      </c>
      <c r="D532" s="120" t="s">
        <v>480</v>
      </c>
      <c r="E532" s="33" t="s">
        <v>43</v>
      </c>
      <c r="F532" s="18" t="s">
        <v>64</v>
      </c>
      <c r="G532" s="18" t="s">
        <v>810</v>
      </c>
      <c r="H532" s="34" t="s">
        <v>86</v>
      </c>
      <c r="I532" s="18" t="s">
        <v>111</v>
      </c>
      <c r="J532" s="31" t="s">
        <v>105</v>
      </c>
      <c r="K532" s="31">
        <v>46182</v>
      </c>
      <c r="L532" s="4"/>
      <c r="M532" s="4"/>
      <c r="N532" s="13" t="s">
        <v>29</v>
      </c>
      <c r="O532" s="35" t="str">
        <f>IF(D532="","",IF(COUNTIF(离职清单!C:C,D532)&gt;0,"已离职","在职"))</f>
        <v>在职</v>
      </c>
      <c r="P532" s="35" t="str">
        <f>IF(AND(O532="在职",J532="是"),COUNTIF(O$2:O532,"在职"),"")</f>
        <v/>
      </c>
    </row>
    <row r="533" customFormat="1" ht="18" spans="1:16">
      <c r="A533" s="14">
        <f t="shared" si="11"/>
        <v>532</v>
      </c>
      <c r="B533" s="31">
        <v>46182</v>
      </c>
      <c r="C533" s="32" t="s">
        <v>811</v>
      </c>
      <c r="D533" s="120" t="s">
        <v>482</v>
      </c>
      <c r="E533" s="33" t="s">
        <v>42</v>
      </c>
      <c r="F533" s="18" t="s">
        <v>64</v>
      </c>
      <c r="G533" s="18" t="s">
        <v>810</v>
      </c>
      <c r="H533" s="34" t="s">
        <v>86</v>
      </c>
      <c r="I533" s="18" t="s">
        <v>111</v>
      </c>
      <c r="J533" s="31" t="s">
        <v>105</v>
      </c>
      <c r="K533" s="31">
        <v>46182</v>
      </c>
      <c r="L533" s="4"/>
      <c r="M533" s="4"/>
      <c r="N533" s="13" t="s">
        <v>29</v>
      </c>
      <c r="O533" s="35" t="str">
        <f>IF(D533="","",IF(COUNTIF(离职清单!C:C,D533)&gt;0,"已离职","在职"))</f>
        <v>在职</v>
      </c>
      <c r="P533" s="35" t="str">
        <f>IF(AND(O533="在职",J533="是"),COUNTIF(O$2:O533,"在职"),"")</f>
        <v/>
      </c>
    </row>
    <row r="534" customFormat="1" ht="18" spans="1:16">
      <c r="A534" s="10">
        <f t="shared" si="11"/>
        <v>533</v>
      </c>
      <c r="B534" s="31">
        <v>46182</v>
      </c>
      <c r="C534" s="32" t="s">
        <v>812</v>
      </c>
      <c r="D534" s="120" t="s">
        <v>484</v>
      </c>
      <c r="E534" s="33" t="s">
        <v>42</v>
      </c>
      <c r="F534" s="18" t="s">
        <v>64</v>
      </c>
      <c r="G534" s="18" t="s">
        <v>512</v>
      </c>
      <c r="H534" s="34" t="s">
        <v>86</v>
      </c>
      <c r="I534" s="18" t="s">
        <v>104</v>
      </c>
      <c r="J534" s="31" t="s">
        <v>114</v>
      </c>
      <c r="K534" s="31">
        <v>46182</v>
      </c>
      <c r="L534" s="4"/>
      <c r="M534" s="4"/>
      <c r="N534" s="13" t="s">
        <v>29</v>
      </c>
      <c r="O534" s="35" t="str">
        <f>IF(D534="","",IF(COUNTIF(离职清单!C:C,D534)&gt;0,"已离职","在职"))</f>
        <v>在职</v>
      </c>
      <c r="P534" s="35">
        <f>IF(AND(O534="在职",J534="是"),COUNTIF(O$2:O534,"在职"),"")</f>
        <v>527</v>
      </c>
    </row>
    <row r="535" customFormat="1" ht="18" spans="1:16">
      <c r="A535" s="14">
        <f t="shared" si="11"/>
        <v>534</v>
      </c>
      <c r="B535" s="31">
        <v>46182</v>
      </c>
      <c r="C535" s="32" t="s">
        <v>813</v>
      </c>
      <c r="D535" s="120" t="s">
        <v>486</v>
      </c>
      <c r="E535" s="33" t="s">
        <v>42</v>
      </c>
      <c r="F535" s="18" t="s">
        <v>64</v>
      </c>
      <c r="G535" s="18" t="s">
        <v>512</v>
      </c>
      <c r="H535" s="34" t="s">
        <v>86</v>
      </c>
      <c r="I535" s="18" t="s">
        <v>111</v>
      </c>
      <c r="J535" s="31" t="s">
        <v>105</v>
      </c>
      <c r="K535" s="31">
        <v>46182</v>
      </c>
      <c r="L535" s="4"/>
      <c r="M535" s="4"/>
      <c r="N535" s="13" t="s">
        <v>29</v>
      </c>
      <c r="O535" s="35" t="str">
        <f>IF(D535="","",IF(COUNTIF(离职清单!C:C,D535)&gt;0,"已离职","在职"))</f>
        <v>在职</v>
      </c>
      <c r="P535" s="35" t="str">
        <f>IF(AND(O535="在职",J535="是"),COUNTIF(O$2:O535,"在职"),"")</f>
        <v/>
      </c>
    </row>
    <row r="536" customFormat="1" ht="18" spans="1:16">
      <c r="A536" s="10">
        <f t="shared" si="11"/>
        <v>535</v>
      </c>
      <c r="B536" s="31">
        <v>46182</v>
      </c>
      <c r="C536" s="32" t="s">
        <v>814</v>
      </c>
      <c r="D536" s="120" t="s">
        <v>488</v>
      </c>
      <c r="E536" s="33" t="s">
        <v>42</v>
      </c>
      <c r="F536" s="18" t="s">
        <v>64</v>
      </c>
      <c r="G536" s="18" t="s">
        <v>129</v>
      </c>
      <c r="H536" s="34" t="s">
        <v>86</v>
      </c>
      <c r="I536" s="18" t="s">
        <v>111</v>
      </c>
      <c r="J536" s="31" t="s">
        <v>105</v>
      </c>
      <c r="K536" s="31">
        <v>46182</v>
      </c>
      <c r="L536" s="4"/>
      <c r="M536" s="4"/>
      <c r="N536" s="13" t="s">
        <v>29</v>
      </c>
      <c r="O536" s="35" t="str">
        <f>IF(D536="","",IF(COUNTIF(离职清单!C:C,D536)&gt;0,"已离职","在职"))</f>
        <v>在职</v>
      </c>
      <c r="P536" s="35" t="str">
        <f>IF(AND(O536="在职",J536="是"),COUNTIF(O$2:O536,"在职"),"")</f>
        <v/>
      </c>
    </row>
    <row r="537" customFormat="1" ht="18" spans="1:16">
      <c r="A537" s="14">
        <f t="shared" si="11"/>
        <v>536</v>
      </c>
      <c r="B537" s="31">
        <v>46182</v>
      </c>
      <c r="C537" s="32" t="s">
        <v>815</v>
      </c>
      <c r="D537" s="120" t="s">
        <v>490</v>
      </c>
      <c r="E537" s="33" t="s">
        <v>43</v>
      </c>
      <c r="F537" s="18" t="s">
        <v>62</v>
      </c>
      <c r="G537" s="18" t="s">
        <v>129</v>
      </c>
      <c r="H537" s="34" t="s">
        <v>86</v>
      </c>
      <c r="I537" s="18" t="s">
        <v>104</v>
      </c>
      <c r="J537" s="31" t="s">
        <v>114</v>
      </c>
      <c r="K537" s="31">
        <v>46182</v>
      </c>
      <c r="L537" s="4"/>
      <c r="M537" s="4"/>
      <c r="N537" s="13" t="s">
        <v>29</v>
      </c>
      <c r="O537" s="35" t="str">
        <f>IF(D537="","",IF(COUNTIF(离职清单!C:C,D537)&gt;0,"已离职","在职"))</f>
        <v>在职</v>
      </c>
      <c r="P537" s="35">
        <f>IF(AND(O537="在职",J537="是"),COUNTIF(O$2:O537,"在职"),"")</f>
        <v>530</v>
      </c>
    </row>
    <row r="538" customFormat="1" ht="18" spans="1:16">
      <c r="A538" s="10">
        <f t="shared" si="11"/>
        <v>537</v>
      </c>
      <c r="B538" s="31">
        <v>46182</v>
      </c>
      <c r="C538" s="32" t="s">
        <v>816</v>
      </c>
      <c r="D538" s="120" t="s">
        <v>492</v>
      </c>
      <c r="E538" s="33" t="s">
        <v>43</v>
      </c>
      <c r="F538" s="18" t="s">
        <v>64</v>
      </c>
      <c r="G538" s="18" t="s">
        <v>148</v>
      </c>
      <c r="H538" s="34" t="s">
        <v>86</v>
      </c>
      <c r="I538" s="18" t="s">
        <v>111</v>
      </c>
      <c r="J538" s="31" t="s">
        <v>105</v>
      </c>
      <c r="K538" s="31">
        <v>46182</v>
      </c>
      <c r="L538" s="4"/>
      <c r="M538" s="4"/>
      <c r="N538" s="13" t="s">
        <v>29</v>
      </c>
      <c r="O538" s="35" t="str">
        <f>IF(D538="","",IF(COUNTIF(离职清单!C:C,D538)&gt;0,"已离职","在职"))</f>
        <v>在职</v>
      </c>
      <c r="P538" s="35" t="str">
        <f>IF(AND(O538="在职",J538="是"),COUNTIF(O$2:O538,"在职"),"")</f>
        <v/>
      </c>
    </row>
    <row r="539" customFormat="1" ht="18" spans="1:16">
      <c r="A539" s="14">
        <f t="shared" si="11"/>
        <v>538</v>
      </c>
      <c r="B539" s="31">
        <v>46182</v>
      </c>
      <c r="C539" s="32" t="s">
        <v>756</v>
      </c>
      <c r="D539" s="120" t="s">
        <v>477</v>
      </c>
      <c r="E539" s="33" t="s">
        <v>42</v>
      </c>
      <c r="F539" s="18" t="s">
        <v>64</v>
      </c>
      <c r="G539" s="18" t="s">
        <v>148</v>
      </c>
      <c r="H539" s="34" t="s">
        <v>86</v>
      </c>
      <c r="I539" s="18" t="s">
        <v>111</v>
      </c>
      <c r="J539" s="31" t="s">
        <v>105</v>
      </c>
      <c r="K539" s="31">
        <v>46182</v>
      </c>
      <c r="L539" s="4"/>
      <c r="M539" s="4"/>
      <c r="N539" s="13" t="s">
        <v>29</v>
      </c>
      <c r="O539" s="35" t="str">
        <f>IF(D539="","",IF(COUNTIF(离职清单!C:C,D539)&gt;0,"已离职","在职"))</f>
        <v>在职</v>
      </c>
      <c r="P539" s="35" t="str">
        <f>IF(AND(O539="在职",J539="是"),COUNTIF(O$2:O539,"在职"),"")</f>
        <v/>
      </c>
    </row>
    <row r="540" customFormat="1" ht="18" spans="1:16">
      <c r="A540" s="10">
        <f t="shared" si="11"/>
        <v>539</v>
      </c>
      <c r="B540" s="31">
        <v>46182</v>
      </c>
      <c r="C540" s="32" t="s">
        <v>817</v>
      </c>
      <c r="D540" s="120" t="s">
        <v>478</v>
      </c>
      <c r="E540" s="33" t="s">
        <v>42</v>
      </c>
      <c r="F540" s="18" t="s">
        <v>64</v>
      </c>
      <c r="G540" s="18" t="s">
        <v>148</v>
      </c>
      <c r="H540" s="34" t="s">
        <v>86</v>
      </c>
      <c r="I540" s="18" t="s">
        <v>104</v>
      </c>
      <c r="J540" s="31" t="s">
        <v>114</v>
      </c>
      <c r="K540" s="31">
        <v>46182</v>
      </c>
      <c r="L540" s="4"/>
      <c r="M540" s="4"/>
      <c r="N540" s="13" t="s">
        <v>29</v>
      </c>
      <c r="O540" s="35" t="str">
        <f>IF(D540="","",IF(COUNTIF(离职清单!C:C,D540)&gt;0,"已离职","在职"))</f>
        <v>在职</v>
      </c>
      <c r="P540" s="35">
        <f>IF(AND(O540="在职",J540="是"),COUNTIF(O$2:O540,"在职"),"")</f>
        <v>533</v>
      </c>
    </row>
    <row r="541" customFormat="1" ht="18" spans="1:16">
      <c r="A541" s="14">
        <f t="shared" si="11"/>
        <v>540</v>
      </c>
      <c r="B541" s="31">
        <v>46182</v>
      </c>
      <c r="C541" s="32" t="s">
        <v>818</v>
      </c>
      <c r="D541" s="120" t="s">
        <v>480</v>
      </c>
      <c r="E541" s="33" t="s">
        <v>42</v>
      </c>
      <c r="F541" s="18" t="s">
        <v>62</v>
      </c>
      <c r="G541" s="18" t="s">
        <v>103</v>
      </c>
      <c r="H541" s="34" t="s">
        <v>86</v>
      </c>
      <c r="I541" s="18" t="s">
        <v>104</v>
      </c>
      <c r="J541" s="31" t="s">
        <v>114</v>
      </c>
      <c r="K541" s="31">
        <v>46182</v>
      </c>
      <c r="L541" s="4"/>
      <c r="M541" s="4"/>
      <c r="N541" s="13" t="s">
        <v>29</v>
      </c>
      <c r="O541" s="35" t="str">
        <f>IF(D541="","",IF(COUNTIF(离职清单!C:C,D541)&gt;0,"已离职","在职"))</f>
        <v>在职</v>
      </c>
      <c r="P541" s="35">
        <f>IF(AND(O541="在职",J541="是"),COUNTIF(O$2:O541,"在职"),"")</f>
        <v>534</v>
      </c>
    </row>
    <row r="542" customFormat="1" ht="18" spans="1:16">
      <c r="A542" s="10">
        <f t="shared" si="11"/>
        <v>541</v>
      </c>
      <c r="B542" s="31">
        <v>46182</v>
      </c>
      <c r="C542" s="32" t="s">
        <v>819</v>
      </c>
      <c r="D542" s="120" t="s">
        <v>482</v>
      </c>
      <c r="E542" s="33" t="s">
        <v>74</v>
      </c>
      <c r="F542" s="18" t="s">
        <v>64</v>
      </c>
      <c r="G542" s="18" t="s">
        <v>426</v>
      </c>
      <c r="H542" s="34" t="s">
        <v>86</v>
      </c>
      <c r="I542" s="18" t="s">
        <v>104</v>
      </c>
      <c r="J542" s="31" t="s">
        <v>114</v>
      </c>
      <c r="K542" s="31">
        <v>46182</v>
      </c>
      <c r="L542" s="4"/>
      <c r="M542" s="4"/>
      <c r="N542" s="13" t="s">
        <v>29</v>
      </c>
      <c r="O542" s="35" t="str">
        <f>IF(D542="","",IF(COUNTIF(离职清单!C:C,D542)&gt;0,"已离职","在职"))</f>
        <v>在职</v>
      </c>
      <c r="P542" s="35">
        <f>IF(AND(O542="在职",J542="是"),COUNTIF(O$2:O542,"在职"),"")</f>
        <v>535</v>
      </c>
    </row>
    <row r="543" customFormat="1" ht="18" spans="1:16">
      <c r="A543" s="14">
        <f t="shared" si="11"/>
        <v>542</v>
      </c>
      <c r="B543" s="31">
        <v>46182</v>
      </c>
      <c r="C543" s="32" t="s">
        <v>820</v>
      </c>
      <c r="D543" s="120" t="s">
        <v>484</v>
      </c>
      <c r="E543" s="33" t="s">
        <v>74</v>
      </c>
      <c r="F543" s="18" t="s">
        <v>64</v>
      </c>
      <c r="G543" s="18" t="s">
        <v>426</v>
      </c>
      <c r="H543" s="34" t="s">
        <v>86</v>
      </c>
      <c r="I543" s="18" t="s">
        <v>104</v>
      </c>
      <c r="J543" s="31" t="s">
        <v>114</v>
      </c>
      <c r="K543" s="31">
        <v>46182</v>
      </c>
      <c r="L543" s="4"/>
      <c r="M543" s="4"/>
      <c r="N543" s="13" t="s">
        <v>29</v>
      </c>
      <c r="O543" s="35" t="str">
        <f>IF(D543="","",IF(COUNTIF(离职清单!C:C,D543)&gt;0,"已离职","在职"))</f>
        <v>在职</v>
      </c>
      <c r="P543" s="35">
        <f>IF(AND(O543="在职",J543="是"),COUNTIF(O$2:O543,"在职"),"")</f>
        <v>536</v>
      </c>
    </row>
    <row r="544" customFormat="1" ht="18" spans="1:16">
      <c r="A544" s="10">
        <f t="shared" si="11"/>
        <v>543</v>
      </c>
      <c r="B544" s="31">
        <v>46182</v>
      </c>
      <c r="C544" s="32" t="s">
        <v>821</v>
      </c>
      <c r="D544" s="120" t="s">
        <v>486</v>
      </c>
      <c r="E544" s="33" t="s">
        <v>74</v>
      </c>
      <c r="F544" s="18" t="s">
        <v>64</v>
      </c>
      <c r="G544" s="18" t="s">
        <v>426</v>
      </c>
      <c r="H544" s="34" t="s">
        <v>86</v>
      </c>
      <c r="I544" s="18" t="s">
        <v>104</v>
      </c>
      <c r="J544" s="31" t="s">
        <v>114</v>
      </c>
      <c r="K544" s="31">
        <v>46182</v>
      </c>
      <c r="L544" s="4"/>
      <c r="M544" s="4"/>
      <c r="N544" s="13" t="s">
        <v>29</v>
      </c>
      <c r="O544" s="35" t="str">
        <f>IF(D544="","",IF(COUNTIF(离职清单!C:C,D544)&gt;0,"已离职","在职"))</f>
        <v>在职</v>
      </c>
      <c r="P544" s="35">
        <f>IF(AND(O544="在职",J544="是"),COUNTIF(O$2:O544,"在职"),"")</f>
        <v>537</v>
      </c>
    </row>
    <row r="545" customFormat="1" ht="18" spans="1:16">
      <c r="A545" s="14">
        <f t="shared" si="11"/>
        <v>544</v>
      </c>
      <c r="B545" s="31">
        <v>46182</v>
      </c>
      <c r="C545" s="32" t="s">
        <v>822</v>
      </c>
      <c r="D545" s="120" t="s">
        <v>488</v>
      </c>
      <c r="E545" s="33" t="s">
        <v>74</v>
      </c>
      <c r="F545" s="18" t="s">
        <v>64</v>
      </c>
      <c r="G545" s="18" t="s">
        <v>179</v>
      </c>
      <c r="H545" s="34" t="s">
        <v>86</v>
      </c>
      <c r="I545" s="18" t="s">
        <v>104</v>
      </c>
      <c r="J545" s="31" t="s">
        <v>114</v>
      </c>
      <c r="K545" s="31">
        <v>46182</v>
      </c>
      <c r="L545" s="4"/>
      <c r="M545" s="4"/>
      <c r="N545" s="13" t="s">
        <v>29</v>
      </c>
      <c r="O545" s="35" t="str">
        <f>IF(D545="","",IF(COUNTIF(离职清单!C:C,D545)&gt;0,"已离职","在职"))</f>
        <v>在职</v>
      </c>
      <c r="P545" s="35">
        <f>IF(AND(O545="在职",J545="是"),COUNTIF(O$2:O545,"在职"),"")</f>
        <v>538</v>
      </c>
    </row>
    <row r="546" customFormat="1" ht="18" spans="1:16">
      <c r="A546" s="10">
        <f t="shared" si="11"/>
        <v>545</v>
      </c>
      <c r="B546" s="31">
        <v>46182</v>
      </c>
      <c r="C546" s="32" t="s">
        <v>823</v>
      </c>
      <c r="D546" s="120" t="s">
        <v>490</v>
      </c>
      <c r="E546" s="33" t="s">
        <v>74</v>
      </c>
      <c r="F546" s="18" t="s">
        <v>64</v>
      </c>
      <c r="G546" s="18" t="s">
        <v>246</v>
      </c>
      <c r="H546" s="34" t="s">
        <v>86</v>
      </c>
      <c r="I546" s="18" t="s">
        <v>104</v>
      </c>
      <c r="J546" s="31" t="s">
        <v>114</v>
      </c>
      <c r="K546" s="31">
        <v>46182</v>
      </c>
      <c r="L546" s="4"/>
      <c r="M546" s="4"/>
      <c r="N546" s="13" t="s">
        <v>29</v>
      </c>
      <c r="O546" s="35" t="str">
        <f>IF(D546="","",IF(COUNTIF(离职清单!C:C,D546)&gt;0,"已离职","在职"))</f>
        <v>在职</v>
      </c>
      <c r="P546" s="35">
        <f>IF(AND(O546="在职",J546="是"),COUNTIF(O$2:O546,"在职"),"")</f>
        <v>539</v>
      </c>
    </row>
    <row r="547" customFormat="1" ht="18" spans="1:16">
      <c r="A547" s="14">
        <f t="shared" si="11"/>
        <v>546</v>
      </c>
      <c r="B547" s="31">
        <v>46182</v>
      </c>
      <c r="C547" s="32" t="s">
        <v>824</v>
      </c>
      <c r="D547" s="120" t="s">
        <v>492</v>
      </c>
      <c r="E547" s="33" t="s">
        <v>43</v>
      </c>
      <c r="F547" s="18" t="s">
        <v>64</v>
      </c>
      <c r="G547" s="18" t="s">
        <v>179</v>
      </c>
      <c r="H547" s="34" t="s">
        <v>86</v>
      </c>
      <c r="I547" s="18" t="s">
        <v>111</v>
      </c>
      <c r="J547" s="31" t="s">
        <v>105</v>
      </c>
      <c r="K547" s="31">
        <v>46182</v>
      </c>
      <c r="L547" s="4"/>
      <c r="M547" s="4"/>
      <c r="N547" s="13" t="s">
        <v>29</v>
      </c>
      <c r="O547" s="35" t="str">
        <f>IF(D547="","",IF(COUNTIF(离职清单!C:C,D547)&gt;0,"已离职","在职"))</f>
        <v>在职</v>
      </c>
      <c r="P547" s="35" t="str">
        <f>IF(AND(O547="在职",J547="是"),COUNTIF(O$2:O547,"在职"),"")</f>
        <v/>
      </c>
    </row>
    <row r="548" customFormat="1" ht="18" spans="1:16">
      <c r="A548" s="10">
        <f t="shared" si="11"/>
        <v>547</v>
      </c>
      <c r="B548" s="31">
        <v>46182</v>
      </c>
      <c r="C548" s="32" t="s">
        <v>825</v>
      </c>
      <c r="D548" s="120" t="s">
        <v>477</v>
      </c>
      <c r="E548" s="33" t="s">
        <v>43</v>
      </c>
      <c r="F548" s="18" t="s">
        <v>64</v>
      </c>
      <c r="G548" s="18" t="s">
        <v>179</v>
      </c>
      <c r="H548" s="34" t="s">
        <v>86</v>
      </c>
      <c r="I548" s="18" t="s">
        <v>111</v>
      </c>
      <c r="J548" s="31" t="s">
        <v>105</v>
      </c>
      <c r="K548" s="31">
        <v>46182</v>
      </c>
      <c r="L548" s="4"/>
      <c r="M548" s="4"/>
      <c r="N548" s="13" t="s">
        <v>29</v>
      </c>
      <c r="O548" s="35" t="str">
        <f>IF(D548="","",IF(COUNTIF(离职清单!C:C,D548)&gt;0,"已离职","在职"))</f>
        <v>在职</v>
      </c>
      <c r="P548" s="35" t="str">
        <f>IF(AND(O548="在职",J548="是"),COUNTIF(O$2:O548,"在职"),"")</f>
        <v/>
      </c>
    </row>
    <row r="549" customFormat="1" ht="18" spans="1:16">
      <c r="A549" s="14">
        <f t="shared" si="11"/>
        <v>548</v>
      </c>
      <c r="B549" s="31">
        <v>46182</v>
      </c>
      <c r="C549" s="32" t="s">
        <v>826</v>
      </c>
      <c r="D549" s="120" t="s">
        <v>478</v>
      </c>
      <c r="E549" s="33" t="s">
        <v>42</v>
      </c>
      <c r="F549" s="18" t="s">
        <v>64</v>
      </c>
      <c r="G549" s="18" t="s">
        <v>179</v>
      </c>
      <c r="H549" s="34" t="s">
        <v>86</v>
      </c>
      <c r="I549" s="18" t="s">
        <v>111</v>
      </c>
      <c r="J549" s="31" t="s">
        <v>105</v>
      </c>
      <c r="K549" s="31">
        <v>46182</v>
      </c>
      <c r="L549" s="4"/>
      <c r="M549" s="4"/>
      <c r="N549" s="13" t="s">
        <v>29</v>
      </c>
      <c r="O549" s="35" t="str">
        <f>IF(D549="","",IF(COUNTIF(离职清单!C:C,D549)&gt;0,"已离职","在职"))</f>
        <v>在职</v>
      </c>
      <c r="P549" s="35" t="str">
        <f>IF(AND(O549="在职",J549="是"),COUNTIF(O$2:O549,"在职"),"")</f>
        <v/>
      </c>
    </row>
    <row r="550" customFormat="1" ht="18" spans="1:16">
      <c r="A550" s="10">
        <f t="shared" si="11"/>
        <v>549</v>
      </c>
      <c r="B550" s="31">
        <v>46182</v>
      </c>
      <c r="C550" s="32" t="s">
        <v>827</v>
      </c>
      <c r="D550" s="120" t="s">
        <v>480</v>
      </c>
      <c r="E550" s="33" t="s">
        <v>74</v>
      </c>
      <c r="F550" s="18" t="s">
        <v>64</v>
      </c>
      <c r="G550" s="18" t="s">
        <v>179</v>
      </c>
      <c r="H550" s="34" t="s">
        <v>86</v>
      </c>
      <c r="I550" s="18" t="s">
        <v>104</v>
      </c>
      <c r="J550" s="31" t="s">
        <v>114</v>
      </c>
      <c r="K550" s="31">
        <v>46182</v>
      </c>
      <c r="L550" s="4"/>
      <c r="M550" s="4"/>
      <c r="N550" s="13" t="s">
        <v>29</v>
      </c>
      <c r="O550" s="35" t="str">
        <f>IF(D550="","",IF(COUNTIF(离职清单!C:C,D550)&gt;0,"已离职","在职"))</f>
        <v>在职</v>
      </c>
      <c r="P550" s="35">
        <f>IF(AND(O550="在职",J550="是"),COUNTIF(O$2:O550,"在职"),"")</f>
        <v>543</v>
      </c>
    </row>
    <row r="551" customFormat="1" ht="18" spans="1:16">
      <c r="A551" s="14">
        <f t="shared" si="11"/>
        <v>550</v>
      </c>
      <c r="B551" s="31">
        <v>46182</v>
      </c>
      <c r="C551" s="32" t="s">
        <v>765</v>
      </c>
      <c r="D551" s="120" t="s">
        <v>482</v>
      </c>
      <c r="E551" s="33" t="s">
        <v>43</v>
      </c>
      <c r="F551" s="18" t="s">
        <v>64</v>
      </c>
      <c r="G551" s="18" t="s">
        <v>179</v>
      </c>
      <c r="H551" s="34" t="s">
        <v>86</v>
      </c>
      <c r="I551" s="18" t="s">
        <v>104</v>
      </c>
      <c r="J551" s="31" t="s">
        <v>105</v>
      </c>
      <c r="K551" s="31">
        <v>46182</v>
      </c>
      <c r="L551" s="4"/>
      <c r="M551" s="4"/>
      <c r="N551" s="13" t="s">
        <v>29</v>
      </c>
      <c r="O551" s="35" t="str">
        <f>IF(D551="","",IF(COUNTIF(离职清单!C:C,D551)&gt;0,"已离职","在职"))</f>
        <v>在职</v>
      </c>
      <c r="P551" s="35" t="str">
        <f>IF(AND(O551="在职",J551="是"),COUNTIF(O$2:O551,"在职"),"")</f>
        <v/>
      </c>
    </row>
    <row r="552" customFormat="1" ht="18" spans="1:16">
      <c r="A552" s="10">
        <f t="shared" si="11"/>
        <v>551</v>
      </c>
      <c r="B552" s="31">
        <v>46182</v>
      </c>
      <c r="C552" s="32" t="s">
        <v>766</v>
      </c>
      <c r="D552" s="120" t="s">
        <v>484</v>
      </c>
      <c r="E552" s="33" t="s">
        <v>43</v>
      </c>
      <c r="F552" s="18" t="s">
        <v>64</v>
      </c>
      <c r="G552" s="18" t="s">
        <v>179</v>
      </c>
      <c r="H552" s="34" t="s">
        <v>86</v>
      </c>
      <c r="I552" s="18" t="s">
        <v>111</v>
      </c>
      <c r="J552" s="31" t="s">
        <v>105</v>
      </c>
      <c r="K552" s="31">
        <v>46182</v>
      </c>
      <c r="L552" s="4"/>
      <c r="M552" s="4"/>
      <c r="N552" s="13" t="s">
        <v>29</v>
      </c>
      <c r="O552" s="35" t="str">
        <f>IF(D552="","",IF(COUNTIF(离职清单!C:C,D552)&gt;0,"已离职","在职"))</f>
        <v>在职</v>
      </c>
      <c r="P552" s="35" t="str">
        <f>IF(AND(O552="在职",J552="是"),COUNTIF(O$2:O552,"在职"),"")</f>
        <v/>
      </c>
    </row>
    <row r="553" customFormat="1" ht="18" spans="1:16">
      <c r="A553" s="14">
        <f t="shared" si="11"/>
        <v>552</v>
      </c>
      <c r="B553" s="31">
        <v>46182</v>
      </c>
      <c r="C553" s="32" t="s">
        <v>828</v>
      </c>
      <c r="D553" s="120" t="s">
        <v>486</v>
      </c>
      <c r="E553" s="33" t="s">
        <v>42</v>
      </c>
      <c r="F553" s="18" t="s">
        <v>64</v>
      </c>
      <c r="G553" s="18" t="s">
        <v>179</v>
      </c>
      <c r="H553" s="34" t="s">
        <v>86</v>
      </c>
      <c r="I553" s="18" t="s">
        <v>104</v>
      </c>
      <c r="J553" s="31" t="s">
        <v>114</v>
      </c>
      <c r="K553" s="31">
        <v>46182</v>
      </c>
      <c r="L553" s="4"/>
      <c r="M553" s="4"/>
      <c r="N553" s="13" t="s">
        <v>29</v>
      </c>
      <c r="O553" s="35" t="str">
        <f>IF(D553="","",IF(COUNTIF(离职清单!C:C,D553)&gt;0,"已离职","在职"))</f>
        <v>在职</v>
      </c>
      <c r="P553" s="35">
        <f>IF(AND(O553="在职",J553="是"),COUNTIF(O$2:O553,"在职"),"")</f>
        <v>546</v>
      </c>
    </row>
    <row r="554" customFormat="1" ht="18" spans="1:16">
      <c r="A554" s="10">
        <f t="shared" si="11"/>
        <v>553</v>
      </c>
      <c r="B554" s="31">
        <v>46182</v>
      </c>
      <c r="C554" s="32" t="s">
        <v>829</v>
      </c>
      <c r="D554" s="120" t="s">
        <v>488</v>
      </c>
      <c r="E554" s="33" t="s">
        <v>42</v>
      </c>
      <c r="F554" s="18" t="s">
        <v>64</v>
      </c>
      <c r="G554" s="18" t="s">
        <v>179</v>
      </c>
      <c r="H554" s="34" t="s">
        <v>86</v>
      </c>
      <c r="I554" s="18" t="s">
        <v>111</v>
      </c>
      <c r="J554" s="31" t="s">
        <v>105</v>
      </c>
      <c r="K554" s="31">
        <v>46182</v>
      </c>
      <c r="L554" s="4"/>
      <c r="M554" s="4"/>
      <c r="N554" s="13" t="s">
        <v>29</v>
      </c>
      <c r="O554" s="35" t="str">
        <f>IF(D554="","",IF(COUNTIF(离职清单!C:C,D554)&gt;0,"已离职","在职"))</f>
        <v>在职</v>
      </c>
      <c r="P554" s="35" t="str">
        <f>IF(AND(O554="在职",J554="是"),COUNTIF(O$2:O554,"在职"),"")</f>
        <v/>
      </c>
    </row>
    <row r="555" customFormat="1" ht="18" spans="1:16">
      <c r="A555" s="14">
        <f t="shared" si="11"/>
        <v>554</v>
      </c>
      <c r="B555" s="31">
        <v>46182</v>
      </c>
      <c r="C555" s="32" t="s">
        <v>830</v>
      </c>
      <c r="D555" s="120" t="s">
        <v>490</v>
      </c>
      <c r="E555" s="33" t="s">
        <v>42</v>
      </c>
      <c r="F555" s="18" t="s">
        <v>64</v>
      </c>
      <c r="G555" s="18" t="s">
        <v>179</v>
      </c>
      <c r="H555" s="34" t="s">
        <v>86</v>
      </c>
      <c r="I555" s="18" t="s">
        <v>111</v>
      </c>
      <c r="J555" s="31" t="s">
        <v>105</v>
      </c>
      <c r="K555" s="31">
        <v>46182</v>
      </c>
      <c r="L555" s="4"/>
      <c r="M555" s="4"/>
      <c r="N555" s="13" t="s">
        <v>29</v>
      </c>
      <c r="O555" s="35" t="str">
        <f>IF(D555="","",IF(COUNTIF(离职清单!C:C,D555)&gt;0,"已离职","在职"))</f>
        <v>在职</v>
      </c>
      <c r="P555" s="35" t="str">
        <f>IF(AND(O555="在职",J555="是"),COUNTIF(O$2:O555,"在职"),"")</f>
        <v/>
      </c>
    </row>
    <row r="556" customFormat="1" ht="18" spans="1:16">
      <c r="A556" s="10">
        <f t="shared" si="11"/>
        <v>555</v>
      </c>
      <c r="B556" s="31">
        <v>46182</v>
      </c>
      <c r="C556" s="32" t="s">
        <v>831</v>
      </c>
      <c r="D556" s="120" t="s">
        <v>492</v>
      </c>
      <c r="E556" s="33" t="s">
        <v>42</v>
      </c>
      <c r="F556" s="18" t="s">
        <v>64</v>
      </c>
      <c r="G556" s="18" t="s">
        <v>179</v>
      </c>
      <c r="H556" s="34" t="s">
        <v>86</v>
      </c>
      <c r="I556" s="18" t="s">
        <v>111</v>
      </c>
      <c r="J556" s="31" t="s">
        <v>105</v>
      </c>
      <c r="K556" s="31">
        <v>46182</v>
      </c>
      <c r="L556" s="4"/>
      <c r="M556" s="4"/>
      <c r="N556" s="13" t="s">
        <v>29</v>
      </c>
      <c r="O556" s="35" t="str">
        <f>IF(D556="","",IF(COUNTIF(离职清单!C:C,D556)&gt;0,"已离职","在职"))</f>
        <v>在职</v>
      </c>
      <c r="P556" s="35" t="str">
        <f>IF(AND(O556="在职",J556="是"),COUNTIF(O$2:O556,"在职"),"")</f>
        <v/>
      </c>
    </row>
    <row r="557" customFormat="1" ht="18" spans="1:16">
      <c r="A557" s="14">
        <f t="shared" si="11"/>
        <v>556</v>
      </c>
      <c r="B557" s="31">
        <v>46182</v>
      </c>
      <c r="C557" s="32" t="s">
        <v>832</v>
      </c>
      <c r="D557" s="120" t="s">
        <v>477</v>
      </c>
      <c r="E557" s="33" t="s">
        <v>74</v>
      </c>
      <c r="F557" s="18" t="s">
        <v>64</v>
      </c>
      <c r="G557" s="18" t="s">
        <v>179</v>
      </c>
      <c r="H557" s="34" t="s">
        <v>86</v>
      </c>
      <c r="I557" s="18" t="s">
        <v>104</v>
      </c>
      <c r="J557" s="31" t="s">
        <v>114</v>
      </c>
      <c r="K557" s="31">
        <v>46182</v>
      </c>
      <c r="L557" s="4"/>
      <c r="M557" s="4"/>
      <c r="N557" s="13" t="s">
        <v>29</v>
      </c>
      <c r="O557" s="35" t="str">
        <f>IF(D557="","",IF(COUNTIF(离职清单!C:C,D557)&gt;0,"已离职","在职"))</f>
        <v>在职</v>
      </c>
      <c r="P557" s="35">
        <f>IF(AND(O557="在职",J557="是"),COUNTIF(O$2:O557,"在职"),"")</f>
        <v>550</v>
      </c>
    </row>
    <row r="558" customFormat="1" ht="18" spans="1:16">
      <c r="A558" s="10">
        <f t="shared" si="11"/>
        <v>557</v>
      </c>
      <c r="B558" s="31">
        <v>46182</v>
      </c>
      <c r="C558" s="32" t="s">
        <v>833</v>
      </c>
      <c r="D558" s="120" t="s">
        <v>478</v>
      </c>
      <c r="E558" s="33" t="s">
        <v>42</v>
      </c>
      <c r="F558" s="18" t="s">
        <v>64</v>
      </c>
      <c r="G558" s="18" t="s">
        <v>179</v>
      </c>
      <c r="H558" s="34" t="s">
        <v>86</v>
      </c>
      <c r="I558" s="18" t="s">
        <v>104</v>
      </c>
      <c r="J558" s="31" t="s">
        <v>114</v>
      </c>
      <c r="K558" s="31">
        <v>46182</v>
      </c>
      <c r="L558" s="4"/>
      <c r="M558" s="4"/>
      <c r="N558" s="13" t="s">
        <v>29</v>
      </c>
      <c r="O558" s="35" t="str">
        <f>IF(D558="","",IF(COUNTIF(离职清单!C:C,D558)&gt;0,"已离职","在职"))</f>
        <v>在职</v>
      </c>
      <c r="P558" s="35">
        <f>IF(AND(O558="在职",J558="是"),COUNTIF(O$2:O558,"在职"),"")</f>
        <v>551</v>
      </c>
    </row>
    <row r="559" customFormat="1" ht="18" spans="1:16">
      <c r="A559" s="14">
        <f t="shared" si="11"/>
        <v>558</v>
      </c>
      <c r="B559" s="31">
        <v>46182</v>
      </c>
      <c r="C559" s="32" t="s">
        <v>834</v>
      </c>
      <c r="D559" s="120" t="s">
        <v>480</v>
      </c>
      <c r="E559" s="33" t="s">
        <v>42</v>
      </c>
      <c r="F559" s="18" t="s">
        <v>64</v>
      </c>
      <c r="G559" s="18" t="s">
        <v>179</v>
      </c>
      <c r="H559" s="34" t="s">
        <v>86</v>
      </c>
      <c r="I559" s="18" t="s">
        <v>111</v>
      </c>
      <c r="J559" s="31" t="s">
        <v>105</v>
      </c>
      <c r="K559" s="31">
        <v>46182</v>
      </c>
      <c r="L559" s="4"/>
      <c r="M559" s="4"/>
      <c r="N559" s="13" t="s">
        <v>29</v>
      </c>
      <c r="O559" s="35" t="str">
        <f>IF(D559="","",IF(COUNTIF(离职清单!C:C,D559)&gt;0,"已离职","在职"))</f>
        <v>在职</v>
      </c>
      <c r="P559" s="35" t="str">
        <f>IF(AND(O559="在职",J559="是"),COUNTIF(O$2:O559,"在职"),"")</f>
        <v/>
      </c>
    </row>
    <row r="560" customFormat="1" ht="18" spans="1:16">
      <c r="A560" s="10">
        <f t="shared" si="11"/>
        <v>559</v>
      </c>
      <c r="B560" s="31">
        <v>46182</v>
      </c>
      <c r="C560" s="32" t="s">
        <v>835</v>
      </c>
      <c r="D560" s="120" t="s">
        <v>482</v>
      </c>
      <c r="E560" s="33" t="s">
        <v>42</v>
      </c>
      <c r="F560" s="18" t="s">
        <v>64</v>
      </c>
      <c r="G560" s="18" t="s">
        <v>179</v>
      </c>
      <c r="H560" s="34" t="s">
        <v>86</v>
      </c>
      <c r="I560" s="18" t="s">
        <v>111</v>
      </c>
      <c r="J560" s="31" t="s">
        <v>105</v>
      </c>
      <c r="K560" s="31">
        <v>46182</v>
      </c>
      <c r="L560" s="4"/>
      <c r="M560" s="4"/>
      <c r="N560" s="13" t="s">
        <v>29</v>
      </c>
      <c r="O560" s="35" t="str">
        <f>IF(D560="","",IF(COUNTIF(离职清单!C:C,D560)&gt;0,"已离职","在职"))</f>
        <v>在职</v>
      </c>
      <c r="P560" s="35" t="str">
        <f>IF(AND(O560="在职",J560="是"),COUNTIF(O$2:O560,"在职"),"")</f>
        <v/>
      </c>
    </row>
    <row r="561" customFormat="1" ht="18" spans="1:16">
      <c r="A561" s="14">
        <f t="shared" si="11"/>
        <v>560</v>
      </c>
      <c r="B561" s="31">
        <v>46182</v>
      </c>
      <c r="C561" s="32" t="s">
        <v>836</v>
      </c>
      <c r="D561" s="120" t="s">
        <v>484</v>
      </c>
      <c r="E561" s="33" t="s">
        <v>74</v>
      </c>
      <c r="F561" s="18" t="s">
        <v>64</v>
      </c>
      <c r="G561" s="18" t="s">
        <v>179</v>
      </c>
      <c r="H561" s="34" t="s">
        <v>86</v>
      </c>
      <c r="I561" s="18" t="s">
        <v>104</v>
      </c>
      <c r="J561" s="31" t="s">
        <v>114</v>
      </c>
      <c r="K561" s="31">
        <v>46182</v>
      </c>
      <c r="L561" s="4"/>
      <c r="M561" s="4"/>
      <c r="N561" s="13" t="s">
        <v>29</v>
      </c>
      <c r="O561" s="35" t="str">
        <f>IF(D561="","",IF(COUNTIF(离职清单!C:C,D561)&gt;0,"已离职","在职"))</f>
        <v>在职</v>
      </c>
      <c r="P561" s="35">
        <f>IF(AND(O561="在职",J561="是"),COUNTIF(O$2:O561,"在职"),"")</f>
        <v>554</v>
      </c>
    </row>
    <row r="562" customFormat="1" ht="18" spans="1:16">
      <c r="A562" s="10">
        <f t="shared" si="11"/>
        <v>561</v>
      </c>
      <c r="B562" s="31">
        <v>46182</v>
      </c>
      <c r="C562" s="32" t="s">
        <v>837</v>
      </c>
      <c r="D562" s="120" t="s">
        <v>486</v>
      </c>
      <c r="E562" s="33" t="s">
        <v>43</v>
      </c>
      <c r="F562" s="18" t="s">
        <v>64</v>
      </c>
      <c r="G562" s="18" t="s">
        <v>179</v>
      </c>
      <c r="H562" s="34" t="s">
        <v>86</v>
      </c>
      <c r="I562" s="18" t="s">
        <v>111</v>
      </c>
      <c r="J562" s="31" t="s">
        <v>105</v>
      </c>
      <c r="K562" s="31">
        <v>46182</v>
      </c>
      <c r="L562" s="4"/>
      <c r="M562" s="4"/>
      <c r="N562" s="13" t="s">
        <v>29</v>
      </c>
      <c r="O562" s="35" t="str">
        <f>IF(D562="","",IF(COUNTIF(离职清单!C:C,D562)&gt;0,"已离职","在职"))</f>
        <v>在职</v>
      </c>
      <c r="P562" s="35" t="str">
        <f>IF(AND(O562="在职",J562="是"),COUNTIF(O$2:O562,"在职"),"")</f>
        <v/>
      </c>
    </row>
    <row r="563" customFormat="1" ht="18" spans="1:16">
      <c r="A563" s="14">
        <f t="shared" si="11"/>
        <v>562</v>
      </c>
      <c r="B563" s="31">
        <v>46182</v>
      </c>
      <c r="C563" s="32" t="s">
        <v>838</v>
      </c>
      <c r="D563" s="120" t="s">
        <v>488</v>
      </c>
      <c r="E563" s="33" t="s">
        <v>43</v>
      </c>
      <c r="F563" s="18" t="s">
        <v>64</v>
      </c>
      <c r="G563" s="18" t="s">
        <v>179</v>
      </c>
      <c r="H563" s="34" t="s">
        <v>86</v>
      </c>
      <c r="I563" s="18" t="s">
        <v>104</v>
      </c>
      <c r="J563" s="31" t="s">
        <v>105</v>
      </c>
      <c r="K563" s="31">
        <v>46182</v>
      </c>
      <c r="L563" s="4"/>
      <c r="M563" s="4"/>
      <c r="N563" s="13" t="s">
        <v>29</v>
      </c>
      <c r="O563" s="35" t="str">
        <f>IF(D563="","",IF(COUNTIF(离职清单!C:C,D563)&gt;0,"已离职","在职"))</f>
        <v>在职</v>
      </c>
      <c r="P563" s="35" t="str">
        <f>IF(AND(O563="在职",J563="是"),COUNTIF(O$2:O563,"在职"),"")</f>
        <v/>
      </c>
    </row>
    <row r="564" customFormat="1" ht="18" spans="1:16">
      <c r="A564" s="10">
        <f t="shared" si="11"/>
        <v>563</v>
      </c>
      <c r="B564" s="31">
        <v>46182</v>
      </c>
      <c r="C564" s="32" t="s">
        <v>839</v>
      </c>
      <c r="D564" s="120" t="s">
        <v>490</v>
      </c>
      <c r="E564" s="33" t="s">
        <v>74</v>
      </c>
      <c r="F564" s="18" t="s">
        <v>64</v>
      </c>
      <c r="G564" s="18" t="s">
        <v>179</v>
      </c>
      <c r="H564" s="34" t="s">
        <v>86</v>
      </c>
      <c r="I564" s="18" t="s">
        <v>104</v>
      </c>
      <c r="J564" s="31" t="s">
        <v>114</v>
      </c>
      <c r="K564" s="31">
        <v>46182</v>
      </c>
      <c r="L564" s="4"/>
      <c r="M564" s="4"/>
      <c r="N564" s="13" t="s">
        <v>29</v>
      </c>
      <c r="O564" s="35" t="str">
        <f>IF(D564="","",IF(COUNTIF(离职清单!C:C,D564)&gt;0,"已离职","在职"))</f>
        <v>在职</v>
      </c>
      <c r="P564" s="35">
        <f>IF(AND(O564="在职",J564="是"),COUNTIF(O$2:O564,"在职"),"")</f>
        <v>557</v>
      </c>
    </row>
    <row r="565" customFormat="1" ht="18" spans="1:16">
      <c r="A565" s="14">
        <f t="shared" si="11"/>
        <v>564</v>
      </c>
      <c r="B565" s="31">
        <v>46182</v>
      </c>
      <c r="C565" s="32" t="s">
        <v>840</v>
      </c>
      <c r="D565" s="120" t="s">
        <v>492</v>
      </c>
      <c r="E565" s="33" t="s">
        <v>74</v>
      </c>
      <c r="F565" s="18" t="s">
        <v>64</v>
      </c>
      <c r="G565" s="18" t="s">
        <v>246</v>
      </c>
      <c r="H565" s="34" t="s">
        <v>86</v>
      </c>
      <c r="I565" s="18" t="s">
        <v>104</v>
      </c>
      <c r="J565" s="31" t="s">
        <v>114</v>
      </c>
      <c r="K565" s="31">
        <v>46182</v>
      </c>
      <c r="L565" s="4"/>
      <c r="M565" s="4"/>
      <c r="N565" s="13" t="s">
        <v>29</v>
      </c>
      <c r="O565" s="35" t="str">
        <f>IF(D565="","",IF(COUNTIF(离职清单!C:C,D565)&gt;0,"已离职","在职"))</f>
        <v>在职</v>
      </c>
      <c r="P565" s="35">
        <f>IF(AND(O565="在职",J565="是"),COUNTIF(O$2:O565,"在职"),"")</f>
        <v>558</v>
      </c>
    </row>
    <row r="566" customFormat="1" ht="18" spans="1:16">
      <c r="A566" s="10">
        <f t="shared" si="11"/>
        <v>565</v>
      </c>
      <c r="B566" s="31">
        <v>46182</v>
      </c>
      <c r="C566" s="32" t="s">
        <v>841</v>
      </c>
      <c r="D566" s="120" t="s">
        <v>477</v>
      </c>
      <c r="E566" s="33" t="s">
        <v>74</v>
      </c>
      <c r="F566" s="18" t="s">
        <v>64</v>
      </c>
      <c r="G566" s="18" t="s">
        <v>246</v>
      </c>
      <c r="H566" s="34" t="s">
        <v>86</v>
      </c>
      <c r="I566" s="18" t="s">
        <v>104</v>
      </c>
      <c r="J566" s="31" t="s">
        <v>114</v>
      </c>
      <c r="K566" s="31">
        <v>46182</v>
      </c>
      <c r="L566" s="4"/>
      <c r="M566" s="4"/>
      <c r="N566" s="13" t="s">
        <v>29</v>
      </c>
      <c r="O566" s="35" t="str">
        <f>IF(D566="","",IF(COUNTIF(离职清单!C:C,D566)&gt;0,"已离职","在职"))</f>
        <v>在职</v>
      </c>
      <c r="P566" s="35">
        <f>IF(AND(O566="在职",J566="是"),COUNTIF(O$2:O566,"在职"),"")</f>
        <v>559</v>
      </c>
    </row>
    <row r="567" customFormat="1" ht="18" spans="1:16">
      <c r="A567" s="14">
        <f t="shared" si="11"/>
        <v>566</v>
      </c>
      <c r="B567" s="31">
        <v>46182</v>
      </c>
      <c r="C567" s="32" t="s">
        <v>842</v>
      </c>
      <c r="D567" s="120" t="s">
        <v>477</v>
      </c>
      <c r="E567" s="33" t="s">
        <v>74</v>
      </c>
      <c r="F567" s="18" t="s">
        <v>64</v>
      </c>
      <c r="G567" s="18" t="s">
        <v>179</v>
      </c>
      <c r="H567" s="34" t="s">
        <v>86</v>
      </c>
      <c r="I567" s="18" t="s">
        <v>104</v>
      </c>
      <c r="J567" s="31" t="s">
        <v>114</v>
      </c>
      <c r="K567" s="31">
        <v>46182</v>
      </c>
      <c r="L567" s="4"/>
      <c r="M567" s="4"/>
      <c r="N567" s="13" t="s">
        <v>29</v>
      </c>
      <c r="O567" s="35" t="str">
        <f>IF(D567="","",IF(COUNTIF(离职清单!C:C,D567)&gt;0,"已离职","在职"))</f>
        <v>在职</v>
      </c>
      <c r="P567" s="35">
        <f>IF(AND(O567="在职",J567="是"),COUNTIF(O$2:O567,"在职"),"")</f>
        <v>560</v>
      </c>
    </row>
    <row r="568" customFormat="1" ht="18" spans="1:16">
      <c r="A568" s="10">
        <f t="shared" si="11"/>
        <v>567</v>
      </c>
      <c r="B568" s="31">
        <v>46182</v>
      </c>
      <c r="C568" s="32" t="s">
        <v>494</v>
      </c>
      <c r="D568" s="120" t="s">
        <v>478</v>
      </c>
      <c r="E568" s="33" t="s">
        <v>74</v>
      </c>
      <c r="F568" s="18" t="s">
        <v>64</v>
      </c>
      <c r="G568" s="18" t="s">
        <v>179</v>
      </c>
      <c r="H568" s="34" t="s">
        <v>86</v>
      </c>
      <c r="I568" s="18" t="s">
        <v>104</v>
      </c>
      <c r="J568" s="31" t="s">
        <v>114</v>
      </c>
      <c r="K568" s="31">
        <v>46182</v>
      </c>
      <c r="L568" s="4"/>
      <c r="M568" s="4"/>
      <c r="N568" s="13" t="s">
        <v>29</v>
      </c>
      <c r="O568" s="35" t="str">
        <f>IF(D568="","",IF(COUNTIF(离职清单!C:C,D568)&gt;0,"已离职","在职"))</f>
        <v>在职</v>
      </c>
      <c r="P568" s="35">
        <f>IF(AND(O568="在职",J568="是"),COUNTIF(O$2:O568,"在职"),"")</f>
        <v>561</v>
      </c>
    </row>
    <row r="569" customFormat="1" ht="18" spans="1:16">
      <c r="A569" s="14">
        <f t="shared" si="11"/>
        <v>568</v>
      </c>
      <c r="B569" s="31">
        <v>46182</v>
      </c>
      <c r="C569" s="32" t="s">
        <v>843</v>
      </c>
      <c r="D569" s="120" t="s">
        <v>480</v>
      </c>
      <c r="E569" s="33" t="s">
        <v>74</v>
      </c>
      <c r="F569" s="18" t="s">
        <v>64</v>
      </c>
      <c r="G569" s="18" t="s">
        <v>179</v>
      </c>
      <c r="H569" s="34" t="s">
        <v>86</v>
      </c>
      <c r="I569" s="18" t="s">
        <v>104</v>
      </c>
      <c r="J569" s="31" t="s">
        <v>105</v>
      </c>
      <c r="K569" s="31">
        <v>46182</v>
      </c>
      <c r="L569" s="4"/>
      <c r="M569" s="4"/>
      <c r="N569" s="13" t="s">
        <v>29</v>
      </c>
      <c r="O569" s="35" t="str">
        <f>IF(D569="","",IF(COUNTIF(离职清单!C:C,D569)&gt;0,"已离职","在职"))</f>
        <v>在职</v>
      </c>
      <c r="P569" s="35" t="str">
        <f>IF(AND(O569="在职",J569="是"),COUNTIF(O$2:O569,"在职"),"")</f>
        <v/>
      </c>
    </row>
    <row r="570" customFormat="1" ht="18" spans="1:16">
      <c r="A570" s="10">
        <f t="shared" si="11"/>
        <v>569</v>
      </c>
      <c r="B570" s="31">
        <v>46182</v>
      </c>
      <c r="C570" s="32" t="s">
        <v>844</v>
      </c>
      <c r="D570" s="120" t="s">
        <v>482</v>
      </c>
      <c r="E570" s="33" t="s">
        <v>43</v>
      </c>
      <c r="F570" s="18" t="s">
        <v>64</v>
      </c>
      <c r="G570" s="18" t="s">
        <v>179</v>
      </c>
      <c r="H570" s="34" t="s">
        <v>86</v>
      </c>
      <c r="I570" s="18" t="s">
        <v>104</v>
      </c>
      <c r="J570" s="31" t="s">
        <v>114</v>
      </c>
      <c r="K570" s="31">
        <v>46182</v>
      </c>
      <c r="L570" s="4"/>
      <c r="M570" s="4"/>
      <c r="N570" s="13" t="s">
        <v>29</v>
      </c>
      <c r="O570" s="35" t="str">
        <f>IF(D570="","",IF(COUNTIF(离职清单!C:C,D570)&gt;0,"已离职","在职"))</f>
        <v>在职</v>
      </c>
      <c r="P570" s="35">
        <f>IF(AND(O570="在职",J570="是"),COUNTIF(O$2:O570,"在职"),"")</f>
        <v>563</v>
      </c>
    </row>
    <row r="571" customFormat="1" ht="18" spans="1:16">
      <c r="A571" s="14">
        <f t="shared" si="11"/>
        <v>570</v>
      </c>
      <c r="B571" s="31">
        <v>46182</v>
      </c>
      <c r="C571" s="32" t="s">
        <v>845</v>
      </c>
      <c r="D571" s="120" t="s">
        <v>484</v>
      </c>
      <c r="E571" s="33" t="s">
        <v>42</v>
      </c>
      <c r="F571" s="18" t="s">
        <v>64</v>
      </c>
      <c r="G571" s="18" t="s">
        <v>179</v>
      </c>
      <c r="H571" s="34" t="s">
        <v>86</v>
      </c>
      <c r="I571" s="18" t="s">
        <v>111</v>
      </c>
      <c r="J571" s="31" t="s">
        <v>105</v>
      </c>
      <c r="K571" s="31">
        <v>46182</v>
      </c>
      <c r="L571" s="4"/>
      <c r="M571" s="4"/>
      <c r="N571" s="13" t="s">
        <v>29</v>
      </c>
      <c r="O571" s="35" t="str">
        <f>IF(D571="","",IF(COUNTIF(离职清单!C:C,D571)&gt;0,"已离职","在职"))</f>
        <v>在职</v>
      </c>
      <c r="P571" s="35" t="str">
        <f>IF(AND(O571="在职",J571="是"),COUNTIF(O$2:O571,"在职"),"")</f>
        <v/>
      </c>
    </row>
    <row r="572" customFormat="1" ht="18" spans="1:16">
      <c r="A572" s="10">
        <f t="shared" si="11"/>
        <v>571</v>
      </c>
      <c r="B572" s="31">
        <v>46182</v>
      </c>
      <c r="C572" s="32" t="s">
        <v>846</v>
      </c>
      <c r="D572" s="120" t="s">
        <v>486</v>
      </c>
      <c r="E572" s="33" t="s">
        <v>74</v>
      </c>
      <c r="F572" s="18" t="s">
        <v>190</v>
      </c>
      <c r="G572" s="18" t="s">
        <v>179</v>
      </c>
      <c r="H572" s="34" t="s">
        <v>86</v>
      </c>
      <c r="I572" s="18" t="s">
        <v>104</v>
      </c>
      <c r="J572" s="31" t="s">
        <v>114</v>
      </c>
      <c r="K572" s="31">
        <v>46182</v>
      </c>
      <c r="L572" s="4"/>
      <c r="M572" s="4"/>
      <c r="N572" s="13" t="s">
        <v>29</v>
      </c>
      <c r="O572" s="35" t="str">
        <f>IF(D572="","",IF(COUNTIF(离职清单!C:C,D572)&gt;0,"已离职","在职"))</f>
        <v>在职</v>
      </c>
      <c r="P572" s="35">
        <f>IF(AND(O572="在职",J572="是"),COUNTIF(O$2:O572,"在职"),"")</f>
        <v>565</v>
      </c>
    </row>
    <row r="573" customFormat="1" ht="18" spans="1:16">
      <c r="A573" s="10">
        <f t="shared" si="11"/>
        <v>572</v>
      </c>
      <c r="B573" s="31">
        <v>46182</v>
      </c>
      <c r="C573" s="32" t="s">
        <v>847</v>
      </c>
      <c r="D573" s="120" t="s">
        <v>488</v>
      </c>
      <c r="E573" s="33" t="s">
        <v>74</v>
      </c>
      <c r="F573" s="18" t="s">
        <v>64</v>
      </c>
      <c r="G573" s="18" t="s">
        <v>117</v>
      </c>
      <c r="H573" s="34" t="s">
        <v>86</v>
      </c>
      <c r="I573" s="18" t="s">
        <v>104</v>
      </c>
      <c r="J573" s="31" t="s">
        <v>114</v>
      </c>
      <c r="K573" s="31">
        <v>46182</v>
      </c>
      <c r="L573" s="4"/>
      <c r="M573" s="4"/>
      <c r="N573" s="13" t="s">
        <v>29</v>
      </c>
      <c r="O573" s="35" t="str">
        <f>IF(D573="","",IF(COUNTIF(离职清单!C:C,D573)&gt;0,"已离职","在职"))</f>
        <v>在职</v>
      </c>
      <c r="P573" s="35">
        <f>IF(AND(O573="在职",J573="是"),COUNTIF(O$2:O573,"在职"),"")</f>
        <v>566</v>
      </c>
    </row>
    <row r="574" customFormat="1" ht="18" spans="1:16">
      <c r="A574" s="14">
        <f t="shared" si="11"/>
        <v>573</v>
      </c>
      <c r="B574" s="31">
        <v>46182</v>
      </c>
      <c r="C574" s="32" t="s">
        <v>848</v>
      </c>
      <c r="D574" s="120" t="s">
        <v>490</v>
      </c>
      <c r="E574" s="33" t="s">
        <v>74</v>
      </c>
      <c r="F574" s="18" t="s">
        <v>64</v>
      </c>
      <c r="G574" s="18" t="s">
        <v>117</v>
      </c>
      <c r="H574" s="34" t="s">
        <v>86</v>
      </c>
      <c r="I574" s="18" t="s">
        <v>104</v>
      </c>
      <c r="J574" s="31" t="s">
        <v>114</v>
      </c>
      <c r="K574" s="31">
        <v>46182</v>
      </c>
      <c r="L574" s="4"/>
      <c r="M574" s="4"/>
      <c r="N574" s="13" t="s">
        <v>29</v>
      </c>
      <c r="O574" s="35" t="str">
        <f>IF(D574="","",IF(COUNTIF(离职清单!C:C,D574)&gt;0,"已离职","在职"))</f>
        <v>在职</v>
      </c>
      <c r="P574" s="35">
        <f>IF(AND(O574="在职",J574="是"),COUNTIF(O$2:O574,"在职"),"")</f>
        <v>567</v>
      </c>
    </row>
    <row r="575" customFormat="1" ht="18" spans="1:16">
      <c r="A575" s="10">
        <f t="shared" si="11"/>
        <v>574</v>
      </c>
      <c r="B575" s="31">
        <v>46182</v>
      </c>
      <c r="C575" s="32" t="s">
        <v>849</v>
      </c>
      <c r="D575" s="120" t="s">
        <v>492</v>
      </c>
      <c r="E575" s="33" t="s">
        <v>74</v>
      </c>
      <c r="F575" s="18" t="s">
        <v>64</v>
      </c>
      <c r="G575" s="18" t="s">
        <v>179</v>
      </c>
      <c r="H575" s="34" t="s">
        <v>86</v>
      </c>
      <c r="I575" s="18" t="s">
        <v>104</v>
      </c>
      <c r="J575" s="31" t="s">
        <v>114</v>
      </c>
      <c r="K575" s="31">
        <v>46182</v>
      </c>
      <c r="L575" s="4"/>
      <c r="M575" s="4"/>
      <c r="N575" s="13" t="s">
        <v>29</v>
      </c>
      <c r="O575" s="35" t="str">
        <f>IF(D575="","",IF(COUNTIF(离职清单!C:C,D575)&gt;0,"已离职","在职"))</f>
        <v>在职</v>
      </c>
      <c r="P575" s="35">
        <f>IF(AND(O575="在职",J575="是"),COUNTIF(O$2:O575,"在职"),"")</f>
        <v>568</v>
      </c>
    </row>
    <row r="576" customFormat="1" ht="18" spans="1:16">
      <c r="A576" s="14">
        <f t="shared" si="11"/>
        <v>575</v>
      </c>
      <c r="B576" s="31">
        <v>46182</v>
      </c>
      <c r="C576" s="32" t="s">
        <v>850</v>
      </c>
      <c r="D576" s="120" t="s">
        <v>477</v>
      </c>
      <c r="E576" s="33" t="s">
        <v>42</v>
      </c>
      <c r="F576" s="18" t="s">
        <v>62</v>
      </c>
      <c r="G576" s="18" t="s">
        <v>173</v>
      </c>
      <c r="H576" s="34" t="s">
        <v>86</v>
      </c>
      <c r="I576" s="18" t="s">
        <v>104</v>
      </c>
      <c r="J576" s="31" t="s">
        <v>114</v>
      </c>
      <c r="K576" s="31">
        <v>46182</v>
      </c>
      <c r="L576" s="4"/>
      <c r="M576" s="4"/>
      <c r="N576" s="13" t="s">
        <v>29</v>
      </c>
      <c r="O576" s="35" t="str">
        <f>IF(D576="","",IF(COUNTIF(离职清单!C:C,D576)&gt;0,"已离职","在职"))</f>
        <v>在职</v>
      </c>
      <c r="P576" s="35">
        <f>IF(AND(O576="在职",J576="是"),COUNTIF(O$2:O576,"在职"),"")</f>
        <v>569</v>
      </c>
    </row>
    <row r="577" customFormat="1" ht="18" spans="1:16">
      <c r="A577" s="10">
        <f t="shared" si="11"/>
        <v>576</v>
      </c>
      <c r="B577" s="31">
        <v>46182</v>
      </c>
      <c r="C577" s="32" t="s">
        <v>851</v>
      </c>
      <c r="D577" s="120" t="s">
        <v>478</v>
      </c>
      <c r="E577" s="33" t="s">
        <v>43</v>
      </c>
      <c r="F577" s="18" t="s">
        <v>62</v>
      </c>
      <c r="G577" s="18" t="s">
        <v>233</v>
      </c>
      <c r="H577" s="34" t="s">
        <v>86</v>
      </c>
      <c r="I577" s="18" t="s">
        <v>104</v>
      </c>
      <c r="J577" s="31" t="s">
        <v>114</v>
      </c>
      <c r="K577" s="31">
        <v>46182</v>
      </c>
      <c r="L577" s="4"/>
      <c r="M577" s="4"/>
      <c r="N577" s="13" t="s">
        <v>29</v>
      </c>
      <c r="O577" s="35" t="str">
        <f>IF(D577="","",IF(COUNTIF(离职清单!C:C,D577)&gt;0,"已离职","在职"))</f>
        <v>在职</v>
      </c>
      <c r="P577" s="35">
        <f>IF(AND(O577="在职",J577="是"),COUNTIF(O$2:O577,"在职"),"")</f>
        <v>570</v>
      </c>
    </row>
    <row r="578" customFormat="1" ht="18" spans="1:16">
      <c r="A578" s="14">
        <f t="shared" si="11"/>
        <v>577</v>
      </c>
      <c r="B578" s="31">
        <v>46182</v>
      </c>
      <c r="C578" s="32" t="s">
        <v>852</v>
      </c>
      <c r="D578" s="120" t="s">
        <v>480</v>
      </c>
      <c r="E578" s="33" t="s">
        <v>74</v>
      </c>
      <c r="F578" s="18" t="s">
        <v>190</v>
      </c>
      <c r="G578" s="18" t="s">
        <v>117</v>
      </c>
      <c r="H578" s="34" t="s">
        <v>86</v>
      </c>
      <c r="I578" s="18" t="s">
        <v>104</v>
      </c>
      <c r="J578" s="31" t="s">
        <v>105</v>
      </c>
      <c r="K578" s="31">
        <v>46182</v>
      </c>
      <c r="L578" s="4"/>
      <c r="M578" s="4"/>
      <c r="N578" s="13" t="s">
        <v>29</v>
      </c>
      <c r="O578" s="35" t="str">
        <f>IF(D578="","",IF(COUNTIF(离职清单!C:C,D578)&gt;0,"已离职","在职"))</f>
        <v>在职</v>
      </c>
      <c r="P578" s="35" t="str">
        <f>IF(AND(O578="在职",J578="是"),COUNTIF(O$2:O578,"在职"),"")</f>
        <v/>
      </c>
    </row>
    <row r="579" customFormat="1" ht="18" spans="1:16">
      <c r="A579" s="10">
        <f t="shared" si="11"/>
        <v>578</v>
      </c>
      <c r="B579" s="31">
        <v>46182</v>
      </c>
      <c r="C579" s="32" t="s">
        <v>853</v>
      </c>
      <c r="D579" s="120" t="s">
        <v>482</v>
      </c>
      <c r="E579" s="33" t="s">
        <v>43</v>
      </c>
      <c r="F579" s="18" t="s">
        <v>64</v>
      </c>
      <c r="G579" s="18" t="s">
        <v>179</v>
      </c>
      <c r="H579" s="34" t="s">
        <v>86</v>
      </c>
      <c r="I579" s="18" t="s">
        <v>104</v>
      </c>
      <c r="J579" s="31" t="s">
        <v>114</v>
      </c>
      <c r="K579" s="31">
        <v>46182</v>
      </c>
      <c r="L579" s="4"/>
      <c r="M579" s="4"/>
      <c r="N579" s="13" t="s">
        <v>29</v>
      </c>
      <c r="O579" s="35" t="str">
        <f>IF(D579="","",IF(COUNTIF(离职清单!C:C,D579)&gt;0,"已离职","在职"))</f>
        <v>在职</v>
      </c>
      <c r="P579" s="35">
        <f>IF(AND(O579="在职",J579="是"),COUNTIF(O$2:O579,"在职"),"")</f>
        <v>572</v>
      </c>
    </row>
    <row r="580" customFormat="1" ht="18" spans="1:16">
      <c r="A580" s="14">
        <f t="shared" si="11"/>
        <v>579</v>
      </c>
      <c r="B580" s="31">
        <v>46183</v>
      </c>
      <c r="C580" s="32" t="s">
        <v>854</v>
      </c>
      <c r="D580" s="120" t="s">
        <v>484</v>
      </c>
      <c r="E580" s="33" t="s">
        <v>42</v>
      </c>
      <c r="F580" s="18" t="s">
        <v>64</v>
      </c>
      <c r="G580" s="18" t="s">
        <v>631</v>
      </c>
      <c r="H580" s="34" t="s">
        <v>86</v>
      </c>
      <c r="I580" s="18" t="s">
        <v>111</v>
      </c>
      <c r="J580" s="31" t="s">
        <v>105</v>
      </c>
      <c r="K580" s="31">
        <v>46183</v>
      </c>
      <c r="L580" s="4"/>
      <c r="M580" s="4"/>
      <c r="N580" s="13" t="s">
        <v>29</v>
      </c>
      <c r="O580" s="35" t="str">
        <f>IF(D580="","",IF(COUNTIF(离职清单!C:C,D580)&gt;0,"已离职","在职"))</f>
        <v>在职</v>
      </c>
      <c r="P580" s="35" t="str">
        <f>IF(AND(O580="在职",J580="是"),COUNTIF(O$2:O580,"在职"),"")</f>
        <v/>
      </c>
    </row>
    <row r="581" customFormat="1" ht="18" spans="1:16">
      <c r="A581" s="10">
        <f t="shared" si="11"/>
        <v>580</v>
      </c>
      <c r="B581" s="31">
        <v>46183</v>
      </c>
      <c r="C581" s="32" t="s">
        <v>855</v>
      </c>
      <c r="D581" s="120" t="s">
        <v>486</v>
      </c>
      <c r="E581" s="33" t="s">
        <v>74</v>
      </c>
      <c r="F581" s="18" t="s">
        <v>64</v>
      </c>
      <c r="G581" s="18" t="s">
        <v>135</v>
      </c>
      <c r="H581" s="34" t="s">
        <v>86</v>
      </c>
      <c r="I581" s="18" t="s">
        <v>111</v>
      </c>
      <c r="J581" s="31" t="s">
        <v>105</v>
      </c>
      <c r="K581" s="31">
        <v>46183</v>
      </c>
      <c r="L581" s="4"/>
      <c r="M581" s="4"/>
      <c r="N581" s="13" t="s">
        <v>29</v>
      </c>
      <c r="O581" s="35" t="str">
        <f>IF(D581="","",IF(COUNTIF(离职清单!C:C,D581)&gt;0,"已离职","在职"))</f>
        <v>在职</v>
      </c>
      <c r="P581" s="35" t="str">
        <f>IF(AND(O581="在职",J581="是"),COUNTIF(O$2:O581,"在职"),"")</f>
        <v/>
      </c>
    </row>
    <row r="582" customFormat="1" ht="18" spans="1:16">
      <c r="A582" s="14">
        <f t="shared" si="11"/>
        <v>581</v>
      </c>
      <c r="B582" s="31">
        <v>46183</v>
      </c>
      <c r="C582" s="32" t="s">
        <v>856</v>
      </c>
      <c r="D582" s="120" t="s">
        <v>488</v>
      </c>
      <c r="E582" s="33" t="s">
        <v>74</v>
      </c>
      <c r="F582" s="18" t="s">
        <v>190</v>
      </c>
      <c r="G582" s="18" t="s">
        <v>117</v>
      </c>
      <c r="H582" s="34" t="s">
        <v>86</v>
      </c>
      <c r="I582" s="18" t="s">
        <v>111</v>
      </c>
      <c r="J582" s="31" t="s">
        <v>105</v>
      </c>
      <c r="K582" s="31">
        <v>46183</v>
      </c>
      <c r="L582" s="4"/>
      <c r="M582" s="4"/>
      <c r="N582" s="13" t="s">
        <v>29</v>
      </c>
      <c r="O582" s="35" t="str">
        <f>IF(D582="","",IF(COUNTIF(离职清单!C:C,D582)&gt;0,"已离职","在职"))</f>
        <v>在职</v>
      </c>
      <c r="P582" s="35" t="str">
        <f>IF(AND(O582="在职",J582="是"),COUNTIF(O$2:O582,"在职"),"")</f>
        <v/>
      </c>
    </row>
    <row r="583" customFormat="1" ht="18" spans="1:16">
      <c r="A583" s="10">
        <f t="shared" si="11"/>
        <v>582</v>
      </c>
      <c r="B583" s="31">
        <v>46183</v>
      </c>
      <c r="C583" s="32" t="s">
        <v>857</v>
      </c>
      <c r="D583" s="120" t="s">
        <v>490</v>
      </c>
      <c r="E583" s="33" t="s">
        <v>74</v>
      </c>
      <c r="F583" s="18" t="s">
        <v>190</v>
      </c>
      <c r="G583" s="18" t="s">
        <v>135</v>
      </c>
      <c r="H583" s="34" t="s">
        <v>86</v>
      </c>
      <c r="I583" s="18" t="s">
        <v>111</v>
      </c>
      <c r="J583" s="31" t="s">
        <v>105</v>
      </c>
      <c r="K583" s="31">
        <v>46183</v>
      </c>
      <c r="L583" s="4"/>
      <c r="M583" s="4"/>
      <c r="N583" s="13" t="s">
        <v>29</v>
      </c>
      <c r="O583" s="35" t="str">
        <f>IF(D583="","",IF(COUNTIF(离职清单!C:C,D583)&gt;0,"已离职","在职"))</f>
        <v>在职</v>
      </c>
      <c r="P583" s="35" t="str">
        <f>IF(AND(O583="在职",J583="是"),COUNTIF(O$2:O583,"在职"),"")</f>
        <v/>
      </c>
    </row>
    <row r="584" customFormat="1" ht="18" spans="1:16">
      <c r="A584" s="14">
        <f t="shared" si="11"/>
        <v>583</v>
      </c>
      <c r="B584" s="31">
        <v>46183</v>
      </c>
      <c r="C584" s="32" t="s">
        <v>858</v>
      </c>
      <c r="D584" s="120" t="s">
        <v>492</v>
      </c>
      <c r="E584" s="33" t="s">
        <v>42</v>
      </c>
      <c r="F584" s="18" t="s">
        <v>64</v>
      </c>
      <c r="G584" s="18" t="s">
        <v>681</v>
      </c>
      <c r="H584" s="34" t="s">
        <v>86</v>
      </c>
      <c r="I584" s="18" t="s">
        <v>111</v>
      </c>
      <c r="J584" s="31" t="s">
        <v>105</v>
      </c>
      <c r="K584" s="31">
        <v>46183</v>
      </c>
      <c r="L584" s="4"/>
      <c r="M584" s="4"/>
      <c r="N584" s="13" t="s">
        <v>29</v>
      </c>
      <c r="O584" s="35" t="str">
        <f>IF(D584="","",IF(COUNTIF(离职清单!C:C,D584)&gt;0,"已离职","在职"))</f>
        <v>在职</v>
      </c>
      <c r="P584" s="35" t="str">
        <f>IF(AND(O584="在职",J584="是"),COUNTIF(O$2:O584,"在职"),"")</f>
        <v/>
      </c>
    </row>
    <row r="585" customFormat="1" ht="18" spans="1:16">
      <c r="A585" s="10">
        <f t="shared" si="11"/>
        <v>584</v>
      </c>
      <c r="B585" s="31">
        <v>46183</v>
      </c>
      <c r="C585" s="32" t="s">
        <v>859</v>
      </c>
      <c r="D585" s="120" t="s">
        <v>477</v>
      </c>
      <c r="E585" s="33" t="s">
        <v>42</v>
      </c>
      <c r="F585" s="18" t="s">
        <v>64</v>
      </c>
      <c r="G585" s="18" t="s">
        <v>148</v>
      </c>
      <c r="H585" s="34" t="s">
        <v>86</v>
      </c>
      <c r="I585" s="18" t="s">
        <v>104</v>
      </c>
      <c r="J585" s="31" t="s">
        <v>114</v>
      </c>
      <c r="K585" s="31">
        <v>46183</v>
      </c>
      <c r="L585" s="4"/>
      <c r="M585" s="4"/>
      <c r="N585" s="13" t="s">
        <v>29</v>
      </c>
      <c r="O585" s="35" t="str">
        <f>IF(D585="","",IF(COUNTIF(离职清单!C:C,D585)&gt;0,"已离职","在职"))</f>
        <v>在职</v>
      </c>
      <c r="P585" s="35">
        <f>IF(AND(O585="在职",J585="是"),COUNTIF(O$2:O585,"在职"),"")</f>
        <v>578</v>
      </c>
    </row>
    <row r="586" customFormat="1" ht="18" spans="1:16">
      <c r="A586" s="14">
        <f t="shared" si="11"/>
        <v>585</v>
      </c>
      <c r="B586" s="31">
        <v>46183</v>
      </c>
      <c r="C586" s="32" t="s">
        <v>860</v>
      </c>
      <c r="D586" s="120" t="s">
        <v>478</v>
      </c>
      <c r="E586" s="33" t="s">
        <v>42</v>
      </c>
      <c r="F586" s="18" t="s">
        <v>64</v>
      </c>
      <c r="G586" s="18" t="s">
        <v>148</v>
      </c>
      <c r="H586" s="34" t="s">
        <v>86</v>
      </c>
      <c r="I586" s="18" t="s">
        <v>104</v>
      </c>
      <c r="J586" s="31" t="s">
        <v>114</v>
      </c>
      <c r="K586" s="31">
        <v>46183</v>
      </c>
      <c r="L586" s="4"/>
      <c r="M586" s="4"/>
      <c r="N586" s="13" t="s">
        <v>29</v>
      </c>
      <c r="O586" s="35" t="str">
        <f>IF(D586="","",IF(COUNTIF(离职清单!C:C,D586)&gt;0,"已离职","在职"))</f>
        <v>在职</v>
      </c>
      <c r="P586" s="35">
        <f>IF(AND(O586="在职",J586="是"),COUNTIF(O$2:O586,"在职"),"")</f>
        <v>579</v>
      </c>
    </row>
    <row r="587" customFormat="1" ht="18" spans="1:16">
      <c r="A587" s="14">
        <f t="shared" ref="A587:A620" si="12">IF(B587&lt;&gt;"",ROW()-1,"")</f>
        <v>586</v>
      </c>
      <c r="B587" s="31">
        <v>46183</v>
      </c>
      <c r="C587" s="32" t="s">
        <v>861</v>
      </c>
      <c r="D587" s="120" t="s">
        <v>480</v>
      </c>
      <c r="E587" s="33" t="s">
        <v>42</v>
      </c>
      <c r="F587" s="18" t="s">
        <v>64</v>
      </c>
      <c r="G587" s="18" t="s">
        <v>148</v>
      </c>
      <c r="H587" s="34" t="s">
        <v>86</v>
      </c>
      <c r="I587" s="18" t="s">
        <v>104</v>
      </c>
      <c r="J587" s="31" t="s">
        <v>114</v>
      </c>
      <c r="K587" s="31">
        <v>46183</v>
      </c>
      <c r="L587" s="4"/>
      <c r="M587" s="4"/>
      <c r="N587" s="13" t="s">
        <v>29</v>
      </c>
      <c r="O587" s="35" t="str">
        <f>IF(D587="","",IF(COUNTIF(离职清单!C:C,D587)&gt;0,"已离职","在职"))</f>
        <v>在职</v>
      </c>
      <c r="P587" s="35">
        <f>IF(AND(O587="在职",J587="是"),COUNTIF(O$2:O587,"在职"),"")</f>
        <v>580</v>
      </c>
    </row>
    <row r="588" customFormat="1" ht="18" spans="1:16">
      <c r="A588" s="10">
        <f t="shared" si="12"/>
        <v>587</v>
      </c>
      <c r="B588" s="31">
        <v>46183</v>
      </c>
      <c r="C588" s="32" t="s">
        <v>862</v>
      </c>
      <c r="D588" s="120" t="s">
        <v>482</v>
      </c>
      <c r="E588" s="33" t="s">
        <v>42</v>
      </c>
      <c r="F588" s="18" t="s">
        <v>64</v>
      </c>
      <c r="G588" s="18" t="s">
        <v>148</v>
      </c>
      <c r="H588" s="34" t="s">
        <v>86</v>
      </c>
      <c r="I588" s="18" t="s">
        <v>111</v>
      </c>
      <c r="J588" s="31" t="s">
        <v>105</v>
      </c>
      <c r="K588" s="31">
        <v>46183</v>
      </c>
      <c r="L588" s="4"/>
      <c r="M588" s="4"/>
      <c r="N588" s="13" t="s">
        <v>29</v>
      </c>
      <c r="O588" s="35" t="str">
        <f>IF(D588="","",IF(COUNTIF(离职清单!C:C,D588)&gt;0,"已离职","在职"))</f>
        <v>在职</v>
      </c>
      <c r="P588" s="35" t="str">
        <f>IF(AND(O588="在职",J588="是"),COUNTIF(O$2:O588,"在职"),"")</f>
        <v/>
      </c>
    </row>
    <row r="589" customFormat="1" ht="18" spans="1:16">
      <c r="A589" s="14">
        <f t="shared" si="12"/>
        <v>588</v>
      </c>
      <c r="B589" s="31">
        <v>46183</v>
      </c>
      <c r="C589" s="32" t="s">
        <v>863</v>
      </c>
      <c r="D589" s="120" t="s">
        <v>484</v>
      </c>
      <c r="E589" s="33" t="s">
        <v>42</v>
      </c>
      <c r="F589" s="18" t="s">
        <v>64</v>
      </c>
      <c r="G589" s="18" t="s">
        <v>148</v>
      </c>
      <c r="H589" s="34" t="s">
        <v>86</v>
      </c>
      <c r="I589" s="18" t="s">
        <v>104</v>
      </c>
      <c r="J589" s="31" t="s">
        <v>114</v>
      </c>
      <c r="K589" s="31">
        <v>46183</v>
      </c>
      <c r="L589" s="4"/>
      <c r="M589" s="4"/>
      <c r="N589" s="13" t="s">
        <v>29</v>
      </c>
      <c r="O589" s="35" t="str">
        <f>IF(D589="","",IF(COUNTIF(离职清单!C:C,D589)&gt;0,"已离职","在职"))</f>
        <v>在职</v>
      </c>
      <c r="P589" s="35">
        <f>IF(AND(O589="在职",J589="是"),COUNTIF(O$2:O589,"在职"),"")</f>
        <v>582</v>
      </c>
    </row>
    <row r="590" customFormat="1" ht="18" spans="1:16">
      <c r="A590" s="10">
        <f t="shared" si="12"/>
        <v>589</v>
      </c>
      <c r="B590" s="31">
        <v>46183</v>
      </c>
      <c r="C590" s="32" t="s">
        <v>525</v>
      </c>
      <c r="D590" s="120" t="s">
        <v>486</v>
      </c>
      <c r="E590" s="33" t="s">
        <v>42</v>
      </c>
      <c r="F590" s="18" t="s">
        <v>64</v>
      </c>
      <c r="G590" s="18" t="s">
        <v>148</v>
      </c>
      <c r="H590" s="34" t="s">
        <v>86</v>
      </c>
      <c r="I590" s="18" t="s">
        <v>104</v>
      </c>
      <c r="J590" s="31" t="s">
        <v>114</v>
      </c>
      <c r="K590" s="31">
        <v>46183</v>
      </c>
      <c r="L590" s="4"/>
      <c r="M590" s="4"/>
      <c r="N590" s="13" t="s">
        <v>29</v>
      </c>
      <c r="O590" s="35" t="str">
        <f>IF(D590="","",IF(COUNTIF(离职清单!C:C,D590)&gt;0,"已离职","在职"))</f>
        <v>在职</v>
      </c>
      <c r="P590" s="35">
        <f>IF(AND(O590="在职",J590="是"),COUNTIF(O$2:O590,"在职"),"")</f>
        <v>583</v>
      </c>
    </row>
    <row r="591" customFormat="1" ht="18" spans="1:16">
      <c r="A591" s="14">
        <f t="shared" si="12"/>
        <v>590</v>
      </c>
      <c r="B591" s="31">
        <v>46183</v>
      </c>
      <c r="C591" s="32" t="s">
        <v>864</v>
      </c>
      <c r="D591" s="120" t="s">
        <v>488</v>
      </c>
      <c r="E591" s="33" t="s">
        <v>42</v>
      </c>
      <c r="F591" s="18" t="s">
        <v>64</v>
      </c>
      <c r="G591" s="18" t="s">
        <v>148</v>
      </c>
      <c r="H591" s="34" t="s">
        <v>86</v>
      </c>
      <c r="I591" s="18" t="s">
        <v>111</v>
      </c>
      <c r="J591" s="31" t="s">
        <v>105</v>
      </c>
      <c r="K591" s="31">
        <v>46183</v>
      </c>
      <c r="L591" s="4"/>
      <c r="M591" s="4"/>
      <c r="N591" s="13" t="s">
        <v>29</v>
      </c>
      <c r="O591" s="35" t="str">
        <f>IF(D591="","",IF(COUNTIF(离职清单!C:C,D591)&gt;0,"已离职","在职"))</f>
        <v>在职</v>
      </c>
      <c r="P591" s="35" t="str">
        <f>IF(AND(O591="在职",J591="是"),COUNTIF(O$2:O591,"在职"),"")</f>
        <v/>
      </c>
    </row>
    <row r="592" customFormat="1" ht="18" spans="1:16">
      <c r="A592" s="10">
        <f t="shared" si="12"/>
        <v>591</v>
      </c>
      <c r="B592" s="31">
        <v>46183</v>
      </c>
      <c r="C592" s="32" t="s">
        <v>865</v>
      </c>
      <c r="D592" s="120" t="s">
        <v>490</v>
      </c>
      <c r="E592" s="33" t="s">
        <v>42</v>
      </c>
      <c r="F592" s="18" t="s">
        <v>64</v>
      </c>
      <c r="G592" s="18" t="s">
        <v>148</v>
      </c>
      <c r="H592" s="34" t="s">
        <v>86</v>
      </c>
      <c r="I592" s="18" t="s">
        <v>111</v>
      </c>
      <c r="J592" s="31" t="s">
        <v>105</v>
      </c>
      <c r="K592" s="31">
        <v>46183</v>
      </c>
      <c r="L592" s="4"/>
      <c r="M592" s="4"/>
      <c r="N592" s="13" t="s">
        <v>29</v>
      </c>
      <c r="O592" s="35" t="str">
        <f>IF(D592="","",IF(COUNTIF(离职清单!C:C,D592)&gt;0,"已离职","在职"))</f>
        <v>在职</v>
      </c>
      <c r="P592" s="35" t="str">
        <f>IF(AND(O592="在职",J592="是"),COUNTIF(O$2:O592,"在职"),"")</f>
        <v/>
      </c>
    </row>
    <row r="593" customFormat="1" ht="18" spans="1:16">
      <c r="A593" s="14">
        <f t="shared" si="12"/>
        <v>592</v>
      </c>
      <c r="B593" s="31">
        <v>46183</v>
      </c>
      <c r="C593" s="32" t="s">
        <v>866</v>
      </c>
      <c r="D593" s="120" t="s">
        <v>492</v>
      </c>
      <c r="E593" s="33" t="s">
        <v>42</v>
      </c>
      <c r="F593" s="18" t="s">
        <v>64</v>
      </c>
      <c r="G593" s="18" t="s">
        <v>148</v>
      </c>
      <c r="H593" s="34" t="s">
        <v>86</v>
      </c>
      <c r="I593" s="18" t="s">
        <v>104</v>
      </c>
      <c r="J593" s="31" t="s">
        <v>114</v>
      </c>
      <c r="K593" s="31">
        <v>46183</v>
      </c>
      <c r="L593" s="4"/>
      <c r="M593" s="4"/>
      <c r="N593" s="13" t="s">
        <v>29</v>
      </c>
      <c r="O593" s="35" t="str">
        <f>IF(D593="","",IF(COUNTIF(离职清单!C:C,D593)&gt;0,"已离职","在职"))</f>
        <v>在职</v>
      </c>
      <c r="P593" s="35">
        <f>IF(AND(O593="在职",J593="是"),COUNTIF(O$2:O593,"在职"),"")</f>
        <v>586</v>
      </c>
    </row>
    <row r="594" customFormat="1" ht="18" spans="1:16">
      <c r="A594" s="10">
        <f t="shared" si="12"/>
        <v>593</v>
      </c>
      <c r="B594" s="31">
        <v>46183</v>
      </c>
      <c r="C594" s="32" t="s">
        <v>790</v>
      </c>
      <c r="D594" s="120" t="s">
        <v>477</v>
      </c>
      <c r="E594" s="33" t="s">
        <v>42</v>
      </c>
      <c r="F594" s="18" t="s">
        <v>64</v>
      </c>
      <c r="G594" s="18" t="s">
        <v>148</v>
      </c>
      <c r="H594" s="34" t="s">
        <v>86</v>
      </c>
      <c r="I594" s="18" t="s">
        <v>104</v>
      </c>
      <c r="J594" s="31" t="s">
        <v>105</v>
      </c>
      <c r="K594" s="31">
        <v>46183</v>
      </c>
      <c r="L594" s="4"/>
      <c r="M594" s="4"/>
      <c r="N594" s="13" t="s">
        <v>29</v>
      </c>
      <c r="O594" s="35" t="str">
        <f>IF(D594="","",IF(COUNTIF(离职清单!C:C,D594)&gt;0,"已离职","在职"))</f>
        <v>在职</v>
      </c>
      <c r="P594" s="35" t="str">
        <f>IF(AND(O594="在职",J594="是"),COUNTIF(O$2:O594,"在职"),"")</f>
        <v/>
      </c>
    </row>
    <row r="595" customFormat="1" ht="18" spans="1:16">
      <c r="A595" s="14">
        <f t="shared" si="12"/>
        <v>594</v>
      </c>
      <c r="B595" s="31">
        <v>46183</v>
      </c>
      <c r="C595" s="32" t="s">
        <v>867</v>
      </c>
      <c r="D595" s="120" t="s">
        <v>478</v>
      </c>
      <c r="E595" s="33" t="s">
        <v>42</v>
      </c>
      <c r="F595" s="18" t="s">
        <v>64</v>
      </c>
      <c r="G595" s="18" t="s">
        <v>148</v>
      </c>
      <c r="H595" s="34" t="s">
        <v>86</v>
      </c>
      <c r="I595" s="18" t="s">
        <v>111</v>
      </c>
      <c r="J595" s="31" t="s">
        <v>105</v>
      </c>
      <c r="K595" s="31">
        <v>46183</v>
      </c>
      <c r="L595" s="4"/>
      <c r="M595" s="4"/>
      <c r="N595" s="13" t="s">
        <v>29</v>
      </c>
      <c r="O595" s="35" t="str">
        <f>IF(D595="","",IF(COUNTIF(离职清单!C:C,D595)&gt;0,"已离职","在职"))</f>
        <v>在职</v>
      </c>
      <c r="P595" s="35" t="str">
        <f>IF(AND(O595="在职",J595="是"),COUNTIF(O$2:O595,"在职"),"")</f>
        <v/>
      </c>
    </row>
    <row r="596" customFormat="1" ht="18" spans="1:16">
      <c r="A596" s="10">
        <f t="shared" si="12"/>
        <v>595</v>
      </c>
      <c r="B596" s="31">
        <v>46183</v>
      </c>
      <c r="C596" s="32" t="s">
        <v>868</v>
      </c>
      <c r="D596" s="120" t="s">
        <v>480</v>
      </c>
      <c r="E596" s="33" t="s">
        <v>74</v>
      </c>
      <c r="F596" s="18" t="s">
        <v>64</v>
      </c>
      <c r="G596" s="18" t="s">
        <v>124</v>
      </c>
      <c r="H596" s="34" t="s">
        <v>86</v>
      </c>
      <c r="I596" s="18" t="s">
        <v>111</v>
      </c>
      <c r="J596" s="31" t="s">
        <v>105</v>
      </c>
      <c r="K596" s="31">
        <v>46183</v>
      </c>
      <c r="L596" s="4"/>
      <c r="M596" s="4"/>
      <c r="N596" s="13" t="s">
        <v>29</v>
      </c>
      <c r="O596" s="35" t="str">
        <f>IF(D596="","",IF(COUNTIF(离职清单!C:C,D596)&gt;0,"已离职","在职"))</f>
        <v>在职</v>
      </c>
      <c r="P596" s="35" t="str">
        <f>IF(AND(O596="在职",J596="是"),COUNTIF(O$2:O596,"在职"),"")</f>
        <v/>
      </c>
    </row>
    <row r="597" customFormat="1" ht="18" spans="1:16">
      <c r="A597" s="14">
        <f t="shared" si="12"/>
        <v>596</v>
      </c>
      <c r="B597" s="31">
        <v>46183</v>
      </c>
      <c r="C597" s="32" t="s">
        <v>869</v>
      </c>
      <c r="D597" s="120" t="s">
        <v>482</v>
      </c>
      <c r="E597" s="33" t="s">
        <v>74</v>
      </c>
      <c r="F597" s="18" t="s">
        <v>64</v>
      </c>
      <c r="G597" s="18" t="s">
        <v>124</v>
      </c>
      <c r="H597" s="34" t="s">
        <v>86</v>
      </c>
      <c r="I597" s="18" t="s">
        <v>111</v>
      </c>
      <c r="J597" s="31" t="s">
        <v>105</v>
      </c>
      <c r="K597" s="31">
        <v>46183</v>
      </c>
      <c r="L597" s="4"/>
      <c r="M597" s="4"/>
      <c r="N597" s="13" t="s">
        <v>29</v>
      </c>
      <c r="O597" s="35" t="str">
        <f>IF(D597="","",IF(COUNTIF(离职清单!C:C,D597)&gt;0,"已离职","在职"))</f>
        <v>在职</v>
      </c>
      <c r="P597" s="35" t="str">
        <f>IF(AND(O597="在职",J597="是"),COUNTIF(O$2:O597,"在职"),"")</f>
        <v/>
      </c>
    </row>
    <row r="598" customFormat="1" ht="18" spans="1:16">
      <c r="A598" s="10">
        <f t="shared" si="12"/>
        <v>597</v>
      </c>
      <c r="B598" s="31">
        <v>46183</v>
      </c>
      <c r="C598" s="32" t="s">
        <v>870</v>
      </c>
      <c r="D598" s="120" t="s">
        <v>484</v>
      </c>
      <c r="E598" s="33" t="s">
        <v>43</v>
      </c>
      <c r="F598" s="18" t="s">
        <v>64</v>
      </c>
      <c r="G598" s="18" t="s">
        <v>468</v>
      </c>
      <c r="H598" s="34" t="s">
        <v>86</v>
      </c>
      <c r="I598" s="18" t="s">
        <v>111</v>
      </c>
      <c r="J598" s="31" t="s">
        <v>105</v>
      </c>
      <c r="K598" s="31">
        <v>46183</v>
      </c>
      <c r="L598" s="4"/>
      <c r="M598" s="4"/>
      <c r="N598" s="13" t="s">
        <v>29</v>
      </c>
      <c r="O598" s="35" t="str">
        <f>IF(D598="","",IF(COUNTIF(离职清单!C:C,D598)&gt;0,"已离职","在职"))</f>
        <v>在职</v>
      </c>
      <c r="P598" s="35" t="str">
        <f>IF(AND(O598="在职",J598="是"),COUNTIF(O$2:O598,"在职"),"")</f>
        <v/>
      </c>
    </row>
    <row r="599" customFormat="1" ht="18" spans="1:16">
      <c r="A599" s="14">
        <f t="shared" si="12"/>
        <v>598</v>
      </c>
      <c r="B599" s="31">
        <v>46183</v>
      </c>
      <c r="C599" s="32" t="s">
        <v>871</v>
      </c>
      <c r="D599" s="120" t="s">
        <v>486</v>
      </c>
      <c r="E599" s="33" t="s">
        <v>74</v>
      </c>
      <c r="F599" s="18" t="s">
        <v>64</v>
      </c>
      <c r="G599" s="18" t="s">
        <v>426</v>
      </c>
      <c r="H599" s="34" t="s">
        <v>86</v>
      </c>
      <c r="I599" s="18" t="s">
        <v>104</v>
      </c>
      <c r="J599" s="31" t="s">
        <v>105</v>
      </c>
      <c r="K599" s="31">
        <v>46183</v>
      </c>
      <c r="L599" s="4"/>
      <c r="M599" s="4"/>
      <c r="N599" s="13" t="s">
        <v>29</v>
      </c>
      <c r="O599" s="35" t="str">
        <f>IF(D599="","",IF(COUNTIF(离职清单!C:C,D599)&gt;0,"已离职","在职"))</f>
        <v>在职</v>
      </c>
      <c r="P599" s="35" t="str">
        <f>IF(AND(O599="在职",J599="是"),COUNTIF(O$2:O599,"在职"),"")</f>
        <v/>
      </c>
    </row>
    <row r="600" customFormat="1" ht="18" spans="1:16">
      <c r="A600" s="10">
        <f t="shared" si="12"/>
        <v>599</v>
      </c>
      <c r="B600" s="31">
        <v>46183</v>
      </c>
      <c r="C600" s="32" t="s">
        <v>872</v>
      </c>
      <c r="D600" s="120" t="s">
        <v>488</v>
      </c>
      <c r="E600" s="33" t="s">
        <v>74</v>
      </c>
      <c r="F600" s="18" t="s">
        <v>64</v>
      </c>
      <c r="G600" s="18" t="s">
        <v>426</v>
      </c>
      <c r="H600" s="34" t="s">
        <v>86</v>
      </c>
      <c r="I600" s="18" t="s">
        <v>111</v>
      </c>
      <c r="J600" s="31" t="s">
        <v>105</v>
      </c>
      <c r="K600" s="31">
        <v>46183</v>
      </c>
      <c r="L600" s="4"/>
      <c r="M600" s="4"/>
      <c r="N600" s="13" t="s">
        <v>29</v>
      </c>
      <c r="O600" s="35" t="str">
        <f>IF(D600="","",IF(COUNTIF(离职清单!C:C,D600)&gt;0,"已离职","在职"))</f>
        <v>在职</v>
      </c>
      <c r="P600" s="35" t="str">
        <f>IF(AND(O600="在职",J600="是"),COUNTIF(O$2:O600,"在职"),"")</f>
        <v/>
      </c>
    </row>
    <row r="601" customFormat="1" ht="18" spans="1:16">
      <c r="A601" s="14">
        <f t="shared" si="12"/>
        <v>600</v>
      </c>
      <c r="B601" s="31">
        <v>46183</v>
      </c>
      <c r="C601" s="32" t="s">
        <v>807</v>
      </c>
      <c r="D601" s="120" t="s">
        <v>490</v>
      </c>
      <c r="E601" s="33" t="s">
        <v>42</v>
      </c>
      <c r="F601" s="18" t="s">
        <v>64</v>
      </c>
      <c r="G601" s="18" t="s">
        <v>307</v>
      </c>
      <c r="H601" s="34" t="s">
        <v>86</v>
      </c>
      <c r="I601" s="18" t="s">
        <v>104</v>
      </c>
      <c r="J601" s="31" t="s">
        <v>114</v>
      </c>
      <c r="K601" s="31">
        <v>46183</v>
      </c>
      <c r="L601" s="4"/>
      <c r="M601" s="4"/>
      <c r="N601" s="13" t="s">
        <v>29</v>
      </c>
      <c r="O601" s="35" t="str">
        <f>IF(D601="","",IF(COUNTIF(离职清单!C:C,D601)&gt;0,"已离职","在职"))</f>
        <v>在职</v>
      </c>
      <c r="P601" s="35">
        <f>IF(AND(O601="在职",J601="是"),COUNTIF(O$2:O601,"在职"),"")</f>
        <v>594</v>
      </c>
    </row>
    <row r="602" customFormat="1" ht="18" spans="1:16">
      <c r="A602" s="10">
        <f t="shared" si="12"/>
        <v>601</v>
      </c>
      <c r="B602" s="31">
        <v>46183</v>
      </c>
      <c r="C602" s="32" t="s">
        <v>873</v>
      </c>
      <c r="D602" s="120" t="s">
        <v>492</v>
      </c>
      <c r="E602" s="33" t="s">
        <v>43</v>
      </c>
      <c r="F602" s="18" t="s">
        <v>63</v>
      </c>
      <c r="G602" s="18" t="s">
        <v>117</v>
      </c>
      <c r="H602" s="34" t="s">
        <v>86</v>
      </c>
      <c r="I602" s="18" t="s">
        <v>104</v>
      </c>
      <c r="J602" s="31" t="s">
        <v>114</v>
      </c>
      <c r="K602" s="31">
        <v>46183</v>
      </c>
      <c r="L602" s="4"/>
      <c r="M602" s="4"/>
      <c r="N602" s="13" t="s">
        <v>29</v>
      </c>
      <c r="O602" s="35" t="str">
        <f>IF(D602="","",IF(COUNTIF(离职清单!C:C,D602)&gt;0,"已离职","在职"))</f>
        <v>在职</v>
      </c>
      <c r="P602" s="35">
        <f>IF(AND(O602="在职",J602="是"),COUNTIF(O$2:O602,"在职"),"")</f>
        <v>595</v>
      </c>
    </row>
    <row r="603" customFormat="1" ht="18" spans="1:16">
      <c r="A603" s="14">
        <f t="shared" si="12"/>
        <v>602</v>
      </c>
      <c r="B603" s="31">
        <v>46183</v>
      </c>
      <c r="C603" s="32" t="s">
        <v>874</v>
      </c>
      <c r="D603" s="120" t="s">
        <v>477</v>
      </c>
      <c r="E603" s="33" t="s">
        <v>74</v>
      </c>
      <c r="F603" s="18" t="s">
        <v>190</v>
      </c>
      <c r="G603" s="18" t="s">
        <v>117</v>
      </c>
      <c r="H603" s="34" t="s">
        <v>86</v>
      </c>
      <c r="I603" s="18" t="s">
        <v>104</v>
      </c>
      <c r="J603" s="31" t="s">
        <v>114</v>
      </c>
      <c r="K603" s="31">
        <v>46183</v>
      </c>
      <c r="L603" s="4"/>
      <c r="M603" s="4"/>
      <c r="N603" s="13" t="s">
        <v>29</v>
      </c>
      <c r="O603" s="35" t="str">
        <f>IF(D603="","",IF(COUNTIF(离职清单!C:C,D603)&gt;0,"已离职","在职"))</f>
        <v>在职</v>
      </c>
      <c r="P603" s="35">
        <f>IF(AND(O603="在职",J603="是"),COUNTIF(O$2:O603,"在职"),"")</f>
        <v>596</v>
      </c>
    </row>
    <row r="604" customFormat="1" ht="18" spans="1:16">
      <c r="A604" s="10">
        <f t="shared" si="12"/>
        <v>603</v>
      </c>
      <c r="B604" s="31">
        <v>46183</v>
      </c>
      <c r="C604" s="32" t="s">
        <v>797</v>
      </c>
      <c r="D604" s="120" t="s">
        <v>478</v>
      </c>
      <c r="E604" s="33" t="s">
        <v>43</v>
      </c>
      <c r="F604" s="18" t="s">
        <v>64</v>
      </c>
      <c r="G604" s="18" t="s">
        <v>103</v>
      </c>
      <c r="H604" s="34" t="s">
        <v>86</v>
      </c>
      <c r="I604" s="18" t="s">
        <v>111</v>
      </c>
      <c r="J604" s="31" t="s">
        <v>105</v>
      </c>
      <c r="K604" s="31">
        <v>46183</v>
      </c>
      <c r="L604" s="4"/>
      <c r="M604" s="4"/>
      <c r="N604" s="13" t="s">
        <v>29</v>
      </c>
      <c r="O604" s="35" t="str">
        <f>IF(D604="","",IF(COUNTIF(离职清单!C:C,D604)&gt;0,"已离职","在职"))</f>
        <v>在职</v>
      </c>
      <c r="P604" s="35" t="str">
        <f>IF(AND(O604="在职",J604="是"),COUNTIF(O$2:O604,"在职"),"")</f>
        <v/>
      </c>
    </row>
    <row r="605" customFormat="1" ht="18" spans="1:16">
      <c r="A605" s="14">
        <f t="shared" si="12"/>
        <v>604</v>
      </c>
      <c r="B605" s="31">
        <v>46183</v>
      </c>
      <c r="C605" s="32" t="s">
        <v>875</v>
      </c>
      <c r="D605" s="120" t="s">
        <v>480</v>
      </c>
      <c r="E605" s="33" t="s">
        <v>74</v>
      </c>
      <c r="F605" s="18" t="s">
        <v>64</v>
      </c>
      <c r="G605" s="18" t="s">
        <v>103</v>
      </c>
      <c r="H605" s="34" t="s">
        <v>86</v>
      </c>
      <c r="I605" s="18" t="s">
        <v>104</v>
      </c>
      <c r="J605" s="31" t="s">
        <v>114</v>
      </c>
      <c r="K605" s="31">
        <v>46183</v>
      </c>
      <c r="L605" s="4"/>
      <c r="M605" s="4"/>
      <c r="N605" s="13" t="s">
        <v>29</v>
      </c>
      <c r="O605" s="35" t="str">
        <f>IF(D605="","",IF(COUNTIF(离职清单!C:C,D605)&gt;0,"已离职","在职"))</f>
        <v>在职</v>
      </c>
      <c r="P605" s="35">
        <f>IF(AND(O605="在职",J605="是"),COUNTIF(O$2:O605,"在职"),"")</f>
        <v>598</v>
      </c>
    </row>
    <row r="606" customFormat="1" ht="18" spans="1:16">
      <c r="A606" s="10">
        <f t="shared" si="12"/>
        <v>605</v>
      </c>
      <c r="B606" s="31">
        <v>46183</v>
      </c>
      <c r="C606" s="32" t="s">
        <v>813</v>
      </c>
      <c r="D606" s="120" t="s">
        <v>482</v>
      </c>
      <c r="E606" s="33" t="s">
        <v>42</v>
      </c>
      <c r="F606" s="18" t="s">
        <v>64</v>
      </c>
      <c r="G606" s="18" t="s">
        <v>512</v>
      </c>
      <c r="H606" s="34" t="s">
        <v>86</v>
      </c>
      <c r="I606" s="18" t="s">
        <v>111</v>
      </c>
      <c r="J606" s="31" t="s">
        <v>105</v>
      </c>
      <c r="K606" s="31">
        <v>46183</v>
      </c>
      <c r="L606" s="4"/>
      <c r="M606" s="4"/>
      <c r="N606" s="13" t="s">
        <v>29</v>
      </c>
      <c r="O606" s="35" t="str">
        <f>IF(D606="","",IF(COUNTIF(离职清单!C:C,D606)&gt;0,"已离职","在职"))</f>
        <v>在职</v>
      </c>
      <c r="P606" s="35" t="str">
        <f>IF(AND(O606="在职",J606="是"),COUNTIF(O$2:O606,"在职"),"")</f>
        <v/>
      </c>
    </row>
    <row r="607" customFormat="1" ht="18" spans="1:16">
      <c r="A607" s="14">
        <f t="shared" si="12"/>
        <v>606</v>
      </c>
      <c r="B607" s="31">
        <v>46183</v>
      </c>
      <c r="C607" s="32" t="s">
        <v>876</v>
      </c>
      <c r="D607" s="120" t="s">
        <v>484</v>
      </c>
      <c r="E607" s="33" t="s">
        <v>42</v>
      </c>
      <c r="F607" s="18" t="s">
        <v>64</v>
      </c>
      <c r="G607" s="18" t="s">
        <v>512</v>
      </c>
      <c r="H607" s="34" t="s">
        <v>86</v>
      </c>
      <c r="I607" s="18" t="s">
        <v>111</v>
      </c>
      <c r="J607" s="31" t="s">
        <v>105</v>
      </c>
      <c r="K607" s="31">
        <v>46183</v>
      </c>
      <c r="L607" s="4"/>
      <c r="M607" s="4"/>
      <c r="N607" s="13" t="s">
        <v>29</v>
      </c>
      <c r="O607" s="35" t="str">
        <f>IF(D607="","",IF(COUNTIF(离职清单!C:C,D607)&gt;0,"已离职","在职"))</f>
        <v>在职</v>
      </c>
      <c r="P607" s="35" t="str">
        <f>IF(AND(O607="在职",J607="是"),COUNTIF(O$2:O607,"在职"),"")</f>
        <v/>
      </c>
    </row>
    <row r="608" customFormat="1" ht="18" spans="1:16">
      <c r="A608" s="10">
        <f t="shared" si="12"/>
        <v>607</v>
      </c>
      <c r="B608" s="31">
        <v>46183</v>
      </c>
      <c r="C608" s="32" t="s">
        <v>812</v>
      </c>
      <c r="D608" s="120" t="s">
        <v>486</v>
      </c>
      <c r="E608" s="33" t="s">
        <v>42</v>
      </c>
      <c r="F608" s="18" t="s">
        <v>64</v>
      </c>
      <c r="G608" s="18" t="s">
        <v>512</v>
      </c>
      <c r="H608" s="34" t="s">
        <v>86</v>
      </c>
      <c r="I608" s="18" t="s">
        <v>104</v>
      </c>
      <c r="J608" s="31" t="s">
        <v>114</v>
      </c>
      <c r="K608" s="31">
        <v>46183</v>
      </c>
      <c r="L608" s="4"/>
      <c r="M608" s="4"/>
      <c r="N608" s="13" t="s">
        <v>29</v>
      </c>
      <c r="O608" s="35" t="str">
        <f>IF(D608="","",IF(COUNTIF(离职清单!C:C,D608)&gt;0,"已离职","在职"))</f>
        <v>在职</v>
      </c>
      <c r="P608" s="35">
        <f>IF(AND(O608="在职",J608="是"),COUNTIF(O$2:O608,"在职"),"")</f>
        <v>601</v>
      </c>
    </row>
    <row r="609" customFormat="1" ht="18" spans="1:16">
      <c r="A609" s="14">
        <f t="shared" si="12"/>
        <v>608</v>
      </c>
      <c r="B609" s="31">
        <v>46183</v>
      </c>
      <c r="C609" s="32" t="s">
        <v>877</v>
      </c>
      <c r="D609" s="120" t="s">
        <v>488</v>
      </c>
      <c r="E609" s="33" t="s">
        <v>42</v>
      </c>
      <c r="F609" s="18" t="s">
        <v>64</v>
      </c>
      <c r="G609" s="18" t="s">
        <v>631</v>
      </c>
      <c r="H609" s="34" t="s">
        <v>86</v>
      </c>
      <c r="I609" s="18" t="s">
        <v>104</v>
      </c>
      <c r="J609" s="31" t="s">
        <v>105</v>
      </c>
      <c r="K609" s="31">
        <v>46183</v>
      </c>
      <c r="L609" s="4"/>
      <c r="M609" s="4"/>
      <c r="N609" s="13" t="s">
        <v>29</v>
      </c>
      <c r="O609" s="35" t="str">
        <f>IF(D609="","",IF(COUNTIF(离职清单!C:C,D609)&gt;0,"已离职","在职"))</f>
        <v>在职</v>
      </c>
      <c r="P609" s="35" t="str">
        <f>IF(AND(O609="在职",J609="是"),COUNTIF(O$2:O609,"在职"),"")</f>
        <v/>
      </c>
    </row>
    <row r="610" customFormat="1" ht="18" spans="1:16">
      <c r="A610" s="10">
        <f t="shared" si="12"/>
        <v>609</v>
      </c>
      <c r="B610" s="31">
        <v>46183</v>
      </c>
      <c r="C610" s="32" t="s">
        <v>878</v>
      </c>
      <c r="D610" s="120" t="s">
        <v>490</v>
      </c>
      <c r="E610" s="33" t="s">
        <v>43</v>
      </c>
      <c r="F610" s="18" t="s">
        <v>64</v>
      </c>
      <c r="G610" s="18" t="s">
        <v>631</v>
      </c>
      <c r="H610" s="34" t="s">
        <v>86</v>
      </c>
      <c r="I610" s="18" t="s">
        <v>104</v>
      </c>
      <c r="J610" s="31" t="s">
        <v>105</v>
      </c>
      <c r="K610" s="31">
        <v>46183</v>
      </c>
      <c r="L610" s="4"/>
      <c r="M610" s="4"/>
      <c r="N610" s="13" t="s">
        <v>29</v>
      </c>
      <c r="O610" s="35" t="str">
        <f>IF(D610="","",IF(COUNTIF(离职清单!C:C,D610)&gt;0,"已离职","在职"))</f>
        <v>在职</v>
      </c>
      <c r="P610" s="35" t="str">
        <f>IF(AND(O610="在职",J610="是"),COUNTIF(O$2:O610,"在职"),"")</f>
        <v/>
      </c>
    </row>
    <row r="611" customFormat="1" ht="18" spans="1:16">
      <c r="A611" s="14">
        <f t="shared" si="12"/>
        <v>610</v>
      </c>
      <c r="B611" s="31">
        <v>46183</v>
      </c>
      <c r="C611" s="32" t="s">
        <v>879</v>
      </c>
      <c r="D611" s="120" t="s">
        <v>492</v>
      </c>
      <c r="E611" s="33" t="s">
        <v>43</v>
      </c>
      <c r="F611" s="18" t="s">
        <v>64</v>
      </c>
      <c r="G611" s="18" t="s">
        <v>631</v>
      </c>
      <c r="H611" s="34" t="s">
        <v>86</v>
      </c>
      <c r="I611" s="18" t="s">
        <v>111</v>
      </c>
      <c r="J611" s="31" t="s">
        <v>105</v>
      </c>
      <c r="K611" s="31">
        <v>46183</v>
      </c>
      <c r="L611" s="4"/>
      <c r="M611" s="4"/>
      <c r="N611" s="13" t="s">
        <v>29</v>
      </c>
      <c r="O611" s="35" t="str">
        <f>IF(D611="","",IF(COUNTIF(离职清单!C:C,D611)&gt;0,"已离职","在职"))</f>
        <v>在职</v>
      </c>
      <c r="P611" s="35" t="str">
        <f>IF(AND(O611="在职",J611="是"),COUNTIF(O$2:O611,"在职"),"")</f>
        <v/>
      </c>
    </row>
    <row r="612" customFormat="1" ht="18" spans="1:16">
      <c r="A612" s="10">
        <f t="shared" si="12"/>
        <v>611</v>
      </c>
      <c r="B612" s="31">
        <v>46183</v>
      </c>
      <c r="C612" s="32" t="s">
        <v>880</v>
      </c>
      <c r="D612" s="120" t="s">
        <v>477</v>
      </c>
      <c r="E612" s="33" t="s">
        <v>42</v>
      </c>
      <c r="F612" s="18" t="s">
        <v>64</v>
      </c>
      <c r="G612" s="18" t="s">
        <v>148</v>
      </c>
      <c r="H612" s="34" t="s">
        <v>86</v>
      </c>
      <c r="I612" s="18" t="s">
        <v>111</v>
      </c>
      <c r="J612" s="31" t="s">
        <v>105</v>
      </c>
      <c r="K612" s="31">
        <v>46183</v>
      </c>
      <c r="L612" s="4"/>
      <c r="M612" s="4"/>
      <c r="N612" s="13" t="s">
        <v>29</v>
      </c>
      <c r="O612" s="35" t="str">
        <f>IF(D612="","",IF(COUNTIF(离职清单!C:C,D612)&gt;0,"已离职","在职"))</f>
        <v>在职</v>
      </c>
      <c r="P612" s="35" t="str">
        <f>IF(AND(O612="在职",J612="是"),COUNTIF(O$2:O612,"在职"),"")</f>
        <v/>
      </c>
    </row>
    <row r="613" customFormat="1" ht="18" spans="1:16">
      <c r="A613" s="14">
        <f t="shared" si="12"/>
        <v>612</v>
      </c>
      <c r="B613" s="31">
        <v>46183</v>
      </c>
      <c r="C613" s="32" t="s">
        <v>817</v>
      </c>
      <c r="D613" s="120" t="s">
        <v>478</v>
      </c>
      <c r="E613" s="33" t="s">
        <v>42</v>
      </c>
      <c r="F613" s="18" t="s">
        <v>64</v>
      </c>
      <c r="G613" s="18" t="s">
        <v>148</v>
      </c>
      <c r="H613" s="34" t="s">
        <v>86</v>
      </c>
      <c r="I613" s="18" t="s">
        <v>104</v>
      </c>
      <c r="J613" s="31" t="s">
        <v>114</v>
      </c>
      <c r="K613" s="31">
        <v>46183</v>
      </c>
      <c r="L613" s="4"/>
      <c r="M613" s="4"/>
      <c r="N613" s="13" t="s">
        <v>29</v>
      </c>
      <c r="O613" s="35" t="str">
        <f>IF(D613="","",IF(COUNTIF(离职清单!C:C,D613)&gt;0,"已离职","在职"))</f>
        <v>在职</v>
      </c>
      <c r="P613" s="35">
        <f>IF(AND(O613="在职",J613="是"),COUNTIF(O$2:O613,"在职"),"")</f>
        <v>606</v>
      </c>
    </row>
    <row r="614" customFormat="1" ht="18" spans="1:16">
      <c r="A614" s="10">
        <f t="shared" si="12"/>
        <v>613</v>
      </c>
      <c r="B614" s="31">
        <v>46183</v>
      </c>
      <c r="C614" s="32" t="s">
        <v>756</v>
      </c>
      <c r="D614" s="120" t="s">
        <v>480</v>
      </c>
      <c r="E614" s="33" t="s">
        <v>42</v>
      </c>
      <c r="F614" s="18" t="s">
        <v>64</v>
      </c>
      <c r="G614" s="18" t="s">
        <v>148</v>
      </c>
      <c r="H614" s="34" t="s">
        <v>86</v>
      </c>
      <c r="I614" s="18" t="s">
        <v>111</v>
      </c>
      <c r="J614" s="31" t="s">
        <v>105</v>
      </c>
      <c r="K614" s="31">
        <v>46183</v>
      </c>
      <c r="L614" s="4"/>
      <c r="M614" s="4"/>
      <c r="N614" s="13" t="s">
        <v>29</v>
      </c>
      <c r="O614" s="35" t="str">
        <f>IF(D614="","",IF(COUNTIF(离职清单!C:C,D614)&gt;0,"已离职","在职"))</f>
        <v>在职</v>
      </c>
      <c r="P614" s="35" t="str">
        <f>IF(AND(O614="在职",J614="是"),COUNTIF(O$2:O614,"在职"),"")</f>
        <v/>
      </c>
    </row>
    <row r="615" customFormat="1" ht="18" spans="1:16">
      <c r="A615" s="14">
        <f t="shared" si="12"/>
        <v>614</v>
      </c>
      <c r="B615" s="31">
        <v>46183</v>
      </c>
      <c r="C615" s="32" t="s">
        <v>881</v>
      </c>
      <c r="D615" s="120" t="s">
        <v>482</v>
      </c>
      <c r="E615" s="33" t="s">
        <v>42</v>
      </c>
      <c r="F615" s="18" t="s">
        <v>64</v>
      </c>
      <c r="G615" s="18" t="s">
        <v>148</v>
      </c>
      <c r="H615" s="34" t="s">
        <v>86</v>
      </c>
      <c r="I615" s="18" t="s">
        <v>104</v>
      </c>
      <c r="J615" s="31" t="s">
        <v>114</v>
      </c>
      <c r="K615" s="31">
        <v>46183</v>
      </c>
      <c r="L615" s="4"/>
      <c r="M615" s="4"/>
      <c r="N615" s="13" t="s">
        <v>29</v>
      </c>
      <c r="O615" s="35" t="str">
        <f>IF(D615="","",IF(COUNTIF(离职清单!C:C,D615)&gt;0,"已离职","在职"))</f>
        <v>在职</v>
      </c>
      <c r="P615" s="35">
        <f>IF(AND(O615="在职",J615="是"),COUNTIF(O$2:O615,"在职"),"")</f>
        <v>608</v>
      </c>
    </row>
    <row r="616" customFormat="1" ht="18" spans="1:16">
      <c r="A616" s="10">
        <f t="shared" si="12"/>
        <v>615</v>
      </c>
      <c r="B616" s="31">
        <v>46183</v>
      </c>
      <c r="C616" s="32" t="s">
        <v>882</v>
      </c>
      <c r="D616" s="120" t="s">
        <v>484</v>
      </c>
      <c r="E616" s="33" t="s">
        <v>43</v>
      </c>
      <c r="F616" s="18" t="s">
        <v>64</v>
      </c>
      <c r="G616" s="18" t="s">
        <v>148</v>
      </c>
      <c r="H616" s="34" t="s">
        <v>86</v>
      </c>
      <c r="I616" s="18" t="s">
        <v>111</v>
      </c>
      <c r="J616" s="31" t="s">
        <v>105</v>
      </c>
      <c r="K616" s="31">
        <v>46183</v>
      </c>
      <c r="L616" s="4"/>
      <c r="M616" s="4"/>
      <c r="N616" s="13" t="s">
        <v>29</v>
      </c>
      <c r="O616" s="35" t="str">
        <f>IF(D616="","",IF(COUNTIF(离职清单!C:C,D616)&gt;0,"已离职","在职"))</f>
        <v>在职</v>
      </c>
      <c r="P616" s="35" t="str">
        <f>IF(AND(O616="在职",J616="是"),COUNTIF(O$2:O616,"在职"),"")</f>
        <v/>
      </c>
    </row>
    <row r="617" customFormat="1" ht="18" spans="1:16">
      <c r="A617" s="14">
        <f t="shared" si="12"/>
        <v>616</v>
      </c>
      <c r="B617" s="31">
        <v>46183</v>
      </c>
      <c r="C617" s="32" t="s">
        <v>883</v>
      </c>
      <c r="D617" s="120" t="s">
        <v>486</v>
      </c>
      <c r="E617" s="33" t="s">
        <v>74</v>
      </c>
      <c r="F617" s="18" t="s">
        <v>64</v>
      </c>
      <c r="G617" s="18" t="s">
        <v>179</v>
      </c>
      <c r="H617" s="34" t="s">
        <v>86</v>
      </c>
      <c r="I617" s="18" t="s">
        <v>111</v>
      </c>
      <c r="J617" s="31" t="s">
        <v>105</v>
      </c>
      <c r="K617" s="31">
        <v>46183</v>
      </c>
      <c r="L617" s="4"/>
      <c r="M617" s="4"/>
      <c r="N617" s="13" t="s">
        <v>29</v>
      </c>
      <c r="O617" s="35" t="str">
        <f>IF(D617="","",IF(COUNTIF(离职清单!C:C,D617)&gt;0,"已离职","在职"))</f>
        <v>在职</v>
      </c>
      <c r="P617" s="35" t="str">
        <f>IF(AND(O617="在职",J617="是"),COUNTIF(O$2:O617,"在职"),"")</f>
        <v/>
      </c>
    </row>
    <row r="618" customFormat="1" ht="18" spans="1:16">
      <c r="A618" s="10">
        <f t="shared" si="12"/>
        <v>617</v>
      </c>
      <c r="B618" s="31">
        <v>46183</v>
      </c>
      <c r="C618" s="32" t="s">
        <v>884</v>
      </c>
      <c r="D618" s="120" t="s">
        <v>488</v>
      </c>
      <c r="E618" s="33" t="s">
        <v>74</v>
      </c>
      <c r="F618" s="18" t="s">
        <v>64</v>
      </c>
      <c r="G618" s="18" t="s">
        <v>179</v>
      </c>
      <c r="H618" s="34" t="s">
        <v>86</v>
      </c>
      <c r="I618" s="18" t="s">
        <v>111</v>
      </c>
      <c r="J618" s="31" t="s">
        <v>105</v>
      </c>
      <c r="K618" s="31">
        <v>46183</v>
      </c>
      <c r="L618" s="4"/>
      <c r="M618" s="4"/>
      <c r="N618" s="13" t="s">
        <v>29</v>
      </c>
      <c r="O618" s="35" t="str">
        <f>IF(D618="","",IF(COUNTIF(离职清单!C:C,D618)&gt;0,"已离职","在职"))</f>
        <v>在职</v>
      </c>
      <c r="P618" s="35" t="str">
        <f>IF(AND(O618="在职",J618="是"),COUNTIF(O$2:O618,"在职"),"")</f>
        <v/>
      </c>
    </row>
    <row r="619" customFormat="1" ht="18" spans="1:16">
      <c r="A619" s="14">
        <f t="shared" si="12"/>
        <v>618</v>
      </c>
      <c r="B619" s="31">
        <v>46183</v>
      </c>
      <c r="C619" s="32" t="s">
        <v>885</v>
      </c>
      <c r="D619" s="120" t="s">
        <v>490</v>
      </c>
      <c r="E619" s="33" t="s">
        <v>42</v>
      </c>
      <c r="F619" s="18" t="s">
        <v>64</v>
      </c>
      <c r="G619" s="18" t="s">
        <v>179</v>
      </c>
      <c r="H619" s="34" t="s">
        <v>86</v>
      </c>
      <c r="I619" s="18" t="s">
        <v>111</v>
      </c>
      <c r="J619" s="31" t="s">
        <v>105</v>
      </c>
      <c r="K619" s="31">
        <v>46183</v>
      </c>
      <c r="L619" s="4"/>
      <c r="M619" s="4"/>
      <c r="N619" s="13" t="s">
        <v>29</v>
      </c>
      <c r="O619" s="35" t="str">
        <f>IF(D619="","",IF(COUNTIF(离职清单!C:C,D619)&gt;0,"已离职","在职"))</f>
        <v>在职</v>
      </c>
      <c r="P619" s="35" t="str">
        <f>IF(AND(O619="在职",J619="是"),COUNTIF(O$2:O619,"在职"),"")</f>
        <v/>
      </c>
    </row>
    <row r="620" customFormat="1" ht="18" spans="1:16">
      <c r="A620" s="10">
        <f t="shared" si="12"/>
        <v>619</v>
      </c>
      <c r="B620" s="31">
        <v>46183</v>
      </c>
      <c r="C620" s="32" t="s">
        <v>886</v>
      </c>
      <c r="D620" s="120" t="s">
        <v>492</v>
      </c>
      <c r="E620" s="33" t="s">
        <v>42</v>
      </c>
      <c r="F620" s="18" t="s">
        <v>64</v>
      </c>
      <c r="G620" s="18" t="s">
        <v>179</v>
      </c>
      <c r="H620" s="34" t="s">
        <v>86</v>
      </c>
      <c r="I620" s="18" t="s">
        <v>104</v>
      </c>
      <c r="J620" s="31" t="s">
        <v>105</v>
      </c>
      <c r="K620" s="31">
        <v>46183</v>
      </c>
      <c r="L620" s="4"/>
      <c r="M620" s="4"/>
      <c r="N620" s="13" t="s">
        <v>29</v>
      </c>
      <c r="O620" s="35" t="str">
        <f>IF(D620="","",IF(COUNTIF(离职清单!C:C,D620)&gt;0,"已离职","在职"))</f>
        <v>在职</v>
      </c>
      <c r="P620" s="35" t="str">
        <f>IF(AND(O620="在职",J620="是"),COUNTIF(O$2:O620,"在职"),"")</f>
        <v/>
      </c>
    </row>
    <row r="621" customFormat="1" ht="18" spans="1:16">
      <c r="A621" s="10">
        <f t="shared" ref="A621:A681" si="13">IF(B621&lt;&gt;"",ROW()-1,"")</f>
        <v>620</v>
      </c>
      <c r="B621" s="31">
        <v>46183</v>
      </c>
      <c r="C621" s="32" t="s">
        <v>887</v>
      </c>
      <c r="D621" s="120" t="s">
        <v>477</v>
      </c>
      <c r="E621" s="33" t="s">
        <v>74</v>
      </c>
      <c r="F621" s="18" t="s">
        <v>64</v>
      </c>
      <c r="G621" s="18" t="s">
        <v>179</v>
      </c>
      <c r="H621" s="34" t="s">
        <v>86</v>
      </c>
      <c r="I621" s="18" t="s">
        <v>111</v>
      </c>
      <c r="J621" s="31" t="s">
        <v>105</v>
      </c>
      <c r="K621" s="31">
        <v>46183</v>
      </c>
      <c r="L621" s="4"/>
      <c r="M621" s="4"/>
      <c r="N621" s="13" t="s">
        <v>29</v>
      </c>
      <c r="O621" s="35" t="str">
        <f>IF(D621="","",IF(COUNTIF(离职清单!C:C,D621)&gt;0,"已离职","在职"))</f>
        <v>在职</v>
      </c>
      <c r="P621" s="35" t="str">
        <f>IF(AND(O621="在职",J621="是"),COUNTIF(O$2:O621,"在职"),"")</f>
        <v/>
      </c>
    </row>
    <row r="622" customFormat="1" ht="18" spans="1:16">
      <c r="A622" s="14">
        <f t="shared" si="13"/>
        <v>621</v>
      </c>
      <c r="B622" s="31">
        <v>46183</v>
      </c>
      <c r="C622" s="32" t="s">
        <v>888</v>
      </c>
      <c r="D622" s="120" t="s">
        <v>477</v>
      </c>
      <c r="E622" s="33" t="s">
        <v>74</v>
      </c>
      <c r="F622" s="18" t="s">
        <v>64</v>
      </c>
      <c r="G622" s="18" t="s">
        <v>179</v>
      </c>
      <c r="H622" s="34" t="s">
        <v>86</v>
      </c>
      <c r="I622" s="18" t="s">
        <v>111</v>
      </c>
      <c r="J622" s="31" t="s">
        <v>105</v>
      </c>
      <c r="K622" s="31">
        <v>46183</v>
      </c>
      <c r="L622" s="4"/>
      <c r="M622" s="4"/>
      <c r="N622" s="13" t="s">
        <v>29</v>
      </c>
      <c r="O622" s="35" t="str">
        <f>IF(D622="","",IF(COUNTIF(离职清单!C:C,D622)&gt;0,"已离职","在职"))</f>
        <v>在职</v>
      </c>
      <c r="P622" s="35" t="str">
        <f>IF(AND(O622="在职",J622="是"),COUNTIF(O$2:O622,"在职"),"")</f>
        <v/>
      </c>
    </row>
    <row r="623" customFormat="1" ht="18" spans="1:16">
      <c r="A623" s="10">
        <f t="shared" si="13"/>
        <v>622</v>
      </c>
      <c r="B623" s="31">
        <v>46183</v>
      </c>
      <c r="C623" s="32" t="s">
        <v>889</v>
      </c>
      <c r="D623" s="120" t="s">
        <v>478</v>
      </c>
      <c r="E623" s="33" t="s">
        <v>74</v>
      </c>
      <c r="F623" s="18" t="s">
        <v>64</v>
      </c>
      <c r="G623" s="18" t="s">
        <v>179</v>
      </c>
      <c r="H623" s="34" t="s">
        <v>86</v>
      </c>
      <c r="I623" s="18" t="s">
        <v>111</v>
      </c>
      <c r="J623" s="31" t="s">
        <v>105</v>
      </c>
      <c r="K623" s="31">
        <v>46183</v>
      </c>
      <c r="L623" s="4"/>
      <c r="M623" s="4"/>
      <c r="N623" s="13" t="s">
        <v>29</v>
      </c>
      <c r="O623" s="35" t="str">
        <f>IF(D623="","",IF(COUNTIF(离职清单!C:C,D623)&gt;0,"已离职","在职"))</f>
        <v>在职</v>
      </c>
      <c r="P623" s="35" t="str">
        <f>IF(AND(O623="在职",J623="是"),COUNTIF(O$2:O623,"在职"),"")</f>
        <v/>
      </c>
    </row>
    <row r="624" customFormat="1" ht="18" spans="1:16">
      <c r="A624" s="14">
        <f t="shared" si="13"/>
        <v>623</v>
      </c>
      <c r="B624" s="31">
        <v>46183</v>
      </c>
      <c r="C624" s="32" t="s">
        <v>890</v>
      </c>
      <c r="D624" s="120" t="s">
        <v>480</v>
      </c>
      <c r="E624" s="33" t="s">
        <v>42</v>
      </c>
      <c r="F624" s="18" t="s">
        <v>64</v>
      </c>
      <c r="G624" s="18" t="s">
        <v>179</v>
      </c>
      <c r="H624" s="34" t="s">
        <v>86</v>
      </c>
      <c r="I624" s="18" t="s">
        <v>104</v>
      </c>
      <c r="J624" s="31" t="s">
        <v>114</v>
      </c>
      <c r="K624" s="31">
        <v>46183</v>
      </c>
      <c r="L624" s="4"/>
      <c r="M624" s="4"/>
      <c r="N624" s="13" t="s">
        <v>29</v>
      </c>
      <c r="O624" s="35" t="str">
        <f>IF(D624="","",IF(COUNTIF(离职清单!C:C,D624)&gt;0,"已离职","在职"))</f>
        <v>在职</v>
      </c>
      <c r="P624" s="35">
        <f>IF(AND(O624="在职",J624="是"),COUNTIF(O$2:O624,"在职"),"")</f>
        <v>617</v>
      </c>
    </row>
    <row r="625" customFormat="1" ht="18" spans="1:16">
      <c r="A625" s="10">
        <f t="shared" si="13"/>
        <v>624</v>
      </c>
      <c r="B625" s="31">
        <v>46183</v>
      </c>
      <c r="C625" s="32" t="s">
        <v>891</v>
      </c>
      <c r="D625" s="120" t="s">
        <v>482</v>
      </c>
      <c r="E625" s="33" t="s">
        <v>42</v>
      </c>
      <c r="F625" s="18" t="s">
        <v>64</v>
      </c>
      <c r="G625" s="18" t="s">
        <v>179</v>
      </c>
      <c r="H625" s="34" t="s">
        <v>86</v>
      </c>
      <c r="I625" s="18" t="s">
        <v>104</v>
      </c>
      <c r="J625" s="31" t="s">
        <v>114</v>
      </c>
      <c r="K625" s="31">
        <v>46183</v>
      </c>
      <c r="L625" s="4"/>
      <c r="M625" s="4"/>
      <c r="N625" s="13" t="s">
        <v>29</v>
      </c>
      <c r="O625" s="35" t="str">
        <f>IF(D625="","",IF(COUNTIF(离职清单!C:C,D625)&gt;0,"已离职","在职"))</f>
        <v>在职</v>
      </c>
      <c r="P625" s="35">
        <f>IF(AND(O625="在职",J625="是"),COUNTIF(O$2:O625,"在职"),"")</f>
        <v>618</v>
      </c>
    </row>
    <row r="626" customFormat="1" ht="18" spans="1:16">
      <c r="A626" s="14">
        <f t="shared" si="13"/>
        <v>625</v>
      </c>
      <c r="B626" s="31">
        <v>46183</v>
      </c>
      <c r="C626" s="32" t="s">
        <v>892</v>
      </c>
      <c r="D626" s="120" t="s">
        <v>484</v>
      </c>
      <c r="E626" s="33" t="s">
        <v>42</v>
      </c>
      <c r="F626" s="18" t="s">
        <v>64</v>
      </c>
      <c r="G626" s="18" t="s">
        <v>179</v>
      </c>
      <c r="H626" s="34" t="s">
        <v>86</v>
      </c>
      <c r="I626" s="18" t="s">
        <v>111</v>
      </c>
      <c r="J626" s="31" t="s">
        <v>105</v>
      </c>
      <c r="K626" s="31">
        <v>46183</v>
      </c>
      <c r="L626" s="4"/>
      <c r="M626" s="4"/>
      <c r="N626" s="13" t="s">
        <v>29</v>
      </c>
      <c r="O626" s="35" t="str">
        <f>IF(D626="","",IF(COUNTIF(离职清单!C:C,D626)&gt;0,"已离职","在职"))</f>
        <v>在职</v>
      </c>
      <c r="P626" s="35" t="str">
        <f>IF(AND(O626="在职",J626="是"),COUNTIF(O$2:O626,"在职"),"")</f>
        <v/>
      </c>
    </row>
    <row r="627" customFormat="1" ht="18" spans="1:16">
      <c r="A627" s="10">
        <f t="shared" si="13"/>
        <v>626</v>
      </c>
      <c r="B627" s="31">
        <v>46183</v>
      </c>
      <c r="C627" s="32" t="s">
        <v>893</v>
      </c>
      <c r="D627" s="120" t="s">
        <v>486</v>
      </c>
      <c r="E627" s="33" t="s">
        <v>42</v>
      </c>
      <c r="F627" s="18" t="s">
        <v>64</v>
      </c>
      <c r="G627" s="18" t="s">
        <v>179</v>
      </c>
      <c r="H627" s="34" t="s">
        <v>86</v>
      </c>
      <c r="I627" s="18" t="s">
        <v>104</v>
      </c>
      <c r="J627" s="31" t="s">
        <v>114</v>
      </c>
      <c r="K627" s="31">
        <v>46183</v>
      </c>
      <c r="L627" s="4"/>
      <c r="M627" s="4"/>
      <c r="N627" s="13" t="s">
        <v>29</v>
      </c>
      <c r="O627" s="35" t="str">
        <f>IF(D627="","",IF(COUNTIF(离职清单!C:C,D627)&gt;0,"已离职","在职"))</f>
        <v>在职</v>
      </c>
      <c r="P627" s="35">
        <f>IF(AND(O627="在职",J627="是"),COUNTIF(O$2:O627,"在职"),"")</f>
        <v>620</v>
      </c>
    </row>
    <row r="628" customFormat="1" ht="18" spans="1:16">
      <c r="A628" s="14">
        <f t="shared" si="13"/>
        <v>627</v>
      </c>
      <c r="B628" s="31">
        <v>46183</v>
      </c>
      <c r="C628" s="32" t="s">
        <v>768</v>
      </c>
      <c r="D628" s="120" t="s">
        <v>488</v>
      </c>
      <c r="E628" s="33" t="s">
        <v>42</v>
      </c>
      <c r="F628" s="18" t="s">
        <v>64</v>
      </c>
      <c r="G628" s="18" t="s">
        <v>179</v>
      </c>
      <c r="H628" s="34" t="s">
        <v>86</v>
      </c>
      <c r="I628" s="18" t="s">
        <v>104</v>
      </c>
      <c r="J628" s="31" t="s">
        <v>114</v>
      </c>
      <c r="K628" s="31">
        <v>46183</v>
      </c>
      <c r="L628" s="4"/>
      <c r="M628" s="4"/>
      <c r="N628" s="13" t="s">
        <v>29</v>
      </c>
      <c r="O628" s="35" t="str">
        <f>IF(D628="","",IF(COUNTIF(离职清单!C:C,D628)&gt;0,"已离职","在职"))</f>
        <v>在职</v>
      </c>
      <c r="P628" s="35">
        <f>IF(AND(O628="在职",J628="是"),COUNTIF(O$2:O628,"在职"),"")</f>
        <v>621</v>
      </c>
    </row>
    <row r="629" customFormat="1" ht="18" spans="1:16">
      <c r="A629" s="10">
        <f t="shared" si="13"/>
        <v>628</v>
      </c>
      <c r="B629" s="31">
        <v>46183</v>
      </c>
      <c r="C629" s="32" t="s">
        <v>894</v>
      </c>
      <c r="D629" s="120" t="s">
        <v>490</v>
      </c>
      <c r="E629" s="33" t="s">
        <v>74</v>
      </c>
      <c r="F629" s="18" t="s">
        <v>64</v>
      </c>
      <c r="G629" s="18" t="s">
        <v>179</v>
      </c>
      <c r="H629" s="34" t="s">
        <v>86</v>
      </c>
      <c r="I629" s="18" t="s">
        <v>111</v>
      </c>
      <c r="J629" s="31" t="s">
        <v>105</v>
      </c>
      <c r="K629" s="31">
        <v>46183</v>
      </c>
      <c r="L629" s="4"/>
      <c r="M629" s="4"/>
      <c r="N629" s="13" t="s">
        <v>29</v>
      </c>
      <c r="O629" s="35" t="str">
        <f>IF(D629="","",IF(COUNTIF(离职清单!C:C,D629)&gt;0,"已离职","在职"))</f>
        <v>在职</v>
      </c>
      <c r="P629" s="35" t="str">
        <f>IF(AND(O629="在职",J629="是"),COUNTIF(O$2:O629,"在职"),"")</f>
        <v/>
      </c>
    </row>
    <row r="630" customFormat="1" ht="18" spans="1:16">
      <c r="A630" s="14">
        <f t="shared" si="13"/>
        <v>629</v>
      </c>
      <c r="B630" s="31">
        <v>46183</v>
      </c>
      <c r="C630" s="32" t="s">
        <v>895</v>
      </c>
      <c r="D630" s="120" t="s">
        <v>492</v>
      </c>
      <c r="E630" s="33" t="s">
        <v>74</v>
      </c>
      <c r="F630" s="18" t="s">
        <v>64</v>
      </c>
      <c r="G630" s="18" t="s">
        <v>179</v>
      </c>
      <c r="H630" s="34" t="s">
        <v>86</v>
      </c>
      <c r="I630" s="18" t="s">
        <v>111</v>
      </c>
      <c r="J630" s="31" t="s">
        <v>105</v>
      </c>
      <c r="K630" s="31">
        <v>46183</v>
      </c>
      <c r="L630" s="4"/>
      <c r="M630" s="4"/>
      <c r="N630" s="13" t="s">
        <v>29</v>
      </c>
      <c r="O630" s="35" t="str">
        <f>IF(D630="","",IF(COUNTIF(离职清单!C:C,D630)&gt;0,"已离职","在职"))</f>
        <v>在职</v>
      </c>
      <c r="P630" s="35" t="str">
        <f>IF(AND(O630="在职",J630="是"),COUNTIF(O$2:O630,"在职"),"")</f>
        <v/>
      </c>
    </row>
    <row r="631" customFormat="1" ht="18" spans="1:16">
      <c r="A631" s="10">
        <f t="shared" si="13"/>
        <v>630</v>
      </c>
      <c r="B631" s="31">
        <v>46183</v>
      </c>
      <c r="C631" s="32" t="s">
        <v>896</v>
      </c>
      <c r="D631" s="120" t="s">
        <v>477</v>
      </c>
      <c r="E631" s="33" t="s">
        <v>43</v>
      </c>
      <c r="F631" s="18" t="s">
        <v>64</v>
      </c>
      <c r="G631" s="18" t="s">
        <v>179</v>
      </c>
      <c r="H631" s="34" t="s">
        <v>86</v>
      </c>
      <c r="I631" s="18" t="s">
        <v>111</v>
      </c>
      <c r="J631" s="31" t="s">
        <v>105</v>
      </c>
      <c r="K631" s="31">
        <v>46183</v>
      </c>
      <c r="L631" s="4"/>
      <c r="M631" s="4"/>
      <c r="N631" s="13" t="s">
        <v>29</v>
      </c>
      <c r="O631" s="35" t="str">
        <f>IF(D631="","",IF(COUNTIF(离职清单!C:C,D631)&gt;0,"已离职","在职"))</f>
        <v>在职</v>
      </c>
      <c r="P631" s="35" t="str">
        <f>IF(AND(O631="在职",J631="是"),COUNTIF(O$2:O631,"在职"),"")</f>
        <v/>
      </c>
    </row>
    <row r="632" customFormat="1" ht="18" spans="1:16">
      <c r="A632" s="14">
        <f t="shared" si="13"/>
        <v>631</v>
      </c>
      <c r="B632" s="31">
        <v>46183</v>
      </c>
      <c r="C632" s="32" t="s">
        <v>897</v>
      </c>
      <c r="D632" s="120" t="s">
        <v>478</v>
      </c>
      <c r="E632" s="33" t="s">
        <v>42</v>
      </c>
      <c r="F632" s="18" t="s">
        <v>64</v>
      </c>
      <c r="G632" s="18" t="s">
        <v>179</v>
      </c>
      <c r="H632" s="34" t="s">
        <v>86</v>
      </c>
      <c r="I632" s="18" t="s">
        <v>104</v>
      </c>
      <c r="J632" s="31" t="s">
        <v>114</v>
      </c>
      <c r="K632" s="31">
        <v>46183</v>
      </c>
      <c r="L632" s="4"/>
      <c r="M632" s="4"/>
      <c r="N632" s="13" t="s">
        <v>29</v>
      </c>
      <c r="O632" s="35" t="str">
        <f>IF(D632="","",IF(COUNTIF(离职清单!C:C,D632)&gt;0,"已离职","在职"))</f>
        <v>在职</v>
      </c>
      <c r="P632" s="35">
        <f>IF(AND(O632="在职",J632="是"),COUNTIF(O$2:O632,"在职"),"")</f>
        <v>625</v>
      </c>
    </row>
    <row r="633" customFormat="1" ht="18" spans="1:16">
      <c r="A633" s="10">
        <f t="shared" si="13"/>
        <v>632</v>
      </c>
      <c r="B633" s="31">
        <v>46183</v>
      </c>
      <c r="C633" s="32" t="s">
        <v>898</v>
      </c>
      <c r="D633" s="120" t="s">
        <v>480</v>
      </c>
      <c r="E633" s="33" t="s">
        <v>43</v>
      </c>
      <c r="F633" s="18" t="s">
        <v>64</v>
      </c>
      <c r="G633" s="18" t="s">
        <v>179</v>
      </c>
      <c r="H633" s="34" t="s">
        <v>86</v>
      </c>
      <c r="I633" s="18" t="s">
        <v>104</v>
      </c>
      <c r="J633" s="31" t="s">
        <v>114</v>
      </c>
      <c r="K633" s="31">
        <v>46183</v>
      </c>
      <c r="L633" s="4"/>
      <c r="M633" s="4"/>
      <c r="N633" s="13" t="s">
        <v>29</v>
      </c>
      <c r="O633" s="35" t="str">
        <f>IF(D633="","",IF(COUNTIF(离职清单!C:C,D633)&gt;0,"已离职","在职"))</f>
        <v>在职</v>
      </c>
      <c r="P633" s="35">
        <f>IF(AND(O633="在职",J633="是"),COUNTIF(O$2:O633,"在职"),"")</f>
        <v>626</v>
      </c>
    </row>
    <row r="634" customFormat="1" ht="18" spans="1:16">
      <c r="A634" s="14">
        <f t="shared" si="13"/>
        <v>633</v>
      </c>
      <c r="B634" s="31">
        <v>46183</v>
      </c>
      <c r="C634" s="32" t="s">
        <v>837</v>
      </c>
      <c r="D634" s="120" t="s">
        <v>482</v>
      </c>
      <c r="E634" s="33" t="s">
        <v>42</v>
      </c>
      <c r="F634" s="18" t="s">
        <v>64</v>
      </c>
      <c r="G634" s="18" t="s">
        <v>179</v>
      </c>
      <c r="H634" s="34" t="s">
        <v>86</v>
      </c>
      <c r="I634" s="18" t="s">
        <v>111</v>
      </c>
      <c r="J634" s="31" t="s">
        <v>105</v>
      </c>
      <c r="K634" s="31">
        <v>46183</v>
      </c>
      <c r="L634" s="4"/>
      <c r="M634" s="4"/>
      <c r="N634" s="13" t="s">
        <v>29</v>
      </c>
      <c r="O634" s="35" t="str">
        <f>IF(D634="","",IF(COUNTIF(离职清单!C:C,D634)&gt;0,"已离职","在职"))</f>
        <v>在职</v>
      </c>
      <c r="P634" s="35" t="str">
        <f>IF(AND(O634="在职",J634="是"),COUNTIF(O$2:O634,"在职"),"")</f>
        <v/>
      </c>
    </row>
    <row r="635" customFormat="1" ht="18" spans="1:16">
      <c r="A635" s="10">
        <f t="shared" si="13"/>
        <v>634</v>
      </c>
      <c r="B635" s="31">
        <v>46183</v>
      </c>
      <c r="C635" s="32" t="s">
        <v>792</v>
      </c>
      <c r="D635" s="120" t="s">
        <v>484</v>
      </c>
      <c r="E635" s="33" t="s">
        <v>74</v>
      </c>
      <c r="F635" s="18" t="s">
        <v>64</v>
      </c>
      <c r="G635" s="18" t="s">
        <v>179</v>
      </c>
      <c r="H635" s="34" t="s">
        <v>86</v>
      </c>
      <c r="I635" s="18" t="s">
        <v>104</v>
      </c>
      <c r="J635" s="31" t="s">
        <v>114</v>
      </c>
      <c r="K635" s="31">
        <v>46183</v>
      </c>
      <c r="L635" s="4"/>
      <c r="M635" s="4"/>
      <c r="N635" s="13" t="s">
        <v>29</v>
      </c>
      <c r="O635" s="35" t="str">
        <f>IF(D635="","",IF(COUNTIF(离职清单!C:C,D635)&gt;0,"已离职","在职"))</f>
        <v>在职</v>
      </c>
      <c r="P635" s="35">
        <f>IF(AND(O635="在职",J635="是"),COUNTIF(O$2:O635,"在职"),"")</f>
        <v>628</v>
      </c>
    </row>
    <row r="636" customFormat="1" ht="18" spans="1:16">
      <c r="A636" s="14">
        <f t="shared" si="13"/>
        <v>635</v>
      </c>
      <c r="B636" s="31">
        <v>46183</v>
      </c>
      <c r="C636" s="32" t="s">
        <v>899</v>
      </c>
      <c r="D636" s="120" t="s">
        <v>486</v>
      </c>
      <c r="E636" s="33" t="s">
        <v>74</v>
      </c>
      <c r="F636" s="18" t="s">
        <v>64</v>
      </c>
      <c r="G636" s="18" t="s">
        <v>179</v>
      </c>
      <c r="H636" s="34" t="s">
        <v>86</v>
      </c>
      <c r="I636" s="18" t="s">
        <v>111</v>
      </c>
      <c r="J636" s="31" t="s">
        <v>105</v>
      </c>
      <c r="K636" s="31">
        <v>46183</v>
      </c>
      <c r="L636" s="4"/>
      <c r="M636" s="4"/>
      <c r="N636" s="13" t="s">
        <v>29</v>
      </c>
      <c r="O636" s="35" t="str">
        <f>IF(D636="","",IF(COUNTIF(离职清单!C:C,D636)&gt;0,"已离职","在职"))</f>
        <v>在职</v>
      </c>
      <c r="P636" s="35" t="str">
        <f>IF(AND(O636="在职",J636="是"),COUNTIF(O$2:O636,"在职"),"")</f>
        <v/>
      </c>
    </row>
    <row r="637" customFormat="1" ht="18" spans="1:16">
      <c r="A637" s="10">
        <f t="shared" si="13"/>
        <v>636</v>
      </c>
      <c r="B637" s="31">
        <v>46183</v>
      </c>
      <c r="C637" s="32" t="s">
        <v>900</v>
      </c>
      <c r="D637" s="120" t="s">
        <v>488</v>
      </c>
      <c r="E637" s="33" t="s">
        <v>43</v>
      </c>
      <c r="F637" s="18" t="s">
        <v>63</v>
      </c>
      <c r="G637" s="18" t="s">
        <v>690</v>
      </c>
      <c r="H637" s="34" t="s">
        <v>86</v>
      </c>
      <c r="I637" s="18" t="s">
        <v>104</v>
      </c>
      <c r="J637" s="31" t="s">
        <v>114</v>
      </c>
      <c r="K637" s="31">
        <v>46183</v>
      </c>
      <c r="L637" s="4"/>
      <c r="M637" s="4"/>
      <c r="N637" s="13" t="s">
        <v>29</v>
      </c>
      <c r="O637" s="35" t="str">
        <f>IF(D637="","",IF(COUNTIF(离职清单!C:C,D637)&gt;0,"已离职","在职"))</f>
        <v>在职</v>
      </c>
      <c r="P637" s="35">
        <f>IF(AND(O637="在职",J637="是"),COUNTIF(O$2:O637,"在职"),"")</f>
        <v>630</v>
      </c>
    </row>
    <row r="638" customFormat="1" ht="18" spans="1:16">
      <c r="A638" s="14">
        <f t="shared" si="13"/>
        <v>637</v>
      </c>
      <c r="B638" s="31">
        <v>46183</v>
      </c>
      <c r="C638" s="32" t="s">
        <v>675</v>
      </c>
      <c r="D638" s="120" t="s">
        <v>490</v>
      </c>
      <c r="E638" s="33" t="s">
        <v>42</v>
      </c>
      <c r="F638" s="18" t="s">
        <v>64</v>
      </c>
      <c r="G638" s="18" t="s">
        <v>117</v>
      </c>
      <c r="H638" s="34" t="s">
        <v>86</v>
      </c>
      <c r="I638" s="18" t="s">
        <v>111</v>
      </c>
      <c r="J638" s="31" t="s">
        <v>105</v>
      </c>
      <c r="K638" s="31">
        <v>46183</v>
      </c>
      <c r="L638" s="4"/>
      <c r="M638" s="4"/>
      <c r="N638" s="13" t="s">
        <v>29</v>
      </c>
      <c r="O638" s="35" t="str">
        <f>IF(D638="","",IF(COUNTIF(离职清单!C:C,D638)&gt;0,"已离职","在职"))</f>
        <v>在职</v>
      </c>
      <c r="P638" s="35" t="str">
        <f>IF(AND(O638="在职",J638="是"),COUNTIF(O$2:O638,"在职"),"")</f>
        <v/>
      </c>
    </row>
    <row r="639" customFormat="1" ht="18" spans="1:16">
      <c r="A639" s="10">
        <f t="shared" si="13"/>
        <v>638</v>
      </c>
      <c r="B639" s="31">
        <v>46183</v>
      </c>
      <c r="C639" s="32" t="s">
        <v>901</v>
      </c>
      <c r="D639" s="120" t="s">
        <v>492</v>
      </c>
      <c r="E639" s="33" t="s">
        <v>74</v>
      </c>
      <c r="F639" s="18" t="s">
        <v>64</v>
      </c>
      <c r="G639" s="18" t="s">
        <v>426</v>
      </c>
      <c r="H639" s="34" t="s">
        <v>86</v>
      </c>
      <c r="I639" s="18" t="s">
        <v>111</v>
      </c>
      <c r="J639" s="31" t="s">
        <v>105</v>
      </c>
      <c r="K639" s="31">
        <v>46183</v>
      </c>
      <c r="L639" s="4"/>
      <c r="M639" s="4"/>
      <c r="N639" s="13" t="s">
        <v>29</v>
      </c>
      <c r="O639" s="35" t="str">
        <f>IF(D639="","",IF(COUNTIF(离职清单!C:C,D639)&gt;0,"已离职","在职"))</f>
        <v>在职</v>
      </c>
      <c r="P639" s="35" t="str">
        <f>IF(AND(O639="在职",J639="是"),COUNTIF(O$2:O639,"在职"),"")</f>
        <v/>
      </c>
    </row>
    <row r="640" customFormat="1" ht="18" spans="1:16">
      <c r="A640" s="14">
        <f t="shared" si="13"/>
        <v>639</v>
      </c>
      <c r="B640" s="31">
        <v>46183</v>
      </c>
      <c r="C640" s="32" t="s">
        <v>902</v>
      </c>
      <c r="D640" s="120" t="s">
        <v>477</v>
      </c>
      <c r="E640" s="33" t="s">
        <v>74</v>
      </c>
      <c r="F640" s="18" t="s">
        <v>64</v>
      </c>
      <c r="G640" s="18" t="s">
        <v>426</v>
      </c>
      <c r="H640" s="34" t="s">
        <v>86</v>
      </c>
      <c r="I640" s="18" t="s">
        <v>111</v>
      </c>
      <c r="J640" s="31" t="s">
        <v>105</v>
      </c>
      <c r="K640" s="31">
        <v>46183</v>
      </c>
      <c r="L640" s="4"/>
      <c r="M640" s="4"/>
      <c r="N640" s="13" t="s">
        <v>29</v>
      </c>
      <c r="O640" s="35" t="str">
        <f>IF(D640="","",IF(COUNTIF(离职清单!C:C,D640)&gt;0,"已离职","在职"))</f>
        <v>在职</v>
      </c>
      <c r="P640" s="35" t="str">
        <f>IF(AND(O640="在职",J640="是"),COUNTIF(O$2:O640,"在职"),"")</f>
        <v/>
      </c>
    </row>
    <row r="641" customFormat="1" ht="18" spans="1:16">
      <c r="A641" s="10">
        <f t="shared" si="13"/>
        <v>640</v>
      </c>
      <c r="B641" s="31">
        <v>46183</v>
      </c>
      <c r="C641" s="32" t="s">
        <v>903</v>
      </c>
      <c r="D641" s="120" t="s">
        <v>478</v>
      </c>
      <c r="E641" s="33" t="s">
        <v>43</v>
      </c>
      <c r="F641" s="18" t="s">
        <v>62</v>
      </c>
      <c r="G641" s="18" t="s">
        <v>233</v>
      </c>
      <c r="H641" s="34" t="s">
        <v>86</v>
      </c>
      <c r="I641" s="18" t="s">
        <v>104</v>
      </c>
      <c r="J641" s="31" t="s">
        <v>114</v>
      </c>
      <c r="K641" s="31">
        <v>46183</v>
      </c>
      <c r="L641" s="4"/>
      <c r="M641" s="4"/>
      <c r="N641" s="13" t="s">
        <v>29</v>
      </c>
      <c r="O641" s="35" t="str">
        <f>IF(D641="","",IF(COUNTIF(离职清单!C:C,D641)&gt;0,"已离职","在职"))</f>
        <v>在职</v>
      </c>
      <c r="P641" s="35">
        <f>IF(AND(O641="在职",J641="是"),COUNTIF(O$2:O641,"在职"),"")</f>
        <v>634</v>
      </c>
    </row>
    <row r="642" customFormat="1" ht="18" spans="1:16">
      <c r="A642" s="14">
        <f t="shared" si="13"/>
        <v>641</v>
      </c>
      <c r="B642" s="31">
        <v>46183</v>
      </c>
      <c r="C642" s="32" t="s">
        <v>904</v>
      </c>
      <c r="D642" s="120" t="s">
        <v>480</v>
      </c>
      <c r="E642" s="33" t="s">
        <v>43</v>
      </c>
      <c r="F642" s="18" t="s">
        <v>64</v>
      </c>
      <c r="G642" s="18" t="s">
        <v>509</v>
      </c>
      <c r="H642" s="34" t="s">
        <v>86</v>
      </c>
      <c r="I642" s="18" t="s">
        <v>104</v>
      </c>
      <c r="J642" s="31" t="s">
        <v>114</v>
      </c>
      <c r="K642" s="31">
        <v>46183</v>
      </c>
      <c r="L642" s="4"/>
      <c r="M642" s="4"/>
      <c r="N642" s="13" t="s">
        <v>29</v>
      </c>
      <c r="O642" s="35" t="str">
        <f>IF(D642="","",IF(COUNTIF(离职清单!C:C,D642)&gt;0,"已离职","在职"))</f>
        <v>在职</v>
      </c>
      <c r="P642" s="35">
        <f>IF(AND(O642="在职",J642="是"),COUNTIF(O$2:O642,"在职"),"")</f>
        <v>635</v>
      </c>
    </row>
    <row r="643" customFormat="1" ht="18" spans="1:16">
      <c r="A643" s="10">
        <f t="shared" si="13"/>
        <v>642</v>
      </c>
      <c r="B643" s="31">
        <v>46183</v>
      </c>
      <c r="C643" s="32" t="s">
        <v>905</v>
      </c>
      <c r="D643" s="120" t="s">
        <v>482</v>
      </c>
      <c r="E643" s="33" t="s">
        <v>74</v>
      </c>
      <c r="F643" s="18" t="s">
        <v>64</v>
      </c>
      <c r="G643" s="18" t="s">
        <v>906</v>
      </c>
      <c r="H643" s="34" t="s">
        <v>86</v>
      </c>
      <c r="I643" s="18" t="s">
        <v>104</v>
      </c>
      <c r="J643" s="31" t="s">
        <v>114</v>
      </c>
      <c r="K643" s="31">
        <v>46183</v>
      </c>
      <c r="L643" s="4"/>
      <c r="M643" s="4"/>
      <c r="N643" s="13" t="s">
        <v>29</v>
      </c>
      <c r="O643" s="35" t="str">
        <f>IF(D643="","",IF(COUNTIF(离职清单!C:C,D643)&gt;0,"已离职","在职"))</f>
        <v>在职</v>
      </c>
      <c r="P643" s="35">
        <f>IF(AND(O643="在职",J643="是"),COUNTIF(O$2:O643,"在职"),"")</f>
        <v>636</v>
      </c>
    </row>
    <row r="644" customFormat="1" ht="18" spans="1:16">
      <c r="A644" s="14">
        <f t="shared" si="13"/>
        <v>643</v>
      </c>
      <c r="B644" s="31">
        <v>46183</v>
      </c>
      <c r="C644" s="32" t="s">
        <v>907</v>
      </c>
      <c r="D644" s="120" t="s">
        <v>484</v>
      </c>
      <c r="E644" s="33" t="s">
        <v>74</v>
      </c>
      <c r="F644" s="18" t="s">
        <v>64</v>
      </c>
      <c r="G644" s="18" t="s">
        <v>906</v>
      </c>
      <c r="H644" s="34" t="s">
        <v>86</v>
      </c>
      <c r="I644" s="18" t="s">
        <v>111</v>
      </c>
      <c r="J644" s="31" t="s">
        <v>105</v>
      </c>
      <c r="K644" s="31">
        <v>46183</v>
      </c>
      <c r="L644" s="4"/>
      <c r="M644" s="4"/>
      <c r="N644" s="13" t="s">
        <v>29</v>
      </c>
      <c r="O644" s="35" t="str">
        <f>IF(D644="","",IF(COUNTIF(离职清单!C:C,D644)&gt;0,"已离职","在职"))</f>
        <v>在职</v>
      </c>
      <c r="P644" s="35" t="str">
        <f>IF(AND(O644="在职",J644="是"),COUNTIF(O$2:O644,"在职"),"")</f>
        <v/>
      </c>
    </row>
    <row r="645" customFormat="1" ht="18" spans="1:16">
      <c r="A645" s="10">
        <f t="shared" si="13"/>
        <v>644</v>
      </c>
      <c r="B645" s="31">
        <v>46183</v>
      </c>
      <c r="C645" s="32" t="s">
        <v>908</v>
      </c>
      <c r="D645" s="120" t="s">
        <v>486</v>
      </c>
      <c r="E645" s="33" t="s">
        <v>74</v>
      </c>
      <c r="F645" s="18" t="s">
        <v>64</v>
      </c>
      <c r="G645" s="18" t="s">
        <v>906</v>
      </c>
      <c r="H645" s="34" t="s">
        <v>86</v>
      </c>
      <c r="I645" s="18" t="s">
        <v>111</v>
      </c>
      <c r="J645" s="31" t="s">
        <v>105</v>
      </c>
      <c r="K645" s="31">
        <v>46183</v>
      </c>
      <c r="L645" s="4"/>
      <c r="M645" s="4"/>
      <c r="N645" s="13" t="s">
        <v>29</v>
      </c>
      <c r="O645" s="35" t="str">
        <f>IF(D645="","",IF(COUNTIF(离职清单!C:C,D645)&gt;0,"已离职","在职"))</f>
        <v>在职</v>
      </c>
      <c r="P645" s="35" t="str">
        <f>IF(AND(O645="在职",J645="是"),COUNTIF(O$2:O645,"在职"),"")</f>
        <v/>
      </c>
    </row>
    <row r="646" customFormat="1" ht="18" spans="1:16">
      <c r="A646" s="14">
        <f t="shared" si="13"/>
        <v>645</v>
      </c>
      <c r="B646" s="31">
        <v>46183</v>
      </c>
      <c r="C646" s="32" t="s">
        <v>909</v>
      </c>
      <c r="D646" s="120" t="s">
        <v>488</v>
      </c>
      <c r="E646" s="33" t="s">
        <v>74</v>
      </c>
      <c r="F646" s="18" t="s">
        <v>64</v>
      </c>
      <c r="G646" s="18" t="s">
        <v>906</v>
      </c>
      <c r="H646" s="34" t="s">
        <v>86</v>
      </c>
      <c r="I646" s="18" t="s">
        <v>111</v>
      </c>
      <c r="J646" s="31" t="s">
        <v>105</v>
      </c>
      <c r="K646" s="31">
        <v>46183</v>
      </c>
      <c r="L646" s="4"/>
      <c r="M646" s="4"/>
      <c r="N646" s="13" t="s">
        <v>29</v>
      </c>
      <c r="O646" s="35" t="str">
        <f>IF(D646="","",IF(COUNTIF(离职清单!C:C,D646)&gt;0,"已离职","在职"))</f>
        <v>在职</v>
      </c>
      <c r="P646" s="35" t="str">
        <f>IF(AND(O646="在职",J646="是"),COUNTIF(O$2:O646,"在职"),"")</f>
        <v/>
      </c>
    </row>
    <row r="647" customFormat="1" ht="18" spans="1:16">
      <c r="A647" s="10">
        <f t="shared" si="13"/>
        <v>646</v>
      </c>
      <c r="B647" s="31">
        <v>46183</v>
      </c>
      <c r="C647" s="32" t="s">
        <v>910</v>
      </c>
      <c r="D647" s="120" t="s">
        <v>490</v>
      </c>
      <c r="E647" s="33" t="s">
        <v>74</v>
      </c>
      <c r="F647" s="18" t="s">
        <v>64</v>
      </c>
      <c r="G647" s="18" t="s">
        <v>906</v>
      </c>
      <c r="H647" s="34" t="s">
        <v>86</v>
      </c>
      <c r="I647" s="18" t="s">
        <v>111</v>
      </c>
      <c r="J647" s="31" t="s">
        <v>105</v>
      </c>
      <c r="K647" s="31">
        <v>46183</v>
      </c>
      <c r="L647" s="4"/>
      <c r="M647" s="4"/>
      <c r="N647" s="13" t="s">
        <v>29</v>
      </c>
      <c r="O647" s="35" t="str">
        <f>IF(D647="","",IF(COUNTIF(离职清单!C:C,D647)&gt;0,"已离职","在职"))</f>
        <v>在职</v>
      </c>
      <c r="P647" s="35" t="str">
        <f>IF(AND(O647="在职",J647="是"),COUNTIF(O$2:O647,"在职"),"")</f>
        <v/>
      </c>
    </row>
    <row r="648" customFormat="1" ht="18" spans="1:16">
      <c r="A648" s="14">
        <f t="shared" si="13"/>
        <v>647</v>
      </c>
      <c r="B648" s="31">
        <v>46183</v>
      </c>
      <c r="C648" s="32" t="s">
        <v>911</v>
      </c>
      <c r="D648" s="120" t="s">
        <v>492</v>
      </c>
      <c r="E648" s="33" t="s">
        <v>74</v>
      </c>
      <c r="F648" s="18" t="s">
        <v>64</v>
      </c>
      <c r="G648" s="18" t="s">
        <v>906</v>
      </c>
      <c r="H648" s="34" t="s">
        <v>86</v>
      </c>
      <c r="I648" s="18" t="s">
        <v>111</v>
      </c>
      <c r="J648" s="31" t="s">
        <v>105</v>
      </c>
      <c r="K648" s="31">
        <v>46183</v>
      </c>
      <c r="L648" s="4"/>
      <c r="M648" s="4"/>
      <c r="N648" s="13" t="s">
        <v>29</v>
      </c>
      <c r="O648" s="35" t="str">
        <f>IF(D648="","",IF(COUNTIF(离职清单!C:C,D648)&gt;0,"已离职","在职"))</f>
        <v>在职</v>
      </c>
      <c r="P648" s="35" t="str">
        <f>IF(AND(O648="在职",J648="是"),COUNTIF(O$2:O648,"在职"),"")</f>
        <v/>
      </c>
    </row>
    <row r="649" customFormat="1" ht="18" spans="1:16">
      <c r="A649" s="10">
        <f t="shared" si="13"/>
        <v>648</v>
      </c>
      <c r="B649" s="31">
        <v>46183</v>
      </c>
      <c r="C649" s="32" t="s">
        <v>912</v>
      </c>
      <c r="D649" s="120" t="s">
        <v>477</v>
      </c>
      <c r="E649" s="33" t="s">
        <v>74</v>
      </c>
      <c r="F649" s="18" t="s">
        <v>64</v>
      </c>
      <c r="G649" s="18" t="s">
        <v>906</v>
      </c>
      <c r="H649" s="34" t="s">
        <v>86</v>
      </c>
      <c r="I649" s="18" t="s">
        <v>111</v>
      </c>
      <c r="J649" s="31" t="s">
        <v>105</v>
      </c>
      <c r="K649" s="31">
        <v>46183</v>
      </c>
      <c r="L649" s="4"/>
      <c r="M649" s="4"/>
      <c r="N649" s="13" t="s">
        <v>29</v>
      </c>
      <c r="O649" s="35" t="str">
        <f>IF(D649="","",IF(COUNTIF(离职清单!C:C,D649)&gt;0,"已离职","在职"))</f>
        <v>在职</v>
      </c>
      <c r="P649" s="35" t="str">
        <f>IF(AND(O649="在职",J649="是"),COUNTIF(O$2:O649,"在职"),"")</f>
        <v/>
      </c>
    </row>
    <row r="650" customFormat="1" ht="18" spans="1:16">
      <c r="A650" s="14">
        <f t="shared" si="13"/>
        <v>649</v>
      </c>
      <c r="B650" s="31">
        <v>46183</v>
      </c>
      <c r="C650" s="32" t="s">
        <v>913</v>
      </c>
      <c r="D650" s="120" t="s">
        <v>478</v>
      </c>
      <c r="E650" s="33" t="s">
        <v>74</v>
      </c>
      <c r="F650" s="18" t="s">
        <v>190</v>
      </c>
      <c r="G650" s="18" t="s">
        <v>135</v>
      </c>
      <c r="H650" s="34" t="s">
        <v>86</v>
      </c>
      <c r="I650" s="18" t="s">
        <v>104</v>
      </c>
      <c r="J650" s="31" t="s">
        <v>114</v>
      </c>
      <c r="K650" s="31">
        <v>46183</v>
      </c>
      <c r="L650" s="4"/>
      <c r="M650" s="4"/>
      <c r="N650" s="13" t="s">
        <v>29</v>
      </c>
      <c r="O650" s="35" t="str">
        <f>IF(D650="","",IF(COUNTIF(离职清单!C:C,D650)&gt;0,"已离职","在职"))</f>
        <v>在职</v>
      </c>
      <c r="P650" s="35">
        <f>IF(AND(O650="在职",J650="是"),COUNTIF(O$2:O650,"在职"),"")</f>
        <v>643</v>
      </c>
    </row>
    <row r="651" customFormat="1" ht="18" spans="1:16">
      <c r="A651" s="10">
        <f t="shared" si="13"/>
        <v>650</v>
      </c>
      <c r="B651" s="31">
        <v>46183</v>
      </c>
      <c r="C651" s="32" t="s">
        <v>914</v>
      </c>
      <c r="D651" s="120" t="s">
        <v>480</v>
      </c>
      <c r="E651" s="33" t="s">
        <v>43</v>
      </c>
      <c r="F651" s="18" t="s">
        <v>64</v>
      </c>
      <c r="G651" s="18" t="s">
        <v>148</v>
      </c>
      <c r="H651" s="34" t="s">
        <v>86</v>
      </c>
      <c r="I651" s="18" t="s">
        <v>104</v>
      </c>
      <c r="J651" s="31" t="s">
        <v>105</v>
      </c>
      <c r="K651" s="31">
        <v>46183</v>
      </c>
      <c r="L651" s="4"/>
      <c r="M651" s="4"/>
      <c r="N651" s="13" t="s">
        <v>29</v>
      </c>
      <c r="O651" s="35" t="str">
        <f>IF(D651="","",IF(COUNTIF(离职清单!C:C,D651)&gt;0,"已离职","在职"))</f>
        <v>在职</v>
      </c>
      <c r="P651" s="35" t="str">
        <f>IF(AND(O651="在职",J651="是"),COUNTIF(O$2:O651,"在职"),"")</f>
        <v/>
      </c>
    </row>
    <row r="652" customFormat="1" ht="18" spans="1:16">
      <c r="A652" s="10">
        <f t="shared" si="13"/>
        <v>651</v>
      </c>
      <c r="B652" s="31">
        <v>46183</v>
      </c>
      <c r="C652" s="32" t="s">
        <v>915</v>
      </c>
      <c r="D652" s="120" t="s">
        <v>482</v>
      </c>
      <c r="E652" s="33" t="s">
        <v>42</v>
      </c>
      <c r="F652" s="18" t="s">
        <v>63</v>
      </c>
      <c r="G652" s="18" t="s">
        <v>173</v>
      </c>
      <c r="H652" s="34" t="s">
        <v>86</v>
      </c>
      <c r="I652" s="18" t="s">
        <v>104</v>
      </c>
      <c r="J652" s="31" t="s">
        <v>114</v>
      </c>
      <c r="K652" s="31">
        <v>46183</v>
      </c>
      <c r="L652" s="4"/>
      <c r="M652" s="4"/>
      <c r="N652" s="13" t="s">
        <v>29</v>
      </c>
      <c r="O652" s="35" t="str">
        <f>IF(D652="","",IF(COUNTIF(离职清单!C:C,D652)&gt;0,"已离职","在职"))</f>
        <v>在职</v>
      </c>
      <c r="P652" s="35">
        <f>IF(AND(O652="在职",J652="是"),COUNTIF(O$2:O652,"在职"),"")</f>
        <v>645</v>
      </c>
    </row>
    <row r="653" customFormat="1" ht="18" spans="1:16">
      <c r="A653" s="14">
        <f t="shared" si="13"/>
        <v>652</v>
      </c>
      <c r="B653" s="31">
        <v>46184</v>
      </c>
      <c r="C653" s="32" t="s">
        <v>916</v>
      </c>
      <c r="D653" s="120" t="s">
        <v>484</v>
      </c>
      <c r="E653" s="33" t="s">
        <v>73</v>
      </c>
      <c r="F653" s="18" t="s">
        <v>63</v>
      </c>
      <c r="G653" s="18" t="s">
        <v>129</v>
      </c>
      <c r="H653" s="34" t="s">
        <v>86</v>
      </c>
      <c r="I653" s="18" t="s">
        <v>104</v>
      </c>
      <c r="J653" s="31" t="s">
        <v>114</v>
      </c>
      <c r="K653" s="31">
        <v>46184</v>
      </c>
      <c r="L653" s="4"/>
      <c r="M653" s="4"/>
      <c r="N653" s="13" t="s">
        <v>29</v>
      </c>
      <c r="O653" s="35" t="str">
        <f>IF(D653="","",IF(COUNTIF(离职清单!C:C,D653)&gt;0,"已离职","在职"))</f>
        <v>在职</v>
      </c>
      <c r="P653" s="35">
        <f>IF(AND(O653="在职",J653="是"),COUNTIF(O$2:O653,"在职"),"")</f>
        <v>646</v>
      </c>
    </row>
    <row r="654" customFormat="1" ht="18" spans="1:16">
      <c r="A654" s="10">
        <f t="shared" si="13"/>
        <v>653</v>
      </c>
      <c r="B654" s="31">
        <v>46184</v>
      </c>
      <c r="C654" s="32" t="s">
        <v>917</v>
      </c>
      <c r="D654" s="120" t="s">
        <v>486</v>
      </c>
      <c r="E654" s="33" t="s">
        <v>42</v>
      </c>
      <c r="F654" s="18" t="s">
        <v>64</v>
      </c>
      <c r="G654" s="18" t="s">
        <v>690</v>
      </c>
      <c r="H654" s="34" t="s">
        <v>86</v>
      </c>
      <c r="I654" s="18" t="s">
        <v>111</v>
      </c>
      <c r="J654" s="31" t="s">
        <v>105</v>
      </c>
      <c r="K654" s="31">
        <v>46184</v>
      </c>
      <c r="L654" s="4"/>
      <c r="M654" s="4"/>
      <c r="N654" s="13" t="s">
        <v>29</v>
      </c>
      <c r="O654" s="35" t="str">
        <f>IF(D654="","",IF(COUNTIF(离职清单!C:C,D654)&gt;0,"已离职","在职"))</f>
        <v>在职</v>
      </c>
      <c r="P654" s="35" t="str">
        <f>IF(AND(O654="在职",J654="是"),COUNTIF(O$2:O654,"在职"),"")</f>
        <v/>
      </c>
    </row>
    <row r="655" customFormat="1" ht="18" spans="1:16">
      <c r="A655" s="14">
        <f t="shared" si="13"/>
        <v>654</v>
      </c>
      <c r="B655" s="31">
        <v>46184</v>
      </c>
      <c r="C655" s="32" t="s">
        <v>756</v>
      </c>
      <c r="D655" s="120" t="s">
        <v>488</v>
      </c>
      <c r="E655" s="33" t="s">
        <v>42</v>
      </c>
      <c r="F655" s="18" t="s">
        <v>64</v>
      </c>
      <c r="G655" s="18" t="s">
        <v>148</v>
      </c>
      <c r="H655" s="34" t="s">
        <v>86</v>
      </c>
      <c r="I655" s="18" t="s">
        <v>111</v>
      </c>
      <c r="J655" s="31" t="s">
        <v>105</v>
      </c>
      <c r="K655" s="31">
        <v>46184</v>
      </c>
      <c r="L655" s="4"/>
      <c r="M655" s="4"/>
      <c r="N655" s="13" t="s">
        <v>29</v>
      </c>
      <c r="O655" s="35" t="str">
        <f>IF(D655="","",IF(COUNTIF(离职清单!C:C,D655)&gt;0,"已离职","在职"))</f>
        <v>在职</v>
      </c>
      <c r="P655" s="35" t="str">
        <f>IF(AND(O655="在职",J655="是"),COUNTIF(O$2:O655,"在职"),"")</f>
        <v/>
      </c>
    </row>
    <row r="656" customFormat="1" ht="18" spans="1:16">
      <c r="A656" s="10">
        <f t="shared" si="13"/>
        <v>655</v>
      </c>
      <c r="B656" s="31">
        <v>46184</v>
      </c>
      <c r="C656" s="32" t="s">
        <v>817</v>
      </c>
      <c r="D656" s="120" t="s">
        <v>490</v>
      </c>
      <c r="E656" s="33" t="s">
        <v>42</v>
      </c>
      <c r="F656" s="18" t="s">
        <v>64</v>
      </c>
      <c r="G656" s="18" t="s">
        <v>148</v>
      </c>
      <c r="H656" s="34" t="s">
        <v>86</v>
      </c>
      <c r="I656" s="18" t="s">
        <v>104</v>
      </c>
      <c r="J656" s="31" t="s">
        <v>114</v>
      </c>
      <c r="K656" s="31">
        <v>46184</v>
      </c>
      <c r="L656" s="4"/>
      <c r="M656" s="4"/>
      <c r="N656" s="13" t="s">
        <v>29</v>
      </c>
      <c r="O656" s="35" t="str">
        <f>IF(D656="","",IF(COUNTIF(离职清单!C:C,D656)&gt;0,"已离职","在职"))</f>
        <v>在职</v>
      </c>
      <c r="P656" s="35">
        <f>IF(AND(O656="在职",J656="是"),COUNTIF(O$2:O656,"在职"),"")</f>
        <v>649</v>
      </c>
    </row>
    <row r="657" customFormat="1" ht="18" spans="1:16">
      <c r="A657" s="14">
        <f t="shared" si="13"/>
        <v>656</v>
      </c>
      <c r="B657" s="31">
        <v>46184</v>
      </c>
      <c r="C657" s="32" t="s">
        <v>859</v>
      </c>
      <c r="D657" s="120" t="s">
        <v>492</v>
      </c>
      <c r="E657" s="33" t="s">
        <v>42</v>
      </c>
      <c r="F657" s="18" t="s">
        <v>64</v>
      </c>
      <c r="G657" s="18" t="s">
        <v>148</v>
      </c>
      <c r="H657" s="34" t="s">
        <v>86</v>
      </c>
      <c r="I657" s="18" t="s">
        <v>104</v>
      </c>
      <c r="J657" s="31" t="s">
        <v>114</v>
      </c>
      <c r="K657" s="31">
        <v>46184</v>
      </c>
      <c r="L657" s="4"/>
      <c r="M657" s="4"/>
      <c r="N657" s="13" t="s">
        <v>29</v>
      </c>
      <c r="O657" s="35" t="str">
        <f>IF(D657="","",IF(COUNTIF(离职清单!C:C,D657)&gt;0,"已离职","在职"))</f>
        <v>在职</v>
      </c>
      <c r="P657" s="35">
        <f>IF(AND(O657="在职",J657="是"),COUNTIF(O$2:O657,"在职"),"")</f>
        <v>650</v>
      </c>
    </row>
    <row r="658" customFormat="1" ht="18" spans="1:16">
      <c r="A658" s="10">
        <f t="shared" si="13"/>
        <v>657</v>
      </c>
      <c r="B658" s="31">
        <v>46184</v>
      </c>
      <c r="C658" s="32" t="s">
        <v>918</v>
      </c>
      <c r="D658" s="120" t="s">
        <v>477</v>
      </c>
      <c r="E658" s="33" t="s">
        <v>42</v>
      </c>
      <c r="F658" s="18" t="s">
        <v>64</v>
      </c>
      <c r="G658" s="18" t="s">
        <v>148</v>
      </c>
      <c r="H658" s="34" t="s">
        <v>86</v>
      </c>
      <c r="I658" s="18" t="s">
        <v>111</v>
      </c>
      <c r="J658" s="31" t="s">
        <v>105</v>
      </c>
      <c r="K658" s="31">
        <v>46184</v>
      </c>
      <c r="L658" s="4"/>
      <c r="M658" s="4"/>
      <c r="N658" s="13" t="s">
        <v>29</v>
      </c>
      <c r="O658" s="35" t="str">
        <f>IF(D658="","",IF(COUNTIF(离职清单!C:C,D658)&gt;0,"已离职","在职"))</f>
        <v>在职</v>
      </c>
      <c r="P658" s="35" t="str">
        <f>IF(AND(O658="在职",J658="是"),COUNTIF(O$2:O658,"在职"),"")</f>
        <v/>
      </c>
    </row>
    <row r="659" customFormat="1" ht="18" spans="1:16">
      <c r="A659" s="14">
        <f t="shared" si="13"/>
        <v>658</v>
      </c>
      <c r="B659" s="31">
        <v>46184</v>
      </c>
      <c r="C659" s="32" t="s">
        <v>919</v>
      </c>
      <c r="D659" s="120" t="s">
        <v>478</v>
      </c>
      <c r="E659" s="33" t="s">
        <v>43</v>
      </c>
      <c r="F659" s="18" t="s">
        <v>64</v>
      </c>
      <c r="G659" s="18" t="s">
        <v>148</v>
      </c>
      <c r="H659" s="34" t="s">
        <v>86</v>
      </c>
      <c r="I659" s="18" t="s">
        <v>104</v>
      </c>
      <c r="J659" s="31" t="s">
        <v>114</v>
      </c>
      <c r="K659" s="31">
        <v>46184</v>
      </c>
      <c r="L659" s="4"/>
      <c r="M659" s="4"/>
      <c r="N659" s="13" t="s">
        <v>29</v>
      </c>
      <c r="O659" s="35" t="str">
        <f>IF(D659="","",IF(COUNTIF(离职清单!C:C,D659)&gt;0,"已离职","在职"))</f>
        <v>在职</v>
      </c>
      <c r="P659" s="35">
        <f>IF(AND(O659="在职",J659="是"),COUNTIF(O$2:O659,"在职"),"")</f>
        <v>652</v>
      </c>
    </row>
    <row r="660" customFormat="1" ht="18" spans="1:16">
      <c r="A660" s="10">
        <f t="shared" si="13"/>
        <v>659</v>
      </c>
      <c r="B660" s="31">
        <v>46184</v>
      </c>
      <c r="C660" s="32" t="s">
        <v>863</v>
      </c>
      <c r="D660" s="120" t="s">
        <v>480</v>
      </c>
      <c r="E660" s="33" t="s">
        <v>42</v>
      </c>
      <c r="F660" s="18" t="s">
        <v>64</v>
      </c>
      <c r="G660" s="18" t="s">
        <v>148</v>
      </c>
      <c r="H660" s="34" t="s">
        <v>86</v>
      </c>
      <c r="I660" s="18" t="s">
        <v>104</v>
      </c>
      <c r="J660" s="31" t="s">
        <v>114</v>
      </c>
      <c r="K660" s="31">
        <v>46184</v>
      </c>
      <c r="L660" s="4"/>
      <c r="M660" s="4"/>
      <c r="N660" s="13" t="s">
        <v>29</v>
      </c>
      <c r="O660" s="35" t="str">
        <f>IF(D660="","",IF(COUNTIF(离职清单!C:C,D660)&gt;0,"已离职","在职"))</f>
        <v>在职</v>
      </c>
      <c r="P660" s="35">
        <f>IF(AND(O660="在职",J660="是"),COUNTIF(O$2:O660,"在职"),"")</f>
        <v>653</v>
      </c>
    </row>
    <row r="661" customFormat="1" ht="18" spans="1:16">
      <c r="A661" s="14">
        <f t="shared" si="13"/>
        <v>660</v>
      </c>
      <c r="B661" s="31">
        <v>46184</v>
      </c>
      <c r="C661" s="32" t="s">
        <v>920</v>
      </c>
      <c r="D661" s="120" t="s">
        <v>482</v>
      </c>
      <c r="E661" s="33" t="s">
        <v>42</v>
      </c>
      <c r="F661" s="18" t="s">
        <v>64</v>
      </c>
      <c r="G661" s="18" t="s">
        <v>148</v>
      </c>
      <c r="H661" s="34" t="s">
        <v>86</v>
      </c>
      <c r="I661" s="18" t="s">
        <v>111</v>
      </c>
      <c r="J661" s="31" t="s">
        <v>105</v>
      </c>
      <c r="K661" s="31">
        <v>46184</v>
      </c>
      <c r="L661" s="4"/>
      <c r="M661" s="4"/>
      <c r="N661" s="13" t="s">
        <v>29</v>
      </c>
      <c r="O661" s="35" t="str">
        <f>IF(D661="","",IF(COUNTIF(离职清单!C:C,D661)&gt;0,"已离职","在职"))</f>
        <v>在职</v>
      </c>
      <c r="P661" s="35" t="str">
        <f>IF(AND(O661="在职",J661="是"),COUNTIF(O$2:O661,"在职"),"")</f>
        <v/>
      </c>
    </row>
    <row r="662" customFormat="1" ht="18" spans="1:16">
      <c r="A662" s="14">
        <f t="shared" si="13"/>
        <v>661</v>
      </c>
      <c r="B662" s="31">
        <v>46184</v>
      </c>
      <c r="C662" s="32" t="s">
        <v>864</v>
      </c>
      <c r="D662" s="120" t="s">
        <v>484</v>
      </c>
      <c r="E662" s="33" t="s">
        <v>42</v>
      </c>
      <c r="F662" s="18" t="s">
        <v>64</v>
      </c>
      <c r="G662" s="18" t="s">
        <v>148</v>
      </c>
      <c r="H662" s="34" t="s">
        <v>86</v>
      </c>
      <c r="I662" s="18" t="s">
        <v>111</v>
      </c>
      <c r="J662" s="31" t="s">
        <v>105</v>
      </c>
      <c r="K662" s="31">
        <v>46184</v>
      </c>
      <c r="L662" s="4"/>
      <c r="M662" s="4"/>
      <c r="N662" s="13" t="s">
        <v>29</v>
      </c>
      <c r="O662" s="35" t="str">
        <f>IF(D662="","",IF(COUNTIF(离职清单!C:C,D662)&gt;0,"已离职","在职"))</f>
        <v>在职</v>
      </c>
      <c r="P662" s="35" t="str">
        <f>IF(AND(O662="在职",J662="是"),COUNTIF(O$2:O662,"在职"),"")</f>
        <v/>
      </c>
    </row>
    <row r="663" customFormat="1" ht="18" spans="1:16">
      <c r="A663" s="14">
        <f t="shared" si="13"/>
        <v>662</v>
      </c>
      <c r="B663" s="31">
        <v>46184</v>
      </c>
      <c r="C663" s="32" t="s">
        <v>865</v>
      </c>
      <c r="D663" s="120" t="s">
        <v>486</v>
      </c>
      <c r="E663" s="33" t="s">
        <v>42</v>
      </c>
      <c r="F663" s="18" t="s">
        <v>64</v>
      </c>
      <c r="G663" s="18" t="s">
        <v>148</v>
      </c>
      <c r="H663" s="34" t="s">
        <v>86</v>
      </c>
      <c r="I663" s="18" t="s">
        <v>111</v>
      </c>
      <c r="J663" s="31" t="s">
        <v>105</v>
      </c>
      <c r="K663" s="31">
        <v>46184</v>
      </c>
      <c r="L663" s="4"/>
      <c r="M663" s="4"/>
      <c r="N663" s="13" t="s">
        <v>29</v>
      </c>
      <c r="O663" s="35" t="str">
        <f>IF(D663="","",IF(COUNTIF(离职清单!C:C,D663)&gt;0,"已离职","在职"))</f>
        <v>在职</v>
      </c>
      <c r="P663" s="35" t="str">
        <f>IF(AND(O663="在职",J663="是"),COUNTIF(O$2:O663,"在职"),"")</f>
        <v/>
      </c>
    </row>
    <row r="664" customFormat="1" ht="18" spans="1:16">
      <c r="A664" s="10">
        <f t="shared" si="13"/>
        <v>663</v>
      </c>
      <c r="B664" s="31">
        <v>46184</v>
      </c>
      <c r="C664" s="32" t="s">
        <v>866</v>
      </c>
      <c r="D664" s="120" t="s">
        <v>488</v>
      </c>
      <c r="E664" s="33" t="s">
        <v>42</v>
      </c>
      <c r="F664" s="18" t="s">
        <v>64</v>
      </c>
      <c r="G664" s="18" t="s">
        <v>148</v>
      </c>
      <c r="H664" s="34" t="s">
        <v>86</v>
      </c>
      <c r="I664" s="18" t="s">
        <v>104</v>
      </c>
      <c r="J664" s="31" t="s">
        <v>114</v>
      </c>
      <c r="K664" s="31">
        <v>46184</v>
      </c>
      <c r="L664" s="4"/>
      <c r="M664" s="4"/>
      <c r="N664" s="13" t="s">
        <v>29</v>
      </c>
      <c r="O664" s="35" t="str">
        <f>IF(D664="","",IF(COUNTIF(离职清单!C:C,D664)&gt;0,"已离职","在职"))</f>
        <v>在职</v>
      </c>
      <c r="P664" s="35">
        <f>IF(AND(O664="在职",J664="是"),COUNTIF(O$2:O664,"在职"),"")</f>
        <v>657</v>
      </c>
    </row>
    <row r="665" customFormat="1" ht="18" spans="1:16">
      <c r="A665" s="14">
        <f t="shared" si="13"/>
        <v>664</v>
      </c>
      <c r="B665" s="31">
        <v>46184</v>
      </c>
      <c r="C665" s="32" t="s">
        <v>525</v>
      </c>
      <c r="D665" s="120" t="s">
        <v>490</v>
      </c>
      <c r="E665" s="33" t="s">
        <v>42</v>
      </c>
      <c r="F665" s="18" t="s">
        <v>64</v>
      </c>
      <c r="G665" s="18" t="s">
        <v>148</v>
      </c>
      <c r="H665" s="34" t="s">
        <v>86</v>
      </c>
      <c r="I665" s="18" t="s">
        <v>104</v>
      </c>
      <c r="J665" s="31" t="s">
        <v>114</v>
      </c>
      <c r="K665" s="31">
        <v>46184</v>
      </c>
      <c r="L665" s="4"/>
      <c r="M665" s="4"/>
      <c r="N665" s="13" t="s">
        <v>29</v>
      </c>
      <c r="O665" s="35" t="str">
        <f>IF(D665="","",IF(COUNTIF(离职清单!C:C,D665)&gt;0,"已离职","在职"))</f>
        <v>在职</v>
      </c>
      <c r="P665" s="35">
        <f>IF(AND(O665="在职",J665="是"),COUNTIF(O$2:O665,"在职"),"")</f>
        <v>658</v>
      </c>
    </row>
    <row r="666" customFormat="1" ht="18" spans="1:16">
      <c r="A666" s="10">
        <f t="shared" si="13"/>
        <v>665</v>
      </c>
      <c r="B666" s="31">
        <v>46184</v>
      </c>
      <c r="C666" s="32" t="s">
        <v>921</v>
      </c>
      <c r="D666" s="120" t="s">
        <v>492</v>
      </c>
      <c r="E666" s="33" t="s">
        <v>43</v>
      </c>
      <c r="F666" s="18" t="s">
        <v>64</v>
      </c>
      <c r="G666" s="18" t="s">
        <v>148</v>
      </c>
      <c r="H666" s="34" t="s">
        <v>86</v>
      </c>
      <c r="I666" s="18" t="s">
        <v>111</v>
      </c>
      <c r="J666" s="31" t="s">
        <v>105</v>
      </c>
      <c r="K666" s="31">
        <v>46184</v>
      </c>
      <c r="L666" s="4"/>
      <c r="M666" s="4"/>
      <c r="N666" s="13" t="s">
        <v>29</v>
      </c>
      <c r="O666" s="35" t="str">
        <f>IF(D666="","",IF(COUNTIF(离职清单!C:C,D666)&gt;0,"已离职","在职"))</f>
        <v>在职</v>
      </c>
      <c r="P666" s="35" t="str">
        <f>IF(AND(O666="在职",J666="是"),COUNTIF(O$2:O666,"在职"),"")</f>
        <v/>
      </c>
    </row>
    <row r="667" customFormat="1" ht="18" spans="1:16">
      <c r="A667" s="14">
        <f t="shared" si="13"/>
        <v>666</v>
      </c>
      <c r="B667" s="31">
        <v>46184</v>
      </c>
      <c r="C667" s="32" t="s">
        <v>922</v>
      </c>
      <c r="D667" s="120" t="s">
        <v>477</v>
      </c>
      <c r="E667" s="33" t="s">
        <v>42</v>
      </c>
      <c r="F667" s="18" t="s">
        <v>64</v>
      </c>
      <c r="G667" s="18" t="s">
        <v>796</v>
      </c>
      <c r="H667" s="34" t="s">
        <v>86</v>
      </c>
      <c r="I667" s="18" t="s">
        <v>104</v>
      </c>
      <c r="J667" s="31" t="s">
        <v>114</v>
      </c>
      <c r="K667" s="31">
        <v>46184</v>
      </c>
      <c r="L667" s="4"/>
      <c r="M667" s="4"/>
      <c r="N667" s="13" t="s">
        <v>29</v>
      </c>
      <c r="O667" s="35" t="str">
        <f>IF(D667="","",IF(COUNTIF(离职清单!C:C,D667)&gt;0,"已离职","在职"))</f>
        <v>在职</v>
      </c>
      <c r="P667" s="35">
        <f>IF(AND(O667="在职",J667="是"),COUNTIF(O$2:O667,"在职"),"")</f>
        <v>660</v>
      </c>
    </row>
    <row r="668" customFormat="1" ht="18" spans="1:16">
      <c r="A668" s="10">
        <f t="shared" si="13"/>
        <v>667</v>
      </c>
      <c r="B668" s="31">
        <v>46184</v>
      </c>
      <c r="C668" s="32" t="s">
        <v>923</v>
      </c>
      <c r="D668" s="120" t="s">
        <v>478</v>
      </c>
      <c r="E668" s="33" t="s">
        <v>43</v>
      </c>
      <c r="F668" s="18" t="s">
        <v>64</v>
      </c>
      <c r="G668" s="18" t="s">
        <v>233</v>
      </c>
      <c r="H668" s="34" t="s">
        <v>86</v>
      </c>
      <c r="I668" s="18" t="s">
        <v>104</v>
      </c>
      <c r="J668" s="31" t="s">
        <v>114</v>
      </c>
      <c r="K668" s="31">
        <v>46184</v>
      </c>
      <c r="L668" s="4"/>
      <c r="M668" s="4"/>
      <c r="N668" s="13" t="s">
        <v>29</v>
      </c>
      <c r="O668" s="35" t="str">
        <f>IF(D668="","",IF(COUNTIF(离职清单!C:C,D668)&gt;0,"已离职","在职"))</f>
        <v>在职</v>
      </c>
      <c r="P668" s="35">
        <f>IF(AND(O668="在职",J668="是"),COUNTIF(O$2:O668,"在职"),"")</f>
        <v>661</v>
      </c>
    </row>
    <row r="669" customFormat="1" ht="18" spans="1:16">
      <c r="A669" s="14">
        <f t="shared" si="13"/>
        <v>668</v>
      </c>
      <c r="B669" s="31">
        <v>46184</v>
      </c>
      <c r="C669" s="32" t="s">
        <v>924</v>
      </c>
      <c r="D669" s="120" t="s">
        <v>480</v>
      </c>
      <c r="E669" s="33" t="s">
        <v>42</v>
      </c>
      <c r="F669" s="18" t="s">
        <v>64</v>
      </c>
      <c r="G669" s="18" t="s">
        <v>233</v>
      </c>
      <c r="H669" s="34" t="s">
        <v>86</v>
      </c>
      <c r="I669" s="18" t="s">
        <v>111</v>
      </c>
      <c r="J669" s="31" t="s">
        <v>105</v>
      </c>
      <c r="K669" s="31">
        <v>46184</v>
      </c>
      <c r="L669" s="4"/>
      <c r="M669" s="4"/>
      <c r="N669" s="13" t="s">
        <v>29</v>
      </c>
      <c r="O669" s="35" t="str">
        <f>IF(D669="","",IF(COUNTIF(离职清单!C:C,D669)&gt;0,"已离职","在职"))</f>
        <v>在职</v>
      </c>
      <c r="P669" s="35" t="str">
        <f>IF(AND(O669="在职",J669="是"),COUNTIF(O$2:O669,"在职"),"")</f>
        <v/>
      </c>
    </row>
    <row r="670" customFormat="1" ht="18" spans="1:16">
      <c r="A670" s="10">
        <f t="shared" si="13"/>
        <v>669</v>
      </c>
      <c r="B670" s="31">
        <v>46184</v>
      </c>
      <c r="C670" s="32" t="s">
        <v>925</v>
      </c>
      <c r="D670" s="120" t="s">
        <v>482</v>
      </c>
      <c r="E670" s="33" t="s">
        <v>43</v>
      </c>
      <c r="F670" s="18" t="s">
        <v>63</v>
      </c>
      <c r="G670" s="18" t="s">
        <v>233</v>
      </c>
      <c r="H670" s="34" t="s">
        <v>86</v>
      </c>
      <c r="I670" s="18" t="s">
        <v>104</v>
      </c>
      <c r="J670" s="31" t="s">
        <v>114</v>
      </c>
      <c r="K670" s="31">
        <v>46184</v>
      </c>
      <c r="L670" s="4"/>
      <c r="M670" s="4"/>
      <c r="N670" s="13" t="s">
        <v>29</v>
      </c>
      <c r="O670" s="35" t="str">
        <f>IF(D670="","",IF(COUNTIF(离职清单!C:C,D670)&gt;0,"已离职","在职"))</f>
        <v>在职</v>
      </c>
      <c r="P670" s="35">
        <f>IF(AND(O670="在职",J670="是"),COUNTIF(O$2:O670,"在职"),"")</f>
        <v>663</v>
      </c>
    </row>
    <row r="671" customFormat="1" ht="18" spans="1:16">
      <c r="A671" s="14">
        <f t="shared" si="13"/>
        <v>670</v>
      </c>
      <c r="B671" s="31">
        <v>46184</v>
      </c>
      <c r="C671" s="32" t="s">
        <v>926</v>
      </c>
      <c r="D671" s="120" t="s">
        <v>484</v>
      </c>
      <c r="E671" s="33" t="s">
        <v>42</v>
      </c>
      <c r="F671" s="18" t="s">
        <v>64</v>
      </c>
      <c r="G671" s="18" t="s">
        <v>103</v>
      </c>
      <c r="H671" s="34" t="s">
        <v>86</v>
      </c>
      <c r="I671" s="18" t="s">
        <v>104</v>
      </c>
      <c r="J671" s="31" t="s">
        <v>114</v>
      </c>
      <c r="K671" s="31">
        <v>46184</v>
      </c>
      <c r="L671" s="4"/>
      <c r="M671" s="4"/>
      <c r="N671" s="13" t="s">
        <v>29</v>
      </c>
      <c r="O671" s="35" t="str">
        <f>IF(D671="","",IF(COUNTIF(离职清单!C:C,D671)&gt;0,"已离职","在职"))</f>
        <v>在职</v>
      </c>
      <c r="P671" s="35">
        <f>IF(AND(O671="在职",J671="是"),COUNTIF(O$2:O671,"在职"),"")</f>
        <v>664</v>
      </c>
    </row>
    <row r="672" customFormat="1" ht="18" spans="1:16">
      <c r="A672" s="10">
        <f t="shared" si="13"/>
        <v>671</v>
      </c>
      <c r="B672" s="31">
        <v>46184</v>
      </c>
      <c r="C672" s="32" t="s">
        <v>927</v>
      </c>
      <c r="D672" s="120" t="s">
        <v>486</v>
      </c>
      <c r="E672" s="33" t="s">
        <v>43</v>
      </c>
      <c r="F672" s="18" t="s">
        <v>62</v>
      </c>
      <c r="G672" s="18" t="s">
        <v>103</v>
      </c>
      <c r="H672" s="34" t="s">
        <v>86</v>
      </c>
      <c r="I672" s="18" t="s">
        <v>104</v>
      </c>
      <c r="J672" s="31" t="s">
        <v>114</v>
      </c>
      <c r="K672" s="31">
        <v>46184</v>
      </c>
      <c r="L672" s="4"/>
      <c r="M672" s="4"/>
      <c r="N672" s="13" t="s">
        <v>29</v>
      </c>
      <c r="O672" s="35" t="str">
        <f>IF(D672="","",IF(COUNTIF(离职清单!C:C,D672)&gt;0,"已离职","在职"))</f>
        <v>在职</v>
      </c>
      <c r="P672" s="35">
        <f>IF(AND(O672="在职",J672="是"),COUNTIF(O$2:O672,"在职"),"")</f>
        <v>665</v>
      </c>
    </row>
    <row r="673" customFormat="1" ht="18" spans="1:16">
      <c r="A673" s="14">
        <f t="shared" si="13"/>
        <v>672</v>
      </c>
      <c r="B673" s="31">
        <v>46184</v>
      </c>
      <c r="C673" s="32" t="s">
        <v>928</v>
      </c>
      <c r="D673" s="120" t="s">
        <v>488</v>
      </c>
      <c r="E673" s="33" t="s">
        <v>43</v>
      </c>
      <c r="F673" s="18" t="s">
        <v>62</v>
      </c>
      <c r="G673" s="18" t="s">
        <v>103</v>
      </c>
      <c r="H673" s="34" t="s">
        <v>86</v>
      </c>
      <c r="I673" s="18" t="s">
        <v>111</v>
      </c>
      <c r="J673" s="31" t="s">
        <v>105</v>
      </c>
      <c r="K673" s="31">
        <v>46184</v>
      </c>
      <c r="L673" s="4"/>
      <c r="M673" s="4"/>
      <c r="N673" s="13" t="s">
        <v>29</v>
      </c>
      <c r="O673" s="35" t="str">
        <f>IF(D673="","",IF(COUNTIF(离职清单!C:C,D673)&gt;0,"已离职","在职"))</f>
        <v>在职</v>
      </c>
      <c r="P673" s="35" t="str">
        <f>IF(AND(O673="在职",J673="是"),COUNTIF(O$2:O673,"在职"),"")</f>
        <v/>
      </c>
    </row>
    <row r="674" customFormat="1" ht="18" spans="1:16">
      <c r="A674" s="10">
        <f t="shared" si="13"/>
        <v>673</v>
      </c>
      <c r="B674" s="31">
        <v>46184</v>
      </c>
      <c r="C674" s="32" t="s">
        <v>879</v>
      </c>
      <c r="D674" s="120" t="s">
        <v>490</v>
      </c>
      <c r="E674" s="33" t="s">
        <v>43</v>
      </c>
      <c r="F674" s="18" t="s">
        <v>64</v>
      </c>
      <c r="G674" s="18" t="s">
        <v>631</v>
      </c>
      <c r="H674" s="34" t="s">
        <v>86</v>
      </c>
      <c r="I674" s="18" t="s">
        <v>104</v>
      </c>
      <c r="J674" s="31" t="s">
        <v>105</v>
      </c>
      <c r="K674" s="31">
        <v>46184</v>
      </c>
      <c r="L674" s="4"/>
      <c r="M674" s="4"/>
      <c r="N674" s="13" t="s">
        <v>29</v>
      </c>
      <c r="O674" s="35" t="str">
        <f>IF(D674="","",IF(COUNTIF(离职清单!C:C,D674)&gt;0,"已离职","在职"))</f>
        <v>在职</v>
      </c>
      <c r="P674" s="35" t="str">
        <f>IF(AND(O674="在职",J674="是"),COUNTIF(O$2:O674,"在职"),"")</f>
        <v/>
      </c>
    </row>
    <row r="675" customFormat="1" ht="18" spans="1:16">
      <c r="A675" s="14">
        <f t="shared" si="13"/>
        <v>674</v>
      </c>
      <c r="B675" s="31">
        <v>46184</v>
      </c>
      <c r="C675" s="32" t="s">
        <v>854</v>
      </c>
      <c r="D675" s="120" t="s">
        <v>492</v>
      </c>
      <c r="E675" s="33" t="s">
        <v>42</v>
      </c>
      <c r="F675" s="18" t="s">
        <v>64</v>
      </c>
      <c r="G675" s="18" t="s">
        <v>631</v>
      </c>
      <c r="H675" s="34" t="s">
        <v>86</v>
      </c>
      <c r="I675" s="18" t="s">
        <v>111</v>
      </c>
      <c r="J675" s="31" t="s">
        <v>105</v>
      </c>
      <c r="K675" s="31">
        <v>46184</v>
      </c>
      <c r="L675" s="4"/>
      <c r="M675" s="4"/>
      <c r="N675" s="13" t="s">
        <v>29</v>
      </c>
      <c r="O675" s="35" t="str">
        <f>IF(D675="","",IF(COUNTIF(离职清单!C:C,D675)&gt;0,"已离职","在职"))</f>
        <v>在职</v>
      </c>
      <c r="P675" s="35" t="str">
        <f>IF(AND(O675="在职",J675="是"),COUNTIF(O$2:O675,"在职"),"")</f>
        <v/>
      </c>
    </row>
    <row r="676" customFormat="1" ht="18" spans="1:16">
      <c r="A676" s="10">
        <f t="shared" si="13"/>
        <v>675</v>
      </c>
      <c r="B676" s="31">
        <v>46184</v>
      </c>
      <c r="C676" s="32" t="s">
        <v>929</v>
      </c>
      <c r="D676" s="120" t="s">
        <v>477</v>
      </c>
      <c r="E676" s="33" t="s">
        <v>42</v>
      </c>
      <c r="F676" s="18" t="s">
        <v>64</v>
      </c>
      <c r="G676" s="18" t="s">
        <v>631</v>
      </c>
      <c r="H676" s="34" t="s">
        <v>86</v>
      </c>
      <c r="I676" s="18" t="s">
        <v>104</v>
      </c>
      <c r="J676" s="31" t="s">
        <v>114</v>
      </c>
      <c r="K676" s="31">
        <v>46184</v>
      </c>
      <c r="L676" s="4"/>
      <c r="M676" s="4"/>
      <c r="N676" s="13" t="s">
        <v>29</v>
      </c>
      <c r="O676" s="35" t="str">
        <f>IF(D676="","",IF(COUNTIF(离职清单!C:C,D676)&gt;0,"已离职","在职"))</f>
        <v>在职</v>
      </c>
      <c r="P676" s="35">
        <f>IF(AND(O676="在职",J676="是"),COUNTIF(O$2:O676,"在职"),"")</f>
        <v>669</v>
      </c>
    </row>
    <row r="677" customFormat="1" ht="18" spans="1:16">
      <c r="A677" s="14">
        <f t="shared" si="13"/>
        <v>676</v>
      </c>
      <c r="B677" s="31">
        <v>46184</v>
      </c>
      <c r="C677" s="32" t="s">
        <v>930</v>
      </c>
      <c r="D677" s="120" t="s">
        <v>477</v>
      </c>
      <c r="E677" s="33" t="s">
        <v>42</v>
      </c>
      <c r="F677" s="18" t="s">
        <v>64</v>
      </c>
      <c r="G677" s="18" t="s">
        <v>631</v>
      </c>
      <c r="H677" s="34" t="s">
        <v>86</v>
      </c>
      <c r="I677" s="18" t="s">
        <v>104</v>
      </c>
      <c r="J677" s="31" t="s">
        <v>114</v>
      </c>
      <c r="K677" s="31">
        <v>46184</v>
      </c>
      <c r="L677" s="4"/>
      <c r="M677" s="4"/>
      <c r="N677" s="13" t="s">
        <v>29</v>
      </c>
      <c r="O677" s="35" t="str">
        <f>IF(D677="","",IF(COUNTIF(离职清单!C:C,D677)&gt;0,"已离职","在职"))</f>
        <v>在职</v>
      </c>
      <c r="P677" s="35">
        <f>IF(AND(O677="在职",J677="是"),COUNTIF(O$2:O677,"在职"),"")</f>
        <v>670</v>
      </c>
    </row>
    <row r="678" customFormat="1" ht="18" spans="1:16">
      <c r="A678" s="10">
        <f t="shared" si="13"/>
        <v>677</v>
      </c>
      <c r="B678" s="31">
        <v>46184</v>
      </c>
      <c r="C678" s="32" t="s">
        <v>931</v>
      </c>
      <c r="D678" s="120" t="s">
        <v>478</v>
      </c>
      <c r="E678" s="33" t="s">
        <v>43</v>
      </c>
      <c r="F678" s="18" t="s">
        <v>64</v>
      </c>
      <c r="G678" s="18" t="s">
        <v>173</v>
      </c>
      <c r="H678" s="34" t="s">
        <v>86</v>
      </c>
      <c r="I678" s="18" t="s">
        <v>111</v>
      </c>
      <c r="J678" s="31" t="s">
        <v>105</v>
      </c>
      <c r="K678" s="31">
        <v>46184</v>
      </c>
      <c r="L678" s="4"/>
      <c r="M678" s="4"/>
      <c r="N678" s="13" t="s">
        <v>29</v>
      </c>
      <c r="O678" s="35" t="str">
        <f>IF(D678="","",IF(COUNTIF(离职清单!C:C,D678)&gt;0,"已离职","在职"))</f>
        <v>在职</v>
      </c>
      <c r="P678" s="35" t="str">
        <f>IF(AND(O678="在职",J678="是"),COUNTIF(O$2:O678,"在职"),"")</f>
        <v/>
      </c>
    </row>
    <row r="679" customFormat="1" ht="18" spans="1:16">
      <c r="A679" s="14">
        <f t="shared" si="13"/>
        <v>678</v>
      </c>
      <c r="B679" s="31">
        <v>46184</v>
      </c>
      <c r="C679" s="32" t="s">
        <v>932</v>
      </c>
      <c r="D679" s="120" t="s">
        <v>480</v>
      </c>
      <c r="E679" s="33" t="s">
        <v>42</v>
      </c>
      <c r="F679" s="18" t="s">
        <v>64</v>
      </c>
      <c r="G679" s="18" t="s">
        <v>332</v>
      </c>
      <c r="H679" s="34" t="s">
        <v>86</v>
      </c>
      <c r="I679" s="18" t="s">
        <v>111</v>
      </c>
      <c r="J679" s="31" t="s">
        <v>105</v>
      </c>
      <c r="K679" s="31">
        <v>46184</v>
      </c>
      <c r="L679" s="4"/>
      <c r="M679" s="4"/>
      <c r="N679" s="13" t="s">
        <v>29</v>
      </c>
      <c r="O679" s="35" t="str">
        <f>IF(D679="","",IF(COUNTIF(离职清单!C:C,D679)&gt;0,"已离职","在职"))</f>
        <v>在职</v>
      </c>
      <c r="P679" s="35" t="str">
        <f>IF(AND(O679="在职",J679="是"),COUNTIF(O$2:O679,"在职"),"")</f>
        <v/>
      </c>
    </row>
    <row r="680" customFormat="1" ht="18" spans="1:16">
      <c r="A680" s="14">
        <f t="shared" si="13"/>
        <v>679</v>
      </c>
      <c r="B680" s="31">
        <v>46184</v>
      </c>
      <c r="C680" s="32" t="s">
        <v>933</v>
      </c>
      <c r="D680" s="120" t="s">
        <v>482</v>
      </c>
      <c r="E680" s="33" t="s">
        <v>42</v>
      </c>
      <c r="F680" s="18" t="s">
        <v>64</v>
      </c>
      <c r="G680" s="18" t="s">
        <v>578</v>
      </c>
      <c r="H680" s="34" t="s">
        <v>86</v>
      </c>
      <c r="I680" s="18" t="s">
        <v>111</v>
      </c>
      <c r="J680" s="31" t="s">
        <v>105</v>
      </c>
      <c r="K680" s="31">
        <v>46184</v>
      </c>
      <c r="L680" s="4"/>
      <c r="M680" s="4"/>
      <c r="N680" s="13" t="s">
        <v>29</v>
      </c>
      <c r="O680" s="35" t="str">
        <f>IF(D680="","",IF(COUNTIF(离职清单!C:C,D680)&gt;0,"已离职","在职"))</f>
        <v>在职</v>
      </c>
      <c r="P680" s="35" t="str">
        <f>IF(AND(O680="在职",J680="是"),COUNTIF(O$2:O680,"在职"),"")</f>
        <v/>
      </c>
    </row>
    <row r="681" customFormat="1" ht="18" spans="1:16">
      <c r="A681" s="10">
        <f t="shared" si="13"/>
        <v>680</v>
      </c>
      <c r="B681" s="31">
        <v>46184</v>
      </c>
      <c r="C681" s="32" t="s">
        <v>934</v>
      </c>
      <c r="D681" s="120" t="s">
        <v>484</v>
      </c>
      <c r="E681" s="33" t="s">
        <v>42</v>
      </c>
      <c r="F681" s="18" t="s">
        <v>64</v>
      </c>
      <c r="G681" s="18" t="s">
        <v>578</v>
      </c>
      <c r="H681" s="34" t="s">
        <v>86</v>
      </c>
      <c r="I681" s="18" t="s">
        <v>111</v>
      </c>
      <c r="J681" s="31" t="s">
        <v>105</v>
      </c>
      <c r="K681" s="31">
        <v>46184</v>
      </c>
      <c r="L681" s="4"/>
      <c r="M681" s="4"/>
      <c r="N681" s="13" t="s">
        <v>29</v>
      </c>
      <c r="O681" s="35" t="str">
        <f>IF(D681="","",IF(COUNTIF(离职清单!C:C,D681)&gt;0,"已离职","在职"))</f>
        <v>在职</v>
      </c>
      <c r="P681" s="35" t="str">
        <f>IF(AND(O681="在职",J681="是"),COUNTIF(O$2:O681,"在职"),"")</f>
        <v/>
      </c>
    </row>
    <row r="682" customFormat="1" ht="18" spans="1:16">
      <c r="A682" s="10">
        <f t="shared" ref="A682:A742" si="14">IF(B682&lt;&gt;"",ROW()-1,"")</f>
        <v>681</v>
      </c>
      <c r="B682" s="31">
        <v>46184</v>
      </c>
      <c r="C682" s="32" t="s">
        <v>935</v>
      </c>
      <c r="D682" s="120" t="s">
        <v>486</v>
      </c>
      <c r="E682" s="33" t="s">
        <v>42</v>
      </c>
      <c r="F682" s="18" t="s">
        <v>64</v>
      </c>
      <c r="G682" s="18" t="s">
        <v>578</v>
      </c>
      <c r="H682" s="34" t="s">
        <v>86</v>
      </c>
      <c r="I682" s="18" t="s">
        <v>111</v>
      </c>
      <c r="J682" s="31" t="s">
        <v>105</v>
      </c>
      <c r="K682" s="31">
        <v>46184</v>
      </c>
      <c r="L682" s="4"/>
      <c r="M682" s="4"/>
      <c r="N682" s="13" t="s">
        <v>29</v>
      </c>
      <c r="O682" s="35" t="str">
        <f>IF(D682="","",IF(COUNTIF(离职清单!C:C,D682)&gt;0,"已离职","在职"))</f>
        <v>在职</v>
      </c>
      <c r="P682" s="35" t="str">
        <f>IF(AND(O682="在职",J682="是"),COUNTIF(O$2:O682,"在职"),"")</f>
        <v/>
      </c>
    </row>
    <row r="683" customFormat="1" ht="18" spans="1:16">
      <c r="A683" s="14">
        <f t="shared" si="14"/>
        <v>682</v>
      </c>
      <c r="B683" s="31">
        <v>46184</v>
      </c>
      <c r="C683" s="32" t="s">
        <v>936</v>
      </c>
      <c r="D683" s="120" t="s">
        <v>488</v>
      </c>
      <c r="E683" s="33" t="s">
        <v>42</v>
      </c>
      <c r="F683" s="18" t="s">
        <v>64</v>
      </c>
      <c r="G683" s="18" t="s">
        <v>578</v>
      </c>
      <c r="H683" s="34" t="s">
        <v>86</v>
      </c>
      <c r="I683" s="18" t="s">
        <v>111</v>
      </c>
      <c r="J683" s="31" t="s">
        <v>105</v>
      </c>
      <c r="K683" s="31">
        <v>46184</v>
      </c>
      <c r="L683" s="4"/>
      <c r="M683" s="4"/>
      <c r="N683" s="13" t="s">
        <v>29</v>
      </c>
      <c r="O683" s="35" t="str">
        <f>IF(D683="","",IF(COUNTIF(离职清单!C:C,D683)&gt;0,"已离职","在职"))</f>
        <v>在职</v>
      </c>
      <c r="P683" s="35" t="str">
        <f>IF(AND(O683="在职",J683="是"),COUNTIF(O$2:O683,"在职"),"")</f>
        <v/>
      </c>
    </row>
    <row r="684" customFormat="1" ht="18" spans="1:16">
      <c r="A684" s="10">
        <f t="shared" si="14"/>
        <v>683</v>
      </c>
      <c r="B684" s="31">
        <v>46184</v>
      </c>
      <c r="C684" s="32" t="s">
        <v>937</v>
      </c>
      <c r="D684" s="120" t="s">
        <v>490</v>
      </c>
      <c r="E684" s="33" t="s">
        <v>42</v>
      </c>
      <c r="F684" s="18" t="s">
        <v>64</v>
      </c>
      <c r="G684" s="18" t="s">
        <v>578</v>
      </c>
      <c r="H684" s="34" t="s">
        <v>86</v>
      </c>
      <c r="I684" s="18" t="s">
        <v>111</v>
      </c>
      <c r="J684" s="31" t="s">
        <v>105</v>
      </c>
      <c r="K684" s="31">
        <v>46184</v>
      </c>
      <c r="L684" s="4"/>
      <c r="M684" s="4"/>
      <c r="N684" s="13" t="s">
        <v>29</v>
      </c>
      <c r="O684" s="35" t="str">
        <f>IF(D684="","",IF(COUNTIF(离职清单!C:C,D684)&gt;0,"已离职","在职"))</f>
        <v>在职</v>
      </c>
      <c r="P684" s="35" t="str">
        <f>IF(AND(O684="在职",J684="是"),COUNTIF(O$2:O684,"在职"),"")</f>
        <v/>
      </c>
    </row>
    <row r="685" customFormat="1" ht="18" spans="1:16">
      <c r="A685" s="14">
        <f t="shared" si="14"/>
        <v>684</v>
      </c>
      <c r="B685" s="31">
        <v>46184</v>
      </c>
      <c r="C685" s="32" t="s">
        <v>938</v>
      </c>
      <c r="D685" s="120" t="s">
        <v>492</v>
      </c>
      <c r="E685" s="33" t="s">
        <v>42</v>
      </c>
      <c r="F685" s="18" t="s">
        <v>64</v>
      </c>
      <c r="G685" s="18" t="s">
        <v>512</v>
      </c>
      <c r="H685" s="34" t="s">
        <v>86</v>
      </c>
      <c r="I685" s="18" t="s">
        <v>104</v>
      </c>
      <c r="J685" s="31" t="s">
        <v>114</v>
      </c>
      <c r="K685" s="31">
        <v>46184</v>
      </c>
      <c r="L685" s="4"/>
      <c r="M685" s="4"/>
      <c r="N685" s="13" t="s">
        <v>29</v>
      </c>
      <c r="O685" s="35" t="str">
        <f>IF(D685="","",IF(COUNTIF(离职清单!C:C,D685)&gt;0,"已离职","在职"))</f>
        <v>在职</v>
      </c>
      <c r="P685" s="35">
        <f>IF(AND(O685="在职",J685="是"),COUNTIF(O$2:O685,"在职"),"")</f>
        <v>678</v>
      </c>
    </row>
    <row r="686" customFormat="1" ht="18" spans="1:16">
      <c r="A686" s="10">
        <f t="shared" si="14"/>
        <v>685</v>
      </c>
      <c r="B686" s="31">
        <v>46184</v>
      </c>
      <c r="C686" s="32" t="s">
        <v>939</v>
      </c>
      <c r="D686" s="120" t="s">
        <v>477</v>
      </c>
      <c r="E686" s="33" t="s">
        <v>42</v>
      </c>
      <c r="F686" s="18" t="s">
        <v>64</v>
      </c>
      <c r="G686" s="18" t="s">
        <v>124</v>
      </c>
      <c r="H686" s="34" t="s">
        <v>86</v>
      </c>
      <c r="I686" s="18" t="s">
        <v>111</v>
      </c>
      <c r="J686" s="31" t="s">
        <v>105</v>
      </c>
      <c r="K686" s="31">
        <v>46184</v>
      </c>
      <c r="L686" s="4"/>
      <c r="M686" s="4"/>
      <c r="N686" s="13" t="s">
        <v>29</v>
      </c>
      <c r="O686" s="35" t="str">
        <f>IF(D686="","",IF(COUNTIF(离职清单!C:C,D686)&gt;0,"已离职","在职"))</f>
        <v>在职</v>
      </c>
      <c r="P686" s="35" t="str">
        <f>IF(AND(O686="在职",J686="是"),COUNTIF(O$2:O686,"在职"),"")</f>
        <v/>
      </c>
    </row>
    <row r="687" customFormat="1" ht="18" spans="1:16">
      <c r="A687" s="14">
        <f t="shared" si="14"/>
        <v>686</v>
      </c>
      <c r="B687" s="31">
        <v>46184</v>
      </c>
      <c r="C687" s="32" t="s">
        <v>940</v>
      </c>
      <c r="D687" s="120" t="s">
        <v>478</v>
      </c>
      <c r="E687" s="33" t="s">
        <v>43</v>
      </c>
      <c r="F687" s="18" t="s">
        <v>64</v>
      </c>
      <c r="G687" s="18" t="s">
        <v>179</v>
      </c>
      <c r="H687" s="34" t="s">
        <v>86</v>
      </c>
      <c r="I687" s="18" t="s">
        <v>104</v>
      </c>
      <c r="J687" s="31" t="s">
        <v>114</v>
      </c>
      <c r="K687" s="31">
        <v>46184</v>
      </c>
      <c r="L687" s="4"/>
      <c r="M687" s="4"/>
      <c r="N687" s="13" t="s">
        <v>29</v>
      </c>
      <c r="O687" s="35" t="str">
        <f>IF(D687="","",IF(COUNTIF(离职清单!C:C,D687)&gt;0,"已离职","在职"))</f>
        <v>在职</v>
      </c>
      <c r="P687" s="35">
        <f>IF(AND(O687="在职",J687="是"),COUNTIF(O$2:O687,"在职"),"")</f>
        <v>680</v>
      </c>
    </row>
    <row r="688" customFormat="1" ht="18" spans="1:16">
      <c r="A688" s="10">
        <f t="shared" si="14"/>
        <v>687</v>
      </c>
      <c r="B688" s="31">
        <v>46184</v>
      </c>
      <c r="C688" s="32" t="s">
        <v>941</v>
      </c>
      <c r="D688" s="120" t="s">
        <v>480</v>
      </c>
      <c r="E688" s="33" t="s">
        <v>74</v>
      </c>
      <c r="F688" s="18" t="s">
        <v>190</v>
      </c>
      <c r="G688" s="18" t="s">
        <v>179</v>
      </c>
      <c r="H688" s="34" t="s">
        <v>86</v>
      </c>
      <c r="I688" s="18" t="s">
        <v>104</v>
      </c>
      <c r="J688" s="31" t="s">
        <v>114</v>
      </c>
      <c r="K688" s="31">
        <v>46184</v>
      </c>
      <c r="L688" s="4"/>
      <c r="M688" s="4"/>
      <c r="N688" s="13" t="s">
        <v>29</v>
      </c>
      <c r="O688" s="35" t="str">
        <f>IF(D688="","",IF(COUNTIF(离职清单!C:C,D688)&gt;0,"已离职","在职"))</f>
        <v>在职</v>
      </c>
      <c r="P688" s="35">
        <f>IF(AND(O688="在职",J688="是"),COUNTIF(O$2:O688,"在职"),"")</f>
        <v>681</v>
      </c>
    </row>
    <row r="689" customFormat="1" ht="18" spans="1:16">
      <c r="A689" s="14">
        <f t="shared" si="14"/>
        <v>688</v>
      </c>
      <c r="B689" s="31">
        <v>46184</v>
      </c>
      <c r="C689" s="32" t="s">
        <v>942</v>
      </c>
      <c r="D689" s="120" t="s">
        <v>482</v>
      </c>
      <c r="E689" s="33" t="s">
        <v>42</v>
      </c>
      <c r="F689" s="18" t="s">
        <v>64</v>
      </c>
      <c r="G689" s="18" t="s">
        <v>179</v>
      </c>
      <c r="H689" s="34" t="s">
        <v>86</v>
      </c>
      <c r="I689" s="18" t="s">
        <v>104</v>
      </c>
      <c r="J689" s="31" t="s">
        <v>114</v>
      </c>
      <c r="K689" s="31">
        <v>46184</v>
      </c>
      <c r="L689" s="4"/>
      <c r="M689" s="4"/>
      <c r="N689" s="13" t="s">
        <v>29</v>
      </c>
      <c r="O689" s="35" t="str">
        <f>IF(D689="","",IF(COUNTIF(离职清单!C:C,D689)&gt;0,"已离职","在职"))</f>
        <v>在职</v>
      </c>
      <c r="P689" s="35">
        <f>IF(AND(O689="在职",J689="是"),COUNTIF(O$2:O689,"在职"),"")</f>
        <v>682</v>
      </c>
    </row>
    <row r="690" customFormat="1" ht="18" spans="1:16">
      <c r="A690" s="10">
        <f t="shared" si="14"/>
        <v>689</v>
      </c>
      <c r="B690" s="31">
        <v>46184</v>
      </c>
      <c r="C690" s="32" t="s">
        <v>883</v>
      </c>
      <c r="D690" s="120" t="s">
        <v>484</v>
      </c>
      <c r="E690" s="33" t="s">
        <v>42</v>
      </c>
      <c r="F690" s="18" t="s">
        <v>64</v>
      </c>
      <c r="G690" s="18" t="s">
        <v>179</v>
      </c>
      <c r="H690" s="34" t="s">
        <v>86</v>
      </c>
      <c r="I690" s="18" t="s">
        <v>104</v>
      </c>
      <c r="J690" s="31" t="s">
        <v>114</v>
      </c>
      <c r="K690" s="31">
        <v>46184</v>
      </c>
      <c r="L690" s="4"/>
      <c r="M690" s="4"/>
      <c r="N690" s="13" t="s">
        <v>29</v>
      </c>
      <c r="O690" s="35" t="str">
        <f>IF(D690="","",IF(COUNTIF(离职清单!C:C,D690)&gt;0,"已离职","在职"))</f>
        <v>在职</v>
      </c>
      <c r="P690" s="35">
        <f>IF(AND(O690="在职",J690="是"),COUNTIF(O$2:O690,"在职"),"")</f>
        <v>683</v>
      </c>
    </row>
    <row r="691" customFormat="1" ht="18" spans="1:16">
      <c r="A691" s="14">
        <f t="shared" si="14"/>
        <v>690</v>
      </c>
      <c r="B691" s="31">
        <v>46184</v>
      </c>
      <c r="C691" s="32" t="s">
        <v>943</v>
      </c>
      <c r="D691" s="120" t="s">
        <v>486</v>
      </c>
      <c r="E691" s="33" t="s">
        <v>42</v>
      </c>
      <c r="F691" s="18" t="s">
        <v>64</v>
      </c>
      <c r="G691" s="18" t="s">
        <v>179</v>
      </c>
      <c r="H691" s="34" t="s">
        <v>86</v>
      </c>
      <c r="I691" s="18" t="s">
        <v>104</v>
      </c>
      <c r="J691" s="31" t="s">
        <v>114</v>
      </c>
      <c r="K691" s="31">
        <v>46184</v>
      </c>
      <c r="L691" s="4"/>
      <c r="M691" s="4"/>
      <c r="N691" s="13" t="s">
        <v>29</v>
      </c>
      <c r="O691" s="35" t="str">
        <f>IF(D691="","",IF(COUNTIF(离职清单!C:C,D691)&gt;0,"已离职","在职"))</f>
        <v>在职</v>
      </c>
      <c r="P691" s="35">
        <f>IF(AND(O691="在职",J691="是"),COUNTIF(O$2:O691,"在职"),"")</f>
        <v>684</v>
      </c>
    </row>
    <row r="692" customFormat="1" ht="18" spans="1:16">
      <c r="A692" s="10">
        <f t="shared" si="14"/>
        <v>691</v>
      </c>
      <c r="B692" s="31">
        <v>46184</v>
      </c>
      <c r="C692" s="32" t="s">
        <v>944</v>
      </c>
      <c r="D692" s="120" t="s">
        <v>488</v>
      </c>
      <c r="E692" s="33" t="s">
        <v>42</v>
      </c>
      <c r="F692" s="18" t="s">
        <v>64</v>
      </c>
      <c r="G692" s="18" t="s">
        <v>179</v>
      </c>
      <c r="H692" s="34" t="s">
        <v>86</v>
      </c>
      <c r="I692" s="18" t="s">
        <v>111</v>
      </c>
      <c r="J692" s="31" t="s">
        <v>105</v>
      </c>
      <c r="K692" s="31">
        <v>46184</v>
      </c>
      <c r="L692" s="4"/>
      <c r="M692" s="4"/>
      <c r="N692" s="13" t="s">
        <v>29</v>
      </c>
      <c r="O692" s="35" t="str">
        <f>IF(D692="","",IF(COUNTIF(离职清单!C:C,D692)&gt;0,"已离职","在职"))</f>
        <v>在职</v>
      </c>
      <c r="P692" s="35" t="str">
        <f>IF(AND(O692="在职",J692="是"),COUNTIF(O$2:O692,"在职"),"")</f>
        <v/>
      </c>
    </row>
    <row r="693" customFormat="1" ht="18" spans="1:16">
      <c r="A693" s="14">
        <f t="shared" si="14"/>
        <v>692</v>
      </c>
      <c r="B693" s="31">
        <v>46184</v>
      </c>
      <c r="C693" s="32" t="s">
        <v>768</v>
      </c>
      <c r="D693" s="120" t="s">
        <v>490</v>
      </c>
      <c r="E693" s="33" t="s">
        <v>42</v>
      </c>
      <c r="F693" s="18" t="s">
        <v>64</v>
      </c>
      <c r="G693" s="18" t="s">
        <v>179</v>
      </c>
      <c r="H693" s="34" t="s">
        <v>86</v>
      </c>
      <c r="I693" s="18" t="s">
        <v>104</v>
      </c>
      <c r="J693" s="31" t="s">
        <v>114</v>
      </c>
      <c r="K693" s="31">
        <v>46184</v>
      </c>
      <c r="L693" s="4"/>
      <c r="M693" s="4"/>
      <c r="N693" s="13" t="s">
        <v>29</v>
      </c>
      <c r="O693" s="35" t="str">
        <f>IF(D693="","",IF(COUNTIF(离职清单!C:C,D693)&gt;0,"已离职","在职"))</f>
        <v>在职</v>
      </c>
      <c r="P693" s="35">
        <f>IF(AND(O693="在职",J693="是"),COUNTIF(O$2:O693,"在职"),"")</f>
        <v>686</v>
      </c>
    </row>
    <row r="694" customFormat="1" ht="18" spans="1:16">
      <c r="A694" s="10">
        <f t="shared" si="14"/>
        <v>693</v>
      </c>
      <c r="B694" s="31">
        <v>46184</v>
      </c>
      <c r="C694" s="32" t="s">
        <v>893</v>
      </c>
      <c r="D694" s="120" t="s">
        <v>492</v>
      </c>
      <c r="E694" s="33" t="s">
        <v>42</v>
      </c>
      <c r="F694" s="18" t="s">
        <v>64</v>
      </c>
      <c r="G694" s="18" t="s">
        <v>179</v>
      </c>
      <c r="H694" s="34" t="s">
        <v>86</v>
      </c>
      <c r="I694" s="18" t="s">
        <v>104</v>
      </c>
      <c r="J694" s="31" t="s">
        <v>114</v>
      </c>
      <c r="K694" s="31">
        <v>46184</v>
      </c>
      <c r="L694" s="4"/>
      <c r="M694" s="4"/>
      <c r="N694" s="13" t="s">
        <v>29</v>
      </c>
      <c r="O694" s="35" t="str">
        <f>IF(D694="","",IF(COUNTIF(离职清单!C:C,D694)&gt;0,"已离职","在职"))</f>
        <v>在职</v>
      </c>
      <c r="P694" s="35">
        <f>IF(AND(O694="在职",J694="是"),COUNTIF(O$2:O694,"在职"),"")</f>
        <v>687</v>
      </c>
    </row>
    <row r="695" customFormat="1" ht="18" spans="1:16">
      <c r="A695" s="14">
        <f t="shared" si="14"/>
        <v>694</v>
      </c>
      <c r="B695" s="31">
        <v>46184</v>
      </c>
      <c r="C695" s="32" t="s">
        <v>945</v>
      </c>
      <c r="D695" s="120" t="s">
        <v>477</v>
      </c>
      <c r="E695" s="33" t="s">
        <v>42</v>
      </c>
      <c r="F695" s="18" t="s">
        <v>64</v>
      </c>
      <c r="G695" s="18" t="s">
        <v>179</v>
      </c>
      <c r="H695" s="34" t="s">
        <v>86</v>
      </c>
      <c r="I695" s="18" t="s">
        <v>104</v>
      </c>
      <c r="J695" s="31" t="s">
        <v>114</v>
      </c>
      <c r="K695" s="31">
        <v>46184</v>
      </c>
      <c r="L695" s="4"/>
      <c r="M695" s="4"/>
      <c r="N695" s="13" t="s">
        <v>29</v>
      </c>
      <c r="O695" s="35" t="str">
        <f>IF(D695="","",IF(COUNTIF(离职清单!C:C,D695)&gt;0,"已离职","在职"))</f>
        <v>在职</v>
      </c>
      <c r="P695" s="35">
        <f>IF(AND(O695="在职",J695="是"),COUNTIF(O$2:O695,"在职"),"")</f>
        <v>688</v>
      </c>
    </row>
    <row r="696" customFormat="1" ht="18" spans="1:16">
      <c r="A696" s="10">
        <f t="shared" si="14"/>
        <v>695</v>
      </c>
      <c r="B696" s="31">
        <v>46184</v>
      </c>
      <c r="C696" s="32" t="s">
        <v>946</v>
      </c>
      <c r="D696" s="120" t="s">
        <v>478</v>
      </c>
      <c r="E696" s="33" t="s">
        <v>42</v>
      </c>
      <c r="F696" s="18" t="s">
        <v>64</v>
      </c>
      <c r="G696" s="18" t="s">
        <v>179</v>
      </c>
      <c r="H696" s="34" t="s">
        <v>86</v>
      </c>
      <c r="I696" s="18" t="s">
        <v>104</v>
      </c>
      <c r="J696" s="31" t="s">
        <v>114</v>
      </c>
      <c r="K696" s="31">
        <v>46184</v>
      </c>
      <c r="L696" s="4"/>
      <c r="M696" s="4"/>
      <c r="N696" s="13" t="s">
        <v>29</v>
      </c>
      <c r="O696" s="35" t="str">
        <f>IF(D696="","",IF(COUNTIF(离职清单!C:C,D696)&gt;0,"已离职","在职"))</f>
        <v>在职</v>
      </c>
      <c r="P696" s="35">
        <f>IF(AND(O696="在职",J696="是"),COUNTIF(O$2:O696,"在职"),"")</f>
        <v>689</v>
      </c>
    </row>
    <row r="697" customFormat="1" ht="18" spans="1:16">
      <c r="A697" s="14">
        <f t="shared" si="14"/>
        <v>696</v>
      </c>
      <c r="B697" s="31">
        <v>46184</v>
      </c>
      <c r="C697" s="32" t="s">
        <v>947</v>
      </c>
      <c r="D697" s="120" t="s">
        <v>480</v>
      </c>
      <c r="E697" s="33" t="s">
        <v>43</v>
      </c>
      <c r="F697" s="18" t="s">
        <v>62</v>
      </c>
      <c r="G697" s="18" t="s">
        <v>179</v>
      </c>
      <c r="H697" s="34" t="s">
        <v>86</v>
      </c>
      <c r="I697" s="18" t="s">
        <v>104</v>
      </c>
      <c r="J697" s="31" t="s">
        <v>114</v>
      </c>
      <c r="K697" s="31">
        <v>46184</v>
      </c>
      <c r="L697" s="4"/>
      <c r="M697" s="4"/>
      <c r="N697" s="13" t="s">
        <v>29</v>
      </c>
      <c r="O697" s="35" t="str">
        <f>IF(D697="","",IF(COUNTIF(离职清单!C:C,D697)&gt;0,"已离职","在职"))</f>
        <v>在职</v>
      </c>
      <c r="P697" s="35">
        <f>IF(AND(O697="在职",J697="是"),COUNTIF(O$2:O697,"在职"),"")</f>
        <v>690</v>
      </c>
    </row>
    <row r="698" customFormat="1" ht="18" spans="1:16">
      <c r="A698" s="10">
        <f t="shared" si="14"/>
        <v>697</v>
      </c>
      <c r="B698" s="31">
        <v>46184</v>
      </c>
      <c r="C698" s="32" t="s">
        <v>948</v>
      </c>
      <c r="D698" s="120" t="s">
        <v>482</v>
      </c>
      <c r="E698" s="33" t="s">
        <v>74</v>
      </c>
      <c r="F698" s="18" t="s">
        <v>190</v>
      </c>
      <c r="G698" s="18" t="s">
        <v>179</v>
      </c>
      <c r="H698" s="34" t="s">
        <v>86</v>
      </c>
      <c r="I698" s="18" t="s">
        <v>104</v>
      </c>
      <c r="J698" s="31" t="s">
        <v>114</v>
      </c>
      <c r="K698" s="31">
        <v>46184</v>
      </c>
      <c r="L698" s="4"/>
      <c r="M698" s="4"/>
      <c r="N698" s="13" t="s">
        <v>29</v>
      </c>
      <c r="O698" s="35" t="str">
        <f>IF(D698="","",IF(COUNTIF(离职清单!C:C,D698)&gt;0,"已离职","在职"))</f>
        <v>在职</v>
      </c>
      <c r="P698" s="35">
        <f>IF(AND(O698="在职",J698="是"),COUNTIF(O$2:O698,"在职"),"")</f>
        <v>691</v>
      </c>
    </row>
    <row r="699" customFormat="1" ht="18" spans="1:16">
      <c r="A699" s="14">
        <f t="shared" si="14"/>
        <v>698</v>
      </c>
      <c r="B699" s="31">
        <v>46184</v>
      </c>
      <c r="C699" s="32" t="s">
        <v>949</v>
      </c>
      <c r="D699" s="120" t="s">
        <v>484</v>
      </c>
      <c r="E699" s="33" t="s">
        <v>43</v>
      </c>
      <c r="F699" s="18" t="s">
        <v>64</v>
      </c>
      <c r="G699" s="18" t="s">
        <v>179</v>
      </c>
      <c r="H699" s="34" t="s">
        <v>86</v>
      </c>
      <c r="I699" s="18" t="s">
        <v>104</v>
      </c>
      <c r="J699" s="31" t="s">
        <v>114</v>
      </c>
      <c r="K699" s="31">
        <v>46184</v>
      </c>
      <c r="L699" s="4"/>
      <c r="M699" s="4"/>
      <c r="N699" s="13" t="s">
        <v>29</v>
      </c>
      <c r="O699" s="35" t="str">
        <f>IF(D699="","",IF(COUNTIF(离职清单!C:C,D699)&gt;0,"已离职","在职"))</f>
        <v>在职</v>
      </c>
      <c r="P699" s="35">
        <f>IF(AND(O699="在职",J699="是"),COUNTIF(O$2:O699,"在职"),"")</f>
        <v>692</v>
      </c>
    </row>
    <row r="700" customFormat="1" ht="18" spans="1:16">
      <c r="A700" s="10">
        <f t="shared" si="14"/>
        <v>699</v>
      </c>
      <c r="B700" s="31">
        <v>46184</v>
      </c>
      <c r="C700" s="32" t="s">
        <v>207</v>
      </c>
      <c r="D700" s="120" t="s">
        <v>486</v>
      </c>
      <c r="E700" s="33" t="s">
        <v>74</v>
      </c>
      <c r="F700" s="18" t="s">
        <v>190</v>
      </c>
      <c r="G700" s="18" t="s">
        <v>117</v>
      </c>
      <c r="H700" s="34" t="s">
        <v>86</v>
      </c>
      <c r="I700" s="18" t="s">
        <v>111</v>
      </c>
      <c r="J700" s="31" t="s">
        <v>105</v>
      </c>
      <c r="K700" s="31">
        <v>46184</v>
      </c>
      <c r="L700" s="4"/>
      <c r="M700" s="4"/>
      <c r="N700" s="13" t="s">
        <v>29</v>
      </c>
      <c r="O700" s="35" t="str">
        <f>IF(D700="","",IF(COUNTIF(离职清单!C:C,D700)&gt;0,"已离职","在职"))</f>
        <v>在职</v>
      </c>
      <c r="P700" s="35" t="str">
        <f>IF(AND(O700="在职",J700="是"),COUNTIF(O$2:O700,"在职"),"")</f>
        <v/>
      </c>
    </row>
    <row r="701" customFormat="1" ht="18" spans="1:16">
      <c r="A701" s="14">
        <f t="shared" si="14"/>
        <v>700</v>
      </c>
      <c r="B701" s="31">
        <v>46184</v>
      </c>
      <c r="C701" s="32" t="s">
        <v>950</v>
      </c>
      <c r="D701" s="120" t="s">
        <v>488</v>
      </c>
      <c r="E701" s="33" t="s">
        <v>42</v>
      </c>
      <c r="F701" s="18" t="s">
        <v>64</v>
      </c>
      <c r="G701" s="18" t="s">
        <v>173</v>
      </c>
      <c r="H701" s="34" t="s">
        <v>86</v>
      </c>
      <c r="I701" s="18" t="s">
        <v>111</v>
      </c>
      <c r="J701" s="31" t="s">
        <v>105</v>
      </c>
      <c r="K701" s="31">
        <v>46184</v>
      </c>
      <c r="L701" s="4"/>
      <c r="M701" s="4"/>
      <c r="N701" s="13" t="s">
        <v>29</v>
      </c>
      <c r="O701" s="35" t="str">
        <f>IF(D701="","",IF(COUNTIF(离职清单!C:C,D701)&gt;0,"已离职","在职"))</f>
        <v>在职</v>
      </c>
      <c r="P701" s="35" t="str">
        <f>IF(AND(O701="在职",J701="是"),COUNTIF(O$2:O701,"在职"),"")</f>
        <v/>
      </c>
    </row>
    <row r="702" customFormat="1" ht="18" spans="1:16">
      <c r="A702" s="10">
        <f t="shared" si="14"/>
        <v>701</v>
      </c>
      <c r="B702" s="31">
        <v>46184</v>
      </c>
      <c r="C702" s="32" t="s">
        <v>951</v>
      </c>
      <c r="D702" s="120" t="s">
        <v>490</v>
      </c>
      <c r="E702" s="33" t="s">
        <v>74</v>
      </c>
      <c r="F702" s="18" t="s">
        <v>64</v>
      </c>
      <c r="G702" s="18" t="s">
        <v>135</v>
      </c>
      <c r="H702" s="34" t="s">
        <v>86</v>
      </c>
      <c r="I702" s="18" t="s">
        <v>104</v>
      </c>
      <c r="J702" s="31" t="s">
        <v>114</v>
      </c>
      <c r="K702" s="31">
        <v>46184</v>
      </c>
      <c r="L702" s="4"/>
      <c r="M702" s="4"/>
      <c r="N702" s="13" t="s">
        <v>29</v>
      </c>
      <c r="O702" s="35" t="str">
        <f>IF(D702="","",IF(COUNTIF(离职清单!C:C,D702)&gt;0,"已离职","在职"))</f>
        <v>在职</v>
      </c>
      <c r="P702" s="35">
        <f>IF(AND(O702="在职",J702="是"),COUNTIF(O$2:O702,"在职"),"")</f>
        <v>695</v>
      </c>
    </row>
    <row r="703" customFormat="1" ht="18" spans="1:16">
      <c r="A703" s="14">
        <f t="shared" si="14"/>
        <v>702</v>
      </c>
      <c r="B703" s="31">
        <v>46184</v>
      </c>
      <c r="C703" s="32" t="s">
        <v>792</v>
      </c>
      <c r="D703" s="120" t="s">
        <v>492</v>
      </c>
      <c r="E703" s="33" t="s">
        <v>43</v>
      </c>
      <c r="F703" s="18" t="s">
        <v>64</v>
      </c>
      <c r="G703" s="18" t="s">
        <v>179</v>
      </c>
      <c r="H703" s="34" t="s">
        <v>86</v>
      </c>
      <c r="I703" s="18" t="s">
        <v>104</v>
      </c>
      <c r="J703" s="31" t="s">
        <v>114</v>
      </c>
      <c r="K703" s="31">
        <v>46184</v>
      </c>
      <c r="L703" s="4"/>
      <c r="M703" s="4"/>
      <c r="N703" s="13" t="s">
        <v>29</v>
      </c>
      <c r="O703" s="35" t="str">
        <f>IF(D703="","",IF(COUNTIF(离职清单!C:C,D703)&gt;0,"已离职","在职"))</f>
        <v>在职</v>
      </c>
      <c r="P703" s="35">
        <f>IF(AND(O703="在职",J703="是"),COUNTIF(O$2:O703,"在职"),"")</f>
        <v>696</v>
      </c>
    </row>
    <row r="704" customFormat="1" ht="18" spans="1:16">
      <c r="A704" s="10">
        <f t="shared" si="14"/>
        <v>703</v>
      </c>
      <c r="B704" s="31">
        <v>46184</v>
      </c>
      <c r="C704" s="32" t="s">
        <v>925</v>
      </c>
      <c r="D704" s="120" t="s">
        <v>477</v>
      </c>
      <c r="E704" s="33" t="s">
        <v>43</v>
      </c>
      <c r="F704" s="18" t="s">
        <v>63</v>
      </c>
      <c r="G704" s="18" t="s">
        <v>233</v>
      </c>
      <c r="H704" s="34" t="s">
        <v>86</v>
      </c>
      <c r="I704" s="18" t="s">
        <v>104</v>
      </c>
      <c r="J704" s="31" t="s">
        <v>114</v>
      </c>
      <c r="K704" s="31">
        <v>46184</v>
      </c>
      <c r="L704" s="4"/>
      <c r="M704" s="4"/>
      <c r="N704" s="13" t="s">
        <v>29</v>
      </c>
      <c r="O704" s="35" t="str">
        <f>IF(D704="","",IF(COUNTIF(离职清单!C:C,D704)&gt;0,"已离职","在职"))</f>
        <v>在职</v>
      </c>
      <c r="P704" s="35">
        <f>IF(AND(O704="在职",J704="是"),COUNTIF(O$2:O704,"在职"),"")</f>
        <v>697</v>
      </c>
    </row>
    <row r="705" customFormat="1" ht="18" spans="1:16">
      <c r="A705" s="14">
        <f t="shared" si="14"/>
        <v>704</v>
      </c>
      <c r="B705" s="31">
        <v>46184</v>
      </c>
      <c r="C705" s="32" t="s">
        <v>952</v>
      </c>
      <c r="D705" s="120" t="s">
        <v>478</v>
      </c>
      <c r="E705" s="33" t="s">
        <v>42</v>
      </c>
      <c r="F705" s="18" t="s">
        <v>64</v>
      </c>
      <c r="G705" s="18" t="s">
        <v>233</v>
      </c>
      <c r="H705" s="34" t="s">
        <v>86</v>
      </c>
      <c r="I705" s="18" t="s">
        <v>111</v>
      </c>
      <c r="J705" s="31" t="s">
        <v>105</v>
      </c>
      <c r="K705" s="31">
        <v>46184</v>
      </c>
      <c r="L705" s="4"/>
      <c r="M705" s="4"/>
      <c r="N705" s="13" t="s">
        <v>29</v>
      </c>
      <c r="O705" s="35" t="str">
        <f>IF(D705="","",IF(COUNTIF(离职清单!C:C,D705)&gt;0,"已离职","在职"))</f>
        <v>在职</v>
      </c>
      <c r="P705" s="35" t="str">
        <f>IF(AND(O705="在职",J705="是"),COUNTIF(O$2:O705,"在职"),"")</f>
        <v/>
      </c>
    </row>
    <row r="706" customFormat="1" ht="18" spans="1:16">
      <c r="A706" s="10">
        <f t="shared" si="14"/>
        <v>705</v>
      </c>
      <c r="B706" s="31">
        <v>46184</v>
      </c>
      <c r="C706" s="32" t="s">
        <v>905</v>
      </c>
      <c r="D706" s="120" t="s">
        <v>480</v>
      </c>
      <c r="E706" s="33" t="s">
        <v>42</v>
      </c>
      <c r="F706" s="18" t="s">
        <v>64</v>
      </c>
      <c r="G706" s="18" t="s">
        <v>179</v>
      </c>
      <c r="H706" s="34" t="s">
        <v>86</v>
      </c>
      <c r="I706" s="18" t="s">
        <v>104</v>
      </c>
      <c r="J706" s="31" t="s">
        <v>114</v>
      </c>
      <c r="K706" s="31">
        <v>46184</v>
      </c>
      <c r="L706" s="4"/>
      <c r="M706" s="4"/>
      <c r="N706" s="13" t="s">
        <v>29</v>
      </c>
      <c r="O706" s="35" t="str">
        <f>IF(D706="","",IF(COUNTIF(离职清单!C:C,D706)&gt;0,"已离职","在职"))</f>
        <v>在职</v>
      </c>
      <c r="P706" s="35">
        <f>IF(AND(O706="在职",J706="是"),COUNTIF(O$2:O706,"在职"),"")</f>
        <v>699</v>
      </c>
    </row>
    <row r="707" customFormat="1" ht="18" spans="1:16">
      <c r="A707" s="14">
        <f t="shared" si="14"/>
        <v>706</v>
      </c>
      <c r="B707" s="31">
        <v>46184</v>
      </c>
      <c r="C707" s="32" t="s">
        <v>953</v>
      </c>
      <c r="D707" s="120" t="s">
        <v>482</v>
      </c>
      <c r="E707" s="33" t="s">
        <v>42</v>
      </c>
      <c r="F707" s="18" t="s">
        <v>64</v>
      </c>
      <c r="G707" s="18" t="s">
        <v>954</v>
      </c>
      <c r="H707" s="34" t="s">
        <v>86</v>
      </c>
      <c r="I707" s="18" t="s">
        <v>111</v>
      </c>
      <c r="J707" s="31" t="s">
        <v>105</v>
      </c>
      <c r="K707" s="31">
        <v>46184</v>
      </c>
      <c r="L707" s="4"/>
      <c r="M707" s="4"/>
      <c r="N707" s="13" t="s">
        <v>29</v>
      </c>
      <c r="O707" s="35" t="str">
        <f>IF(D707="","",IF(COUNTIF(离职清单!C:C,D707)&gt;0,"已离职","在职"))</f>
        <v>在职</v>
      </c>
      <c r="P707" s="35" t="str">
        <f>IF(AND(O707="在职",J707="是"),COUNTIF(O$2:O707,"在职"),"")</f>
        <v/>
      </c>
    </row>
    <row r="708" customFormat="1" ht="18" spans="1:16">
      <c r="A708" s="10">
        <f t="shared" si="14"/>
        <v>707</v>
      </c>
      <c r="B708" s="31">
        <v>46184</v>
      </c>
      <c r="C708" s="32" t="s">
        <v>955</v>
      </c>
      <c r="D708" s="120" t="s">
        <v>484</v>
      </c>
      <c r="E708" s="33" t="s">
        <v>42</v>
      </c>
      <c r="F708" s="18" t="s">
        <v>64</v>
      </c>
      <c r="G708" s="18" t="s">
        <v>744</v>
      </c>
      <c r="H708" s="34" t="s">
        <v>86</v>
      </c>
      <c r="I708" s="18" t="s">
        <v>111</v>
      </c>
      <c r="J708" s="31" t="s">
        <v>105</v>
      </c>
      <c r="K708" s="31">
        <v>46184</v>
      </c>
      <c r="L708" s="4"/>
      <c r="M708" s="4"/>
      <c r="N708" s="13" t="s">
        <v>29</v>
      </c>
      <c r="O708" s="35" t="str">
        <f>IF(D708="","",IF(COUNTIF(离职清单!C:C,D708)&gt;0,"已离职","在职"))</f>
        <v>在职</v>
      </c>
      <c r="P708" s="35" t="str">
        <f>IF(AND(O708="在职",J708="是"),COUNTIF(O$2:O708,"在职"),"")</f>
        <v/>
      </c>
    </row>
    <row r="709" customFormat="1" ht="18" spans="1:16">
      <c r="A709" s="14">
        <f t="shared" si="14"/>
        <v>708</v>
      </c>
      <c r="B709" s="31">
        <v>46185</v>
      </c>
      <c r="C709" s="32" t="s">
        <v>514</v>
      </c>
      <c r="D709" s="120" t="s">
        <v>486</v>
      </c>
      <c r="E709" s="33" t="s">
        <v>43</v>
      </c>
      <c r="F709" s="18" t="s">
        <v>64</v>
      </c>
      <c r="G709" s="18" t="s">
        <v>785</v>
      </c>
      <c r="H709" s="34" t="s">
        <v>86</v>
      </c>
      <c r="I709" s="18" t="s">
        <v>111</v>
      </c>
      <c r="J709" s="31" t="s">
        <v>105</v>
      </c>
      <c r="K709" s="31">
        <v>46185</v>
      </c>
      <c r="L709" s="4"/>
      <c r="M709" s="4"/>
      <c r="N709" s="13" t="s">
        <v>29</v>
      </c>
      <c r="O709" s="35" t="str">
        <f>IF(D709="","",IF(COUNTIF(离职清单!C:C,D709)&gt;0,"已离职","在职"))</f>
        <v>在职</v>
      </c>
      <c r="P709" s="35" t="str">
        <f>IF(AND(O709="在职",J709="是"),COUNTIF(O$2:O709,"在职"),"")</f>
        <v/>
      </c>
    </row>
    <row r="710" customFormat="1" ht="18" spans="1:16">
      <c r="A710" s="10">
        <f t="shared" si="14"/>
        <v>709</v>
      </c>
      <c r="B710" s="31">
        <v>46185</v>
      </c>
      <c r="C710" s="32" t="s">
        <v>956</v>
      </c>
      <c r="D710" s="120" t="s">
        <v>488</v>
      </c>
      <c r="E710" s="33" t="s">
        <v>42</v>
      </c>
      <c r="F710" s="18" t="s">
        <v>64</v>
      </c>
      <c r="G710" s="18" t="s">
        <v>148</v>
      </c>
      <c r="H710" s="34" t="s">
        <v>86</v>
      </c>
      <c r="I710" s="18" t="s">
        <v>111</v>
      </c>
      <c r="J710" s="31" t="s">
        <v>105</v>
      </c>
      <c r="K710" s="31">
        <v>46185</v>
      </c>
      <c r="L710" s="4"/>
      <c r="M710" s="4"/>
      <c r="N710" s="13" t="s">
        <v>29</v>
      </c>
      <c r="O710" s="35" t="str">
        <f>IF(D710="","",IF(COUNTIF(离职清单!C:C,D710)&gt;0,"已离职","在职"))</f>
        <v>在职</v>
      </c>
      <c r="P710" s="35" t="str">
        <f>IF(AND(O710="在职",J710="是"),COUNTIF(O$2:O710,"在职"),"")</f>
        <v/>
      </c>
    </row>
    <row r="711" customFormat="1" ht="18" spans="1:16">
      <c r="A711" s="14">
        <f t="shared" si="14"/>
        <v>710</v>
      </c>
      <c r="B711" s="31">
        <v>46185</v>
      </c>
      <c r="C711" s="32" t="s">
        <v>525</v>
      </c>
      <c r="D711" s="120" t="s">
        <v>490</v>
      </c>
      <c r="E711" s="33" t="s">
        <v>42</v>
      </c>
      <c r="F711" s="18" t="s">
        <v>64</v>
      </c>
      <c r="G711" s="18" t="s">
        <v>148</v>
      </c>
      <c r="H711" s="34" t="s">
        <v>86</v>
      </c>
      <c r="I711" s="18" t="s">
        <v>104</v>
      </c>
      <c r="J711" s="31" t="s">
        <v>114</v>
      </c>
      <c r="K711" s="31">
        <v>46185</v>
      </c>
      <c r="L711" s="4"/>
      <c r="M711" s="4"/>
      <c r="N711" s="13" t="s">
        <v>29</v>
      </c>
      <c r="O711" s="35" t="str">
        <f>IF(D711="","",IF(COUNTIF(离职清单!C:C,D711)&gt;0,"已离职","在职"))</f>
        <v>在职</v>
      </c>
      <c r="P711" s="35">
        <f>IF(AND(O711="在职",J711="是"),COUNTIF(O$2:O711,"在职"),"")</f>
        <v>704</v>
      </c>
    </row>
    <row r="712" customFormat="1" ht="18" spans="1:16">
      <c r="A712" s="10">
        <f t="shared" si="14"/>
        <v>711</v>
      </c>
      <c r="B712" s="31">
        <v>46185</v>
      </c>
      <c r="C712" s="32" t="s">
        <v>957</v>
      </c>
      <c r="D712" s="120" t="s">
        <v>492</v>
      </c>
      <c r="E712" s="33" t="s">
        <v>43</v>
      </c>
      <c r="F712" s="18" t="s">
        <v>64</v>
      </c>
      <c r="G712" s="18" t="s">
        <v>148</v>
      </c>
      <c r="H712" s="34" t="s">
        <v>86</v>
      </c>
      <c r="I712" s="18" t="s">
        <v>111</v>
      </c>
      <c r="J712" s="31" t="s">
        <v>105</v>
      </c>
      <c r="K712" s="31">
        <v>46185</v>
      </c>
      <c r="L712" s="4"/>
      <c r="M712" s="4"/>
      <c r="N712" s="13" t="s">
        <v>29</v>
      </c>
      <c r="O712" s="35" t="str">
        <f>IF(D712="","",IF(COUNTIF(离职清单!C:C,D712)&gt;0,"已离职","在职"))</f>
        <v>在职</v>
      </c>
      <c r="P712" s="35" t="str">
        <f>IF(AND(O712="在职",J712="是"),COUNTIF(O$2:O712,"在职"),"")</f>
        <v/>
      </c>
    </row>
    <row r="713" customFormat="1" ht="18" spans="1:16">
      <c r="A713" s="14">
        <f t="shared" si="14"/>
        <v>712</v>
      </c>
      <c r="B713" s="31">
        <v>46185</v>
      </c>
      <c r="C713" s="32" t="s">
        <v>958</v>
      </c>
      <c r="D713" s="120" t="s">
        <v>477</v>
      </c>
      <c r="E713" s="33" t="s">
        <v>43</v>
      </c>
      <c r="F713" s="18" t="s">
        <v>64</v>
      </c>
      <c r="G713" s="18" t="s">
        <v>148</v>
      </c>
      <c r="H713" s="34" t="s">
        <v>86</v>
      </c>
      <c r="I713" s="18" t="s">
        <v>111</v>
      </c>
      <c r="J713" s="31" t="s">
        <v>105</v>
      </c>
      <c r="K713" s="31">
        <v>46185</v>
      </c>
      <c r="L713" s="4"/>
      <c r="M713" s="4"/>
      <c r="N713" s="13" t="s">
        <v>29</v>
      </c>
      <c r="O713" s="35" t="str">
        <f>IF(D713="","",IF(COUNTIF(离职清单!C:C,D713)&gt;0,"已离职","在职"))</f>
        <v>在职</v>
      </c>
      <c r="P713" s="35" t="str">
        <f>IF(AND(O713="在职",J713="是"),COUNTIF(O$2:O713,"在职"),"")</f>
        <v/>
      </c>
    </row>
    <row r="714" customFormat="1" ht="18" spans="1:16">
      <c r="A714" s="10">
        <f t="shared" si="14"/>
        <v>713</v>
      </c>
      <c r="B714" s="31">
        <v>46185</v>
      </c>
      <c r="C714" s="32" t="s">
        <v>864</v>
      </c>
      <c r="D714" s="120" t="s">
        <v>478</v>
      </c>
      <c r="E714" s="33" t="s">
        <v>42</v>
      </c>
      <c r="F714" s="18" t="s">
        <v>64</v>
      </c>
      <c r="G714" s="18" t="s">
        <v>148</v>
      </c>
      <c r="H714" s="34" t="s">
        <v>86</v>
      </c>
      <c r="I714" s="18" t="s">
        <v>104</v>
      </c>
      <c r="J714" s="31" t="s">
        <v>105</v>
      </c>
      <c r="K714" s="31">
        <v>46185</v>
      </c>
      <c r="L714" s="4"/>
      <c r="M714" s="4"/>
      <c r="N714" s="13" t="s">
        <v>29</v>
      </c>
      <c r="O714" s="35" t="str">
        <f>IF(D714="","",IF(COUNTIF(离职清单!C:C,D714)&gt;0,"已离职","在职"))</f>
        <v>在职</v>
      </c>
      <c r="P714" s="35" t="str">
        <f>IF(AND(O714="在职",J714="是"),COUNTIF(O$2:O714,"在职"),"")</f>
        <v/>
      </c>
    </row>
    <row r="715" customFormat="1" ht="18" spans="1:16">
      <c r="A715" s="14">
        <f t="shared" si="14"/>
        <v>714</v>
      </c>
      <c r="B715" s="31">
        <v>46185</v>
      </c>
      <c r="C715" s="32" t="s">
        <v>865</v>
      </c>
      <c r="D715" s="120" t="s">
        <v>480</v>
      </c>
      <c r="E715" s="33" t="s">
        <v>42</v>
      </c>
      <c r="F715" s="18" t="s">
        <v>64</v>
      </c>
      <c r="G715" s="18" t="s">
        <v>148</v>
      </c>
      <c r="H715" s="34" t="s">
        <v>86</v>
      </c>
      <c r="I715" s="18" t="s">
        <v>111</v>
      </c>
      <c r="J715" s="31" t="s">
        <v>105</v>
      </c>
      <c r="K715" s="31">
        <v>46185</v>
      </c>
      <c r="L715" s="4"/>
      <c r="M715" s="4"/>
      <c r="N715" s="13" t="s">
        <v>29</v>
      </c>
      <c r="O715" s="35" t="str">
        <f>IF(D715="","",IF(COUNTIF(离职清单!C:C,D715)&gt;0,"已离职","在职"))</f>
        <v>在职</v>
      </c>
      <c r="P715" s="35" t="str">
        <f>IF(AND(O715="在职",J715="是"),COUNTIF(O$2:O715,"在职"),"")</f>
        <v/>
      </c>
    </row>
    <row r="716" customFormat="1" ht="18" spans="1:16">
      <c r="A716" s="10">
        <f t="shared" si="14"/>
        <v>715</v>
      </c>
      <c r="B716" s="31">
        <v>46185</v>
      </c>
      <c r="C716" s="32" t="s">
        <v>866</v>
      </c>
      <c r="D716" s="120" t="s">
        <v>482</v>
      </c>
      <c r="E716" s="33" t="s">
        <v>42</v>
      </c>
      <c r="F716" s="18" t="s">
        <v>64</v>
      </c>
      <c r="G716" s="18" t="s">
        <v>148</v>
      </c>
      <c r="H716" s="34" t="s">
        <v>86</v>
      </c>
      <c r="I716" s="18" t="s">
        <v>104</v>
      </c>
      <c r="J716" s="31" t="s">
        <v>114</v>
      </c>
      <c r="K716" s="31">
        <v>46185</v>
      </c>
      <c r="L716" s="4"/>
      <c r="M716" s="4"/>
      <c r="N716" s="13" t="s">
        <v>29</v>
      </c>
      <c r="O716" s="35" t="str">
        <f>IF(D716="","",IF(COUNTIF(离职清单!C:C,D716)&gt;0,"已离职","在职"))</f>
        <v>在职</v>
      </c>
      <c r="P716" s="35">
        <f>IF(AND(O716="在职",J716="是"),COUNTIF(O$2:O716,"在职"),"")</f>
        <v>709</v>
      </c>
    </row>
    <row r="717" customFormat="1" ht="18" spans="1:16">
      <c r="A717" s="14">
        <f t="shared" si="14"/>
        <v>716</v>
      </c>
      <c r="B717" s="31">
        <v>46185</v>
      </c>
      <c r="C717" s="32" t="s">
        <v>959</v>
      </c>
      <c r="D717" s="120" t="s">
        <v>484</v>
      </c>
      <c r="E717" s="33" t="s">
        <v>42</v>
      </c>
      <c r="F717" s="18" t="s">
        <v>64</v>
      </c>
      <c r="G717" s="18" t="s">
        <v>148</v>
      </c>
      <c r="H717" s="34" t="s">
        <v>86</v>
      </c>
      <c r="I717" s="18" t="s">
        <v>104</v>
      </c>
      <c r="J717" s="31" t="s">
        <v>114</v>
      </c>
      <c r="K717" s="31">
        <v>46185</v>
      </c>
      <c r="L717" s="4"/>
      <c r="M717" s="4"/>
      <c r="N717" s="13" t="s">
        <v>29</v>
      </c>
      <c r="O717" s="35" t="str">
        <f>IF(D717="","",IF(COUNTIF(离职清单!C:C,D717)&gt;0,"已离职","在职"))</f>
        <v>在职</v>
      </c>
      <c r="P717" s="35">
        <f>IF(AND(O717="在职",J717="是"),COUNTIF(O$2:O717,"在职"),"")</f>
        <v>710</v>
      </c>
    </row>
    <row r="718" customFormat="1" ht="18" spans="1:16">
      <c r="A718" s="10">
        <f t="shared" si="14"/>
        <v>717</v>
      </c>
      <c r="B718" s="31">
        <v>46185</v>
      </c>
      <c r="C718" s="32" t="s">
        <v>791</v>
      </c>
      <c r="D718" s="120" t="s">
        <v>486</v>
      </c>
      <c r="E718" s="33" t="s">
        <v>42</v>
      </c>
      <c r="F718" s="18" t="s">
        <v>64</v>
      </c>
      <c r="G718" s="18" t="s">
        <v>148</v>
      </c>
      <c r="H718" s="34" t="s">
        <v>86</v>
      </c>
      <c r="I718" s="18" t="s">
        <v>104</v>
      </c>
      <c r="J718" s="31" t="s">
        <v>114</v>
      </c>
      <c r="K718" s="31">
        <v>46185</v>
      </c>
      <c r="L718" s="4"/>
      <c r="M718" s="4"/>
      <c r="N718" s="13" t="s">
        <v>29</v>
      </c>
      <c r="O718" s="35" t="str">
        <f>IF(D718="","",IF(COUNTIF(离职清单!C:C,D718)&gt;0,"已离职","在职"))</f>
        <v>在职</v>
      </c>
      <c r="P718" s="35">
        <f>IF(AND(O718="在职",J718="是"),COUNTIF(O$2:O718,"在职"),"")</f>
        <v>711</v>
      </c>
    </row>
    <row r="719" customFormat="1" ht="18" spans="1:16">
      <c r="A719" s="14">
        <f t="shared" si="14"/>
        <v>718</v>
      </c>
      <c r="B719" s="31">
        <v>46185</v>
      </c>
      <c r="C719" s="32" t="s">
        <v>859</v>
      </c>
      <c r="D719" s="120" t="s">
        <v>488</v>
      </c>
      <c r="E719" s="33" t="s">
        <v>42</v>
      </c>
      <c r="F719" s="18" t="s">
        <v>64</v>
      </c>
      <c r="G719" s="18" t="s">
        <v>148</v>
      </c>
      <c r="H719" s="34" t="s">
        <v>86</v>
      </c>
      <c r="I719" s="18" t="s">
        <v>104</v>
      </c>
      <c r="J719" s="31" t="s">
        <v>114</v>
      </c>
      <c r="K719" s="31">
        <v>46185</v>
      </c>
      <c r="L719" s="4"/>
      <c r="M719" s="4"/>
      <c r="N719" s="13" t="s">
        <v>29</v>
      </c>
      <c r="O719" s="35" t="str">
        <f>IF(D719="","",IF(COUNTIF(离职清单!C:C,D719)&gt;0,"已离职","在职"))</f>
        <v>在职</v>
      </c>
      <c r="P719" s="35">
        <f>IF(AND(O719="在职",J719="是"),COUNTIF(O$2:O719,"在职"),"")</f>
        <v>712</v>
      </c>
    </row>
    <row r="720" customFormat="1" ht="18" spans="1:16">
      <c r="A720" s="10">
        <f t="shared" si="14"/>
        <v>719</v>
      </c>
      <c r="B720" s="31">
        <v>46185</v>
      </c>
      <c r="C720" s="32" t="s">
        <v>918</v>
      </c>
      <c r="D720" s="120" t="s">
        <v>490</v>
      </c>
      <c r="E720" s="33" t="s">
        <v>42</v>
      </c>
      <c r="F720" s="18" t="s">
        <v>64</v>
      </c>
      <c r="G720" s="18" t="s">
        <v>148</v>
      </c>
      <c r="H720" s="34" t="s">
        <v>86</v>
      </c>
      <c r="I720" s="18" t="s">
        <v>111</v>
      </c>
      <c r="J720" s="31" t="s">
        <v>105</v>
      </c>
      <c r="K720" s="31">
        <v>46185</v>
      </c>
      <c r="L720" s="4"/>
      <c r="M720" s="4"/>
      <c r="N720" s="13" t="s">
        <v>29</v>
      </c>
      <c r="O720" s="35" t="str">
        <f>IF(D720="","",IF(COUNTIF(离职清单!C:C,D720)&gt;0,"已离职","在职"))</f>
        <v>在职</v>
      </c>
      <c r="P720" s="35" t="str">
        <f>IF(AND(O720="在职",J720="是"),COUNTIF(O$2:O720,"在职"),"")</f>
        <v/>
      </c>
    </row>
    <row r="721" customFormat="1" ht="18" spans="1:16">
      <c r="A721" s="14">
        <f t="shared" si="14"/>
        <v>720</v>
      </c>
      <c r="B721" s="31">
        <v>46185</v>
      </c>
      <c r="C721" s="32" t="s">
        <v>960</v>
      </c>
      <c r="D721" s="120" t="s">
        <v>492</v>
      </c>
      <c r="E721" s="33" t="s">
        <v>42</v>
      </c>
      <c r="F721" s="18" t="s">
        <v>64</v>
      </c>
      <c r="G721" s="18" t="s">
        <v>110</v>
      </c>
      <c r="H721" s="34" t="s">
        <v>86</v>
      </c>
      <c r="I721" s="18" t="s">
        <v>104</v>
      </c>
      <c r="J721" s="31" t="s">
        <v>105</v>
      </c>
      <c r="K721" s="31">
        <v>46185</v>
      </c>
      <c r="L721" s="4"/>
      <c r="M721" s="4"/>
      <c r="N721" s="13" t="s">
        <v>29</v>
      </c>
      <c r="O721" s="35" t="str">
        <f>IF(D721="","",IF(COUNTIF(离职清单!C:C,D721)&gt;0,"已离职","在职"))</f>
        <v>在职</v>
      </c>
      <c r="P721" s="35" t="str">
        <f>IF(AND(O721="在职",J721="是"),COUNTIF(O$2:O721,"在职"),"")</f>
        <v/>
      </c>
    </row>
    <row r="722" customFormat="1" ht="18" spans="1:16">
      <c r="A722" s="10">
        <f t="shared" si="14"/>
        <v>721</v>
      </c>
      <c r="B722" s="31">
        <v>46185</v>
      </c>
      <c r="C722" s="32" t="s">
        <v>961</v>
      </c>
      <c r="D722" s="120" t="s">
        <v>477</v>
      </c>
      <c r="E722" s="33" t="s">
        <v>74</v>
      </c>
      <c r="F722" s="18" t="s">
        <v>64</v>
      </c>
      <c r="G722" s="18" t="s">
        <v>124</v>
      </c>
      <c r="H722" s="34" t="s">
        <v>86</v>
      </c>
      <c r="I722" s="18" t="s">
        <v>104</v>
      </c>
      <c r="J722" s="31" t="s">
        <v>114</v>
      </c>
      <c r="K722" s="31">
        <v>46185</v>
      </c>
      <c r="L722" s="4"/>
      <c r="M722" s="4"/>
      <c r="N722" s="13" t="s">
        <v>29</v>
      </c>
      <c r="O722" s="35" t="str">
        <f>IF(D722="","",IF(COUNTIF(离职清单!C:C,D722)&gt;0,"已离职","在职"))</f>
        <v>在职</v>
      </c>
      <c r="P722" s="35">
        <f>IF(AND(O722="在职",J722="是"),COUNTIF(O$2:O722,"在职"),"")</f>
        <v>715</v>
      </c>
    </row>
    <row r="723" customFormat="1" ht="18" spans="1:16">
      <c r="A723" s="14">
        <f t="shared" si="14"/>
        <v>722</v>
      </c>
      <c r="B723" s="31">
        <v>46185</v>
      </c>
      <c r="C723" s="32" t="s">
        <v>928</v>
      </c>
      <c r="D723" s="120" t="s">
        <v>478</v>
      </c>
      <c r="E723" s="33" t="s">
        <v>43</v>
      </c>
      <c r="F723" s="18" t="s">
        <v>63</v>
      </c>
      <c r="G723" s="18" t="s">
        <v>103</v>
      </c>
      <c r="H723" s="34" t="s">
        <v>86</v>
      </c>
      <c r="I723" s="18" t="s">
        <v>104</v>
      </c>
      <c r="J723" s="31" t="s">
        <v>105</v>
      </c>
      <c r="K723" s="31">
        <v>46185</v>
      </c>
      <c r="L723" s="4"/>
      <c r="M723" s="4"/>
      <c r="N723" s="13" t="s">
        <v>29</v>
      </c>
      <c r="O723" s="35" t="str">
        <f>IF(D723="","",IF(COUNTIF(离职清单!C:C,D723)&gt;0,"已离职","在职"))</f>
        <v>在职</v>
      </c>
      <c r="P723" s="35" t="str">
        <f>IF(AND(O723="在职",J723="是"),COUNTIF(O$2:O723,"在职"),"")</f>
        <v/>
      </c>
    </row>
    <row r="724" customFormat="1" ht="18" spans="1:16">
      <c r="A724" s="10">
        <f t="shared" si="14"/>
        <v>723</v>
      </c>
      <c r="B724" s="31">
        <v>46185</v>
      </c>
      <c r="C724" s="32" t="s">
        <v>962</v>
      </c>
      <c r="D724" s="120" t="s">
        <v>480</v>
      </c>
      <c r="E724" s="33" t="s">
        <v>42</v>
      </c>
      <c r="F724" s="18" t="s">
        <v>64</v>
      </c>
      <c r="G724" s="18" t="s">
        <v>103</v>
      </c>
      <c r="H724" s="34" t="s">
        <v>86</v>
      </c>
      <c r="I724" s="18" t="s">
        <v>104</v>
      </c>
      <c r="J724" s="31" t="s">
        <v>114</v>
      </c>
      <c r="K724" s="31">
        <v>46185</v>
      </c>
      <c r="L724" s="4"/>
      <c r="M724" s="4"/>
      <c r="N724" s="13" t="s">
        <v>29</v>
      </c>
      <c r="O724" s="35" t="str">
        <f>IF(D724="","",IF(COUNTIF(离职清单!C:C,D724)&gt;0,"已离职","在职"))</f>
        <v>在职</v>
      </c>
      <c r="P724" s="35">
        <f>IF(AND(O724="在职",J724="是"),COUNTIF(O$2:O724,"在职"),"")</f>
        <v>717</v>
      </c>
    </row>
    <row r="725" customFormat="1" ht="18" spans="1:16">
      <c r="A725" s="14">
        <f t="shared" si="14"/>
        <v>724</v>
      </c>
      <c r="B725" s="31">
        <v>46185</v>
      </c>
      <c r="C725" s="32" t="s">
        <v>963</v>
      </c>
      <c r="D725" s="120" t="s">
        <v>482</v>
      </c>
      <c r="E725" s="33" t="s">
        <v>43</v>
      </c>
      <c r="F725" s="18" t="s">
        <v>64</v>
      </c>
      <c r="G725" s="18" t="s">
        <v>103</v>
      </c>
      <c r="H725" s="34" t="s">
        <v>86</v>
      </c>
      <c r="I725" s="18" t="s">
        <v>104</v>
      </c>
      <c r="J725" s="31" t="s">
        <v>114</v>
      </c>
      <c r="K725" s="31">
        <v>46185</v>
      </c>
      <c r="L725" s="4"/>
      <c r="M725" s="4"/>
      <c r="N725" s="13" t="s">
        <v>29</v>
      </c>
      <c r="O725" s="35" t="str">
        <f>IF(D725="","",IF(COUNTIF(离职清单!C:C,D725)&gt;0,"已离职","在职"))</f>
        <v>在职</v>
      </c>
      <c r="P725" s="35">
        <f>IF(AND(O725="在职",J725="是"),COUNTIF(O$2:O725,"在职"),"")</f>
        <v>718</v>
      </c>
    </row>
    <row r="726" customFormat="1" ht="18" spans="1:16">
      <c r="A726" s="10">
        <f t="shared" si="14"/>
        <v>725</v>
      </c>
      <c r="B726" s="31">
        <v>46185</v>
      </c>
      <c r="C726" s="32" t="s">
        <v>964</v>
      </c>
      <c r="D726" s="120" t="s">
        <v>484</v>
      </c>
      <c r="E726" s="33" t="s">
        <v>42</v>
      </c>
      <c r="F726" s="18" t="s">
        <v>64</v>
      </c>
      <c r="G726" s="18" t="s">
        <v>117</v>
      </c>
      <c r="H726" s="34" t="s">
        <v>86</v>
      </c>
      <c r="I726" s="18" t="s">
        <v>104</v>
      </c>
      <c r="J726" s="31" t="s">
        <v>114</v>
      </c>
      <c r="K726" s="31">
        <v>46185</v>
      </c>
      <c r="L726" s="4"/>
      <c r="M726" s="4"/>
      <c r="N726" s="13" t="s">
        <v>29</v>
      </c>
      <c r="O726" s="35" t="str">
        <f>IF(D726="","",IF(COUNTIF(离职清单!C:C,D726)&gt;0,"已离职","在职"))</f>
        <v>在职</v>
      </c>
      <c r="P726" s="35">
        <f>IF(AND(O726="在职",J726="是"),COUNTIF(O$2:O726,"在职"),"")</f>
        <v>719</v>
      </c>
    </row>
    <row r="727" customFormat="1" ht="18" spans="1:16">
      <c r="A727" s="14">
        <f t="shared" si="14"/>
        <v>726</v>
      </c>
      <c r="B727" s="31">
        <v>46185</v>
      </c>
      <c r="C727" s="32" t="s">
        <v>965</v>
      </c>
      <c r="D727" s="120" t="s">
        <v>486</v>
      </c>
      <c r="E727" s="33" t="s">
        <v>42</v>
      </c>
      <c r="F727" s="18" t="s">
        <v>62</v>
      </c>
      <c r="G727" s="18" t="s">
        <v>179</v>
      </c>
      <c r="H727" s="34" t="s">
        <v>86</v>
      </c>
      <c r="I727" s="18" t="s">
        <v>104</v>
      </c>
      <c r="J727" s="31" t="s">
        <v>114</v>
      </c>
      <c r="K727" s="31">
        <v>46185</v>
      </c>
      <c r="L727" s="4"/>
      <c r="M727" s="4"/>
      <c r="N727" s="13" t="s">
        <v>29</v>
      </c>
      <c r="O727" s="35" t="str">
        <f>IF(D727="","",IF(COUNTIF(离职清单!C:C,D727)&gt;0,"已离职","在职"))</f>
        <v>在职</v>
      </c>
      <c r="P727" s="35">
        <f>IF(AND(O727="在职",J727="是"),COUNTIF(O$2:O727,"在职"),"")</f>
        <v>720</v>
      </c>
    </row>
    <row r="728" customFormat="1" ht="18" spans="1:16">
      <c r="A728" s="10">
        <f t="shared" si="14"/>
        <v>727</v>
      </c>
      <c r="B728" s="31">
        <v>46185</v>
      </c>
      <c r="C728" s="32" t="s">
        <v>966</v>
      </c>
      <c r="D728" s="120" t="s">
        <v>488</v>
      </c>
      <c r="E728" s="33" t="s">
        <v>42</v>
      </c>
      <c r="F728" s="18" t="s">
        <v>64</v>
      </c>
      <c r="G728" s="18" t="s">
        <v>132</v>
      </c>
      <c r="H728" s="34" t="s">
        <v>86</v>
      </c>
      <c r="I728" s="18" t="s">
        <v>111</v>
      </c>
      <c r="J728" s="31" t="s">
        <v>105</v>
      </c>
      <c r="K728" s="31">
        <v>46185</v>
      </c>
      <c r="L728" s="4"/>
      <c r="M728" s="4"/>
      <c r="N728" s="13" t="s">
        <v>29</v>
      </c>
      <c r="O728" s="35" t="str">
        <f>IF(D728="","",IF(COUNTIF(离职清单!C:C,D728)&gt;0,"已离职","在职"))</f>
        <v>在职</v>
      </c>
      <c r="P728" s="35" t="str">
        <f>IF(AND(O728="在职",J728="是"),COUNTIF(O$2:O728,"在职"),"")</f>
        <v/>
      </c>
    </row>
    <row r="729" customFormat="1" ht="18" spans="1:16">
      <c r="A729" s="14">
        <f t="shared" si="14"/>
        <v>728</v>
      </c>
      <c r="B729" s="31">
        <v>46185</v>
      </c>
      <c r="C729" s="32" t="s">
        <v>967</v>
      </c>
      <c r="D729" s="120" t="s">
        <v>490</v>
      </c>
      <c r="E729" s="33" t="s">
        <v>74</v>
      </c>
      <c r="F729" s="18" t="s">
        <v>64</v>
      </c>
      <c r="G729" s="18" t="s">
        <v>135</v>
      </c>
      <c r="H729" s="34" t="s">
        <v>86</v>
      </c>
      <c r="I729" s="18" t="s">
        <v>104</v>
      </c>
      <c r="J729" s="31" t="s">
        <v>114</v>
      </c>
      <c r="K729" s="31">
        <v>46185</v>
      </c>
      <c r="L729" s="4"/>
      <c r="M729" s="4"/>
      <c r="N729" s="13" t="s">
        <v>29</v>
      </c>
      <c r="O729" s="35" t="str">
        <f>IF(D729="","",IF(COUNTIF(离职清单!C:C,D729)&gt;0,"已离职","在职"))</f>
        <v>在职</v>
      </c>
      <c r="P729" s="35">
        <f>IF(AND(O729="在职",J729="是"),COUNTIF(O$2:O729,"在职"),"")</f>
        <v>722</v>
      </c>
    </row>
    <row r="730" customFormat="1" ht="18" spans="1:16">
      <c r="A730" s="10">
        <f t="shared" si="14"/>
        <v>729</v>
      </c>
      <c r="B730" s="31">
        <v>46185</v>
      </c>
      <c r="C730" s="32" t="s">
        <v>968</v>
      </c>
      <c r="D730" s="120" t="s">
        <v>492</v>
      </c>
      <c r="E730" s="33" t="s">
        <v>74</v>
      </c>
      <c r="F730" s="18" t="s">
        <v>190</v>
      </c>
      <c r="G730" s="18" t="s">
        <v>135</v>
      </c>
      <c r="H730" s="34" t="s">
        <v>86</v>
      </c>
      <c r="I730" s="18" t="s">
        <v>104</v>
      </c>
      <c r="J730" s="31" t="s">
        <v>114</v>
      </c>
      <c r="K730" s="31">
        <v>46185</v>
      </c>
      <c r="L730" s="4"/>
      <c r="M730" s="4"/>
      <c r="N730" s="13" t="s">
        <v>29</v>
      </c>
      <c r="O730" s="35" t="str">
        <f>IF(D730="","",IF(COUNTIF(离职清单!C:C,D730)&gt;0,"已离职","在职"))</f>
        <v>在职</v>
      </c>
      <c r="P730" s="35">
        <f>IF(AND(O730="在职",J730="是"),COUNTIF(O$2:O730,"在职"),"")</f>
        <v>723</v>
      </c>
    </row>
    <row r="731" customFormat="1" ht="18" spans="1:16">
      <c r="A731" s="14">
        <f t="shared" si="14"/>
        <v>730</v>
      </c>
      <c r="B731" s="31">
        <v>46185</v>
      </c>
      <c r="C731" s="32" t="s">
        <v>969</v>
      </c>
      <c r="D731" s="120" t="s">
        <v>477</v>
      </c>
      <c r="E731" s="33" t="s">
        <v>42</v>
      </c>
      <c r="F731" s="18" t="s">
        <v>64</v>
      </c>
      <c r="G731" s="18" t="s">
        <v>307</v>
      </c>
      <c r="H731" s="34" t="s">
        <v>86</v>
      </c>
      <c r="I731" s="18" t="s">
        <v>111</v>
      </c>
      <c r="J731" s="31" t="s">
        <v>105</v>
      </c>
      <c r="K731" s="31">
        <v>46185</v>
      </c>
      <c r="L731" s="4"/>
      <c r="M731" s="4"/>
      <c r="N731" s="13" t="s">
        <v>29</v>
      </c>
      <c r="O731" s="35" t="str">
        <f>IF(D731="","",IF(COUNTIF(离职清单!C:C,D731)&gt;0,"已离职","在职"))</f>
        <v>在职</v>
      </c>
      <c r="P731" s="35" t="str">
        <f>IF(AND(O731="在职",J731="是"),COUNTIF(O$2:O731,"在职"),"")</f>
        <v/>
      </c>
    </row>
    <row r="732" customFormat="1" ht="18" spans="1:16">
      <c r="A732" s="10">
        <f t="shared" si="14"/>
        <v>731</v>
      </c>
      <c r="B732" s="31">
        <v>46185</v>
      </c>
      <c r="C732" s="32" t="s">
        <v>970</v>
      </c>
      <c r="D732" s="120" t="s">
        <v>477</v>
      </c>
      <c r="E732" s="33" t="s">
        <v>43</v>
      </c>
      <c r="F732" s="18" t="s">
        <v>64</v>
      </c>
      <c r="G732" s="18" t="s">
        <v>307</v>
      </c>
      <c r="H732" s="34" t="s">
        <v>86</v>
      </c>
      <c r="I732" s="18" t="s">
        <v>111</v>
      </c>
      <c r="J732" s="31" t="s">
        <v>105</v>
      </c>
      <c r="K732" s="31">
        <v>46185</v>
      </c>
      <c r="L732" s="4"/>
      <c r="M732" s="4"/>
      <c r="N732" s="13" t="s">
        <v>29</v>
      </c>
      <c r="O732" s="35" t="str">
        <f>IF(D732="","",IF(COUNTIF(离职清单!C:C,D732)&gt;0,"已离职","在职"))</f>
        <v>在职</v>
      </c>
      <c r="P732" s="35" t="str">
        <f>IF(AND(O732="在职",J732="是"),COUNTIF(O$2:O732,"在职"),"")</f>
        <v/>
      </c>
    </row>
    <row r="733" customFormat="1" ht="18" spans="1:16">
      <c r="A733" s="14">
        <f t="shared" si="14"/>
        <v>732</v>
      </c>
      <c r="B733" s="31">
        <v>46185</v>
      </c>
      <c r="C733" s="32" t="s">
        <v>971</v>
      </c>
      <c r="D733" s="120" t="s">
        <v>478</v>
      </c>
      <c r="E733" s="33" t="s">
        <v>43</v>
      </c>
      <c r="F733" s="18" t="s">
        <v>64</v>
      </c>
      <c r="G733" s="18" t="s">
        <v>307</v>
      </c>
      <c r="H733" s="34" t="s">
        <v>86</v>
      </c>
      <c r="I733" s="18" t="s">
        <v>111</v>
      </c>
      <c r="J733" s="31" t="s">
        <v>105</v>
      </c>
      <c r="K733" s="31">
        <v>46185</v>
      </c>
      <c r="L733" s="4"/>
      <c r="M733" s="4"/>
      <c r="N733" s="13" t="s">
        <v>29</v>
      </c>
      <c r="O733" s="35" t="str">
        <f>IF(D733="","",IF(COUNTIF(离职清单!C:C,D733)&gt;0,"已离职","在职"))</f>
        <v>在职</v>
      </c>
      <c r="P733" s="35" t="str">
        <f>IF(AND(O733="在职",J733="是"),COUNTIF(O$2:O733,"在职"),"")</f>
        <v/>
      </c>
    </row>
    <row r="734" customFormat="1" ht="18" spans="1:16">
      <c r="A734" s="10">
        <f t="shared" si="14"/>
        <v>733</v>
      </c>
      <c r="B734" s="31">
        <v>46185</v>
      </c>
      <c r="C734" s="32" t="s">
        <v>972</v>
      </c>
      <c r="D734" s="120" t="s">
        <v>480</v>
      </c>
      <c r="E734" s="33" t="s">
        <v>42</v>
      </c>
      <c r="F734" s="18" t="s">
        <v>64</v>
      </c>
      <c r="G734" s="18" t="s">
        <v>332</v>
      </c>
      <c r="H734" s="34" t="s">
        <v>86</v>
      </c>
      <c r="I734" s="18" t="s">
        <v>111</v>
      </c>
      <c r="J734" s="31" t="s">
        <v>105</v>
      </c>
      <c r="K734" s="31">
        <v>46185</v>
      </c>
      <c r="L734" s="4"/>
      <c r="M734" s="4"/>
      <c r="N734" s="13" t="s">
        <v>29</v>
      </c>
      <c r="O734" s="35" t="str">
        <f>IF(D734="","",IF(COUNTIF(离职清单!C:C,D734)&gt;0,"已离职","在职"))</f>
        <v>在职</v>
      </c>
      <c r="P734" s="35" t="str">
        <f>IF(AND(O734="在职",J734="是"),COUNTIF(O$2:O734,"在职"),"")</f>
        <v/>
      </c>
    </row>
    <row r="735" customFormat="1" ht="18" spans="1:16">
      <c r="A735" s="14">
        <f t="shared" si="14"/>
        <v>734</v>
      </c>
      <c r="B735" s="31">
        <v>46185</v>
      </c>
      <c r="C735" s="32" t="s">
        <v>817</v>
      </c>
      <c r="D735" s="120" t="s">
        <v>482</v>
      </c>
      <c r="E735" s="33" t="s">
        <v>42</v>
      </c>
      <c r="F735" s="18" t="s">
        <v>64</v>
      </c>
      <c r="G735" s="18" t="s">
        <v>148</v>
      </c>
      <c r="H735" s="34" t="s">
        <v>86</v>
      </c>
      <c r="I735" s="18" t="s">
        <v>104</v>
      </c>
      <c r="J735" s="31" t="s">
        <v>114</v>
      </c>
      <c r="K735" s="31">
        <v>46185</v>
      </c>
      <c r="L735" s="4"/>
      <c r="M735" s="4"/>
      <c r="N735" s="13" t="s">
        <v>29</v>
      </c>
      <c r="O735" s="35" t="str">
        <f>IF(D735="","",IF(COUNTIF(离职清单!C:C,D735)&gt;0,"已离职","在职"))</f>
        <v>在职</v>
      </c>
      <c r="P735" s="35">
        <f>IF(AND(O735="在职",J735="是"),COUNTIF(O$2:O735,"在职"),"")</f>
        <v>728</v>
      </c>
    </row>
    <row r="736" customFormat="1" ht="18" spans="1:16">
      <c r="A736" s="14">
        <f t="shared" si="14"/>
        <v>735</v>
      </c>
      <c r="B736" s="31">
        <v>46185</v>
      </c>
      <c r="C736" s="32" t="s">
        <v>973</v>
      </c>
      <c r="D736" s="120" t="s">
        <v>484</v>
      </c>
      <c r="E736" s="33" t="s">
        <v>42</v>
      </c>
      <c r="F736" s="18" t="s">
        <v>64</v>
      </c>
      <c r="G736" s="18" t="s">
        <v>148</v>
      </c>
      <c r="H736" s="34" t="s">
        <v>86</v>
      </c>
      <c r="I736" s="18" t="s">
        <v>111</v>
      </c>
      <c r="J736" s="31" t="s">
        <v>105</v>
      </c>
      <c r="K736" s="31">
        <v>46185</v>
      </c>
      <c r="L736" s="4"/>
      <c r="M736" s="4"/>
      <c r="N736" s="13" t="s">
        <v>29</v>
      </c>
      <c r="O736" s="35" t="str">
        <f>IF(D736="","",IF(COUNTIF(离职清单!C:C,D736)&gt;0,"已离职","在职"))</f>
        <v>在职</v>
      </c>
      <c r="P736" s="35" t="str">
        <f>IF(AND(O736="在职",J736="是"),COUNTIF(O$2:O736,"在职"),"")</f>
        <v/>
      </c>
    </row>
    <row r="737" customFormat="1" ht="18" spans="1:16">
      <c r="A737" s="10">
        <f t="shared" si="14"/>
        <v>736</v>
      </c>
      <c r="B737" s="31">
        <v>46185</v>
      </c>
      <c r="C737" s="32" t="s">
        <v>974</v>
      </c>
      <c r="D737" s="120" t="s">
        <v>486</v>
      </c>
      <c r="E737" s="33" t="s">
        <v>42</v>
      </c>
      <c r="F737" s="18" t="s">
        <v>64</v>
      </c>
      <c r="G737" s="18" t="s">
        <v>148</v>
      </c>
      <c r="H737" s="34" t="s">
        <v>86</v>
      </c>
      <c r="I737" s="18" t="s">
        <v>111</v>
      </c>
      <c r="J737" s="31" t="s">
        <v>105</v>
      </c>
      <c r="K737" s="31">
        <v>46185</v>
      </c>
      <c r="L737" s="4"/>
      <c r="M737" s="4"/>
      <c r="N737" s="13" t="s">
        <v>29</v>
      </c>
      <c r="O737" s="35" t="str">
        <f>IF(D737="","",IF(COUNTIF(离职清单!C:C,D737)&gt;0,"已离职","在职"))</f>
        <v>在职</v>
      </c>
      <c r="P737" s="35" t="str">
        <f>IF(AND(O737="在职",J737="是"),COUNTIF(O$2:O737,"在职"),"")</f>
        <v/>
      </c>
    </row>
    <row r="738" customFormat="1" ht="18" spans="1:16">
      <c r="A738" s="14">
        <f t="shared" si="14"/>
        <v>737</v>
      </c>
      <c r="B738" s="31">
        <v>46185</v>
      </c>
      <c r="C738" s="32" t="s">
        <v>975</v>
      </c>
      <c r="D738" s="120" t="s">
        <v>488</v>
      </c>
      <c r="E738" s="33" t="s">
        <v>42</v>
      </c>
      <c r="F738" s="18" t="s">
        <v>64</v>
      </c>
      <c r="G738" s="18" t="s">
        <v>148</v>
      </c>
      <c r="H738" s="34" t="s">
        <v>86</v>
      </c>
      <c r="I738" s="18" t="s">
        <v>111</v>
      </c>
      <c r="J738" s="31" t="s">
        <v>105</v>
      </c>
      <c r="K738" s="31">
        <v>46185</v>
      </c>
      <c r="L738" s="4"/>
      <c r="M738" s="4"/>
      <c r="N738" s="13" t="s">
        <v>29</v>
      </c>
      <c r="O738" s="35" t="str">
        <f>IF(D738="","",IF(COUNTIF(离职清单!C:C,D738)&gt;0,"已离职","在职"))</f>
        <v>在职</v>
      </c>
      <c r="P738" s="35" t="str">
        <f>IF(AND(O738="在职",J738="是"),COUNTIF(O$2:O738,"在职"),"")</f>
        <v/>
      </c>
    </row>
    <row r="739" customFormat="1" ht="18" spans="1:16">
      <c r="A739" s="10">
        <f t="shared" si="14"/>
        <v>738</v>
      </c>
      <c r="B739" s="31">
        <v>46185</v>
      </c>
      <c r="C739" s="32" t="s">
        <v>976</v>
      </c>
      <c r="D739" s="120" t="s">
        <v>490</v>
      </c>
      <c r="E739" s="33" t="s">
        <v>42</v>
      </c>
      <c r="F739" s="18" t="s">
        <v>64</v>
      </c>
      <c r="G739" s="18" t="s">
        <v>148</v>
      </c>
      <c r="H739" s="34" t="s">
        <v>86</v>
      </c>
      <c r="I739" s="18" t="s">
        <v>111</v>
      </c>
      <c r="J739" s="31" t="s">
        <v>105</v>
      </c>
      <c r="K739" s="31">
        <v>46185</v>
      </c>
      <c r="L739" s="4"/>
      <c r="M739" s="4"/>
      <c r="N739" s="13" t="s">
        <v>29</v>
      </c>
      <c r="O739" s="35" t="str">
        <f>IF(D739="","",IF(COUNTIF(离职清单!C:C,D739)&gt;0,"已离职","在职"))</f>
        <v>在职</v>
      </c>
      <c r="P739" s="35" t="str">
        <f>IF(AND(O739="在职",J739="是"),COUNTIF(O$2:O739,"在职"),"")</f>
        <v/>
      </c>
    </row>
    <row r="740" customFormat="1" ht="18" spans="1:16">
      <c r="A740" s="14">
        <f t="shared" si="14"/>
        <v>739</v>
      </c>
      <c r="B740" s="31">
        <v>46185</v>
      </c>
      <c r="C740" s="32" t="s">
        <v>977</v>
      </c>
      <c r="D740" s="120" t="s">
        <v>492</v>
      </c>
      <c r="E740" s="33" t="s">
        <v>42</v>
      </c>
      <c r="F740" s="18" t="s">
        <v>64</v>
      </c>
      <c r="G740" s="18" t="s">
        <v>148</v>
      </c>
      <c r="H740" s="34" t="s">
        <v>86</v>
      </c>
      <c r="I740" s="18" t="s">
        <v>111</v>
      </c>
      <c r="J740" s="31" t="s">
        <v>105</v>
      </c>
      <c r="K740" s="31">
        <v>46185</v>
      </c>
      <c r="L740" s="4"/>
      <c r="M740" s="4"/>
      <c r="N740" s="13" t="s">
        <v>29</v>
      </c>
      <c r="O740" s="35" t="str">
        <f>IF(D740="","",IF(COUNTIF(离职清单!C:C,D740)&gt;0,"已离职","在职"))</f>
        <v>在职</v>
      </c>
      <c r="P740" s="35" t="str">
        <f>IF(AND(O740="在职",J740="是"),COUNTIF(O$2:O740,"在职"),"")</f>
        <v/>
      </c>
    </row>
    <row r="741" customFormat="1" ht="18" spans="1:16">
      <c r="A741" s="10">
        <f t="shared" si="14"/>
        <v>740</v>
      </c>
      <c r="B741" s="31">
        <v>46185</v>
      </c>
      <c r="C741" s="32" t="s">
        <v>978</v>
      </c>
      <c r="D741" s="120" t="s">
        <v>477</v>
      </c>
      <c r="E741" s="33" t="s">
        <v>42</v>
      </c>
      <c r="F741" s="18" t="s">
        <v>64</v>
      </c>
      <c r="G741" s="18" t="s">
        <v>148</v>
      </c>
      <c r="H741" s="34" t="s">
        <v>86</v>
      </c>
      <c r="I741" s="18" t="s">
        <v>111</v>
      </c>
      <c r="J741" s="31" t="s">
        <v>105</v>
      </c>
      <c r="K741" s="31">
        <v>46185</v>
      </c>
      <c r="L741" s="4"/>
      <c r="M741" s="4"/>
      <c r="N741" s="13" t="s">
        <v>29</v>
      </c>
      <c r="O741" s="35" t="str">
        <f>IF(D741="","",IF(COUNTIF(离职清单!C:C,D741)&gt;0,"已离职","在职"))</f>
        <v>在职</v>
      </c>
      <c r="P741" s="35" t="str">
        <f>IF(AND(O741="在职",J741="是"),COUNTIF(O$2:O741,"在职"),"")</f>
        <v/>
      </c>
    </row>
    <row r="742" customFormat="1" ht="18" spans="1:16">
      <c r="A742" s="14">
        <f t="shared" si="14"/>
        <v>741</v>
      </c>
      <c r="B742" s="31">
        <v>46185</v>
      </c>
      <c r="C742" s="32" t="s">
        <v>979</v>
      </c>
      <c r="D742" s="120" t="s">
        <v>478</v>
      </c>
      <c r="E742" s="33" t="s">
        <v>42</v>
      </c>
      <c r="F742" s="18" t="s">
        <v>64</v>
      </c>
      <c r="G742" s="18" t="s">
        <v>148</v>
      </c>
      <c r="H742" s="34" t="s">
        <v>86</v>
      </c>
      <c r="I742" s="18" t="s">
        <v>111</v>
      </c>
      <c r="J742" s="31" t="s">
        <v>105</v>
      </c>
      <c r="K742" s="31">
        <v>46185</v>
      </c>
      <c r="L742" s="4"/>
      <c r="M742" s="4"/>
      <c r="N742" s="13" t="s">
        <v>29</v>
      </c>
      <c r="O742" s="35" t="str">
        <f>IF(D742="","",IF(COUNTIF(离职清单!C:C,D742)&gt;0,"已离职","在职"))</f>
        <v>在职</v>
      </c>
      <c r="P742" s="35" t="str">
        <f>IF(AND(O742="在职",J742="是"),COUNTIF(O$2:O742,"在职"),"")</f>
        <v/>
      </c>
    </row>
    <row r="743" customFormat="1" ht="18" spans="1:16">
      <c r="A743" s="14">
        <f t="shared" ref="A743:A791" si="15">IF(B743&lt;&gt;"",ROW()-1,"")</f>
        <v>742</v>
      </c>
      <c r="B743" s="31">
        <v>46185</v>
      </c>
      <c r="C743" s="32" t="s">
        <v>980</v>
      </c>
      <c r="D743" s="120" t="s">
        <v>480</v>
      </c>
      <c r="E743" s="33" t="s">
        <v>42</v>
      </c>
      <c r="F743" s="18" t="s">
        <v>64</v>
      </c>
      <c r="G743" s="18" t="s">
        <v>148</v>
      </c>
      <c r="H743" s="34" t="s">
        <v>86</v>
      </c>
      <c r="I743" s="18" t="s">
        <v>111</v>
      </c>
      <c r="J743" s="31" t="s">
        <v>105</v>
      </c>
      <c r="K743" s="31">
        <v>46185</v>
      </c>
      <c r="L743" s="4"/>
      <c r="M743" s="4"/>
      <c r="N743" s="13" t="s">
        <v>29</v>
      </c>
      <c r="O743" s="35" t="str">
        <f>IF(D743="","",IF(COUNTIF(离职清单!C:C,D743)&gt;0,"已离职","在职"))</f>
        <v>在职</v>
      </c>
      <c r="P743" s="35" t="str">
        <f>IF(AND(O743="在职",J743="是"),COUNTIF(O$2:O743,"在职"),"")</f>
        <v/>
      </c>
    </row>
    <row r="744" customFormat="1" ht="18" spans="1:16">
      <c r="A744" s="10">
        <f t="shared" si="15"/>
        <v>743</v>
      </c>
      <c r="B744" s="31">
        <v>46185</v>
      </c>
      <c r="C744" s="32" t="s">
        <v>981</v>
      </c>
      <c r="D744" s="120" t="s">
        <v>482</v>
      </c>
      <c r="E744" s="33" t="s">
        <v>42</v>
      </c>
      <c r="F744" s="18" t="s">
        <v>64</v>
      </c>
      <c r="G744" s="18" t="s">
        <v>148</v>
      </c>
      <c r="H744" s="34" t="s">
        <v>86</v>
      </c>
      <c r="I744" s="18" t="s">
        <v>111</v>
      </c>
      <c r="J744" s="31" t="s">
        <v>105</v>
      </c>
      <c r="K744" s="31">
        <v>46185</v>
      </c>
      <c r="L744" s="4"/>
      <c r="M744" s="4"/>
      <c r="N744" s="13" t="s">
        <v>29</v>
      </c>
      <c r="O744" s="35" t="str">
        <f>IF(D744="","",IF(COUNTIF(离职清单!C:C,D744)&gt;0,"已离职","在职"))</f>
        <v>在职</v>
      </c>
      <c r="P744" s="35" t="str">
        <f>IF(AND(O744="在职",J744="是"),COUNTIF(O$2:O744,"在职"),"")</f>
        <v/>
      </c>
    </row>
    <row r="745" customFormat="1" ht="18" spans="1:16">
      <c r="A745" s="14">
        <f t="shared" si="15"/>
        <v>744</v>
      </c>
      <c r="B745" s="31">
        <v>46185</v>
      </c>
      <c r="C745" s="32" t="s">
        <v>982</v>
      </c>
      <c r="D745" s="120" t="s">
        <v>484</v>
      </c>
      <c r="E745" s="33" t="s">
        <v>42</v>
      </c>
      <c r="F745" s="18" t="s">
        <v>64</v>
      </c>
      <c r="G745" s="18" t="s">
        <v>148</v>
      </c>
      <c r="H745" s="34" t="s">
        <v>86</v>
      </c>
      <c r="I745" s="18" t="s">
        <v>111</v>
      </c>
      <c r="J745" s="31" t="s">
        <v>105</v>
      </c>
      <c r="K745" s="31">
        <v>46185</v>
      </c>
      <c r="L745" s="4"/>
      <c r="M745" s="4"/>
      <c r="N745" s="13" t="s">
        <v>29</v>
      </c>
      <c r="O745" s="35" t="str">
        <f>IF(D745="","",IF(COUNTIF(离职清单!C:C,D745)&gt;0,"已离职","在职"))</f>
        <v>在职</v>
      </c>
      <c r="P745" s="35" t="str">
        <f>IF(AND(O745="在职",J745="是"),COUNTIF(O$2:O745,"在职"),"")</f>
        <v/>
      </c>
    </row>
    <row r="746" customFormat="1" ht="18" spans="1:16">
      <c r="A746" s="10">
        <f t="shared" si="15"/>
        <v>745</v>
      </c>
      <c r="B746" s="31">
        <v>46185</v>
      </c>
      <c r="C746" s="32" t="s">
        <v>983</v>
      </c>
      <c r="D746" s="120" t="s">
        <v>486</v>
      </c>
      <c r="E746" s="33" t="s">
        <v>42</v>
      </c>
      <c r="F746" s="18" t="s">
        <v>64</v>
      </c>
      <c r="G746" s="18" t="s">
        <v>505</v>
      </c>
      <c r="H746" s="34" t="s">
        <v>86</v>
      </c>
      <c r="I746" s="18" t="s">
        <v>104</v>
      </c>
      <c r="J746" s="31" t="s">
        <v>114</v>
      </c>
      <c r="K746" s="31">
        <v>46185</v>
      </c>
      <c r="L746" s="4"/>
      <c r="M746" s="4"/>
      <c r="N746" s="13" t="s">
        <v>29</v>
      </c>
      <c r="O746" s="35" t="str">
        <f>IF(D746="","",IF(COUNTIF(离职清单!C:C,D746)&gt;0,"已离职","在职"))</f>
        <v>在职</v>
      </c>
      <c r="P746" s="35">
        <f>IF(AND(O746="在职",J746="是"),COUNTIF(O$2:O746,"在职"),"")</f>
        <v>739</v>
      </c>
    </row>
    <row r="747" customFormat="1" ht="18" spans="1:16">
      <c r="A747" s="14">
        <f t="shared" si="15"/>
        <v>746</v>
      </c>
      <c r="B747" s="31">
        <v>46185</v>
      </c>
      <c r="C747" s="32" t="s">
        <v>984</v>
      </c>
      <c r="D747" s="120" t="s">
        <v>488</v>
      </c>
      <c r="E747" s="33" t="s">
        <v>42</v>
      </c>
      <c r="F747" s="18" t="s">
        <v>64</v>
      </c>
      <c r="G747" s="18" t="s">
        <v>505</v>
      </c>
      <c r="H747" s="34" t="s">
        <v>86</v>
      </c>
      <c r="I747" s="18" t="s">
        <v>104</v>
      </c>
      <c r="J747" s="31" t="s">
        <v>114</v>
      </c>
      <c r="K747" s="31">
        <v>46185</v>
      </c>
      <c r="L747" s="4"/>
      <c r="M747" s="4"/>
      <c r="N747" s="13" t="s">
        <v>29</v>
      </c>
      <c r="O747" s="35" t="str">
        <f>IF(D747="","",IF(COUNTIF(离职清单!C:C,D747)&gt;0,"已离职","在职"))</f>
        <v>在职</v>
      </c>
      <c r="P747" s="35">
        <f>IF(AND(O747="在职",J747="是"),COUNTIF(O$2:O747,"在职"),"")</f>
        <v>740</v>
      </c>
    </row>
    <row r="748" customFormat="1" ht="18" spans="1:16">
      <c r="A748" s="10">
        <f t="shared" si="15"/>
        <v>747</v>
      </c>
      <c r="B748" s="31">
        <v>46185</v>
      </c>
      <c r="C748" s="32" t="s">
        <v>985</v>
      </c>
      <c r="D748" s="120" t="s">
        <v>490</v>
      </c>
      <c r="E748" s="33" t="s">
        <v>42</v>
      </c>
      <c r="F748" s="18" t="s">
        <v>64</v>
      </c>
      <c r="G748" s="18" t="s">
        <v>505</v>
      </c>
      <c r="H748" s="34" t="s">
        <v>86</v>
      </c>
      <c r="I748" s="18" t="s">
        <v>111</v>
      </c>
      <c r="J748" s="31" t="s">
        <v>105</v>
      </c>
      <c r="K748" s="31">
        <v>46185</v>
      </c>
      <c r="L748" s="4"/>
      <c r="M748" s="4"/>
      <c r="N748" s="13" t="s">
        <v>29</v>
      </c>
      <c r="O748" s="35" t="str">
        <f>IF(D748="","",IF(COUNTIF(离职清单!C:C,D748)&gt;0,"已离职","在职"))</f>
        <v>在职</v>
      </c>
      <c r="P748" s="35" t="str">
        <f>IF(AND(O748="在职",J748="是"),COUNTIF(O$2:O748,"在职"),"")</f>
        <v/>
      </c>
    </row>
    <row r="749" customFormat="1" ht="18" spans="1:16">
      <c r="A749" s="14">
        <f t="shared" si="15"/>
        <v>748</v>
      </c>
      <c r="B749" s="31">
        <v>46185</v>
      </c>
      <c r="C749" s="32" t="s">
        <v>986</v>
      </c>
      <c r="D749" s="120" t="s">
        <v>492</v>
      </c>
      <c r="E749" s="33" t="s">
        <v>42</v>
      </c>
      <c r="F749" s="18" t="s">
        <v>62</v>
      </c>
      <c r="G749" s="18" t="s">
        <v>179</v>
      </c>
      <c r="H749" s="34" t="s">
        <v>86</v>
      </c>
      <c r="I749" s="18" t="s">
        <v>104</v>
      </c>
      <c r="J749" s="31" t="s">
        <v>114</v>
      </c>
      <c r="K749" s="31">
        <v>46185</v>
      </c>
      <c r="L749" s="4"/>
      <c r="M749" s="4"/>
      <c r="N749" s="13" t="s">
        <v>29</v>
      </c>
      <c r="O749" s="35" t="str">
        <f>IF(D749="","",IF(COUNTIF(离职清单!C:C,D749)&gt;0,"已离职","在职"))</f>
        <v>在职</v>
      </c>
      <c r="P749" s="35">
        <f>IF(AND(O749="在职",J749="是"),COUNTIF(O$2:O749,"在职"),"")</f>
        <v>742</v>
      </c>
    </row>
    <row r="750" customFormat="1" ht="18" spans="1:16">
      <c r="A750" s="10">
        <f t="shared" si="15"/>
        <v>749</v>
      </c>
      <c r="B750" s="31">
        <v>46185</v>
      </c>
      <c r="C750" s="32" t="s">
        <v>987</v>
      </c>
      <c r="D750" s="120" t="s">
        <v>477</v>
      </c>
      <c r="E750" s="33" t="s">
        <v>74</v>
      </c>
      <c r="F750" s="18" t="s">
        <v>190</v>
      </c>
      <c r="G750" s="18" t="s">
        <v>179</v>
      </c>
      <c r="H750" s="34" t="s">
        <v>86</v>
      </c>
      <c r="I750" s="18" t="s">
        <v>104</v>
      </c>
      <c r="J750" s="31" t="s">
        <v>114</v>
      </c>
      <c r="K750" s="31">
        <v>46185</v>
      </c>
      <c r="L750" s="4"/>
      <c r="M750" s="4"/>
      <c r="N750" s="13" t="s">
        <v>29</v>
      </c>
      <c r="O750" s="35" t="str">
        <f>IF(D750="","",IF(COUNTIF(离职清单!C:C,D750)&gt;0,"已离职","在职"))</f>
        <v>在职</v>
      </c>
      <c r="P750" s="35">
        <f>IF(AND(O750="在职",J750="是"),COUNTIF(O$2:O750,"在职"),"")</f>
        <v>743</v>
      </c>
    </row>
    <row r="751" customFormat="1" ht="18" spans="1:16">
      <c r="A751" s="14">
        <f t="shared" si="15"/>
        <v>750</v>
      </c>
      <c r="B751" s="31">
        <v>46185</v>
      </c>
      <c r="C751" s="32" t="s">
        <v>988</v>
      </c>
      <c r="D751" s="120" t="s">
        <v>478</v>
      </c>
      <c r="E751" s="33" t="s">
        <v>42</v>
      </c>
      <c r="F751" s="18" t="s">
        <v>64</v>
      </c>
      <c r="G751" s="18" t="s">
        <v>179</v>
      </c>
      <c r="H751" s="34" t="s">
        <v>86</v>
      </c>
      <c r="I751" s="18" t="s">
        <v>104</v>
      </c>
      <c r="J751" s="31" t="s">
        <v>114</v>
      </c>
      <c r="K751" s="31">
        <v>46185</v>
      </c>
      <c r="L751" s="4"/>
      <c r="M751" s="4"/>
      <c r="N751" s="13" t="s">
        <v>29</v>
      </c>
      <c r="O751" s="35" t="str">
        <f>IF(D751="","",IF(COUNTIF(离职清单!C:C,D751)&gt;0,"已离职","在职"))</f>
        <v>在职</v>
      </c>
      <c r="P751" s="35">
        <f>IF(AND(O751="在职",J751="是"),COUNTIF(O$2:O751,"在职"),"")</f>
        <v>744</v>
      </c>
    </row>
    <row r="752" customFormat="1" ht="18" spans="1:16">
      <c r="A752" s="10">
        <f t="shared" si="15"/>
        <v>751</v>
      </c>
      <c r="B752" s="31">
        <v>46185</v>
      </c>
      <c r="C752" s="32" t="s">
        <v>989</v>
      </c>
      <c r="D752" s="120" t="s">
        <v>480</v>
      </c>
      <c r="E752" s="33" t="s">
        <v>42</v>
      </c>
      <c r="F752" s="18" t="s">
        <v>64</v>
      </c>
      <c r="G752" s="18" t="s">
        <v>179</v>
      </c>
      <c r="H752" s="34" t="s">
        <v>86</v>
      </c>
      <c r="I752" s="18" t="s">
        <v>111</v>
      </c>
      <c r="J752" s="31" t="s">
        <v>105</v>
      </c>
      <c r="K752" s="31">
        <v>46185</v>
      </c>
      <c r="L752" s="4"/>
      <c r="M752" s="4"/>
      <c r="N752" s="13" t="s">
        <v>29</v>
      </c>
      <c r="O752" s="35" t="str">
        <f>IF(D752="","",IF(COUNTIF(离职清单!C:C,D752)&gt;0,"已离职","在职"))</f>
        <v>在职</v>
      </c>
      <c r="P752" s="35" t="str">
        <f>IF(AND(O752="在职",J752="是"),COUNTIF(O$2:O752,"在职"),"")</f>
        <v/>
      </c>
    </row>
    <row r="753" customFormat="1" ht="18" spans="1:16">
      <c r="A753" s="14">
        <f t="shared" si="15"/>
        <v>752</v>
      </c>
      <c r="B753" s="31">
        <v>46185</v>
      </c>
      <c r="C753" s="32" t="s">
        <v>929</v>
      </c>
      <c r="D753" s="120" t="s">
        <v>482</v>
      </c>
      <c r="E753" s="33" t="s">
        <v>42</v>
      </c>
      <c r="F753" s="18" t="s">
        <v>64</v>
      </c>
      <c r="G753" s="18" t="s">
        <v>179</v>
      </c>
      <c r="H753" s="34" t="s">
        <v>86</v>
      </c>
      <c r="I753" s="18" t="s">
        <v>104</v>
      </c>
      <c r="J753" s="31" t="s">
        <v>114</v>
      </c>
      <c r="K753" s="31">
        <v>46185</v>
      </c>
      <c r="L753" s="4"/>
      <c r="M753" s="4"/>
      <c r="N753" s="13" t="s">
        <v>29</v>
      </c>
      <c r="O753" s="35" t="str">
        <f>IF(D753="","",IF(COUNTIF(离职清单!C:C,D753)&gt;0,"已离职","在职"))</f>
        <v>在职</v>
      </c>
      <c r="P753" s="35">
        <f>IF(AND(O753="在职",J753="是"),COUNTIF(O$2:O753,"在职"),"")</f>
        <v>746</v>
      </c>
    </row>
    <row r="754" customFormat="1" ht="18" spans="1:16">
      <c r="A754" s="10">
        <f t="shared" si="15"/>
        <v>753</v>
      </c>
      <c r="B754" s="31">
        <v>46185</v>
      </c>
      <c r="C754" s="32" t="s">
        <v>930</v>
      </c>
      <c r="D754" s="120" t="s">
        <v>484</v>
      </c>
      <c r="E754" s="33" t="s">
        <v>42</v>
      </c>
      <c r="F754" s="18" t="s">
        <v>64</v>
      </c>
      <c r="G754" s="18" t="s">
        <v>179</v>
      </c>
      <c r="H754" s="34" t="s">
        <v>86</v>
      </c>
      <c r="I754" s="18" t="s">
        <v>104</v>
      </c>
      <c r="J754" s="31" t="s">
        <v>114</v>
      </c>
      <c r="K754" s="31">
        <v>46185</v>
      </c>
      <c r="L754" s="4"/>
      <c r="M754" s="4"/>
      <c r="N754" s="13" t="s">
        <v>29</v>
      </c>
      <c r="O754" s="35" t="str">
        <f>IF(D754="","",IF(COUNTIF(离职清单!C:C,D754)&gt;0,"已离职","在职"))</f>
        <v>在职</v>
      </c>
      <c r="P754" s="35">
        <f>IF(AND(O754="在职",J754="是"),COUNTIF(O$2:O754,"在职"),"")</f>
        <v>747</v>
      </c>
    </row>
    <row r="755" customFormat="1" ht="18" spans="1:16">
      <c r="A755" s="14">
        <f t="shared" si="15"/>
        <v>754</v>
      </c>
      <c r="B755" s="31">
        <v>46185</v>
      </c>
      <c r="C755" s="32" t="s">
        <v>883</v>
      </c>
      <c r="D755" s="120" t="s">
        <v>486</v>
      </c>
      <c r="E755" s="33" t="s">
        <v>42</v>
      </c>
      <c r="F755" s="18" t="s">
        <v>64</v>
      </c>
      <c r="G755" s="18" t="s">
        <v>179</v>
      </c>
      <c r="H755" s="34" t="s">
        <v>86</v>
      </c>
      <c r="I755" s="18" t="s">
        <v>104</v>
      </c>
      <c r="J755" s="31" t="s">
        <v>114</v>
      </c>
      <c r="K755" s="31">
        <v>46185</v>
      </c>
      <c r="L755" s="4"/>
      <c r="M755" s="4"/>
      <c r="N755" s="13" t="s">
        <v>29</v>
      </c>
      <c r="O755" s="35" t="str">
        <f>IF(D755="","",IF(COUNTIF(离职清单!C:C,D755)&gt;0,"已离职","在职"))</f>
        <v>在职</v>
      </c>
      <c r="P755" s="35">
        <f>IF(AND(O755="在职",J755="是"),COUNTIF(O$2:O755,"在职"),"")</f>
        <v>748</v>
      </c>
    </row>
    <row r="756" customFormat="1" ht="18" spans="1:16">
      <c r="A756" s="10">
        <f t="shared" si="15"/>
        <v>755</v>
      </c>
      <c r="B756" s="31">
        <v>46185</v>
      </c>
      <c r="C756" s="32" t="s">
        <v>943</v>
      </c>
      <c r="D756" s="120" t="s">
        <v>488</v>
      </c>
      <c r="E756" s="33" t="s">
        <v>42</v>
      </c>
      <c r="F756" s="18" t="s">
        <v>64</v>
      </c>
      <c r="G756" s="18" t="s">
        <v>179</v>
      </c>
      <c r="H756" s="34" t="s">
        <v>86</v>
      </c>
      <c r="I756" s="18" t="s">
        <v>104</v>
      </c>
      <c r="J756" s="31" t="s">
        <v>114</v>
      </c>
      <c r="K756" s="31">
        <v>46185</v>
      </c>
      <c r="L756" s="4"/>
      <c r="M756" s="4"/>
      <c r="N756" s="13" t="s">
        <v>29</v>
      </c>
      <c r="O756" s="35" t="str">
        <f>IF(D756="","",IF(COUNTIF(离职清单!C:C,D756)&gt;0,"已离职","在职"))</f>
        <v>在职</v>
      </c>
      <c r="P756" s="35">
        <f>IF(AND(O756="在职",J756="是"),COUNTIF(O$2:O756,"在职"),"")</f>
        <v>749</v>
      </c>
    </row>
    <row r="757" customFormat="1" ht="18" spans="1:16">
      <c r="A757" s="14">
        <f t="shared" si="15"/>
        <v>756</v>
      </c>
      <c r="B757" s="31">
        <v>46185</v>
      </c>
      <c r="C757" s="32" t="s">
        <v>894</v>
      </c>
      <c r="D757" s="120" t="s">
        <v>490</v>
      </c>
      <c r="E757" s="33" t="s">
        <v>74</v>
      </c>
      <c r="F757" s="18" t="s">
        <v>64</v>
      </c>
      <c r="G757" s="18" t="s">
        <v>179</v>
      </c>
      <c r="H757" s="34" t="s">
        <v>86</v>
      </c>
      <c r="I757" s="18" t="s">
        <v>111</v>
      </c>
      <c r="J757" s="31" t="s">
        <v>105</v>
      </c>
      <c r="K757" s="31">
        <v>46185</v>
      </c>
      <c r="L757" s="4"/>
      <c r="M757" s="4"/>
      <c r="N757" s="13" t="s">
        <v>29</v>
      </c>
      <c r="O757" s="35" t="str">
        <f>IF(D757="","",IF(COUNTIF(离职清单!C:C,D757)&gt;0,"已离职","在职"))</f>
        <v>在职</v>
      </c>
      <c r="P757" s="35" t="str">
        <f>IF(AND(O757="在职",J757="是"),COUNTIF(O$2:O757,"在职"),"")</f>
        <v/>
      </c>
    </row>
    <row r="758" customFormat="1" ht="18" spans="1:16">
      <c r="A758" s="10">
        <f t="shared" si="15"/>
        <v>757</v>
      </c>
      <c r="B758" s="31">
        <v>46185</v>
      </c>
      <c r="C758" s="32" t="s">
        <v>990</v>
      </c>
      <c r="D758" s="120" t="s">
        <v>492</v>
      </c>
      <c r="E758" s="33" t="s">
        <v>74</v>
      </c>
      <c r="F758" s="18" t="s">
        <v>64</v>
      </c>
      <c r="G758" s="18" t="s">
        <v>179</v>
      </c>
      <c r="H758" s="34" t="s">
        <v>86</v>
      </c>
      <c r="I758" s="18" t="s">
        <v>111</v>
      </c>
      <c r="J758" s="31" t="s">
        <v>105</v>
      </c>
      <c r="K758" s="31">
        <v>46185</v>
      </c>
      <c r="L758" s="4"/>
      <c r="M758" s="4"/>
      <c r="N758" s="13" t="s">
        <v>29</v>
      </c>
      <c r="O758" s="35" t="str">
        <f>IF(D758="","",IF(COUNTIF(离职清单!C:C,D758)&gt;0,"已离职","在职"))</f>
        <v>在职</v>
      </c>
      <c r="P758" s="35" t="str">
        <f>IF(AND(O758="在职",J758="是"),COUNTIF(O$2:O758,"在职"),"")</f>
        <v/>
      </c>
    </row>
    <row r="759" customFormat="1" ht="18" spans="1:16">
      <c r="A759" s="14">
        <f t="shared" si="15"/>
        <v>758</v>
      </c>
      <c r="B759" s="31">
        <v>46185</v>
      </c>
      <c r="C759" s="32" t="s">
        <v>991</v>
      </c>
      <c r="D759" s="120" t="s">
        <v>477</v>
      </c>
      <c r="E759" s="33" t="s">
        <v>43</v>
      </c>
      <c r="F759" s="18" t="s">
        <v>64</v>
      </c>
      <c r="G759" s="18" t="s">
        <v>179</v>
      </c>
      <c r="H759" s="34" t="s">
        <v>86</v>
      </c>
      <c r="I759" s="18" t="s">
        <v>104</v>
      </c>
      <c r="J759" s="31" t="s">
        <v>114</v>
      </c>
      <c r="K759" s="31">
        <v>46185</v>
      </c>
      <c r="L759" s="4"/>
      <c r="M759" s="4"/>
      <c r="N759" s="13" t="s">
        <v>29</v>
      </c>
      <c r="O759" s="35" t="str">
        <f>IF(D759="","",IF(COUNTIF(离职清单!C:C,D759)&gt;0,"已离职","在职"))</f>
        <v>在职</v>
      </c>
      <c r="P759" s="35">
        <f>IF(AND(O759="在职",J759="是"),COUNTIF(O$2:O759,"在职"),"")</f>
        <v>752</v>
      </c>
    </row>
    <row r="760" customFormat="1" ht="18" spans="1:16">
      <c r="A760" s="10">
        <f t="shared" si="15"/>
        <v>759</v>
      </c>
      <c r="B760" s="31">
        <v>46185</v>
      </c>
      <c r="C760" s="32" t="s">
        <v>992</v>
      </c>
      <c r="D760" s="120" t="s">
        <v>478</v>
      </c>
      <c r="E760" s="33" t="s">
        <v>43</v>
      </c>
      <c r="F760" s="18" t="s">
        <v>64</v>
      </c>
      <c r="G760" s="18" t="s">
        <v>179</v>
      </c>
      <c r="H760" s="34" t="s">
        <v>86</v>
      </c>
      <c r="I760" s="18" t="s">
        <v>104</v>
      </c>
      <c r="J760" s="31" t="s">
        <v>114</v>
      </c>
      <c r="K760" s="31">
        <v>46185</v>
      </c>
      <c r="L760" s="4"/>
      <c r="M760" s="4"/>
      <c r="N760" s="13" t="s">
        <v>29</v>
      </c>
      <c r="O760" s="35" t="str">
        <f>IF(D760="","",IF(COUNTIF(离职清单!C:C,D760)&gt;0,"已离职","在职"))</f>
        <v>在职</v>
      </c>
      <c r="P760" s="35">
        <f>IF(AND(O760="在职",J760="是"),COUNTIF(O$2:O760,"在职"),"")</f>
        <v>753</v>
      </c>
    </row>
    <row r="761" customFormat="1" ht="18" spans="1:16">
      <c r="A761" s="14">
        <f t="shared" si="15"/>
        <v>760</v>
      </c>
      <c r="B761" s="31">
        <v>46185</v>
      </c>
      <c r="C761" s="32" t="s">
        <v>993</v>
      </c>
      <c r="D761" s="120" t="s">
        <v>480</v>
      </c>
      <c r="E761" s="33" t="s">
        <v>42</v>
      </c>
      <c r="F761" s="18" t="s">
        <v>64</v>
      </c>
      <c r="G761" s="18" t="s">
        <v>179</v>
      </c>
      <c r="H761" s="34" t="s">
        <v>86</v>
      </c>
      <c r="I761" s="18" t="s">
        <v>104</v>
      </c>
      <c r="J761" s="31" t="s">
        <v>114</v>
      </c>
      <c r="K761" s="31">
        <v>46185</v>
      </c>
      <c r="L761" s="4"/>
      <c r="M761" s="4"/>
      <c r="N761" s="13" t="s">
        <v>29</v>
      </c>
      <c r="O761" s="35" t="str">
        <f>IF(D761="","",IF(COUNTIF(离职清单!C:C,D761)&gt;0,"已离职","在职"))</f>
        <v>在职</v>
      </c>
      <c r="P761" s="35">
        <f>IF(AND(O761="在职",J761="是"),COUNTIF(O$2:O761,"在职"),"")</f>
        <v>754</v>
      </c>
    </row>
    <row r="762" customFormat="1" ht="18" spans="1:16">
      <c r="A762" s="10">
        <f t="shared" si="15"/>
        <v>761</v>
      </c>
      <c r="B762" s="31">
        <v>46185</v>
      </c>
      <c r="C762" s="32" t="s">
        <v>994</v>
      </c>
      <c r="D762" s="120" t="s">
        <v>482</v>
      </c>
      <c r="E762" s="33" t="s">
        <v>42</v>
      </c>
      <c r="F762" s="18" t="s">
        <v>64</v>
      </c>
      <c r="G762" s="18" t="s">
        <v>179</v>
      </c>
      <c r="H762" s="34" t="s">
        <v>86</v>
      </c>
      <c r="I762" s="18" t="s">
        <v>104</v>
      </c>
      <c r="J762" s="31" t="s">
        <v>114</v>
      </c>
      <c r="K762" s="31">
        <v>46185</v>
      </c>
      <c r="L762" s="4"/>
      <c r="M762" s="4"/>
      <c r="N762" s="13" t="s">
        <v>29</v>
      </c>
      <c r="O762" s="35" t="str">
        <f>IF(D762="","",IF(COUNTIF(离职清单!C:C,D762)&gt;0,"已离职","在职"))</f>
        <v>在职</v>
      </c>
      <c r="P762" s="35">
        <f>IF(AND(O762="在职",J762="是"),COUNTIF(O$2:O762,"在职"),"")</f>
        <v>755</v>
      </c>
    </row>
    <row r="763" customFormat="1" ht="18" spans="1:16">
      <c r="A763" s="14">
        <f t="shared" si="15"/>
        <v>762</v>
      </c>
      <c r="B763" s="31">
        <v>46185</v>
      </c>
      <c r="C763" s="32" t="s">
        <v>995</v>
      </c>
      <c r="D763" s="120" t="s">
        <v>484</v>
      </c>
      <c r="E763" s="33" t="s">
        <v>74</v>
      </c>
      <c r="F763" s="18" t="s">
        <v>64</v>
      </c>
      <c r="G763" s="18" t="s">
        <v>179</v>
      </c>
      <c r="H763" s="34" t="s">
        <v>86</v>
      </c>
      <c r="I763" s="18" t="s">
        <v>111</v>
      </c>
      <c r="J763" s="31" t="s">
        <v>105</v>
      </c>
      <c r="K763" s="31">
        <v>46185</v>
      </c>
      <c r="L763" s="4"/>
      <c r="M763" s="4"/>
      <c r="N763" s="13" t="s">
        <v>29</v>
      </c>
      <c r="O763" s="35" t="str">
        <f>IF(D763="","",IF(COUNTIF(离职清单!C:C,D763)&gt;0,"已离职","在职"))</f>
        <v>在职</v>
      </c>
      <c r="P763" s="35" t="str">
        <f>IF(AND(O763="在职",J763="是"),COUNTIF(O$2:O763,"在职"),"")</f>
        <v/>
      </c>
    </row>
    <row r="764" customFormat="1" ht="18" spans="1:16">
      <c r="A764" s="10">
        <f t="shared" si="15"/>
        <v>763</v>
      </c>
      <c r="B764" s="31">
        <v>46185</v>
      </c>
      <c r="C764" s="32" t="s">
        <v>996</v>
      </c>
      <c r="D764" s="120" t="s">
        <v>486</v>
      </c>
      <c r="E764" s="33" t="s">
        <v>43</v>
      </c>
      <c r="F764" s="18" t="s">
        <v>64</v>
      </c>
      <c r="G764" s="18" t="s">
        <v>179</v>
      </c>
      <c r="H764" s="34" t="s">
        <v>86</v>
      </c>
      <c r="I764" s="18" t="s">
        <v>104</v>
      </c>
      <c r="J764" s="31" t="s">
        <v>114</v>
      </c>
      <c r="K764" s="31">
        <v>46185</v>
      </c>
      <c r="L764" s="4"/>
      <c r="M764" s="4"/>
      <c r="N764" s="13" t="s">
        <v>29</v>
      </c>
      <c r="O764" s="35" t="str">
        <f>IF(D764="","",IF(COUNTIF(离职清单!C:C,D764)&gt;0,"已离职","在职"))</f>
        <v>在职</v>
      </c>
      <c r="P764" s="35">
        <f>IF(AND(O764="在职",J764="是"),COUNTIF(O$2:O764,"在职"),"")</f>
        <v>757</v>
      </c>
    </row>
    <row r="765" customFormat="1" ht="18" spans="1:16">
      <c r="A765" s="14">
        <f t="shared" si="15"/>
        <v>764</v>
      </c>
      <c r="B765" s="31">
        <v>46185</v>
      </c>
      <c r="C765" s="32" t="s">
        <v>997</v>
      </c>
      <c r="D765" s="120" t="s">
        <v>488</v>
      </c>
      <c r="E765" s="33" t="s">
        <v>43</v>
      </c>
      <c r="F765" s="18" t="s">
        <v>64</v>
      </c>
      <c r="G765" s="18" t="s">
        <v>179</v>
      </c>
      <c r="H765" s="34" t="s">
        <v>86</v>
      </c>
      <c r="I765" s="18" t="s">
        <v>104</v>
      </c>
      <c r="J765" s="31" t="s">
        <v>114</v>
      </c>
      <c r="K765" s="31">
        <v>46185</v>
      </c>
      <c r="L765" s="4"/>
      <c r="M765" s="4"/>
      <c r="N765" s="13" t="s">
        <v>29</v>
      </c>
      <c r="O765" s="35" t="str">
        <f>IF(D765="","",IF(COUNTIF(离职清单!C:C,D765)&gt;0,"已离职","在职"))</f>
        <v>在职</v>
      </c>
      <c r="P765" s="35">
        <f>IF(AND(O765="在职",J765="是"),COUNTIF(O$2:O765,"在职"),"")</f>
        <v>758</v>
      </c>
    </row>
    <row r="766" customFormat="1" ht="18" spans="1:16">
      <c r="A766" s="10">
        <f t="shared" si="15"/>
        <v>765</v>
      </c>
      <c r="B766" s="31">
        <v>46185</v>
      </c>
      <c r="C766" s="32" t="s">
        <v>998</v>
      </c>
      <c r="D766" s="120" t="s">
        <v>490</v>
      </c>
      <c r="E766" s="33" t="s">
        <v>43</v>
      </c>
      <c r="F766" s="18" t="s">
        <v>64</v>
      </c>
      <c r="G766" s="18" t="s">
        <v>179</v>
      </c>
      <c r="H766" s="34" t="s">
        <v>86</v>
      </c>
      <c r="I766" s="18" t="s">
        <v>104</v>
      </c>
      <c r="J766" s="31" t="s">
        <v>114</v>
      </c>
      <c r="K766" s="31">
        <v>46185</v>
      </c>
      <c r="L766" s="4"/>
      <c r="M766" s="4"/>
      <c r="N766" s="13" t="s">
        <v>29</v>
      </c>
      <c r="O766" s="35" t="str">
        <f>IF(D766="","",IF(COUNTIF(离职清单!C:C,D766)&gt;0,"已离职","在职"))</f>
        <v>在职</v>
      </c>
      <c r="P766" s="35">
        <f>IF(AND(O766="在职",J766="是"),COUNTIF(O$2:O766,"在职"),"")</f>
        <v>759</v>
      </c>
    </row>
    <row r="767" customFormat="1" ht="18" spans="1:16">
      <c r="A767" s="14">
        <f t="shared" si="15"/>
        <v>766</v>
      </c>
      <c r="B767" s="31">
        <v>46185</v>
      </c>
      <c r="C767" s="32" t="s">
        <v>948</v>
      </c>
      <c r="D767" s="120" t="s">
        <v>492</v>
      </c>
      <c r="E767" s="33" t="s">
        <v>74</v>
      </c>
      <c r="F767" s="18" t="s">
        <v>190</v>
      </c>
      <c r="G767" s="18" t="s">
        <v>179</v>
      </c>
      <c r="H767" s="34" t="s">
        <v>86</v>
      </c>
      <c r="I767" s="18" t="s">
        <v>104</v>
      </c>
      <c r="J767" s="31" t="s">
        <v>114</v>
      </c>
      <c r="K767" s="31">
        <v>46185</v>
      </c>
      <c r="L767" s="4"/>
      <c r="M767" s="4"/>
      <c r="N767" s="13" t="s">
        <v>29</v>
      </c>
      <c r="O767" s="35" t="str">
        <f>IF(D767="","",IF(COUNTIF(离职清单!C:C,D767)&gt;0,"已离职","在职"))</f>
        <v>在职</v>
      </c>
      <c r="P767" s="35">
        <f>IF(AND(O767="在职",J767="是"),COUNTIF(O$2:O767,"在职"),"")</f>
        <v>760</v>
      </c>
    </row>
    <row r="768" customFormat="1" ht="18" spans="1:16">
      <c r="A768" s="10">
        <f t="shared" si="15"/>
        <v>767</v>
      </c>
      <c r="B768" s="31">
        <v>46185</v>
      </c>
      <c r="C768" s="32" t="s">
        <v>999</v>
      </c>
      <c r="D768" s="120" t="s">
        <v>477</v>
      </c>
      <c r="E768" s="33" t="s">
        <v>74</v>
      </c>
      <c r="F768" s="18" t="s">
        <v>64</v>
      </c>
      <c r="G768" s="18" t="s">
        <v>179</v>
      </c>
      <c r="H768" s="34" t="s">
        <v>86</v>
      </c>
      <c r="I768" s="18" t="s">
        <v>104</v>
      </c>
      <c r="J768" s="31" t="s">
        <v>114</v>
      </c>
      <c r="K768" s="31">
        <v>46185</v>
      </c>
      <c r="L768" s="4"/>
      <c r="M768" s="4"/>
      <c r="N768" s="13" t="s">
        <v>29</v>
      </c>
      <c r="O768" s="35" t="str">
        <f>IF(D768="","",IF(COUNTIF(离职清单!C:C,D768)&gt;0,"已离职","在职"))</f>
        <v>在职</v>
      </c>
      <c r="P768" s="35">
        <f>IF(AND(O768="在职",J768="是"),COUNTIF(O$2:O768,"在职"),"")</f>
        <v>761</v>
      </c>
    </row>
    <row r="769" customFormat="1" ht="18" spans="1:16">
      <c r="A769" s="14">
        <f t="shared" si="15"/>
        <v>768</v>
      </c>
      <c r="B769" s="31">
        <v>46185</v>
      </c>
      <c r="C769" s="32" t="s">
        <v>1000</v>
      </c>
      <c r="D769" s="120" t="s">
        <v>478</v>
      </c>
      <c r="E769" s="33" t="s">
        <v>74</v>
      </c>
      <c r="F769" s="18" t="s">
        <v>64</v>
      </c>
      <c r="G769" s="18" t="s">
        <v>179</v>
      </c>
      <c r="H769" s="34" t="s">
        <v>86</v>
      </c>
      <c r="I769" s="18" t="s">
        <v>104</v>
      </c>
      <c r="J769" s="31" t="s">
        <v>114</v>
      </c>
      <c r="K769" s="31">
        <v>46185</v>
      </c>
      <c r="L769" s="4"/>
      <c r="M769" s="4"/>
      <c r="N769" s="13" t="s">
        <v>29</v>
      </c>
      <c r="O769" s="35" t="str">
        <f>IF(D769="","",IF(COUNTIF(离职清单!C:C,D769)&gt;0,"已离职","在职"))</f>
        <v>在职</v>
      </c>
      <c r="P769" s="35">
        <f>IF(AND(O769="在职",J769="是"),COUNTIF(O$2:O769,"在职"),"")</f>
        <v>762</v>
      </c>
    </row>
    <row r="770" customFormat="1" ht="18" spans="1:16">
      <c r="A770" s="10">
        <f t="shared" si="15"/>
        <v>769</v>
      </c>
      <c r="B770" s="31">
        <v>46185</v>
      </c>
      <c r="C770" s="32" t="s">
        <v>1001</v>
      </c>
      <c r="D770" s="120" t="s">
        <v>480</v>
      </c>
      <c r="E770" s="33" t="s">
        <v>74</v>
      </c>
      <c r="F770" s="18" t="s">
        <v>64</v>
      </c>
      <c r="G770" s="18" t="s">
        <v>179</v>
      </c>
      <c r="H770" s="34" t="s">
        <v>86</v>
      </c>
      <c r="I770" s="18" t="s">
        <v>104</v>
      </c>
      <c r="J770" s="31" t="s">
        <v>114</v>
      </c>
      <c r="K770" s="31">
        <v>46185</v>
      </c>
      <c r="L770" s="4"/>
      <c r="M770" s="4"/>
      <c r="N770" s="13" t="s">
        <v>29</v>
      </c>
      <c r="O770" s="35" t="str">
        <f>IF(D770="","",IF(COUNTIF(离职清单!C:C,D770)&gt;0,"已离职","在职"))</f>
        <v>在职</v>
      </c>
      <c r="P770" s="35">
        <f>IF(AND(O770="在职",J770="是"),COUNTIF(O$2:O770,"在职"),"")</f>
        <v>763</v>
      </c>
    </row>
    <row r="771" customFormat="1" ht="18" spans="1:16">
      <c r="A771" s="14">
        <f t="shared" si="15"/>
        <v>770</v>
      </c>
      <c r="B771" s="31">
        <v>46185</v>
      </c>
      <c r="C771" s="32" t="s">
        <v>1002</v>
      </c>
      <c r="D771" s="120" t="s">
        <v>482</v>
      </c>
      <c r="E771" s="33" t="s">
        <v>42</v>
      </c>
      <c r="F771" s="18" t="s">
        <v>64</v>
      </c>
      <c r="G771" s="18" t="s">
        <v>129</v>
      </c>
      <c r="H771" s="34" t="s">
        <v>86</v>
      </c>
      <c r="I771" s="18" t="s">
        <v>111</v>
      </c>
      <c r="J771" s="31" t="s">
        <v>105</v>
      </c>
      <c r="K771" s="31">
        <v>46185</v>
      </c>
      <c r="L771" s="4"/>
      <c r="M771" s="4"/>
      <c r="N771" s="13" t="s">
        <v>29</v>
      </c>
      <c r="O771" s="35" t="str">
        <f>IF(D771="","",IF(COUNTIF(离职清单!C:C,D771)&gt;0,"已离职","在职"))</f>
        <v>在职</v>
      </c>
      <c r="P771" s="35" t="str">
        <f>IF(AND(O771="在职",J771="是"),COUNTIF(O$2:O771,"在职"),"")</f>
        <v/>
      </c>
    </row>
    <row r="772" customFormat="1" ht="18" spans="1:16">
      <c r="A772" s="10">
        <f t="shared" si="15"/>
        <v>771</v>
      </c>
      <c r="B772" s="31">
        <v>46185</v>
      </c>
      <c r="C772" s="32" t="s">
        <v>1003</v>
      </c>
      <c r="D772" s="120" t="s">
        <v>484</v>
      </c>
      <c r="E772" s="33" t="s">
        <v>42</v>
      </c>
      <c r="F772" s="18" t="s">
        <v>64</v>
      </c>
      <c r="G772" s="18" t="s">
        <v>129</v>
      </c>
      <c r="H772" s="34" t="s">
        <v>86</v>
      </c>
      <c r="I772" s="18" t="s">
        <v>104</v>
      </c>
      <c r="J772" s="31" t="s">
        <v>114</v>
      </c>
      <c r="K772" s="31">
        <v>46185</v>
      </c>
      <c r="L772" s="4"/>
      <c r="M772" s="4"/>
      <c r="N772" s="13" t="s">
        <v>29</v>
      </c>
      <c r="O772" s="35" t="str">
        <f>IF(D772="","",IF(COUNTIF(离职清单!C:C,D772)&gt;0,"已离职","在职"))</f>
        <v>在职</v>
      </c>
      <c r="P772" s="35">
        <f>IF(AND(O772="在职",J772="是"),COUNTIF(O$2:O772,"在职"),"")</f>
        <v>765</v>
      </c>
    </row>
    <row r="773" customFormat="1" ht="18" spans="1:16">
      <c r="A773" s="14">
        <f t="shared" si="15"/>
        <v>772</v>
      </c>
      <c r="B773" s="31">
        <v>46185</v>
      </c>
      <c r="C773" s="32" t="s">
        <v>922</v>
      </c>
      <c r="D773" s="120" t="s">
        <v>486</v>
      </c>
      <c r="E773" s="33" t="s">
        <v>42</v>
      </c>
      <c r="F773" s="18" t="s">
        <v>64</v>
      </c>
      <c r="G773" s="18" t="s">
        <v>796</v>
      </c>
      <c r="H773" s="34" t="s">
        <v>86</v>
      </c>
      <c r="I773" s="18" t="s">
        <v>104</v>
      </c>
      <c r="J773" s="31" t="s">
        <v>114</v>
      </c>
      <c r="K773" s="31">
        <v>46185</v>
      </c>
      <c r="L773" s="4"/>
      <c r="M773" s="4"/>
      <c r="N773" s="13" t="s">
        <v>29</v>
      </c>
      <c r="O773" s="35" t="str">
        <f>IF(D773="","",IF(COUNTIF(离职清单!C:C,D773)&gt;0,"已离职","在职"))</f>
        <v>在职</v>
      </c>
      <c r="P773" s="35">
        <f>IF(AND(O773="在职",J773="是"),COUNTIF(O$2:O773,"在职"),"")</f>
        <v>766</v>
      </c>
    </row>
    <row r="774" customFormat="1" ht="18" spans="1:16">
      <c r="A774" s="10">
        <f t="shared" si="15"/>
        <v>773</v>
      </c>
      <c r="B774" s="31">
        <v>46185</v>
      </c>
      <c r="C774" s="32" t="s">
        <v>770</v>
      </c>
      <c r="D774" s="120" t="s">
        <v>488</v>
      </c>
      <c r="E774" s="33" t="s">
        <v>74</v>
      </c>
      <c r="F774" s="18" t="s">
        <v>190</v>
      </c>
      <c r="G774" s="18" t="s">
        <v>179</v>
      </c>
      <c r="H774" s="34" t="s">
        <v>86</v>
      </c>
      <c r="I774" s="18" t="s">
        <v>104</v>
      </c>
      <c r="J774" s="31" t="s">
        <v>114</v>
      </c>
      <c r="K774" s="31">
        <v>46185</v>
      </c>
      <c r="L774" s="4"/>
      <c r="M774" s="4"/>
      <c r="N774" s="13" t="s">
        <v>29</v>
      </c>
      <c r="O774" s="35" t="str">
        <f>IF(D774="","",IF(COUNTIF(离职清单!C:C,D774)&gt;0,"已离职","在职"))</f>
        <v>在职</v>
      </c>
      <c r="P774" s="35">
        <f>IF(AND(O774="在职",J774="是"),COUNTIF(O$2:O774,"在职"),"")</f>
        <v>767</v>
      </c>
    </row>
    <row r="775" customFormat="1" ht="18" spans="1:16">
      <c r="A775" s="14">
        <f t="shared" si="15"/>
        <v>774</v>
      </c>
      <c r="B775" s="31">
        <v>46185</v>
      </c>
      <c r="C775" s="32" t="s">
        <v>1004</v>
      </c>
      <c r="D775" s="120" t="s">
        <v>490</v>
      </c>
      <c r="E775" s="33" t="s">
        <v>74</v>
      </c>
      <c r="F775" s="18" t="s">
        <v>64</v>
      </c>
      <c r="G775" s="18" t="s">
        <v>179</v>
      </c>
      <c r="H775" s="34" t="s">
        <v>86</v>
      </c>
      <c r="I775" s="18" t="s">
        <v>104</v>
      </c>
      <c r="J775" s="31" t="s">
        <v>114</v>
      </c>
      <c r="K775" s="31">
        <v>46185</v>
      </c>
      <c r="L775" s="4"/>
      <c r="M775" s="4"/>
      <c r="N775" s="13" t="s">
        <v>29</v>
      </c>
      <c r="O775" s="35" t="str">
        <f>IF(D775="","",IF(COUNTIF(离职清单!C:C,D775)&gt;0,"已离职","在职"))</f>
        <v>在职</v>
      </c>
      <c r="P775" s="35">
        <f>IF(AND(O775="在职",J775="是"),COUNTIF(O$2:O775,"在职"),"")</f>
        <v>768</v>
      </c>
    </row>
    <row r="776" customFormat="1" ht="18" spans="1:16">
      <c r="A776" s="10">
        <f t="shared" si="15"/>
        <v>775</v>
      </c>
      <c r="B776" s="31">
        <v>46185</v>
      </c>
      <c r="C776" s="32" t="s">
        <v>1005</v>
      </c>
      <c r="D776" s="120" t="s">
        <v>492</v>
      </c>
      <c r="E776" s="33" t="s">
        <v>43</v>
      </c>
      <c r="F776" s="18" t="s">
        <v>64</v>
      </c>
      <c r="G776" s="18" t="s">
        <v>1006</v>
      </c>
      <c r="H776" s="34" t="s">
        <v>86</v>
      </c>
      <c r="I776" s="18" t="s">
        <v>111</v>
      </c>
      <c r="J776" s="31" t="s">
        <v>105</v>
      </c>
      <c r="K776" s="31">
        <v>46185</v>
      </c>
      <c r="L776" s="4"/>
      <c r="M776" s="4"/>
      <c r="N776" s="13" t="s">
        <v>29</v>
      </c>
      <c r="O776" s="35" t="str">
        <f>IF(D776="","",IF(COUNTIF(离职清单!C:C,D776)&gt;0,"已离职","在职"))</f>
        <v>在职</v>
      </c>
      <c r="P776" s="35" t="str">
        <f>IF(AND(O776="在职",J776="是"),COUNTIF(O$2:O776,"在职"),"")</f>
        <v/>
      </c>
    </row>
    <row r="777" customFormat="1" ht="18" spans="1:16">
      <c r="A777" s="14">
        <f t="shared" si="15"/>
        <v>776</v>
      </c>
      <c r="B777" s="31">
        <v>46185</v>
      </c>
      <c r="C777" s="32" t="s">
        <v>1007</v>
      </c>
      <c r="D777" s="120" t="s">
        <v>477</v>
      </c>
      <c r="E777" s="33" t="s">
        <v>43</v>
      </c>
      <c r="F777" s="18" t="s">
        <v>64</v>
      </c>
      <c r="G777" s="18" t="s">
        <v>179</v>
      </c>
      <c r="H777" s="34" t="s">
        <v>86</v>
      </c>
      <c r="I777" s="18" t="s">
        <v>111</v>
      </c>
      <c r="J777" s="31" t="s">
        <v>105</v>
      </c>
      <c r="K777" s="31">
        <v>46185</v>
      </c>
      <c r="L777" s="4"/>
      <c r="M777" s="4"/>
      <c r="N777" s="13" t="s">
        <v>29</v>
      </c>
      <c r="O777" s="35" t="str">
        <f>IF(D777="","",IF(COUNTIF(离职清单!C:C,D777)&gt;0,"已离职","在职"))</f>
        <v>在职</v>
      </c>
      <c r="P777" s="35" t="str">
        <f>IF(AND(O777="在职",J777="是"),COUNTIF(O$2:O777,"在职"),"")</f>
        <v/>
      </c>
    </row>
    <row r="778" customFormat="1" ht="18" spans="1:16">
      <c r="A778" s="10">
        <f t="shared" si="15"/>
        <v>777</v>
      </c>
      <c r="B778" s="31">
        <v>46185</v>
      </c>
      <c r="C778" s="32" t="s">
        <v>988</v>
      </c>
      <c r="D778" s="120" t="s">
        <v>478</v>
      </c>
      <c r="E778" s="33" t="s">
        <v>43</v>
      </c>
      <c r="F778" s="18" t="s">
        <v>64</v>
      </c>
      <c r="G778" s="18" t="s">
        <v>179</v>
      </c>
      <c r="H778" s="34" t="s">
        <v>86</v>
      </c>
      <c r="I778" s="18" t="s">
        <v>111</v>
      </c>
      <c r="J778" s="31" t="s">
        <v>105</v>
      </c>
      <c r="K778" s="31">
        <v>46185</v>
      </c>
      <c r="L778" s="4"/>
      <c r="M778" s="4"/>
      <c r="N778" s="13" t="s">
        <v>29</v>
      </c>
      <c r="O778" s="35" t="str">
        <f>IF(D778="","",IF(COUNTIF(离职清单!C:C,D778)&gt;0,"已离职","在职"))</f>
        <v>在职</v>
      </c>
      <c r="P778" s="35" t="str">
        <f>IF(AND(O778="在职",J778="是"),COUNTIF(O$2:O778,"在职"),"")</f>
        <v/>
      </c>
    </row>
    <row r="779" customFormat="1" ht="18" spans="1:16">
      <c r="A779" s="14">
        <f t="shared" si="15"/>
        <v>778</v>
      </c>
      <c r="B779" s="31">
        <v>46185</v>
      </c>
      <c r="C779" s="32" t="s">
        <v>953</v>
      </c>
      <c r="D779" s="120" t="s">
        <v>480</v>
      </c>
      <c r="E779" s="33" t="s">
        <v>42</v>
      </c>
      <c r="F779" s="18" t="s">
        <v>64</v>
      </c>
      <c r="G779" s="18" t="s">
        <v>744</v>
      </c>
      <c r="H779" s="34" t="s">
        <v>86</v>
      </c>
      <c r="I779" s="18" t="s">
        <v>111</v>
      </c>
      <c r="J779" s="31" t="s">
        <v>105</v>
      </c>
      <c r="K779" s="31">
        <v>46185</v>
      </c>
      <c r="L779" s="4"/>
      <c r="M779" s="4"/>
      <c r="N779" s="13" t="s">
        <v>29</v>
      </c>
      <c r="O779" s="35" t="str">
        <f>IF(D779="","",IF(COUNTIF(离职清单!C:C,D779)&gt;0,"已离职","在职"))</f>
        <v>在职</v>
      </c>
      <c r="P779" s="35" t="str">
        <f>IF(AND(O779="在职",J779="是"),COUNTIF(O$2:O779,"在职"),"")</f>
        <v/>
      </c>
    </row>
    <row r="780" customFormat="1" ht="18" spans="1:16">
      <c r="A780" s="10">
        <f t="shared" si="15"/>
        <v>779</v>
      </c>
      <c r="B780" s="31">
        <v>46185</v>
      </c>
      <c r="C780" s="32" t="s">
        <v>920</v>
      </c>
      <c r="D780" s="120" t="s">
        <v>482</v>
      </c>
      <c r="E780" s="33" t="s">
        <v>42</v>
      </c>
      <c r="F780" s="18" t="s">
        <v>64</v>
      </c>
      <c r="G780" s="18" t="s">
        <v>148</v>
      </c>
      <c r="H780" s="34" t="s">
        <v>86</v>
      </c>
      <c r="I780" s="18" t="s">
        <v>111</v>
      </c>
      <c r="J780" s="31" t="s">
        <v>105</v>
      </c>
      <c r="K780" s="31">
        <v>46185</v>
      </c>
      <c r="L780" s="4"/>
      <c r="M780" s="4"/>
      <c r="N780" s="13" t="s">
        <v>29</v>
      </c>
      <c r="O780" s="35" t="str">
        <f>IF(D780="","",IF(COUNTIF(离职清单!C:C,D780)&gt;0,"已离职","在职"))</f>
        <v>在职</v>
      </c>
      <c r="P780" s="35" t="str">
        <f>IF(AND(O780="在职",J780="是"),COUNTIF(O$2:O780,"在职"),"")</f>
        <v/>
      </c>
    </row>
    <row r="781" customFormat="1" ht="18" spans="1:16">
      <c r="A781" s="14">
        <f t="shared" si="15"/>
        <v>780</v>
      </c>
      <c r="B781" s="31">
        <v>46185</v>
      </c>
      <c r="C781" s="32" t="s">
        <v>1008</v>
      </c>
      <c r="D781" s="120" t="s">
        <v>484</v>
      </c>
      <c r="E781" s="33" t="s">
        <v>42</v>
      </c>
      <c r="F781" s="18" t="s">
        <v>64</v>
      </c>
      <c r="G781" s="18" t="s">
        <v>148</v>
      </c>
      <c r="H781" s="34" t="s">
        <v>86</v>
      </c>
      <c r="I781" s="18" t="s">
        <v>104</v>
      </c>
      <c r="J781" s="31" t="s">
        <v>114</v>
      </c>
      <c r="K781" s="31">
        <v>46185</v>
      </c>
      <c r="L781" s="4"/>
      <c r="M781" s="4"/>
      <c r="N781" s="13" t="s">
        <v>29</v>
      </c>
      <c r="O781" s="35" t="str">
        <f>IF(D781="","",IF(COUNTIF(离职清单!C:C,D781)&gt;0,"已离职","在职"))</f>
        <v>在职</v>
      </c>
      <c r="P781" s="35">
        <f>IF(AND(O781="在职",J781="是"),COUNTIF(O$2:O781,"在职"),"")</f>
        <v>774</v>
      </c>
    </row>
    <row r="782" customFormat="1" ht="18" spans="1:16">
      <c r="A782" s="10">
        <f t="shared" si="15"/>
        <v>781</v>
      </c>
      <c r="B782" s="31">
        <v>46185</v>
      </c>
      <c r="C782" s="32" t="s">
        <v>1009</v>
      </c>
      <c r="D782" s="120" t="s">
        <v>486</v>
      </c>
      <c r="E782" s="33" t="s">
        <v>42</v>
      </c>
      <c r="F782" s="18" t="s">
        <v>64</v>
      </c>
      <c r="G782" s="18" t="s">
        <v>148</v>
      </c>
      <c r="H782" s="34" t="s">
        <v>86</v>
      </c>
      <c r="I782" s="18" t="s">
        <v>104</v>
      </c>
      <c r="J782" s="31" t="s">
        <v>114</v>
      </c>
      <c r="K782" s="31">
        <v>46185</v>
      </c>
      <c r="L782" s="4"/>
      <c r="M782" s="4"/>
      <c r="N782" s="13" t="s">
        <v>29</v>
      </c>
      <c r="O782" s="35" t="str">
        <f>IF(D782="","",IF(COUNTIF(离职清单!C:C,D782)&gt;0,"已离职","在职"))</f>
        <v>在职</v>
      </c>
      <c r="P782" s="35">
        <f>IF(AND(O782="在职",J782="是"),COUNTIF(O$2:O782,"在职"),"")</f>
        <v>775</v>
      </c>
    </row>
    <row r="783" customFormat="1" ht="18" spans="1:16">
      <c r="A783" s="14">
        <f t="shared" si="15"/>
        <v>782</v>
      </c>
      <c r="B783" s="31">
        <v>46186</v>
      </c>
      <c r="C783" s="32" t="s">
        <v>1010</v>
      </c>
      <c r="D783" s="120" t="s">
        <v>488</v>
      </c>
      <c r="E783" s="33" t="s">
        <v>42</v>
      </c>
      <c r="F783" s="18" t="s">
        <v>64</v>
      </c>
      <c r="G783" s="18" t="s">
        <v>129</v>
      </c>
      <c r="H783" s="34" t="s">
        <v>86</v>
      </c>
      <c r="I783" s="18" t="s">
        <v>111</v>
      </c>
      <c r="J783" s="31" t="s">
        <v>105</v>
      </c>
      <c r="K783" s="31">
        <v>46186</v>
      </c>
      <c r="L783" s="4"/>
      <c r="M783" s="4"/>
      <c r="N783" s="13" t="s">
        <v>29</v>
      </c>
      <c r="O783" s="35" t="str">
        <f>IF(D783="","",IF(COUNTIF(离职清单!C:C,D783)&gt;0,"已离职","在职"))</f>
        <v>在职</v>
      </c>
      <c r="P783" s="35" t="str">
        <f>IF(AND(O783="在职",J783="是"),COUNTIF(O$2:O783,"在职"),"")</f>
        <v/>
      </c>
    </row>
    <row r="784" customFormat="1" ht="18" spans="1:16">
      <c r="A784" s="10">
        <f t="shared" si="15"/>
        <v>783</v>
      </c>
      <c r="B784" s="31">
        <v>46186</v>
      </c>
      <c r="C784" s="32" t="s">
        <v>1011</v>
      </c>
      <c r="D784" s="120" t="s">
        <v>490</v>
      </c>
      <c r="E784" s="33" t="s">
        <v>43</v>
      </c>
      <c r="F784" s="18" t="s">
        <v>64</v>
      </c>
      <c r="G784" s="18" t="s">
        <v>129</v>
      </c>
      <c r="H784" s="34" t="s">
        <v>86</v>
      </c>
      <c r="I784" s="18" t="s">
        <v>111</v>
      </c>
      <c r="J784" s="31" t="s">
        <v>105</v>
      </c>
      <c r="K784" s="31">
        <v>46186</v>
      </c>
      <c r="L784" s="4"/>
      <c r="M784" s="4"/>
      <c r="N784" s="13" t="s">
        <v>29</v>
      </c>
      <c r="O784" s="35" t="str">
        <f>IF(D784="","",IF(COUNTIF(离职清单!C:C,D784)&gt;0,"已离职","在职"))</f>
        <v>在职</v>
      </c>
      <c r="P784" s="35" t="str">
        <f>IF(AND(O784="在职",J784="是"),COUNTIF(O$2:O784,"在职"),"")</f>
        <v/>
      </c>
    </row>
    <row r="785" customFormat="1" ht="18" spans="1:16">
      <c r="A785" s="14">
        <f t="shared" si="15"/>
        <v>784</v>
      </c>
      <c r="B785" s="31">
        <v>46186</v>
      </c>
      <c r="C785" s="32" t="s">
        <v>983</v>
      </c>
      <c r="D785" s="120" t="s">
        <v>492</v>
      </c>
      <c r="E785" s="33" t="s">
        <v>42</v>
      </c>
      <c r="F785" s="18" t="s">
        <v>64</v>
      </c>
      <c r="G785" s="18" t="s">
        <v>179</v>
      </c>
      <c r="H785" s="34" t="s">
        <v>86</v>
      </c>
      <c r="I785" s="18" t="s">
        <v>104</v>
      </c>
      <c r="J785" s="31" t="s">
        <v>114</v>
      </c>
      <c r="K785" s="31">
        <v>46186</v>
      </c>
      <c r="L785" s="4"/>
      <c r="M785" s="4"/>
      <c r="N785" s="13" t="s">
        <v>29</v>
      </c>
      <c r="O785" s="35" t="str">
        <f>IF(D785="","",IF(COUNTIF(离职清单!C:C,D785)&gt;0,"已离职","在职"))</f>
        <v>在职</v>
      </c>
      <c r="P785" s="35">
        <f>IF(AND(O785="在职",J785="是"),COUNTIF(O$2:O785,"在职"),"")</f>
        <v>778</v>
      </c>
    </row>
    <row r="786" customFormat="1" ht="18" spans="1:16">
      <c r="A786" s="10">
        <f t="shared" si="15"/>
        <v>785</v>
      </c>
      <c r="B786" s="31">
        <v>46186</v>
      </c>
      <c r="C786" s="32" t="s">
        <v>984</v>
      </c>
      <c r="D786" s="120" t="s">
        <v>477</v>
      </c>
      <c r="E786" s="33" t="s">
        <v>42</v>
      </c>
      <c r="F786" s="18" t="s">
        <v>64</v>
      </c>
      <c r="G786" s="18" t="s">
        <v>179</v>
      </c>
      <c r="H786" s="34" t="s">
        <v>86</v>
      </c>
      <c r="I786" s="18" t="s">
        <v>104</v>
      </c>
      <c r="J786" s="31" t="s">
        <v>114</v>
      </c>
      <c r="K786" s="31">
        <v>46186</v>
      </c>
      <c r="L786" s="4"/>
      <c r="M786" s="4"/>
      <c r="N786" s="13" t="s">
        <v>29</v>
      </c>
      <c r="O786" s="35" t="str">
        <f>IF(D786="","",IF(COUNTIF(离职清单!C:C,D786)&gt;0,"已离职","在职"))</f>
        <v>在职</v>
      </c>
      <c r="P786" s="35">
        <f>IF(AND(O786="在职",J786="是"),COUNTIF(O$2:O786,"在职"),"")</f>
        <v>779</v>
      </c>
    </row>
    <row r="787" customFormat="1" ht="18" spans="1:16">
      <c r="A787" s="14">
        <f t="shared" si="15"/>
        <v>786</v>
      </c>
      <c r="B787" s="31">
        <v>46186</v>
      </c>
      <c r="C787" s="32" t="s">
        <v>1012</v>
      </c>
      <c r="D787" s="120" t="s">
        <v>477</v>
      </c>
      <c r="E787" s="33" t="s">
        <v>43</v>
      </c>
      <c r="F787" s="18" t="s">
        <v>64</v>
      </c>
      <c r="G787" s="18" t="s">
        <v>468</v>
      </c>
      <c r="H787" s="34" t="s">
        <v>86</v>
      </c>
      <c r="I787" s="18" t="s">
        <v>104</v>
      </c>
      <c r="J787" s="31" t="s">
        <v>114</v>
      </c>
      <c r="K787" s="31">
        <v>46186</v>
      </c>
      <c r="L787" s="4"/>
      <c r="M787" s="4"/>
      <c r="N787" s="13" t="s">
        <v>29</v>
      </c>
      <c r="O787" s="35" t="str">
        <f>IF(D787="","",IF(COUNTIF(离职清单!C:C,D787)&gt;0,"已离职","在职"))</f>
        <v>在职</v>
      </c>
      <c r="P787" s="35">
        <f>IF(AND(O787="在职",J787="是"),COUNTIF(O$2:O787,"在职"),"")</f>
        <v>780</v>
      </c>
    </row>
    <row r="788" customFormat="1" ht="18" spans="1:16">
      <c r="A788" s="10">
        <f t="shared" si="15"/>
        <v>787</v>
      </c>
      <c r="B788" s="31">
        <v>46186</v>
      </c>
      <c r="C788" s="32" t="s">
        <v>1013</v>
      </c>
      <c r="D788" s="120" t="s">
        <v>478</v>
      </c>
      <c r="E788" s="33" t="s">
        <v>43</v>
      </c>
      <c r="F788" s="18" t="s">
        <v>64</v>
      </c>
      <c r="G788" s="18" t="s">
        <v>468</v>
      </c>
      <c r="H788" s="34" t="s">
        <v>86</v>
      </c>
      <c r="I788" s="18" t="s">
        <v>104</v>
      </c>
      <c r="J788" s="31" t="s">
        <v>114</v>
      </c>
      <c r="K788" s="31">
        <v>46186</v>
      </c>
      <c r="L788" s="4"/>
      <c r="M788" s="4"/>
      <c r="N788" s="13" t="s">
        <v>29</v>
      </c>
      <c r="O788" s="35" t="str">
        <f>IF(D788="","",IF(COUNTIF(离职清单!C:C,D788)&gt;0,"已离职","在职"))</f>
        <v>在职</v>
      </c>
      <c r="P788" s="35">
        <f>IF(AND(O788="在职",J788="是"),COUNTIF(O$2:O788,"在职"),"")</f>
        <v>781</v>
      </c>
    </row>
    <row r="789" customFormat="1" ht="18" spans="1:16">
      <c r="A789" s="14">
        <f t="shared" si="15"/>
        <v>788</v>
      </c>
      <c r="B789" s="31">
        <v>46186</v>
      </c>
      <c r="C789" s="32" t="s">
        <v>1014</v>
      </c>
      <c r="D789" s="120" t="s">
        <v>480</v>
      </c>
      <c r="E789" s="33" t="s">
        <v>43</v>
      </c>
      <c r="F789" s="18" t="s">
        <v>64</v>
      </c>
      <c r="G789" s="18" t="s">
        <v>468</v>
      </c>
      <c r="H789" s="34" t="s">
        <v>86</v>
      </c>
      <c r="I789" s="18" t="s">
        <v>104</v>
      </c>
      <c r="J789" s="31" t="s">
        <v>114</v>
      </c>
      <c r="K789" s="31">
        <v>46186</v>
      </c>
      <c r="L789" s="4"/>
      <c r="M789" s="4"/>
      <c r="N789" s="13" t="s">
        <v>29</v>
      </c>
      <c r="O789" s="35" t="str">
        <f>IF(D789="","",IF(COUNTIF(离职清单!C:C,D789)&gt;0,"已离职","在职"))</f>
        <v>在职</v>
      </c>
      <c r="P789" s="35">
        <f>IF(AND(O789="在职",J789="是"),COUNTIF(O$2:O789,"在职"),"")</f>
        <v>782</v>
      </c>
    </row>
    <row r="790" customFormat="1" ht="18" spans="1:16">
      <c r="A790" s="10">
        <f t="shared" si="15"/>
        <v>789</v>
      </c>
      <c r="B790" s="31">
        <v>46186</v>
      </c>
      <c r="C790" s="32" t="s">
        <v>1015</v>
      </c>
      <c r="D790" s="120" t="s">
        <v>482</v>
      </c>
      <c r="E790" s="33" t="s">
        <v>42</v>
      </c>
      <c r="F790" s="18" t="s">
        <v>64</v>
      </c>
      <c r="G790" s="18" t="s">
        <v>148</v>
      </c>
      <c r="H790" s="34" t="s">
        <v>86</v>
      </c>
      <c r="I790" s="18" t="s">
        <v>104</v>
      </c>
      <c r="J790" s="31" t="s">
        <v>114</v>
      </c>
      <c r="K790" s="31">
        <v>46186</v>
      </c>
      <c r="L790" s="4"/>
      <c r="M790" s="4"/>
      <c r="N790" s="13" t="s">
        <v>29</v>
      </c>
      <c r="O790" s="35" t="str">
        <f>IF(D790="","",IF(COUNTIF(离职清单!C:C,D790)&gt;0,"已离职","在职"))</f>
        <v>在职</v>
      </c>
      <c r="P790" s="35">
        <f>IF(AND(O790="在职",J790="是"),COUNTIF(O$2:O790,"在职"),"")</f>
        <v>783</v>
      </c>
    </row>
    <row r="791" customFormat="1" ht="18" spans="1:16">
      <c r="A791" s="14">
        <f t="shared" si="15"/>
        <v>790</v>
      </c>
      <c r="B791" s="31">
        <v>46186</v>
      </c>
      <c r="C791" s="32" t="s">
        <v>1016</v>
      </c>
      <c r="D791" s="120" t="s">
        <v>484</v>
      </c>
      <c r="E791" s="33" t="s">
        <v>43</v>
      </c>
      <c r="F791" s="18" t="s">
        <v>64</v>
      </c>
      <c r="G791" s="18" t="s">
        <v>148</v>
      </c>
      <c r="H791" s="34" t="s">
        <v>86</v>
      </c>
      <c r="I791" s="18" t="s">
        <v>111</v>
      </c>
      <c r="J791" s="31" t="s">
        <v>105</v>
      </c>
      <c r="K791" s="31">
        <v>46186</v>
      </c>
      <c r="L791" s="4"/>
      <c r="M791" s="4"/>
      <c r="N791" s="13" t="s">
        <v>29</v>
      </c>
      <c r="O791" s="35" t="str">
        <f>IF(D791="","",IF(COUNTIF(离职清单!C:C,D791)&gt;0,"已离职","在职"))</f>
        <v>在职</v>
      </c>
      <c r="P791" s="35" t="str">
        <f>IF(AND(O791="在职",J791="是"),COUNTIF(O$2:O791,"在职"),"")</f>
        <v/>
      </c>
    </row>
    <row r="792" customFormat="1" ht="18" spans="1:16">
      <c r="A792" s="10">
        <f t="shared" ref="A792:A855" si="16">IF(B792&lt;&gt;"",ROW()-1,"")</f>
        <v>791</v>
      </c>
      <c r="B792" s="31">
        <v>46186</v>
      </c>
      <c r="C792" s="32" t="s">
        <v>865</v>
      </c>
      <c r="D792" s="120" t="s">
        <v>486</v>
      </c>
      <c r="E792" s="33" t="s">
        <v>42</v>
      </c>
      <c r="F792" s="18" t="s">
        <v>64</v>
      </c>
      <c r="G792" s="18" t="s">
        <v>148</v>
      </c>
      <c r="H792" s="34" t="s">
        <v>86</v>
      </c>
      <c r="I792" s="18" t="s">
        <v>111</v>
      </c>
      <c r="J792" s="31" t="s">
        <v>105</v>
      </c>
      <c r="K792" s="31">
        <v>46186</v>
      </c>
      <c r="L792" s="4"/>
      <c r="M792" s="4"/>
      <c r="N792" s="13" t="s">
        <v>29</v>
      </c>
      <c r="O792" s="35" t="str">
        <f>IF(D792="","",IF(COUNTIF(离职清单!C:C,D792)&gt;0,"已离职","在职"))</f>
        <v>在职</v>
      </c>
      <c r="P792" s="35" t="str">
        <f>IF(AND(O792="在职",J792="是"),COUNTIF(O$2:O792,"在职"),"")</f>
        <v/>
      </c>
    </row>
    <row r="793" customFormat="1" ht="18" spans="1:16">
      <c r="A793" s="14">
        <f t="shared" si="16"/>
        <v>792</v>
      </c>
      <c r="B793" s="31">
        <v>46186</v>
      </c>
      <c r="C793" s="32" t="s">
        <v>866</v>
      </c>
      <c r="D793" s="120" t="s">
        <v>488</v>
      </c>
      <c r="E793" s="33" t="s">
        <v>42</v>
      </c>
      <c r="F793" s="18" t="s">
        <v>64</v>
      </c>
      <c r="G793" s="18" t="s">
        <v>148</v>
      </c>
      <c r="H793" s="34" t="s">
        <v>86</v>
      </c>
      <c r="I793" s="18" t="s">
        <v>104</v>
      </c>
      <c r="J793" s="31" t="s">
        <v>114</v>
      </c>
      <c r="K793" s="31">
        <v>46186</v>
      </c>
      <c r="L793" s="4"/>
      <c r="M793" s="4"/>
      <c r="N793" s="13" t="s">
        <v>29</v>
      </c>
      <c r="O793" s="35" t="str">
        <f>IF(D793="","",IF(COUNTIF(离职清单!C:C,D793)&gt;0,"已离职","在职"))</f>
        <v>在职</v>
      </c>
      <c r="P793" s="35">
        <f>IF(AND(O793="在职",J793="是"),COUNTIF(O$2:O793,"在职"),"")</f>
        <v>786</v>
      </c>
    </row>
    <row r="794" customFormat="1" ht="18" spans="1:16">
      <c r="A794" s="10">
        <f t="shared" si="16"/>
        <v>793</v>
      </c>
      <c r="B794" s="31">
        <v>46186</v>
      </c>
      <c r="C794" s="32" t="s">
        <v>959</v>
      </c>
      <c r="D794" s="120" t="s">
        <v>490</v>
      </c>
      <c r="E794" s="33" t="s">
        <v>42</v>
      </c>
      <c r="F794" s="18" t="s">
        <v>64</v>
      </c>
      <c r="G794" s="18" t="s">
        <v>148</v>
      </c>
      <c r="H794" s="34" t="s">
        <v>86</v>
      </c>
      <c r="I794" s="18" t="s">
        <v>104</v>
      </c>
      <c r="J794" s="31" t="s">
        <v>114</v>
      </c>
      <c r="K794" s="31">
        <v>46186</v>
      </c>
      <c r="L794" s="4"/>
      <c r="M794" s="4"/>
      <c r="N794" s="13" t="s">
        <v>29</v>
      </c>
      <c r="O794" s="35" t="str">
        <f>IF(D794="","",IF(COUNTIF(离职清单!C:C,D794)&gt;0,"已离职","在职"))</f>
        <v>在职</v>
      </c>
      <c r="P794" s="35">
        <f>IF(AND(O794="在职",J794="是"),COUNTIF(O$2:O794,"在职"),"")</f>
        <v>787</v>
      </c>
    </row>
    <row r="795" customFormat="1" ht="18" spans="1:16">
      <c r="A795" s="14">
        <f t="shared" si="16"/>
        <v>794</v>
      </c>
      <c r="B795" s="31">
        <v>46186</v>
      </c>
      <c r="C795" s="32" t="s">
        <v>1017</v>
      </c>
      <c r="D795" s="120" t="s">
        <v>492</v>
      </c>
      <c r="E795" s="33" t="s">
        <v>42</v>
      </c>
      <c r="F795" s="18" t="s">
        <v>64</v>
      </c>
      <c r="G795" s="18" t="s">
        <v>233</v>
      </c>
      <c r="H795" s="34" t="s">
        <v>86</v>
      </c>
      <c r="I795" s="18" t="s">
        <v>104</v>
      </c>
      <c r="J795" s="31" t="s">
        <v>114</v>
      </c>
      <c r="K795" s="31">
        <v>46186</v>
      </c>
      <c r="L795" s="4"/>
      <c r="M795" s="4"/>
      <c r="N795" s="13" t="s">
        <v>29</v>
      </c>
      <c r="O795" s="35" t="str">
        <f>IF(D795="","",IF(COUNTIF(离职清单!C:C,D795)&gt;0,"已离职","在职"))</f>
        <v>在职</v>
      </c>
      <c r="P795" s="35">
        <f>IF(AND(O795="在职",J795="是"),COUNTIF(O$2:O795,"在职"),"")</f>
        <v>788</v>
      </c>
    </row>
    <row r="796" customFormat="1" ht="18" spans="1:16">
      <c r="A796" s="10">
        <f t="shared" si="16"/>
        <v>795</v>
      </c>
      <c r="B796" s="31">
        <v>46186</v>
      </c>
      <c r="C796" s="32" t="s">
        <v>1018</v>
      </c>
      <c r="D796" s="120" t="s">
        <v>477</v>
      </c>
      <c r="E796" s="33" t="s">
        <v>43</v>
      </c>
      <c r="F796" s="18" t="s">
        <v>63</v>
      </c>
      <c r="G796" s="18" t="s">
        <v>103</v>
      </c>
      <c r="H796" s="34" t="s">
        <v>86</v>
      </c>
      <c r="I796" s="18" t="s">
        <v>104</v>
      </c>
      <c r="J796" s="31" t="s">
        <v>114</v>
      </c>
      <c r="K796" s="31">
        <v>46186</v>
      </c>
      <c r="L796" s="4"/>
      <c r="M796" s="4"/>
      <c r="N796" s="13" t="s">
        <v>29</v>
      </c>
      <c r="O796" s="35" t="str">
        <f>IF(D796="","",IF(COUNTIF(离职清单!C:C,D796)&gt;0,"已离职","在职"))</f>
        <v>在职</v>
      </c>
      <c r="P796" s="35">
        <f>IF(AND(O796="在职",J796="是"),COUNTIF(O$2:O796,"在职"),"")</f>
        <v>789</v>
      </c>
    </row>
    <row r="797" customFormat="1" ht="18" spans="1:16">
      <c r="A797" s="14">
        <f t="shared" si="16"/>
        <v>796</v>
      </c>
      <c r="B797" s="31">
        <v>46186</v>
      </c>
      <c r="C797" s="32" t="s">
        <v>1019</v>
      </c>
      <c r="D797" s="120" t="s">
        <v>478</v>
      </c>
      <c r="E797" s="33" t="s">
        <v>42</v>
      </c>
      <c r="F797" s="18" t="s">
        <v>64</v>
      </c>
      <c r="G797" s="18" t="s">
        <v>103</v>
      </c>
      <c r="H797" s="34" t="s">
        <v>86</v>
      </c>
      <c r="I797" s="18" t="s">
        <v>111</v>
      </c>
      <c r="J797" s="31" t="s">
        <v>105</v>
      </c>
      <c r="K797" s="31">
        <v>46186</v>
      </c>
      <c r="L797" s="4"/>
      <c r="M797" s="4"/>
      <c r="N797" s="13" t="s">
        <v>29</v>
      </c>
      <c r="O797" s="35" t="str">
        <f>IF(D797="","",IF(COUNTIF(离职清单!C:C,D797)&gt;0,"已离职","在职"))</f>
        <v>在职</v>
      </c>
      <c r="P797" s="35" t="str">
        <f>IF(AND(O797="在职",J797="是"),COUNTIF(O$2:O797,"在职"),"")</f>
        <v/>
      </c>
    </row>
    <row r="798" customFormat="1" ht="18" spans="1:16">
      <c r="A798" s="10">
        <f t="shared" si="16"/>
        <v>797</v>
      </c>
      <c r="B798" s="31">
        <v>46186</v>
      </c>
      <c r="C798" s="32" t="s">
        <v>1020</v>
      </c>
      <c r="D798" s="120" t="s">
        <v>480</v>
      </c>
      <c r="E798" s="33" t="s">
        <v>42</v>
      </c>
      <c r="F798" s="18" t="s">
        <v>64</v>
      </c>
      <c r="G798" s="18" t="s">
        <v>132</v>
      </c>
      <c r="H798" s="34" t="s">
        <v>86</v>
      </c>
      <c r="I798" s="18" t="s">
        <v>111</v>
      </c>
      <c r="J798" s="31" t="s">
        <v>105</v>
      </c>
      <c r="K798" s="31">
        <v>46186</v>
      </c>
      <c r="L798" s="4"/>
      <c r="M798" s="4"/>
      <c r="N798" s="13" t="s">
        <v>29</v>
      </c>
      <c r="O798" s="35" t="str">
        <f>IF(D798="","",IF(COUNTIF(离职清单!C:C,D798)&gt;0,"已离职","在职"))</f>
        <v>在职</v>
      </c>
      <c r="P798" s="35" t="str">
        <f>IF(AND(O798="在职",J798="是"),COUNTIF(O$2:O798,"在职"),"")</f>
        <v/>
      </c>
    </row>
    <row r="799" customFormat="1" ht="18" spans="1:16">
      <c r="A799" s="14">
        <f t="shared" si="16"/>
        <v>798</v>
      </c>
      <c r="B799" s="31">
        <v>46186</v>
      </c>
      <c r="C799" s="32" t="s">
        <v>972</v>
      </c>
      <c r="D799" s="120" t="s">
        <v>482</v>
      </c>
      <c r="E799" s="33" t="s">
        <v>42</v>
      </c>
      <c r="F799" s="18" t="s">
        <v>64</v>
      </c>
      <c r="G799" s="18" t="s">
        <v>332</v>
      </c>
      <c r="H799" s="34" t="s">
        <v>86</v>
      </c>
      <c r="I799" s="18" t="s">
        <v>111</v>
      </c>
      <c r="J799" s="31" t="s">
        <v>105</v>
      </c>
      <c r="K799" s="31">
        <v>46186</v>
      </c>
      <c r="L799" s="4"/>
      <c r="M799" s="4"/>
      <c r="N799" s="13" t="s">
        <v>29</v>
      </c>
      <c r="O799" s="35" t="str">
        <f>IF(D799="","",IF(COUNTIF(离职清单!C:C,D799)&gt;0,"已离职","在职"))</f>
        <v>在职</v>
      </c>
      <c r="P799" s="35" t="str">
        <f>IF(AND(O799="在职",J799="是"),COUNTIF(O$2:O799,"在职"),"")</f>
        <v/>
      </c>
    </row>
    <row r="800" customFormat="1" ht="18" spans="1:16">
      <c r="A800" s="10">
        <f t="shared" si="16"/>
        <v>799</v>
      </c>
      <c r="B800" s="31">
        <v>46186</v>
      </c>
      <c r="C800" s="32" t="s">
        <v>1021</v>
      </c>
      <c r="D800" s="120" t="s">
        <v>484</v>
      </c>
      <c r="E800" s="33" t="s">
        <v>74</v>
      </c>
      <c r="F800" s="18" t="s">
        <v>64</v>
      </c>
      <c r="G800" s="18" t="s">
        <v>135</v>
      </c>
      <c r="H800" s="34" t="s">
        <v>86</v>
      </c>
      <c r="I800" s="18" t="s">
        <v>104</v>
      </c>
      <c r="J800" s="31" t="s">
        <v>114</v>
      </c>
      <c r="K800" s="31">
        <v>46186</v>
      </c>
      <c r="L800" s="4"/>
      <c r="M800" s="4"/>
      <c r="N800" s="13" t="s">
        <v>29</v>
      </c>
      <c r="O800" s="35" t="str">
        <f>IF(D800="","",IF(COUNTIF(离职清单!C:C,D800)&gt;0,"已离职","在职"))</f>
        <v>在职</v>
      </c>
      <c r="P800" s="35">
        <f>IF(AND(O800="在职",J800="是"),COUNTIF(O$2:O800,"在职"),"")</f>
        <v>793</v>
      </c>
    </row>
    <row r="801" customFormat="1" ht="18" spans="1:16">
      <c r="A801" s="14">
        <f t="shared" si="16"/>
        <v>800</v>
      </c>
      <c r="B801" s="31">
        <v>46186</v>
      </c>
      <c r="C801" s="32" t="s">
        <v>1022</v>
      </c>
      <c r="D801" s="120" t="s">
        <v>486</v>
      </c>
      <c r="E801" s="33" t="s">
        <v>74</v>
      </c>
      <c r="F801" s="18" t="s">
        <v>64</v>
      </c>
      <c r="G801" s="18" t="s">
        <v>135</v>
      </c>
      <c r="H801" s="34" t="s">
        <v>86</v>
      </c>
      <c r="I801" s="18" t="s">
        <v>104</v>
      </c>
      <c r="J801" s="31" t="s">
        <v>114</v>
      </c>
      <c r="K801" s="31">
        <v>46186</v>
      </c>
      <c r="L801" s="4"/>
      <c r="M801" s="4"/>
      <c r="N801" s="13" t="s">
        <v>29</v>
      </c>
      <c r="O801" s="35" t="str">
        <f>IF(D801="","",IF(COUNTIF(离职清单!C:C,D801)&gt;0,"已离职","在职"))</f>
        <v>在职</v>
      </c>
      <c r="P801" s="35">
        <f>IF(AND(O801="在职",J801="是"),COUNTIF(O$2:O801,"在职"),"")</f>
        <v>794</v>
      </c>
    </row>
    <row r="802" customFormat="1" ht="18" spans="1:16">
      <c r="A802" s="10">
        <f t="shared" si="16"/>
        <v>801</v>
      </c>
      <c r="B802" s="31">
        <v>46186</v>
      </c>
      <c r="C802" s="32" t="s">
        <v>1023</v>
      </c>
      <c r="D802" s="120" t="s">
        <v>488</v>
      </c>
      <c r="E802" s="33" t="s">
        <v>42</v>
      </c>
      <c r="F802" s="18" t="s">
        <v>64</v>
      </c>
      <c r="G802" s="18" t="s">
        <v>631</v>
      </c>
      <c r="H802" s="34" t="s">
        <v>86</v>
      </c>
      <c r="I802" s="18" t="s">
        <v>104</v>
      </c>
      <c r="J802" s="31" t="s">
        <v>114</v>
      </c>
      <c r="K802" s="31">
        <v>46186</v>
      </c>
      <c r="L802" s="4"/>
      <c r="M802" s="4"/>
      <c r="N802" s="13" t="s">
        <v>29</v>
      </c>
      <c r="O802" s="35" t="str">
        <f>IF(D802="","",IF(COUNTIF(离职清单!C:C,D802)&gt;0,"已离职","在职"))</f>
        <v>在职</v>
      </c>
      <c r="P802" s="35">
        <f>IF(AND(O802="在职",J802="是"),COUNTIF(O$2:O802,"在职"),"")</f>
        <v>795</v>
      </c>
    </row>
    <row r="803" customFormat="1" ht="18" spans="1:16">
      <c r="A803" s="14">
        <f t="shared" si="16"/>
        <v>802</v>
      </c>
      <c r="B803" s="31">
        <v>46186</v>
      </c>
      <c r="C803" s="32" t="s">
        <v>1024</v>
      </c>
      <c r="D803" s="120" t="s">
        <v>490</v>
      </c>
      <c r="E803" s="33" t="s">
        <v>42</v>
      </c>
      <c r="F803" s="18" t="s">
        <v>64</v>
      </c>
      <c r="G803" s="18" t="s">
        <v>631</v>
      </c>
      <c r="H803" s="34" t="s">
        <v>86</v>
      </c>
      <c r="I803" s="18" t="s">
        <v>111</v>
      </c>
      <c r="J803" s="31" t="s">
        <v>105</v>
      </c>
      <c r="K803" s="31">
        <v>46186</v>
      </c>
      <c r="L803" s="4"/>
      <c r="M803" s="4"/>
      <c r="N803" s="13" t="s">
        <v>29</v>
      </c>
      <c r="O803" s="35" t="str">
        <f>IF(D803="","",IF(COUNTIF(离职清单!C:C,D803)&gt;0,"已离职","在职"))</f>
        <v>在职</v>
      </c>
      <c r="P803" s="35" t="str">
        <f>IF(AND(O803="在职",J803="是"),COUNTIF(O$2:O803,"在职"),"")</f>
        <v/>
      </c>
    </row>
    <row r="804" customFormat="1" ht="18" spans="1:16">
      <c r="A804" s="10">
        <f t="shared" si="16"/>
        <v>803</v>
      </c>
      <c r="B804" s="31">
        <v>46186</v>
      </c>
      <c r="C804" s="32" t="s">
        <v>1025</v>
      </c>
      <c r="D804" s="120" t="s">
        <v>492</v>
      </c>
      <c r="E804" s="33" t="s">
        <v>42</v>
      </c>
      <c r="F804" s="18" t="s">
        <v>64</v>
      </c>
      <c r="G804" s="18" t="s">
        <v>148</v>
      </c>
      <c r="H804" s="34" t="s">
        <v>86</v>
      </c>
      <c r="I804" s="18" t="s">
        <v>111</v>
      </c>
      <c r="J804" s="31" t="s">
        <v>105</v>
      </c>
      <c r="K804" s="31">
        <v>46186</v>
      </c>
      <c r="L804" s="4"/>
      <c r="M804" s="4"/>
      <c r="N804" s="13" t="s">
        <v>29</v>
      </c>
      <c r="O804" s="35" t="str">
        <f>IF(D804="","",IF(COUNTIF(离职清单!C:C,D804)&gt;0,"已离职","在职"))</f>
        <v>在职</v>
      </c>
      <c r="P804" s="35" t="str">
        <f>IF(AND(O804="在职",J804="是"),COUNTIF(O$2:O804,"在职"),"")</f>
        <v/>
      </c>
    </row>
    <row r="805" customFormat="1" ht="18" spans="1:16">
      <c r="A805" s="14">
        <f t="shared" si="16"/>
        <v>804</v>
      </c>
      <c r="B805" s="31">
        <v>46186</v>
      </c>
      <c r="C805" s="32" t="s">
        <v>973</v>
      </c>
      <c r="D805" s="120" t="s">
        <v>477</v>
      </c>
      <c r="E805" s="33" t="s">
        <v>42</v>
      </c>
      <c r="F805" s="18" t="s">
        <v>64</v>
      </c>
      <c r="G805" s="18" t="s">
        <v>148</v>
      </c>
      <c r="H805" s="34" t="s">
        <v>86</v>
      </c>
      <c r="I805" s="18" t="s">
        <v>111</v>
      </c>
      <c r="J805" s="31" t="s">
        <v>105</v>
      </c>
      <c r="K805" s="31">
        <v>46186</v>
      </c>
      <c r="L805" s="4"/>
      <c r="M805" s="4"/>
      <c r="N805" s="13" t="s">
        <v>29</v>
      </c>
      <c r="O805" s="35" t="str">
        <f>IF(D805="","",IF(COUNTIF(离职清单!C:C,D805)&gt;0,"已离职","在职"))</f>
        <v>在职</v>
      </c>
      <c r="P805" s="35" t="str">
        <f>IF(AND(O805="在职",J805="是"),COUNTIF(O$2:O805,"在职"),"")</f>
        <v/>
      </c>
    </row>
    <row r="806" customFormat="1" ht="18" spans="1:16">
      <c r="A806" s="10">
        <f t="shared" si="16"/>
        <v>805</v>
      </c>
      <c r="B806" s="31">
        <v>46186</v>
      </c>
      <c r="C806" s="32" t="s">
        <v>974</v>
      </c>
      <c r="D806" s="120" t="s">
        <v>478</v>
      </c>
      <c r="E806" s="33" t="s">
        <v>42</v>
      </c>
      <c r="F806" s="18" t="s">
        <v>64</v>
      </c>
      <c r="G806" s="18" t="s">
        <v>148</v>
      </c>
      <c r="H806" s="34" t="s">
        <v>86</v>
      </c>
      <c r="I806" s="18" t="s">
        <v>111</v>
      </c>
      <c r="J806" s="31" t="s">
        <v>105</v>
      </c>
      <c r="K806" s="31">
        <v>46186</v>
      </c>
      <c r="L806" s="4"/>
      <c r="M806" s="4"/>
      <c r="N806" s="13" t="s">
        <v>29</v>
      </c>
      <c r="O806" s="35" t="str">
        <f>IF(D806="","",IF(COUNTIF(离职清单!C:C,D806)&gt;0,"已离职","在职"))</f>
        <v>在职</v>
      </c>
      <c r="P806" s="35" t="str">
        <f>IF(AND(O806="在职",J806="是"),COUNTIF(O$2:O806,"在职"),"")</f>
        <v/>
      </c>
    </row>
    <row r="807" customFormat="1" ht="18" spans="1:16">
      <c r="A807" s="14">
        <f t="shared" si="16"/>
        <v>806</v>
      </c>
      <c r="B807" s="31">
        <v>46186</v>
      </c>
      <c r="C807" s="32" t="s">
        <v>975</v>
      </c>
      <c r="D807" s="120" t="s">
        <v>480</v>
      </c>
      <c r="E807" s="33" t="s">
        <v>42</v>
      </c>
      <c r="F807" s="18" t="s">
        <v>64</v>
      </c>
      <c r="G807" s="18" t="s">
        <v>148</v>
      </c>
      <c r="H807" s="34" t="s">
        <v>86</v>
      </c>
      <c r="I807" s="18" t="s">
        <v>111</v>
      </c>
      <c r="J807" s="31" t="s">
        <v>105</v>
      </c>
      <c r="K807" s="31">
        <v>46186</v>
      </c>
      <c r="L807" s="4"/>
      <c r="M807" s="4"/>
      <c r="N807" s="13" t="s">
        <v>29</v>
      </c>
      <c r="O807" s="35" t="str">
        <f>IF(D807="","",IF(COUNTIF(离职清单!C:C,D807)&gt;0,"已离职","在职"))</f>
        <v>在职</v>
      </c>
      <c r="P807" s="35" t="str">
        <f>IF(AND(O807="在职",J807="是"),COUNTIF(O$2:O807,"在职"),"")</f>
        <v/>
      </c>
    </row>
    <row r="808" customFormat="1" ht="18" spans="1:16">
      <c r="A808" s="10">
        <f t="shared" si="16"/>
        <v>807</v>
      </c>
      <c r="B808" s="31">
        <v>46186</v>
      </c>
      <c r="C808" s="32" t="s">
        <v>977</v>
      </c>
      <c r="D808" s="120" t="s">
        <v>482</v>
      </c>
      <c r="E808" s="33" t="s">
        <v>42</v>
      </c>
      <c r="F808" s="18" t="s">
        <v>64</v>
      </c>
      <c r="G808" s="18" t="s">
        <v>148</v>
      </c>
      <c r="H808" s="34" t="s">
        <v>86</v>
      </c>
      <c r="I808" s="18" t="s">
        <v>111</v>
      </c>
      <c r="J808" s="31" t="s">
        <v>105</v>
      </c>
      <c r="K808" s="31">
        <v>46186</v>
      </c>
      <c r="L808" s="4"/>
      <c r="M808" s="4"/>
      <c r="N808" s="13" t="s">
        <v>29</v>
      </c>
      <c r="O808" s="35" t="str">
        <f>IF(D808="","",IF(COUNTIF(离职清单!C:C,D808)&gt;0,"已离职","在职"))</f>
        <v>在职</v>
      </c>
      <c r="P808" s="35" t="str">
        <f>IF(AND(O808="在职",J808="是"),COUNTIF(O$2:O808,"在职"),"")</f>
        <v/>
      </c>
    </row>
    <row r="809" customFormat="1" ht="18" spans="1:16">
      <c r="A809" s="14">
        <f t="shared" si="16"/>
        <v>808</v>
      </c>
      <c r="B809" s="31">
        <v>46186</v>
      </c>
      <c r="C809" s="32" t="s">
        <v>978</v>
      </c>
      <c r="D809" s="120" t="s">
        <v>484</v>
      </c>
      <c r="E809" s="33" t="s">
        <v>42</v>
      </c>
      <c r="F809" s="18" t="s">
        <v>64</v>
      </c>
      <c r="G809" s="18" t="s">
        <v>148</v>
      </c>
      <c r="H809" s="34" t="s">
        <v>86</v>
      </c>
      <c r="I809" s="18" t="s">
        <v>111</v>
      </c>
      <c r="J809" s="31" t="s">
        <v>105</v>
      </c>
      <c r="K809" s="31">
        <v>46186</v>
      </c>
      <c r="L809" s="4"/>
      <c r="M809" s="4"/>
      <c r="N809" s="13" t="s">
        <v>29</v>
      </c>
      <c r="O809" s="35" t="str">
        <f>IF(D809="","",IF(COUNTIF(离职清单!C:C,D809)&gt;0,"已离职","在职"))</f>
        <v>在职</v>
      </c>
      <c r="P809" s="35" t="str">
        <f>IF(AND(O809="在职",J809="是"),COUNTIF(O$2:O809,"在职"),"")</f>
        <v/>
      </c>
    </row>
    <row r="810" customFormat="1" ht="18" spans="1:16">
      <c r="A810" s="10">
        <f t="shared" si="16"/>
        <v>809</v>
      </c>
      <c r="B810" s="31">
        <v>46186</v>
      </c>
      <c r="C810" s="32" t="s">
        <v>979</v>
      </c>
      <c r="D810" s="120" t="s">
        <v>486</v>
      </c>
      <c r="E810" s="33" t="s">
        <v>42</v>
      </c>
      <c r="F810" s="18" t="s">
        <v>64</v>
      </c>
      <c r="G810" s="18" t="s">
        <v>148</v>
      </c>
      <c r="H810" s="34" t="s">
        <v>86</v>
      </c>
      <c r="I810" s="18" t="s">
        <v>111</v>
      </c>
      <c r="J810" s="31" t="s">
        <v>105</v>
      </c>
      <c r="K810" s="31">
        <v>46186</v>
      </c>
      <c r="L810" s="4"/>
      <c r="M810" s="4"/>
      <c r="N810" s="13" t="s">
        <v>29</v>
      </c>
      <c r="O810" s="35" t="str">
        <f>IF(D810="","",IF(COUNTIF(离职清单!C:C,D810)&gt;0,"已离职","在职"))</f>
        <v>在职</v>
      </c>
      <c r="P810" s="35" t="str">
        <f>IF(AND(O810="在职",J810="是"),COUNTIF(O$2:O810,"在职"),"")</f>
        <v/>
      </c>
    </row>
    <row r="811" customFormat="1" ht="18" spans="1:16">
      <c r="A811" s="14">
        <f t="shared" si="16"/>
        <v>810</v>
      </c>
      <c r="B811" s="31">
        <v>46186</v>
      </c>
      <c r="C811" s="32" t="s">
        <v>980</v>
      </c>
      <c r="D811" s="120" t="s">
        <v>488</v>
      </c>
      <c r="E811" s="33" t="s">
        <v>42</v>
      </c>
      <c r="F811" s="18" t="s">
        <v>64</v>
      </c>
      <c r="G811" s="18" t="s">
        <v>148</v>
      </c>
      <c r="H811" s="34" t="s">
        <v>86</v>
      </c>
      <c r="I811" s="18" t="s">
        <v>111</v>
      </c>
      <c r="J811" s="31" t="s">
        <v>105</v>
      </c>
      <c r="K811" s="31">
        <v>46186</v>
      </c>
      <c r="L811" s="4"/>
      <c r="M811" s="4"/>
      <c r="N811" s="13" t="s">
        <v>29</v>
      </c>
      <c r="O811" s="35" t="str">
        <f>IF(D811="","",IF(COUNTIF(离职清单!C:C,D811)&gt;0,"已离职","在职"))</f>
        <v>在职</v>
      </c>
      <c r="P811" s="35" t="str">
        <f>IF(AND(O811="在职",J811="是"),COUNTIF(O$2:O811,"在职"),"")</f>
        <v/>
      </c>
    </row>
    <row r="812" customFormat="1" ht="18" spans="1:16">
      <c r="A812" s="10">
        <f t="shared" si="16"/>
        <v>811</v>
      </c>
      <c r="B812" s="31">
        <v>46186</v>
      </c>
      <c r="C812" s="32" t="s">
        <v>981</v>
      </c>
      <c r="D812" s="120" t="s">
        <v>490</v>
      </c>
      <c r="E812" s="33" t="s">
        <v>42</v>
      </c>
      <c r="F812" s="18" t="s">
        <v>64</v>
      </c>
      <c r="G812" s="18" t="s">
        <v>148</v>
      </c>
      <c r="H812" s="34" t="s">
        <v>86</v>
      </c>
      <c r="I812" s="18" t="s">
        <v>111</v>
      </c>
      <c r="J812" s="31" t="s">
        <v>105</v>
      </c>
      <c r="K812" s="31">
        <v>46186</v>
      </c>
      <c r="L812" s="4"/>
      <c r="M812" s="4"/>
      <c r="N812" s="13" t="s">
        <v>29</v>
      </c>
      <c r="O812" s="35" t="str">
        <f>IF(D812="","",IF(COUNTIF(离职清单!C:C,D812)&gt;0,"已离职","在职"))</f>
        <v>在职</v>
      </c>
      <c r="P812" s="35" t="str">
        <f>IF(AND(O812="在职",J812="是"),COUNTIF(O$2:O812,"在职"),"")</f>
        <v/>
      </c>
    </row>
    <row r="813" customFormat="1" ht="18" spans="1:16">
      <c r="A813" s="14">
        <f t="shared" si="16"/>
        <v>812</v>
      </c>
      <c r="B813" s="31">
        <v>46186</v>
      </c>
      <c r="C813" s="32" t="s">
        <v>1026</v>
      </c>
      <c r="D813" s="120" t="s">
        <v>492</v>
      </c>
      <c r="E813" s="33" t="s">
        <v>43</v>
      </c>
      <c r="F813" s="18" t="s">
        <v>64</v>
      </c>
      <c r="G813" s="18" t="s">
        <v>148</v>
      </c>
      <c r="H813" s="34" t="s">
        <v>86</v>
      </c>
      <c r="I813" s="18" t="s">
        <v>111</v>
      </c>
      <c r="J813" s="31" t="s">
        <v>105</v>
      </c>
      <c r="K813" s="31">
        <v>46186</v>
      </c>
      <c r="L813" s="4"/>
      <c r="M813" s="4"/>
      <c r="N813" s="13" t="s">
        <v>29</v>
      </c>
      <c r="O813" s="35" t="str">
        <f>IF(D813="","",IF(COUNTIF(离职清单!C:C,D813)&gt;0,"已离职","在职"))</f>
        <v>在职</v>
      </c>
      <c r="P813" s="35" t="str">
        <f>IF(AND(O813="在职",J813="是"),COUNTIF(O$2:O813,"在职"),"")</f>
        <v/>
      </c>
    </row>
    <row r="814" customFormat="1" ht="18" spans="1:16">
      <c r="A814" s="10">
        <f t="shared" si="16"/>
        <v>813</v>
      </c>
      <c r="B814" s="31">
        <v>46186</v>
      </c>
      <c r="C814" s="32" t="s">
        <v>1027</v>
      </c>
      <c r="D814" s="120" t="s">
        <v>477</v>
      </c>
      <c r="E814" s="33" t="s">
        <v>42</v>
      </c>
      <c r="F814" s="18" t="s">
        <v>64</v>
      </c>
      <c r="G814" s="18" t="s">
        <v>246</v>
      </c>
      <c r="H814" s="34" t="s">
        <v>86</v>
      </c>
      <c r="I814" s="18" t="s">
        <v>111</v>
      </c>
      <c r="J814" s="31" t="s">
        <v>105</v>
      </c>
      <c r="K814" s="31">
        <v>46186</v>
      </c>
      <c r="L814" s="4"/>
      <c r="M814" s="4"/>
      <c r="N814" s="13" t="s">
        <v>29</v>
      </c>
      <c r="O814" s="35" t="str">
        <f>IF(D814="","",IF(COUNTIF(离职清单!C:C,D814)&gt;0,"已离职","在职"))</f>
        <v>在职</v>
      </c>
      <c r="P814" s="35" t="str">
        <f>IF(AND(O814="在职",J814="是"),COUNTIF(O$2:O814,"在职"),"")</f>
        <v/>
      </c>
    </row>
    <row r="815" customFormat="1" ht="18" spans="1:16">
      <c r="A815" s="14">
        <f t="shared" si="16"/>
        <v>814</v>
      </c>
      <c r="B815" s="31">
        <v>46186</v>
      </c>
      <c r="C815" s="32" t="s">
        <v>267</v>
      </c>
      <c r="D815" s="120" t="s">
        <v>478</v>
      </c>
      <c r="E815" s="33" t="s">
        <v>42</v>
      </c>
      <c r="F815" s="18" t="s">
        <v>62</v>
      </c>
      <c r="G815" s="18" t="s">
        <v>124</v>
      </c>
      <c r="H815" s="34" t="s">
        <v>86</v>
      </c>
      <c r="I815" s="18" t="s">
        <v>104</v>
      </c>
      <c r="J815" s="31" t="s">
        <v>114</v>
      </c>
      <c r="K815" s="31">
        <v>46186</v>
      </c>
      <c r="L815" s="4"/>
      <c r="M815" s="4"/>
      <c r="N815" s="13" t="s">
        <v>29</v>
      </c>
      <c r="O815" s="35" t="str">
        <f>IF(D815="","",IF(COUNTIF(离职清单!C:C,D815)&gt;0,"已离职","在职"))</f>
        <v>在职</v>
      </c>
      <c r="P815" s="35">
        <f>IF(AND(O815="在职",J815="是"),COUNTIF(O$2:O815,"在职"),"")</f>
        <v>808</v>
      </c>
    </row>
    <row r="816" customFormat="1" ht="18" spans="1:16">
      <c r="A816" s="10">
        <f t="shared" si="16"/>
        <v>815</v>
      </c>
      <c r="B816" s="31">
        <v>46186</v>
      </c>
      <c r="C816" s="32" t="s">
        <v>1003</v>
      </c>
      <c r="D816" s="120" t="s">
        <v>480</v>
      </c>
      <c r="E816" s="33" t="s">
        <v>42</v>
      </c>
      <c r="F816" s="18" t="s">
        <v>64</v>
      </c>
      <c r="G816" s="18" t="s">
        <v>179</v>
      </c>
      <c r="H816" s="34" t="s">
        <v>86</v>
      </c>
      <c r="I816" s="18" t="s">
        <v>104</v>
      </c>
      <c r="J816" s="31" t="s">
        <v>114</v>
      </c>
      <c r="K816" s="31">
        <v>46186</v>
      </c>
      <c r="L816" s="4"/>
      <c r="M816" s="4"/>
      <c r="N816" s="13" t="s">
        <v>29</v>
      </c>
      <c r="O816" s="35" t="str">
        <f>IF(D816="","",IF(COUNTIF(离职清单!C:C,D816)&gt;0,"已离职","在职"))</f>
        <v>在职</v>
      </c>
      <c r="P816" s="35">
        <f>IF(AND(O816="在职",J816="是"),COUNTIF(O$2:O816,"在职"),"")</f>
        <v>809</v>
      </c>
    </row>
    <row r="817" customFormat="1" ht="18" spans="1:16">
      <c r="A817" s="14">
        <f t="shared" si="16"/>
        <v>816</v>
      </c>
      <c r="B817" s="31">
        <v>46186</v>
      </c>
      <c r="C817" s="32" t="s">
        <v>1028</v>
      </c>
      <c r="D817" s="120" t="s">
        <v>482</v>
      </c>
      <c r="E817" s="33" t="s">
        <v>43</v>
      </c>
      <c r="F817" s="18" t="s">
        <v>62</v>
      </c>
      <c r="G817" s="18" t="s">
        <v>179</v>
      </c>
      <c r="H817" s="34" t="s">
        <v>86</v>
      </c>
      <c r="I817" s="18" t="s">
        <v>104</v>
      </c>
      <c r="J817" s="31" t="s">
        <v>114</v>
      </c>
      <c r="K817" s="31">
        <v>46186</v>
      </c>
      <c r="L817" s="4"/>
      <c r="M817" s="4"/>
      <c r="N817" s="13" t="s">
        <v>29</v>
      </c>
      <c r="O817" s="35" t="str">
        <f>IF(D817="","",IF(COUNTIF(离职清单!C:C,D817)&gt;0,"已离职","在职"))</f>
        <v>在职</v>
      </c>
      <c r="P817" s="35">
        <f>IF(AND(O817="在职",J817="是"),COUNTIF(O$2:O817,"在职"),"")</f>
        <v>810</v>
      </c>
    </row>
    <row r="818" customFormat="1" ht="18" spans="1:16">
      <c r="A818" s="10">
        <f t="shared" si="16"/>
        <v>817</v>
      </c>
      <c r="B818" s="31">
        <v>46186</v>
      </c>
      <c r="C818" s="32" t="s">
        <v>1029</v>
      </c>
      <c r="D818" s="120" t="s">
        <v>484</v>
      </c>
      <c r="E818" s="33" t="s">
        <v>42</v>
      </c>
      <c r="F818" s="18" t="s">
        <v>64</v>
      </c>
      <c r="G818" s="18" t="s">
        <v>179</v>
      </c>
      <c r="H818" s="34" t="s">
        <v>86</v>
      </c>
      <c r="I818" s="18" t="s">
        <v>111</v>
      </c>
      <c r="J818" s="31" t="s">
        <v>105</v>
      </c>
      <c r="K818" s="31">
        <v>46186</v>
      </c>
      <c r="L818" s="4"/>
      <c r="M818" s="4"/>
      <c r="N818" s="13" t="s">
        <v>29</v>
      </c>
      <c r="O818" s="35" t="str">
        <f>IF(D818="","",IF(COUNTIF(离职清单!C:C,D818)&gt;0,"已离职","在职"))</f>
        <v>在职</v>
      </c>
      <c r="P818" s="35" t="str">
        <f>IF(AND(O818="在职",J818="是"),COUNTIF(O$2:O818,"在职"),"")</f>
        <v/>
      </c>
    </row>
    <row r="819" customFormat="1" ht="18" spans="1:16">
      <c r="A819" s="14">
        <f t="shared" si="16"/>
        <v>818</v>
      </c>
      <c r="B819" s="31">
        <v>46186</v>
      </c>
      <c r="C819" s="32" t="s">
        <v>1030</v>
      </c>
      <c r="D819" s="120" t="s">
        <v>486</v>
      </c>
      <c r="E819" s="33" t="s">
        <v>42</v>
      </c>
      <c r="F819" s="18" t="s">
        <v>64</v>
      </c>
      <c r="G819" s="18" t="s">
        <v>179</v>
      </c>
      <c r="H819" s="34" t="s">
        <v>86</v>
      </c>
      <c r="I819" s="18" t="s">
        <v>111</v>
      </c>
      <c r="J819" s="31" t="s">
        <v>105</v>
      </c>
      <c r="K819" s="31">
        <v>46186</v>
      </c>
      <c r="L819" s="4"/>
      <c r="M819" s="4"/>
      <c r="N819" s="13" t="s">
        <v>29</v>
      </c>
      <c r="O819" s="35" t="str">
        <f>IF(D819="","",IF(COUNTIF(离职清单!C:C,D819)&gt;0,"已离职","在职"))</f>
        <v>在职</v>
      </c>
      <c r="P819" s="35" t="str">
        <f>IF(AND(O819="在职",J819="是"),COUNTIF(O$2:O819,"在职"),"")</f>
        <v/>
      </c>
    </row>
    <row r="820" customFormat="1" ht="18" spans="1:16">
      <c r="A820" s="10">
        <f t="shared" si="16"/>
        <v>819</v>
      </c>
      <c r="B820" s="31">
        <v>46186</v>
      </c>
      <c r="C820" s="32" t="s">
        <v>817</v>
      </c>
      <c r="D820" s="120" t="s">
        <v>488</v>
      </c>
      <c r="E820" s="33" t="s">
        <v>42</v>
      </c>
      <c r="F820" s="18" t="s">
        <v>64</v>
      </c>
      <c r="G820" s="18" t="s">
        <v>179</v>
      </c>
      <c r="H820" s="34" t="s">
        <v>86</v>
      </c>
      <c r="I820" s="18" t="s">
        <v>104</v>
      </c>
      <c r="J820" s="31" t="s">
        <v>114</v>
      </c>
      <c r="K820" s="31">
        <v>46186</v>
      </c>
      <c r="L820" s="4"/>
      <c r="M820" s="4"/>
      <c r="N820" s="13" t="s">
        <v>29</v>
      </c>
      <c r="O820" s="35" t="str">
        <f>IF(D820="","",IF(COUNTIF(离职清单!C:C,D820)&gt;0,"已离职","在职"))</f>
        <v>在职</v>
      </c>
      <c r="P820" s="35">
        <f>IF(AND(O820="在职",J820="是"),COUNTIF(O$2:O820,"在职"),"")</f>
        <v>813</v>
      </c>
    </row>
    <row r="821" customFormat="1" ht="18" spans="1:16">
      <c r="A821" s="14">
        <f t="shared" si="16"/>
        <v>820</v>
      </c>
      <c r="B821" s="31">
        <v>46186</v>
      </c>
      <c r="C821" s="32" t="s">
        <v>1031</v>
      </c>
      <c r="D821" s="120" t="s">
        <v>490</v>
      </c>
      <c r="E821" s="33" t="s">
        <v>42</v>
      </c>
      <c r="F821" s="18" t="s">
        <v>64</v>
      </c>
      <c r="G821" s="18" t="s">
        <v>179</v>
      </c>
      <c r="H821" s="34" t="s">
        <v>86</v>
      </c>
      <c r="I821" s="18" t="s">
        <v>111</v>
      </c>
      <c r="J821" s="31" t="s">
        <v>105</v>
      </c>
      <c r="K821" s="31">
        <v>46186</v>
      </c>
      <c r="L821" s="4"/>
      <c r="M821" s="4"/>
      <c r="N821" s="13" t="s">
        <v>29</v>
      </c>
      <c r="O821" s="35" t="str">
        <f>IF(D821="","",IF(COUNTIF(离职清单!C:C,D821)&gt;0,"已离职","在职"))</f>
        <v>在职</v>
      </c>
      <c r="P821" s="35" t="str">
        <f>IF(AND(O821="在职",J821="是"),COUNTIF(O$2:O821,"在职"),"")</f>
        <v/>
      </c>
    </row>
    <row r="822" customFormat="1" ht="18" spans="1:16">
      <c r="A822" s="10">
        <f t="shared" si="16"/>
        <v>821</v>
      </c>
      <c r="B822" s="31">
        <v>46186</v>
      </c>
      <c r="C822" s="32" t="s">
        <v>1032</v>
      </c>
      <c r="D822" s="120" t="s">
        <v>492</v>
      </c>
      <c r="E822" s="33" t="s">
        <v>74</v>
      </c>
      <c r="F822" s="18" t="s">
        <v>64</v>
      </c>
      <c r="G822" s="18" t="s">
        <v>179</v>
      </c>
      <c r="H822" s="34" t="s">
        <v>86</v>
      </c>
      <c r="I822" s="18" t="s">
        <v>111</v>
      </c>
      <c r="J822" s="31" t="s">
        <v>105</v>
      </c>
      <c r="K822" s="31">
        <v>46186</v>
      </c>
      <c r="L822" s="4"/>
      <c r="M822" s="4"/>
      <c r="N822" s="13" t="s">
        <v>29</v>
      </c>
      <c r="O822" s="35" t="str">
        <f>IF(D822="","",IF(COUNTIF(离职清单!C:C,D822)&gt;0,"已离职","在职"))</f>
        <v>在职</v>
      </c>
      <c r="P822" s="35" t="str">
        <f>IF(AND(O822="在职",J822="是"),COUNTIF(O$2:O822,"在职"),"")</f>
        <v/>
      </c>
    </row>
    <row r="823" customFormat="1" ht="18" spans="1:16">
      <c r="A823" s="14">
        <f t="shared" si="16"/>
        <v>822</v>
      </c>
      <c r="B823" s="31">
        <v>46186</v>
      </c>
      <c r="C823" s="32" t="s">
        <v>1033</v>
      </c>
      <c r="D823" s="120" t="s">
        <v>477</v>
      </c>
      <c r="E823" s="33" t="s">
        <v>42</v>
      </c>
      <c r="F823" s="18" t="s">
        <v>64</v>
      </c>
      <c r="G823" s="18" t="s">
        <v>179</v>
      </c>
      <c r="H823" s="34" t="s">
        <v>86</v>
      </c>
      <c r="I823" s="18" t="s">
        <v>111</v>
      </c>
      <c r="J823" s="31" t="s">
        <v>105</v>
      </c>
      <c r="K823" s="31">
        <v>46186</v>
      </c>
      <c r="L823" s="4"/>
      <c r="M823" s="4"/>
      <c r="N823" s="13" t="s">
        <v>29</v>
      </c>
      <c r="O823" s="35" t="str">
        <f>IF(D823="","",IF(COUNTIF(离职清单!C:C,D823)&gt;0,"已离职","在职"))</f>
        <v>在职</v>
      </c>
      <c r="P823" s="35" t="str">
        <f>IF(AND(O823="在职",J823="是"),COUNTIF(O$2:O823,"在职"),"")</f>
        <v/>
      </c>
    </row>
    <row r="824" customFormat="1" ht="18" spans="1:16">
      <c r="A824" s="10">
        <f t="shared" si="16"/>
        <v>823</v>
      </c>
      <c r="B824" s="31">
        <v>46186</v>
      </c>
      <c r="C824" s="32" t="s">
        <v>1034</v>
      </c>
      <c r="D824" s="120" t="s">
        <v>478</v>
      </c>
      <c r="E824" s="33" t="s">
        <v>42</v>
      </c>
      <c r="F824" s="18" t="s">
        <v>64</v>
      </c>
      <c r="G824" s="18" t="s">
        <v>179</v>
      </c>
      <c r="H824" s="34" t="s">
        <v>86</v>
      </c>
      <c r="I824" s="18" t="s">
        <v>111</v>
      </c>
      <c r="J824" s="31" t="s">
        <v>105</v>
      </c>
      <c r="K824" s="31">
        <v>46186</v>
      </c>
      <c r="L824" s="4"/>
      <c r="M824" s="4"/>
      <c r="N824" s="13" t="s">
        <v>29</v>
      </c>
      <c r="O824" s="35" t="str">
        <f>IF(D824="","",IF(COUNTIF(离职清单!C:C,D824)&gt;0,"已离职","在职"))</f>
        <v>在职</v>
      </c>
      <c r="P824" s="35" t="str">
        <f>IF(AND(O824="在职",J824="是"),COUNTIF(O$2:O824,"在职"),"")</f>
        <v/>
      </c>
    </row>
    <row r="825" customFormat="1" ht="18" spans="1:16">
      <c r="A825" s="14">
        <f t="shared" si="16"/>
        <v>824</v>
      </c>
      <c r="B825" s="31">
        <v>46186</v>
      </c>
      <c r="C825" s="32" t="s">
        <v>1035</v>
      </c>
      <c r="D825" s="120" t="s">
        <v>480</v>
      </c>
      <c r="E825" s="33" t="s">
        <v>43</v>
      </c>
      <c r="F825" s="18" t="s">
        <v>64</v>
      </c>
      <c r="G825" s="18" t="s">
        <v>179</v>
      </c>
      <c r="H825" s="34" t="s">
        <v>86</v>
      </c>
      <c r="I825" s="18" t="s">
        <v>104</v>
      </c>
      <c r="J825" s="31" t="s">
        <v>114</v>
      </c>
      <c r="K825" s="31">
        <v>46186</v>
      </c>
      <c r="L825" s="4"/>
      <c r="M825" s="4"/>
      <c r="N825" s="13" t="s">
        <v>29</v>
      </c>
      <c r="O825" s="35" t="str">
        <f>IF(D825="","",IF(COUNTIF(离职清单!C:C,D825)&gt;0,"已离职","在职"))</f>
        <v>在职</v>
      </c>
      <c r="P825" s="35">
        <f>IF(AND(O825="在职",J825="是"),COUNTIF(O$2:O825,"在职"),"")</f>
        <v>818</v>
      </c>
    </row>
    <row r="826" customFormat="1" ht="18" spans="1:16">
      <c r="A826" s="10">
        <f t="shared" si="16"/>
        <v>825</v>
      </c>
      <c r="B826" s="31">
        <v>46186</v>
      </c>
      <c r="C826" s="32" t="s">
        <v>1036</v>
      </c>
      <c r="D826" s="120" t="s">
        <v>482</v>
      </c>
      <c r="E826" s="33" t="s">
        <v>42</v>
      </c>
      <c r="F826" s="18" t="s">
        <v>64</v>
      </c>
      <c r="G826" s="18" t="s">
        <v>179</v>
      </c>
      <c r="H826" s="34" t="s">
        <v>86</v>
      </c>
      <c r="I826" s="18" t="s">
        <v>111</v>
      </c>
      <c r="J826" s="31" t="s">
        <v>105</v>
      </c>
      <c r="K826" s="31">
        <v>46186</v>
      </c>
      <c r="L826" s="4"/>
      <c r="M826" s="4"/>
      <c r="N826" s="13" t="s">
        <v>29</v>
      </c>
      <c r="O826" s="35" t="str">
        <f>IF(D826="","",IF(COUNTIF(离职清单!C:C,D826)&gt;0,"已离职","在职"))</f>
        <v>在职</v>
      </c>
      <c r="P826" s="35" t="str">
        <f>IF(AND(O826="在职",J826="是"),COUNTIF(O$2:O826,"在职"),"")</f>
        <v/>
      </c>
    </row>
    <row r="827" customFormat="1" ht="18" spans="1:16">
      <c r="A827" s="14">
        <f t="shared" si="16"/>
        <v>826</v>
      </c>
      <c r="B827" s="31">
        <v>46186</v>
      </c>
      <c r="C827" s="32" t="s">
        <v>1037</v>
      </c>
      <c r="D827" s="120" t="s">
        <v>484</v>
      </c>
      <c r="E827" s="33" t="s">
        <v>42</v>
      </c>
      <c r="F827" s="18" t="s">
        <v>64</v>
      </c>
      <c r="G827" s="18" t="s">
        <v>148</v>
      </c>
      <c r="H827" s="34" t="s">
        <v>86</v>
      </c>
      <c r="I827" s="18" t="s">
        <v>104</v>
      </c>
      <c r="J827" s="31" t="s">
        <v>114</v>
      </c>
      <c r="K827" s="31">
        <v>46186</v>
      </c>
      <c r="L827" s="4"/>
      <c r="M827" s="4"/>
      <c r="N827" s="13" t="s">
        <v>29</v>
      </c>
      <c r="O827" s="35" t="str">
        <f>IF(D827="","",IF(COUNTIF(离职清单!C:C,D827)&gt;0,"已离职","在职"))</f>
        <v>在职</v>
      </c>
      <c r="P827" s="35">
        <f>IF(AND(O827="在职",J827="是"),COUNTIF(O$2:O827,"在职"),"")</f>
        <v>820</v>
      </c>
    </row>
    <row r="828" customFormat="1" ht="18" spans="1:16">
      <c r="A828" s="10">
        <f t="shared" si="16"/>
        <v>827</v>
      </c>
      <c r="B828" s="31">
        <v>46186</v>
      </c>
      <c r="C828" s="32" t="s">
        <v>1038</v>
      </c>
      <c r="D828" s="120" t="s">
        <v>486</v>
      </c>
      <c r="E828" s="33" t="s">
        <v>42</v>
      </c>
      <c r="F828" s="18" t="s">
        <v>64</v>
      </c>
      <c r="G828" s="18" t="s">
        <v>148</v>
      </c>
      <c r="H828" s="34" t="s">
        <v>86</v>
      </c>
      <c r="I828" s="18" t="s">
        <v>104</v>
      </c>
      <c r="J828" s="31" t="s">
        <v>114</v>
      </c>
      <c r="K828" s="31">
        <v>46186</v>
      </c>
      <c r="L828" s="4"/>
      <c r="M828" s="4"/>
      <c r="N828" s="13" t="s">
        <v>29</v>
      </c>
      <c r="O828" s="35" t="str">
        <f>IF(D828="","",IF(COUNTIF(离职清单!C:C,D828)&gt;0,"已离职","在职"))</f>
        <v>在职</v>
      </c>
      <c r="P828" s="35">
        <f>IF(AND(O828="在职",J828="是"),COUNTIF(O$2:O828,"在职"),"")</f>
        <v>821</v>
      </c>
    </row>
    <row r="829" customFormat="1" ht="18" spans="1:16">
      <c r="A829" s="14">
        <f t="shared" si="16"/>
        <v>828</v>
      </c>
      <c r="B829" s="31">
        <v>46186</v>
      </c>
      <c r="C829" s="32" t="s">
        <v>1039</v>
      </c>
      <c r="D829" s="120" t="s">
        <v>488</v>
      </c>
      <c r="E829" s="33" t="s">
        <v>42</v>
      </c>
      <c r="F829" s="18" t="s">
        <v>64</v>
      </c>
      <c r="G829" s="18" t="s">
        <v>148</v>
      </c>
      <c r="H829" s="34" t="s">
        <v>86</v>
      </c>
      <c r="I829" s="18" t="s">
        <v>104</v>
      </c>
      <c r="J829" s="31" t="s">
        <v>114</v>
      </c>
      <c r="K829" s="31">
        <v>46186</v>
      </c>
      <c r="L829" s="4"/>
      <c r="M829" s="4"/>
      <c r="N829" s="13" t="s">
        <v>29</v>
      </c>
      <c r="O829" s="35" t="str">
        <f>IF(D829="","",IF(COUNTIF(离职清单!C:C,D829)&gt;0,"已离职","在职"))</f>
        <v>在职</v>
      </c>
      <c r="P829" s="35">
        <f>IF(AND(O829="在职",J829="是"),COUNTIF(O$2:O829,"在职"),"")</f>
        <v>822</v>
      </c>
    </row>
    <row r="830" customFormat="1" ht="18" spans="1:16">
      <c r="A830" s="10">
        <f t="shared" si="16"/>
        <v>829</v>
      </c>
      <c r="B830" s="31">
        <v>46186</v>
      </c>
      <c r="C830" s="32" t="s">
        <v>1040</v>
      </c>
      <c r="D830" s="120" t="s">
        <v>490</v>
      </c>
      <c r="E830" s="33" t="s">
        <v>42</v>
      </c>
      <c r="F830" s="18" t="s">
        <v>64</v>
      </c>
      <c r="G830" s="18" t="s">
        <v>148</v>
      </c>
      <c r="H830" s="34" t="s">
        <v>86</v>
      </c>
      <c r="I830" s="18" t="s">
        <v>111</v>
      </c>
      <c r="J830" s="31" t="s">
        <v>105</v>
      </c>
      <c r="K830" s="31">
        <v>46186</v>
      </c>
      <c r="L830" s="4"/>
      <c r="M830" s="4"/>
      <c r="N830" s="13" t="s">
        <v>29</v>
      </c>
      <c r="O830" s="35" t="str">
        <f>IF(D830="","",IF(COUNTIF(离职清单!C:C,D830)&gt;0,"已离职","在职"))</f>
        <v>在职</v>
      </c>
      <c r="P830" s="35" t="str">
        <f>IF(AND(O830="在职",J830="是"),COUNTIF(O$2:O830,"在职"),"")</f>
        <v/>
      </c>
    </row>
    <row r="831" customFormat="1" ht="18" spans="1:16">
      <c r="A831" s="14">
        <f t="shared" si="16"/>
        <v>830</v>
      </c>
      <c r="B831" s="31">
        <v>46186</v>
      </c>
      <c r="C831" s="32" t="s">
        <v>1041</v>
      </c>
      <c r="D831" s="120" t="s">
        <v>492</v>
      </c>
      <c r="E831" s="33" t="s">
        <v>42</v>
      </c>
      <c r="F831" s="18" t="s">
        <v>64</v>
      </c>
      <c r="G831" s="18" t="s">
        <v>148</v>
      </c>
      <c r="H831" s="34" t="s">
        <v>86</v>
      </c>
      <c r="I831" s="18" t="s">
        <v>104</v>
      </c>
      <c r="J831" s="31" t="s">
        <v>114</v>
      </c>
      <c r="K831" s="31">
        <v>46186</v>
      </c>
      <c r="L831" s="4"/>
      <c r="M831" s="4"/>
      <c r="N831" s="13" t="s">
        <v>29</v>
      </c>
      <c r="O831" s="35" t="str">
        <f>IF(D831="","",IF(COUNTIF(离职清单!C:C,D831)&gt;0,"已离职","在职"))</f>
        <v>在职</v>
      </c>
      <c r="P831" s="35">
        <f>IF(AND(O831="在职",J831="是"),COUNTIF(O$2:O831,"在职"),"")</f>
        <v>824</v>
      </c>
    </row>
    <row r="832" customFormat="1" ht="18" spans="1:16">
      <c r="A832" s="10">
        <f t="shared" si="16"/>
        <v>831</v>
      </c>
      <c r="B832" s="31">
        <v>46186</v>
      </c>
      <c r="C832" s="32" t="s">
        <v>1042</v>
      </c>
      <c r="D832" s="120" t="s">
        <v>477</v>
      </c>
      <c r="E832" s="33" t="s">
        <v>42</v>
      </c>
      <c r="F832" s="18" t="s">
        <v>64</v>
      </c>
      <c r="G832" s="18" t="s">
        <v>148</v>
      </c>
      <c r="H832" s="34" t="s">
        <v>86</v>
      </c>
      <c r="I832" s="18" t="s">
        <v>104</v>
      </c>
      <c r="J832" s="31" t="s">
        <v>114</v>
      </c>
      <c r="K832" s="31">
        <v>46186</v>
      </c>
      <c r="L832" s="4"/>
      <c r="M832" s="4"/>
      <c r="N832" s="13" t="s">
        <v>29</v>
      </c>
      <c r="O832" s="35" t="str">
        <f>IF(D832="","",IF(COUNTIF(离职清单!C:C,D832)&gt;0,"已离职","在职"))</f>
        <v>在职</v>
      </c>
      <c r="P832" s="35">
        <f>IF(AND(O832="在职",J832="是"),COUNTIF(O$2:O832,"在职"),"")</f>
        <v>825</v>
      </c>
    </row>
    <row r="833" customFormat="1" ht="18" spans="1:16">
      <c r="A833" s="14">
        <f t="shared" si="16"/>
        <v>832</v>
      </c>
      <c r="B833" s="31">
        <v>46186</v>
      </c>
      <c r="C833" s="32" t="s">
        <v>1043</v>
      </c>
      <c r="D833" s="120" t="s">
        <v>478</v>
      </c>
      <c r="E833" s="33" t="s">
        <v>42</v>
      </c>
      <c r="F833" s="18" t="s">
        <v>64</v>
      </c>
      <c r="G833" s="18" t="s">
        <v>148</v>
      </c>
      <c r="H833" s="34" t="s">
        <v>86</v>
      </c>
      <c r="I833" s="18" t="s">
        <v>104</v>
      </c>
      <c r="J833" s="31" t="s">
        <v>114</v>
      </c>
      <c r="K833" s="31">
        <v>46186</v>
      </c>
      <c r="L833" s="4"/>
      <c r="M833" s="4"/>
      <c r="N833" s="13" t="s">
        <v>29</v>
      </c>
      <c r="O833" s="35" t="str">
        <f>IF(D833="","",IF(COUNTIF(离职清单!C:C,D833)&gt;0,"已离职","在职"))</f>
        <v>在职</v>
      </c>
      <c r="P833" s="35">
        <f>IF(AND(O833="在职",J833="是"),COUNTIF(O$2:O833,"在职"),"")</f>
        <v>826</v>
      </c>
    </row>
    <row r="834" customFormat="1" ht="18" spans="1:16">
      <c r="A834" s="10">
        <f t="shared" si="16"/>
        <v>833</v>
      </c>
      <c r="B834" s="31">
        <v>46186</v>
      </c>
      <c r="C834" s="32" t="s">
        <v>1044</v>
      </c>
      <c r="D834" s="120" t="s">
        <v>480</v>
      </c>
      <c r="E834" s="33" t="s">
        <v>42</v>
      </c>
      <c r="F834" s="18" t="s">
        <v>64</v>
      </c>
      <c r="G834" s="18" t="s">
        <v>148</v>
      </c>
      <c r="H834" s="34" t="s">
        <v>86</v>
      </c>
      <c r="I834" s="18" t="s">
        <v>104</v>
      </c>
      <c r="J834" s="31" t="s">
        <v>114</v>
      </c>
      <c r="K834" s="31">
        <v>46186</v>
      </c>
      <c r="L834" s="4"/>
      <c r="M834" s="4"/>
      <c r="N834" s="13" t="s">
        <v>29</v>
      </c>
      <c r="O834" s="35" t="str">
        <f>IF(D834="","",IF(COUNTIF(离职清单!C:C,D834)&gt;0,"已离职","在职"))</f>
        <v>在职</v>
      </c>
      <c r="P834" s="35">
        <f>IF(AND(O834="在职",J834="是"),COUNTIF(O$2:O834,"在职"),"")</f>
        <v>827</v>
      </c>
    </row>
    <row r="835" customFormat="1" ht="18" spans="1:16">
      <c r="A835" s="14">
        <f t="shared" si="16"/>
        <v>834</v>
      </c>
      <c r="B835" s="31">
        <v>46186</v>
      </c>
      <c r="C835" s="32" t="s">
        <v>1045</v>
      </c>
      <c r="D835" s="120" t="s">
        <v>482</v>
      </c>
      <c r="E835" s="33" t="s">
        <v>42</v>
      </c>
      <c r="F835" s="18" t="s">
        <v>64</v>
      </c>
      <c r="G835" s="18" t="s">
        <v>148</v>
      </c>
      <c r="H835" s="34" t="s">
        <v>86</v>
      </c>
      <c r="I835" s="18" t="s">
        <v>104</v>
      </c>
      <c r="J835" s="31" t="s">
        <v>114</v>
      </c>
      <c r="K835" s="31">
        <v>46186</v>
      </c>
      <c r="L835" s="4"/>
      <c r="M835" s="4"/>
      <c r="N835" s="13" t="s">
        <v>29</v>
      </c>
      <c r="O835" s="35" t="str">
        <f>IF(D835="","",IF(COUNTIF(离职清单!C:C,D835)&gt;0,"已离职","在职"))</f>
        <v>在职</v>
      </c>
      <c r="P835" s="35">
        <f>IF(AND(O835="在职",J835="是"),COUNTIF(O$2:O835,"在职"),"")</f>
        <v>828</v>
      </c>
    </row>
    <row r="836" customFormat="1" ht="18" spans="1:16">
      <c r="A836" s="10">
        <f t="shared" si="16"/>
        <v>835</v>
      </c>
      <c r="B836" s="31">
        <v>46186</v>
      </c>
      <c r="C836" s="32" t="s">
        <v>1046</v>
      </c>
      <c r="D836" s="120" t="s">
        <v>484</v>
      </c>
      <c r="E836" s="33" t="s">
        <v>42</v>
      </c>
      <c r="F836" s="18" t="s">
        <v>64</v>
      </c>
      <c r="G836" s="18" t="s">
        <v>148</v>
      </c>
      <c r="H836" s="34" t="s">
        <v>86</v>
      </c>
      <c r="I836" s="18" t="s">
        <v>111</v>
      </c>
      <c r="J836" s="31" t="s">
        <v>105</v>
      </c>
      <c r="K836" s="31">
        <v>46186</v>
      </c>
      <c r="L836" s="4"/>
      <c r="M836" s="4"/>
      <c r="N836" s="13" t="s">
        <v>29</v>
      </c>
      <c r="O836" s="35" t="str">
        <f>IF(D836="","",IF(COUNTIF(离职清单!C:C,D836)&gt;0,"已离职","在职"))</f>
        <v>在职</v>
      </c>
      <c r="P836" s="35" t="str">
        <f>IF(AND(O836="在职",J836="是"),COUNTIF(O$2:O836,"在职"),"")</f>
        <v/>
      </c>
    </row>
    <row r="837" customFormat="1" ht="18" spans="1:16">
      <c r="A837" s="14">
        <f t="shared" si="16"/>
        <v>836</v>
      </c>
      <c r="B837" s="31">
        <v>46186</v>
      </c>
      <c r="C837" s="32" t="s">
        <v>1047</v>
      </c>
      <c r="D837" s="120" t="s">
        <v>486</v>
      </c>
      <c r="E837" s="33" t="s">
        <v>42</v>
      </c>
      <c r="F837" s="18" t="s">
        <v>64</v>
      </c>
      <c r="G837" s="18" t="s">
        <v>148</v>
      </c>
      <c r="H837" s="34" t="s">
        <v>86</v>
      </c>
      <c r="I837" s="18" t="s">
        <v>104</v>
      </c>
      <c r="J837" s="31" t="s">
        <v>114</v>
      </c>
      <c r="K837" s="31">
        <v>46186</v>
      </c>
      <c r="L837" s="4"/>
      <c r="M837" s="4"/>
      <c r="N837" s="13" t="s">
        <v>29</v>
      </c>
      <c r="O837" s="35" t="str">
        <f>IF(D837="","",IF(COUNTIF(离职清单!C:C,D837)&gt;0,"已离职","在职"))</f>
        <v>在职</v>
      </c>
      <c r="P837" s="35">
        <f>IF(AND(O837="在职",J837="是"),COUNTIF(O$2:O837,"在职"),"")</f>
        <v>830</v>
      </c>
    </row>
    <row r="838" customFormat="1" ht="18" spans="1:16">
      <c r="A838" s="10">
        <f t="shared" si="16"/>
        <v>837</v>
      </c>
      <c r="B838" s="31">
        <v>46186</v>
      </c>
      <c r="C838" s="32" t="s">
        <v>1048</v>
      </c>
      <c r="D838" s="120" t="s">
        <v>488</v>
      </c>
      <c r="E838" s="33" t="s">
        <v>42</v>
      </c>
      <c r="F838" s="18" t="s">
        <v>64</v>
      </c>
      <c r="G838" s="18" t="s">
        <v>148</v>
      </c>
      <c r="H838" s="34" t="s">
        <v>86</v>
      </c>
      <c r="I838" s="18" t="s">
        <v>104</v>
      </c>
      <c r="J838" s="31" t="s">
        <v>114</v>
      </c>
      <c r="K838" s="31">
        <v>46186</v>
      </c>
      <c r="L838" s="4"/>
      <c r="M838" s="4"/>
      <c r="N838" s="13" t="s">
        <v>29</v>
      </c>
      <c r="O838" s="35" t="str">
        <f>IF(D838="","",IF(COUNTIF(离职清单!C:C,D838)&gt;0,"已离职","在职"))</f>
        <v>在职</v>
      </c>
      <c r="P838" s="35">
        <f>IF(AND(O838="在职",J838="是"),COUNTIF(O$2:O838,"在职"),"")</f>
        <v>831</v>
      </c>
    </row>
    <row r="839" customFormat="1" ht="18" spans="1:16">
      <c r="A839" s="14">
        <f t="shared" si="16"/>
        <v>838</v>
      </c>
      <c r="B839" s="31">
        <v>46186</v>
      </c>
      <c r="C839" s="32" t="s">
        <v>1049</v>
      </c>
      <c r="D839" s="120" t="s">
        <v>490</v>
      </c>
      <c r="E839" s="33" t="s">
        <v>42</v>
      </c>
      <c r="F839" s="18" t="s">
        <v>64</v>
      </c>
      <c r="G839" s="18" t="s">
        <v>148</v>
      </c>
      <c r="H839" s="34" t="s">
        <v>86</v>
      </c>
      <c r="I839" s="18" t="s">
        <v>104</v>
      </c>
      <c r="J839" s="31" t="s">
        <v>114</v>
      </c>
      <c r="K839" s="31">
        <v>46186</v>
      </c>
      <c r="L839" s="4"/>
      <c r="M839" s="4"/>
      <c r="N839" s="13" t="s">
        <v>29</v>
      </c>
      <c r="O839" s="35" t="str">
        <f>IF(D839="","",IF(COUNTIF(离职清单!C:C,D839)&gt;0,"已离职","在职"))</f>
        <v>在职</v>
      </c>
      <c r="P839" s="35">
        <f>IF(AND(O839="在职",J839="是"),COUNTIF(O$2:O839,"在职"),"")</f>
        <v>832</v>
      </c>
    </row>
    <row r="840" customFormat="1" ht="18" spans="1:16">
      <c r="A840" s="10">
        <f t="shared" si="16"/>
        <v>839</v>
      </c>
      <c r="B840" s="31">
        <v>46186</v>
      </c>
      <c r="C840" s="32" t="s">
        <v>1050</v>
      </c>
      <c r="D840" s="120" t="s">
        <v>492</v>
      </c>
      <c r="E840" s="33" t="s">
        <v>42</v>
      </c>
      <c r="F840" s="18" t="s">
        <v>64</v>
      </c>
      <c r="G840" s="18" t="s">
        <v>148</v>
      </c>
      <c r="H840" s="34" t="s">
        <v>86</v>
      </c>
      <c r="I840" s="18" t="s">
        <v>104</v>
      </c>
      <c r="J840" s="31" t="s">
        <v>114</v>
      </c>
      <c r="K840" s="31">
        <v>46186</v>
      </c>
      <c r="L840" s="4"/>
      <c r="M840" s="4"/>
      <c r="N840" s="13" t="s">
        <v>29</v>
      </c>
      <c r="O840" s="35" t="str">
        <f>IF(D840="","",IF(COUNTIF(离职清单!C:C,D840)&gt;0,"已离职","在职"))</f>
        <v>在职</v>
      </c>
      <c r="P840" s="35">
        <f>IF(AND(O840="在职",J840="是"),COUNTIF(O$2:O840,"在职"),"")</f>
        <v>833</v>
      </c>
    </row>
    <row r="841" customFormat="1" ht="18" spans="1:16">
      <c r="A841" s="14">
        <f t="shared" si="16"/>
        <v>840</v>
      </c>
      <c r="B841" s="31">
        <v>46186</v>
      </c>
      <c r="C841" s="32" t="s">
        <v>1051</v>
      </c>
      <c r="D841" s="120" t="s">
        <v>477</v>
      </c>
      <c r="E841" s="33" t="s">
        <v>42</v>
      </c>
      <c r="F841" s="18" t="s">
        <v>64</v>
      </c>
      <c r="G841" s="18" t="s">
        <v>148</v>
      </c>
      <c r="H841" s="34" t="s">
        <v>86</v>
      </c>
      <c r="I841" s="18" t="s">
        <v>104</v>
      </c>
      <c r="J841" s="31" t="s">
        <v>114</v>
      </c>
      <c r="K841" s="31">
        <v>46186</v>
      </c>
      <c r="L841" s="4"/>
      <c r="M841" s="4"/>
      <c r="N841" s="13" t="s">
        <v>29</v>
      </c>
      <c r="O841" s="35" t="str">
        <f>IF(D841="","",IF(COUNTIF(离职清单!C:C,D841)&gt;0,"已离职","在职"))</f>
        <v>在职</v>
      </c>
      <c r="P841" s="35">
        <f>IF(AND(O841="在职",J841="是"),COUNTIF(O$2:O841,"在职"),"")</f>
        <v>834</v>
      </c>
    </row>
    <row r="842" customFormat="1" ht="18" spans="1:16">
      <c r="A842" s="10">
        <f t="shared" si="16"/>
        <v>841</v>
      </c>
      <c r="B842" s="31">
        <v>46186</v>
      </c>
      <c r="C842" s="32" t="s">
        <v>1052</v>
      </c>
      <c r="D842" s="120" t="s">
        <v>477</v>
      </c>
      <c r="E842" s="33" t="s">
        <v>42</v>
      </c>
      <c r="F842" s="18" t="s">
        <v>64</v>
      </c>
      <c r="G842" s="18" t="s">
        <v>103</v>
      </c>
      <c r="H842" s="34" t="s">
        <v>86</v>
      </c>
      <c r="I842" s="18" t="s">
        <v>111</v>
      </c>
      <c r="J842" s="31" t="s">
        <v>105</v>
      </c>
      <c r="K842" s="31">
        <v>46186</v>
      </c>
      <c r="L842" s="4"/>
      <c r="M842" s="4"/>
      <c r="N842" s="13" t="s">
        <v>29</v>
      </c>
      <c r="O842" s="35" t="str">
        <f>IF(D842="","",IF(COUNTIF(离职清单!C:C,D842)&gt;0,"已离职","在职"))</f>
        <v>在职</v>
      </c>
      <c r="P842" s="35" t="str">
        <f>IF(AND(O842="在职",J842="是"),COUNTIF(O$2:O842,"在职"),"")</f>
        <v/>
      </c>
    </row>
    <row r="843" customFormat="1" ht="18" spans="1:16">
      <c r="A843" s="14">
        <f t="shared" si="16"/>
        <v>842</v>
      </c>
      <c r="B843" s="31">
        <v>46186</v>
      </c>
      <c r="C843" s="32" t="s">
        <v>1053</v>
      </c>
      <c r="D843" s="120" t="s">
        <v>478</v>
      </c>
      <c r="E843" s="33" t="s">
        <v>42</v>
      </c>
      <c r="F843" s="18" t="s">
        <v>64</v>
      </c>
      <c r="G843" s="18" t="s">
        <v>117</v>
      </c>
      <c r="H843" s="34" t="s">
        <v>86</v>
      </c>
      <c r="I843" s="18" t="s">
        <v>111</v>
      </c>
      <c r="J843" s="31" t="s">
        <v>105</v>
      </c>
      <c r="K843" s="31">
        <v>46186</v>
      </c>
      <c r="L843" s="4"/>
      <c r="M843" s="4"/>
      <c r="N843" s="13" t="s">
        <v>29</v>
      </c>
      <c r="O843" s="35" t="str">
        <f>IF(D843="","",IF(COUNTIF(离职清单!C:C,D843)&gt;0,"已离职","在职"))</f>
        <v>在职</v>
      </c>
      <c r="P843" s="35" t="str">
        <f>IF(AND(O843="在职",J843="是"),COUNTIF(O$2:O843,"在职"),"")</f>
        <v/>
      </c>
    </row>
    <row r="844" customFormat="1" ht="18" spans="1:16">
      <c r="A844" s="10">
        <f t="shared" si="16"/>
        <v>843</v>
      </c>
      <c r="B844" s="31">
        <v>46186</v>
      </c>
      <c r="C844" s="32" t="s">
        <v>1054</v>
      </c>
      <c r="D844" s="120" t="s">
        <v>480</v>
      </c>
      <c r="E844" s="33" t="s">
        <v>42</v>
      </c>
      <c r="F844" s="18" t="s">
        <v>64</v>
      </c>
      <c r="G844" s="18" t="s">
        <v>179</v>
      </c>
      <c r="H844" s="34" t="s">
        <v>86</v>
      </c>
      <c r="I844" s="18" t="s">
        <v>111</v>
      </c>
      <c r="J844" s="31" t="s">
        <v>105</v>
      </c>
      <c r="K844" s="31">
        <v>46186</v>
      </c>
      <c r="L844" s="4"/>
      <c r="M844" s="4"/>
      <c r="N844" s="13" t="s">
        <v>29</v>
      </c>
      <c r="O844" s="35" t="str">
        <f>IF(D844="","",IF(COUNTIF(离职清单!C:C,D844)&gt;0,"已离职","在职"))</f>
        <v>在职</v>
      </c>
      <c r="P844" s="35" t="str">
        <f>IF(AND(O844="在职",J844="是"),COUNTIF(O$2:O844,"在职"),"")</f>
        <v/>
      </c>
    </row>
    <row r="845" customFormat="1" ht="18" spans="1:16">
      <c r="A845" s="14">
        <f t="shared" si="16"/>
        <v>844</v>
      </c>
      <c r="B845" s="31">
        <v>46186</v>
      </c>
      <c r="C845" s="32" t="s">
        <v>1055</v>
      </c>
      <c r="D845" s="120" t="s">
        <v>482</v>
      </c>
      <c r="E845" s="33" t="s">
        <v>42</v>
      </c>
      <c r="F845" s="18" t="s">
        <v>64</v>
      </c>
      <c r="G845" s="18" t="s">
        <v>1056</v>
      </c>
      <c r="H845" s="34" t="s">
        <v>86</v>
      </c>
      <c r="I845" s="18" t="s">
        <v>111</v>
      </c>
      <c r="J845" s="31" t="s">
        <v>105</v>
      </c>
      <c r="K845" s="31">
        <v>46186</v>
      </c>
      <c r="L845" s="4"/>
      <c r="M845" s="4"/>
      <c r="N845" s="13" t="s">
        <v>29</v>
      </c>
      <c r="O845" s="35" t="str">
        <f>IF(D845="","",IF(COUNTIF(离职清单!C:C,D845)&gt;0,"已离职","在职"))</f>
        <v>在职</v>
      </c>
      <c r="P845" s="35" t="str">
        <f>IF(AND(O845="在职",J845="是"),COUNTIF(O$2:O845,"在职"),"")</f>
        <v/>
      </c>
    </row>
    <row r="846" customFormat="1" ht="18" spans="1:16">
      <c r="A846" s="10">
        <f t="shared" si="16"/>
        <v>845</v>
      </c>
      <c r="B846" s="31">
        <v>46186</v>
      </c>
      <c r="C846" s="32" t="s">
        <v>859</v>
      </c>
      <c r="D846" s="120" t="s">
        <v>484</v>
      </c>
      <c r="E846" s="33" t="s">
        <v>42</v>
      </c>
      <c r="F846" s="18" t="s">
        <v>64</v>
      </c>
      <c r="G846" s="18" t="s">
        <v>148</v>
      </c>
      <c r="H846" s="34" t="s">
        <v>86</v>
      </c>
      <c r="I846" s="18" t="s">
        <v>111</v>
      </c>
      <c r="J846" s="31" t="s">
        <v>105</v>
      </c>
      <c r="K846" s="31">
        <v>46186</v>
      </c>
      <c r="L846" s="4"/>
      <c r="M846" s="4"/>
      <c r="N846" s="13" t="s">
        <v>29</v>
      </c>
      <c r="O846" s="35" t="str">
        <f>IF(D846="","",IF(COUNTIF(离职清单!C:C,D846)&gt;0,"已离职","在职"))</f>
        <v>在职</v>
      </c>
      <c r="P846" s="35" t="str">
        <f>IF(AND(O846="在职",J846="是"),COUNTIF(O$2:O846,"在职"),"")</f>
        <v/>
      </c>
    </row>
    <row r="847" customFormat="1" ht="18" spans="1:16">
      <c r="A847" s="14">
        <f t="shared" si="16"/>
        <v>846</v>
      </c>
      <c r="B847" s="31">
        <v>46186</v>
      </c>
      <c r="C847" s="32" t="s">
        <v>918</v>
      </c>
      <c r="D847" s="120" t="s">
        <v>486</v>
      </c>
      <c r="E847" s="33" t="s">
        <v>42</v>
      </c>
      <c r="F847" s="18" t="s">
        <v>64</v>
      </c>
      <c r="G847" s="18" t="s">
        <v>148</v>
      </c>
      <c r="H847" s="34" t="s">
        <v>86</v>
      </c>
      <c r="I847" s="18" t="s">
        <v>111</v>
      </c>
      <c r="J847" s="31" t="s">
        <v>105</v>
      </c>
      <c r="K847" s="31">
        <v>46186</v>
      </c>
      <c r="L847" s="4"/>
      <c r="M847" s="4"/>
      <c r="N847" s="13" t="s">
        <v>29</v>
      </c>
      <c r="O847" s="35" t="str">
        <f>IF(D847="","",IF(COUNTIF(离职清单!C:C,D847)&gt;0,"已离职","在职"))</f>
        <v>在职</v>
      </c>
      <c r="P847" s="35" t="str">
        <f>IF(AND(O847="在职",J847="是"),COUNTIF(O$2:O847,"在职"),"")</f>
        <v/>
      </c>
    </row>
    <row r="848" customFormat="1" ht="18" spans="1:16">
      <c r="A848" s="10">
        <f t="shared" si="16"/>
        <v>847</v>
      </c>
      <c r="B848" s="31">
        <v>46187</v>
      </c>
      <c r="C848" s="32" t="s">
        <v>1057</v>
      </c>
      <c r="D848" s="120" t="s">
        <v>488</v>
      </c>
      <c r="E848" s="33" t="s">
        <v>43</v>
      </c>
      <c r="F848" s="18" t="s">
        <v>64</v>
      </c>
      <c r="G848" s="18" t="s">
        <v>173</v>
      </c>
      <c r="H848" s="34" t="s">
        <v>86</v>
      </c>
      <c r="I848" s="18" t="s">
        <v>104</v>
      </c>
      <c r="J848" s="31" t="s">
        <v>114</v>
      </c>
      <c r="K848" s="31">
        <v>46187</v>
      </c>
      <c r="L848" s="4"/>
      <c r="M848" s="4"/>
      <c r="N848" s="13" t="s">
        <v>29</v>
      </c>
      <c r="O848" s="35" t="str">
        <f>IF(D848="","",IF(COUNTIF(离职清单!C:C,D848)&gt;0,"已离职","在职"))</f>
        <v>在职</v>
      </c>
      <c r="P848" s="35">
        <f>IF(AND(O848="在职",J848="是"),COUNTIF(O$2:O848,"在职"),"")</f>
        <v>841</v>
      </c>
    </row>
    <row r="849" customFormat="1" ht="18" spans="1:16">
      <c r="A849" s="14">
        <f t="shared" si="16"/>
        <v>848</v>
      </c>
      <c r="B849" s="31">
        <v>46187</v>
      </c>
      <c r="C849" s="32" t="s">
        <v>1058</v>
      </c>
      <c r="D849" s="120" t="s">
        <v>490</v>
      </c>
      <c r="E849" s="33" t="s">
        <v>43</v>
      </c>
      <c r="F849" s="18" t="s">
        <v>64</v>
      </c>
      <c r="G849" s="18" t="s">
        <v>173</v>
      </c>
      <c r="H849" s="34" t="s">
        <v>86</v>
      </c>
      <c r="I849" s="18" t="s">
        <v>104</v>
      </c>
      <c r="J849" s="31" t="s">
        <v>114</v>
      </c>
      <c r="K849" s="31">
        <v>46187</v>
      </c>
      <c r="L849" s="4"/>
      <c r="M849" s="4"/>
      <c r="N849" s="13" t="s">
        <v>29</v>
      </c>
      <c r="O849" s="35" t="str">
        <f>IF(D849="","",IF(COUNTIF(离职清单!C:C,D849)&gt;0,"已离职","在职"))</f>
        <v>在职</v>
      </c>
      <c r="P849" s="35">
        <f>IF(AND(O849="在职",J849="是"),COUNTIF(O$2:O849,"在职"),"")</f>
        <v>842</v>
      </c>
    </row>
    <row r="850" customFormat="1" ht="18" spans="1:16">
      <c r="A850" s="10">
        <f t="shared" si="16"/>
        <v>849</v>
      </c>
      <c r="B850" s="31">
        <v>46187</v>
      </c>
      <c r="C850" s="32" t="s">
        <v>1015</v>
      </c>
      <c r="D850" s="120" t="s">
        <v>492</v>
      </c>
      <c r="E850" s="33" t="s">
        <v>42</v>
      </c>
      <c r="F850" s="18" t="s">
        <v>64</v>
      </c>
      <c r="G850" s="18" t="s">
        <v>148</v>
      </c>
      <c r="H850" s="34" t="s">
        <v>86</v>
      </c>
      <c r="I850" s="18" t="s">
        <v>104</v>
      </c>
      <c r="J850" s="31" t="s">
        <v>114</v>
      </c>
      <c r="K850" s="31">
        <v>46187</v>
      </c>
      <c r="L850" s="4"/>
      <c r="M850" s="4"/>
      <c r="N850" s="13" t="s">
        <v>29</v>
      </c>
      <c r="O850" s="35" t="str">
        <f>IF(D850="","",IF(COUNTIF(离职清单!C:C,D850)&gt;0,"已离职","在职"))</f>
        <v>在职</v>
      </c>
      <c r="P850" s="35">
        <f>IF(AND(O850="在职",J850="是"),COUNTIF(O$2:O850,"在职"),"")</f>
        <v>843</v>
      </c>
    </row>
    <row r="851" customFormat="1" ht="18" spans="1:16">
      <c r="A851" s="14">
        <f t="shared" si="16"/>
        <v>850</v>
      </c>
      <c r="B851" s="31">
        <v>46187</v>
      </c>
      <c r="C851" s="32" t="s">
        <v>865</v>
      </c>
      <c r="D851" s="120" t="s">
        <v>477</v>
      </c>
      <c r="E851" s="33" t="s">
        <v>42</v>
      </c>
      <c r="F851" s="18" t="s">
        <v>64</v>
      </c>
      <c r="G851" s="18" t="s">
        <v>148</v>
      </c>
      <c r="H851" s="34" t="s">
        <v>86</v>
      </c>
      <c r="I851" s="18" t="s">
        <v>111</v>
      </c>
      <c r="J851" s="31" t="s">
        <v>105</v>
      </c>
      <c r="K851" s="31">
        <v>46187</v>
      </c>
      <c r="L851" s="4"/>
      <c r="M851" s="4"/>
      <c r="N851" s="13" t="s">
        <v>29</v>
      </c>
      <c r="O851" s="35" t="str">
        <f>IF(D851="","",IF(COUNTIF(离职清单!C:C,D851)&gt;0,"已离职","在职"))</f>
        <v>在职</v>
      </c>
      <c r="P851" s="35" t="str">
        <f>IF(AND(O851="在职",J851="是"),COUNTIF(O$2:O851,"在职"),"")</f>
        <v/>
      </c>
    </row>
    <row r="852" customFormat="1" ht="18" spans="1:16">
      <c r="A852" s="10">
        <f t="shared" si="16"/>
        <v>851</v>
      </c>
      <c r="B852" s="31">
        <v>46187</v>
      </c>
      <c r="C852" s="32" t="s">
        <v>866</v>
      </c>
      <c r="D852" s="120" t="s">
        <v>478</v>
      </c>
      <c r="E852" s="33" t="s">
        <v>42</v>
      </c>
      <c r="F852" s="18" t="s">
        <v>64</v>
      </c>
      <c r="G852" s="18" t="s">
        <v>148</v>
      </c>
      <c r="H852" s="34" t="s">
        <v>86</v>
      </c>
      <c r="I852" s="18" t="s">
        <v>104</v>
      </c>
      <c r="J852" s="31" t="s">
        <v>114</v>
      </c>
      <c r="K852" s="31">
        <v>46187</v>
      </c>
      <c r="L852" s="4"/>
      <c r="M852" s="4"/>
      <c r="N852" s="13" t="s">
        <v>29</v>
      </c>
      <c r="O852" s="35" t="str">
        <f>IF(D852="","",IF(COUNTIF(离职清单!C:C,D852)&gt;0,"已离职","在职"))</f>
        <v>在职</v>
      </c>
      <c r="P852" s="35">
        <f>IF(AND(O852="在职",J852="是"),COUNTIF(O$2:O852,"在职"),"")</f>
        <v>845</v>
      </c>
    </row>
    <row r="853" customFormat="1" ht="18" spans="1:16">
      <c r="A853" s="14">
        <f t="shared" si="16"/>
        <v>852</v>
      </c>
      <c r="B853" s="31">
        <v>46187</v>
      </c>
      <c r="C853" s="32" t="s">
        <v>1037</v>
      </c>
      <c r="D853" s="120" t="s">
        <v>480</v>
      </c>
      <c r="E853" s="33" t="s">
        <v>42</v>
      </c>
      <c r="F853" s="18" t="s">
        <v>64</v>
      </c>
      <c r="G853" s="18" t="s">
        <v>148</v>
      </c>
      <c r="H853" s="34" t="s">
        <v>86</v>
      </c>
      <c r="I853" s="18" t="s">
        <v>104</v>
      </c>
      <c r="J853" s="31" t="s">
        <v>114</v>
      </c>
      <c r="K853" s="31">
        <v>46187</v>
      </c>
      <c r="L853" s="4"/>
      <c r="M853" s="4"/>
      <c r="N853" s="13" t="s">
        <v>29</v>
      </c>
      <c r="O853" s="35" t="str">
        <f>IF(D853="","",IF(COUNTIF(离职清单!C:C,D853)&gt;0,"已离职","在职"))</f>
        <v>在职</v>
      </c>
      <c r="P853" s="35">
        <f>IF(AND(O853="在职",J853="是"),COUNTIF(O$2:O853,"在职"),"")</f>
        <v>846</v>
      </c>
    </row>
    <row r="854" customFormat="1" ht="18" spans="1:16">
      <c r="A854" s="10">
        <f t="shared" si="16"/>
        <v>853</v>
      </c>
      <c r="B854" s="31">
        <v>46187</v>
      </c>
      <c r="C854" s="32" t="s">
        <v>1059</v>
      </c>
      <c r="D854" s="120" t="s">
        <v>482</v>
      </c>
      <c r="E854" s="33" t="s">
        <v>42</v>
      </c>
      <c r="F854" s="18" t="s">
        <v>64</v>
      </c>
      <c r="G854" s="18" t="s">
        <v>148</v>
      </c>
      <c r="H854" s="34" t="s">
        <v>86</v>
      </c>
      <c r="I854" s="18" t="s">
        <v>104</v>
      </c>
      <c r="J854" s="31" t="s">
        <v>114</v>
      </c>
      <c r="K854" s="31">
        <v>46187</v>
      </c>
      <c r="L854" s="4"/>
      <c r="M854" s="4"/>
      <c r="N854" s="13" t="s">
        <v>29</v>
      </c>
      <c r="O854" s="35" t="str">
        <f>IF(D854="","",IF(COUNTIF(离职清单!C:C,D854)&gt;0,"已离职","在职"))</f>
        <v>在职</v>
      </c>
      <c r="P854" s="35">
        <f>IF(AND(O854="在职",J854="是"),COUNTIF(O$2:O854,"在职"),"")</f>
        <v>847</v>
      </c>
    </row>
    <row r="855" customFormat="1" ht="18" spans="1:16">
      <c r="A855" s="14">
        <f t="shared" si="16"/>
        <v>854</v>
      </c>
      <c r="B855" s="31">
        <v>46187</v>
      </c>
      <c r="C855" s="32" t="s">
        <v>1038</v>
      </c>
      <c r="D855" s="120" t="s">
        <v>484</v>
      </c>
      <c r="E855" s="33" t="s">
        <v>42</v>
      </c>
      <c r="F855" s="18" t="s">
        <v>64</v>
      </c>
      <c r="G855" s="18" t="s">
        <v>148</v>
      </c>
      <c r="H855" s="34" t="s">
        <v>86</v>
      </c>
      <c r="I855" s="18" t="s">
        <v>104</v>
      </c>
      <c r="J855" s="31" t="s">
        <v>114</v>
      </c>
      <c r="K855" s="31">
        <v>46187</v>
      </c>
      <c r="L855" s="4"/>
      <c r="M855" s="4"/>
      <c r="N855" s="13" t="s">
        <v>29</v>
      </c>
      <c r="O855" s="35" t="str">
        <f>IF(D855="","",IF(COUNTIF(离职清单!C:C,D855)&gt;0,"已离职","在职"))</f>
        <v>在职</v>
      </c>
      <c r="P855" s="35">
        <f>IF(AND(O855="在职",J855="是"),COUNTIF(O$2:O855,"在职"),"")</f>
        <v>848</v>
      </c>
    </row>
    <row r="856" customFormat="1" ht="18" spans="1:16">
      <c r="A856" s="10">
        <f t="shared" ref="A856:A891" si="17">IF(B856&lt;&gt;"",ROW()-1,"")</f>
        <v>855</v>
      </c>
      <c r="B856" s="31">
        <v>46187</v>
      </c>
      <c r="C856" s="32" t="s">
        <v>1039</v>
      </c>
      <c r="D856" s="120" t="s">
        <v>486</v>
      </c>
      <c r="E856" s="33" t="s">
        <v>42</v>
      </c>
      <c r="F856" s="18" t="s">
        <v>64</v>
      </c>
      <c r="G856" s="18" t="s">
        <v>148</v>
      </c>
      <c r="H856" s="34" t="s">
        <v>86</v>
      </c>
      <c r="I856" s="18" t="s">
        <v>104</v>
      </c>
      <c r="J856" s="31" t="s">
        <v>114</v>
      </c>
      <c r="K856" s="31">
        <v>46187</v>
      </c>
      <c r="L856" s="4"/>
      <c r="M856" s="4"/>
      <c r="N856" s="13" t="s">
        <v>29</v>
      </c>
      <c r="O856" s="35" t="str">
        <f>IF(D856="","",IF(COUNTIF(离职清单!C:C,D856)&gt;0,"已离职","在职"))</f>
        <v>在职</v>
      </c>
      <c r="P856" s="35">
        <f>IF(AND(O856="在职",J856="是"),COUNTIF(O$2:O856,"在职"),"")</f>
        <v>849</v>
      </c>
    </row>
    <row r="857" customFormat="1" ht="18" spans="1:16">
      <c r="A857" s="14">
        <f t="shared" si="17"/>
        <v>856</v>
      </c>
      <c r="B857" s="31">
        <v>46187</v>
      </c>
      <c r="C857" s="32" t="s">
        <v>1040</v>
      </c>
      <c r="D857" s="120" t="s">
        <v>488</v>
      </c>
      <c r="E857" s="33" t="s">
        <v>42</v>
      </c>
      <c r="F857" s="18" t="s">
        <v>64</v>
      </c>
      <c r="G857" s="18" t="s">
        <v>148</v>
      </c>
      <c r="H857" s="34" t="s">
        <v>86</v>
      </c>
      <c r="I857" s="18" t="s">
        <v>111</v>
      </c>
      <c r="J857" s="31" t="s">
        <v>105</v>
      </c>
      <c r="K857" s="31">
        <v>46187</v>
      </c>
      <c r="L857" s="4"/>
      <c r="M857" s="4"/>
      <c r="N857" s="13" t="s">
        <v>29</v>
      </c>
      <c r="O857" s="35" t="str">
        <f>IF(D857="","",IF(COUNTIF(离职清单!C:C,D857)&gt;0,"已离职","在职"))</f>
        <v>在职</v>
      </c>
      <c r="P857" s="35" t="str">
        <f>IF(AND(O857="在职",J857="是"),COUNTIF(O$2:O857,"在职"),"")</f>
        <v/>
      </c>
    </row>
    <row r="858" customFormat="1" ht="18" spans="1:16">
      <c r="A858" s="10">
        <f t="shared" si="17"/>
        <v>857</v>
      </c>
      <c r="B858" s="31">
        <v>46187</v>
      </c>
      <c r="C858" s="32" t="s">
        <v>1026</v>
      </c>
      <c r="D858" s="120" t="s">
        <v>490</v>
      </c>
      <c r="E858" s="33" t="s">
        <v>43</v>
      </c>
      <c r="F858" s="18" t="s">
        <v>64</v>
      </c>
      <c r="G858" s="18" t="s">
        <v>148</v>
      </c>
      <c r="H858" s="34" t="s">
        <v>86</v>
      </c>
      <c r="I858" s="18" t="s">
        <v>111</v>
      </c>
      <c r="J858" s="31" t="s">
        <v>105</v>
      </c>
      <c r="K858" s="31">
        <v>46187</v>
      </c>
      <c r="L858" s="4"/>
      <c r="M858" s="4"/>
      <c r="N858" s="13" t="s">
        <v>29</v>
      </c>
      <c r="O858" s="35" t="str">
        <f>IF(D858="","",IF(COUNTIF(离职清单!C:C,D858)&gt;0,"已离职","在职"))</f>
        <v>在职</v>
      </c>
      <c r="P858" s="35" t="str">
        <f>IF(AND(O858="在职",J858="是"),COUNTIF(O$2:O858,"在职"),"")</f>
        <v/>
      </c>
    </row>
    <row r="859" customFormat="1" ht="18" spans="1:16">
      <c r="A859" s="14">
        <f t="shared" si="17"/>
        <v>858</v>
      </c>
      <c r="B859" s="31">
        <v>46187</v>
      </c>
      <c r="C859" s="32" t="s">
        <v>1060</v>
      </c>
      <c r="D859" s="120" t="s">
        <v>492</v>
      </c>
      <c r="E859" s="33" t="s">
        <v>42</v>
      </c>
      <c r="F859" s="18" t="s">
        <v>64</v>
      </c>
      <c r="G859" s="18" t="s">
        <v>148</v>
      </c>
      <c r="H859" s="34" t="s">
        <v>86</v>
      </c>
      <c r="I859" s="18" t="s">
        <v>111</v>
      </c>
      <c r="J859" s="31" t="s">
        <v>105</v>
      </c>
      <c r="K859" s="31">
        <v>46187</v>
      </c>
      <c r="L859" s="4"/>
      <c r="M859" s="4"/>
      <c r="N859" s="13" t="s">
        <v>29</v>
      </c>
      <c r="O859" s="35" t="str">
        <f>IF(D859="","",IF(COUNTIF(离职清单!C:C,D859)&gt;0,"已离职","在职"))</f>
        <v>在职</v>
      </c>
      <c r="P859" s="35" t="str">
        <f>IF(AND(O859="在职",J859="是"),COUNTIF(O$2:O859,"在职"),"")</f>
        <v/>
      </c>
    </row>
    <row r="860" customFormat="1" ht="18" spans="1:16">
      <c r="A860" s="10">
        <f t="shared" si="17"/>
        <v>859</v>
      </c>
      <c r="B860" s="31">
        <v>46187</v>
      </c>
      <c r="C860" s="32" t="s">
        <v>1041</v>
      </c>
      <c r="D860" s="120" t="s">
        <v>477</v>
      </c>
      <c r="E860" s="33" t="s">
        <v>42</v>
      </c>
      <c r="F860" s="18" t="s">
        <v>64</v>
      </c>
      <c r="G860" s="18" t="s">
        <v>148</v>
      </c>
      <c r="H860" s="34" t="s">
        <v>86</v>
      </c>
      <c r="I860" s="18" t="s">
        <v>104</v>
      </c>
      <c r="J860" s="31" t="s">
        <v>114</v>
      </c>
      <c r="K860" s="31">
        <v>46187</v>
      </c>
      <c r="L860" s="4"/>
      <c r="M860" s="4"/>
      <c r="N860" s="13" t="s">
        <v>29</v>
      </c>
      <c r="O860" s="35" t="str">
        <f>IF(D860="","",IF(COUNTIF(离职清单!C:C,D860)&gt;0,"已离职","在职"))</f>
        <v>在职</v>
      </c>
      <c r="P860" s="35">
        <f>IF(AND(O860="在职",J860="是"),COUNTIF(O$2:O860,"在职"),"")</f>
        <v>853</v>
      </c>
    </row>
    <row r="861" customFormat="1" ht="18" spans="1:16">
      <c r="A861" s="14">
        <f t="shared" si="17"/>
        <v>860</v>
      </c>
      <c r="B861" s="31">
        <v>46187</v>
      </c>
      <c r="C861" s="32" t="s">
        <v>1044</v>
      </c>
      <c r="D861" s="120" t="s">
        <v>478</v>
      </c>
      <c r="E861" s="33" t="s">
        <v>42</v>
      </c>
      <c r="F861" s="18" t="s">
        <v>64</v>
      </c>
      <c r="G861" s="18" t="s">
        <v>148</v>
      </c>
      <c r="H861" s="34" t="s">
        <v>86</v>
      </c>
      <c r="I861" s="18" t="s">
        <v>104</v>
      </c>
      <c r="J861" s="31" t="s">
        <v>114</v>
      </c>
      <c r="K861" s="31">
        <v>46187</v>
      </c>
      <c r="L861" s="4"/>
      <c r="M861" s="4"/>
      <c r="N861" s="13" t="s">
        <v>29</v>
      </c>
      <c r="O861" s="35" t="str">
        <f>IF(D861="","",IF(COUNTIF(离职清单!C:C,D861)&gt;0,"已离职","在职"))</f>
        <v>在职</v>
      </c>
      <c r="P861" s="35">
        <f>IF(AND(O861="在职",J861="是"),COUNTIF(O$2:O861,"在职"),"")</f>
        <v>854</v>
      </c>
    </row>
    <row r="862" customFormat="1" ht="18" spans="1:16">
      <c r="A862" s="10">
        <f t="shared" si="17"/>
        <v>861</v>
      </c>
      <c r="B862" s="31">
        <v>46187</v>
      </c>
      <c r="C862" s="32" t="s">
        <v>1045</v>
      </c>
      <c r="D862" s="120" t="s">
        <v>480</v>
      </c>
      <c r="E862" s="33" t="s">
        <v>42</v>
      </c>
      <c r="F862" s="18" t="s">
        <v>64</v>
      </c>
      <c r="G862" s="18" t="s">
        <v>148</v>
      </c>
      <c r="H862" s="34" t="s">
        <v>86</v>
      </c>
      <c r="I862" s="18" t="s">
        <v>104</v>
      </c>
      <c r="J862" s="31" t="s">
        <v>114</v>
      </c>
      <c r="K862" s="31">
        <v>46187</v>
      </c>
      <c r="L862" s="4"/>
      <c r="M862" s="4"/>
      <c r="N862" s="13" t="s">
        <v>29</v>
      </c>
      <c r="O862" s="35" t="str">
        <f>IF(D862="","",IF(COUNTIF(离职清单!C:C,D862)&gt;0,"已离职","在职"))</f>
        <v>在职</v>
      </c>
      <c r="P862" s="35">
        <f>IF(AND(O862="在职",J862="是"),COUNTIF(O$2:O862,"在职"),"")</f>
        <v>855</v>
      </c>
    </row>
    <row r="863" customFormat="1" ht="18" spans="1:16">
      <c r="A863" s="14">
        <f t="shared" si="17"/>
        <v>862</v>
      </c>
      <c r="B863" s="31">
        <v>46187</v>
      </c>
      <c r="C863" s="32" t="s">
        <v>1046</v>
      </c>
      <c r="D863" s="120" t="s">
        <v>482</v>
      </c>
      <c r="E863" s="33" t="s">
        <v>42</v>
      </c>
      <c r="F863" s="18" t="s">
        <v>64</v>
      </c>
      <c r="G863" s="18" t="s">
        <v>148</v>
      </c>
      <c r="H863" s="34" t="s">
        <v>86</v>
      </c>
      <c r="I863" s="18" t="s">
        <v>111</v>
      </c>
      <c r="J863" s="31" t="s">
        <v>105</v>
      </c>
      <c r="K863" s="31">
        <v>46187</v>
      </c>
      <c r="L863" s="4"/>
      <c r="M863" s="4"/>
      <c r="N863" s="13" t="s">
        <v>29</v>
      </c>
      <c r="O863" s="35" t="str">
        <f>IF(D863="","",IF(COUNTIF(离职清单!C:C,D863)&gt;0,"已离职","在职"))</f>
        <v>在职</v>
      </c>
      <c r="P863" s="35" t="str">
        <f>IF(AND(O863="在职",J863="是"),COUNTIF(O$2:O863,"在职"),"")</f>
        <v/>
      </c>
    </row>
    <row r="864" customFormat="1" ht="18" spans="1:16">
      <c r="A864" s="10">
        <f t="shared" si="17"/>
        <v>863</v>
      </c>
      <c r="B864" s="31">
        <v>46187</v>
      </c>
      <c r="C864" s="32" t="s">
        <v>1047</v>
      </c>
      <c r="D864" s="120" t="s">
        <v>484</v>
      </c>
      <c r="E864" s="33" t="s">
        <v>42</v>
      </c>
      <c r="F864" s="18" t="s">
        <v>64</v>
      </c>
      <c r="G864" s="18" t="s">
        <v>148</v>
      </c>
      <c r="H864" s="34" t="s">
        <v>86</v>
      </c>
      <c r="I864" s="18" t="s">
        <v>104</v>
      </c>
      <c r="J864" s="31" t="s">
        <v>114</v>
      </c>
      <c r="K864" s="31">
        <v>46187</v>
      </c>
      <c r="L864" s="4"/>
      <c r="M864" s="4"/>
      <c r="N864" s="13" t="s">
        <v>29</v>
      </c>
      <c r="O864" s="35" t="str">
        <f>IF(D864="","",IF(COUNTIF(离职清单!C:C,D864)&gt;0,"已离职","在职"))</f>
        <v>在职</v>
      </c>
      <c r="P864" s="35">
        <f>IF(AND(O864="在职",J864="是"),COUNTIF(O$2:O864,"在职"),"")</f>
        <v>857</v>
      </c>
    </row>
    <row r="865" customFormat="1" ht="18" spans="1:16">
      <c r="A865" s="14">
        <f t="shared" si="17"/>
        <v>864</v>
      </c>
      <c r="B865" s="31">
        <v>46187</v>
      </c>
      <c r="C865" s="32" t="s">
        <v>1049</v>
      </c>
      <c r="D865" s="120" t="s">
        <v>486</v>
      </c>
      <c r="E865" s="33" t="s">
        <v>42</v>
      </c>
      <c r="F865" s="18" t="s">
        <v>64</v>
      </c>
      <c r="G865" s="18" t="s">
        <v>148</v>
      </c>
      <c r="H865" s="34" t="s">
        <v>86</v>
      </c>
      <c r="I865" s="18" t="s">
        <v>104</v>
      </c>
      <c r="J865" s="31" t="s">
        <v>114</v>
      </c>
      <c r="K865" s="31">
        <v>46187</v>
      </c>
      <c r="L865" s="4"/>
      <c r="M865" s="4"/>
      <c r="N865" s="13" t="s">
        <v>29</v>
      </c>
      <c r="O865" s="35" t="str">
        <f>IF(D865="","",IF(COUNTIF(离职清单!C:C,D865)&gt;0,"已离职","在职"))</f>
        <v>在职</v>
      </c>
      <c r="P865" s="35">
        <f>IF(AND(O865="在职",J865="是"),COUNTIF(O$2:O865,"在职"),"")</f>
        <v>858</v>
      </c>
    </row>
    <row r="866" customFormat="1" ht="18" spans="1:16">
      <c r="A866" s="10">
        <f t="shared" si="17"/>
        <v>865</v>
      </c>
      <c r="B866" s="31">
        <v>46187</v>
      </c>
      <c r="C866" s="32" t="s">
        <v>1051</v>
      </c>
      <c r="D866" s="120" t="s">
        <v>488</v>
      </c>
      <c r="E866" s="33" t="s">
        <v>42</v>
      </c>
      <c r="F866" s="18" t="s">
        <v>64</v>
      </c>
      <c r="G866" s="18" t="s">
        <v>148</v>
      </c>
      <c r="H866" s="34" t="s">
        <v>86</v>
      </c>
      <c r="I866" s="18" t="s">
        <v>104</v>
      </c>
      <c r="J866" s="31" t="s">
        <v>114</v>
      </c>
      <c r="K866" s="31">
        <v>46187</v>
      </c>
      <c r="L866" s="4"/>
      <c r="M866" s="4"/>
      <c r="N866" s="13" t="s">
        <v>29</v>
      </c>
      <c r="O866" s="35" t="str">
        <f>IF(D866="","",IF(COUNTIF(离职清单!C:C,D866)&gt;0,"已离职","在职"))</f>
        <v>在职</v>
      </c>
      <c r="P866" s="35">
        <f>IF(AND(O866="在职",J866="是"),COUNTIF(O$2:O866,"在职"),"")</f>
        <v>859</v>
      </c>
    </row>
    <row r="867" customFormat="1" ht="18" spans="1:16">
      <c r="A867" s="14">
        <f t="shared" si="17"/>
        <v>866</v>
      </c>
      <c r="B867" s="31">
        <v>46187</v>
      </c>
      <c r="C867" s="32" t="s">
        <v>1061</v>
      </c>
      <c r="D867" s="120" t="s">
        <v>490</v>
      </c>
      <c r="E867" s="33" t="s">
        <v>74</v>
      </c>
      <c r="F867" s="18" t="s">
        <v>190</v>
      </c>
      <c r="G867" s="18" t="s">
        <v>117</v>
      </c>
      <c r="H867" s="34" t="s">
        <v>86</v>
      </c>
      <c r="I867" s="18" t="s">
        <v>104</v>
      </c>
      <c r="J867" s="31" t="s">
        <v>114</v>
      </c>
      <c r="K867" s="31">
        <v>46187</v>
      </c>
      <c r="L867" s="4"/>
      <c r="M867" s="4"/>
      <c r="N867" s="13" t="s">
        <v>29</v>
      </c>
      <c r="O867" s="35" t="str">
        <f>IF(D867="","",IF(COUNTIF(离职清单!C:C,D867)&gt;0,"已离职","在职"))</f>
        <v>在职</v>
      </c>
      <c r="P867" s="35">
        <f>IF(AND(O867="在职",J867="是"),COUNTIF(O$2:O867,"在职"),"")</f>
        <v>860</v>
      </c>
    </row>
    <row r="868" customFormat="1" ht="18" spans="1:16">
      <c r="A868" s="10">
        <f t="shared" si="17"/>
        <v>867</v>
      </c>
      <c r="B868" s="31">
        <v>46187</v>
      </c>
      <c r="C868" s="32" t="s">
        <v>1062</v>
      </c>
      <c r="D868" s="120" t="s">
        <v>492</v>
      </c>
      <c r="E868" s="33" t="s">
        <v>74</v>
      </c>
      <c r="F868" s="18" t="s">
        <v>190</v>
      </c>
      <c r="G868" s="18" t="s">
        <v>117</v>
      </c>
      <c r="H868" s="34" t="s">
        <v>86</v>
      </c>
      <c r="I868" s="18" t="s">
        <v>104</v>
      </c>
      <c r="J868" s="31" t="s">
        <v>114</v>
      </c>
      <c r="K868" s="31">
        <v>46187</v>
      </c>
      <c r="L868" s="4"/>
      <c r="M868" s="4"/>
      <c r="N868" s="13" t="s">
        <v>29</v>
      </c>
      <c r="O868" s="35" t="str">
        <f>IF(D868="","",IF(COUNTIF(离职清单!C:C,D868)&gt;0,"已离职","在职"))</f>
        <v>在职</v>
      </c>
      <c r="P868" s="35">
        <f>IF(AND(O868="在职",J868="是"),COUNTIF(O$2:O868,"在职"),"")</f>
        <v>861</v>
      </c>
    </row>
    <row r="869" customFormat="1" ht="18" spans="1:16">
      <c r="A869" s="14">
        <f t="shared" si="17"/>
        <v>868</v>
      </c>
      <c r="B869" s="31">
        <v>46187</v>
      </c>
      <c r="C869" s="32" t="s">
        <v>1063</v>
      </c>
      <c r="D869" s="120" t="s">
        <v>477</v>
      </c>
      <c r="E869" s="33" t="s">
        <v>42</v>
      </c>
      <c r="F869" s="18" t="s">
        <v>64</v>
      </c>
      <c r="G869" s="18" t="s">
        <v>117</v>
      </c>
      <c r="H869" s="34" t="s">
        <v>86</v>
      </c>
      <c r="I869" s="18" t="s">
        <v>104</v>
      </c>
      <c r="J869" s="31" t="s">
        <v>114</v>
      </c>
      <c r="K869" s="31">
        <v>46187</v>
      </c>
      <c r="L869" s="4"/>
      <c r="M869" s="4"/>
      <c r="N869" s="13" t="s">
        <v>29</v>
      </c>
      <c r="O869" s="35" t="str">
        <f>IF(D869="","",IF(COUNTIF(离职清单!C:C,D869)&gt;0,"已离职","在职"))</f>
        <v>在职</v>
      </c>
      <c r="P869" s="35">
        <f>IF(AND(O869="在职",J869="是"),COUNTIF(O$2:O869,"在职"),"")</f>
        <v>862</v>
      </c>
    </row>
    <row r="870" customFormat="1" ht="18" spans="1:16">
      <c r="A870" s="10">
        <f t="shared" si="17"/>
        <v>869</v>
      </c>
      <c r="B870" s="31">
        <v>46187</v>
      </c>
      <c r="C870" s="32" t="s">
        <v>1064</v>
      </c>
      <c r="D870" s="120" t="s">
        <v>478</v>
      </c>
      <c r="E870" s="33" t="s">
        <v>42</v>
      </c>
      <c r="F870" s="18" t="s">
        <v>62</v>
      </c>
      <c r="G870" s="18" t="s">
        <v>110</v>
      </c>
      <c r="H870" s="34" t="s">
        <v>86</v>
      </c>
      <c r="I870" s="18" t="s">
        <v>104</v>
      </c>
      <c r="J870" s="31" t="s">
        <v>114</v>
      </c>
      <c r="K870" s="31">
        <v>46187</v>
      </c>
      <c r="L870" s="4"/>
      <c r="M870" s="4"/>
      <c r="N870" s="13" t="s">
        <v>29</v>
      </c>
      <c r="O870" s="35" t="str">
        <f>IF(D870="","",IF(COUNTIF(离职清单!C:C,D870)&gt;0,"已离职","在职"))</f>
        <v>在职</v>
      </c>
      <c r="P870" s="35">
        <f>IF(AND(O870="在职",J870="是"),COUNTIF(O$2:O870,"在职"),"")</f>
        <v>863</v>
      </c>
    </row>
    <row r="871" customFormat="1" ht="18" spans="1:16">
      <c r="A871" s="14">
        <f t="shared" si="17"/>
        <v>870</v>
      </c>
      <c r="B871" s="31">
        <v>46187</v>
      </c>
      <c r="C871" s="32" t="s">
        <v>1065</v>
      </c>
      <c r="D871" s="120" t="s">
        <v>480</v>
      </c>
      <c r="E871" s="33" t="s">
        <v>43</v>
      </c>
      <c r="F871" s="18" t="s">
        <v>63</v>
      </c>
      <c r="G871" s="18" t="s">
        <v>135</v>
      </c>
      <c r="H871" s="34" t="s">
        <v>86</v>
      </c>
      <c r="I871" s="18" t="s">
        <v>104</v>
      </c>
      <c r="J871" s="31" t="s">
        <v>114</v>
      </c>
      <c r="K871" s="31">
        <v>46187</v>
      </c>
      <c r="L871" s="4"/>
      <c r="M871" s="4"/>
      <c r="N871" s="13" t="s">
        <v>29</v>
      </c>
      <c r="O871" s="35" t="str">
        <f>IF(D871="","",IF(COUNTIF(离职清单!C:C,D871)&gt;0,"已离职","在职"))</f>
        <v>在职</v>
      </c>
      <c r="P871" s="35">
        <f>IF(AND(O871="在职",J871="是"),COUNTIF(O$2:O871,"在职"),"")</f>
        <v>864</v>
      </c>
    </row>
    <row r="872" customFormat="1" ht="18" spans="1:16">
      <c r="A872" s="14">
        <f t="shared" si="17"/>
        <v>871</v>
      </c>
      <c r="B872" s="31">
        <v>46187</v>
      </c>
      <c r="C872" s="32" t="s">
        <v>1066</v>
      </c>
      <c r="D872" s="120" t="s">
        <v>482</v>
      </c>
      <c r="E872" s="33" t="s">
        <v>43</v>
      </c>
      <c r="F872" s="18" t="s">
        <v>64</v>
      </c>
      <c r="G872" s="18" t="s">
        <v>135</v>
      </c>
      <c r="H872" s="34" t="s">
        <v>86</v>
      </c>
      <c r="I872" s="18" t="s">
        <v>111</v>
      </c>
      <c r="J872" s="31" t="s">
        <v>105</v>
      </c>
      <c r="K872" s="31">
        <v>46187</v>
      </c>
      <c r="L872" s="4"/>
      <c r="M872" s="4"/>
      <c r="N872" s="13" t="s">
        <v>29</v>
      </c>
      <c r="O872" s="35" t="str">
        <f>IF(D872="","",IF(COUNTIF(离职清单!C:C,D872)&gt;0,"已离职","在职"))</f>
        <v>在职</v>
      </c>
      <c r="P872" s="35" t="str">
        <f>IF(AND(O872="在职",J872="是"),COUNTIF(O$2:O872,"在职"),"")</f>
        <v/>
      </c>
    </row>
    <row r="873" customFormat="1" ht="18" spans="1:16">
      <c r="A873" s="10">
        <f t="shared" si="17"/>
        <v>872</v>
      </c>
      <c r="B873" s="31">
        <v>46187</v>
      </c>
      <c r="C873" s="32" t="s">
        <v>1013</v>
      </c>
      <c r="D873" s="120" t="s">
        <v>484</v>
      </c>
      <c r="E873" s="33" t="s">
        <v>43</v>
      </c>
      <c r="F873" s="18" t="s">
        <v>64</v>
      </c>
      <c r="G873" s="18" t="s">
        <v>135</v>
      </c>
      <c r="H873" s="34" t="s">
        <v>86</v>
      </c>
      <c r="I873" s="18" t="s">
        <v>104</v>
      </c>
      <c r="J873" s="31" t="s">
        <v>114</v>
      </c>
      <c r="K873" s="31">
        <v>46187</v>
      </c>
      <c r="L873" s="4"/>
      <c r="M873" s="4"/>
      <c r="N873" s="13" t="s">
        <v>29</v>
      </c>
      <c r="O873" s="35" t="str">
        <f>IF(D873="","",IF(COUNTIF(离职清单!C:C,D873)&gt;0,"已离职","在职"))</f>
        <v>在职</v>
      </c>
      <c r="P873" s="35">
        <f>IF(AND(O873="在职",J873="是"),COUNTIF(O$2:O873,"在职"),"")</f>
        <v>866</v>
      </c>
    </row>
    <row r="874" customFormat="1" ht="18" spans="1:16">
      <c r="A874" s="14">
        <f t="shared" si="17"/>
        <v>873</v>
      </c>
      <c r="B874" s="31">
        <v>46187</v>
      </c>
      <c r="C874" s="32" t="s">
        <v>1014</v>
      </c>
      <c r="D874" s="120" t="s">
        <v>486</v>
      </c>
      <c r="E874" s="33" t="s">
        <v>43</v>
      </c>
      <c r="F874" s="18" t="s">
        <v>64</v>
      </c>
      <c r="G874" s="18" t="s">
        <v>135</v>
      </c>
      <c r="H874" s="34" t="s">
        <v>86</v>
      </c>
      <c r="I874" s="18" t="s">
        <v>104</v>
      </c>
      <c r="J874" s="31" t="s">
        <v>114</v>
      </c>
      <c r="K874" s="31">
        <v>46187</v>
      </c>
      <c r="L874" s="4"/>
      <c r="M874" s="4"/>
      <c r="N874" s="13" t="s">
        <v>29</v>
      </c>
      <c r="O874" s="35" t="str">
        <f>IF(D874="","",IF(COUNTIF(离职清单!C:C,D874)&gt;0,"已离职","在职"))</f>
        <v>在职</v>
      </c>
      <c r="P874" s="35">
        <f>IF(AND(O874="在职",J874="是"),COUNTIF(O$2:O874,"在职"),"")</f>
        <v>867</v>
      </c>
    </row>
    <row r="875" customFormat="1" ht="18" spans="1:16">
      <c r="A875" s="10">
        <f t="shared" si="17"/>
        <v>874</v>
      </c>
      <c r="B875" s="31">
        <v>46187</v>
      </c>
      <c r="C875" s="32" t="s">
        <v>1067</v>
      </c>
      <c r="D875" s="120" t="s">
        <v>488</v>
      </c>
      <c r="E875" s="33" t="s">
        <v>43</v>
      </c>
      <c r="F875" s="18" t="s">
        <v>64</v>
      </c>
      <c r="G875" s="18" t="s">
        <v>124</v>
      </c>
      <c r="H875" s="34" t="s">
        <v>86</v>
      </c>
      <c r="I875" s="18" t="s">
        <v>111</v>
      </c>
      <c r="J875" s="31" t="s">
        <v>105</v>
      </c>
      <c r="K875" s="31">
        <v>46187</v>
      </c>
      <c r="L875" s="4"/>
      <c r="M875" s="4"/>
      <c r="N875" s="13" t="s">
        <v>29</v>
      </c>
      <c r="O875" s="35" t="str">
        <f>IF(D875="","",IF(COUNTIF(离职清单!C:C,D875)&gt;0,"已离职","在职"))</f>
        <v>在职</v>
      </c>
      <c r="P875" s="35" t="str">
        <f>IF(AND(O875="在职",J875="是"),COUNTIF(O$2:O875,"在职"),"")</f>
        <v/>
      </c>
    </row>
    <row r="876" customFormat="1" ht="18" spans="1:16">
      <c r="A876" s="10">
        <f t="shared" si="17"/>
        <v>875</v>
      </c>
      <c r="B876" s="31">
        <v>46187</v>
      </c>
      <c r="C876" s="32" t="s">
        <v>1068</v>
      </c>
      <c r="D876" s="120" t="s">
        <v>490</v>
      </c>
      <c r="E876" s="33" t="s">
        <v>42</v>
      </c>
      <c r="F876" s="18" t="s">
        <v>62</v>
      </c>
      <c r="G876" s="18" t="s">
        <v>132</v>
      </c>
      <c r="H876" s="34" t="s">
        <v>86</v>
      </c>
      <c r="I876" s="18" t="s">
        <v>104</v>
      </c>
      <c r="J876" s="31" t="s">
        <v>105</v>
      </c>
      <c r="K876" s="31">
        <v>46187</v>
      </c>
      <c r="L876" s="4"/>
      <c r="M876" s="4"/>
      <c r="N876" s="13" t="s">
        <v>29</v>
      </c>
      <c r="O876" s="35" t="str">
        <f>IF(D876="","",IF(COUNTIF(离职清单!C:C,D876)&gt;0,"已离职","在职"))</f>
        <v>在职</v>
      </c>
      <c r="P876" s="35" t="str">
        <f>IF(AND(O876="在职",J876="是"),COUNTIF(O$2:O876,"在职"),"")</f>
        <v/>
      </c>
    </row>
    <row r="877" customFormat="1" ht="18" spans="1:16">
      <c r="A877" s="10">
        <f t="shared" si="17"/>
        <v>876</v>
      </c>
      <c r="B877" s="31">
        <v>46187</v>
      </c>
      <c r="C877" s="32" t="s">
        <v>1069</v>
      </c>
      <c r="D877" s="120" t="s">
        <v>492</v>
      </c>
      <c r="E877" s="33" t="s">
        <v>43</v>
      </c>
      <c r="F877" s="18" t="s">
        <v>64</v>
      </c>
      <c r="G877" s="18" t="s">
        <v>132</v>
      </c>
      <c r="H877" s="34" t="s">
        <v>86</v>
      </c>
      <c r="I877" s="18" t="s">
        <v>111</v>
      </c>
      <c r="J877" s="31" t="s">
        <v>105</v>
      </c>
      <c r="K877" s="31">
        <v>46187</v>
      </c>
      <c r="L877" s="4"/>
      <c r="M877" s="4"/>
      <c r="N877" s="13" t="s">
        <v>29</v>
      </c>
      <c r="O877" s="35" t="str">
        <f>IF(D877="","",IF(COUNTIF(离职清单!C:C,D877)&gt;0,"已离职","在职"))</f>
        <v>在职</v>
      </c>
      <c r="P877" s="35" t="str">
        <f>IF(AND(O877="在职",J877="是"),COUNTIF(O$2:O877,"在职"),"")</f>
        <v/>
      </c>
    </row>
    <row r="878" customFormat="1" ht="18" spans="1:16">
      <c r="A878" s="14">
        <f t="shared" si="17"/>
        <v>877</v>
      </c>
      <c r="B878" s="31">
        <v>46187</v>
      </c>
      <c r="C878" s="32" t="s">
        <v>1070</v>
      </c>
      <c r="D878" s="120" t="s">
        <v>477</v>
      </c>
      <c r="E878" s="33" t="s">
        <v>43</v>
      </c>
      <c r="F878" s="18" t="s">
        <v>64</v>
      </c>
      <c r="G878" s="18" t="s">
        <v>796</v>
      </c>
      <c r="H878" s="34" t="s">
        <v>86</v>
      </c>
      <c r="I878" s="18" t="s">
        <v>111</v>
      </c>
      <c r="J878" s="31" t="s">
        <v>105</v>
      </c>
      <c r="K878" s="31">
        <v>46187</v>
      </c>
      <c r="L878" s="4"/>
      <c r="M878" s="4"/>
      <c r="N878" s="13" t="s">
        <v>29</v>
      </c>
      <c r="O878" s="35" t="str">
        <f>IF(D878="","",IF(COUNTIF(离职清单!C:C,D878)&gt;0,"已离职","在职"))</f>
        <v>在职</v>
      </c>
      <c r="P878" s="35" t="str">
        <f>IF(AND(O878="在职",J878="是"),COUNTIF(O$2:O878,"在职"),"")</f>
        <v/>
      </c>
    </row>
    <row r="879" customFormat="1" ht="18" spans="1:16">
      <c r="A879" s="10">
        <f t="shared" si="17"/>
        <v>878</v>
      </c>
      <c r="B879" s="31">
        <v>46187</v>
      </c>
      <c r="C879" s="32" t="s">
        <v>854</v>
      </c>
      <c r="D879" s="120" t="s">
        <v>478</v>
      </c>
      <c r="E879" s="33" t="s">
        <v>42</v>
      </c>
      <c r="F879" s="18" t="s">
        <v>64</v>
      </c>
      <c r="G879" s="18" t="s">
        <v>631</v>
      </c>
      <c r="H879" s="34" t="s">
        <v>86</v>
      </c>
      <c r="I879" s="18" t="s">
        <v>104</v>
      </c>
      <c r="J879" s="31" t="s">
        <v>105</v>
      </c>
      <c r="K879" s="31">
        <v>46187</v>
      </c>
      <c r="L879" s="4"/>
      <c r="M879" s="4"/>
      <c r="N879" s="13" t="s">
        <v>29</v>
      </c>
      <c r="O879" s="35" t="str">
        <f>IF(D879="","",IF(COUNTIF(离职清单!C:C,D879)&gt;0,"已离职","在职"))</f>
        <v>在职</v>
      </c>
      <c r="P879" s="35" t="str">
        <f>IF(AND(O879="在职",J879="是"),COUNTIF(O$2:O879,"在职"),"")</f>
        <v/>
      </c>
    </row>
    <row r="880" customFormat="1" ht="18" spans="1:16">
      <c r="A880" s="14">
        <f t="shared" si="17"/>
        <v>879</v>
      </c>
      <c r="B880" s="31">
        <v>46187</v>
      </c>
      <c r="C880" s="32" t="s">
        <v>1023</v>
      </c>
      <c r="D880" s="120" t="s">
        <v>480</v>
      </c>
      <c r="E880" s="33" t="s">
        <v>42</v>
      </c>
      <c r="F880" s="18" t="s">
        <v>64</v>
      </c>
      <c r="G880" s="18" t="s">
        <v>631</v>
      </c>
      <c r="H880" s="34" t="s">
        <v>86</v>
      </c>
      <c r="I880" s="18" t="s">
        <v>104</v>
      </c>
      <c r="J880" s="31" t="s">
        <v>114</v>
      </c>
      <c r="K880" s="31">
        <v>46187</v>
      </c>
      <c r="L880" s="4"/>
      <c r="M880" s="4"/>
      <c r="N880" s="13" t="s">
        <v>29</v>
      </c>
      <c r="O880" s="35" t="str">
        <f>IF(D880="","",IF(COUNTIF(离职清单!C:C,D880)&gt;0,"已离职","在职"))</f>
        <v>在职</v>
      </c>
      <c r="P880" s="35">
        <f>IF(AND(O880="在职",J880="是"),COUNTIF(O$2:O880,"在职"),"")</f>
        <v>873</v>
      </c>
    </row>
    <row r="881" customFormat="1" ht="18" spans="1:16">
      <c r="A881" s="10">
        <f t="shared" si="17"/>
        <v>880</v>
      </c>
      <c r="B881" s="31">
        <v>46187</v>
      </c>
      <c r="C881" s="32" t="s">
        <v>1024</v>
      </c>
      <c r="D881" s="120" t="s">
        <v>482</v>
      </c>
      <c r="E881" s="33" t="s">
        <v>42</v>
      </c>
      <c r="F881" s="18" t="s">
        <v>64</v>
      </c>
      <c r="G881" s="18" t="s">
        <v>631</v>
      </c>
      <c r="H881" s="34" t="s">
        <v>86</v>
      </c>
      <c r="I881" s="18" t="s">
        <v>111</v>
      </c>
      <c r="J881" s="31" t="s">
        <v>105</v>
      </c>
      <c r="K881" s="31">
        <v>46187</v>
      </c>
      <c r="L881" s="4"/>
      <c r="M881" s="4"/>
      <c r="N881" s="13" t="s">
        <v>29</v>
      </c>
      <c r="O881" s="35" t="str">
        <f>IF(D881="","",IF(COUNTIF(离职清单!C:C,D881)&gt;0,"已离职","在职"))</f>
        <v>在职</v>
      </c>
      <c r="P881" s="35" t="str">
        <f>IF(AND(O881="在职",J881="是"),COUNTIF(O$2:O881,"在职"),"")</f>
        <v/>
      </c>
    </row>
    <row r="882" customFormat="1" ht="18" spans="1:16">
      <c r="A882" s="14">
        <f t="shared" si="17"/>
        <v>881</v>
      </c>
      <c r="B882" s="31">
        <v>46187</v>
      </c>
      <c r="C882" s="32" t="s">
        <v>1071</v>
      </c>
      <c r="D882" s="120" t="s">
        <v>484</v>
      </c>
      <c r="E882" s="33" t="s">
        <v>42</v>
      </c>
      <c r="F882" s="18" t="s">
        <v>64</v>
      </c>
      <c r="G882" s="18" t="s">
        <v>631</v>
      </c>
      <c r="H882" s="34" t="s">
        <v>86</v>
      </c>
      <c r="I882" s="18" t="s">
        <v>111</v>
      </c>
      <c r="J882" s="31" t="s">
        <v>105</v>
      </c>
      <c r="K882" s="31">
        <v>46187</v>
      </c>
      <c r="L882" s="4"/>
      <c r="M882" s="4"/>
      <c r="N882" s="13" t="s">
        <v>29</v>
      </c>
      <c r="O882" s="35" t="str">
        <f>IF(D882="","",IF(COUNTIF(离职清单!C:C,D882)&gt;0,"已离职","在职"))</f>
        <v>在职</v>
      </c>
      <c r="P882" s="35" t="str">
        <f>IF(AND(O882="在职",J882="是"),COUNTIF(O$2:O882,"在职"),"")</f>
        <v/>
      </c>
    </row>
    <row r="883" customFormat="1" ht="18" spans="1:16">
      <c r="A883" s="10">
        <f t="shared" si="17"/>
        <v>882</v>
      </c>
      <c r="B883" s="31">
        <v>46187</v>
      </c>
      <c r="C883" s="32" t="s">
        <v>1019</v>
      </c>
      <c r="D883" s="120" t="s">
        <v>486</v>
      </c>
      <c r="E883" s="33" t="s">
        <v>42</v>
      </c>
      <c r="F883" s="18" t="s">
        <v>64</v>
      </c>
      <c r="G883" s="18" t="s">
        <v>103</v>
      </c>
      <c r="H883" s="34" t="s">
        <v>86</v>
      </c>
      <c r="I883" s="18" t="s">
        <v>104</v>
      </c>
      <c r="J883" s="31" t="s">
        <v>105</v>
      </c>
      <c r="K883" s="31">
        <v>46187</v>
      </c>
      <c r="L883" s="4"/>
      <c r="M883" s="4"/>
      <c r="N883" s="13" t="s">
        <v>29</v>
      </c>
      <c r="O883" s="35" t="str">
        <f>IF(D883="","",IF(COUNTIF(离职清单!C:C,D883)&gt;0,"已离职","在职"))</f>
        <v>在职</v>
      </c>
      <c r="P883" s="35" t="str">
        <f>IF(AND(O883="在职",J883="是"),COUNTIF(O$2:O883,"在职"),"")</f>
        <v/>
      </c>
    </row>
    <row r="884" customFormat="1" ht="18" spans="1:16">
      <c r="A884" s="14">
        <f t="shared" si="17"/>
        <v>883</v>
      </c>
      <c r="B884" s="31">
        <v>46187</v>
      </c>
      <c r="C884" s="32" t="s">
        <v>1072</v>
      </c>
      <c r="D884" s="120" t="s">
        <v>488</v>
      </c>
      <c r="E884" s="33" t="s">
        <v>42</v>
      </c>
      <c r="F884" s="18" t="s">
        <v>64</v>
      </c>
      <c r="G884" s="18" t="s">
        <v>103</v>
      </c>
      <c r="H884" s="34" t="s">
        <v>86</v>
      </c>
      <c r="I884" s="18" t="s">
        <v>104</v>
      </c>
      <c r="J884" s="31" t="s">
        <v>105</v>
      </c>
      <c r="K884" s="31">
        <v>46187</v>
      </c>
      <c r="L884" s="4"/>
      <c r="M884" s="4"/>
      <c r="N884" s="13" t="s">
        <v>29</v>
      </c>
      <c r="O884" s="35" t="str">
        <f>IF(D884="","",IF(COUNTIF(离职清单!C:C,D884)&gt;0,"已离职","在职"))</f>
        <v>在职</v>
      </c>
      <c r="P884" s="35" t="str">
        <f>IF(AND(O884="在职",J884="是"),COUNTIF(O$2:O884,"在职"),"")</f>
        <v/>
      </c>
    </row>
    <row r="885" customFormat="1" ht="18" spans="1:16">
      <c r="A885" s="10">
        <f t="shared" si="17"/>
        <v>884</v>
      </c>
      <c r="B885" s="31">
        <v>46187</v>
      </c>
      <c r="C885" s="32" t="s">
        <v>1073</v>
      </c>
      <c r="D885" s="120" t="s">
        <v>490</v>
      </c>
      <c r="E885" s="33" t="s">
        <v>42</v>
      </c>
      <c r="F885" s="18" t="s">
        <v>64</v>
      </c>
      <c r="G885" s="18" t="s">
        <v>103</v>
      </c>
      <c r="H885" s="34" t="s">
        <v>86</v>
      </c>
      <c r="I885" s="18" t="s">
        <v>104</v>
      </c>
      <c r="J885" s="31" t="s">
        <v>105</v>
      </c>
      <c r="K885" s="31">
        <v>46187</v>
      </c>
      <c r="L885" s="4"/>
      <c r="M885" s="4"/>
      <c r="N885" s="13" t="s">
        <v>29</v>
      </c>
      <c r="O885" s="35" t="str">
        <f>IF(D885="","",IF(COUNTIF(离职清单!C:C,D885)&gt;0,"已离职","在职"))</f>
        <v>在职</v>
      </c>
      <c r="P885" s="35" t="str">
        <f>IF(AND(O885="在职",J885="是"),COUNTIF(O$2:O885,"在职"),"")</f>
        <v/>
      </c>
    </row>
    <row r="886" customFormat="1" ht="18" spans="1:16">
      <c r="A886" s="14">
        <f t="shared" si="17"/>
        <v>885</v>
      </c>
      <c r="B886" s="31">
        <v>46187</v>
      </c>
      <c r="C886" s="32" t="s">
        <v>1074</v>
      </c>
      <c r="D886" s="120" t="s">
        <v>492</v>
      </c>
      <c r="E886" s="33" t="s">
        <v>73</v>
      </c>
      <c r="F886" s="18" t="s">
        <v>64</v>
      </c>
      <c r="G886" s="18" t="s">
        <v>148</v>
      </c>
      <c r="H886" s="34" t="s">
        <v>86</v>
      </c>
      <c r="I886" s="18" t="s">
        <v>104</v>
      </c>
      <c r="J886" s="31" t="s">
        <v>114</v>
      </c>
      <c r="K886" s="31">
        <v>46187</v>
      </c>
      <c r="L886" s="4"/>
      <c r="M886" s="4"/>
      <c r="N886" s="13" t="s">
        <v>29</v>
      </c>
      <c r="O886" s="35" t="str">
        <f>IF(D886="","",IF(COUNTIF(离职清单!C:C,D886)&gt;0,"已离职","在职"))</f>
        <v>在职</v>
      </c>
      <c r="P886" s="35">
        <f>IF(AND(O886="在职",J886="是"),COUNTIF(O$2:O886,"在职"),"")</f>
        <v>879</v>
      </c>
    </row>
    <row r="887" customFormat="1" ht="18" spans="1:16">
      <c r="A887" s="10">
        <f t="shared" si="17"/>
        <v>886</v>
      </c>
      <c r="B887" s="31">
        <v>46187</v>
      </c>
      <c r="C887" s="32" t="s">
        <v>1075</v>
      </c>
      <c r="D887" s="120" t="s">
        <v>477</v>
      </c>
      <c r="E887" s="33" t="s">
        <v>43</v>
      </c>
      <c r="F887" s="18" t="s">
        <v>64</v>
      </c>
      <c r="G887" s="18" t="s">
        <v>179</v>
      </c>
      <c r="H887" s="34" t="s">
        <v>86</v>
      </c>
      <c r="I887" s="18" t="s">
        <v>111</v>
      </c>
      <c r="J887" s="31" t="s">
        <v>105</v>
      </c>
      <c r="K887" s="31">
        <v>46187</v>
      </c>
      <c r="L887" s="4"/>
      <c r="M887" s="4"/>
      <c r="N887" s="13" t="s">
        <v>29</v>
      </c>
      <c r="O887" s="35" t="str">
        <f>IF(D887="","",IF(COUNTIF(离职清单!C:C,D887)&gt;0,"已离职","在职"))</f>
        <v>在职</v>
      </c>
      <c r="P887" s="35" t="str">
        <f>IF(AND(O887="在职",J887="是"),COUNTIF(O$2:O887,"在职"),"")</f>
        <v/>
      </c>
    </row>
    <row r="888" customFormat="1" ht="18" spans="1:16">
      <c r="A888" s="14">
        <f t="shared" si="17"/>
        <v>887</v>
      </c>
      <c r="B888" s="31">
        <v>46187</v>
      </c>
      <c r="C888" s="32" t="s">
        <v>1076</v>
      </c>
      <c r="D888" s="120" t="s">
        <v>478</v>
      </c>
      <c r="E888" s="33" t="s">
        <v>43</v>
      </c>
      <c r="F888" s="18" t="s">
        <v>64</v>
      </c>
      <c r="G888" s="18" t="s">
        <v>179</v>
      </c>
      <c r="H888" s="34" t="s">
        <v>86</v>
      </c>
      <c r="I888" s="18" t="s">
        <v>104</v>
      </c>
      <c r="J888" s="31" t="s">
        <v>114</v>
      </c>
      <c r="K888" s="31">
        <v>46187</v>
      </c>
      <c r="L888" s="4"/>
      <c r="M888" s="4"/>
      <c r="N888" s="13" t="s">
        <v>29</v>
      </c>
      <c r="O888" s="35" t="str">
        <f>IF(D888="","",IF(COUNTIF(离职清单!C:C,D888)&gt;0,"已离职","在职"))</f>
        <v>在职</v>
      </c>
      <c r="P888" s="35">
        <f>IF(AND(O888="在职",J888="是"),COUNTIF(O$2:O888,"在职"),"")</f>
        <v>881</v>
      </c>
    </row>
    <row r="889" customFormat="1" ht="18" spans="1:16">
      <c r="A889" s="10">
        <f t="shared" si="17"/>
        <v>888</v>
      </c>
      <c r="B889" s="31">
        <v>46187</v>
      </c>
      <c r="C889" s="32" t="s">
        <v>1077</v>
      </c>
      <c r="D889" s="120" t="s">
        <v>480</v>
      </c>
      <c r="E889" s="33" t="s">
        <v>74</v>
      </c>
      <c r="F889" s="18" t="s">
        <v>64</v>
      </c>
      <c r="G889" s="18" t="s">
        <v>179</v>
      </c>
      <c r="H889" s="34" t="s">
        <v>86</v>
      </c>
      <c r="I889" s="18" t="s">
        <v>104</v>
      </c>
      <c r="J889" s="31" t="s">
        <v>114</v>
      </c>
      <c r="K889" s="31">
        <v>46187</v>
      </c>
      <c r="L889" s="4"/>
      <c r="M889" s="4"/>
      <c r="N889" s="13" t="s">
        <v>29</v>
      </c>
      <c r="O889" s="35" t="str">
        <f>IF(D889="","",IF(COUNTIF(离职清单!C:C,D889)&gt;0,"已离职","在职"))</f>
        <v>在职</v>
      </c>
      <c r="P889" s="35">
        <f>IF(AND(O889="在职",J889="是"),COUNTIF(O$2:O889,"在职"),"")</f>
        <v>882</v>
      </c>
    </row>
    <row r="890" customFormat="1" ht="18" spans="1:16">
      <c r="A890" s="14">
        <f t="shared" si="17"/>
        <v>889</v>
      </c>
      <c r="B890" s="31">
        <v>46187</v>
      </c>
      <c r="C890" s="32" t="s">
        <v>1078</v>
      </c>
      <c r="D890" s="120" t="s">
        <v>482</v>
      </c>
      <c r="E890" s="33" t="s">
        <v>42</v>
      </c>
      <c r="F890" s="18" t="s">
        <v>64</v>
      </c>
      <c r="G890" s="18" t="s">
        <v>179</v>
      </c>
      <c r="H890" s="34" t="s">
        <v>86</v>
      </c>
      <c r="I890" s="18" t="s">
        <v>104</v>
      </c>
      <c r="J890" s="31" t="s">
        <v>114</v>
      </c>
      <c r="K890" s="31">
        <v>46187</v>
      </c>
      <c r="L890" s="4"/>
      <c r="M890" s="4"/>
      <c r="N890" s="13" t="s">
        <v>29</v>
      </c>
      <c r="O890" s="35" t="str">
        <f>IF(D890="","",IF(COUNTIF(离职清单!C:C,D890)&gt;0,"已离职","在职"))</f>
        <v>在职</v>
      </c>
      <c r="P890" s="35">
        <f>IF(AND(O890="在职",J890="是"),COUNTIF(O$2:O890,"在职"),"")</f>
        <v>883</v>
      </c>
    </row>
    <row r="891" customFormat="1" ht="18" spans="1:16">
      <c r="A891" s="10">
        <f t="shared" si="17"/>
        <v>890</v>
      </c>
      <c r="B891" s="31">
        <v>46187</v>
      </c>
      <c r="C891" s="32" t="s">
        <v>859</v>
      </c>
      <c r="D891" s="120" t="s">
        <v>484</v>
      </c>
      <c r="E891" s="33" t="s">
        <v>42</v>
      </c>
      <c r="F891" s="18" t="s">
        <v>64</v>
      </c>
      <c r="G891" s="18" t="s">
        <v>179</v>
      </c>
      <c r="H891" s="34" t="s">
        <v>86</v>
      </c>
      <c r="I891" s="18" t="s">
        <v>104</v>
      </c>
      <c r="J891" s="31" t="s">
        <v>114</v>
      </c>
      <c r="K891" s="31">
        <v>46187</v>
      </c>
      <c r="L891" s="4"/>
      <c r="M891" s="4"/>
      <c r="N891" s="13" t="s">
        <v>29</v>
      </c>
      <c r="O891" s="35" t="str">
        <f>IF(D891="","",IF(COUNTIF(离职清单!C:C,D891)&gt;0,"已离职","在职"))</f>
        <v>在职</v>
      </c>
      <c r="P891" s="35">
        <f>IF(AND(O891="在职",J891="是"),COUNTIF(O$2:O891,"在职"),"")</f>
        <v>884</v>
      </c>
    </row>
    <row r="892" customFormat="1" ht="18" spans="1:16">
      <c r="A892" s="10">
        <f t="shared" ref="A892:A909" si="18">IF(B892&lt;&gt;"",ROW()-1,"")</f>
        <v>891</v>
      </c>
      <c r="B892" s="31">
        <v>46187</v>
      </c>
      <c r="C892" s="32" t="s">
        <v>1079</v>
      </c>
      <c r="D892" s="120" t="s">
        <v>486</v>
      </c>
      <c r="E892" s="33" t="s">
        <v>43</v>
      </c>
      <c r="F892" s="18" t="s">
        <v>64</v>
      </c>
      <c r="G892" s="18" t="s">
        <v>179</v>
      </c>
      <c r="H892" s="34" t="s">
        <v>86</v>
      </c>
      <c r="I892" s="18" t="s">
        <v>104</v>
      </c>
      <c r="J892" s="31" t="s">
        <v>105</v>
      </c>
      <c r="K892" s="31">
        <v>46187</v>
      </c>
      <c r="L892" s="4"/>
      <c r="M892" s="4"/>
      <c r="N892" s="13" t="s">
        <v>29</v>
      </c>
      <c r="O892" s="35" t="str">
        <f>IF(D892="","",IF(COUNTIF(离职清单!C:C,D892)&gt;0,"已离职","在职"))</f>
        <v>在职</v>
      </c>
      <c r="P892" s="35" t="str">
        <f>IF(AND(O892="在职",J892="是"),COUNTIF(O$2:O892,"在职"),"")</f>
        <v/>
      </c>
    </row>
    <row r="893" customFormat="1" ht="18" spans="1:16">
      <c r="A893" s="14">
        <f t="shared" si="18"/>
        <v>892</v>
      </c>
      <c r="B893" s="31">
        <v>46187</v>
      </c>
      <c r="C893" s="32" t="s">
        <v>1080</v>
      </c>
      <c r="D893" s="120" t="s">
        <v>488</v>
      </c>
      <c r="E893" s="33" t="s">
        <v>42</v>
      </c>
      <c r="F893" s="18" t="s">
        <v>64</v>
      </c>
      <c r="G893" s="18" t="s">
        <v>179</v>
      </c>
      <c r="H893" s="34" t="s">
        <v>86</v>
      </c>
      <c r="I893" s="18" t="s">
        <v>111</v>
      </c>
      <c r="J893" s="31" t="s">
        <v>105</v>
      </c>
      <c r="K893" s="31">
        <v>46187</v>
      </c>
      <c r="L893" s="4"/>
      <c r="M893" s="4"/>
      <c r="N893" s="13" t="s">
        <v>29</v>
      </c>
      <c r="O893" s="35" t="str">
        <f>IF(D893="","",IF(COUNTIF(离职清单!C:C,D893)&gt;0,"已离职","在职"))</f>
        <v>在职</v>
      </c>
      <c r="P893" s="35" t="str">
        <f>IF(AND(O893="在职",J893="是"),COUNTIF(O$2:O893,"在职"),"")</f>
        <v/>
      </c>
    </row>
    <row r="894" customFormat="1" ht="18" spans="1:16">
      <c r="A894" s="10">
        <f t="shared" si="18"/>
        <v>893</v>
      </c>
      <c r="B894" s="31">
        <v>46187</v>
      </c>
      <c r="C894" s="32" t="s">
        <v>1081</v>
      </c>
      <c r="D894" s="120" t="s">
        <v>490</v>
      </c>
      <c r="E894" s="33" t="s">
        <v>42</v>
      </c>
      <c r="F894" s="18" t="s">
        <v>64</v>
      </c>
      <c r="G894" s="18" t="s">
        <v>179</v>
      </c>
      <c r="H894" s="34" t="s">
        <v>86</v>
      </c>
      <c r="I894" s="18" t="s">
        <v>104</v>
      </c>
      <c r="J894" s="31" t="s">
        <v>114</v>
      </c>
      <c r="K894" s="31">
        <v>46187</v>
      </c>
      <c r="L894" s="4"/>
      <c r="M894" s="4"/>
      <c r="N894" s="13" t="s">
        <v>29</v>
      </c>
      <c r="O894" s="35" t="str">
        <f>IF(D894="","",IF(COUNTIF(离职清单!C:C,D894)&gt;0,"已离职","在职"))</f>
        <v>在职</v>
      </c>
      <c r="P894" s="35">
        <f>IF(AND(O894="在职",J894="是"),COUNTIF(O$2:O894,"在职"),"")</f>
        <v>887</v>
      </c>
    </row>
    <row r="895" customFormat="1" ht="18" spans="1:16">
      <c r="A895" s="14">
        <f t="shared" si="18"/>
        <v>894</v>
      </c>
      <c r="B895" s="31">
        <v>46187</v>
      </c>
      <c r="C895" s="32" t="s">
        <v>1082</v>
      </c>
      <c r="D895" s="120" t="s">
        <v>492</v>
      </c>
      <c r="E895" s="33" t="s">
        <v>42</v>
      </c>
      <c r="F895" s="18" t="s">
        <v>64</v>
      </c>
      <c r="G895" s="18" t="s">
        <v>179</v>
      </c>
      <c r="H895" s="34" t="s">
        <v>86</v>
      </c>
      <c r="I895" s="18" t="s">
        <v>104</v>
      </c>
      <c r="J895" s="31" t="s">
        <v>114</v>
      </c>
      <c r="K895" s="31">
        <v>46187</v>
      </c>
      <c r="L895" s="4"/>
      <c r="M895" s="4"/>
      <c r="N895" s="13" t="s">
        <v>29</v>
      </c>
      <c r="O895" s="35" t="str">
        <f>IF(D895="","",IF(COUNTIF(离职清单!C:C,D895)&gt;0,"已离职","在职"))</f>
        <v>在职</v>
      </c>
      <c r="P895" s="35">
        <f>IF(AND(O895="在职",J895="是"),COUNTIF(O$2:O895,"在职"),"")</f>
        <v>888</v>
      </c>
    </row>
    <row r="896" customFormat="1" ht="18" spans="1:16">
      <c r="A896" s="10">
        <f t="shared" si="18"/>
        <v>895</v>
      </c>
      <c r="B896" s="31">
        <v>46187</v>
      </c>
      <c r="C896" s="32" t="s">
        <v>1083</v>
      </c>
      <c r="D896" s="120" t="s">
        <v>477</v>
      </c>
      <c r="E896" s="33" t="s">
        <v>42</v>
      </c>
      <c r="F896" s="18" t="s">
        <v>64</v>
      </c>
      <c r="G896" s="18" t="s">
        <v>179</v>
      </c>
      <c r="H896" s="34" t="s">
        <v>86</v>
      </c>
      <c r="I896" s="18" t="s">
        <v>104</v>
      </c>
      <c r="J896" s="31" t="s">
        <v>114</v>
      </c>
      <c r="K896" s="31">
        <v>46187</v>
      </c>
      <c r="L896" s="4"/>
      <c r="M896" s="4"/>
      <c r="N896" s="13" t="s">
        <v>29</v>
      </c>
      <c r="O896" s="35" t="str">
        <f>IF(D896="","",IF(COUNTIF(离职清单!C:C,D896)&gt;0,"已离职","在职"))</f>
        <v>在职</v>
      </c>
      <c r="P896" s="35">
        <f>IF(AND(O896="在职",J896="是"),COUNTIF(O$2:O896,"在职"),"")</f>
        <v>889</v>
      </c>
    </row>
    <row r="897" customFormat="1" ht="18" spans="1:16">
      <c r="A897" s="14">
        <f t="shared" si="18"/>
        <v>896</v>
      </c>
      <c r="B897" s="31">
        <v>46187</v>
      </c>
      <c r="C897" s="32" t="s">
        <v>1084</v>
      </c>
      <c r="D897" s="120" t="s">
        <v>477</v>
      </c>
      <c r="E897" s="33" t="s">
        <v>42</v>
      </c>
      <c r="F897" s="18" t="s">
        <v>64</v>
      </c>
      <c r="G897" s="18" t="s">
        <v>179</v>
      </c>
      <c r="H897" s="34" t="s">
        <v>86</v>
      </c>
      <c r="I897" s="18" t="s">
        <v>104</v>
      </c>
      <c r="J897" s="31" t="s">
        <v>114</v>
      </c>
      <c r="K897" s="31">
        <v>46187</v>
      </c>
      <c r="L897" s="4"/>
      <c r="M897" s="4"/>
      <c r="N897" s="13" t="s">
        <v>29</v>
      </c>
      <c r="O897" s="35" t="str">
        <f>IF(D897="","",IF(COUNTIF(离职清单!C:C,D897)&gt;0,"已离职","在职"))</f>
        <v>在职</v>
      </c>
      <c r="P897" s="35">
        <f>IF(AND(O897="在职",J897="是"),COUNTIF(O$2:O897,"在职"),"")</f>
        <v>890</v>
      </c>
    </row>
    <row r="898" customFormat="1" ht="18" spans="1:16">
      <c r="A898" s="10">
        <f t="shared" si="18"/>
        <v>897</v>
      </c>
      <c r="B898" s="31">
        <v>46187</v>
      </c>
      <c r="C898" s="32" t="s">
        <v>1085</v>
      </c>
      <c r="D898" s="120" t="s">
        <v>478</v>
      </c>
      <c r="E898" s="33" t="s">
        <v>42</v>
      </c>
      <c r="F898" s="18" t="s">
        <v>64</v>
      </c>
      <c r="G898" s="18" t="s">
        <v>179</v>
      </c>
      <c r="H898" s="34" t="s">
        <v>86</v>
      </c>
      <c r="I898" s="18" t="s">
        <v>111</v>
      </c>
      <c r="J898" s="31" t="s">
        <v>105</v>
      </c>
      <c r="K898" s="31">
        <v>46187</v>
      </c>
      <c r="L898" s="4"/>
      <c r="M898" s="4"/>
      <c r="N898" s="13" t="s">
        <v>29</v>
      </c>
      <c r="O898" s="35" t="str">
        <f>IF(D898="","",IF(COUNTIF(离职清单!C:C,D898)&gt;0,"已离职","在职"))</f>
        <v>在职</v>
      </c>
      <c r="P898" s="35" t="str">
        <f>IF(AND(O898="在职",J898="是"),COUNTIF(O$2:O898,"在职"),"")</f>
        <v/>
      </c>
    </row>
    <row r="899" customFormat="1" ht="18" spans="1:16">
      <c r="A899" s="14">
        <f t="shared" si="18"/>
        <v>898</v>
      </c>
      <c r="B899" s="31">
        <v>46187</v>
      </c>
      <c r="C899" s="32" t="s">
        <v>1086</v>
      </c>
      <c r="D899" s="120" t="s">
        <v>480</v>
      </c>
      <c r="E899" s="33" t="s">
        <v>42</v>
      </c>
      <c r="F899" s="18" t="s">
        <v>64</v>
      </c>
      <c r="G899" s="18" t="s">
        <v>179</v>
      </c>
      <c r="H899" s="34" t="s">
        <v>86</v>
      </c>
      <c r="I899" s="18" t="s">
        <v>111</v>
      </c>
      <c r="J899" s="31" t="s">
        <v>105</v>
      </c>
      <c r="K899" s="31">
        <v>46187</v>
      </c>
      <c r="L899" s="4"/>
      <c r="M899" s="4"/>
      <c r="N899" s="13" t="s">
        <v>29</v>
      </c>
      <c r="O899" s="35" t="str">
        <f>IF(D899="","",IF(COUNTIF(离职清单!C:C,D899)&gt;0,"已离职","在职"))</f>
        <v>在职</v>
      </c>
      <c r="P899" s="35" t="str">
        <f>IF(AND(O899="在职",J899="是"),COUNTIF(O$2:O899,"在职"),"")</f>
        <v/>
      </c>
    </row>
    <row r="900" customFormat="1" ht="18" spans="1:16">
      <c r="A900" s="10">
        <f t="shared" si="18"/>
        <v>899</v>
      </c>
      <c r="B900" s="31">
        <v>46187</v>
      </c>
      <c r="C900" s="32" t="s">
        <v>1087</v>
      </c>
      <c r="D900" s="120" t="s">
        <v>482</v>
      </c>
      <c r="E900" s="33" t="s">
        <v>42</v>
      </c>
      <c r="F900" s="18" t="s">
        <v>64</v>
      </c>
      <c r="G900" s="18" t="s">
        <v>179</v>
      </c>
      <c r="H900" s="34" t="s">
        <v>86</v>
      </c>
      <c r="I900" s="18" t="s">
        <v>104</v>
      </c>
      <c r="J900" s="31" t="s">
        <v>114</v>
      </c>
      <c r="K900" s="31">
        <v>46187</v>
      </c>
      <c r="L900" s="4"/>
      <c r="M900" s="4"/>
      <c r="N900" s="13" t="s">
        <v>29</v>
      </c>
      <c r="O900" s="35" t="str">
        <f>IF(D900="","",IF(COUNTIF(离职清单!C:C,D900)&gt;0,"已离职","在职"))</f>
        <v>在职</v>
      </c>
      <c r="P900" s="35">
        <f>IF(AND(O900="在职",J900="是"),COUNTIF(O$2:O900,"在职"),"")</f>
        <v>893</v>
      </c>
    </row>
    <row r="901" customFormat="1" ht="18" spans="1:16">
      <c r="A901" s="14">
        <f t="shared" si="18"/>
        <v>900</v>
      </c>
      <c r="B901" s="31">
        <v>46187</v>
      </c>
      <c r="C901" s="32" t="s">
        <v>1088</v>
      </c>
      <c r="D901" s="120" t="s">
        <v>484</v>
      </c>
      <c r="E901" s="33" t="s">
        <v>42</v>
      </c>
      <c r="F901" s="18" t="s">
        <v>64</v>
      </c>
      <c r="G901" s="18" t="s">
        <v>179</v>
      </c>
      <c r="H901" s="34" t="s">
        <v>86</v>
      </c>
      <c r="I901" s="18" t="s">
        <v>111</v>
      </c>
      <c r="J901" s="31" t="s">
        <v>105</v>
      </c>
      <c r="K901" s="31">
        <v>46187</v>
      </c>
      <c r="L901" s="4"/>
      <c r="M901" s="4"/>
      <c r="N901" s="13" t="s">
        <v>29</v>
      </c>
      <c r="O901" s="35" t="str">
        <f>IF(D901="","",IF(COUNTIF(离职清单!C:C,D901)&gt;0,"已离职","在职"))</f>
        <v>在职</v>
      </c>
      <c r="P901" s="35" t="str">
        <f>IF(AND(O901="在职",J901="是"),COUNTIF(O$2:O901,"在职"),"")</f>
        <v/>
      </c>
    </row>
    <row r="902" customFormat="1" ht="18" spans="1:16">
      <c r="A902" s="10">
        <f t="shared" si="18"/>
        <v>901</v>
      </c>
      <c r="B902" s="31">
        <v>46187</v>
      </c>
      <c r="C902" s="32" t="s">
        <v>1089</v>
      </c>
      <c r="D902" s="120" t="s">
        <v>486</v>
      </c>
      <c r="E902" s="33" t="s">
        <v>42</v>
      </c>
      <c r="F902" s="18" t="s">
        <v>64</v>
      </c>
      <c r="G902" s="18" t="s">
        <v>179</v>
      </c>
      <c r="H902" s="34" t="s">
        <v>86</v>
      </c>
      <c r="I902" s="18" t="s">
        <v>111</v>
      </c>
      <c r="J902" s="31" t="s">
        <v>105</v>
      </c>
      <c r="K902" s="31">
        <v>46187</v>
      </c>
      <c r="L902" s="4"/>
      <c r="M902" s="4"/>
      <c r="N902" s="13" t="s">
        <v>29</v>
      </c>
      <c r="O902" s="35" t="str">
        <f>IF(D902="","",IF(COUNTIF(离职清单!C:C,D902)&gt;0,"已离职","在职"))</f>
        <v>在职</v>
      </c>
      <c r="P902" s="35" t="str">
        <f>IF(AND(O902="在职",J902="是"),COUNTIF(O$2:O902,"在职"),"")</f>
        <v/>
      </c>
    </row>
    <row r="903" customFormat="1" ht="18" spans="1:16">
      <c r="A903" s="14">
        <f t="shared" si="18"/>
        <v>902</v>
      </c>
      <c r="B903" s="31">
        <v>46187</v>
      </c>
      <c r="C903" s="32" t="s">
        <v>1090</v>
      </c>
      <c r="D903" s="120" t="s">
        <v>488</v>
      </c>
      <c r="E903" s="33" t="s">
        <v>42</v>
      </c>
      <c r="F903" s="18" t="s">
        <v>64</v>
      </c>
      <c r="G903" s="18" t="s">
        <v>179</v>
      </c>
      <c r="H903" s="34" t="s">
        <v>86</v>
      </c>
      <c r="I903" s="18" t="s">
        <v>104</v>
      </c>
      <c r="J903" s="31" t="s">
        <v>114</v>
      </c>
      <c r="K903" s="31">
        <v>46187</v>
      </c>
      <c r="L903" s="4"/>
      <c r="M903" s="4"/>
      <c r="N903" s="13" t="s">
        <v>29</v>
      </c>
      <c r="O903" s="35" t="str">
        <f>IF(D903="","",IF(COUNTIF(离职清单!C:C,D903)&gt;0,"已离职","在职"))</f>
        <v>在职</v>
      </c>
      <c r="P903" s="35">
        <f>IF(AND(O903="在职",J903="是"),COUNTIF(O$2:O903,"在职"),"")</f>
        <v>896</v>
      </c>
    </row>
    <row r="904" customFormat="1" ht="18" spans="1:16">
      <c r="A904" s="10">
        <f t="shared" si="18"/>
        <v>903</v>
      </c>
      <c r="B904" s="31">
        <v>46187</v>
      </c>
      <c r="C904" s="32" t="s">
        <v>1091</v>
      </c>
      <c r="D904" s="120" t="s">
        <v>490</v>
      </c>
      <c r="E904" s="33" t="s">
        <v>42</v>
      </c>
      <c r="F904" s="18" t="s">
        <v>64</v>
      </c>
      <c r="G904" s="18" t="s">
        <v>179</v>
      </c>
      <c r="H904" s="34" t="s">
        <v>86</v>
      </c>
      <c r="I904" s="18" t="s">
        <v>104</v>
      </c>
      <c r="J904" s="31" t="s">
        <v>114</v>
      </c>
      <c r="K904" s="31">
        <v>46187</v>
      </c>
      <c r="L904" s="4"/>
      <c r="M904" s="4"/>
      <c r="N904" s="13" t="s">
        <v>29</v>
      </c>
      <c r="O904" s="35" t="str">
        <f>IF(D904="","",IF(COUNTIF(离职清单!C:C,D904)&gt;0,"已离职","在职"))</f>
        <v>在职</v>
      </c>
      <c r="P904" s="35">
        <f>IF(AND(O904="在职",J904="是"),COUNTIF(O$2:O904,"在职"),"")</f>
        <v>897</v>
      </c>
    </row>
    <row r="905" customFormat="1" ht="18" spans="1:16">
      <c r="A905" s="14">
        <f t="shared" si="18"/>
        <v>904</v>
      </c>
      <c r="B905" s="31">
        <v>46187</v>
      </c>
      <c r="C905" s="32" t="s">
        <v>1092</v>
      </c>
      <c r="D905" s="120" t="s">
        <v>492</v>
      </c>
      <c r="E905" s="33" t="s">
        <v>42</v>
      </c>
      <c r="F905" s="18" t="s">
        <v>64</v>
      </c>
      <c r="G905" s="18" t="s">
        <v>179</v>
      </c>
      <c r="H905" s="34" t="s">
        <v>86</v>
      </c>
      <c r="I905" s="18" t="s">
        <v>104</v>
      </c>
      <c r="J905" s="31" t="s">
        <v>114</v>
      </c>
      <c r="K905" s="31">
        <v>46187</v>
      </c>
      <c r="L905" s="4"/>
      <c r="M905" s="4"/>
      <c r="N905" s="13" t="s">
        <v>29</v>
      </c>
      <c r="O905" s="35" t="str">
        <f>IF(D905="","",IF(COUNTIF(离职清单!C:C,D905)&gt;0,"已离职","在职"))</f>
        <v>在职</v>
      </c>
      <c r="P905" s="35">
        <f>IF(AND(O905="在职",J905="是"),COUNTIF(O$2:O905,"在职"),"")</f>
        <v>898</v>
      </c>
    </row>
    <row r="906" customFormat="1" ht="18" spans="1:16">
      <c r="A906" s="10">
        <f t="shared" si="18"/>
        <v>905</v>
      </c>
      <c r="B906" s="31">
        <v>46187</v>
      </c>
      <c r="C906" s="32" t="s">
        <v>1093</v>
      </c>
      <c r="D906" s="120" t="s">
        <v>477</v>
      </c>
      <c r="E906" s="33" t="s">
        <v>43</v>
      </c>
      <c r="F906" s="18" t="s">
        <v>64</v>
      </c>
      <c r="G906" s="18" t="s">
        <v>179</v>
      </c>
      <c r="H906" s="34" t="s">
        <v>86</v>
      </c>
      <c r="I906" s="18" t="s">
        <v>111</v>
      </c>
      <c r="J906" s="31" t="s">
        <v>105</v>
      </c>
      <c r="K906" s="31">
        <v>46187</v>
      </c>
      <c r="L906" s="4"/>
      <c r="M906" s="4"/>
      <c r="N906" s="13" t="s">
        <v>29</v>
      </c>
      <c r="O906" s="35" t="str">
        <f>IF(D906="","",IF(COUNTIF(离职清单!C:C,D906)&gt;0,"已离职","在职"))</f>
        <v>在职</v>
      </c>
      <c r="P906" s="35" t="str">
        <f>IF(AND(O906="在职",J906="是"),COUNTIF(O$2:O906,"在职"),"")</f>
        <v/>
      </c>
    </row>
    <row r="907" customFormat="1" ht="18" spans="1:16">
      <c r="A907" s="14">
        <f t="shared" si="18"/>
        <v>906</v>
      </c>
      <c r="B907" s="31">
        <v>46187</v>
      </c>
      <c r="C907" s="32" t="s">
        <v>1094</v>
      </c>
      <c r="D907" s="120" t="s">
        <v>478</v>
      </c>
      <c r="E907" s="33" t="s">
        <v>74</v>
      </c>
      <c r="F907" s="18" t="s">
        <v>64</v>
      </c>
      <c r="G907" s="18" t="s">
        <v>117</v>
      </c>
      <c r="H907" s="34" t="s">
        <v>86</v>
      </c>
      <c r="I907" s="18" t="s">
        <v>104</v>
      </c>
      <c r="J907" s="31" t="s">
        <v>114</v>
      </c>
      <c r="K907" s="31">
        <v>46187</v>
      </c>
      <c r="L907" s="4"/>
      <c r="M907" s="4"/>
      <c r="N907" s="13" t="s">
        <v>29</v>
      </c>
      <c r="O907" s="35" t="str">
        <f>IF(D907="","",IF(COUNTIF(离职清单!C:C,D907)&gt;0,"已离职","在职"))</f>
        <v>在职</v>
      </c>
      <c r="P907" s="35">
        <f>IF(AND(O907="在职",J907="是"),COUNTIF(O$2:O907,"在职"),"")</f>
        <v>900</v>
      </c>
    </row>
    <row r="908" customFormat="1" ht="18" spans="1:16">
      <c r="A908" s="10">
        <f t="shared" si="18"/>
        <v>907</v>
      </c>
      <c r="B908" s="31">
        <v>46187</v>
      </c>
      <c r="C908" s="32" t="s">
        <v>1095</v>
      </c>
      <c r="D908" s="120" t="s">
        <v>480</v>
      </c>
      <c r="E908" s="33" t="s">
        <v>74</v>
      </c>
      <c r="F908" s="18" t="s">
        <v>64</v>
      </c>
      <c r="G908" s="18" t="s">
        <v>179</v>
      </c>
      <c r="H908" s="34" t="s">
        <v>86</v>
      </c>
      <c r="I908" s="18" t="s">
        <v>104</v>
      </c>
      <c r="J908" s="31" t="s">
        <v>114</v>
      </c>
      <c r="K908" s="31">
        <v>46187</v>
      </c>
      <c r="L908" s="4"/>
      <c r="M908" s="4"/>
      <c r="N908" s="13" t="s">
        <v>29</v>
      </c>
      <c r="O908" s="35" t="str">
        <f>IF(D908="","",IF(COUNTIF(离职清单!C:C,D908)&gt;0,"已离职","在职"))</f>
        <v>在职</v>
      </c>
      <c r="P908" s="35">
        <f>IF(AND(O908="在职",J908="是"),COUNTIF(O$2:O908,"在职"),"")</f>
        <v>901</v>
      </c>
    </row>
    <row r="909" customFormat="1" ht="18" spans="1:16">
      <c r="A909" s="14">
        <f t="shared" si="18"/>
        <v>908</v>
      </c>
      <c r="B909" s="31">
        <v>46187</v>
      </c>
      <c r="C909" s="32" t="s">
        <v>1096</v>
      </c>
      <c r="D909" s="120" t="s">
        <v>482</v>
      </c>
      <c r="E909" s="33" t="s">
        <v>74</v>
      </c>
      <c r="F909" s="18" t="s">
        <v>64</v>
      </c>
      <c r="G909" s="18" t="s">
        <v>179</v>
      </c>
      <c r="H909" s="34" t="s">
        <v>86</v>
      </c>
      <c r="I909" s="18" t="s">
        <v>104</v>
      </c>
      <c r="J909" s="31" t="s">
        <v>114</v>
      </c>
      <c r="K909" s="31">
        <v>46187</v>
      </c>
      <c r="L909" s="4"/>
      <c r="M909" s="4"/>
      <c r="N909" s="13" t="s">
        <v>29</v>
      </c>
      <c r="O909" s="35" t="str">
        <f>IF(D909="","",IF(COUNTIF(离职清单!C:C,D909)&gt;0,"已离职","在职"))</f>
        <v>在职</v>
      </c>
      <c r="P909" s="35">
        <f>IF(AND(O909="在职",J909="是"),COUNTIF(O$2:O909,"在职"),"")</f>
        <v>902</v>
      </c>
    </row>
    <row r="910" customFormat="1" ht="18" spans="1:16">
      <c r="A910" s="10">
        <f t="shared" ref="A910:A946" si="19">IF(B910&lt;&gt;"",ROW()-1,"")</f>
        <v>909</v>
      </c>
      <c r="B910" s="31">
        <v>46187</v>
      </c>
      <c r="C910" s="32" t="s">
        <v>1076</v>
      </c>
      <c r="D910" s="120" t="s">
        <v>484</v>
      </c>
      <c r="E910" s="33" t="s">
        <v>74</v>
      </c>
      <c r="F910" s="18" t="s">
        <v>64</v>
      </c>
      <c r="G910" s="18" t="s">
        <v>179</v>
      </c>
      <c r="H910" s="34" t="s">
        <v>86</v>
      </c>
      <c r="I910" s="18" t="s">
        <v>104</v>
      </c>
      <c r="J910" s="31" t="s">
        <v>114</v>
      </c>
      <c r="K910" s="31">
        <v>46187</v>
      </c>
      <c r="L910" s="4"/>
      <c r="M910" s="4"/>
      <c r="N910" s="13" t="s">
        <v>29</v>
      </c>
      <c r="O910" s="35" t="str">
        <f>IF(D910="","",IF(COUNTIF(离职清单!C:C,D910)&gt;0,"已离职","在职"))</f>
        <v>在职</v>
      </c>
      <c r="P910" s="35">
        <f>IF(AND(O910="在职",J910="是"),COUNTIF(O$2:O910,"在职"),"")</f>
        <v>903</v>
      </c>
    </row>
    <row r="911" customFormat="1" ht="18" spans="1:16">
      <c r="A911" s="14">
        <f t="shared" si="19"/>
        <v>910</v>
      </c>
      <c r="B911" s="31">
        <v>46187</v>
      </c>
      <c r="C911" s="32" t="s">
        <v>1097</v>
      </c>
      <c r="D911" s="120" t="s">
        <v>486</v>
      </c>
      <c r="E911" s="33" t="s">
        <v>74</v>
      </c>
      <c r="F911" s="18" t="s">
        <v>190</v>
      </c>
      <c r="G911" s="18" t="s">
        <v>135</v>
      </c>
      <c r="H911" s="34" t="s">
        <v>86</v>
      </c>
      <c r="I911" s="18" t="s">
        <v>104</v>
      </c>
      <c r="J911" s="31" t="s">
        <v>114</v>
      </c>
      <c r="K911" s="31">
        <v>46187</v>
      </c>
      <c r="L911" s="4"/>
      <c r="M911" s="4"/>
      <c r="N911" s="13" t="s">
        <v>29</v>
      </c>
      <c r="O911" s="35" t="str">
        <f>IF(D911="","",IF(COUNTIF(离职清单!C:C,D911)&gt;0,"已离职","在职"))</f>
        <v>在职</v>
      </c>
      <c r="P911" s="35">
        <f>IF(AND(O911="在职",J911="是"),COUNTIF(O$2:O911,"在职"),"")</f>
        <v>904</v>
      </c>
    </row>
    <row r="912" customFormat="1" ht="18" spans="1:16">
      <c r="A912" s="10">
        <f t="shared" si="19"/>
        <v>911</v>
      </c>
      <c r="B912" s="31">
        <v>46187</v>
      </c>
      <c r="C912" s="32" t="s">
        <v>1014</v>
      </c>
      <c r="D912" s="120" t="s">
        <v>488</v>
      </c>
      <c r="E912" s="33" t="s">
        <v>74</v>
      </c>
      <c r="F912" s="18" t="s">
        <v>64</v>
      </c>
      <c r="G912" s="18" t="s">
        <v>135</v>
      </c>
      <c r="H912" s="34" t="s">
        <v>86</v>
      </c>
      <c r="I912" s="18" t="s">
        <v>104</v>
      </c>
      <c r="J912" s="31" t="s">
        <v>114</v>
      </c>
      <c r="K912" s="31">
        <v>46187</v>
      </c>
      <c r="L912" s="4"/>
      <c r="M912" s="4"/>
      <c r="N912" s="13" t="s">
        <v>29</v>
      </c>
      <c r="O912" s="35" t="str">
        <f>IF(D912="","",IF(COUNTIF(离职清单!C:C,D912)&gt;0,"已离职","在职"))</f>
        <v>在职</v>
      </c>
      <c r="P912" s="35">
        <f>IF(AND(O912="在职",J912="是"),COUNTIF(O$2:O912,"在职"),"")</f>
        <v>905</v>
      </c>
    </row>
    <row r="913" customFormat="1" ht="18" spans="1:16">
      <c r="A913" s="14">
        <f t="shared" si="19"/>
        <v>912</v>
      </c>
      <c r="B913" s="31">
        <v>46187</v>
      </c>
      <c r="C913" s="32" t="s">
        <v>1013</v>
      </c>
      <c r="D913" s="120" t="s">
        <v>490</v>
      </c>
      <c r="E913" s="33" t="s">
        <v>74</v>
      </c>
      <c r="F913" s="18" t="s">
        <v>64</v>
      </c>
      <c r="G913" s="18" t="s">
        <v>135</v>
      </c>
      <c r="H913" s="34" t="s">
        <v>86</v>
      </c>
      <c r="I913" s="18" t="s">
        <v>104</v>
      </c>
      <c r="J913" s="31" t="s">
        <v>114</v>
      </c>
      <c r="K913" s="31">
        <v>46187</v>
      </c>
      <c r="L913" s="4"/>
      <c r="M913" s="4"/>
      <c r="N913" s="13" t="s">
        <v>29</v>
      </c>
      <c r="O913" s="35" t="str">
        <f>IF(D913="","",IF(COUNTIF(离职清单!C:C,D913)&gt;0,"已离职","在职"))</f>
        <v>在职</v>
      </c>
      <c r="P913" s="35">
        <f>IF(AND(O913="在职",J913="是"),COUNTIF(O$2:O913,"在职"),"")</f>
        <v>906</v>
      </c>
    </row>
    <row r="914" customFormat="1" ht="18" spans="1:16">
      <c r="A914" s="10">
        <f t="shared" si="19"/>
        <v>913</v>
      </c>
      <c r="B914" s="31">
        <v>46187</v>
      </c>
      <c r="C914" s="32" t="s">
        <v>1098</v>
      </c>
      <c r="D914" s="120" t="s">
        <v>492</v>
      </c>
      <c r="E914" s="33" t="s">
        <v>43</v>
      </c>
      <c r="F914" s="18" t="s">
        <v>64</v>
      </c>
      <c r="G914" s="18" t="s">
        <v>179</v>
      </c>
      <c r="H914" s="34" t="s">
        <v>86</v>
      </c>
      <c r="I914" s="18" t="s">
        <v>111</v>
      </c>
      <c r="J914" s="31" t="s">
        <v>105</v>
      </c>
      <c r="K914" s="31">
        <v>46187</v>
      </c>
      <c r="L914" s="4"/>
      <c r="M914" s="4"/>
      <c r="N914" s="13" t="s">
        <v>29</v>
      </c>
      <c r="O914" s="35" t="str">
        <f>IF(D914="","",IF(COUNTIF(离职清单!C:C,D914)&gt;0,"已离职","在职"))</f>
        <v>在职</v>
      </c>
      <c r="P914" s="35" t="str">
        <f>IF(AND(O914="在职",J914="是"),COUNTIF(O$2:O914,"在职"),"")</f>
        <v/>
      </c>
    </row>
    <row r="915" customFormat="1" ht="18" spans="1:16">
      <c r="A915" s="14">
        <f t="shared" si="19"/>
        <v>914</v>
      </c>
      <c r="B915" s="31">
        <v>46187</v>
      </c>
      <c r="C915" s="32" t="s">
        <v>1099</v>
      </c>
      <c r="D915" s="120" t="s">
        <v>477</v>
      </c>
      <c r="E915" s="33" t="s">
        <v>42</v>
      </c>
      <c r="F915" s="18" t="s">
        <v>64</v>
      </c>
      <c r="G915" s="18" t="s">
        <v>179</v>
      </c>
      <c r="H915" s="34" t="s">
        <v>86</v>
      </c>
      <c r="I915" s="18" t="s">
        <v>104</v>
      </c>
      <c r="J915" s="31" t="s">
        <v>114</v>
      </c>
      <c r="K915" s="31">
        <v>46187</v>
      </c>
      <c r="L915" s="4"/>
      <c r="M915" s="4"/>
      <c r="N915" s="13" t="s">
        <v>29</v>
      </c>
      <c r="O915" s="35" t="str">
        <f>IF(D915="","",IF(COUNTIF(离职清单!C:C,D915)&gt;0,"已离职","在职"))</f>
        <v>在职</v>
      </c>
      <c r="P915" s="35">
        <f>IF(AND(O915="在职",J915="是"),COUNTIF(O$2:O915,"在职"),"")</f>
        <v>908</v>
      </c>
    </row>
    <row r="916" customFormat="1" ht="18" spans="1:16">
      <c r="A916" s="10">
        <f t="shared" si="19"/>
        <v>915</v>
      </c>
      <c r="B916" s="31">
        <v>46187</v>
      </c>
      <c r="C916" s="32" t="s">
        <v>1093</v>
      </c>
      <c r="D916" s="120" t="s">
        <v>478</v>
      </c>
      <c r="E916" s="33" t="s">
        <v>42</v>
      </c>
      <c r="F916" s="18" t="s">
        <v>64</v>
      </c>
      <c r="G916" s="18" t="s">
        <v>179</v>
      </c>
      <c r="H916" s="34" t="s">
        <v>86</v>
      </c>
      <c r="I916" s="18" t="s">
        <v>111</v>
      </c>
      <c r="J916" s="31" t="s">
        <v>105</v>
      </c>
      <c r="K916" s="31">
        <v>46187</v>
      </c>
      <c r="L916" s="4"/>
      <c r="M916" s="4"/>
      <c r="N916" s="13" t="s">
        <v>29</v>
      </c>
      <c r="O916" s="35" t="str">
        <f>IF(D916="","",IF(COUNTIF(离职清单!C:C,D916)&gt;0,"已离职","在职"))</f>
        <v>在职</v>
      </c>
      <c r="P916" s="35" t="str">
        <f>IF(AND(O916="在职",J916="是"),COUNTIF(O$2:O916,"在职"),"")</f>
        <v/>
      </c>
    </row>
    <row r="917" customFormat="1" ht="18" spans="1:16">
      <c r="A917" s="14">
        <f t="shared" si="19"/>
        <v>916</v>
      </c>
      <c r="B917" s="31">
        <v>46187</v>
      </c>
      <c r="C917" s="32" t="s">
        <v>1075</v>
      </c>
      <c r="D917" s="120" t="s">
        <v>480</v>
      </c>
      <c r="E917" s="33" t="s">
        <v>42</v>
      </c>
      <c r="F917" s="18" t="s">
        <v>64</v>
      </c>
      <c r="G917" s="18" t="s">
        <v>179</v>
      </c>
      <c r="H917" s="34" t="s">
        <v>86</v>
      </c>
      <c r="I917" s="18" t="s">
        <v>111</v>
      </c>
      <c r="J917" s="31" t="s">
        <v>105</v>
      </c>
      <c r="K917" s="31">
        <v>46187</v>
      </c>
      <c r="L917" s="4"/>
      <c r="M917" s="4"/>
      <c r="N917" s="13" t="s">
        <v>29</v>
      </c>
      <c r="O917" s="35" t="str">
        <f>IF(D917="","",IF(COUNTIF(离职清单!C:C,D917)&gt;0,"已离职","在职"))</f>
        <v>在职</v>
      </c>
      <c r="P917" s="35" t="str">
        <f>IF(AND(O917="在职",J917="是"),COUNTIF(O$2:O917,"在职"),"")</f>
        <v/>
      </c>
    </row>
    <row r="918" customFormat="1" ht="18" spans="1:16">
      <c r="A918" s="10">
        <f t="shared" si="19"/>
        <v>917</v>
      </c>
      <c r="B918" s="31">
        <v>46174</v>
      </c>
      <c r="C918" s="32" t="s">
        <v>1100</v>
      </c>
      <c r="D918" s="120" t="s">
        <v>482</v>
      </c>
      <c r="E918" s="33" t="s">
        <v>43</v>
      </c>
      <c r="F918" s="18" t="s">
        <v>63</v>
      </c>
      <c r="G918" s="18" t="s">
        <v>148</v>
      </c>
      <c r="H918" s="34" t="s">
        <v>85</v>
      </c>
      <c r="I918" s="18" t="s">
        <v>104</v>
      </c>
      <c r="J918" s="31" t="s">
        <v>105</v>
      </c>
      <c r="K918" s="31"/>
      <c r="L918" s="4"/>
      <c r="M918" s="4"/>
      <c r="N918" s="13" t="s">
        <v>29</v>
      </c>
      <c r="O918" s="35" t="str">
        <f>IF(D918="","",IF(COUNTIF(离职清单!C:C,D918)&gt;0,"已离职","在职"))</f>
        <v>在职</v>
      </c>
      <c r="P918" s="35" t="str">
        <f>IF(AND(O918="在职",J918="是"),COUNTIF(O$2:O918,"在职"),"")</f>
        <v/>
      </c>
    </row>
    <row r="919" customFormat="1" ht="18" spans="1:16">
      <c r="A919" s="14">
        <f t="shared" si="19"/>
        <v>918</v>
      </c>
      <c r="B919" s="31">
        <v>46174</v>
      </c>
      <c r="C919" s="32" t="s">
        <v>1101</v>
      </c>
      <c r="D919" s="120" t="s">
        <v>484</v>
      </c>
      <c r="E919" s="33" t="s">
        <v>43</v>
      </c>
      <c r="F919" s="18" t="s">
        <v>63</v>
      </c>
      <c r="G919" s="18" t="s">
        <v>148</v>
      </c>
      <c r="H919" s="34" t="s">
        <v>85</v>
      </c>
      <c r="I919" s="18" t="s">
        <v>104</v>
      </c>
      <c r="J919" s="31" t="s">
        <v>105</v>
      </c>
      <c r="K919" s="31"/>
      <c r="L919" s="4"/>
      <c r="M919" s="4"/>
      <c r="N919" s="13" t="s">
        <v>29</v>
      </c>
      <c r="O919" s="35" t="str">
        <f>IF(D919="","",IF(COUNTIF(离职清单!C:C,D919)&gt;0,"已离职","在职"))</f>
        <v>在职</v>
      </c>
      <c r="P919" s="35" t="str">
        <f>IF(AND(O919="在职",J919="是"),COUNTIF(O$2:O919,"在职"),"")</f>
        <v/>
      </c>
    </row>
    <row r="920" customFormat="1" ht="18" spans="1:16">
      <c r="A920" s="10">
        <f t="shared" si="19"/>
        <v>919</v>
      </c>
      <c r="B920" s="31">
        <v>46174</v>
      </c>
      <c r="C920" s="32" t="s">
        <v>1102</v>
      </c>
      <c r="D920" s="120" t="s">
        <v>486</v>
      </c>
      <c r="E920" s="33" t="s">
        <v>43</v>
      </c>
      <c r="F920" s="18" t="s">
        <v>64</v>
      </c>
      <c r="G920" s="18" t="s">
        <v>148</v>
      </c>
      <c r="H920" s="34" t="s">
        <v>85</v>
      </c>
      <c r="I920" s="18" t="s">
        <v>104</v>
      </c>
      <c r="J920" s="31" t="s">
        <v>105</v>
      </c>
      <c r="K920" s="31"/>
      <c r="L920" s="4"/>
      <c r="M920" s="4"/>
      <c r="N920" s="13" t="s">
        <v>29</v>
      </c>
      <c r="O920" s="35" t="str">
        <f>IF(D920="","",IF(COUNTIF(离职清单!C:C,D920)&gt;0,"已离职","在职"))</f>
        <v>在职</v>
      </c>
      <c r="P920" s="35" t="str">
        <f>IF(AND(O920="在职",J920="是"),COUNTIF(O$2:O920,"在职"),"")</f>
        <v/>
      </c>
    </row>
    <row r="921" customFormat="1" ht="18" spans="1:16">
      <c r="A921" s="14">
        <f t="shared" si="19"/>
        <v>920</v>
      </c>
      <c r="B921" s="31">
        <v>46174</v>
      </c>
      <c r="C921" s="32" t="s">
        <v>1103</v>
      </c>
      <c r="D921" s="120" t="s">
        <v>488</v>
      </c>
      <c r="E921" s="33" t="s">
        <v>43</v>
      </c>
      <c r="F921" s="18" t="s">
        <v>62</v>
      </c>
      <c r="G921" s="18" t="s">
        <v>148</v>
      </c>
      <c r="H921" s="34" t="s">
        <v>85</v>
      </c>
      <c r="I921" s="18" t="s">
        <v>104</v>
      </c>
      <c r="J921" s="31" t="s">
        <v>114</v>
      </c>
      <c r="K921" s="31">
        <v>46176</v>
      </c>
      <c r="L921" s="4"/>
      <c r="M921" s="4"/>
      <c r="N921" s="13" t="s">
        <v>29</v>
      </c>
      <c r="O921" s="35" t="str">
        <f>IF(D921="","",IF(COUNTIF(离职清单!C:C,D921)&gt;0,"已离职","在职"))</f>
        <v>在职</v>
      </c>
      <c r="P921" s="35">
        <f>IF(AND(O921="在职",J921="是"),COUNTIF(O$2:O921,"在职"),"")</f>
        <v>914</v>
      </c>
    </row>
    <row r="922" customFormat="1" ht="18" spans="1:16">
      <c r="A922" s="10">
        <f t="shared" si="19"/>
        <v>921</v>
      </c>
      <c r="B922" s="31">
        <v>46174</v>
      </c>
      <c r="C922" s="32" t="s">
        <v>1104</v>
      </c>
      <c r="D922" s="120" t="s">
        <v>490</v>
      </c>
      <c r="E922" s="33" t="s">
        <v>43</v>
      </c>
      <c r="F922" s="18" t="s">
        <v>64</v>
      </c>
      <c r="G922" s="18" t="s">
        <v>509</v>
      </c>
      <c r="H922" s="34" t="s">
        <v>85</v>
      </c>
      <c r="I922" s="18" t="s">
        <v>104</v>
      </c>
      <c r="J922" s="31" t="s">
        <v>105</v>
      </c>
      <c r="K922" s="31"/>
      <c r="L922" s="4"/>
      <c r="M922" s="4"/>
      <c r="N922" s="13" t="s">
        <v>29</v>
      </c>
      <c r="O922" s="35" t="str">
        <f>IF(D922="","",IF(COUNTIF(离职清单!C:C,D922)&gt;0,"已离职","在职"))</f>
        <v>在职</v>
      </c>
      <c r="P922" s="35" t="str">
        <f>IF(AND(O922="在职",J922="是"),COUNTIF(O$2:O922,"在职"),"")</f>
        <v/>
      </c>
    </row>
    <row r="923" customFormat="1" ht="18" spans="1:16">
      <c r="A923" s="14">
        <f t="shared" si="19"/>
        <v>922</v>
      </c>
      <c r="B923" s="31">
        <v>46174</v>
      </c>
      <c r="C923" s="32" t="s">
        <v>454</v>
      </c>
      <c r="D923" s="120" t="s">
        <v>492</v>
      </c>
      <c r="E923" s="33" t="s">
        <v>43</v>
      </c>
      <c r="F923" s="18" t="s">
        <v>64</v>
      </c>
      <c r="G923" s="18" t="s">
        <v>148</v>
      </c>
      <c r="H923" s="34" t="s">
        <v>85</v>
      </c>
      <c r="I923" s="18" t="s">
        <v>104</v>
      </c>
      <c r="J923" s="31" t="s">
        <v>105</v>
      </c>
      <c r="K923" s="31"/>
      <c r="L923" s="4"/>
      <c r="M923" s="4"/>
      <c r="N923" s="13" t="s">
        <v>29</v>
      </c>
      <c r="O923" s="35" t="str">
        <f>IF(D923="","",IF(COUNTIF(离职清单!C:C,D923)&gt;0,"已离职","在职"))</f>
        <v>在职</v>
      </c>
      <c r="P923" s="35" t="str">
        <f>IF(AND(O923="在职",J923="是"),COUNTIF(O$2:O923,"在职"),"")</f>
        <v/>
      </c>
    </row>
    <row r="924" customFormat="1" ht="18" spans="1:16">
      <c r="A924" s="10">
        <f t="shared" si="19"/>
        <v>923</v>
      </c>
      <c r="B924" s="31">
        <v>46174</v>
      </c>
      <c r="C924" s="32" t="s">
        <v>1105</v>
      </c>
      <c r="D924" s="120" t="s">
        <v>477</v>
      </c>
      <c r="E924" s="33" t="s">
        <v>43</v>
      </c>
      <c r="F924" s="18" t="s">
        <v>62</v>
      </c>
      <c r="G924" s="18" t="s">
        <v>129</v>
      </c>
      <c r="H924" s="34" t="s">
        <v>85</v>
      </c>
      <c r="I924" s="18" t="s">
        <v>104</v>
      </c>
      <c r="J924" s="31" t="s">
        <v>105</v>
      </c>
      <c r="K924" s="31"/>
      <c r="L924" s="4"/>
      <c r="M924" s="4"/>
      <c r="N924" s="13" t="s">
        <v>29</v>
      </c>
      <c r="O924" s="35" t="str">
        <f>IF(D924="","",IF(COUNTIF(离职清单!C:C,D924)&gt;0,"已离职","在职"))</f>
        <v>在职</v>
      </c>
      <c r="P924" s="35" t="str">
        <f>IF(AND(O924="在职",J924="是"),COUNTIF(O$2:O924,"在职"),"")</f>
        <v/>
      </c>
    </row>
    <row r="925" customFormat="1" ht="18" spans="1:16">
      <c r="A925" s="14">
        <f t="shared" si="19"/>
        <v>924</v>
      </c>
      <c r="B925" s="31">
        <v>46174</v>
      </c>
      <c r="C925" s="32" t="s">
        <v>1106</v>
      </c>
      <c r="D925" s="120" t="s">
        <v>478</v>
      </c>
      <c r="E925" s="33" t="s">
        <v>43</v>
      </c>
      <c r="F925" s="18" t="s">
        <v>62</v>
      </c>
      <c r="G925" s="18" t="s">
        <v>307</v>
      </c>
      <c r="H925" s="34" t="s">
        <v>85</v>
      </c>
      <c r="I925" s="18" t="s">
        <v>104</v>
      </c>
      <c r="J925" s="31" t="s">
        <v>105</v>
      </c>
      <c r="K925" s="31">
        <v>46176</v>
      </c>
      <c r="L925" s="4"/>
      <c r="M925" s="4"/>
      <c r="N925" s="13" t="s">
        <v>29</v>
      </c>
      <c r="O925" s="35" t="str">
        <f>IF(D925="","",IF(COUNTIF(离职清单!C:C,D925)&gt;0,"已离职","在职"))</f>
        <v>在职</v>
      </c>
      <c r="P925" s="35" t="str">
        <f>IF(AND(O925="在职",J925="是"),COUNTIF(O$2:O925,"在职"),"")</f>
        <v/>
      </c>
    </row>
    <row r="926" customFormat="1" ht="18" spans="1:16">
      <c r="A926" s="10">
        <f t="shared" si="19"/>
        <v>925</v>
      </c>
      <c r="B926" s="31">
        <v>46174</v>
      </c>
      <c r="C926" s="32" t="s">
        <v>1107</v>
      </c>
      <c r="D926" s="120" t="s">
        <v>480</v>
      </c>
      <c r="E926" s="33" t="s">
        <v>43</v>
      </c>
      <c r="F926" s="18" t="s">
        <v>63</v>
      </c>
      <c r="G926" s="18" t="s">
        <v>233</v>
      </c>
      <c r="H926" s="34" t="s">
        <v>85</v>
      </c>
      <c r="I926" s="18" t="s">
        <v>104</v>
      </c>
      <c r="J926" s="31" t="s">
        <v>114</v>
      </c>
      <c r="K926" s="31">
        <v>46175</v>
      </c>
      <c r="L926" s="4"/>
      <c r="M926" s="4"/>
      <c r="N926" s="13" t="s">
        <v>29</v>
      </c>
      <c r="O926" s="35" t="str">
        <f>IF(D926="","",IF(COUNTIF(离职清单!C:C,D926)&gt;0,"已离职","在职"))</f>
        <v>在职</v>
      </c>
      <c r="P926" s="35">
        <f>IF(AND(O926="在职",J926="是"),COUNTIF(O$2:O926,"在职"),"")</f>
        <v>919</v>
      </c>
    </row>
    <row r="927" customFormat="1" ht="18" spans="1:16">
      <c r="A927" s="14">
        <f t="shared" si="19"/>
        <v>926</v>
      </c>
      <c r="B927" s="31">
        <v>46174</v>
      </c>
      <c r="C927" s="32" t="s">
        <v>1108</v>
      </c>
      <c r="D927" s="120" t="s">
        <v>482</v>
      </c>
      <c r="E927" s="33" t="s">
        <v>43</v>
      </c>
      <c r="F927" s="18" t="s">
        <v>62</v>
      </c>
      <c r="G927" s="18" t="s">
        <v>129</v>
      </c>
      <c r="H927" s="34" t="s">
        <v>85</v>
      </c>
      <c r="I927" s="18" t="s">
        <v>104</v>
      </c>
      <c r="J927" s="31" t="s">
        <v>105</v>
      </c>
      <c r="K927" s="31">
        <v>46175</v>
      </c>
      <c r="L927" s="4"/>
      <c r="M927" s="4"/>
      <c r="N927" s="13" t="s">
        <v>29</v>
      </c>
      <c r="O927" s="35" t="str">
        <f>IF(D927="","",IF(COUNTIF(离职清单!C:C,D927)&gt;0,"已离职","在职"))</f>
        <v>在职</v>
      </c>
      <c r="P927" s="35" t="str">
        <f>IF(AND(O927="在职",J927="是"),COUNTIF(O$2:O927,"在职"),"")</f>
        <v/>
      </c>
    </row>
    <row r="928" customFormat="1" ht="18" spans="1:16">
      <c r="A928" s="10">
        <f t="shared" si="19"/>
        <v>927</v>
      </c>
      <c r="B928" s="31">
        <v>46174</v>
      </c>
      <c r="C928" s="32" t="s">
        <v>1109</v>
      </c>
      <c r="D928" s="120" t="s">
        <v>484</v>
      </c>
      <c r="E928" s="33" t="s">
        <v>43</v>
      </c>
      <c r="F928" s="18" t="s">
        <v>64</v>
      </c>
      <c r="G928" s="18" t="s">
        <v>117</v>
      </c>
      <c r="H928" s="34" t="s">
        <v>85</v>
      </c>
      <c r="I928" s="18" t="s">
        <v>104</v>
      </c>
      <c r="J928" s="31" t="s">
        <v>105</v>
      </c>
      <c r="K928" s="31"/>
      <c r="L928" s="4"/>
      <c r="M928" s="4"/>
      <c r="N928" s="13" t="s">
        <v>29</v>
      </c>
      <c r="O928" s="35" t="str">
        <f>IF(D928="","",IF(COUNTIF(离职清单!C:C,D928)&gt;0,"已离职","在职"))</f>
        <v>在职</v>
      </c>
      <c r="P928" s="35" t="str">
        <f>IF(AND(O928="在职",J928="是"),COUNTIF(O$2:O928,"在职"),"")</f>
        <v/>
      </c>
    </row>
    <row r="929" customFormat="1" ht="18" spans="1:16">
      <c r="A929" s="14">
        <f t="shared" si="19"/>
        <v>928</v>
      </c>
      <c r="B929" s="31">
        <v>46174</v>
      </c>
      <c r="C929" s="32" t="s">
        <v>1110</v>
      </c>
      <c r="D929" s="120" t="s">
        <v>486</v>
      </c>
      <c r="E929" s="33" t="s">
        <v>43</v>
      </c>
      <c r="F929" s="18" t="s">
        <v>62</v>
      </c>
      <c r="G929" s="18" t="s">
        <v>124</v>
      </c>
      <c r="H929" s="34" t="s">
        <v>85</v>
      </c>
      <c r="I929" s="18" t="s">
        <v>104</v>
      </c>
      <c r="J929" s="31" t="s">
        <v>105</v>
      </c>
      <c r="K929" s="31">
        <v>46175</v>
      </c>
      <c r="L929" s="4"/>
      <c r="M929" s="4"/>
      <c r="N929" s="13" t="s">
        <v>29</v>
      </c>
      <c r="O929" s="35" t="str">
        <f>IF(D929="","",IF(COUNTIF(离职清单!C:C,D929)&gt;0,"已离职","在职"))</f>
        <v>在职</v>
      </c>
      <c r="P929" s="35" t="str">
        <f>IF(AND(O929="在职",J929="是"),COUNTIF(O$2:O929,"在职"),"")</f>
        <v/>
      </c>
    </row>
    <row r="930" customFormat="1" ht="18" spans="1:16">
      <c r="A930" s="10">
        <f t="shared" si="19"/>
        <v>929</v>
      </c>
      <c r="B930" s="31">
        <v>46174</v>
      </c>
      <c r="C930" s="32" t="s">
        <v>1111</v>
      </c>
      <c r="D930" s="120" t="s">
        <v>488</v>
      </c>
      <c r="E930" s="33" t="s">
        <v>43</v>
      </c>
      <c r="F930" s="18" t="s">
        <v>63</v>
      </c>
      <c r="G930" s="18" t="s">
        <v>124</v>
      </c>
      <c r="H930" s="34" t="s">
        <v>85</v>
      </c>
      <c r="I930" s="18" t="s">
        <v>104</v>
      </c>
      <c r="J930" s="31" t="s">
        <v>105</v>
      </c>
      <c r="K930" s="31">
        <v>46175</v>
      </c>
      <c r="L930" s="4"/>
      <c r="M930" s="4"/>
      <c r="N930" s="13" t="s">
        <v>29</v>
      </c>
      <c r="O930" s="35" t="str">
        <f>IF(D930="","",IF(COUNTIF(离职清单!C:C,D930)&gt;0,"已离职","在职"))</f>
        <v>在职</v>
      </c>
      <c r="P930" s="35" t="str">
        <f>IF(AND(O930="在职",J930="是"),COUNTIF(O$2:O930,"在职"),"")</f>
        <v/>
      </c>
    </row>
    <row r="931" customFormat="1" ht="18" spans="1:16">
      <c r="A931" s="14">
        <f t="shared" si="19"/>
        <v>930</v>
      </c>
      <c r="B931" s="31">
        <v>46174</v>
      </c>
      <c r="C931" s="32" t="s">
        <v>1112</v>
      </c>
      <c r="D931" s="120" t="s">
        <v>490</v>
      </c>
      <c r="E931" s="33" t="s">
        <v>43</v>
      </c>
      <c r="F931" s="18" t="s">
        <v>62</v>
      </c>
      <c r="G931" s="18" t="s">
        <v>129</v>
      </c>
      <c r="H931" s="34" t="s">
        <v>85</v>
      </c>
      <c r="I931" s="18" t="s">
        <v>104</v>
      </c>
      <c r="J931" s="31" t="s">
        <v>105</v>
      </c>
      <c r="K931" s="31"/>
      <c r="L931" s="4"/>
      <c r="M931" s="4"/>
      <c r="N931" s="13" t="s">
        <v>29</v>
      </c>
      <c r="O931" s="35" t="str">
        <f>IF(D931="","",IF(COUNTIF(离职清单!C:C,D931)&gt;0,"已离职","在职"))</f>
        <v>在职</v>
      </c>
      <c r="P931" s="35" t="str">
        <f>IF(AND(O931="在职",J931="是"),COUNTIF(O$2:O931,"在职"),"")</f>
        <v/>
      </c>
    </row>
    <row r="932" customFormat="1" ht="18" spans="1:16">
      <c r="A932" s="10">
        <f t="shared" si="19"/>
        <v>931</v>
      </c>
      <c r="B932" s="31">
        <v>46174</v>
      </c>
      <c r="C932" s="32" t="s">
        <v>1113</v>
      </c>
      <c r="D932" s="120" t="s">
        <v>492</v>
      </c>
      <c r="E932" s="33" t="s">
        <v>43</v>
      </c>
      <c r="F932" s="18" t="s">
        <v>63</v>
      </c>
      <c r="G932" s="18" t="s">
        <v>129</v>
      </c>
      <c r="H932" s="34" t="s">
        <v>85</v>
      </c>
      <c r="I932" s="18" t="s">
        <v>104</v>
      </c>
      <c r="J932" s="31" t="s">
        <v>105</v>
      </c>
      <c r="K932" s="31"/>
      <c r="L932" s="4"/>
      <c r="M932" s="4"/>
      <c r="N932" s="13" t="s">
        <v>29</v>
      </c>
      <c r="O932" s="35" t="str">
        <f>IF(D932="","",IF(COUNTIF(离职清单!C:C,D932)&gt;0,"已离职","在职"))</f>
        <v>在职</v>
      </c>
      <c r="P932" s="35" t="str">
        <f>IF(AND(O932="在职",J932="是"),COUNTIF(O$2:O932,"在职"),"")</f>
        <v/>
      </c>
    </row>
    <row r="933" customFormat="1" ht="18" spans="1:16">
      <c r="A933" s="14">
        <f t="shared" si="19"/>
        <v>932</v>
      </c>
      <c r="B933" s="31">
        <v>46174</v>
      </c>
      <c r="C933" s="32" t="s">
        <v>1114</v>
      </c>
      <c r="D933" s="120" t="s">
        <v>477</v>
      </c>
      <c r="E933" s="33" t="s">
        <v>43</v>
      </c>
      <c r="F933" s="18" t="s">
        <v>63</v>
      </c>
      <c r="G933" s="18" t="s">
        <v>129</v>
      </c>
      <c r="H933" s="34" t="s">
        <v>85</v>
      </c>
      <c r="I933" s="18" t="s">
        <v>104</v>
      </c>
      <c r="J933" s="31" t="s">
        <v>105</v>
      </c>
      <c r="K933" s="31">
        <v>46175</v>
      </c>
      <c r="L933" s="4"/>
      <c r="M933" s="4"/>
      <c r="N933" s="13" t="s">
        <v>29</v>
      </c>
      <c r="O933" s="35" t="str">
        <f>IF(D933="","",IF(COUNTIF(离职清单!C:C,D933)&gt;0,"已离职","在职"))</f>
        <v>在职</v>
      </c>
      <c r="P933" s="35" t="str">
        <f>IF(AND(O933="在职",J933="是"),COUNTIF(O$2:O933,"在职"),"")</f>
        <v/>
      </c>
    </row>
    <row r="934" customFormat="1" ht="18" spans="1:16">
      <c r="A934" s="10">
        <f t="shared" si="19"/>
        <v>933</v>
      </c>
      <c r="B934" s="31">
        <v>46174</v>
      </c>
      <c r="C934" s="32" t="s">
        <v>1115</v>
      </c>
      <c r="D934" s="120" t="s">
        <v>478</v>
      </c>
      <c r="E934" s="33" t="s">
        <v>43</v>
      </c>
      <c r="F934" s="18" t="s">
        <v>63</v>
      </c>
      <c r="G934" s="18" t="s">
        <v>129</v>
      </c>
      <c r="H934" s="34" t="s">
        <v>85</v>
      </c>
      <c r="I934" s="18" t="s">
        <v>104</v>
      </c>
      <c r="J934" s="31" t="s">
        <v>105</v>
      </c>
      <c r="K934" s="31"/>
      <c r="L934" s="4"/>
      <c r="M934" s="4"/>
      <c r="N934" s="13" t="s">
        <v>29</v>
      </c>
      <c r="O934" s="35" t="str">
        <f>IF(D934="","",IF(COUNTIF(离职清单!C:C,D934)&gt;0,"已离职","在职"))</f>
        <v>在职</v>
      </c>
      <c r="P934" s="35" t="str">
        <f>IF(AND(O934="在职",J934="是"),COUNTIF(O$2:O934,"在职"),"")</f>
        <v/>
      </c>
    </row>
    <row r="935" customFormat="1" ht="18" spans="1:16">
      <c r="A935" s="14">
        <f t="shared" si="19"/>
        <v>934</v>
      </c>
      <c r="B935" s="31">
        <v>46174</v>
      </c>
      <c r="C935" s="32" t="s">
        <v>1116</v>
      </c>
      <c r="D935" s="120" t="s">
        <v>480</v>
      </c>
      <c r="E935" s="33" t="s">
        <v>43</v>
      </c>
      <c r="F935" s="18" t="s">
        <v>62</v>
      </c>
      <c r="G935" s="18" t="s">
        <v>132</v>
      </c>
      <c r="H935" s="34" t="s">
        <v>85</v>
      </c>
      <c r="I935" s="18" t="s">
        <v>104</v>
      </c>
      <c r="J935" s="31" t="s">
        <v>105</v>
      </c>
      <c r="K935" s="31">
        <v>46176</v>
      </c>
      <c r="L935" s="4"/>
      <c r="M935" s="4"/>
      <c r="N935" s="13" t="s">
        <v>29</v>
      </c>
      <c r="O935" s="35" t="str">
        <f>IF(D935="","",IF(COUNTIF(离职清单!C:C,D935)&gt;0,"已离职","在职"))</f>
        <v>在职</v>
      </c>
      <c r="P935" s="35" t="str">
        <f>IF(AND(O935="在职",J935="是"),COUNTIF(O$2:O935,"在职"),"")</f>
        <v/>
      </c>
    </row>
    <row r="936" customFormat="1" ht="18" spans="1:16">
      <c r="A936" s="10">
        <f t="shared" si="19"/>
        <v>935</v>
      </c>
      <c r="B936" s="31">
        <v>46174</v>
      </c>
      <c r="C936" s="32" t="s">
        <v>1117</v>
      </c>
      <c r="D936" s="120" t="s">
        <v>482</v>
      </c>
      <c r="E936" s="33" t="s">
        <v>43</v>
      </c>
      <c r="F936" s="18" t="s">
        <v>62</v>
      </c>
      <c r="G936" s="18" t="s">
        <v>132</v>
      </c>
      <c r="H936" s="34" t="s">
        <v>85</v>
      </c>
      <c r="I936" s="18" t="s">
        <v>104</v>
      </c>
      <c r="J936" s="31" t="s">
        <v>105</v>
      </c>
      <c r="K936" s="31"/>
      <c r="L936" s="4"/>
      <c r="M936" s="4"/>
      <c r="N936" s="13" t="s">
        <v>29</v>
      </c>
      <c r="O936" s="35" t="str">
        <f>IF(D936="","",IF(COUNTIF(离职清单!C:C,D936)&gt;0,"已离职","在职"))</f>
        <v>在职</v>
      </c>
      <c r="P936" s="35" t="str">
        <f>IF(AND(O936="在职",J936="是"),COUNTIF(O$2:O936,"在职"),"")</f>
        <v/>
      </c>
    </row>
    <row r="937" customFormat="1" ht="18" spans="1:16">
      <c r="A937" s="14">
        <f t="shared" si="19"/>
        <v>936</v>
      </c>
      <c r="B937" s="31">
        <v>46174</v>
      </c>
      <c r="C937" s="32" t="s">
        <v>1118</v>
      </c>
      <c r="D937" s="120" t="s">
        <v>484</v>
      </c>
      <c r="E937" s="33" t="s">
        <v>43</v>
      </c>
      <c r="F937" s="18" t="s">
        <v>62</v>
      </c>
      <c r="G937" s="18" t="s">
        <v>132</v>
      </c>
      <c r="H937" s="34" t="s">
        <v>85</v>
      </c>
      <c r="I937" s="18" t="s">
        <v>104</v>
      </c>
      <c r="J937" s="31" t="s">
        <v>105</v>
      </c>
      <c r="K937" s="31"/>
      <c r="L937" s="4"/>
      <c r="M937" s="4"/>
      <c r="N937" s="13" t="s">
        <v>29</v>
      </c>
      <c r="O937" s="35" t="str">
        <f>IF(D937="","",IF(COUNTIF(离职清单!C:C,D937)&gt;0,"已离职","在职"))</f>
        <v>在职</v>
      </c>
      <c r="P937" s="35" t="str">
        <f>IF(AND(O937="在职",J937="是"),COUNTIF(O$2:O937,"在职"),"")</f>
        <v/>
      </c>
    </row>
    <row r="938" customFormat="1" ht="18" spans="1:16">
      <c r="A938" s="10">
        <f t="shared" si="19"/>
        <v>937</v>
      </c>
      <c r="B938" s="31">
        <v>46174</v>
      </c>
      <c r="C938" s="32" t="s">
        <v>1119</v>
      </c>
      <c r="D938" s="120" t="s">
        <v>486</v>
      </c>
      <c r="E938" s="33" t="s">
        <v>43</v>
      </c>
      <c r="F938" s="18" t="s">
        <v>63</v>
      </c>
      <c r="G938" s="18" t="s">
        <v>176</v>
      </c>
      <c r="H938" s="34" t="s">
        <v>85</v>
      </c>
      <c r="I938" s="18" t="s">
        <v>104</v>
      </c>
      <c r="J938" s="31" t="s">
        <v>114</v>
      </c>
      <c r="K938" s="31">
        <v>46175</v>
      </c>
      <c r="L938" s="4"/>
      <c r="M938" s="4"/>
      <c r="N938" s="13" t="s">
        <v>29</v>
      </c>
      <c r="O938" s="35" t="str">
        <f>IF(D938="","",IF(COUNTIF(离职清单!C:C,D938)&gt;0,"已离职","在职"))</f>
        <v>在职</v>
      </c>
      <c r="P938" s="35">
        <f>IF(AND(O938="在职",J938="是"),COUNTIF(O$2:O938,"在职"),"")</f>
        <v>931</v>
      </c>
    </row>
    <row r="939" customFormat="1" ht="18" spans="1:16">
      <c r="A939" s="14">
        <f t="shared" si="19"/>
        <v>938</v>
      </c>
      <c r="B939" s="31">
        <v>46174</v>
      </c>
      <c r="C939" s="32" t="s">
        <v>1120</v>
      </c>
      <c r="D939" s="120" t="s">
        <v>488</v>
      </c>
      <c r="E939" s="33" t="s">
        <v>43</v>
      </c>
      <c r="F939" s="18" t="s">
        <v>63</v>
      </c>
      <c r="G939" s="18" t="s">
        <v>176</v>
      </c>
      <c r="H939" s="34" t="s">
        <v>85</v>
      </c>
      <c r="I939" s="18" t="s">
        <v>104</v>
      </c>
      <c r="J939" s="31" t="s">
        <v>105</v>
      </c>
      <c r="K939" s="31">
        <v>46175</v>
      </c>
      <c r="L939" s="4"/>
      <c r="M939" s="4"/>
      <c r="N939" s="13" t="s">
        <v>29</v>
      </c>
      <c r="O939" s="35" t="str">
        <f>IF(D939="","",IF(COUNTIF(离职清单!C:C,D939)&gt;0,"已离职","在职"))</f>
        <v>在职</v>
      </c>
      <c r="P939" s="35" t="str">
        <f>IF(AND(O939="在职",J939="是"),COUNTIF(O$2:O939,"在职"),"")</f>
        <v/>
      </c>
    </row>
    <row r="940" customFormat="1" ht="18" spans="1:16">
      <c r="A940" s="10">
        <f t="shared" si="19"/>
        <v>939</v>
      </c>
      <c r="B940" s="31">
        <v>46174</v>
      </c>
      <c r="C940" s="32" t="s">
        <v>1121</v>
      </c>
      <c r="D940" s="120" t="s">
        <v>490</v>
      </c>
      <c r="E940" s="33" t="s">
        <v>43</v>
      </c>
      <c r="F940" s="18" t="s">
        <v>62</v>
      </c>
      <c r="G940" s="18" t="s">
        <v>307</v>
      </c>
      <c r="H940" s="34" t="s">
        <v>85</v>
      </c>
      <c r="I940" s="18" t="s">
        <v>104</v>
      </c>
      <c r="J940" s="31" t="s">
        <v>114</v>
      </c>
      <c r="K940" s="31">
        <v>46176</v>
      </c>
      <c r="L940" s="4"/>
      <c r="M940" s="4"/>
      <c r="N940" s="13" t="s">
        <v>29</v>
      </c>
      <c r="O940" s="35" t="str">
        <f>IF(D940="","",IF(COUNTIF(离职清单!C:C,D940)&gt;0,"已离职","在职"))</f>
        <v>在职</v>
      </c>
      <c r="P940" s="35">
        <f>IF(AND(O940="在职",J940="是"),COUNTIF(O$2:O940,"在职"),"")</f>
        <v>933</v>
      </c>
    </row>
    <row r="941" customFormat="1" ht="18" spans="1:16">
      <c r="A941" s="14">
        <f t="shared" si="19"/>
        <v>940</v>
      </c>
      <c r="B941" s="31">
        <v>46174</v>
      </c>
      <c r="C941" s="32" t="s">
        <v>1122</v>
      </c>
      <c r="D941" s="120" t="s">
        <v>492</v>
      </c>
      <c r="E941" s="33" t="s">
        <v>43</v>
      </c>
      <c r="F941" s="18" t="s">
        <v>63</v>
      </c>
      <c r="G941" s="18" t="s">
        <v>148</v>
      </c>
      <c r="H941" s="34" t="s">
        <v>85</v>
      </c>
      <c r="I941" s="18" t="s">
        <v>104</v>
      </c>
      <c r="J941" s="31" t="s">
        <v>105</v>
      </c>
      <c r="K941" s="31"/>
      <c r="L941" s="4"/>
      <c r="M941" s="4"/>
      <c r="N941" s="13" t="s">
        <v>29</v>
      </c>
      <c r="O941" s="35" t="str">
        <f>IF(D941="","",IF(COUNTIF(离职清单!C:C,D941)&gt;0,"已离职","在职"))</f>
        <v>在职</v>
      </c>
      <c r="P941" s="35" t="str">
        <f>IF(AND(O941="在职",J941="是"),COUNTIF(O$2:O941,"在职"),"")</f>
        <v/>
      </c>
    </row>
    <row r="942" customFormat="1" ht="18" spans="1:16">
      <c r="A942" s="10">
        <f t="shared" si="19"/>
        <v>941</v>
      </c>
      <c r="B942" s="31">
        <v>46174</v>
      </c>
      <c r="C942" s="32" t="s">
        <v>1123</v>
      </c>
      <c r="D942" s="120" t="s">
        <v>477</v>
      </c>
      <c r="E942" s="33" t="s">
        <v>43</v>
      </c>
      <c r="F942" s="18" t="s">
        <v>63</v>
      </c>
      <c r="G942" s="18" t="s">
        <v>148</v>
      </c>
      <c r="H942" s="34" t="s">
        <v>85</v>
      </c>
      <c r="I942" s="18" t="s">
        <v>104</v>
      </c>
      <c r="J942" s="31" t="s">
        <v>105</v>
      </c>
      <c r="K942" s="31"/>
      <c r="L942" s="4"/>
      <c r="M942" s="4"/>
      <c r="N942" s="13" t="s">
        <v>29</v>
      </c>
      <c r="O942" s="35" t="str">
        <f>IF(D942="","",IF(COUNTIF(离职清单!C:C,D942)&gt;0,"已离职","在职"))</f>
        <v>在职</v>
      </c>
      <c r="P942" s="35" t="str">
        <f>IF(AND(O942="在职",J942="是"),COUNTIF(O$2:O942,"在职"),"")</f>
        <v/>
      </c>
    </row>
    <row r="943" customFormat="1" ht="18" spans="1:16">
      <c r="A943" s="14">
        <f t="shared" si="19"/>
        <v>942</v>
      </c>
      <c r="B943" s="31">
        <v>46174</v>
      </c>
      <c r="C943" s="32" t="s">
        <v>1124</v>
      </c>
      <c r="D943" s="120" t="s">
        <v>478</v>
      </c>
      <c r="E943" s="33" t="s">
        <v>43</v>
      </c>
      <c r="F943" s="18" t="s">
        <v>63</v>
      </c>
      <c r="G943" s="18" t="s">
        <v>148</v>
      </c>
      <c r="H943" s="34" t="s">
        <v>85</v>
      </c>
      <c r="I943" s="18" t="s">
        <v>104</v>
      </c>
      <c r="J943" s="31" t="s">
        <v>105</v>
      </c>
      <c r="K943" s="31"/>
      <c r="L943" s="4"/>
      <c r="M943" s="4"/>
      <c r="N943" s="13" t="s">
        <v>29</v>
      </c>
      <c r="O943" s="35" t="str">
        <f>IF(D943="","",IF(COUNTIF(离职清单!C:C,D943)&gt;0,"已离职","在职"))</f>
        <v>在职</v>
      </c>
      <c r="P943" s="35" t="str">
        <f>IF(AND(O943="在职",J943="是"),COUNTIF(O$2:O943,"在职"),"")</f>
        <v/>
      </c>
    </row>
    <row r="944" customFormat="1" ht="18" spans="1:16">
      <c r="A944" s="10">
        <f t="shared" si="19"/>
        <v>943</v>
      </c>
      <c r="B944" s="31">
        <v>46174</v>
      </c>
      <c r="C944" s="32" t="s">
        <v>1125</v>
      </c>
      <c r="D944" s="120" t="s">
        <v>480</v>
      </c>
      <c r="E944" s="33" t="s">
        <v>43</v>
      </c>
      <c r="F944" s="18" t="s">
        <v>63</v>
      </c>
      <c r="G944" s="18" t="s">
        <v>148</v>
      </c>
      <c r="H944" s="34" t="s">
        <v>85</v>
      </c>
      <c r="I944" s="18" t="s">
        <v>104</v>
      </c>
      <c r="J944" s="31" t="s">
        <v>105</v>
      </c>
      <c r="K944" s="31"/>
      <c r="L944" s="4"/>
      <c r="M944" s="4"/>
      <c r="N944" s="13" t="s">
        <v>29</v>
      </c>
      <c r="O944" s="35" t="str">
        <f>IF(D944="","",IF(COUNTIF(离职清单!C:C,D944)&gt;0,"已离职","在职"))</f>
        <v>在职</v>
      </c>
      <c r="P944" s="35" t="str">
        <f>IF(AND(O944="在职",J944="是"),COUNTIF(O$2:O944,"在职"),"")</f>
        <v/>
      </c>
    </row>
    <row r="945" customFormat="1" ht="18" spans="1:16">
      <c r="A945" s="14">
        <f t="shared" si="19"/>
        <v>944</v>
      </c>
      <c r="B945" s="31">
        <v>46174</v>
      </c>
      <c r="C945" s="32" t="s">
        <v>1126</v>
      </c>
      <c r="D945" s="120" t="s">
        <v>482</v>
      </c>
      <c r="E945" s="33" t="s">
        <v>43</v>
      </c>
      <c r="F945" s="18" t="s">
        <v>63</v>
      </c>
      <c r="G945" s="18" t="s">
        <v>176</v>
      </c>
      <c r="H945" s="34" t="s">
        <v>85</v>
      </c>
      <c r="I945" s="18" t="s">
        <v>104</v>
      </c>
      <c r="J945" s="31" t="s">
        <v>105</v>
      </c>
      <c r="K945" s="31">
        <v>46175</v>
      </c>
      <c r="L945" s="4"/>
      <c r="M945" s="4"/>
      <c r="N945" s="13" t="s">
        <v>29</v>
      </c>
      <c r="O945" s="35" t="str">
        <f>IF(D945="","",IF(COUNTIF(离职清单!C:C,D945)&gt;0,"已离职","在职"))</f>
        <v>在职</v>
      </c>
      <c r="P945" s="35" t="str">
        <f>IF(AND(O945="在职",J945="是"),COUNTIF(O$2:O945,"在职"),"")</f>
        <v/>
      </c>
    </row>
    <row r="946" customFormat="1" ht="18" spans="1:16">
      <c r="A946" s="10">
        <f t="shared" si="19"/>
        <v>945</v>
      </c>
      <c r="B946" s="31">
        <v>46174</v>
      </c>
      <c r="C946" s="32" t="s">
        <v>1127</v>
      </c>
      <c r="D946" s="120" t="s">
        <v>484</v>
      </c>
      <c r="E946" s="33" t="s">
        <v>42</v>
      </c>
      <c r="F946" s="18" t="s">
        <v>63</v>
      </c>
      <c r="G946" s="18" t="s">
        <v>148</v>
      </c>
      <c r="H946" s="34" t="s">
        <v>85</v>
      </c>
      <c r="I946" s="18" t="s">
        <v>104</v>
      </c>
      <c r="J946" s="31" t="s">
        <v>114</v>
      </c>
      <c r="K946" s="31">
        <v>46176</v>
      </c>
      <c r="L946" s="4"/>
      <c r="M946" s="4"/>
      <c r="N946" s="13" t="s">
        <v>29</v>
      </c>
      <c r="O946" s="35" t="str">
        <f>IF(D946="","",IF(COUNTIF(离职清单!C:C,D946)&gt;0,"已离职","在职"))</f>
        <v>在职</v>
      </c>
      <c r="P946" s="35">
        <f>IF(AND(O946="在职",J946="是"),COUNTIF(O$2:O946,"在职"),"")</f>
        <v>939</v>
      </c>
    </row>
    <row r="947" customFormat="1" ht="18" spans="1:16">
      <c r="A947" s="14">
        <f t="shared" ref="A947:A1003" si="20">IF(B947&lt;&gt;"",ROW()-1,"")</f>
        <v>946</v>
      </c>
      <c r="B947" s="31">
        <v>46174</v>
      </c>
      <c r="C947" s="32" t="s">
        <v>1128</v>
      </c>
      <c r="D947" s="120" t="s">
        <v>486</v>
      </c>
      <c r="E947" s="33" t="s">
        <v>42</v>
      </c>
      <c r="F947" s="18" t="s">
        <v>63</v>
      </c>
      <c r="G947" s="18" t="s">
        <v>148</v>
      </c>
      <c r="H947" s="34" t="s">
        <v>85</v>
      </c>
      <c r="I947" s="18" t="s">
        <v>104</v>
      </c>
      <c r="J947" s="31" t="s">
        <v>114</v>
      </c>
      <c r="K947" s="31">
        <v>46176</v>
      </c>
      <c r="L947" s="4"/>
      <c r="M947" s="4"/>
      <c r="N947" s="13" t="s">
        <v>29</v>
      </c>
      <c r="O947" s="35" t="str">
        <f>IF(D947="","",IF(COUNTIF(离职清单!C:C,D947)&gt;0,"已离职","在职"))</f>
        <v>在职</v>
      </c>
      <c r="P947" s="35">
        <f>IF(AND(O947="在职",J947="是"),COUNTIF(O$2:O947,"在职"),"")</f>
        <v>940</v>
      </c>
    </row>
    <row r="948" customFormat="1" ht="18" spans="1:16">
      <c r="A948" s="10">
        <f t="shared" si="20"/>
        <v>947</v>
      </c>
      <c r="B948" s="31">
        <v>46174</v>
      </c>
      <c r="C948" s="32" t="s">
        <v>1129</v>
      </c>
      <c r="D948" s="120" t="s">
        <v>488</v>
      </c>
      <c r="E948" s="33" t="s">
        <v>42</v>
      </c>
      <c r="F948" s="18" t="s">
        <v>63</v>
      </c>
      <c r="G948" s="18" t="s">
        <v>148</v>
      </c>
      <c r="H948" s="34" t="s">
        <v>85</v>
      </c>
      <c r="I948" s="18" t="s">
        <v>104</v>
      </c>
      <c r="J948" s="31" t="s">
        <v>114</v>
      </c>
      <c r="K948" s="31">
        <v>46175</v>
      </c>
      <c r="L948" s="4"/>
      <c r="M948" s="4"/>
      <c r="N948" s="13" t="s">
        <v>29</v>
      </c>
      <c r="O948" s="35" t="str">
        <f>IF(D948="","",IF(COUNTIF(离职清单!C:C,D948)&gt;0,"已离职","在职"))</f>
        <v>在职</v>
      </c>
      <c r="P948" s="35">
        <f>IF(AND(O948="在职",J948="是"),COUNTIF(O$2:O948,"在职"),"")</f>
        <v>941</v>
      </c>
    </row>
    <row r="949" customFormat="1" ht="18" spans="1:16">
      <c r="A949" s="14">
        <f t="shared" si="20"/>
        <v>948</v>
      </c>
      <c r="B949" s="31">
        <v>46174</v>
      </c>
      <c r="C949" s="32" t="s">
        <v>1130</v>
      </c>
      <c r="D949" s="120" t="s">
        <v>490</v>
      </c>
      <c r="E949" s="33" t="s">
        <v>42</v>
      </c>
      <c r="F949" s="18" t="s">
        <v>63</v>
      </c>
      <c r="G949" s="18" t="s">
        <v>148</v>
      </c>
      <c r="H949" s="34" t="s">
        <v>85</v>
      </c>
      <c r="I949" s="18" t="s">
        <v>104</v>
      </c>
      <c r="J949" s="31" t="s">
        <v>105</v>
      </c>
      <c r="K949" s="31"/>
      <c r="L949" s="4"/>
      <c r="M949" s="4"/>
      <c r="N949" s="13" t="s">
        <v>29</v>
      </c>
      <c r="O949" s="35" t="str">
        <f>IF(D949="","",IF(COUNTIF(离职清单!C:C,D949)&gt;0,"已离职","在职"))</f>
        <v>在职</v>
      </c>
      <c r="P949" s="35" t="str">
        <f>IF(AND(O949="在职",J949="是"),COUNTIF(O$2:O949,"在职"),"")</f>
        <v/>
      </c>
    </row>
    <row r="950" customFormat="1" ht="18" spans="1:16">
      <c r="A950" s="10">
        <f t="shared" si="20"/>
        <v>949</v>
      </c>
      <c r="B950" s="31">
        <v>46174</v>
      </c>
      <c r="C950" s="32" t="s">
        <v>1131</v>
      </c>
      <c r="D950" s="120" t="s">
        <v>492</v>
      </c>
      <c r="E950" s="33" t="s">
        <v>42</v>
      </c>
      <c r="F950" s="18" t="s">
        <v>64</v>
      </c>
      <c r="G950" s="18" t="s">
        <v>129</v>
      </c>
      <c r="H950" s="34" t="s">
        <v>85</v>
      </c>
      <c r="I950" s="18" t="s">
        <v>104</v>
      </c>
      <c r="J950" s="31" t="s">
        <v>105</v>
      </c>
      <c r="K950" s="31"/>
      <c r="L950" s="4"/>
      <c r="M950" s="4"/>
      <c r="N950" s="13" t="s">
        <v>29</v>
      </c>
      <c r="O950" s="35" t="str">
        <f>IF(D950="","",IF(COUNTIF(离职清单!C:C,D950)&gt;0,"已离职","在职"))</f>
        <v>在职</v>
      </c>
      <c r="P950" s="35" t="str">
        <f>IF(AND(O950="在职",J950="是"),COUNTIF(O$2:O950,"在职"),"")</f>
        <v/>
      </c>
    </row>
    <row r="951" customFormat="1" ht="18" spans="1:16">
      <c r="A951" s="14">
        <f t="shared" si="20"/>
        <v>950</v>
      </c>
      <c r="B951" s="31">
        <v>46174</v>
      </c>
      <c r="C951" s="32" t="s">
        <v>1132</v>
      </c>
      <c r="D951" s="120" t="s">
        <v>477</v>
      </c>
      <c r="E951" s="33" t="s">
        <v>42</v>
      </c>
      <c r="F951" s="18" t="s">
        <v>62</v>
      </c>
      <c r="G951" s="18" t="s">
        <v>129</v>
      </c>
      <c r="H951" s="34" t="s">
        <v>85</v>
      </c>
      <c r="I951" s="18" t="s">
        <v>104</v>
      </c>
      <c r="J951" s="31" t="s">
        <v>105</v>
      </c>
      <c r="K951" s="31">
        <v>46178</v>
      </c>
      <c r="L951" s="4"/>
      <c r="M951" s="4"/>
      <c r="N951" s="13" t="s">
        <v>29</v>
      </c>
      <c r="O951" s="35" t="str">
        <f>IF(D951="","",IF(COUNTIF(离职清单!C:C,D951)&gt;0,"已离职","在职"))</f>
        <v>在职</v>
      </c>
      <c r="P951" s="35" t="str">
        <f>IF(AND(O951="在职",J951="是"),COUNTIF(O$2:O951,"在职"),"")</f>
        <v/>
      </c>
    </row>
    <row r="952" customFormat="1" ht="18" spans="1:16">
      <c r="A952" s="10">
        <f t="shared" si="20"/>
        <v>951</v>
      </c>
      <c r="B952" s="31">
        <v>46174</v>
      </c>
      <c r="C952" s="32" t="s">
        <v>1133</v>
      </c>
      <c r="D952" s="120" t="s">
        <v>477</v>
      </c>
      <c r="E952" s="33" t="s">
        <v>42</v>
      </c>
      <c r="F952" s="18" t="s">
        <v>62</v>
      </c>
      <c r="G952" s="18" t="s">
        <v>307</v>
      </c>
      <c r="H952" s="34" t="s">
        <v>85</v>
      </c>
      <c r="I952" s="18" t="s">
        <v>104</v>
      </c>
      <c r="J952" s="31" t="s">
        <v>114</v>
      </c>
      <c r="K952" s="31">
        <v>46175</v>
      </c>
      <c r="L952" s="4"/>
      <c r="M952" s="4"/>
      <c r="N952" s="13" t="s">
        <v>29</v>
      </c>
      <c r="O952" s="35" t="str">
        <f>IF(D952="","",IF(COUNTIF(离职清单!C:C,D952)&gt;0,"已离职","在职"))</f>
        <v>在职</v>
      </c>
      <c r="P952" s="35">
        <f>IF(AND(O952="在职",J952="是"),COUNTIF(O$2:O952,"在职"),"")</f>
        <v>945</v>
      </c>
    </row>
    <row r="953" customFormat="1" ht="18" spans="1:16">
      <c r="A953" s="14">
        <f t="shared" si="20"/>
        <v>952</v>
      </c>
      <c r="B953" s="31">
        <v>46174</v>
      </c>
      <c r="C953" s="32" t="s">
        <v>1134</v>
      </c>
      <c r="D953" s="120" t="s">
        <v>478</v>
      </c>
      <c r="E953" s="33" t="s">
        <v>42</v>
      </c>
      <c r="F953" s="18" t="s">
        <v>62</v>
      </c>
      <c r="G953" s="18" t="s">
        <v>796</v>
      </c>
      <c r="H953" s="34" t="s">
        <v>85</v>
      </c>
      <c r="I953" s="18" t="s">
        <v>104</v>
      </c>
      <c r="J953" s="31" t="s">
        <v>105</v>
      </c>
      <c r="K953" s="31">
        <v>46175</v>
      </c>
      <c r="L953" s="4"/>
      <c r="M953" s="4"/>
      <c r="N953" s="13" t="s">
        <v>29</v>
      </c>
      <c r="O953" s="35" t="str">
        <f>IF(D953="","",IF(COUNTIF(离职清单!C:C,D953)&gt;0,"已离职","在职"))</f>
        <v>在职</v>
      </c>
      <c r="P953" s="35" t="str">
        <f>IF(AND(O953="在职",J953="是"),COUNTIF(O$2:O953,"在职"),"")</f>
        <v/>
      </c>
    </row>
    <row r="954" customFormat="1" ht="18" spans="1:16">
      <c r="A954" s="10">
        <f t="shared" si="20"/>
        <v>953</v>
      </c>
      <c r="B954" s="31">
        <v>46174</v>
      </c>
      <c r="C954" s="32" t="s">
        <v>1135</v>
      </c>
      <c r="D954" s="120" t="s">
        <v>480</v>
      </c>
      <c r="E954" s="33" t="s">
        <v>42</v>
      </c>
      <c r="F954" s="18" t="s">
        <v>62</v>
      </c>
      <c r="G954" s="18" t="s">
        <v>1136</v>
      </c>
      <c r="H954" s="34" t="s">
        <v>85</v>
      </c>
      <c r="I954" s="18" t="s">
        <v>104</v>
      </c>
      <c r="J954" s="31" t="s">
        <v>105</v>
      </c>
      <c r="K954" s="31"/>
      <c r="L954" s="4"/>
      <c r="M954" s="4"/>
      <c r="N954" s="13" t="s">
        <v>29</v>
      </c>
      <c r="O954" s="35" t="str">
        <f>IF(D954="","",IF(COUNTIF(离职清单!C:C,D954)&gt;0,"已离职","在职"))</f>
        <v>在职</v>
      </c>
      <c r="P954" s="35" t="str">
        <f>IF(AND(O954="在职",J954="是"),COUNTIF(O$2:O954,"在职"),"")</f>
        <v/>
      </c>
    </row>
    <row r="955" customFormat="1" ht="18" spans="1:16">
      <c r="A955" s="14">
        <f t="shared" si="20"/>
        <v>954</v>
      </c>
      <c r="B955" s="31">
        <v>46174</v>
      </c>
      <c r="C955" s="32" t="s">
        <v>1137</v>
      </c>
      <c r="D955" s="120" t="s">
        <v>482</v>
      </c>
      <c r="E955" s="33" t="s">
        <v>42</v>
      </c>
      <c r="F955" s="18" t="s">
        <v>63</v>
      </c>
      <c r="G955" s="18" t="s">
        <v>468</v>
      </c>
      <c r="H955" s="34" t="s">
        <v>85</v>
      </c>
      <c r="I955" s="18" t="s">
        <v>104</v>
      </c>
      <c r="J955" s="31" t="s">
        <v>114</v>
      </c>
      <c r="K955" s="31">
        <v>46175</v>
      </c>
      <c r="L955" s="4"/>
      <c r="M955" s="4"/>
      <c r="N955" s="13" t="s">
        <v>29</v>
      </c>
      <c r="O955" s="35" t="str">
        <f>IF(D955="","",IF(COUNTIF(离职清单!C:C,D955)&gt;0,"已离职","在职"))</f>
        <v>在职</v>
      </c>
      <c r="P955" s="35">
        <f>IF(AND(O955="在职",J955="是"),COUNTIF(O$2:O955,"在职"),"")</f>
        <v>948</v>
      </c>
    </row>
    <row r="956" customFormat="1" ht="18" spans="1:16">
      <c r="A956" s="10">
        <f t="shared" si="20"/>
        <v>955</v>
      </c>
      <c r="B956" s="31">
        <v>46174</v>
      </c>
      <c r="C956" s="32" t="s">
        <v>1138</v>
      </c>
      <c r="D956" s="120" t="s">
        <v>484</v>
      </c>
      <c r="E956" s="33" t="s">
        <v>42</v>
      </c>
      <c r="F956" s="18" t="s">
        <v>62</v>
      </c>
      <c r="G956" s="18" t="s">
        <v>468</v>
      </c>
      <c r="H956" s="34" t="s">
        <v>85</v>
      </c>
      <c r="I956" s="18" t="s">
        <v>104</v>
      </c>
      <c r="J956" s="31" t="s">
        <v>114</v>
      </c>
      <c r="K956" s="31">
        <v>46175</v>
      </c>
      <c r="L956" s="4"/>
      <c r="M956" s="4"/>
      <c r="N956" s="13" t="s">
        <v>29</v>
      </c>
      <c r="O956" s="35" t="str">
        <f>IF(D956="","",IF(COUNTIF(离职清单!C:C,D956)&gt;0,"已离职","在职"))</f>
        <v>在职</v>
      </c>
      <c r="P956" s="35">
        <f>IF(AND(O956="在职",J956="是"),COUNTIF(O$2:O956,"在职"),"")</f>
        <v>949</v>
      </c>
    </row>
    <row r="957" customFormat="1" ht="18" spans="1:16">
      <c r="A957" s="14">
        <f t="shared" si="20"/>
        <v>956</v>
      </c>
      <c r="B957" s="31">
        <v>46174</v>
      </c>
      <c r="C957" s="32" t="s">
        <v>1139</v>
      </c>
      <c r="D957" s="120" t="s">
        <v>486</v>
      </c>
      <c r="E957" s="33" t="s">
        <v>42</v>
      </c>
      <c r="F957" s="18" t="s">
        <v>62</v>
      </c>
      <c r="G957" s="18" t="s">
        <v>233</v>
      </c>
      <c r="H957" s="34" t="s">
        <v>85</v>
      </c>
      <c r="I957" s="18" t="s">
        <v>104</v>
      </c>
      <c r="J957" s="31" t="s">
        <v>114</v>
      </c>
      <c r="K957" s="31">
        <v>46175</v>
      </c>
      <c r="L957" s="4"/>
      <c r="M957" s="4"/>
      <c r="N957" s="13" t="s">
        <v>29</v>
      </c>
      <c r="O957" s="35" t="str">
        <f>IF(D957="","",IF(COUNTIF(离职清单!C:C,D957)&gt;0,"已离职","在职"))</f>
        <v>在职</v>
      </c>
      <c r="P957" s="35">
        <f>IF(AND(O957="在职",J957="是"),COUNTIF(O$2:O957,"在职"),"")</f>
        <v>950</v>
      </c>
    </row>
    <row r="958" customFormat="1" ht="18" spans="1:16">
      <c r="A958" s="10">
        <f t="shared" si="20"/>
        <v>957</v>
      </c>
      <c r="B958" s="31">
        <v>46174</v>
      </c>
      <c r="C958" s="32" t="s">
        <v>1140</v>
      </c>
      <c r="D958" s="120" t="s">
        <v>488</v>
      </c>
      <c r="E958" s="33" t="s">
        <v>42</v>
      </c>
      <c r="F958" s="18" t="s">
        <v>63</v>
      </c>
      <c r="G958" s="18" t="s">
        <v>233</v>
      </c>
      <c r="H958" s="34" t="s">
        <v>85</v>
      </c>
      <c r="I958" s="18" t="s">
        <v>104</v>
      </c>
      <c r="J958" s="31" t="s">
        <v>105</v>
      </c>
      <c r="K958" s="31"/>
      <c r="L958" s="4"/>
      <c r="M958" s="4"/>
      <c r="N958" s="13" t="s">
        <v>29</v>
      </c>
      <c r="O958" s="35" t="str">
        <f>IF(D958="","",IF(COUNTIF(离职清单!C:C,D958)&gt;0,"已离职","在职"))</f>
        <v>在职</v>
      </c>
      <c r="P958" s="35" t="str">
        <f>IF(AND(O958="在职",J958="是"),COUNTIF(O$2:O958,"在职"),"")</f>
        <v/>
      </c>
    </row>
    <row r="959" customFormat="1" ht="18" spans="1:16">
      <c r="A959" s="14">
        <f t="shared" si="20"/>
        <v>958</v>
      </c>
      <c r="B959" s="31">
        <v>46174</v>
      </c>
      <c r="C959" s="32" t="s">
        <v>1141</v>
      </c>
      <c r="D959" s="120" t="s">
        <v>490</v>
      </c>
      <c r="E959" s="33" t="s">
        <v>42</v>
      </c>
      <c r="F959" s="18" t="s">
        <v>62</v>
      </c>
      <c r="G959" s="18" t="s">
        <v>233</v>
      </c>
      <c r="H959" s="34" t="s">
        <v>85</v>
      </c>
      <c r="I959" s="18" t="s">
        <v>104</v>
      </c>
      <c r="J959" s="31" t="s">
        <v>105</v>
      </c>
      <c r="K959" s="31">
        <v>46179</v>
      </c>
      <c r="L959" s="4"/>
      <c r="M959" s="4"/>
      <c r="N959" s="13" t="s">
        <v>29</v>
      </c>
      <c r="O959" s="35" t="str">
        <f>IF(D959="","",IF(COUNTIF(离职清单!C:C,D959)&gt;0,"已离职","在职"))</f>
        <v>在职</v>
      </c>
      <c r="P959" s="35" t="str">
        <f>IF(AND(O959="在职",J959="是"),COUNTIF(O$2:O959,"在职"),"")</f>
        <v/>
      </c>
    </row>
    <row r="960" customFormat="1" ht="18" spans="1:16">
      <c r="A960" s="10">
        <f t="shared" si="20"/>
        <v>959</v>
      </c>
      <c r="B960" s="31">
        <v>46174</v>
      </c>
      <c r="C960" s="32" t="s">
        <v>1142</v>
      </c>
      <c r="D960" s="120" t="s">
        <v>492</v>
      </c>
      <c r="E960" s="33" t="s">
        <v>42</v>
      </c>
      <c r="F960" s="18" t="s">
        <v>62</v>
      </c>
      <c r="G960" s="18" t="s">
        <v>179</v>
      </c>
      <c r="H960" s="34" t="s">
        <v>85</v>
      </c>
      <c r="I960" s="18" t="s">
        <v>104</v>
      </c>
      <c r="J960" s="31" t="s">
        <v>114</v>
      </c>
      <c r="K960" s="31">
        <v>46175</v>
      </c>
      <c r="L960" s="4"/>
      <c r="M960" s="4"/>
      <c r="N960" s="13" t="s">
        <v>29</v>
      </c>
      <c r="O960" s="35" t="str">
        <f>IF(D960="","",IF(COUNTIF(离职清单!C:C,D960)&gt;0,"已离职","在职"))</f>
        <v>在职</v>
      </c>
      <c r="P960" s="35">
        <f>IF(AND(O960="在职",J960="是"),COUNTIF(O$2:O960,"在职"),"")</f>
        <v>953</v>
      </c>
    </row>
    <row r="961" customFormat="1" ht="18" spans="1:16">
      <c r="A961" s="14">
        <f t="shared" si="20"/>
        <v>960</v>
      </c>
      <c r="B961" s="31">
        <v>46174</v>
      </c>
      <c r="C961" s="32" t="s">
        <v>1143</v>
      </c>
      <c r="D961" s="120" t="s">
        <v>477</v>
      </c>
      <c r="E961" s="33" t="s">
        <v>42</v>
      </c>
      <c r="F961" s="18" t="s">
        <v>63</v>
      </c>
      <c r="G961" s="18" t="s">
        <v>426</v>
      </c>
      <c r="H961" s="34" t="s">
        <v>85</v>
      </c>
      <c r="I961" s="18" t="s">
        <v>104</v>
      </c>
      <c r="J961" s="31" t="s">
        <v>114</v>
      </c>
      <c r="K961" s="31">
        <v>46177</v>
      </c>
      <c r="L961" s="4"/>
      <c r="M961" s="4"/>
      <c r="N961" s="13" t="s">
        <v>29</v>
      </c>
      <c r="O961" s="35" t="str">
        <f>IF(D961="","",IF(COUNTIF(离职清单!C:C,D961)&gt;0,"已离职","在职"))</f>
        <v>在职</v>
      </c>
      <c r="P961" s="35">
        <f>IF(AND(O961="在职",J961="是"),COUNTIF(O$2:O961,"在职"),"")</f>
        <v>954</v>
      </c>
    </row>
    <row r="962" customFormat="1" ht="18" spans="1:16">
      <c r="A962" s="10">
        <f t="shared" si="20"/>
        <v>961</v>
      </c>
      <c r="B962" s="31">
        <v>46174</v>
      </c>
      <c r="C962" s="32" t="s">
        <v>1144</v>
      </c>
      <c r="D962" s="120" t="s">
        <v>478</v>
      </c>
      <c r="E962" s="33" t="s">
        <v>42</v>
      </c>
      <c r="F962" s="18" t="s">
        <v>64</v>
      </c>
      <c r="G962" s="18" t="s">
        <v>631</v>
      </c>
      <c r="H962" s="34" t="s">
        <v>85</v>
      </c>
      <c r="I962" s="18" t="s">
        <v>104</v>
      </c>
      <c r="J962" s="31" t="s">
        <v>105</v>
      </c>
      <c r="K962" s="31"/>
      <c r="L962" s="4"/>
      <c r="M962" s="4"/>
      <c r="N962" s="13" t="s">
        <v>29</v>
      </c>
      <c r="O962" s="35" t="str">
        <f>IF(D962="","",IF(COUNTIF(离职清单!C:C,D962)&gt;0,"已离职","在职"))</f>
        <v>在职</v>
      </c>
      <c r="P962" s="35" t="str">
        <f>IF(AND(O962="在职",J962="是"),COUNTIF(O$2:O962,"在职"),"")</f>
        <v/>
      </c>
    </row>
    <row r="963" customFormat="1" ht="18" spans="1:16">
      <c r="A963" s="14">
        <f t="shared" si="20"/>
        <v>962</v>
      </c>
      <c r="B963" s="31">
        <v>46174</v>
      </c>
      <c r="C963" s="32" t="s">
        <v>1111</v>
      </c>
      <c r="D963" s="120" t="s">
        <v>480</v>
      </c>
      <c r="E963" s="33" t="s">
        <v>42</v>
      </c>
      <c r="F963" s="18" t="s">
        <v>63</v>
      </c>
      <c r="G963" s="18" t="s">
        <v>631</v>
      </c>
      <c r="H963" s="34" t="s">
        <v>85</v>
      </c>
      <c r="I963" s="18" t="s">
        <v>104</v>
      </c>
      <c r="J963" s="31" t="s">
        <v>105</v>
      </c>
      <c r="K963" s="31">
        <v>46176</v>
      </c>
      <c r="L963" s="4"/>
      <c r="M963" s="4"/>
      <c r="N963" s="13" t="s">
        <v>29</v>
      </c>
      <c r="O963" s="35" t="str">
        <f>IF(D963="","",IF(COUNTIF(离职清单!C:C,D963)&gt;0,"已离职","在职"))</f>
        <v>在职</v>
      </c>
      <c r="P963" s="35" t="str">
        <f>IF(AND(O963="在职",J963="是"),COUNTIF(O$2:O963,"在职"),"")</f>
        <v/>
      </c>
    </row>
    <row r="964" customFormat="1" ht="18" spans="1:16">
      <c r="A964" s="10">
        <f t="shared" si="20"/>
        <v>963</v>
      </c>
      <c r="B964" s="31">
        <v>46174</v>
      </c>
      <c r="C964" s="32" t="s">
        <v>1145</v>
      </c>
      <c r="D964" s="120" t="s">
        <v>482</v>
      </c>
      <c r="E964" s="33" t="s">
        <v>42</v>
      </c>
      <c r="F964" s="18" t="s">
        <v>63</v>
      </c>
      <c r="G964" s="18" t="s">
        <v>124</v>
      </c>
      <c r="H964" s="34" t="s">
        <v>85</v>
      </c>
      <c r="I964" s="18" t="s">
        <v>104</v>
      </c>
      <c r="J964" s="31" t="s">
        <v>105</v>
      </c>
      <c r="K964" s="31"/>
      <c r="L964" s="4"/>
      <c r="M964" s="4"/>
      <c r="N964" s="13" t="s">
        <v>29</v>
      </c>
      <c r="O964" s="35" t="str">
        <f>IF(D964="","",IF(COUNTIF(离职清单!C:C,D964)&gt;0,"已离职","在职"))</f>
        <v>在职</v>
      </c>
      <c r="P964" s="35" t="str">
        <f>IF(AND(O964="在职",J964="是"),COUNTIF(O$2:O964,"在职"),"")</f>
        <v/>
      </c>
    </row>
    <row r="965" customFormat="1" ht="18" spans="1:16">
      <c r="A965" s="14">
        <f t="shared" si="20"/>
        <v>964</v>
      </c>
      <c r="B965" s="31">
        <v>46174</v>
      </c>
      <c r="C965" s="32" t="s">
        <v>1146</v>
      </c>
      <c r="D965" s="120" t="s">
        <v>484</v>
      </c>
      <c r="E965" s="33" t="s">
        <v>42</v>
      </c>
      <c r="F965" s="18" t="s">
        <v>63</v>
      </c>
      <c r="G965" s="18" t="s">
        <v>124</v>
      </c>
      <c r="H965" s="34" t="s">
        <v>85</v>
      </c>
      <c r="I965" s="18" t="s">
        <v>104</v>
      </c>
      <c r="J965" s="31" t="s">
        <v>105</v>
      </c>
      <c r="K965" s="31">
        <v>46175</v>
      </c>
      <c r="L965" s="4"/>
      <c r="M965" s="4"/>
      <c r="N965" s="13" t="s">
        <v>29</v>
      </c>
      <c r="O965" s="35" t="str">
        <f>IF(D965="","",IF(COUNTIF(离职清单!C:C,D965)&gt;0,"已离职","在职"))</f>
        <v>在职</v>
      </c>
      <c r="P965" s="35" t="str">
        <f>IF(AND(O965="在职",J965="是"),COUNTIF(O$2:O965,"在职"),"")</f>
        <v/>
      </c>
    </row>
    <row r="966" customFormat="1" ht="18" spans="1:16">
      <c r="A966" s="10">
        <f t="shared" si="20"/>
        <v>965</v>
      </c>
      <c r="B966" s="31">
        <v>46174</v>
      </c>
      <c r="C966" s="32" t="s">
        <v>1147</v>
      </c>
      <c r="D966" s="120" t="s">
        <v>486</v>
      </c>
      <c r="E966" s="33" t="s">
        <v>42</v>
      </c>
      <c r="F966" s="18" t="s">
        <v>64</v>
      </c>
      <c r="G966" s="18" t="s">
        <v>129</v>
      </c>
      <c r="H966" s="34" t="s">
        <v>85</v>
      </c>
      <c r="I966" s="18" t="s">
        <v>104</v>
      </c>
      <c r="J966" s="31" t="s">
        <v>105</v>
      </c>
      <c r="K966" s="31"/>
      <c r="L966" s="4"/>
      <c r="M966" s="4"/>
      <c r="N966" s="13" t="s">
        <v>29</v>
      </c>
      <c r="O966" s="35" t="str">
        <f>IF(D966="","",IF(COUNTIF(离职清单!C:C,D966)&gt;0,"已离职","在职"))</f>
        <v>在职</v>
      </c>
      <c r="P966" s="35" t="str">
        <f>IF(AND(O966="在职",J966="是"),COUNTIF(O$2:O966,"在职"),"")</f>
        <v/>
      </c>
    </row>
    <row r="967" customFormat="1" ht="18" spans="1:16">
      <c r="A967" s="14">
        <f t="shared" si="20"/>
        <v>966</v>
      </c>
      <c r="B967" s="31">
        <v>46174</v>
      </c>
      <c r="C967" s="32" t="s">
        <v>1148</v>
      </c>
      <c r="D967" s="120" t="s">
        <v>488</v>
      </c>
      <c r="E967" s="33" t="s">
        <v>42</v>
      </c>
      <c r="F967" s="18" t="s">
        <v>62</v>
      </c>
      <c r="G967" s="18" t="s">
        <v>578</v>
      </c>
      <c r="H967" s="34" t="s">
        <v>85</v>
      </c>
      <c r="I967" s="18" t="s">
        <v>104</v>
      </c>
      <c r="J967" s="31" t="s">
        <v>105</v>
      </c>
      <c r="K967" s="31"/>
      <c r="L967" s="4"/>
      <c r="M967" s="4"/>
      <c r="N967" s="13" t="s">
        <v>29</v>
      </c>
      <c r="O967" s="35" t="str">
        <f>IF(D967="","",IF(COUNTIF(离职清单!C:C,D967)&gt;0,"已离职","在职"))</f>
        <v>在职</v>
      </c>
      <c r="P967" s="35" t="str">
        <f>IF(AND(O967="在职",J967="是"),COUNTIF(O$2:O967,"在职"),"")</f>
        <v/>
      </c>
    </row>
    <row r="968" customFormat="1" ht="18" spans="1:16">
      <c r="A968" s="10">
        <f t="shared" si="20"/>
        <v>967</v>
      </c>
      <c r="B968" s="31">
        <v>46174</v>
      </c>
      <c r="C968" s="32" t="s">
        <v>1149</v>
      </c>
      <c r="D968" s="120" t="s">
        <v>490</v>
      </c>
      <c r="E968" s="33" t="s">
        <v>42</v>
      </c>
      <c r="F968" s="18" t="s">
        <v>63</v>
      </c>
      <c r="G968" s="18" t="s">
        <v>578</v>
      </c>
      <c r="H968" s="34" t="s">
        <v>85</v>
      </c>
      <c r="I968" s="18" t="s">
        <v>104</v>
      </c>
      <c r="J968" s="31" t="s">
        <v>105</v>
      </c>
      <c r="K968" s="31"/>
      <c r="L968" s="4"/>
      <c r="M968" s="4"/>
      <c r="N968" s="13" t="s">
        <v>29</v>
      </c>
      <c r="O968" s="35" t="str">
        <f>IF(D968="","",IF(COUNTIF(离职清单!C:C,D968)&gt;0,"已离职","在职"))</f>
        <v>在职</v>
      </c>
      <c r="P968" s="35" t="str">
        <f>IF(AND(O968="在职",J968="是"),COUNTIF(O$2:O968,"在职"),"")</f>
        <v/>
      </c>
    </row>
    <row r="969" customFormat="1" ht="18" spans="1:16">
      <c r="A969" s="14">
        <f t="shared" si="20"/>
        <v>968</v>
      </c>
      <c r="B969" s="31">
        <v>46174</v>
      </c>
      <c r="C969" s="32" t="s">
        <v>1150</v>
      </c>
      <c r="D969" s="120" t="s">
        <v>492</v>
      </c>
      <c r="E969" s="33" t="s">
        <v>42</v>
      </c>
      <c r="F969" s="18" t="s">
        <v>63</v>
      </c>
      <c r="G969" s="18" t="s">
        <v>578</v>
      </c>
      <c r="H969" s="34" t="s">
        <v>85</v>
      </c>
      <c r="I969" s="18" t="s">
        <v>104</v>
      </c>
      <c r="J969" s="31" t="s">
        <v>114</v>
      </c>
      <c r="K969" s="31">
        <v>46178</v>
      </c>
      <c r="L969" s="4"/>
      <c r="M969" s="4"/>
      <c r="N969" s="13" t="s">
        <v>29</v>
      </c>
      <c r="O969" s="35" t="str">
        <f>IF(D969="","",IF(COUNTIF(离职清单!C:C,D969)&gt;0,"已离职","在职"))</f>
        <v>在职</v>
      </c>
      <c r="P969" s="35">
        <f>IF(AND(O969="在职",J969="是"),COUNTIF(O$2:O969,"在职"),"")</f>
        <v>962</v>
      </c>
    </row>
    <row r="970" customFormat="1" ht="18" spans="1:16">
      <c r="A970" s="10">
        <f t="shared" si="20"/>
        <v>969</v>
      </c>
      <c r="B970" s="31">
        <v>46174</v>
      </c>
      <c r="C970" s="32" t="s">
        <v>1151</v>
      </c>
      <c r="D970" s="120" t="s">
        <v>477</v>
      </c>
      <c r="E970" s="33" t="s">
        <v>42</v>
      </c>
      <c r="F970" s="18" t="s">
        <v>64</v>
      </c>
      <c r="G970" s="18" t="s">
        <v>578</v>
      </c>
      <c r="H970" s="34" t="s">
        <v>85</v>
      </c>
      <c r="I970" s="18" t="s">
        <v>104</v>
      </c>
      <c r="J970" s="31" t="s">
        <v>105</v>
      </c>
      <c r="K970" s="31"/>
      <c r="L970" s="4"/>
      <c r="M970" s="4"/>
      <c r="N970" s="13" t="s">
        <v>29</v>
      </c>
      <c r="O970" s="35" t="str">
        <f>IF(D970="","",IF(COUNTIF(离职清单!C:C,D970)&gt;0,"已离职","在职"))</f>
        <v>在职</v>
      </c>
      <c r="P970" s="35" t="str">
        <f>IF(AND(O970="在职",J970="是"),COUNTIF(O$2:O970,"在职"),"")</f>
        <v/>
      </c>
    </row>
    <row r="971" customFormat="1" ht="18" spans="1:16">
      <c r="A971" s="14">
        <f t="shared" si="20"/>
        <v>970</v>
      </c>
      <c r="B971" s="31">
        <v>46174</v>
      </c>
      <c r="C971" s="32" t="s">
        <v>1152</v>
      </c>
      <c r="D971" s="120" t="s">
        <v>478</v>
      </c>
      <c r="E971" s="33" t="s">
        <v>42</v>
      </c>
      <c r="F971" s="18" t="s">
        <v>63</v>
      </c>
      <c r="G971" s="18" t="s">
        <v>512</v>
      </c>
      <c r="H971" s="34" t="s">
        <v>85</v>
      </c>
      <c r="I971" s="18" t="s">
        <v>104</v>
      </c>
      <c r="J971" s="31" t="s">
        <v>114</v>
      </c>
      <c r="K971" s="31">
        <v>46176</v>
      </c>
      <c r="L971" s="4"/>
      <c r="M971" s="4"/>
      <c r="N971" s="13" t="s">
        <v>29</v>
      </c>
      <c r="O971" s="35" t="str">
        <f>IF(D971="","",IF(COUNTIF(离职清单!C:C,D971)&gt;0,"已离职","在职"))</f>
        <v>在职</v>
      </c>
      <c r="P971" s="35">
        <f>IF(AND(O971="在职",J971="是"),COUNTIF(O$2:O971,"在职"),"")</f>
        <v>964</v>
      </c>
    </row>
    <row r="972" customFormat="1" ht="18" spans="1:16">
      <c r="A972" s="10">
        <f t="shared" si="20"/>
        <v>971</v>
      </c>
      <c r="B972" s="31">
        <v>46174</v>
      </c>
      <c r="C972" s="32" t="s">
        <v>1153</v>
      </c>
      <c r="D972" s="120" t="s">
        <v>480</v>
      </c>
      <c r="E972" s="33" t="s">
        <v>42</v>
      </c>
      <c r="F972" s="18" t="s">
        <v>63</v>
      </c>
      <c r="G972" s="18" t="s">
        <v>307</v>
      </c>
      <c r="H972" s="34" t="s">
        <v>85</v>
      </c>
      <c r="I972" s="18" t="s">
        <v>104</v>
      </c>
      <c r="J972" s="31" t="s">
        <v>105</v>
      </c>
      <c r="K972" s="31">
        <v>46175</v>
      </c>
      <c r="L972" s="4"/>
      <c r="M972" s="4"/>
      <c r="N972" s="13" t="s">
        <v>29</v>
      </c>
      <c r="O972" s="35" t="str">
        <f>IF(D972="","",IF(COUNTIF(离职清单!C:C,D972)&gt;0,"已离职","在职"))</f>
        <v>在职</v>
      </c>
      <c r="P972" s="35" t="str">
        <f>IF(AND(O972="在职",J972="是"),COUNTIF(O$2:O972,"在职"),"")</f>
        <v/>
      </c>
    </row>
    <row r="973" customFormat="1" ht="18" spans="1:16">
      <c r="A973" s="14">
        <f t="shared" si="20"/>
        <v>972</v>
      </c>
      <c r="B973" s="31">
        <v>46174</v>
      </c>
      <c r="C973" s="32" t="s">
        <v>1154</v>
      </c>
      <c r="D973" s="120" t="s">
        <v>482</v>
      </c>
      <c r="E973" s="33" t="s">
        <v>42</v>
      </c>
      <c r="F973" s="18" t="s">
        <v>63</v>
      </c>
      <c r="G973" s="18" t="s">
        <v>307</v>
      </c>
      <c r="H973" s="34" t="s">
        <v>85</v>
      </c>
      <c r="I973" s="18" t="s">
        <v>104</v>
      </c>
      <c r="J973" s="31" t="s">
        <v>105</v>
      </c>
      <c r="K973" s="31">
        <v>46176</v>
      </c>
      <c r="L973" s="4"/>
      <c r="M973" s="4"/>
      <c r="N973" s="13" t="s">
        <v>29</v>
      </c>
      <c r="O973" s="35" t="str">
        <f>IF(D973="","",IF(COUNTIF(离职清单!C:C,D973)&gt;0,"已离职","在职"))</f>
        <v>在职</v>
      </c>
      <c r="P973" s="35" t="str">
        <f>IF(AND(O973="在职",J973="是"),COUNTIF(O$2:O973,"在职"),"")</f>
        <v/>
      </c>
    </row>
    <row r="974" customFormat="1" ht="18" spans="1:16">
      <c r="A974" s="10">
        <f t="shared" si="20"/>
        <v>973</v>
      </c>
      <c r="B974" s="31">
        <v>46174</v>
      </c>
      <c r="C974" s="32" t="s">
        <v>1155</v>
      </c>
      <c r="D974" s="120" t="s">
        <v>484</v>
      </c>
      <c r="E974" s="33" t="s">
        <v>42</v>
      </c>
      <c r="F974" s="18" t="s">
        <v>62</v>
      </c>
      <c r="G974" s="18" t="s">
        <v>307</v>
      </c>
      <c r="H974" s="34" t="s">
        <v>85</v>
      </c>
      <c r="I974" s="18" t="s">
        <v>104</v>
      </c>
      <c r="J974" s="31" t="s">
        <v>105</v>
      </c>
      <c r="K974" s="31">
        <v>46178</v>
      </c>
      <c r="L974" s="4"/>
      <c r="M974" s="4"/>
      <c r="N974" s="13" t="s">
        <v>29</v>
      </c>
      <c r="O974" s="35" t="str">
        <f>IF(D974="","",IF(COUNTIF(离职清单!C:C,D974)&gt;0,"已离职","在职"))</f>
        <v>在职</v>
      </c>
      <c r="P974" s="35" t="str">
        <f>IF(AND(O974="在职",J974="是"),COUNTIF(O$2:O974,"在职"),"")</f>
        <v/>
      </c>
    </row>
    <row r="975" customFormat="1" ht="18" spans="1:16">
      <c r="A975" s="14">
        <f t="shared" si="20"/>
        <v>974</v>
      </c>
      <c r="B975" s="31">
        <v>46174</v>
      </c>
      <c r="C975" s="32" t="s">
        <v>353</v>
      </c>
      <c r="D975" s="120" t="s">
        <v>486</v>
      </c>
      <c r="E975" s="33" t="s">
        <v>42</v>
      </c>
      <c r="F975" s="18" t="s">
        <v>64</v>
      </c>
      <c r="G975" s="18" t="s">
        <v>148</v>
      </c>
      <c r="H975" s="34" t="s">
        <v>85</v>
      </c>
      <c r="I975" s="18" t="s">
        <v>104</v>
      </c>
      <c r="J975" s="31" t="s">
        <v>105</v>
      </c>
      <c r="K975" s="31"/>
      <c r="L975" s="4"/>
      <c r="M975" s="4"/>
      <c r="N975" s="13" t="s">
        <v>29</v>
      </c>
      <c r="O975" s="35" t="str">
        <f>IF(D975="","",IF(COUNTIF(离职清单!C:C,D975)&gt;0,"已离职","在职"))</f>
        <v>在职</v>
      </c>
      <c r="P975" s="35" t="str">
        <f>IF(AND(O975="在职",J975="是"),COUNTIF(O$2:O975,"在职"),"")</f>
        <v/>
      </c>
    </row>
    <row r="976" customFormat="1" ht="18" spans="1:16">
      <c r="A976" s="10">
        <f t="shared" si="20"/>
        <v>975</v>
      </c>
      <c r="B976" s="31">
        <v>46174</v>
      </c>
      <c r="C976" s="32" t="s">
        <v>1156</v>
      </c>
      <c r="D976" s="120" t="s">
        <v>488</v>
      </c>
      <c r="E976" s="33" t="s">
        <v>42</v>
      </c>
      <c r="F976" s="18" t="s">
        <v>63</v>
      </c>
      <c r="G976" s="18" t="s">
        <v>148</v>
      </c>
      <c r="H976" s="34" t="s">
        <v>85</v>
      </c>
      <c r="I976" s="18" t="s">
        <v>104</v>
      </c>
      <c r="J976" s="31" t="s">
        <v>105</v>
      </c>
      <c r="K976" s="31">
        <v>46176</v>
      </c>
      <c r="L976" s="4"/>
      <c r="M976" s="4"/>
      <c r="N976" s="13" t="s">
        <v>29</v>
      </c>
      <c r="O976" s="35" t="str">
        <f>IF(D976="","",IF(COUNTIF(离职清单!C:C,D976)&gt;0,"已离职","在职"))</f>
        <v>在职</v>
      </c>
      <c r="P976" s="35" t="str">
        <f>IF(AND(O976="在职",J976="是"),COUNTIF(O$2:O976,"在职"),"")</f>
        <v/>
      </c>
    </row>
    <row r="977" customFormat="1" ht="18" spans="1:16">
      <c r="A977" s="14">
        <f t="shared" si="20"/>
        <v>976</v>
      </c>
      <c r="B977" s="31">
        <v>46174</v>
      </c>
      <c r="C977" s="32" t="s">
        <v>1157</v>
      </c>
      <c r="D977" s="120" t="s">
        <v>490</v>
      </c>
      <c r="E977" s="33" t="s">
        <v>42</v>
      </c>
      <c r="F977" s="18" t="s">
        <v>63</v>
      </c>
      <c r="G977" s="18" t="s">
        <v>148</v>
      </c>
      <c r="H977" s="34" t="s">
        <v>85</v>
      </c>
      <c r="I977" s="18" t="s">
        <v>104</v>
      </c>
      <c r="J977" s="31" t="s">
        <v>114</v>
      </c>
      <c r="K977" s="31" t="s">
        <v>1158</v>
      </c>
      <c r="L977" s="4"/>
      <c r="M977" s="4"/>
      <c r="N977" s="13" t="s">
        <v>29</v>
      </c>
      <c r="O977" s="35" t="str">
        <f>IF(D977="","",IF(COUNTIF(离职清单!C:C,D977)&gt;0,"已离职","在职"))</f>
        <v>在职</v>
      </c>
      <c r="P977" s="35">
        <f>IF(AND(O977="在职",J977="是"),COUNTIF(O$2:O977,"在职"),"")</f>
        <v>970</v>
      </c>
    </row>
    <row r="978" customFormat="1" ht="18" spans="1:16">
      <c r="A978" s="10">
        <f t="shared" si="20"/>
        <v>977</v>
      </c>
      <c r="B978" s="31">
        <v>46174</v>
      </c>
      <c r="C978" s="32" t="s">
        <v>1159</v>
      </c>
      <c r="D978" s="120" t="s">
        <v>492</v>
      </c>
      <c r="E978" s="33" t="s">
        <v>42</v>
      </c>
      <c r="F978" s="18" t="s">
        <v>64</v>
      </c>
      <c r="G978" s="18" t="s">
        <v>148</v>
      </c>
      <c r="H978" s="34" t="s">
        <v>85</v>
      </c>
      <c r="I978" s="18" t="s">
        <v>104</v>
      </c>
      <c r="J978" s="31" t="s">
        <v>105</v>
      </c>
      <c r="K978" s="31"/>
      <c r="L978" s="4"/>
      <c r="M978" s="4"/>
      <c r="N978" s="13" t="s">
        <v>29</v>
      </c>
      <c r="O978" s="35" t="str">
        <f>IF(D978="","",IF(COUNTIF(离职清单!C:C,D978)&gt;0,"已离职","在职"))</f>
        <v>在职</v>
      </c>
      <c r="P978" s="35" t="str">
        <f>IF(AND(O978="在职",J978="是"),COUNTIF(O$2:O978,"在职"),"")</f>
        <v/>
      </c>
    </row>
    <row r="979" customFormat="1" ht="18" spans="1:16">
      <c r="A979" s="14">
        <f t="shared" si="20"/>
        <v>978</v>
      </c>
      <c r="B979" s="31">
        <v>46174</v>
      </c>
      <c r="C979" s="32" t="s">
        <v>1160</v>
      </c>
      <c r="D979" s="120" t="s">
        <v>477</v>
      </c>
      <c r="E979" s="33" t="s">
        <v>42</v>
      </c>
      <c r="F979" s="18" t="s">
        <v>63</v>
      </c>
      <c r="G979" s="18" t="s">
        <v>176</v>
      </c>
      <c r="H979" s="34" t="s">
        <v>85</v>
      </c>
      <c r="I979" s="18" t="s">
        <v>104</v>
      </c>
      <c r="J979" s="31" t="s">
        <v>105</v>
      </c>
      <c r="K979" s="31">
        <v>46176</v>
      </c>
      <c r="L979" s="4"/>
      <c r="M979" s="4"/>
      <c r="N979" s="13" t="s">
        <v>29</v>
      </c>
      <c r="O979" s="35" t="str">
        <f>IF(D979="","",IF(COUNTIF(离职清单!C:C,D979)&gt;0,"已离职","在职"))</f>
        <v>在职</v>
      </c>
      <c r="P979" s="35" t="str">
        <f>IF(AND(O979="在职",J979="是"),COUNTIF(O$2:O979,"在职"),"")</f>
        <v/>
      </c>
    </row>
    <row r="980" customFormat="1" ht="18" spans="1:16">
      <c r="A980" s="10">
        <f t="shared" si="20"/>
        <v>979</v>
      </c>
      <c r="B980" s="31">
        <v>46174</v>
      </c>
      <c r="C980" s="32" t="s">
        <v>1161</v>
      </c>
      <c r="D980" s="120" t="s">
        <v>478</v>
      </c>
      <c r="E980" s="33" t="s">
        <v>42</v>
      </c>
      <c r="F980" s="18" t="s">
        <v>64</v>
      </c>
      <c r="G980" s="18" t="s">
        <v>176</v>
      </c>
      <c r="H980" s="34" t="s">
        <v>85</v>
      </c>
      <c r="I980" s="18" t="s">
        <v>104</v>
      </c>
      <c r="J980" s="31" t="s">
        <v>105</v>
      </c>
      <c r="K980" s="31" t="s">
        <v>1162</v>
      </c>
      <c r="L980" s="4"/>
      <c r="M980" s="4"/>
      <c r="N980" s="13" t="s">
        <v>29</v>
      </c>
      <c r="O980" s="35" t="str">
        <f>IF(D980="","",IF(COUNTIF(离职清单!C:C,D980)&gt;0,"已离职","在职"))</f>
        <v>在职</v>
      </c>
      <c r="P980" s="35" t="str">
        <f>IF(AND(O980="在职",J980="是"),COUNTIF(O$2:O980,"在职"),"")</f>
        <v/>
      </c>
    </row>
    <row r="981" customFormat="1" ht="18" spans="1:16">
      <c r="A981" s="14">
        <f t="shared" si="20"/>
        <v>980</v>
      </c>
      <c r="B981" s="31">
        <v>46174</v>
      </c>
      <c r="C981" s="32" t="s">
        <v>1163</v>
      </c>
      <c r="D981" s="120" t="s">
        <v>480</v>
      </c>
      <c r="E981" s="33" t="s">
        <v>42</v>
      </c>
      <c r="F981" s="18" t="s">
        <v>62</v>
      </c>
      <c r="G981" s="18" t="s">
        <v>117</v>
      </c>
      <c r="H981" s="34" t="s">
        <v>85</v>
      </c>
      <c r="I981" s="18" t="s">
        <v>104</v>
      </c>
      <c r="J981" s="31" t="s">
        <v>105</v>
      </c>
      <c r="K981" s="31"/>
      <c r="L981" s="4"/>
      <c r="M981" s="4"/>
      <c r="N981" s="13" t="s">
        <v>29</v>
      </c>
      <c r="O981" s="35" t="str">
        <f>IF(D981="","",IF(COUNTIF(离职清单!C:C,D981)&gt;0,"已离职","在职"))</f>
        <v>在职</v>
      </c>
      <c r="P981" s="35" t="str">
        <f>IF(AND(O981="在职",J981="是"),COUNTIF(O$2:O981,"在职"),"")</f>
        <v/>
      </c>
    </row>
    <row r="982" customFormat="1" ht="18" spans="1:16">
      <c r="A982" s="10">
        <f t="shared" si="20"/>
        <v>981</v>
      </c>
      <c r="B982" s="31">
        <v>46174</v>
      </c>
      <c r="C982" s="32" t="s">
        <v>1164</v>
      </c>
      <c r="D982" s="120" t="s">
        <v>482</v>
      </c>
      <c r="E982" s="33" t="s">
        <v>42</v>
      </c>
      <c r="F982" s="18" t="s">
        <v>62</v>
      </c>
      <c r="G982" s="18" t="s">
        <v>173</v>
      </c>
      <c r="H982" s="34" t="s">
        <v>85</v>
      </c>
      <c r="I982" s="18" t="s">
        <v>104</v>
      </c>
      <c r="J982" s="31" t="s">
        <v>105</v>
      </c>
      <c r="K982" s="31">
        <v>46177</v>
      </c>
      <c r="L982" s="4"/>
      <c r="M982" s="4"/>
      <c r="N982" s="13" t="s">
        <v>29</v>
      </c>
      <c r="O982" s="35" t="str">
        <f>IF(D982="","",IF(COUNTIF(离职清单!C:C,D982)&gt;0,"已离职","在职"))</f>
        <v>在职</v>
      </c>
      <c r="P982" s="35" t="str">
        <f>IF(AND(O982="在职",J982="是"),COUNTIF(O$2:O982,"在职"),"")</f>
        <v/>
      </c>
    </row>
    <row r="983" customFormat="1" ht="18" spans="1:16">
      <c r="A983" s="14">
        <f t="shared" si="20"/>
        <v>982</v>
      </c>
      <c r="B983" s="31">
        <v>46175</v>
      </c>
      <c r="C983" s="32" t="s">
        <v>1165</v>
      </c>
      <c r="D983" s="120" t="s">
        <v>484</v>
      </c>
      <c r="E983" s="33" t="s">
        <v>42</v>
      </c>
      <c r="F983" s="18" t="s">
        <v>63</v>
      </c>
      <c r="G983" s="18" t="s">
        <v>1166</v>
      </c>
      <c r="H983" s="34" t="s">
        <v>85</v>
      </c>
      <c r="I983" s="18" t="s">
        <v>104</v>
      </c>
      <c r="J983" s="31" t="s">
        <v>105</v>
      </c>
      <c r="K983" s="31">
        <v>46180</v>
      </c>
      <c r="L983" s="4"/>
      <c r="M983" s="4"/>
      <c r="N983" s="13" t="s">
        <v>29</v>
      </c>
      <c r="O983" s="35" t="str">
        <f>IF(D983="","",IF(COUNTIF(离职清单!C:C,D983)&gt;0,"已离职","在职"))</f>
        <v>在职</v>
      </c>
      <c r="P983" s="35" t="str">
        <f>IF(AND(O983="在职",J983="是"),COUNTIF(O$2:O983,"在职"),"")</f>
        <v/>
      </c>
    </row>
    <row r="984" customFormat="1" ht="18" spans="1:16">
      <c r="A984" s="10">
        <f t="shared" si="20"/>
        <v>983</v>
      </c>
      <c r="B984" s="31">
        <v>46175</v>
      </c>
      <c r="C984" s="32" t="s">
        <v>1167</v>
      </c>
      <c r="D984" s="120" t="s">
        <v>486</v>
      </c>
      <c r="E984" s="33" t="s">
        <v>42</v>
      </c>
      <c r="F984" s="18" t="s">
        <v>63</v>
      </c>
      <c r="G984" s="18" t="s">
        <v>1166</v>
      </c>
      <c r="H984" s="34" t="s">
        <v>85</v>
      </c>
      <c r="I984" s="18" t="s">
        <v>104</v>
      </c>
      <c r="J984" s="31" t="s">
        <v>105</v>
      </c>
      <c r="K984" s="31">
        <v>46177</v>
      </c>
      <c r="L984" s="4"/>
      <c r="M984" s="4"/>
      <c r="N984" s="13" t="s">
        <v>29</v>
      </c>
      <c r="O984" s="35" t="str">
        <f>IF(D984="","",IF(COUNTIF(离职清单!C:C,D984)&gt;0,"已离职","在职"))</f>
        <v>在职</v>
      </c>
      <c r="P984" s="35" t="str">
        <f>IF(AND(O984="在职",J984="是"),COUNTIF(O$2:O984,"在职"),"")</f>
        <v/>
      </c>
    </row>
    <row r="985" customFormat="1" ht="18" spans="1:16">
      <c r="A985" s="14">
        <f t="shared" si="20"/>
        <v>984</v>
      </c>
      <c r="B985" s="31">
        <v>46175</v>
      </c>
      <c r="C985" s="32" t="s">
        <v>1168</v>
      </c>
      <c r="D985" s="120" t="s">
        <v>488</v>
      </c>
      <c r="E985" s="33" t="s">
        <v>42</v>
      </c>
      <c r="F985" s="18" t="s">
        <v>64</v>
      </c>
      <c r="G985" s="18" t="s">
        <v>129</v>
      </c>
      <c r="H985" s="34" t="s">
        <v>85</v>
      </c>
      <c r="I985" s="18" t="s">
        <v>104</v>
      </c>
      <c r="J985" s="31" t="s">
        <v>105</v>
      </c>
      <c r="K985" s="31"/>
      <c r="L985" s="4"/>
      <c r="M985" s="4"/>
      <c r="N985" s="13" t="s">
        <v>29</v>
      </c>
      <c r="O985" s="35" t="str">
        <f>IF(D985="","",IF(COUNTIF(离职清单!C:C,D985)&gt;0,"已离职","在职"))</f>
        <v>在职</v>
      </c>
      <c r="P985" s="35" t="str">
        <f>IF(AND(O985="在职",J985="是"),COUNTIF(O$2:O985,"在职"),"")</f>
        <v/>
      </c>
    </row>
    <row r="986" customFormat="1" ht="18" spans="1:16">
      <c r="A986" s="10">
        <f t="shared" si="20"/>
        <v>985</v>
      </c>
      <c r="B986" s="31">
        <v>46175</v>
      </c>
      <c r="C986" s="32" t="s">
        <v>1169</v>
      </c>
      <c r="D986" s="120" t="s">
        <v>490</v>
      </c>
      <c r="E986" s="33" t="s">
        <v>42</v>
      </c>
      <c r="F986" s="18" t="s">
        <v>63</v>
      </c>
      <c r="G986" s="18" t="s">
        <v>129</v>
      </c>
      <c r="H986" s="34" t="s">
        <v>85</v>
      </c>
      <c r="I986" s="18" t="s">
        <v>104</v>
      </c>
      <c r="J986" s="31" t="s">
        <v>105</v>
      </c>
      <c r="K986" s="31">
        <v>46176</v>
      </c>
      <c r="L986" s="4"/>
      <c r="M986" s="4"/>
      <c r="N986" s="13" t="s">
        <v>29</v>
      </c>
      <c r="O986" s="35" t="str">
        <f>IF(D986="","",IF(COUNTIF(离职清单!C:C,D986)&gt;0,"已离职","在职"))</f>
        <v>在职</v>
      </c>
      <c r="P986" s="35" t="str">
        <f>IF(AND(O986="在职",J986="是"),COUNTIF(O$2:O986,"在职"),"")</f>
        <v/>
      </c>
    </row>
    <row r="987" customFormat="1" ht="18" spans="1:16">
      <c r="A987" s="14">
        <f t="shared" si="20"/>
        <v>986</v>
      </c>
      <c r="B987" s="31">
        <v>46175</v>
      </c>
      <c r="C987" s="32" t="s">
        <v>1170</v>
      </c>
      <c r="D987" s="120" t="s">
        <v>492</v>
      </c>
      <c r="E987" s="33" t="s">
        <v>42</v>
      </c>
      <c r="F987" s="18" t="s">
        <v>64</v>
      </c>
      <c r="G987" s="18" t="s">
        <v>148</v>
      </c>
      <c r="H987" s="34" t="s">
        <v>85</v>
      </c>
      <c r="I987" s="18" t="s">
        <v>104</v>
      </c>
      <c r="J987" s="31" t="s">
        <v>105</v>
      </c>
      <c r="K987" s="31"/>
      <c r="L987" s="4"/>
      <c r="M987" s="4"/>
      <c r="N987" s="13" t="s">
        <v>29</v>
      </c>
      <c r="O987" s="35" t="str">
        <f>IF(D987="","",IF(COUNTIF(离职清单!C:C,D987)&gt;0,"已离职","在职"))</f>
        <v>在职</v>
      </c>
      <c r="P987" s="35" t="str">
        <f>IF(AND(O987="在职",J987="是"),COUNTIF(O$2:O987,"在职"),"")</f>
        <v/>
      </c>
    </row>
    <row r="988" customFormat="1" ht="18" spans="1:16">
      <c r="A988" s="10">
        <f t="shared" si="20"/>
        <v>987</v>
      </c>
      <c r="B988" s="31">
        <v>46175</v>
      </c>
      <c r="C988" s="32" t="s">
        <v>1171</v>
      </c>
      <c r="D988" s="120" t="s">
        <v>477</v>
      </c>
      <c r="E988" s="33" t="s">
        <v>42</v>
      </c>
      <c r="F988" s="18" t="s">
        <v>62</v>
      </c>
      <c r="G988" s="18" t="s">
        <v>148</v>
      </c>
      <c r="H988" s="34" t="s">
        <v>85</v>
      </c>
      <c r="I988" s="18" t="s">
        <v>104</v>
      </c>
      <c r="J988" s="31" t="s">
        <v>105</v>
      </c>
      <c r="K988" s="31"/>
      <c r="L988" s="4"/>
      <c r="M988" s="4"/>
      <c r="N988" s="13" t="s">
        <v>29</v>
      </c>
      <c r="O988" s="35" t="str">
        <f>IF(D988="","",IF(COUNTIF(离职清单!C:C,D988)&gt;0,"已离职","在职"))</f>
        <v>在职</v>
      </c>
      <c r="P988" s="35" t="str">
        <f>IF(AND(O988="在职",J988="是"),COUNTIF(O$2:O988,"在职"),"")</f>
        <v/>
      </c>
    </row>
    <row r="989" customFormat="1" ht="18" spans="1:16">
      <c r="A989" s="14">
        <f t="shared" si="20"/>
        <v>988</v>
      </c>
      <c r="B989" s="31">
        <v>46175</v>
      </c>
      <c r="C989" s="32" t="s">
        <v>1172</v>
      </c>
      <c r="D989" s="120" t="s">
        <v>478</v>
      </c>
      <c r="E989" s="33" t="s">
        <v>42</v>
      </c>
      <c r="F989" s="18" t="s">
        <v>63</v>
      </c>
      <c r="G989" s="18" t="s">
        <v>148</v>
      </c>
      <c r="H989" s="34" t="s">
        <v>85</v>
      </c>
      <c r="I989" s="18" t="s">
        <v>104</v>
      </c>
      <c r="J989" s="31" t="s">
        <v>114</v>
      </c>
      <c r="K989" s="31">
        <v>46176</v>
      </c>
      <c r="L989" s="4"/>
      <c r="M989" s="4"/>
      <c r="N989" s="13" t="s">
        <v>29</v>
      </c>
      <c r="O989" s="35" t="str">
        <f>IF(D989="","",IF(COUNTIF(离职清单!C:C,D989)&gt;0,"已离职","在职"))</f>
        <v>在职</v>
      </c>
      <c r="P989" s="35">
        <f>IF(AND(O989="在职",J989="是"),COUNTIF(O$2:O989,"在职"),"")</f>
        <v>982</v>
      </c>
    </row>
    <row r="990" customFormat="1" ht="18" spans="1:16">
      <c r="A990" s="10">
        <f t="shared" si="20"/>
        <v>989</v>
      </c>
      <c r="B990" s="31">
        <v>46175</v>
      </c>
      <c r="C990" s="32" t="s">
        <v>1173</v>
      </c>
      <c r="D990" s="120" t="s">
        <v>480</v>
      </c>
      <c r="E990" s="33" t="s">
        <v>42</v>
      </c>
      <c r="F990" s="18" t="s">
        <v>64</v>
      </c>
      <c r="G990" s="18" t="s">
        <v>148</v>
      </c>
      <c r="H990" s="34" t="s">
        <v>85</v>
      </c>
      <c r="I990" s="18" t="s">
        <v>104</v>
      </c>
      <c r="J990" s="31" t="s">
        <v>105</v>
      </c>
      <c r="K990" s="31"/>
      <c r="L990" s="4"/>
      <c r="M990" s="4"/>
      <c r="N990" s="13" t="s">
        <v>29</v>
      </c>
      <c r="O990" s="35" t="str">
        <f>IF(D990="","",IF(COUNTIF(离职清单!C:C,D990)&gt;0,"已离职","在职"))</f>
        <v>在职</v>
      </c>
      <c r="P990" s="35" t="str">
        <f>IF(AND(O990="在职",J990="是"),COUNTIF(O$2:O990,"在职"),"")</f>
        <v/>
      </c>
    </row>
    <row r="991" customFormat="1" ht="18" spans="1:16">
      <c r="A991" s="14">
        <f t="shared" si="20"/>
        <v>990</v>
      </c>
      <c r="B991" s="31">
        <v>46175</v>
      </c>
      <c r="C991" s="32" t="s">
        <v>1174</v>
      </c>
      <c r="D991" s="120" t="s">
        <v>482</v>
      </c>
      <c r="E991" s="33" t="s">
        <v>42</v>
      </c>
      <c r="F991" s="18" t="s">
        <v>63</v>
      </c>
      <c r="G991" s="18" t="s">
        <v>148</v>
      </c>
      <c r="H991" s="34" t="s">
        <v>85</v>
      </c>
      <c r="I991" s="18" t="s">
        <v>104</v>
      </c>
      <c r="J991" s="31" t="s">
        <v>114</v>
      </c>
      <c r="K991" s="31">
        <v>46176</v>
      </c>
      <c r="L991" s="4"/>
      <c r="M991" s="4"/>
      <c r="N991" s="13" t="s">
        <v>29</v>
      </c>
      <c r="O991" s="35" t="str">
        <f>IF(D991="","",IF(COUNTIF(离职清单!C:C,D991)&gt;0,"已离职","在职"))</f>
        <v>在职</v>
      </c>
      <c r="P991" s="35">
        <f>IF(AND(O991="在职",J991="是"),COUNTIF(O$2:O991,"在职"),"")</f>
        <v>984</v>
      </c>
    </row>
    <row r="992" customFormat="1" ht="18" spans="1:16">
      <c r="A992" s="10">
        <f t="shared" si="20"/>
        <v>991</v>
      </c>
      <c r="B992" s="31">
        <v>46175</v>
      </c>
      <c r="C992" s="32" t="s">
        <v>1175</v>
      </c>
      <c r="D992" s="120" t="s">
        <v>484</v>
      </c>
      <c r="E992" s="33" t="s">
        <v>42</v>
      </c>
      <c r="F992" s="18" t="s">
        <v>63</v>
      </c>
      <c r="G992" s="18" t="s">
        <v>796</v>
      </c>
      <c r="H992" s="34" t="s">
        <v>85</v>
      </c>
      <c r="I992" s="18" t="s">
        <v>104</v>
      </c>
      <c r="J992" s="31" t="s">
        <v>105</v>
      </c>
      <c r="K992" s="31"/>
      <c r="L992" s="4"/>
      <c r="M992" s="4"/>
      <c r="N992" s="13" t="s">
        <v>29</v>
      </c>
      <c r="O992" s="35" t="str">
        <f>IF(D992="","",IF(COUNTIF(离职清单!C:C,D992)&gt;0,"已离职","在职"))</f>
        <v>在职</v>
      </c>
      <c r="P992" s="35" t="str">
        <f>IF(AND(O992="在职",J992="是"),COUNTIF(O$2:O992,"在职"),"")</f>
        <v/>
      </c>
    </row>
    <row r="993" customFormat="1" ht="18" spans="1:16">
      <c r="A993" s="14">
        <f t="shared" si="20"/>
        <v>992</v>
      </c>
      <c r="B993" s="31">
        <v>46175</v>
      </c>
      <c r="C993" s="32" t="s">
        <v>1176</v>
      </c>
      <c r="D993" s="120" t="s">
        <v>486</v>
      </c>
      <c r="E993" s="33" t="s">
        <v>42</v>
      </c>
      <c r="F993" s="18" t="s">
        <v>62</v>
      </c>
      <c r="G993" s="18" t="s">
        <v>246</v>
      </c>
      <c r="H993" s="34" t="s">
        <v>85</v>
      </c>
      <c r="I993" s="18" t="s">
        <v>104</v>
      </c>
      <c r="J993" s="31" t="s">
        <v>105</v>
      </c>
      <c r="K993" s="31"/>
      <c r="L993" s="4"/>
      <c r="M993" s="4"/>
      <c r="N993" s="13" t="s">
        <v>29</v>
      </c>
      <c r="O993" s="35" t="str">
        <f>IF(D993="","",IF(COUNTIF(离职清单!C:C,D993)&gt;0,"已离职","在职"))</f>
        <v>在职</v>
      </c>
      <c r="P993" s="35" t="str">
        <f>IF(AND(O993="在职",J993="是"),COUNTIF(O$2:O993,"在职"),"")</f>
        <v/>
      </c>
    </row>
    <row r="994" customFormat="1" ht="18" spans="1:16">
      <c r="A994" s="10">
        <f t="shared" si="20"/>
        <v>993</v>
      </c>
      <c r="B994" s="31">
        <v>46175</v>
      </c>
      <c r="C994" s="32" t="s">
        <v>1177</v>
      </c>
      <c r="D994" s="120" t="s">
        <v>488</v>
      </c>
      <c r="E994" s="33" t="s">
        <v>42</v>
      </c>
      <c r="F994" s="18" t="s">
        <v>62</v>
      </c>
      <c r="G994" s="18" t="s">
        <v>690</v>
      </c>
      <c r="H994" s="34" t="s">
        <v>85</v>
      </c>
      <c r="I994" s="18" t="s">
        <v>104</v>
      </c>
      <c r="J994" s="31" t="s">
        <v>105</v>
      </c>
      <c r="K994" s="31"/>
      <c r="L994" s="4"/>
      <c r="M994" s="4"/>
      <c r="N994" s="13" t="s">
        <v>29</v>
      </c>
      <c r="O994" s="35" t="str">
        <f>IF(D994="","",IF(COUNTIF(离职清单!C:C,D994)&gt;0,"已离职","在职"))</f>
        <v>在职</v>
      </c>
      <c r="P994" s="35" t="str">
        <f>IF(AND(O994="在职",J994="是"),COUNTIF(O$2:O994,"在职"),"")</f>
        <v/>
      </c>
    </row>
    <row r="995" customFormat="1" ht="18" spans="1:16">
      <c r="A995" s="14">
        <f t="shared" si="20"/>
        <v>994</v>
      </c>
      <c r="B995" s="31">
        <v>46175</v>
      </c>
      <c r="C995" s="32" t="s">
        <v>1178</v>
      </c>
      <c r="D995" s="120" t="s">
        <v>490</v>
      </c>
      <c r="E995" s="33" t="s">
        <v>42</v>
      </c>
      <c r="F995" s="18" t="s">
        <v>64</v>
      </c>
      <c r="G995" s="18" t="s">
        <v>173</v>
      </c>
      <c r="H995" s="34" t="s">
        <v>85</v>
      </c>
      <c r="I995" s="18" t="s">
        <v>104</v>
      </c>
      <c r="J995" s="31" t="s">
        <v>105</v>
      </c>
      <c r="K995" s="31"/>
      <c r="L995" s="4"/>
      <c r="M995" s="4"/>
      <c r="N995" s="13" t="s">
        <v>29</v>
      </c>
      <c r="O995" s="35" t="str">
        <f>IF(D995="","",IF(COUNTIF(离职清单!C:C,D995)&gt;0,"已离职","在职"))</f>
        <v>在职</v>
      </c>
      <c r="P995" s="35" t="str">
        <f>IF(AND(O995="在职",J995="是"),COUNTIF(O$2:O995,"在职"),"")</f>
        <v/>
      </c>
    </row>
    <row r="996" customFormat="1" ht="18" spans="1:16">
      <c r="A996" s="10">
        <f t="shared" si="20"/>
        <v>995</v>
      </c>
      <c r="B996" s="31">
        <v>46175</v>
      </c>
      <c r="C996" s="32" t="s">
        <v>1179</v>
      </c>
      <c r="D996" s="120" t="s">
        <v>492</v>
      </c>
      <c r="E996" s="33" t="s">
        <v>42</v>
      </c>
      <c r="F996" s="18" t="s">
        <v>62</v>
      </c>
      <c r="G996" s="18" t="s">
        <v>173</v>
      </c>
      <c r="H996" s="34" t="s">
        <v>85</v>
      </c>
      <c r="I996" s="18" t="s">
        <v>104</v>
      </c>
      <c r="J996" s="31" t="s">
        <v>114</v>
      </c>
      <c r="K996" s="31">
        <v>46176</v>
      </c>
      <c r="L996" s="4"/>
      <c r="M996" s="4"/>
      <c r="N996" s="13" t="s">
        <v>29</v>
      </c>
      <c r="O996" s="35" t="str">
        <f>IF(D996="","",IF(COUNTIF(离职清单!C:C,D996)&gt;0,"已离职","在职"))</f>
        <v>在职</v>
      </c>
      <c r="P996" s="35">
        <f>IF(AND(O996="在职",J996="是"),COUNTIF(O$2:O996,"在职"),"")</f>
        <v>989</v>
      </c>
    </row>
    <row r="997" customFormat="1" ht="18" spans="1:16">
      <c r="A997" s="14">
        <f t="shared" si="20"/>
        <v>996</v>
      </c>
      <c r="B997" s="31">
        <v>46175</v>
      </c>
      <c r="C997" s="32" t="s">
        <v>1180</v>
      </c>
      <c r="D997" s="120" t="s">
        <v>477</v>
      </c>
      <c r="E997" s="33" t="s">
        <v>42</v>
      </c>
      <c r="F997" s="18" t="s">
        <v>62</v>
      </c>
      <c r="G997" s="18" t="s">
        <v>173</v>
      </c>
      <c r="H997" s="34" t="s">
        <v>85</v>
      </c>
      <c r="I997" s="18" t="s">
        <v>104</v>
      </c>
      <c r="J997" s="31" t="s">
        <v>114</v>
      </c>
      <c r="K997" s="31">
        <v>46176</v>
      </c>
      <c r="L997" s="4"/>
      <c r="M997" s="4"/>
      <c r="N997" s="13" t="s">
        <v>29</v>
      </c>
      <c r="O997" s="35" t="str">
        <f>IF(D997="","",IF(COUNTIF(离职清单!C:C,D997)&gt;0,"已离职","在职"))</f>
        <v>在职</v>
      </c>
      <c r="P997" s="35">
        <f>IF(AND(O997="在职",J997="是"),COUNTIF(O$2:O997,"在职"),"")</f>
        <v>990</v>
      </c>
    </row>
    <row r="998" customFormat="1" ht="18" spans="1:16">
      <c r="A998" s="10">
        <f t="shared" si="20"/>
        <v>997</v>
      </c>
      <c r="B998" s="31">
        <v>46175</v>
      </c>
      <c r="C998" s="32" t="s">
        <v>1181</v>
      </c>
      <c r="D998" s="120" t="s">
        <v>478</v>
      </c>
      <c r="E998" s="33" t="s">
        <v>42</v>
      </c>
      <c r="F998" s="18" t="s">
        <v>64</v>
      </c>
      <c r="G998" s="18" t="s">
        <v>148</v>
      </c>
      <c r="H998" s="34" t="s">
        <v>85</v>
      </c>
      <c r="I998" s="18" t="s">
        <v>104</v>
      </c>
      <c r="J998" s="31" t="s">
        <v>114</v>
      </c>
      <c r="K998" s="31"/>
      <c r="L998" s="4"/>
      <c r="M998" s="4"/>
      <c r="N998" s="13" t="s">
        <v>29</v>
      </c>
      <c r="O998" s="35" t="str">
        <f>IF(D998="","",IF(COUNTIF(离职清单!C:C,D998)&gt;0,"已离职","在职"))</f>
        <v>在职</v>
      </c>
      <c r="P998" s="35">
        <f>IF(AND(O998="在职",J998="是"),COUNTIF(O$2:O998,"在职"),"")</f>
        <v>991</v>
      </c>
    </row>
    <row r="999" customFormat="1" ht="18" spans="1:16">
      <c r="A999" s="14">
        <f t="shared" si="20"/>
        <v>998</v>
      </c>
      <c r="B999" s="31">
        <v>46175</v>
      </c>
      <c r="C999" s="32" t="s">
        <v>1182</v>
      </c>
      <c r="D999" s="120" t="s">
        <v>480</v>
      </c>
      <c r="E999" s="33" t="s">
        <v>42</v>
      </c>
      <c r="F999" s="18" t="s">
        <v>64</v>
      </c>
      <c r="G999" s="18" t="s">
        <v>1166</v>
      </c>
      <c r="H999" s="34" t="s">
        <v>85</v>
      </c>
      <c r="I999" s="18" t="s">
        <v>104</v>
      </c>
      <c r="J999" s="31" t="s">
        <v>114</v>
      </c>
      <c r="K999" s="31">
        <v>46178</v>
      </c>
      <c r="L999" s="4"/>
      <c r="M999" s="4"/>
      <c r="N999" s="13" t="s">
        <v>29</v>
      </c>
      <c r="O999" s="35" t="str">
        <f>IF(D999="","",IF(COUNTIF(离职清单!C:C,D999)&gt;0,"已离职","在职"))</f>
        <v>在职</v>
      </c>
      <c r="P999" s="35">
        <f>IF(AND(O999="在职",J999="是"),COUNTIF(O$2:O999,"在职"),"")</f>
        <v>992</v>
      </c>
    </row>
    <row r="1000" customFormat="1" ht="18" spans="1:16">
      <c r="A1000" s="10">
        <f t="shared" si="20"/>
        <v>999</v>
      </c>
      <c r="B1000" s="31">
        <v>46175</v>
      </c>
      <c r="C1000" s="32" t="s">
        <v>1183</v>
      </c>
      <c r="D1000" s="120" t="s">
        <v>482</v>
      </c>
      <c r="E1000" s="33" t="s">
        <v>42</v>
      </c>
      <c r="F1000" s="18" t="s">
        <v>62</v>
      </c>
      <c r="G1000" s="18" t="s">
        <v>103</v>
      </c>
      <c r="H1000" s="34" t="s">
        <v>85</v>
      </c>
      <c r="I1000" s="18" t="s">
        <v>104</v>
      </c>
      <c r="J1000" s="31" t="s">
        <v>105</v>
      </c>
      <c r="K1000" s="31">
        <v>46176</v>
      </c>
      <c r="L1000" s="4"/>
      <c r="M1000" s="4"/>
      <c r="N1000" s="13" t="s">
        <v>29</v>
      </c>
      <c r="O1000" s="35" t="str">
        <f>IF(D1000="","",IF(COUNTIF(离职清单!C:C,D1000)&gt;0,"已离职","在职"))</f>
        <v>在职</v>
      </c>
      <c r="P1000" s="35" t="str">
        <f>IF(AND(O1000="在职",J1000="是"),COUNTIF(O$2:O1000,"在职"),"")</f>
        <v/>
      </c>
    </row>
    <row r="1001" customFormat="1" ht="18" spans="1:16">
      <c r="A1001" s="14">
        <f t="shared" si="20"/>
        <v>1000</v>
      </c>
      <c r="B1001" s="31">
        <v>46175</v>
      </c>
      <c r="C1001" s="32" t="s">
        <v>1184</v>
      </c>
      <c r="D1001" s="120" t="s">
        <v>484</v>
      </c>
      <c r="E1001" s="33" t="s">
        <v>42</v>
      </c>
      <c r="F1001" s="18" t="s">
        <v>63</v>
      </c>
      <c r="G1001" s="18" t="s">
        <v>103</v>
      </c>
      <c r="H1001" s="34" t="s">
        <v>85</v>
      </c>
      <c r="I1001" s="18" t="s">
        <v>104</v>
      </c>
      <c r="J1001" s="31" t="s">
        <v>105</v>
      </c>
      <c r="K1001" s="31">
        <v>46176</v>
      </c>
      <c r="L1001" s="4"/>
      <c r="M1001" s="4"/>
      <c r="N1001" s="13" t="s">
        <v>29</v>
      </c>
      <c r="O1001" s="35" t="str">
        <f>IF(D1001="","",IF(COUNTIF(离职清单!C:C,D1001)&gt;0,"已离职","在职"))</f>
        <v>在职</v>
      </c>
      <c r="P1001" s="35" t="str">
        <f>IF(AND(O1001="在职",J1001="是"),COUNTIF(O$2:O1001,"在职"),"")</f>
        <v/>
      </c>
    </row>
    <row r="1002" customFormat="1" ht="18" spans="1:16">
      <c r="A1002" s="10">
        <f t="shared" si="20"/>
        <v>1001</v>
      </c>
      <c r="B1002" s="31">
        <v>46175</v>
      </c>
      <c r="C1002" s="32" t="s">
        <v>1185</v>
      </c>
      <c r="D1002" s="120" t="s">
        <v>486</v>
      </c>
      <c r="E1002" s="33" t="s">
        <v>42</v>
      </c>
      <c r="F1002" s="18" t="s">
        <v>62</v>
      </c>
      <c r="G1002" s="18" t="s">
        <v>233</v>
      </c>
      <c r="H1002" s="34" t="s">
        <v>85</v>
      </c>
      <c r="I1002" s="18" t="s">
        <v>104</v>
      </c>
      <c r="J1002" s="31" t="s">
        <v>114</v>
      </c>
      <c r="K1002" s="31">
        <v>46177</v>
      </c>
      <c r="L1002" s="4"/>
      <c r="M1002" s="4"/>
      <c r="N1002" s="13" t="s">
        <v>29</v>
      </c>
      <c r="O1002" s="35" t="str">
        <f>IF(D1002="","",IF(COUNTIF(离职清单!C:C,D1002)&gt;0,"已离职","在职"))</f>
        <v>在职</v>
      </c>
      <c r="P1002" s="35">
        <f>IF(AND(O1002="在职",J1002="是"),COUNTIF(O$2:O1002,"在职"),"")</f>
        <v>995</v>
      </c>
    </row>
    <row r="1003" customFormat="1" ht="18" spans="1:16">
      <c r="A1003" s="14">
        <f t="shared" si="20"/>
        <v>1002</v>
      </c>
      <c r="B1003" s="31">
        <v>46175</v>
      </c>
      <c r="C1003" s="32" t="s">
        <v>574</v>
      </c>
      <c r="D1003" s="120" t="s">
        <v>488</v>
      </c>
      <c r="E1003" s="33" t="s">
        <v>42</v>
      </c>
      <c r="F1003" s="18" t="s">
        <v>64</v>
      </c>
      <c r="G1003" s="18" t="s">
        <v>117</v>
      </c>
      <c r="H1003" s="34" t="s">
        <v>85</v>
      </c>
      <c r="I1003" s="18" t="s">
        <v>104</v>
      </c>
      <c r="J1003" s="31" t="s">
        <v>114</v>
      </c>
      <c r="K1003" s="31"/>
      <c r="L1003" s="4"/>
      <c r="M1003" s="4"/>
      <c r="N1003" s="13" t="s">
        <v>29</v>
      </c>
      <c r="O1003" s="35" t="str">
        <f>IF(D1003="","",IF(COUNTIF(离职清单!C:C,D1003)&gt;0,"已离职","在职"))</f>
        <v>在职</v>
      </c>
      <c r="P1003" s="35">
        <f>IF(AND(O1003="在职",J1003="是"),COUNTIF(O$2:O1003,"在职"),"")</f>
        <v>996</v>
      </c>
    </row>
    <row r="1004" customFormat="1" ht="18" spans="1:16">
      <c r="A1004" s="10">
        <f t="shared" ref="A1004:A1067" si="21">IF(B1004&lt;&gt;"",ROW()-1,"")</f>
        <v>1003</v>
      </c>
      <c r="B1004" s="31">
        <v>46175</v>
      </c>
      <c r="C1004" s="32" t="s">
        <v>763</v>
      </c>
      <c r="D1004" s="120" t="s">
        <v>490</v>
      </c>
      <c r="E1004" s="33" t="s">
        <v>42</v>
      </c>
      <c r="F1004" s="18" t="s">
        <v>64</v>
      </c>
      <c r="G1004" s="18" t="s">
        <v>512</v>
      </c>
      <c r="H1004" s="34" t="s">
        <v>85</v>
      </c>
      <c r="I1004" s="18" t="s">
        <v>104</v>
      </c>
      <c r="J1004" s="31" t="s">
        <v>105</v>
      </c>
      <c r="K1004" s="31"/>
      <c r="L1004" s="4"/>
      <c r="M1004" s="4"/>
      <c r="N1004" s="13" t="s">
        <v>29</v>
      </c>
      <c r="O1004" s="35" t="str">
        <f>IF(D1004="","",IF(COUNTIF(离职清单!C:C,D1004)&gt;0,"已离职","在职"))</f>
        <v>在职</v>
      </c>
      <c r="P1004" s="35" t="str">
        <f>IF(AND(O1004="在职",J1004="是"),COUNTIF(O$2:O1004,"在职"),"")</f>
        <v/>
      </c>
    </row>
    <row r="1005" customFormat="1" ht="18" spans="1:16">
      <c r="A1005" s="14">
        <f t="shared" si="21"/>
        <v>1004</v>
      </c>
      <c r="B1005" s="31">
        <v>46175</v>
      </c>
      <c r="C1005" s="32" t="s">
        <v>511</v>
      </c>
      <c r="D1005" s="120" t="s">
        <v>492</v>
      </c>
      <c r="E1005" s="33" t="s">
        <v>42</v>
      </c>
      <c r="F1005" s="18" t="s">
        <v>64</v>
      </c>
      <c r="G1005" s="18" t="s">
        <v>512</v>
      </c>
      <c r="H1005" s="34" t="s">
        <v>85</v>
      </c>
      <c r="I1005" s="18" t="s">
        <v>104</v>
      </c>
      <c r="J1005" s="31" t="s">
        <v>114</v>
      </c>
      <c r="K1005" s="31"/>
      <c r="L1005" s="4"/>
      <c r="M1005" s="4"/>
      <c r="N1005" s="13" t="s">
        <v>29</v>
      </c>
      <c r="O1005" s="35" t="str">
        <f>IF(D1005="","",IF(COUNTIF(离职清单!C:C,D1005)&gt;0,"已离职","在职"))</f>
        <v>在职</v>
      </c>
      <c r="P1005" s="35">
        <f>IF(AND(O1005="在职",J1005="是"),COUNTIF(O$2:O1005,"在职"),"")</f>
        <v>998</v>
      </c>
    </row>
    <row r="1006" customFormat="1" ht="18" spans="1:16">
      <c r="A1006" s="10">
        <f t="shared" si="21"/>
        <v>1005</v>
      </c>
      <c r="B1006" s="31">
        <v>46175</v>
      </c>
      <c r="C1006" s="32" t="s">
        <v>1186</v>
      </c>
      <c r="D1006" s="120" t="s">
        <v>477</v>
      </c>
      <c r="E1006" s="33" t="s">
        <v>42</v>
      </c>
      <c r="F1006" s="18" t="s">
        <v>64</v>
      </c>
      <c r="G1006" s="18" t="s">
        <v>512</v>
      </c>
      <c r="H1006" s="34" t="s">
        <v>85</v>
      </c>
      <c r="I1006" s="18" t="s">
        <v>104</v>
      </c>
      <c r="J1006" s="31" t="s">
        <v>105</v>
      </c>
      <c r="K1006" s="31"/>
      <c r="L1006" s="4"/>
      <c r="M1006" s="4"/>
      <c r="N1006" s="13" t="s">
        <v>29</v>
      </c>
      <c r="O1006" s="35" t="str">
        <f>IF(D1006="","",IF(COUNTIF(离职清单!C:C,D1006)&gt;0,"已离职","在职"))</f>
        <v>在职</v>
      </c>
      <c r="P1006" s="35" t="str">
        <f>IF(AND(O1006="在职",J1006="是"),COUNTIF(O$2:O1006,"在职"),"")</f>
        <v/>
      </c>
    </row>
    <row r="1007" customFormat="1" ht="18" spans="1:16">
      <c r="A1007" s="14">
        <f t="shared" si="21"/>
        <v>1006</v>
      </c>
      <c r="B1007" s="31">
        <v>46175</v>
      </c>
      <c r="C1007" s="32" t="s">
        <v>576</v>
      </c>
      <c r="D1007" s="120" t="s">
        <v>477</v>
      </c>
      <c r="E1007" s="33" t="s">
        <v>42</v>
      </c>
      <c r="F1007" s="18" t="s">
        <v>64</v>
      </c>
      <c r="G1007" s="18" t="s">
        <v>512</v>
      </c>
      <c r="H1007" s="34" t="s">
        <v>85</v>
      </c>
      <c r="I1007" s="18" t="s">
        <v>104</v>
      </c>
      <c r="J1007" s="31" t="s">
        <v>114</v>
      </c>
      <c r="K1007" s="31"/>
      <c r="L1007" s="4"/>
      <c r="M1007" s="4"/>
      <c r="N1007" s="13" t="s">
        <v>29</v>
      </c>
      <c r="O1007" s="35" t="str">
        <f>IF(D1007="","",IF(COUNTIF(离职清单!C:C,D1007)&gt;0,"已离职","在职"))</f>
        <v>在职</v>
      </c>
      <c r="P1007" s="35">
        <f>IF(AND(O1007="在职",J1007="是"),COUNTIF(O$2:O1007,"在职"),"")</f>
        <v>1000</v>
      </c>
    </row>
    <row r="1008" customFormat="1" ht="18" spans="1:16">
      <c r="A1008" s="10">
        <f t="shared" si="21"/>
        <v>1007</v>
      </c>
      <c r="B1008" s="31">
        <v>46175</v>
      </c>
      <c r="C1008" s="32" t="s">
        <v>1187</v>
      </c>
      <c r="D1008" s="120" t="s">
        <v>478</v>
      </c>
      <c r="E1008" s="33" t="s">
        <v>42</v>
      </c>
      <c r="F1008" s="18" t="s">
        <v>64</v>
      </c>
      <c r="G1008" s="18" t="s">
        <v>512</v>
      </c>
      <c r="H1008" s="34" t="s">
        <v>85</v>
      </c>
      <c r="I1008" s="18" t="s">
        <v>104</v>
      </c>
      <c r="J1008" s="31" t="s">
        <v>105</v>
      </c>
      <c r="K1008" s="31"/>
      <c r="L1008" s="4"/>
      <c r="M1008" s="4"/>
      <c r="N1008" s="13" t="s">
        <v>29</v>
      </c>
      <c r="O1008" s="35" t="str">
        <f>IF(D1008="","",IF(COUNTIF(离职清单!C:C,D1008)&gt;0,"已离职","在职"))</f>
        <v>在职</v>
      </c>
      <c r="P1008" s="35" t="str">
        <f>IF(AND(O1008="在职",J1008="是"),COUNTIF(O$2:O1008,"在职"),"")</f>
        <v/>
      </c>
    </row>
    <row r="1009" customFormat="1" ht="18" spans="1:16">
      <c r="A1009" s="14">
        <f t="shared" si="21"/>
        <v>1008</v>
      </c>
      <c r="B1009" s="31">
        <v>46175</v>
      </c>
      <c r="C1009" s="32" t="s">
        <v>892</v>
      </c>
      <c r="D1009" s="120" t="s">
        <v>480</v>
      </c>
      <c r="E1009" s="33" t="s">
        <v>42</v>
      </c>
      <c r="F1009" s="18" t="s">
        <v>64</v>
      </c>
      <c r="G1009" s="18" t="s">
        <v>512</v>
      </c>
      <c r="H1009" s="34" t="s">
        <v>85</v>
      </c>
      <c r="I1009" s="18" t="s">
        <v>104</v>
      </c>
      <c r="J1009" s="31" t="s">
        <v>105</v>
      </c>
      <c r="K1009" s="31"/>
      <c r="L1009" s="4"/>
      <c r="M1009" s="4"/>
      <c r="N1009" s="13" t="s">
        <v>29</v>
      </c>
      <c r="O1009" s="35" t="str">
        <f>IF(D1009="","",IF(COUNTIF(离职清单!C:C,D1009)&gt;0,"已离职","在职"))</f>
        <v>在职</v>
      </c>
      <c r="P1009" s="35" t="str">
        <f>IF(AND(O1009="在职",J1009="是"),COUNTIF(O$2:O1009,"在职"),"")</f>
        <v/>
      </c>
    </row>
    <row r="1010" customFormat="1" ht="18" spans="1:16">
      <c r="A1010" s="10">
        <f t="shared" si="21"/>
        <v>1009</v>
      </c>
      <c r="B1010" s="31">
        <v>46175</v>
      </c>
      <c r="C1010" s="32" t="s">
        <v>1188</v>
      </c>
      <c r="D1010" s="120" t="s">
        <v>482</v>
      </c>
      <c r="E1010" s="33" t="s">
        <v>42</v>
      </c>
      <c r="F1010" s="18" t="s">
        <v>64</v>
      </c>
      <c r="G1010" s="18" t="s">
        <v>512</v>
      </c>
      <c r="H1010" s="34" t="s">
        <v>85</v>
      </c>
      <c r="I1010" s="18" t="s">
        <v>104</v>
      </c>
      <c r="J1010" s="31" t="s">
        <v>105</v>
      </c>
      <c r="K1010" s="31"/>
      <c r="L1010" s="4"/>
      <c r="M1010" s="4"/>
      <c r="N1010" s="13" t="s">
        <v>29</v>
      </c>
      <c r="O1010" s="35" t="str">
        <f>IF(D1010="","",IF(COUNTIF(离职清单!C:C,D1010)&gt;0,"已离职","在职"))</f>
        <v>在职</v>
      </c>
      <c r="P1010" s="35" t="str">
        <f>IF(AND(O1010="在职",J1010="是"),COUNTIF(O$2:O1010,"在职"),"")</f>
        <v/>
      </c>
    </row>
    <row r="1011" customFormat="1" ht="18" spans="1:16">
      <c r="A1011" s="14">
        <f t="shared" si="21"/>
        <v>1010</v>
      </c>
      <c r="B1011" s="31">
        <v>46175</v>
      </c>
      <c r="C1011" s="32" t="s">
        <v>513</v>
      </c>
      <c r="D1011" s="120" t="s">
        <v>484</v>
      </c>
      <c r="E1011" s="33" t="s">
        <v>42</v>
      </c>
      <c r="F1011" s="18" t="s">
        <v>64</v>
      </c>
      <c r="G1011" s="18" t="s">
        <v>512</v>
      </c>
      <c r="H1011" s="34" t="s">
        <v>85</v>
      </c>
      <c r="I1011" s="18" t="s">
        <v>104</v>
      </c>
      <c r="J1011" s="31" t="s">
        <v>105</v>
      </c>
      <c r="K1011" s="31"/>
      <c r="L1011" s="4"/>
      <c r="M1011" s="4"/>
      <c r="N1011" s="13" t="s">
        <v>29</v>
      </c>
      <c r="O1011" s="35" t="str">
        <f>IF(D1011="","",IF(COUNTIF(离职清单!C:C,D1011)&gt;0,"已离职","在职"))</f>
        <v>在职</v>
      </c>
      <c r="P1011" s="35" t="str">
        <f>IF(AND(O1011="在职",J1011="是"),COUNTIF(O$2:O1011,"在职"),"")</f>
        <v/>
      </c>
    </row>
    <row r="1012" customFormat="1" ht="18" spans="1:16">
      <c r="A1012" s="10">
        <f t="shared" si="21"/>
        <v>1011</v>
      </c>
      <c r="B1012" s="31">
        <v>46175</v>
      </c>
      <c r="C1012" s="32" t="s">
        <v>1189</v>
      </c>
      <c r="D1012" s="120" t="s">
        <v>486</v>
      </c>
      <c r="E1012" s="33" t="s">
        <v>42</v>
      </c>
      <c r="F1012" s="18" t="s">
        <v>64</v>
      </c>
      <c r="G1012" s="18" t="s">
        <v>512</v>
      </c>
      <c r="H1012" s="34" t="s">
        <v>85</v>
      </c>
      <c r="I1012" s="18" t="s">
        <v>104</v>
      </c>
      <c r="J1012" s="31" t="s">
        <v>105</v>
      </c>
      <c r="K1012" s="31"/>
      <c r="L1012" s="4"/>
      <c r="M1012" s="4"/>
      <c r="N1012" s="13" t="s">
        <v>29</v>
      </c>
      <c r="O1012" s="35" t="str">
        <f>IF(D1012="","",IF(COUNTIF(离职清单!C:C,D1012)&gt;0,"已离职","在职"))</f>
        <v>在职</v>
      </c>
      <c r="P1012" s="35" t="str">
        <f>IF(AND(O1012="在职",J1012="是"),COUNTIF(O$2:O1012,"在职"),"")</f>
        <v/>
      </c>
    </row>
    <row r="1013" customFormat="1" ht="18" spans="1:16">
      <c r="A1013" s="14">
        <f t="shared" si="21"/>
        <v>1012</v>
      </c>
      <c r="B1013" s="31">
        <v>46175</v>
      </c>
      <c r="C1013" s="32" t="s">
        <v>1190</v>
      </c>
      <c r="D1013" s="120" t="s">
        <v>488</v>
      </c>
      <c r="E1013" s="33" t="s">
        <v>42</v>
      </c>
      <c r="F1013" s="18" t="s">
        <v>63</v>
      </c>
      <c r="G1013" s="18" t="s">
        <v>307</v>
      </c>
      <c r="H1013" s="34" t="s">
        <v>85</v>
      </c>
      <c r="I1013" s="18" t="s">
        <v>104</v>
      </c>
      <c r="J1013" s="31" t="s">
        <v>114</v>
      </c>
      <c r="K1013" s="31">
        <v>46176</v>
      </c>
      <c r="L1013" s="4"/>
      <c r="M1013" s="4"/>
      <c r="N1013" s="13" t="s">
        <v>29</v>
      </c>
      <c r="O1013" s="35" t="str">
        <f>IF(D1013="","",IF(COUNTIF(离职清单!C:C,D1013)&gt;0,"已离职","在职"))</f>
        <v>在职</v>
      </c>
      <c r="P1013" s="35">
        <f>IF(AND(O1013="在职",J1013="是"),COUNTIF(O$2:O1013,"在职"),"")</f>
        <v>1006</v>
      </c>
    </row>
    <row r="1014" customFormat="1" ht="18" spans="1:16">
      <c r="A1014" s="10">
        <f t="shared" si="21"/>
        <v>1013</v>
      </c>
      <c r="B1014" s="31">
        <v>46175</v>
      </c>
      <c r="C1014" s="32" t="s">
        <v>1191</v>
      </c>
      <c r="D1014" s="120" t="s">
        <v>490</v>
      </c>
      <c r="E1014" s="33" t="s">
        <v>42</v>
      </c>
      <c r="F1014" s="18" t="s">
        <v>62</v>
      </c>
      <c r="G1014" s="18" t="s">
        <v>307</v>
      </c>
      <c r="H1014" s="34" t="s">
        <v>85</v>
      </c>
      <c r="I1014" s="18" t="s">
        <v>104</v>
      </c>
      <c r="J1014" s="31" t="s">
        <v>114</v>
      </c>
      <c r="K1014" s="31">
        <v>46178</v>
      </c>
      <c r="L1014" s="4"/>
      <c r="M1014" s="4"/>
      <c r="N1014" s="13" t="s">
        <v>29</v>
      </c>
      <c r="O1014" s="35" t="str">
        <f>IF(D1014="","",IF(COUNTIF(离职清单!C:C,D1014)&gt;0,"已离职","在职"))</f>
        <v>在职</v>
      </c>
      <c r="P1014" s="35">
        <f>IF(AND(O1014="在职",J1014="是"),COUNTIF(O$2:O1014,"在职"),"")</f>
        <v>1007</v>
      </c>
    </row>
    <row r="1015" customFormat="1" ht="18" spans="1:16">
      <c r="A1015" s="14">
        <f t="shared" si="21"/>
        <v>1014</v>
      </c>
      <c r="B1015" s="31">
        <v>46175</v>
      </c>
      <c r="C1015" s="32" t="s">
        <v>1192</v>
      </c>
      <c r="D1015" s="120" t="s">
        <v>492</v>
      </c>
      <c r="E1015" s="33" t="s">
        <v>42</v>
      </c>
      <c r="F1015" s="18" t="s">
        <v>64</v>
      </c>
      <c r="G1015" s="18" t="s">
        <v>509</v>
      </c>
      <c r="H1015" s="34" t="s">
        <v>85</v>
      </c>
      <c r="I1015" s="18" t="s">
        <v>104</v>
      </c>
      <c r="J1015" s="31" t="s">
        <v>105</v>
      </c>
      <c r="K1015" s="31"/>
      <c r="L1015" s="4"/>
      <c r="M1015" s="4"/>
      <c r="N1015" s="13" t="s">
        <v>29</v>
      </c>
      <c r="O1015" s="35" t="str">
        <f>IF(D1015="","",IF(COUNTIF(离职清单!C:C,D1015)&gt;0,"已离职","在职"))</f>
        <v>在职</v>
      </c>
      <c r="P1015" s="35" t="str">
        <f>IF(AND(O1015="在职",J1015="是"),COUNTIF(O$2:O1015,"在职"),"")</f>
        <v/>
      </c>
    </row>
    <row r="1016" customFormat="1" ht="18" spans="1:16">
      <c r="A1016" s="10">
        <f t="shared" si="21"/>
        <v>1015</v>
      </c>
      <c r="B1016" s="31">
        <v>46175</v>
      </c>
      <c r="C1016" s="32" t="s">
        <v>1193</v>
      </c>
      <c r="D1016" s="120" t="s">
        <v>477</v>
      </c>
      <c r="E1016" s="33" t="s">
        <v>42</v>
      </c>
      <c r="F1016" s="18" t="s">
        <v>62</v>
      </c>
      <c r="G1016" s="18" t="s">
        <v>578</v>
      </c>
      <c r="H1016" s="34" t="s">
        <v>85</v>
      </c>
      <c r="I1016" s="18" t="s">
        <v>104</v>
      </c>
      <c r="J1016" s="31" t="s">
        <v>105</v>
      </c>
      <c r="K1016" s="31"/>
      <c r="L1016" s="4"/>
      <c r="M1016" s="4"/>
      <c r="N1016" s="13" t="s">
        <v>29</v>
      </c>
      <c r="O1016" s="35" t="str">
        <f>IF(D1016="","",IF(COUNTIF(离职清单!C:C,D1016)&gt;0,"已离职","在职"))</f>
        <v>在职</v>
      </c>
      <c r="P1016" s="35" t="str">
        <f>IF(AND(O1016="在职",J1016="是"),COUNTIF(O$2:O1016,"在职"),"")</f>
        <v/>
      </c>
    </row>
    <row r="1017" customFormat="1" ht="18" spans="1:16">
      <c r="A1017" s="14">
        <f t="shared" si="21"/>
        <v>1016</v>
      </c>
      <c r="B1017" s="31">
        <v>46175</v>
      </c>
      <c r="C1017" s="32" t="s">
        <v>1194</v>
      </c>
      <c r="D1017" s="120" t="s">
        <v>478</v>
      </c>
      <c r="E1017" s="33" t="s">
        <v>42</v>
      </c>
      <c r="F1017" s="18" t="s">
        <v>63</v>
      </c>
      <c r="G1017" s="18" t="s">
        <v>578</v>
      </c>
      <c r="H1017" s="34" t="s">
        <v>85</v>
      </c>
      <c r="I1017" s="18" t="s">
        <v>104</v>
      </c>
      <c r="J1017" s="31" t="s">
        <v>105</v>
      </c>
      <c r="K1017" s="31">
        <v>46177</v>
      </c>
      <c r="L1017" s="4"/>
      <c r="M1017" s="4"/>
      <c r="N1017" s="13" t="s">
        <v>29</v>
      </c>
      <c r="O1017" s="35" t="str">
        <f>IF(D1017="","",IF(COUNTIF(离职清单!C:C,D1017)&gt;0,"已离职","在职"))</f>
        <v>在职</v>
      </c>
      <c r="P1017" s="35" t="str">
        <f>IF(AND(O1017="在职",J1017="是"),COUNTIF(O$2:O1017,"在职"),"")</f>
        <v/>
      </c>
    </row>
    <row r="1018" customFormat="1" ht="18" spans="1:16">
      <c r="A1018" s="10">
        <f t="shared" si="21"/>
        <v>1017</v>
      </c>
      <c r="B1018" s="31">
        <v>46175</v>
      </c>
      <c r="C1018" s="32" t="s">
        <v>1195</v>
      </c>
      <c r="D1018" s="120" t="s">
        <v>480</v>
      </c>
      <c r="E1018" s="33" t="s">
        <v>42</v>
      </c>
      <c r="F1018" s="18" t="s">
        <v>64</v>
      </c>
      <c r="G1018" s="18" t="s">
        <v>578</v>
      </c>
      <c r="H1018" s="34" t="s">
        <v>85</v>
      </c>
      <c r="I1018" s="18" t="s">
        <v>104</v>
      </c>
      <c r="J1018" s="31" t="s">
        <v>105</v>
      </c>
      <c r="K1018" s="31"/>
      <c r="L1018" s="4"/>
      <c r="M1018" s="4"/>
      <c r="N1018" s="13" t="s">
        <v>29</v>
      </c>
      <c r="O1018" s="35" t="str">
        <f>IF(D1018="","",IF(COUNTIF(离职清单!C:C,D1018)&gt;0,"已离职","在职"))</f>
        <v>在职</v>
      </c>
      <c r="P1018" s="35" t="str">
        <f>IF(AND(O1018="在职",J1018="是"),COUNTIF(O$2:O1018,"在职"),"")</f>
        <v/>
      </c>
    </row>
    <row r="1019" customFormat="1" ht="18" spans="1:16">
      <c r="A1019" s="14">
        <f t="shared" si="21"/>
        <v>1018</v>
      </c>
      <c r="B1019" s="31">
        <v>46175</v>
      </c>
      <c r="C1019" s="32" t="s">
        <v>1196</v>
      </c>
      <c r="D1019" s="120" t="s">
        <v>482</v>
      </c>
      <c r="E1019" s="33" t="s">
        <v>42</v>
      </c>
      <c r="F1019" s="18" t="s">
        <v>63</v>
      </c>
      <c r="G1019" s="18" t="s">
        <v>578</v>
      </c>
      <c r="H1019" s="34" t="s">
        <v>85</v>
      </c>
      <c r="I1019" s="18" t="s">
        <v>104</v>
      </c>
      <c r="J1019" s="31" t="s">
        <v>105</v>
      </c>
      <c r="K1019" s="31"/>
      <c r="L1019" s="4"/>
      <c r="M1019" s="4"/>
      <c r="N1019" s="13" t="s">
        <v>29</v>
      </c>
      <c r="O1019" s="35" t="str">
        <f>IF(D1019="","",IF(COUNTIF(离职清单!C:C,D1019)&gt;0,"已离职","在职"))</f>
        <v>在职</v>
      </c>
      <c r="P1019" s="35" t="str">
        <f>IF(AND(O1019="在职",J1019="是"),COUNTIF(O$2:O1019,"在职"),"")</f>
        <v/>
      </c>
    </row>
    <row r="1020" customFormat="1" ht="18" spans="1:16">
      <c r="A1020" s="10">
        <f t="shared" si="21"/>
        <v>1019</v>
      </c>
      <c r="B1020" s="31">
        <v>46175</v>
      </c>
      <c r="C1020" s="32" t="s">
        <v>1197</v>
      </c>
      <c r="D1020" s="120" t="s">
        <v>484</v>
      </c>
      <c r="E1020" s="33" t="s">
        <v>42</v>
      </c>
      <c r="F1020" s="18" t="s">
        <v>64</v>
      </c>
      <c r="G1020" s="18" t="s">
        <v>176</v>
      </c>
      <c r="H1020" s="34" t="s">
        <v>85</v>
      </c>
      <c r="I1020" s="18" t="s">
        <v>104</v>
      </c>
      <c r="J1020" s="31" t="s">
        <v>105</v>
      </c>
      <c r="K1020" s="31"/>
      <c r="L1020" s="4"/>
      <c r="M1020" s="4"/>
      <c r="N1020" s="13" t="s">
        <v>29</v>
      </c>
      <c r="O1020" s="35" t="str">
        <f>IF(D1020="","",IF(COUNTIF(离职清单!C:C,D1020)&gt;0,"已离职","在职"))</f>
        <v>在职</v>
      </c>
      <c r="P1020" s="35" t="str">
        <f>IF(AND(O1020="在职",J1020="是"),COUNTIF(O$2:O1020,"在职"),"")</f>
        <v/>
      </c>
    </row>
    <row r="1021" customFormat="1" ht="18" spans="1:16">
      <c r="A1021" s="14">
        <f t="shared" si="21"/>
        <v>1020</v>
      </c>
      <c r="B1021" s="31">
        <v>46175</v>
      </c>
      <c r="C1021" s="32" t="s">
        <v>1198</v>
      </c>
      <c r="D1021" s="120" t="s">
        <v>486</v>
      </c>
      <c r="E1021" s="33" t="s">
        <v>42</v>
      </c>
      <c r="F1021" s="18" t="s">
        <v>64</v>
      </c>
      <c r="G1021" s="18" t="s">
        <v>631</v>
      </c>
      <c r="H1021" s="34" t="s">
        <v>85</v>
      </c>
      <c r="I1021" s="18" t="s">
        <v>104</v>
      </c>
      <c r="J1021" s="31" t="s">
        <v>105</v>
      </c>
      <c r="K1021" s="31"/>
      <c r="L1021" s="4"/>
      <c r="M1021" s="4"/>
      <c r="N1021" s="13" t="s">
        <v>29</v>
      </c>
      <c r="O1021" s="35" t="str">
        <f>IF(D1021="","",IF(COUNTIF(离职清单!C:C,D1021)&gt;0,"已离职","在职"))</f>
        <v>在职</v>
      </c>
      <c r="P1021" s="35" t="str">
        <f>IF(AND(O1021="在职",J1021="是"),COUNTIF(O$2:O1021,"在职"),"")</f>
        <v/>
      </c>
    </row>
    <row r="1022" customFormat="1" ht="18" spans="1:16">
      <c r="A1022" s="10">
        <f t="shared" si="21"/>
        <v>1021</v>
      </c>
      <c r="B1022" s="31">
        <v>46175</v>
      </c>
      <c r="C1022" s="32" t="s">
        <v>1199</v>
      </c>
      <c r="D1022" s="120" t="s">
        <v>488</v>
      </c>
      <c r="E1022" s="33" t="s">
        <v>42</v>
      </c>
      <c r="F1022" s="18" t="s">
        <v>64</v>
      </c>
      <c r="G1022" s="18" t="s">
        <v>332</v>
      </c>
      <c r="H1022" s="34" t="s">
        <v>85</v>
      </c>
      <c r="I1022" s="18" t="s">
        <v>104</v>
      </c>
      <c r="J1022" s="31" t="s">
        <v>105</v>
      </c>
      <c r="K1022" s="31"/>
      <c r="L1022" s="4"/>
      <c r="M1022" s="4"/>
      <c r="N1022" s="13" t="s">
        <v>29</v>
      </c>
      <c r="O1022" s="35" t="str">
        <f>IF(D1022="","",IF(COUNTIF(离职清单!C:C,D1022)&gt;0,"已离职","在职"))</f>
        <v>在职</v>
      </c>
      <c r="P1022" s="35" t="str">
        <f>IF(AND(O1022="在职",J1022="是"),COUNTIF(O$2:O1022,"在职"),"")</f>
        <v/>
      </c>
    </row>
    <row r="1023" customFormat="1" ht="18" spans="1:16">
      <c r="A1023" s="14">
        <f t="shared" si="21"/>
        <v>1022</v>
      </c>
      <c r="B1023" s="31">
        <v>46175</v>
      </c>
      <c r="C1023" s="32" t="s">
        <v>1200</v>
      </c>
      <c r="D1023" s="120" t="s">
        <v>490</v>
      </c>
      <c r="E1023" s="33" t="s">
        <v>42</v>
      </c>
      <c r="F1023" s="18" t="s">
        <v>64</v>
      </c>
      <c r="G1023" s="18" t="s">
        <v>505</v>
      </c>
      <c r="H1023" s="34" t="s">
        <v>85</v>
      </c>
      <c r="I1023" s="18" t="s">
        <v>104</v>
      </c>
      <c r="J1023" s="31" t="s">
        <v>114</v>
      </c>
      <c r="K1023" s="31"/>
      <c r="L1023" s="4"/>
      <c r="M1023" s="4"/>
      <c r="N1023" s="13" t="s">
        <v>29</v>
      </c>
      <c r="O1023" s="35" t="str">
        <f>IF(D1023="","",IF(COUNTIF(离职清单!C:C,D1023)&gt;0,"已离职","在职"))</f>
        <v>在职</v>
      </c>
      <c r="P1023" s="35">
        <f>IF(AND(O1023="在职",J1023="是"),COUNTIF(O$2:O1023,"在职"),"")</f>
        <v>1016</v>
      </c>
    </row>
    <row r="1024" customFormat="1" ht="18" spans="1:16">
      <c r="A1024" s="10">
        <f t="shared" si="21"/>
        <v>1023</v>
      </c>
      <c r="B1024" s="31">
        <v>46175</v>
      </c>
      <c r="C1024" s="32" t="s">
        <v>1201</v>
      </c>
      <c r="D1024" s="120" t="s">
        <v>492</v>
      </c>
      <c r="E1024" s="33" t="s">
        <v>42</v>
      </c>
      <c r="F1024" s="18" t="s">
        <v>62</v>
      </c>
      <c r="G1024" s="18" t="s">
        <v>148</v>
      </c>
      <c r="H1024" s="34" t="s">
        <v>85</v>
      </c>
      <c r="I1024" s="18" t="s">
        <v>104</v>
      </c>
      <c r="J1024" s="31" t="s">
        <v>105</v>
      </c>
      <c r="K1024" s="31"/>
      <c r="L1024" s="4"/>
      <c r="M1024" s="4"/>
      <c r="N1024" s="13" t="s">
        <v>29</v>
      </c>
      <c r="O1024" s="35" t="str">
        <f>IF(D1024="","",IF(COUNTIF(离职清单!C:C,D1024)&gt;0,"已离职","在职"))</f>
        <v>在职</v>
      </c>
      <c r="P1024" s="35" t="str">
        <f>IF(AND(O1024="在职",J1024="是"),COUNTIF(O$2:O1024,"在职"),"")</f>
        <v/>
      </c>
    </row>
    <row r="1025" customFormat="1" ht="18" spans="1:16">
      <c r="A1025" s="14">
        <f t="shared" si="21"/>
        <v>1024</v>
      </c>
      <c r="B1025" s="31">
        <v>46175</v>
      </c>
      <c r="C1025" s="32" t="s">
        <v>1202</v>
      </c>
      <c r="D1025" s="120" t="s">
        <v>477</v>
      </c>
      <c r="E1025" s="33" t="s">
        <v>42</v>
      </c>
      <c r="F1025" s="18" t="s">
        <v>62</v>
      </c>
      <c r="G1025" s="18" t="s">
        <v>148</v>
      </c>
      <c r="H1025" s="34" t="s">
        <v>85</v>
      </c>
      <c r="I1025" s="18" t="s">
        <v>104</v>
      </c>
      <c r="J1025" s="31" t="s">
        <v>114</v>
      </c>
      <c r="K1025" s="31">
        <v>46176</v>
      </c>
      <c r="L1025" s="4"/>
      <c r="M1025" s="4"/>
      <c r="N1025" s="13" t="s">
        <v>29</v>
      </c>
      <c r="O1025" s="35" t="str">
        <f>IF(D1025="","",IF(COUNTIF(离职清单!C:C,D1025)&gt;0,"已离职","在职"))</f>
        <v>在职</v>
      </c>
      <c r="P1025" s="35">
        <f>IF(AND(O1025="在职",J1025="是"),COUNTIF(O$2:O1025,"在职"),"")</f>
        <v>1018</v>
      </c>
    </row>
    <row r="1026" customFormat="1" ht="18" spans="1:16">
      <c r="A1026" s="10">
        <f t="shared" si="21"/>
        <v>1025</v>
      </c>
      <c r="B1026" s="31">
        <v>46175</v>
      </c>
      <c r="C1026" s="32" t="s">
        <v>1203</v>
      </c>
      <c r="D1026" s="120" t="s">
        <v>478</v>
      </c>
      <c r="E1026" s="33" t="s">
        <v>42</v>
      </c>
      <c r="F1026" s="18" t="s">
        <v>64</v>
      </c>
      <c r="G1026" s="18" t="s">
        <v>148</v>
      </c>
      <c r="H1026" s="34" t="s">
        <v>85</v>
      </c>
      <c r="I1026" s="18" t="s">
        <v>104</v>
      </c>
      <c r="J1026" s="31" t="s">
        <v>105</v>
      </c>
      <c r="K1026" s="31"/>
      <c r="L1026" s="4"/>
      <c r="M1026" s="4"/>
      <c r="N1026" s="13" t="s">
        <v>29</v>
      </c>
      <c r="O1026" s="35" t="str">
        <f>IF(D1026="","",IF(COUNTIF(离职清单!C:C,D1026)&gt;0,"已离职","在职"))</f>
        <v>在职</v>
      </c>
      <c r="P1026" s="35" t="str">
        <f>IF(AND(O1026="在职",J1026="是"),COUNTIF(O$2:O1026,"在职"),"")</f>
        <v/>
      </c>
    </row>
    <row r="1027" customFormat="1" ht="18" spans="1:16">
      <c r="A1027" s="14">
        <f t="shared" si="21"/>
        <v>1026</v>
      </c>
      <c r="B1027" s="31">
        <v>46175</v>
      </c>
      <c r="C1027" s="32" t="s">
        <v>667</v>
      </c>
      <c r="D1027" s="120" t="s">
        <v>480</v>
      </c>
      <c r="E1027" s="33" t="s">
        <v>42</v>
      </c>
      <c r="F1027" s="18" t="s">
        <v>64</v>
      </c>
      <c r="G1027" s="18" t="s">
        <v>148</v>
      </c>
      <c r="H1027" s="34" t="s">
        <v>85</v>
      </c>
      <c r="I1027" s="18" t="s">
        <v>104</v>
      </c>
      <c r="J1027" s="31" t="s">
        <v>114</v>
      </c>
      <c r="K1027" s="31"/>
      <c r="L1027" s="4"/>
      <c r="M1027" s="4"/>
      <c r="N1027" s="13" t="s">
        <v>29</v>
      </c>
      <c r="O1027" s="35" t="str">
        <f>IF(D1027="","",IF(COUNTIF(离职清单!C:C,D1027)&gt;0,"已离职","在职"))</f>
        <v>在职</v>
      </c>
      <c r="P1027" s="35">
        <f>IF(AND(O1027="在职",J1027="是"),COUNTIF(O$2:O1027,"在职"),"")</f>
        <v>1020</v>
      </c>
    </row>
    <row r="1028" customFormat="1" ht="18" spans="1:16">
      <c r="A1028" s="10">
        <f t="shared" si="21"/>
        <v>1027</v>
      </c>
      <c r="B1028" s="31">
        <v>46175</v>
      </c>
      <c r="C1028" s="32" t="s">
        <v>1204</v>
      </c>
      <c r="D1028" s="120" t="s">
        <v>482</v>
      </c>
      <c r="E1028" s="33" t="s">
        <v>42</v>
      </c>
      <c r="F1028" s="18" t="s">
        <v>63</v>
      </c>
      <c r="G1028" s="18" t="s">
        <v>148</v>
      </c>
      <c r="H1028" s="34" t="s">
        <v>85</v>
      </c>
      <c r="I1028" s="18" t="s">
        <v>104</v>
      </c>
      <c r="J1028" s="31" t="s">
        <v>105</v>
      </c>
      <c r="K1028" s="31"/>
      <c r="L1028" s="4"/>
      <c r="M1028" s="4"/>
      <c r="N1028" s="13" t="s">
        <v>29</v>
      </c>
      <c r="O1028" s="35" t="str">
        <f>IF(D1028="","",IF(COUNTIF(离职清单!C:C,D1028)&gt;0,"已离职","在职"))</f>
        <v>在职</v>
      </c>
      <c r="P1028" s="35" t="str">
        <f>IF(AND(O1028="在职",J1028="是"),COUNTIF(O$2:O1028,"在职"),"")</f>
        <v/>
      </c>
    </row>
    <row r="1029" customFormat="1" ht="18" spans="1:16">
      <c r="A1029" s="14">
        <f t="shared" si="21"/>
        <v>1028</v>
      </c>
      <c r="B1029" s="31">
        <v>46175</v>
      </c>
      <c r="C1029" s="32" t="s">
        <v>1205</v>
      </c>
      <c r="D1029" s="120" t="s">
        <v>484</v>
      </c>
      <c r="E1029" s="33" t="s">
        <v>42</v>
      </c>
      <c r="F1029" s="18" t="s">
        <v>63</v>
      </c>
      <c r="G1029" s="18" t="s">
        <v>148</v>
      </c>
      <c r="H1029" s="34" t="s">
        <v>85</v>
      </c>
      <c r="I1029" s="18" t="s">
        <v>104</v>
      </c>
      <c r="J1029" s="31" t="s">
        <v>105</v>
      </c>
      <c r="K1029" s="31">
        <v>46177</v>
      </c>
      <c r="L1029" s="4"/>
      <c r="M1029" s="4"/>
      <c r="N1029" s="13" t="s">
        <v>29</v>
      </c>
      <c r="O1029" s="35" t="str">
        <f>IF(D1029="","",IF(COUNTIF(离职清单!C:C,D1029)&gt;0,"已离职","在职"))</f>
        <v>在职</v>
      </c>
      <c r="P1029" s="35" t="str">
        <f>IF(AND(O1029="在职",J1029="是"),COUNTIF(O$2:O1029,"在职"),"")</f>
        <v/>
      </c>
    </row>
    <row r="1030" customFormat="1" ht="18" spans="1:16">
      <c r="A1030" s="10">
        <f t="shared" si="21"/>
        <v>1029</v>
      </c>
      <c r="B1030" s="31">
        <v>46175</v>
      </c>
      <c r="C1030" s="32" t="s">
        <v>146</v>
      </c>
      <c r="D1030" s="120" t="s">
        <v>486</v>
      </c>
      <c r="E1030" s="33" t="s">
        <v>74</v>
      </c>
      <c r="F1030" s="18" t="s">
        <v>64</v>
      </c>
      <c r="G1030" s="18" t="s">
        <v>148</v>
      </c>
      <c r="H1030" s="34" t="s">
        <v>85</v>
      </c>
      <c r="I1030" s="18" t="s">
        <v>104</v>
      </c>
      <c r="J1030" s="31" t="s">
        <v>105</v>
      </c>
      <c r="K1030" s="31"/>
      <c r="L1030" s="4"/>
      <c r="M1030" s="4"/>
      <c r="N1030" s="13" t="s">
        <v>29</v>
      </c>
      <c r="O1030" s="35" t="str">
        <f>IF(D1030="","",IF(COUNTIF(离职清单!C:C,D1030)&gt;0,"已离职","在职"))</f>
        <v>在职</v>
      </c>
      <c r="P1030" s="35" t="str">
        <f>IF(AND(O1030="在职",J1030="是"),COUNTIF(O$2:O1030,"在职"),"")</f>
        <v/>
      </c>
    </row>
    <row r="1031" customFormat="1" ht="18" spans="1:16">
      <c r="A1031" s="14">
        <f t="shared" si="21"/>
        <v>1030</v>
      </c>
      <c r="B1031" s="31">
        <v>46175</v>
      </c>
      <c r="C1031" s="32" t="s">
        <v>566</v>
      </c>
      <c r="D1031" s="120" t="s">
        <v>488</v>
      </c>
      <c r="E1031" s="33" t="s">
        <v>42</v>
      </c>
      <c r="F1031" s="18" t="s">
        <v>64</v>
      </c>
      <c r="G1031" s="18" t="s">
        <v>148</v>
      </c>
      <c r="H1031" s="34" t="s">
        <v>85</v>
      </c>
      <c r="I1031" s="18" t="s">
        <v>104</v>
      </c>
      <c r="J1031" s="31" t="s">
        <v>105</v>
      </c>
      <c r="K1031" s="31"/>
      <c r="L1031" s="4"/>
      <c r="M1031" s="4"/>
      <c r="N1031" s="13" t="s">
        <v>29</v>
      </c>
      <c r="O1031" s="35" t="str">
        <f>IF(D1031="","",IF(COUNTIF(离职清单!C:C,D1031)&gt;0,"已离职","在职"))</f>
        <v>在职</v>
      </c>
      <c r="P1031" s="35" t="str">
        <f>IF(AND(O1031="在职",J1031="是"),COUNTIF(O$2:O1031,"在职"),"")</f>
        <v/>
      </c>
    </row>
    <row r="1032" customFormat="1" ht="18" spans="1:16">
      <c r="A1032" s="10">
        <f t="shared" si="21"/>
        <v>1031</v>
      </c>
      <c r="B1032" s="31">
        <v>46175</v>
      </c>
      <c r="C1032" s="32" t="s">
        <v>1206</v>
      </c>
      <c r="D1032" s="120" t="s">
        <v>490</v>
      </c>
      <c r="E1032" s="33" t="s">
        <v>42</v>
      </c>
      <c r="F1032" s="18" t="s">
        <v>64</v>
      </c>
      <c r="G1032" s="18" t="s">
        <v>148</v>
      </c>
      <c r="H1032" s="34" t="s">
        <v>85</v>
      </c>
      <c r="I1032" s="18" t="s">
        <v>104</v>
      </c>
      <c r="J1032" s="31" t="s">
        <v>105</v>
      </c>
      <c r="K1032" s="31"/>
      <c r="L1032" s="4"/>
      <c r="M1032" s="4"/>
      <c r="N1032" s="13" t="s">
        <v>29</v>
      </c>
      <c r="O1032" s="35" t="str">
        <f>IF(D1032="","",IF(COUNTIF(离职清单!C:C,D1032)&gt;0,"已离职","在职"))</f>
        <v>在职</v>
      </c>
      <c r="P1032" s="35" t="str">
        <f>IF(AND(O1032="在职",J1032="是"),COUNTIF(O$2:O1032,"在职"),"")</f>
        <v/>
      </c>
    </row>
    <row r="1033" customFormat="1" ht="18" spans="1:16">
      <c r="A1033" s="14">
        <f t="shared" si="21"/>
        <v>1032</v>
      </c>
      <c r="B1033" s="31">
        <v>46175</v>
      </c>
      <c r="C1033" s="32" t="s">
        <v>1207</v>
      </c>
      <c r="D1033" s="120" t="s">
        <v>492</v>
      </c>
      <c r="E1033" s="33" t="s">
        <v>43</v>
      </c>
      <c r="F1033" s="18" t="s">
        <v>63</v>
      </c>
      <c r="G1033" s="18" t="s">
        <v>129</v>
      </c>
      <c r="H1033" s="34" t="s">
        <v>85</v>
      </c>
      <c r="I1033" s="18" t="s">
        <v>104</v>
      </c>
      <c r="J1033" s="31" t="s">
        <v>105</v>
      </c>
      <c r="K1033" s="31"/>
      <c r="L1033" s="4"/>
      <c r="M1033" s="4"/>
      <c r="N1033" s="13" t="s">
        <v>29</v>
      </c>
      <c r="O1033" s="35" t="str">
        <f>IF(D1033="","",IF(COUNTIF(离职清单!C:C,D1033)&gt;0,"已离职","在职"))</f>
        <v>在职</v>
      </c>
      <c r="P1033" s="35" t="str">
        <f>IF(AND(O1033="在职",J1033="是"),COUNTIF(O$2:O1033,"在职"),"")</f>
        <v/>
      </c>
    </row>
    <row r="1034" customFormat="1" ht="18" spans="1:16">
      <c r="A1034" s="10">
        <f t="shared" si="21"/>
        <v>1033</v>
      </c>
      <c r="B1034" s="31">
        <v>46175</v>
      </c>
      <c r="C1034" s="32" t="s">
        <v>1208</v>
      </c>
      <c r="D1034" s="120" t="s">
        <v>477</v>
      </c>
      <c r="E1034" s="33" t="s">
        <v>43</v>
      </c>
      <c r="F1034" s="18" t="s">
        <v>62</v>
      </c>
      <c r="G1034" s="18" t="s">
        <v>129</v>
      </c>
      <c r="H1034" s="34" t="s">
        <v>85</v>
      </c>
      <c r="I1034" s="18" t="s">
        <v>104</v>
      </c>
      <c r="J1034" s="31" t="s">
        <v>105</v>
      </c>
      <c r="K1034" s="31"/>
      <c r="L1034" s="4"/>
      <c r="M1034" s="4"/>
      <c r="N1034" s="13" t="s">
        <v>29</v>
      </c>
      <c r="O1034" s="35" t="str">
        <f>IF(D1034="","",IF(COUNTIF(离职清单!C:C,D1034)&gt;0,"已离职","在职"))</f>
        <v>在职</v>
      </c>
      <c r="P1034" s="35" t="str">
        <f>IF(AND(O1034="在职",J1034="是"),COUNTIF(O$2:O1034,"在职"),"")</f>
        <v/>
      </c>
    </row>
    <row r="1035" customFormat="1" ht="18" spans="1:16">
      <c r="A1035" s="14">
        <f t="shared" si="21"/>
        <v>1034</v>
      </c>
      <c r="B1035" s="31">
        <v>46175</v>
      </c>
      <c r="C1035" s="32" t="s">
        <v>1209</v>
      </c>
      <c r="D1035" s="120" t="s">
        <v>478</v>
      </c>
      <c r="E1035" s="33" t="s">
        <v>43</v>
      </c>
      <c r="F1035" s="18" t="s">
        <v>63</v>
      </c>
      <c r="G1035" s="18" t="s">
        <v>129</v>
      </c>
      <c r="H1035" s="34" t="s">
        <v>85</v>
      </c>
      <c r="I1035" s="18" t="s">
        <v>104</v>
      </c>
      <c r="J1035" s="31" t="s">
        <v>105</v>
      </c>
      <c r="K1035" s="31"/>
      <c r="L1035" s="4"/>
      <c r="M1035" s="4"/>
      <c r="N1035" s="13" t="s">
        <v>29</v>
      </c>
      <c r="O1035" s="35" t="str">
        <f>IF(D1035="","",IF(COUNTIF(离职清单!C:C,D1035)&gt;0,"已离职","在职"))</f>
        <v>在职</v>
      </c>
      <c r="P1035" s="35" t="str">
        <f>IF(AND(O1035="在职",J1035="是"),COUNTIF(O$2:O1035,"在职"),"")</f>
        <v/>
      </c>
    </row>
    <row r="1036" customFormat="1" ht="18" spans="1:16">
      <c r="A1036" s="10">
        <f t="shared" si="21"/>
        <v>1035</v>
      </c>
      <c r="B1036" s="31">
        <v>46175</v>
      </c>
      <c r="C1036" s="32" t="s">
        <v>1210</v>
      </c>
      <c r="D1036" s="120" t="s">
        <v>480</v>
      </c>
      <c r="E1036" s="33" t="s">
        <v>43</v>
      </c>
      <c r="F1036" s="18" t="s">
        <v>63</v>
      </c>
      <c r="G1036" s="18" t="s">
        <v>148</v>
      </c>
      <c r="H1036" s="34" t="s">
        <v>85</v>
      </c>
      <c r="I1036" s="18" t="s">
        <v>104</v>
      </c>
      <c r="J1036" s="31" t="s">
        <v>114</v>
      </c>
      <c r="K1036" s="31">
        <v>46177</v>
      </c>
      <c r="L1036" s="4"/>
      <c r="M1036" s="4"/>
      <c r="N1036" s="13" t="s">
        <v>29</v>
      </c>
      <c r="O1036" s="35" t="str">
        <f>IF(D1036="","",IF(COUNTIF(离职清单!C:C,D1036)&gt;0,"已离职","在职"))</f>
        <v>在职</v>
      </c>
      <c r="P1036" s="35">
        <f>IF(AND(O1036="在职",J1036="是"),COUNTIF(O$2:O1036,"在职"),"")</f>
        <v>1029</v>
      </c>
    </row>
    <row r="1037" customFormat="1" ht="18" spans="1:16">
      <c r="A1037" s="14">
        <f t="shared" si="21"/>
        <v>1036</v>
      </c>
      <c r="B1037" s="31">
        <v>46175</v>
      </c>
      <c r="C1037" s="32" t="s">
        <v>1211</v>
      </c>
      <c r="D1037" s="120" t="s">
        <v>482</v>
      </c>
      <c r="E1037" s="33" t="s">
        <v>43</v>
      </c>
      <c r="F1037" s="18" t="s">
        <v>62</v>
      </c>
      <c r="G1037" s="18" t="s">
        <v>148</v>
      </c>
      <c r="H1037" s="34" t="s">
        <v>85</v>
      </c>
      <c r="I1037" s="18" t="s">
        <v>104</v>
      </c>
      <c r="J1037" s="31" t="s">
        <v>105</v>
      </c>
      <c r="K1037" s="31">
        <v>46184</v>
      </c>
      <c r="L1037" s="4"/>
      <c r="M1037" s="4"/>
      <c r="N1037" s="13" t="s">
        <v>29</v>
      </c>
      <c r="O1037" s="35" t="str">
        <f>IF(D1037="","",IF(COUNTIF(离职清单!C:C,D1037)&gt;0,"已离职","在职"))</f>
        <v>在职</v>
      </c>
      <c r="P1037" s="35" t="str">
        <f>IF(AND(O1037="在职",J1037="是"),COUNTIF(O$2:O1037,"在职"),"")</f>
        <v/>
      </c>
    </row>
    <row r="1038" customFormat="1" ht="18" spans="1:16">
      <c r="A1038" s="10">
        <f t="shared" si="21"/>
        <v>1037</v>
      </c>
      <c r="B1038" s="31">
        <v>46175</v>
      </c>
      <c r="C1038" s="32" t="s">
        <v>1212</v>
      </c>
      <c r="D1038" s="120" t="s">
        <v>484</v>
      </c>
      <c r="E1038" s="33" t="s">
        <v>43</v>
      </c>
      <c r="F1038" s="18" t="s">
        <v>63</v>
      </c>
      <c r="G1038" s="18" t="s">
        <v>246</v>
      </c>
      <c r="H1038" s="34" t="s">
        <v>85</v>
      </c>
      <c r="I1038" s="18" t="s">
        <v>104</v>
      </c>
      <c r="J1038" s="31" t="s">
        <v>114</v>
      </c>
      <c r="K1038" s="31">
        <v>46177</v>
      </c>
      <c r="L1038" s="4"/>
      <c r="M1038" s="4"/>
      <c r="N1038" s="13" t="s">
        <v>29</v>
      </c>
      <c r="O1038" s="35" t="str">
        <f>IF(D1038="","",IF(COUNTIF(离职清单!C:C,D1038)&gt;0,"已离职","在职"))</f>
        <v>在职</v>
      </c>
      <c r="P1038" s="35">
        <f>IF(AND(O1038="在职",J1038="是"),COUNTIF(O$2:O1038,"在职"),"")</f>
        <v>1031</v>
      </c>
    </row>
    <row r="1039" customFormat="1" ht="18" spans="1:16">
      <c r="A1039" s="14">
        <f t="shared" si="21"/>
        <v>1038</v>
      </c>
      <c r="B1039" s="31">
        <v>46175</v>
      </c>
      <c r="C1039" s="32" t="s">
        <v>1213</v>
      </c>
      <c r="D1039" s="120" t="s">
        <v>486</v>
      </c>
      <c r="E1039" s="33" t="s">
        <v>43</v>
      </c>
      <c r="F1039" s="18" t="s">
        <v>63</v>
      </c>
      <c r="G1039" s="18" t="s">
        <v>246</v>
      </c>
      <c r="H1039" s="34" t="s">
        <v>85</v>
      </c>
      <c r="I1039" s="18" t="s">
        <v>104</v>
      </c>
      <c r="J1039" s="31" t="s">
        <v>105</v>
      </c>
      <c r="K1039" s="31"/>
      <c r="L1039" s="4"/>
      <c r="M1039" s="4"/>
      <c r="N1039" s="13" t="s">
        <v>29</v>
      </c>
      <c r="O1039" s="35" t="str">
        <f>IF(D1039="","",IF(COUNTIF(离职清单!C:C,D1039)&gt;0,"已离职","在职"))</f>
        <v>在职</v>
      </c>
      <c r="P1039" s="35" t="str">
        <f>IF(AND(O1039="在职",J1039="是"),COUNTIF(O$2:O1039,"在职"),"")</f>
        <v/>
      </c>
    </row>
    <row r="1040" customFormat="1" ht="18" spans="1:16">
      <c r="A1040" s="10">
        <f t="shared" si="21"/>
        <v>1039</v>
      </c>
      <c r="B1040" s="31">
        <v>46175</v>
      </c>
      <c r="C1040" s="32" t="s">
        <v>1214</v>
      </c>
      <c r="D1040" s="120" t="s">
        <v>488</v>
      </c>
      <c r="E1040" s="33" t="s">
        <v>43</v>
      </c>
      <c r="F1040" s="18" t="s">
        <v>63</v>
      </c>
      <c r="G1040" s="18" t="s">
        <v>173</v>
      </c>
      <c r="H1040" s="34" t="s">
        <v>85</v>
      </c>
      <c r="I1040" s="18" t="s">
        <v>104</v>
      </c>
      <c r="J1040" s="31" t="s">
        <v>105</v>
      </c>
      <c r="K1040" s="31">
        <v>46177</v>
      </c>
      <c r="L1040" s="4"/>
      <c r="M1040" s="4"/>
      <c r="N1040" s="13" t="s">
        <v>29</v>
      </c>
      <c r="O1040" s="35" t="str">
        <f>IF(D1040="","",IF(COUNTIF(离职清单!C:C,D1040)&gt;0,"已离职","在职"))</f>
        <v>在职</v>
      </c>
      <c r="P1040" s="35" t="str">
        <f>IF(AND(O1040="在职",J1040="是"),COUNTIF(O$2:O1040,"在职"),"")</f>
        <v/>
      </c>
    </row>
    <row r="1041" customFormat="1" ht="18" spans="1:16">
      <c r="A1041" s="14">
        <f t="shared" si="21"/>
        <v>1040</v>
      </c>
      <c r="B1041" s="31">
        <v>46175</v>
      </c>
      <c r="C1041" s="32" t="s">
        <v>1215</v>
      </c>
      <c r="D1041" s="120" t="s">
        <v>490</v>
      </c>
      <c r="E1041" s="33" t="s">
        <v>43</v>
      </c>
      <c r="F1041" s="18" t="s">
        <v>62</v>
      </c>
      <c r="G1041" s="18" t="s">
        <v>173</v>
      </c>
      <c r="H1041" s="34" t="s">
        <v>85</v>
      </c>
      <c r="I1041" s="18" t="s">
        <v>104</v>
      </c>
      <c r="J1041" s="31" t="s">
        <v>105</v>
      </c>
      <c r="K1041" s="31">
        <v>46176</v>
      </c>
      <c r="L1041" s="4"/>
      <c r="M1041" s="4"/>
      <c r="N1041" s="13" t="s">
        <v>29</v>
      </c>
      <c r="O1041" s="35" t="str">
        <f>IF(D1041="","",IF(COUNTIF(离职清单!C:C,D1041)&gt;0,"已离职","在职"))</f>
        <v>在职</v>
      </c>
      <c r="P1041" s="35" t="str">
        <f>IF(AND(O1041="在职",J1041="是"),COUNTIF(O$2:O1041,"在职"),"")</f>
        <v/>
      </c>
    </row>
    <row r="1042" customFormat="1" ht="18" spans="1:16">
      <c r="A1042" s="10">
        <f t="shared" si="21"/>
        <v>1041</v>
      </c>
      <c r="B1042" s="31">
        <v>46175</v>
      </c>
      <c r="C1042" s="32" t="s">
        <v>1216</v>
      </c>
      <c r="D1042" s="120" t="s">
        <v>492</v>
      </c>
      <c r="E1042" s="33" t="s">
        <v>43</v>
      </c>
      <c r="F1042" s="18" t="s">
        <v>62</v>
      </c>
      <c r="G1042" s="18" t="s">
        <v>103</v>
      </c>
      <c r="H1042" s="34" t="s">
        <v>85</v>
      </c>
      <c r="I1042" s="18" t="s">
        <v>104</v>
      </c>
      <c r="J1042" s="31" t="s">
        <v>105</v>
      </c>
      <c r="K1042" s="31">
        <v>46178</v>
      </c>
      <c r="L1042" s="4"/>
      <c r="M1042" s="4"/>
      <c r="N1042" s="13" t="s">
        <v>29</v>
      </c>
      <c r="O1042" s="35" t="str">
        <f>IF(D1042="","",IF(COUNTIF(离职清单!C:C,D1042)&gt;0,"已离职","在职"))</f>
        <v>在职</v>
      </c>
      <c r="P1042" s="35" t="str">
        <f>IF(AND(O1042="在职",J1042="是"),COUNTIF(O$2:O1042,"在职"),"")</f>
        <v/>
      </c>
    </row>
    <row r="1043" customFormat="1" ht="18" spans="1:16">
      <c r="A1043" s="14">
        <f t="shared" si="21"/>
        <v>1042</v>
      </c>
      <c r="B1043" s="31">
        <v>46175</v>
      </c>
      <c r="C1043" s="32" t="s">
        <v>1217</v>
      </c>
      <c r="D1043" s="120" t="s">
        <v>477</v>
      </c>
      <c r="E1043" s="33" t="s">
        <v>43</v>
      </c>
      <c r="F1043" s="18" t="s">
        <v>64</v>
      </c>
      <c r="G1043" s="18" t="s">
        <v>233</v>
      </c>
      <c r="H1043" s="34" t="s">
        <v>85</v>
      </c>
      <c r="I1043" s="18" t="s">
        <v>104</v>
      </c>
      <c r="J1043" s="31" t="s">
        <v>105</v>
      </c>
      <c r="K1043" s="31"/>
      <c r="L1043" s="4"/>
      <c r="M1043" s="4"/>
      <c r="N1043" s="13" t="s">
        <v>29</v>
      </c>
      <c r="O1043" s="35" t="str">
        <f>IF(D1043="","",IF(COUNTIF(离职清单!C:C,D1043)&gt;0,"已离职","在职"))</f>
        <v>在职</v>
      </c>
      <c r="P1043" s="35" t="str">
        <f>IF(AND(O1043="在职",J1043="是"),COUNTIF(O$2:O1043,"在职"),"")</f>
        <v/>
      </c>
    </row>
    <row r="1044" customFormat="1" ht="18" spans="1:16">
      <c r="A1044" s="10">
        <f t="shared" si="21"/>
        <v>1043</v>
      </c>
      <c r="B1044" s="31">
        <v>46175</v>
      </c>
      <c r="C1044" s="32" t="s">
        <v>1218</v>
      </c>
      <c r="D1044" s="120" t="s">
        <v>478</v>
      </c>
      <c r="E1044" s="33" t="s">
        <v>43</v>
      </c>
      <c r="F1044" s="18" t="s">
        <v>64</v>
      </c>
      <c r="G1044" s="18" t="s">
        <v>233</v>
      </c>
      <c r="H1044" s="34" t="s">
        <v>85</v>
      </c>
      <c r="I1044" s="18" t="s">
        <v>104</v>
      </c>
      <c r="J1044" s="31" t="s">
        <v>105</v>
      </c>
      <c r="K1044" s="31"/>
      <c r="L1044" s="4"/>
      <c r="M1044" s="4"/>
      <c r="N1044" s="13" t="s">
        <v>29</v>
      </c>
      <c r="O1044" s="35" t="str">
        <f>IF(D1044="","",IF(COUNTIF(离职清单!C:C,D1044)&gt;0,"已离职","在职"))</f>
        <v>在职</v>
      </c>
      <c r="P1044" s="35" t="str">
        <f>IF(AND(O1044="在职",J1044="是"),COUNTIF(O$2:O1044,"在职"),"")</f>
        <v/>
      </c>
    </row>
    <row r="1045" customFormat="1" ht="18" spans="1:16">
      <c r="A1045" s="14">
        <f t="shared" si="21"/>
        <v>1044</v>
      </c>
      <c r="B1045" s="31">
        <v>46175</v>
      </c>
      <c r="C1045" s="32" t="s">
        <v>1219</v>
      </c>
      <c r="D1045" s="120" t="s">
        <v>480</v>
      </c>
      <c r="E1045" s="33" t="s">
        <v>43</v>
      </c>
      <c r="F1045" s="18" t="s">
        <v>62</v>
      </c>
      <c r="G1045" s="18" t="s">
        <v>117</v>
      </c>
      <c r="H1045" s="34" t="s">
        <v>85</v>
      </c>
      <c r="I1045" s="18" t="s">
        <v>104</v>
      </c>
      <c r="J1045" s="31" t="s">
        <v>105</v>
      </c>
      <c r="K1045" s="31">
        <v>46177</v>
      </c>
      <c r="L1045" s="4"/>
      <c r="M1045" s="4"/>
      <c r="N1045" s="13" t="s">
        <v>29</v>
      </c>
      <c r="O1045" s="35" t="str">
        <f>IF(D1045="","",IF(COUNTIF(离职清单!C:C,D1045)&gt;0,"已离职","在职"))</f>
        <v>在职</v>
      </c>
      <c r="P1045" s="35" t="str">
        <f>IF(AND(O1045="在职",J1045="是"),COUNTIF(O$2:O1045,"在职"),"")</f>
        <v/>
      </c>
    </row>
    <row r="1046" customFormat="1" ht="18" spans="1:16">
      <c r="A1046" s="10">
        <f t="shared" si="21"/>
        <v>1045</v>
      </c>
      <c r="B1046" s="31">
        <v>46175</v>
      </c>
      <c r="C1046" s="32" t="s">
        <v>1220</v>
      </c>
      <c r="D1046" s="120" t="s">
        <v>482</v>
      </c>
      <c r="E1046" s="33" t="s">
        <v>43</v>
      </c>
      <c r="F1046" s="18" t="s">
        <v>63</v>
      </c>
      <c r="G1046" s="18" t="s">
        <v>117</v>
      </c>
      <c r="H1046" s="34" t="s">
        <v>85</v>
      </c>
      <c r="I1046" s="18" t="s">
        <v>104</v>
      </c>
      <c r="J1046" s="31" t="s">
        <v>105</v>
      </c>
      <c r="K1046" s="31"/>
      <c r="L1046" s="4"/>
      <c r="M1046" s="4"/>
      <c r="N1046" s="13" t="s">
        <v>29</v>
      </c>
      <c r="O1046" s="35" t="str">
        <f>IF(D1046="","",IF(COUNTIF(离职清单!C:C,D1046)&gt;0,"已离职","在职"))</f>
        <v>在职</v>
      </c>
      <c r="P1046" s="35" t="str">
        <f>IF(AND(O1046="在职",J1046="是"),COUNTIF(O$2:O1046,"在职"),"")</f>
        <v/>
      </c>
    </row>
    <row r="1047" customFormat="1" ht="18" spans="1:16">
      <c r="A1047" s="14">
        <f t="shared" si="21"/>
        <v>1046</v>
      </c>
      <c r="B1047" s="31">
        <v>46175</v>
      </c>
      <c r="C1047" s="32" t="s">
        <v>1221</v>
      </c>
      <c r="D1047" s="120" t="s">
        <v>484</v>
      </c>
      <c r="E1047" s="33" t="s">
        <v>74</v>
      </c>
      <c r="F1047" s="18" t="s">
        <v>64</v>
      </c>
      <c r="G1047" s="18" t="s">
        <v>129</v>
      </c>
      <c r="H1047" s="34" t="s">
        <v>85</v>
      </c>
      <c r="I1047" s="18" t="s">
        <v>104</v>
      </c>
      <c r="J1047" s="31" t="s">
        <v>105</v>
      </c>
      <c r="K1047" s="31"/>
      <c r="L1047" s="4"/>
      <c r="M1047" s="4"/>
      <c r="N1047" s="13" t="s">
        <v>29</v>
      </c>
      <c r="O1047" s="35" t="str">
        <f>IF(D1047="","",IF(COUNTIF(离职清单!C:C,D1047)&gt;0,"已离职","在职"))</f>
        <v>在职</v>
      </c>
      <c r="P1047" s="35" t="str">
        <f>IF(AND(O1047="在职",J1047="是"),COUNTIF(O$2:O1047,"在职"),"")</f>
        <v/>
      </c>
    </row>
    <row r="1048" customFormat="1" ht="18" spans="1:16">
      <c r="A1048" s="10">
        <f t="shared" si="21"/>
        <v>1047</v>
      </c>
      <c r="B1048" s="31">
        <v>46175</v>
      </c>
      <c r="C1048" s="32" t="s">
        <v>1222</v>
      </c>
      <c r="D1048" s="120" t="s">
        <v>486</v>
      </c>
      <c r="E1048" s="33" t="s">
        <v>43</v>
      </c>
      <c r="F1048" s="18" t="s">
        <v>62</v>
      </c>
      <c r="G1048" s="18" t="s">
        <v>246</v>
      </c>
      <c r="H1048" s="34" t="s">
        <v>85</v>
      </c>
      <c r="I1048" s="18" t="s">
        <v>104</v>
      </c>
      <c r="J1048" s="31" t="s">
        <v>114</v>
      </c>
      <c r="K1048" s="31">
        <v>46184</v>
      </c>
      <c r="L1048" s="4"/>
      <c r="M1048" s="4"/>
      <c r="N1048" s="13" t="s">
        <v>29</v>
      </c>
      <c r="O1048" s="35" t="str">
        <f>IF(D1048="","",IF(COUNTIF(离职清单!C:C,D1048)&gt;0,"已离职","在职"))</f>
        <v>在职</v>
      </c>
      <c r="P1048" s="35">
        <f>IF(AND(O1048="在职",J1048="是"),COUNTIF(O$2:O1048,"在职"),"")</f>
        <v>1041</v>
      </c>
    </row>
    <row r="1049" customFormat="1" ht="18" spans="1:16">
      <c r="A1049" s="14">
        <f t="shared" si="21"/>
        <v>1048</v>
      </c>
      <c r="B1049" s="31">
        <v>46175</v>
      </c>
      <c r="C1049" s="32" t="s">
        <v>1223</v>
      </c>
      <c r="D1049" s="120" t="s">
        <v>488</v>
      </c>
      <c r="E1049" s="33" t="s">
        <v>43</v>
      </c>
      <c r="F1049" s="18" t="s">
        <v>63</v>
      </c>
      <c r="G1049" s="18" t="s">
        <v>509</v>
      </c>
      <c r="H1049" s="34" t="s">
        <v>85</v>
      </c>
      <c r="I1049" s="18" t="s">
        <v>104</v>
      </c>
      <c r="J1049" s="31" t="s">
        <v>105</v>
      </c>
      <c r="K1049" s="31">
        <v>46176</v>
      </c>
      <c r="L1049" s="4"/>
      <c r="M1049" s="4"/>
      <c r="N1049" s="13" t="s">
        <v>29</v>
      </c>
      <c r="O1049" s="35" t="str">
        <f>IF(D1049="","",IF(COUNTIF(离职清单!C:C,D1049)&gt;0,"已离职","在职"))</f>
        <v>在职</v>
      </c>
      <c r="P1049" s="35" t="str">
        <f>IF(AND(O1049="在职",J1049="是"),COUNTIF(O$2:O1049,"在职"),"")</f>
        <v/>
      </c>
    </row>
    <row r="1050" customFormat="1" ht="18" spans="1:16">
      <c r="A1050" s="10">
        <f t="shared" si="21"/>
        <v>1049</v>
      </c>
      <c r="B1050" s="31">
        <v>46175</v>
      </c>
      <c r="C1050" s="32" t="s">
        <v>1224</v>
      </c>
      <c r="D1050" s="120" t="s">
        <v>490</v>
      </c>
      <c r="E1050" s="33" t="s">
        <v>43</v>
      </c>
      <c r="F1050" s="18" t="s">
        <v>63</v>
      </c>
      <c r="G1050" s="18" t="s">
        <v>176</v>
      </c>
      <c r="H1050" s="34" t="s">
        <v>85</v>
      </c>
      <c r="I1050" s="18" t="s">
        <v>104</v>
      </c>
      <c r="J1050" s="31" t="s">
        <v>114</v>
      </c>
      <c r="K1050" s="31">
        <v>46178</v>
      </c>
      <c r="L1050" s="4"/>
      <c r="M1050" s="4"/>
      <c r="N1050" s="13" t="s">
        <v>29</v>
      </c>
      <c r="O1050" s="35" t="str">
        <f>IF(D1050="","",IF(COUNTIF(离职清单!C:C,D1050)&gt;0,"已离职","在职"))</f>
        <v>在职</v>
      </c>
      <c r="P1050" s="35">
        <f>IF(AND(O1050="在职",J1050="是"),COUNTIF(O$2:O1050,"在职"),"")</f>
        <v>1043</v>
      </c>
    </row>
    <row r="1051" customFormat="1" ht="18" spans="1:16">
      <c r="A1051" s="14">
        <f t="shared" si="21"/>
        <v>1050</v>
      </c>
      <c r="B1051" s="31">
        <v>46175</v>
      </c>
      <c r="C1051" s="32" t="s">
        <v>1225</v>
      </c>
      <c r="D1051" s="120" t="s">
        <v>492</v>
      </c>
      <c r="E1051" s="33" t="s">
        <v>43</v>
      </c>
      <c r="F1051" s="18" t="s">
        <v>64</v>
      </c>
      <c r="G1051" s="18" t="s">
        <v>135</v>
      </c>
      <c r="H1051" s="34" t="s">
        <v>85</v>
      </c>
      <c r="I1051" s="18" t="s">
        <v>104</v>
      </c>
      <c r="J1051" s="31" t="s">
        <v>105</v>
      </c>
      <c r="K1051" s="31"/>
      <c r="L1051" s="4"/>
      <c r="M1051" s="4"/>
      <c r="N1051" s="13" t="s">
        <v>29</v>
      </c>
      <c r="O1051" s="35" t="str">
        <f>IF(D1051="","",IF(COUNTIF(离职清单!C:C,D1051)&gt;0,"已离职","在职"))</f>
        <v>在职</v>
      </c>
      <c r="P1051" s="35" t="str">
        <f>IF(AND(O1051="在职",J1051="是"),COUNTIF(O$2:O1051,"在职"),"")</f>
        <v/>
      </c>
    </row>
    <row r="1052" customFormat="1" ht="18" spans="1:16">
      <c r="A1052" s="10">
        <f t="shared" si="21"/>
        <v>1051</v>
      </c>
      <c r="B1052" s="31">
        <v>46175</v>
      </c>
      <c r="C1052" s="32" t="s">
        <v>1226</v>
      </c>
      <c r="D1052" s="120" t="s">
        <v>477</v>
      </c>
      <c r="E1052" s="33" t="s">
        <v>74</v>
      </c>
      <c r="F1052" s="18" t="s">
        <v>64</v>
      </c>
      <c r="G1052" s="18" t="s">
        <v>468</v>
      </c>
      <c r="H1052" s="34" t="s">
        <v>85</v>
      </c>
      <c r="I1052" s="18" t="s">
        <v>104</v>
      </c>
      <c r="J1052" s="31" t="s">
        <v>114</v>
      </c>
      <c r="K1052" s="31"/>
      <c r="L1052" s="4"/>
      <c r="M1052" s="4"/>
      <c r="N1052" s="13" t="s">
        <v>29</v>
      </c>
      <c r="O1052" s="35" t="str">
        <f>IF(D1052="","",IF(COUNTIF(离职清单!C:C,D1052)&gt;0,"已离职","在职"))</f>
        <v>在职</v>
      </c>
      <c r="P1052" s="35">
        <f>IF(AND(O1052="在职",J1052="是"),COUNTIF(O$2:O1052,"在职"),"")</f>
        <v>1045</v>
      </c>
    </row>
    <row r="1053" customFormat="1" ht="18" spans="1:16">
      <c r="A1053" s="14">
        <f t="shared" si="21"/>
        <v>1052</v>
      </c>
      <c r="B1053" s="31">
        <v>46175</v>
      </c>
      <c r="C1053" s="32" t="s">
        <v>1227</v>
      </c>
      <c r="D1053" s="120" t="s">
        <v>478</v>
      </c>
      <c r="E1053" s="33" t="s">
        <v>43</v>
      </c>
      <c r="F1053" s="18" t="s">
        <v>62</v>
      </c>
      <c r="G1053" s="18" t="s">
        <v>468</v>
      </c>
      <c r="H1053" s="34" t="s">
        <v>85</v>
      </c>
      <c r="I1053" s="18" t="s">
        <v>104</v>
      </c>
      <c r="J1053" s="31" t="s">
        <v>114</v>
      </c>
      <c r="K1053" s="31">
        <v>46176</v>
      </c>
      <c r="L1053" s="4"/>
      <c r="M1053" s="4"/>
      <c r="N1053" s="13" t="s">
        <v>29</v>
      </c>
      <c r="O1053" s="35" t="str">
        <f>IF(D1053="","",IF(COUNTIF(离职清单!C:C,D1053)&gt;0,"已离职","在职"))</f>
        <v>在职</v>
      </c>
      <c r="P1053" s="35">
        <f>IF(AND(O1053="在职",J1053="是"),COUNTIF(O$2:O1053,"在职"),"")</f>
        <v>1046</v>
      </c>
    </row>
    <row r="1054" customFormat="1" ht="18" spans="1:16">
      <c r="A1054" s="10">
        <f t="shared" si="21"/>
        <v>1053</v>
      </c>
      <c r="B1054" s="31">
        <v>46175</v>
      </c>
      <c r="C1054" s="32" t="s">
        <v>1228</v>
      </c>
      <c r="D1054" s="120" t="s">
        <v>480</v>
      </c>
      <c r="E1054" s="33" t="s">
        <v>43</v>
      </c>
      <c r="F1054" s="18" t="s">
        <v>62</v>
      </c>
      <c r="G1054" s="18" t="s">
        <v>468</v>
      </c>
      <c r="H1054" s="34" t="s">
        <v>85</v>
      </c>
      <c r="I1054" s="18" t="s">
        <v>104</v>
      </c>
      <c r="J1054" s="31" t="s">
        <v>105</v>
      </c>
      <c r="K1054" s="31">
        <v>46176</v>
      </c>
      <c r="L1054" s="4"/>
      <c r="M1054" s="4"/>
      <c r="N1054" s="13" t="s">
        <v>29</v>
      </c>
      <c r="O1054" s="35" t="str">
        <f>IF(D1054="","",IF(COUNTIF(离职清单!C:C,D1054)&gt;0,"已离职","在职"))</f>
        <v>在职</v>
      </c>
      <c r="P1054" s="35" t="str">
        <f>IF(AND(O1054="在职",J1054="是"),COUNTIF(O$2:O1054,"在职"),"")</f>
        <v/>
      </c>
    </row>
    <row r="1055" customFormat="1" ht="18" spans="1:16">
      <c r="A1055" s="14">
        <f t="shared" si="21"/>
        <v>1054</v>
      </c>
      <c r="B1055" s="31">
        <v>46175</v>
      </c>
      <c r="C1055" s="32" t="s">
        <v>1229</v>
      </c>
      <c r="D1055" s="120" t="s">
        <v>482</v>
      </c>
      <c r="E1055" s="33" t="s">
        <v>43</v>
      </c>
      <c r="F1055" s="18" t="s">
        <v>63</v>
      </c>
      <c r="G1055" s="18" t="s">
        <v>332</v>
      </c>
      <c r="H1055" s="34" t="s">
        <v>85</v>
      </c>
      <c r="I1055" s="18" t="s">
        <v>104</v>
      </c>
      <c r="J1055" s="31" t="s">
        <v>105</v>
      </c>
      <c r="K1055" s="31"/>
      <c r="L1055" s="4"/>
      <c r="M1055" s="4"/>
      <c r="N1055" s="13" t="s">
        <v>29</v>
      </c>
      <c r="O1055" s="35" t="str">
        <f>IF(D1055="","",IF(COUNTIF(离职清单!C:C,D1055)&gt;0,"已离职","在职"))</f>
        <v>在职</v>
      </c>
      <c r="P1055" s="35" t="str">
        <f>IF(AND(O1055="在职",J1055="是"),COUNTIF(O$2:O1055,"在职"),"")</f>
        <v/>
      </c>
    </row>
    <row r="1056" customFormat="1" ht="18" spans="1:16">
      <c r="A1056" s="10">
        <f t="shared" si="21"/>
        <v>1055</v>
      </c>
      <c r="B1056" s="31">
        <v>46175</v>
      </c>
      <c r="C1056" s="32" t="s">
        <v>1230</v>
      </c>
      <c r="D1056" s="120" t="s">
        <v>484</v>
      </c>
      <c r="E1056" s="33" t="s">
        <v>43</v>
      </c>
      <c r="F1056" s="18" t="s">
        <v>63</v>
      </c>
      <c r="G1056" s="18" t="s">
        <v>176</v>
      </c>
      <c r="H1056" s="34" t="s">
        <v>85</v>
      </c>
      <c r="I1056" s="18" t="s">
        <v>104</v>
      </c>
      <c r="J1056" s="31" t="s">
        <v>105</v>
      </c>
      <c r="K1056" s="31"/>
      <c r="L1056" s="4"/>
      <c r="M1056" s="4"/>
      <c r="N1056" s="13" t="s">
        <v>29</v>
      </c>
      <c r="O1056" s="35" t="str">
        <f>IF(D1056="","",IF(COUNTIF(离职清单!C:C,D1056)&gt;0,"已离职","在职"))</f>
        <v>在职</v>
      </c>
      <c r="P1056" s="35" t="str">
        <f>IF(AND(O1056="在职",J1056="是"),COUNTIF(O$2:O1056,"在职"),"")</f>
        <v/>
      </c>
    </row>
    <row r="1057" customFormat="1" ht="18" spans="1:16">
      <c r="A1057" s="14">
        <f t="shared" si="21"/>
        <v>1056</v>
      </c>
      <c r="B1057" s="31">
        <v>46175</v>
      </c>
      <c r="C1057" s="32" t="s">
        <v>1231</v>
      </c>
      <c r="D1057" s="120" t="s">
        <v>486</v>
      </c>
      <c r="E1057" s="33" t="s">
        <v>43</v>
      </c>
      <c r="F1057" s="18" t="s">
        <v>63</v>
      </c>
      <c r="G1057" s="18" t="s">
        <v>148</v>
      </c>
      <c r="H1057" s="34" t="s">
        <v>85</v>
      </c>
      <c r="I1057" s="18" t="s">
        <v>104</v>
      </c>
      <c r="J1057" s="31" t="s">
        <v>105</v>
      </c>
      <c r="K1057" s="31">
        <v>46177</v>
      </c>
      <c r="L1057" s="4"/>
      <c r="M1057" s="4"/>
      <c r="N1057" s="13" t="s">
        <v>29</v>
      </c>
      <c r="O1057" s="35" t="str">
        <f>IF(D1057="","",IF(COUNTIF(离职清单!C:C,D1057)&gt;0,"已离职","在职"))</f>
        <v>在职</v>
      </c>
      <c r="P1057" s="35" t="str">
        <f>IF(AND(O1057="在职",J1057="是"),COUNTIF(O$2:O1057,"在职"),"")</f>
        <v/>
      </c>
    </row>
    <row r="1058" customFormat="1" ht="18" spans="1:16">
      <c r="A1058" s="10">
        <f t="shared" si="21"/>
        <v>1057</v>
      </c>
      <c r="B1058" s="31">
        <v>46175</v>
      </c>
      <c r="C1058" s="32" t="s">
        <v>1232</v>
      </c>
      <c r="D1058" s="120" t="s">
        <v>488</v>
      </c>
      <c r="E1058" s="33" t="s">
        <v>43</v>
      </c>
      <c r="F1058" s="18" t="s">
        <v>62</v>
      </c>
      <c r="G1058" s="18" t="s">
        <v>148</v>
      </c>
      <c r="H1058" s="34" t="s">
        <v>85</v>
      </c>
      <c r="I1058" s="18" t="s">
        <v>104</v>
      </c>
      <c r="J1058" s="31" t="s">
        <v>105</v>
      </c>
      <c r="K1058" s="31">
        <v>46177</v>
      </c>
      <c r="L1058" s="4"/>
      <c r="M1058" s="4"/>
      <c r="N1058" s="13" t="s">
        <v>29</v>
      </c>
      <c r="O1058" s="35" t="str">
        <f>IF(D1058="","",IF(COUNTIF(离职清单!C:C,D1058)&gt;0,"已离职","在职"))</f>
        <v>在职</v>
      </c>
      <c r="P1058" s="35" t="str">
        <f>IF(AND(O1058="在职",J1058="是"),COUNTIF(O$2:O1058,"在职"),"")</f>
        <v/>
      </c>
    </row>
    <row r="1059" customFormat="1" ht="18" spans="1:16">
      <c r="A1059" s="14">
        <f t="shared" si="21"/>
        <v>1058</v>
      </c>
      <c r="B1059" s="31">
        <v>46175</v>
      </c>
      <c r="C1059" s="32" t="s">
        <v>1233</v>
      </c>
      <c r="D1059" s="120" t="s">
        <v>490</v>
      </c>
      <c r="E1059" s="33" t="s">
        <v>43</v>
      </c>
      <c r="F1059" s="18" t="s">
        <v>62</v>
      </c>
      <c r="G1059" s="18" t="s">
        <v>179</v>
      </c>
      <c r="H1059" s="34" t="s">
        <v>85</v>
      </c>
      <c r="I1059" s="18" t="s">
        <v>104</v>
      </c>
      <c r="J1059" s="31" t="s">
        <v>105</v>
      </c>
      <c r="K1059" s="31">
        <v>46176</v>
      </c>
      <c r="L1059" s="4"/>
      <c r="M1059" s="4"/>
      <c r="N1059" s="13" t="s">
        <v>29</v>
      </c>
      <c r="O1059" s="35" t="str">
        <f>IF(D1059="","",IF(COUNTIF(离职清单!C:C,D1059)&gt;0,"已离职","在职"))</f>
        <v>在职</v>
      </c>
      <c r="P1059" s="35" t="str">
        <f>IF(AND(O1059="在职",J1059="是"),COUNTIF(O$2:O1059,"在职"),"")</f>
        <v/>
      </c>
    </row>
    <row r="1060" customFormat="1" ht="18" spans="1:16">
      <c r="A1060" s="10">
        <f t="shared" si="21"/>
        <v>1059</v>
      </c>
      <c r="B1060" s="31">
        <v>46176</v>
      </c>
      <c r="C1060" s="32" t="s">
        <v>1234</v>
      </c>
      <c r="D1060" s="120" t="s">
        <v>492</v>
      </c>
      <c r="E1060" s="33" t="s">
        <v>42</v>
      </c>
      <c r="F1060" s="18" t="s">
        <v>64</v>
      </c>
      <c r="G1060" s="18" t="s">
        <v>233</v>
      </c>
      <c r="H1060" s="34" t="s">
        <v>85</v>
      </c>
      <c r="I1060" s="18" t="s">
        <v>104</v>
      </c>
      <c r="J1060" s="31" t="s">
        <v>105</v>
      </c>
      <c r="K1060" s="31"/>
      <c r="L1060" s="4"/>
      <c r="M1060" s="4"/>
      <c r="N1060" s="13" t="s">
        <v>29</v>
      </c>
      <c r="O1060" s="35" t="str">
        <f>IF(D1060="","",IF(COUNTIF(离职清单!C:C,D1060)&gt;0,"已离职","在职"))</f>
        <v>在职</v>
      </c>
      <c r="P1060" s="35" t="str">
        <f>IF(AND(O1060="在职",J1060="是"),COUNTIF(O$2:O1060,"在职"),"")</f>
        <v/>
      </c>
    </row>
    <row r="1061" customFormat="1" ht="18" spans="1:16">
      <c r="A1061" s="14">
        <f t="shared" si="21"/>
        <v>1060</v>
      </c>
      <c r="B1061" s="31">
        <v>46176</v>
      </c>
      <c r="C1061" s="32" t="s">
        <v>1235</v>
      </c>
      <c r="D1061" s="120" t="s">
        <v>477</v>
      </c>
      <c r="E1061" s="33" t="s">
        <v>42</v>
      </c>
      <c r="F1061" s="18" t="s">
        <v>64</v>
      </c>
      <c r="G1061" s="18" t="s">
        <v>148</v>
      </c>
      <c r="H1061" s="34" t="s">
        <v>85</v>
      </c>
      <c r="I1061" s="18" t="s">
        <v>104</v>
      </c>
      <c r="J1061" s="31" t="s">
        <v>105</v>
      </c>
      <c r="K1061" s="31"/>
      <c r="L1061" s="4"/>
      <c r="M1061" s="4"/>
      <c r="N1061" s="13" t="s">
        <v>29</v>
      </c>
      <c r="O1061" s="35" t="str">
        <f>IF(D1061="","",IF(COUNTIF(离职清单!C:C,D1061)&gt;0,"已离职","在职"))</f>
        <v>在职</v>
      </c>
      <c r="P1061" s="35" t="str">
        <f>IF(AND(O1061="在职",J1061="是"),COUNTIF(O$2:O1061,"在职"),"")</f>
        <v/>
      </c>
    </row>
    <row r="1062" customFormat="1" ht="18" spans="1:16">
      <c r="A1062" s="10">
        <f t="shared" si="21"/>
        <v>1061</v>
      </c>
      <c r="B1062" s="31">
        <v>46176</v>
      </c>
      <c r="C1062" s="32" t="s">
        <v>1236</v>
      </c>
      <c r="D1062" s="120" t="s">
        <v>477</v>
      </c>
      <c r="E1062" s="33" t="s">
        <v>42</v>
      </c>
      <c r="F1062" s="18" t="s">
        <v>62</v>
      </c>
      <c r="G1062" s="18" t="s">
        <v>468</v>
      </c>
      <c r="H1062" s="34" t="s">
        <v>85</v>
      </c>
      <c r="I1062" s="18" t="s">
        <v>104</v>
      </c>
      <c r="J1062" s="31" t="s">
        <v>105</v>
      </c>
      <c r="K1062" s="31"/>
      <c r="L1062" s="4"/>
      <c r="M1062" s="4"/>
      <c r="N1062" s="13" t="s">
        <v>29</v>
      </c>
      <c r="O1062" s="35" t="str">
        <f>IF(D1062="","",IF(COUNTIF(离职清单!C:C,D1062)&gt;0,"已离职","在职"))</f>
        <v>在职</v>
      </c>
      <c r="P1062" s="35" t="str">
        <f>IF(AND(O1062="在职",J1062="是"),COUNTIF(O$2:O1062,"在职"),"")</f>
        <v/>
      </c>
    </row>
    <row r="1063" customFormat="1" ht="18" spans="1:16">
      <c r="A1063" s="14">
        <f t="shared" si="21"/>
        <v>1062</v>
      </c>
      <c r="B1063" s="31">
        <v>46176</v>
      </c>
      <c r="C1063" s="32" t="s">
        <v>1237</v>
      </c>
      <c r="D1063" s="120" t="s">
        <v>478</v>
      </c>
      <c r="E1063" s="33" t="s">
        <v>42</v>
      </c>
      <c r="F1063" s="18" t="s">
        <v>63</v>
      </c>
      <c r="G1063" s="18" t="s">
        <v>690</v>
      </c>
      <c r="H1063" s="34" t="s">
        <v>85</v>
      </c>
      <c r="I1063" s="18" t="s">
        <v>104</v>
      </c>
      <c r="J1063" s="31" t="s">
        <v>105</v>
      </c>
      <c r="K1063" s="31"/>
      <c r="L1063" s="4"/>
      <c r="M1063" s="4"/>
      <c r="N1063" s="13" t="s">
        <v>29</v>
      </c>
      <c r="O1063" s="35" t="str">
        <f>IF(D1063="","",IF(COUNTIF(离职清单!C:C,D1063)&gt;0,"已离职","在职"))</f>
        <v>在职</v>
      </c>
      <c r="P1063" s="35" t="str">
        <f>IF(AND(O1063="在职",J1063="是"),COUNTIF(O$2:O1063,"在职"),"")</f>
        <v/>
      </c>
    </row>
    <row r="1064" customFormat="1" ht="18" spans="1:16">
      <c r="A1064" s="10">
        <f t="shared" si="21"/>
        <v>1063</v>
      </c>
      <c r="B1064" s="31">
        <v>46176</v>
      </c>
      <c r="C1064" s="32" t="s">
        <v>1238</v>
      </c>
      <c r="D1064" s="120" t="s">
        <v>480</v>
      </c>
      <c r="E1064" s="33" t="s">
        <v>42</v>
      </c>
      <c r="F1064" s="18" t="s">
        <v>64</v>
      </c>
      <c r="G1064" s="18" t="s">
        <v>176</v>
      </c>
      <c r="H1064" s="34" t="s">
        <v>85</v>
      </c>
      <c r="I1064" s="18" t="s">
        <v>104</v>
      </c>
      <c r="J1064" s="31" t="s">
        <v>105</v>
      </c>
      <c r="K1064" s="31"/>
      <c r="L1064" s="4"/>
      <c r="M1064" s="4"/>
      <c r="N1064" s="13" t="s">
        <v>29</v>
      </c>
      <c r="O1064" s="35" t="str">
        <f>IF(D1064="","",IF(COUNTIF(离职清单!C:C,D1064)&gt;0,"已离职","在职"))</f>
        <v>在职</v>
      </c>
      <c r="P1064" s="35" t="str">
        <f>IF(AND(O1064="在职",J1064="是"),COUNTIF(O$2:O1064,"在职"),"")</f>
        <v/>
      </c>
    </row>
    <row r="1065" customFormat="1" ht="18" spans="1:16">
      <c r="A1065" s="14">
        <f t="shared" si="21"/>
        <v>1064</v>
      </c>
      <c r="B1065" s="31">
        <v>46176</v>
      </c>
      <c r="C1065" s="32" t="s">
        <v>1239</v>
      </c>
      <c r="D1065" s="120" t="s">
        <v>482</v>
      </c>
      <c r="E1065" s="33" t="s">
        <v>42</v>
      </c>
      <c r="F1065" s="18" t="s">
        <v>64</v>
      </c>
      <c r="G1065" s="18" t="s">
        <v>176</v>
      </c>
      <c r="H1065" s="34" t="s">
        <v>85</v>
      </c>
      <c r="I1065" s="18" t="s">
        <v>104</v>
      </c>
      <c r="J1065" s="31" t="s">
        <v>105</v>
      </c>
      <c r="K1065" s="31"/>
      <c r="L1065" s="4"/>
      <c r="M1065" s="4"/>
      <c r="N1065" s="13" t="s">
        <v>29</v>
      </c>
      <c r="O1065" s="35" t="str">
        <f>IF(D1065="","",IF(COUNTIF(离职清单!C:C,D1065)&gt;0,"已离职","在职"))</f>
        <v>在职</v>
      </c>
      <c r="P1065" s="35" t="str">
        <f>IF(AND(O1065="在职",J1065="是"),COUNTIF(O$2:O1065,"在职"),"")</f>
        <v/>
      </c>
    </row>
    <row r="1066" customFormat="1" ht="18" spans="1:16">
      <c r="A1066" s="10">
        <f t="shared" si="21"/>
        <v>1065</v>
      </c>
      <c r="B1066" s="31">
        <v>46176</v>
      </c>
      <c r="C1066" s="32" t="s">
        <v>1240</v>
      </c>
      <c r="D1066" s="120" t="s">
        <v>484</v>
      </c>
      <c r="E1066" s="33" t="s">
        <v>42</v>
      </c>
      <c r="F1066" s="18" t="s">
        <v>63</v>
      </c>
      <c r="G1066" s="18" t="s">
        <v>148</v>
      </c>
      <c r="H1066" s="34" t="s">
        <v>85</v>
      </c>
      <c r="I1066" s="18" t="s">
        <v>104</v>
      </c>
      <c r="J1066" s="31" t="s">
        <v>105</v>
      </c>
      <c r="K1066" s="31"/>
      <c r="L1066" s="4"/>
      <c r="M1066" s="4"/>
      <c r="N1066" s="13" t="s">
        <v>29</v>
      </c>
      <c r="O1066" s="35" t="str">
        <f>IF(D1066="","",IF(COUNTIF(离职清单!C:C,D1066)&gt;0,"已离职","在职"))</f>
        <v>在职</v>
      </c>
      <c r="P1066" s="35" t="str">
        <f>IF(AND(O1066="在职",J1066="是"),COUNTIF(O$2:O1066,"在职"),"")</f>
        <v/>
      </c>
    </row>
    <row r="1067" customFormat="1" ht="18" spans="1:16">
      <c r="A1067" s="14">
        <f t="shared" si="21"/>
        <v>1066</v>
      </c>
      <c r="B1067" s="31">
        <v>46176</v>
      </c>
      <c r="C1067" s="32" t="s">
        <v>1241</v>
      </c>
      <c r="D1067" s="120" t="s">
        <v>486</v>
      </c>
      <c r="E1067" s="33" t="s">
        <v>42</v>
      </c>
      <c r="F1067" s="18" t="s">
        <v>64</v>
      </c>
      <c r="G1067" s="18" t="s">
        <v>148</v>
      </c>
      <c r="H1067" s="34" t="s">
        <v>85</v>
      </c>
      <c r="I1067" s="18" t="s">
        <v>104</v>
      </c>
      <c r="J1067" s="31" t="s">
        <v>105</v>
      </c>
      <c r="K1067" s="31"/>
      <c r="L1067" s="4"/>
      <c r="M1067" s="4"/>
      <c r="N1067" s="13" t="s">
        <v>29</v>
      </c>
      <c r="O1067" s="35" t="str">
        <f>IF(D1067="","",IF(COUNTIF(离职清单!C:C,D1067)&gt;0,"已离职","在职"))</f>
        <v>在职</v>
      </c>
      <c r="P1067" s="35" t="str">
        <f>IF(AND(O1067="在职",J1067="是"),COUNTIF(O$2:O1067,"在职"),"")</f>
        <v/>
      </c>
    </row>
    <row r="1068" customFormat="1" ht="18" spans="1:16">
      <c r="A1068" s="10">
        <f t="shared" ref="A1068:A1131" si="22">IF(B1068&lt;&gt;"",ROW()-1,"")</f>
        <v>1067</v>
      </c>
      <c r="B1068" s="31">
        <v>46176</v>
      </c>
      <c r="C1068" s="32" t="s">
        <v>1242</v>
      </c>
      <c r="D1068" s="120" t="s">
        <v>488</v>
      </c>
      <c r="E1068" s="33" t="s">
        <v>42</v>
      </c>
      <c r="F1068" s="18" t="s">
        <v>62</v>
      </c>
      <c r="G1068" s="18" t="s">
        <v>124</v>
      </c>
      <c r="H1068" s="34" t="s">
        <v>85</v>
      </c>
      <c r="I1068" s="18" t="s">
        <v>104</v>
      </c>
      <c r="J1068" s="31" t="s">
        <v>105</v>
      </c>
      <c r="K1068" s="31">
        <v>46178</v>
      </c>
      <c r="L1068" s="4"/>
      <c r="M1068" s="4"/>
      <c r="N1068" s="13" t="s">
        <v>29</v>
      </c>
      <c r="O1068" s="35" t="str">
        <f>IF(D1068="","",IF(COUNTIF(离职清单!C:C,D1068)&gt;0,"已离职","在职"))</f>
        <v>在职</v>
      </c>
      <c r="P1068" s="35" t="str">
        <f>IF(AND(O1068="在职",J1068="是"),COUNTIF(O$2:O1068,"在职"),"")</f>
        <v/>
      </c>
    </row>
    <row r="1069" customFormat="1" ht="18" spans="1:16">
      <c r="A1069" s="14">
        <f t="shared" si="22"/>
        <v>1068</v>
      </c>
      <c r="B1069" s="31">
        <v>46176</v>
      </c>
      <c r="C1069" s="32" t="s">
        <v>1243</v>
      </c>
      <c r="D1069" s="120" t="s">
        <v>490</v>
      </c>
      <c r="E1069" s="33" t="s">
        <v>42</v>
      </c>
      <c r="F1069" s="18" t="s">
        <v>62</v>
      </c>
      <c r="G1069" s="18" t="s">
        <v>173</v>
      </c>
      <c r="H1069" s="34" t="s">
        <v>85</v>
      </c>
      <c r="I1069" s="18" t="s">
        <v>104</v>
      </c>
      <c r="J1069" s="31" t="s">
        <v>105</v>
      </c>
      <c r="K1069" s="31">
        <v>46179</v>
      </c>
      <c r="L1069" s="4"/>
      <c r="M1069" s="4"/>
      <c r="N1069" s="13" t="s">
        <v>29</v>
      </c>
      <c r="O1069" s="35" t="str">
        <f>IF(D1069="","",IF(COUNTIF(离职清单!C:C,D1069)&gt;0,"已离职","在职"))</f>
        <v>在职</v>
      </c>
      <c r="P1069" s="35" t="str">
        <f>IF(AND(O1069="在职",J1069="是"),COUNTIF(O$2:O1069,"在职"),"")</f>
        <v/>
      </c>
    </row>
    <row r="1070" customFormat="1" ht="18" spans="1:16">
      <c r="A1070" s="10">
        <f t="shared" si="22"/>
        <v>1069</v>
      </c>
      <c r="B1070" s="31">
        <v>46176</v>
      </c>
      <c r="C1070" s="32" t="s">
        <v>1244</v>
      </c>
      <c r="D1070" s="120" t="s">
        <v>492</v>
      </c>
      <c r="E1070" s="33" t="s">
        <v>42</v>
      </c>
      <c r="F1070" s="18" t="s">
        <v>63</v>
      </c>
      <c r="G1070" s="18" t="s">
        <v>173</v>
      </c>
      <c r="H1070" s="34" t="s">
        <v>85</v>
      </c>
      <c r="I1070" s="18" t="s">
        <v>104</v>
      </c>
      <c r="J1070" s="31" t="s">
        <v>105</v>
      </c>
      <c r="K1070" s="31"/>
      <c r="L1070" s="4"/>
      <c r="M1070" s="4"/>
      <c r="N1070" s="13" t="s">
        <v>29</v>
      </c>
      <c r="O1070" s="35" t="str">
        <f>IF(D1070="","",IF(COUNTIF(离职清单!C:C,D1070)&gt;0,"已离职","在职"))</f>
        <v>在职</v>
      </c>
      <c r="P1070" s="35" t="str">
        <f>IF(AND(O1070="在职",J1070="是"),COUNTIF(O$2:O1070,"在职"),"")</f>
        <v/>
      </c>
    </row>
    <row r="1071" customFormat="1" ht="18" spans="1:16">
      <c r="A1071" s="14">
        <f t="shared" si="22"/>
        <v>1070</v>
      </c>
      <c r="B1071" s="31">
        <v>46176</v>
      </c>
      <c r="C1071" s="32" t="s">
        <v>1245</v>
      </c>
      <c r="D1071" s="120" t="s">
        <v>477</v>
      </c>
      <c r="E1071" s="33" t="s">
        <v>42</v>
      </c>
      <c r="F1071" s="18" t="s">
        <v>63</v>
      </c>
      <c r="G1071" s="18" t="s">
        <v>505</v>
      </c>
      <c r="H1071" s="34" t="s">
        <v>85</v>
      </c>
      <c r="I1071" s="18" t="s">
        <v>104</v>
      </c>
      <c r="J1071" s="31" t="s">
        <v>114</v>
      </c>
      <c r="K1071" s="31">
        <v>46177</v>
      </c>
      <c r="L1071" s="4"/>
      <c r="M1071" s="4"/>
      <c r="N1071" s="13" t="s">
        <v>29</v>
      </c>
      <c r="O1071" s="35" t="str">
        <f>IF(D1071="","",IF(COUNTIF(离职清单!C:C,D1071)&gt;0,"已离职","在职"))</f>
        <v>在职</v>
      </c>
      <c r="P1071" s="35">
        <f>IF(AND(O1071="在职",J1071="是"),COUNTIF(O$2:O1071,"在职"),"")</f>
        <v>1064</v>
      </c>
    </row>
    <row r="1072" customFormat="1" ht="18" spans="1:16">
      <c r="A1072" s="10">
        <f t="shared" si="22"/>
        <v>1071</v>
      </c>
      <c r="B1072" s="31">
        <v>46176</v>
      </c>
      <c r="C1072" s="32" t="s">
        <v>1246</v>
      </c>
      <c r="D1072" s="120" t="s">
        <v>478</v>
      </c>
      <c r="E1072" s="33" t="s">
        <v>42</v>
      </c>
      <c r="F1072" s="18" t="s">
        <v>62</v>
      </c>
      <c r="G1072" s="18" t="s">
        <v>505</v>
      </c>
      <c r="H1072" s="34" t="s">
        <v>85</v>
      </c>
      <c r="I1072" s="18" t="s">
        <v>104</v>
      </c>
      <c r="J1072" s="31" t="s">
        <v>114</v>
      </c>
      <c r="K1072" s="31">
        <v>46177</v>
      </c>
      <c r="L1072" s="4"/>
      <c r="M1072" s="4"/>
      <c r="N1072" s="13" t="s">
        <v>29</v>
      </c>
      <c r="O1072" s="35" t="str">
        <f>IF(D1072="","",IF(COUNTIF(离职清单!C:C,D1072)&gt;0,"已离职","在职"))</f>
        <v>在职</v>
      </c>
      <c r="P1072" s="35">
        <f>IF(AND(O1072="在职",J1072="是"),COUNTIF(O$2:O1072,"在职"),"")</f>
        <v>1065</v>
      </c>
    </row>
    <row r="1073" customFormat="1" ht="18" spans="1:16">
      <c r="A1073" s="14">
        <f t="shared" si="22"/>
        <v>1072</v>
      </c>
      <c r="B1073" s="31">
        <v>46176</v>
      </c>
      <c r="C1073" s="32" t="s">
        <v>1247</v>
      </c>
      <c r="D1073" s="120" t="s">
        <v>480</v>
      </c>
      <c r="E1073" s="33" t="s">
        <v>42</v>
      </c>
      <c r="F1073" s="18" t="s">
        <v>64</v>
      </c>
      <c r="G1073" s="18" t="s">
        <v>631</v>
      </c>
      <c r="H1073" s="34" t="s">
        <v>85</v>
      </c>
      <c r="I1073" s="18" t="s">
        <v>104</v>
      </c>
      <c r="J1073" s="31" t="s">
        <v>105</v>
      </c>
      <c r="K1073" s="31"/>
      <c r="L1073" s="4"/>
      <c r="M1073" s="4"/>
      <c r="N1073" s="13" t="s">
        <v>29</v>
      </c>
      <c r="O1073" s="35" t="str">
        <f>IF(D1073="","",IF(COUNTIF(离职清单!C:C,D1073)&gt;0,"已离职","在职"))</f>
        <v>在职</v>
      </c>
      <c r="P1073" s="35" t="str">
        <f>IF(AND(O1073="在职",J1073="是"),COUNTIF(O$2:O1073,"在职"),"")</f>
        <v/>
      </c>
    </row>
    <row r="1074" customFormat="1" ht="18" spans="1:16">
      <c r="A1074" s="10">
        <f t="shared" si="22"/>
        <v>1073</v>
      </c>
      <c r="B1074" s="31">
        <v>46176</v>
      </c>
      <c r="C1074" s="32" t="s">
        <v>1248</v>
      </c>
      <c r="D1074" s="120" t="s">
        <v>482</v>
      </c>
      <c r="E1074" s="33" t="s">
        <v>42</v>
      </c>
      <c r="F1074" s="18" t="s">
        <v>63</v>
      </c>
      <c r="G1074" s="18" t="s">
        <v>129</v>
      </c>
      <c r="H1074" s="34" t="s">
        <v>85</v>
      </c>
      <c r="I1074" s="18" t="s">
        <v>104</v>
      </c>
      <c r="J1074" s="31" t="s">
        <v>105</v>
      </c>
      <c r="K1074" s="31"/>
      <c r="L1074" s="4"/>
      <c r="M1074" s="4"/>
      <c r="N1074" s="13" t="s">
        <v>29</v>
      </c>
      <c r="O1074" s="35" t="str">
        <f>IF(D1074="","",IF(COUNTIF(离职清单!C:C,D1074)&gt;0,"已离职","在职"))</f>
        <v>在职</v>
      </c>
      <c r="P1074" s="35" t="str">
        <f>IF(AND(O1074="在职",J1074="是"),COUNTIF(O$2:O1074,"在职"),"")</f>
        <v/>
      </c>
    </row>
    <row r="1075" customFormat="1" ht="18" spans="1:16">
      <c r="A1075" s="14">
        <f t="shared" si="22"/>
        <v>1074</v>
      </c>
      <c r="B1075" s="31">
        <v>46176</v>
      </c>
      <c r="C1075" s="32" t="s">
        <v>1249</v>
      </c>
      <c r="D1075" s="120" t="s">
        <v>484</v>
      </c>
      <c r="E1075" s="33" t="s">
        <v>42</v>
      </c>
      <c r="F1075" s="18" t="s">
        <v>63</v>
      </c>
      <c r="G1075" s="18" t="s">
        <v>129</v>
      </c>
      <c r="H1075" s="34" t="s">
        <v>85</v>
      </c>
      <c r="I1075" s="18" t="s">
        <v>104</v>
      </c>
      <c r="J1075" s="31" t="s">
        <v>105</v>
      </c>
      <c r="K1075" s="31"/>
      <c r="L1075" s="4"/>
      <c r="M1075" s="4"/>
      <c r="N1075" s="13" t="s">
        <v>29</v>
      </c>
      <c r="O1075" s="35" t="str">
        <f>IF(D1075="","",IF(COUNTIF(离职清单!C:C,D1075)&gt;0,"已离职","在职"))</f>
        <v>在职</v>
      </c>
      <c r="P1075" s="35" t="str">
        <f>IF(AND(O1075="在职",J1075="是"),COUNTIF(O$2:O1075,"在职"),"")</f>
        <v/>
      </c>
    </row>
    <row r="1076" customFormat="1" ht="18" spans="1:16">
      <c r="A1076" s="10">
        <f t="shared" si="22"/>
        <v>1075</v>
      </c>
      <c r="B1076" s="31">
        <v>46176</v>
      </c>
      <c r="C1076" s="32" t="s">
        <v>1250</v>
      </c>
      <c r="D1076" s="120" t="s">
        <v>486</v>
      </c>
      <c r="E1076" s="33" t="s">
        <v>42</v>
      </c>
      <c r="F1076" s="18" t="s">
        <v>64</v>
      </c>
      <c r="G1076" s="18" t="s">
        <v>512</v>
      </c>
      <c r="H1076" s="34" t="s">
        <v>85</v>
      </c>
      <c r="I1076" s="18" t="s">
        <v>104</v>
      </c>
      <c r="J1076" s="31" t="s">
        <v>105</v>
      </c>
      <c r="K1076" s="31"/>
      <c r="L1076" s="4"/>
      <c r="M1076" s="4"/>
      <c r="N1076" s="13" t="s">
        <v>29</v>
      </c>
      <c r="O1076" s="35" t="str">
        <f>IF(D1076="","",IF(COUNTIF(离职清单!C:C,D1076)&gt;0,"已离职","在职"))</f>
        <v>在职</v>
      </c>
      <c r="P1076" s="35" t="str">
        <f>IF(AND(O1076="在职",J1076="是"),COUNTIF(O$2:O1076,"在职"),"")</f>
        <v/>
      </c>
    </row>
    <row r="1077" customFormat="1" ht="18" spans="1:16">
      <c r="A1077" s="14">
        <f t="shared" si="22"/>
        <v>1076</v>
      </c>
      <c r="B1077" s="31">
        <v>46176</v>
      </c>
      <c r="C1077" s="32" t="s">
        <v>1251</v>
      </c>
      <c r="D1077" s="120" t="s">
        <v>488</v>
      </c>
      <c r="E1077" s="33" t="s">
        <v>42</v>
      </c>
      <c r="F1077" s="18" t="s">
        <v>64</v>
      </c>
      <c r="G1077" s="18" t="s">
        <v>512</v>
      </c>
      <c r="H1077" s="34" t="s">
        <v>85</v>
      </c>
      <c r="I1077" s="18" t="s">
        <v>104</v>
      </c>
      <c r="J1077" s="31" t="s">
        <v>105</v>
      </c>
      <c r="K1077" s="31"/>
      <c r="L1077" s="4"/>
      <c r="M1077" s="4"/>
      <c r="N1077" s="13" t="s">
        <v>29</v>
      </c>
      <c r="O1077" s="35" t="str">
        <f>IF(D1077="","",IF(COUNTIF(离职清单!C:C,D1077)&gt;0,"已离职","在职"))</f>
        <v>在职</v>
      </c>
      <c r="P1077" s="35" t="str">
        <f>IF(AND(O1077="在职",J1077="是"),COUNTIF(O$2:O1077,"在职"),"")</f>
        <v/>
      </c>
    </row>
    <row r="1078" customFormat="1" ht="18" spans="1:16">
      <c r="A1078" s="10">
        <f t="shared" si="22"/>
        <v>1077</v>
      </c>
      <c r="B1078" s="31">
        <v>46176</v>
      </c>
      <c r="C1078" s="32" t="s">
        <v>1252</v>
      </c>
      <c r="D1078" s="120" t="s">
        <v>490</v>
      </c>
      <c r="E1078" s="33" t="s">
        <v>42</v>
      </c>
      <c r="F1078" s="18" t="s">
        <v>64</v>
      </c>
      <c r="G1078" s="18" t="s">
        <v>148</v>
      </c>
      <c r="H1078" s="34" t="s">
        <v>85</v>
      </c>
      <c r="I1078" s="18" t="s">
        <v>104</v>
      </c>
      <c r="J1078" s="31" t="s">
        <v>105</v>
      </c>
      <c r="K1078" s="31"/>
      <c r="L1078" s="4"/>
      <c r="M1078" s="4"/>
      <c r="N1078" s="13" t="s">
        <v>29</v>
      </c>
      <c r="O1078" s="35" t="str">
        <f>IF(D1078="","",IF(COUNTIF(离职清单!C:C,D1078)&gt;0,"已离职","在职"))</f>
        <v>在职</v>
      </c>
      <c r="P1078" s="35" t="str">
        <f>IF(AND(O1078="在职",J1078="是"),COUNTIF(O$2:O1078,"在职"),"")</f>
        <v/>
      </c>
    </row>
    <row r="1079" customFormat="1" ht="18" spans="1:16">
      <c r="A1079" s="14">
        <f t="shared" si="22"/>
        <v>1078</v>
      </c>
      <c r="B1079" s="31">
        <v>46176</v>
      </c>
      <c r="C1079" s="32" t="s">
        <v>1253</v>
      </c>
      <c r="D1079" s="120" t="s">
        <v>492</v>
      </c>
      <c r="E1079" s="33" t="s">
        <v>42</v>
      </c>
      <c r="F1079" s="18" t="s">
        <v>64</v>
      </c>
      <c r="G1079" s="18" t="s">
        <v>148</v>
      </c>
      <c r="H1079" s="34" t="s">
        <v>85</v>
      </c>
      <c r="I1079" s="18" t="s">
        <v>104</v>
      </c>
      <c r="J1079" s="31" t="s">
        <v>105</v>
      </c>
      <c r="K1079" s="31"/>
      <c r="L1079" s="4"/>
      <c r="M1079" s="4"/>
      <c r="N1079" s="13" t="s">
        <v>29</v>
      </c>
      <c r="O1079" s="35" t="str">
        <f>IF(D1079="","",IF(COUNTIF(离职清单!C:C,D1079)&gt;0,"已离职","在职"))</f>
        <v>在职</v>
      </c>
      <c r="P1079" s="35" t="str">
        <f>IF(AND(O1079="在职",J1079="是"),COUNTIF(O$2:O1079,"在职"),"")</f>
        <v/>
      </c>
    </row>
    <row r="1080" customFormat="1" ht="18" spans="1:16">
      <c r="A1080" s="10">
        <f t="shared" si="22"/>
        <v>1079</v>
      </c>
      <c r="B1080" s="31">
        <v>46176</v>
      </c>
      <c r="C1080" s="32" t="s">
        <v>1254</v>
      </c>
      <c r="D1080" s="120" t="s">
        <v>477</v>
      </c>
      <c r="E1080" s="33" t="s">
        <v>42</v>
      </c>
      <c r="F1080" s="18" t="s">
        <v>63</v>
      </c>
      <c r="G1080" s="18" t="s">
        <v>148</v>
      </c>
      <c r="H1080" s="34" t="s">
        <v>85</v>
      </c>
      <c r="I1080" s="18" t="s">
        <v>104</v>
      </c>
      <c r="J1080" s="31" t="s">
        <v>105</v>
      </c>
      <c r="K1080" s="31"/>
      <c r="L1080" s="4"/>
      <c r="M1080" s="4"/>
      <c r="N1080" s="13" t="s">
        <v>29</v>
      </c>
      <c r="O1080" s="35" t="str">
        <f>IF(D1080="","",IF(COUNTIF(离职清单!C:C,D1080)&gt;0,"已离职","在职"))</f>
        <v>在职</v>
      </c>
      <c r="P1080" s="35" t="str">
        <f>IF(AND(O1080="在职",J1080="是"),COUNTIF(O$2:O1080,"在职"),"")</f>
        <v/>
      </c>
    </row>
    <row r="1081" customFormat="1" ht="18" spans="1:16">
      <c r="A1081" s="14">
        <f t="shared" si="22"/>
        <v>1080</v>
      </c>
      <c r="B1081" s="31">
        <v>46176</v>
      </c>
      <c r="C1081" s="32" t="s">
        <v>1255</v>
      </c>
      <c r="D1081" s="120" t="s">
        <v>478</v>
      </c>
      <c r="E1081" s="33" t="s">
        <v>42</v>
      </c>
      <c r="F1081" s="18" t="s">
        <v>62</v>
      </c>
      <c r="G1081" s="18" t="s">
        <v>148</v>
      </c>
      <c r="H1081" s="34" t="s">
        <v>85</v>
      </c>
      <c r="I1081" s="18" t="s">
        <v>104</v>
      </c>
      <c r="J1081" s="31" t="s">
        <v>105</v>
      </c>
      <c r="K1081" s="31">
        <v>46177</v>
      </c>
      <c r="L1081" s="4"/>
      <c r="M1081" s="4"/>
      <c r="N1081" s="13" t="s">
        <v>29</v>
      </c>
      <c r="O1081" s="35" t="str">
        <f>IF(D1081="","",IF(COUNTIF(离职清单!C:C,D1081)&gt;0,"已离职","在职"))</f>
        <v>在职</v>
      </c>
      <c r="P1081" s="35" t="str">
        <f>IF(AND(O1081="在职",J1081="是"),COUNTIF(O$2:O1081,"在职"),"")</f>
        <v/>
      </c>
    </row>
    <row r="1082" customFormat="1" ht="18" spans="1:16">
      <c r="A1082" s="10">
        <f t="shared" si="22"/>
        <v>1081</v>
      </c>
      <c r="B1082" s="31">
        <v>46176</v>
      </c>
      <c r="C1082" s="32" t="s">
        <v>1256</v>
      </c>
      <c r="D1082" s="120" t="s">
        <v>480</v>
      </c>
      <c r="E1082" s="33" t="s">
        <v>42</v>
      </c>
      <c r="F1082" s="18" t="s">
        <v>63</v>
      </c>
      <c r="G1082" s="18" t="s">
        <v>148</v>
      </c>
      <c r="H1082" s="34" t="s">
        <v>85</v>
      </c>
      <c r="I1082" s="18" t="s">
        <v>104</v>
      </c>
      <c r="J1082" s="31" t="s">
        <v>105</v>
      </c>
      <c r="K1082" s="31"/>
      <c r="L1082" s="4"/>
      <c r="M1082" s="4"/>
      <c r="N1082" s="13" t="s">
        <v>29</v>
      </c>
      <c r="O1082" s="35" t="str">
        <f>IF(D1082="","",IF(COUNTIF(离职清单!C:C,D1082)&gt;0,"已离职","在职"))</f>
        <v>在职</v>
      </c>
      <c r="P1082" s="35" t="str">
        <f>IF(AND(O1082="在职",J1082="是"),COUNTIF(O$2:O1082,"在职"),"")</f>
        <v/>
      </c>
    </row>
    <row r="1083" customFormat="1" ht="18" spans="1:16">
      <c r="A1083" s="14">
        <f t="shared" si="22"/>
        <v>1082</v>
      </c>
      <c r="B1083" s="31">
        <v>46176</v>
      </c>
      <c r="C1083" s="32" t="s">
        <v>1257</v>
      </c>
      <c r="D1083" s="120" t="s">
        <v>482</v>
      </c>
      <c r="E1083" s="33" t="s">
        <v>42</v>
      </c>
      <c r="F1083" s="18" t="s">
        <v>64</v>
      </c>
      <c r="G1083" s="18" t="s">
        <v>148</v>
      </c>
      <c r="H1083" s="34" t="s">
        <v>85</v>
      </c>
      <c r="I1083" s="18" t="s">
        <v>104</v>
      </c>
      <c r="J1083" s="31" t="s">
        <v>105</v>
      </c>
      <c r="K1083" s="31"/>
      <c r="L1083" s="4"/>
      <c r="M1083" s="4"/>
      <c r="N1083" s="13" t="s">
        <v>29</v>
      </c>
      <c r="O1083" s="35" t="str">
        <f>IF(D1083="","",IF(COUNTIF(离职清单!C:C,D1083)&gt;0,"已离职","在职"))</f>
        <v>在职</v>
      </c>
      <c r="P1083" s="35" t="str">
        <f>IF(AND(O1083="在职",J1083="是"),COUNTIF(O$2:O1083,"在职"),"")</f>
        <v/>
      </c>
    </row>
    <row r="1084" customFormat="1" ht="18" spans="1:16">
      <c r="A1084" s="10">
        <f t="shared" si="22"/>
        <v>1083</v>
      </c>
      <c r="B1084" s="31">
        <v>46176</v>
      </c>
      <c r="C1084" s="32" t="s">
        <v>1258</v>
      </c>
      <c r="D1084" s="120" t="s">
        <v>484</v>
      </c>
      <c r="E1084" s="33" t="s">
        <v>42</v>
      </c>
      <c r="F1084" s="18" t="s">
        <v>64</v>
      </c>
      <c r="G1084" s="18" t="s">
        <v>578</v>
      </c>
      <c r="H1084" s="34" t="s">
        <v>85</v>
      </c>
      <c r="I1084" s="18" t="s">
        <v>104</v>
      </c>
      <c r="J1084" s="31" t="s">
        <v>105</v>
      </c>
      <c r="K1084" s="31"/>
      <c r="L1084" s="4"/>
      <c r="M1084" s="4"/>
      <c r="N1084" s="13" t="s">
        <v>29</v>
      </c>
      <c r="O1084" s="35" t="str">
        <f>IF(D1084="","",IF(COUNTIF(离职清单!C:C,D1084)&gt;0,"已离职","在职"))</f>
        <v>在职</v>
      </c>
      <c r="P1084" s="35" t="str">
        <f>IF(AND(O1084="在职",J1084="是"),COUNTIF(O$2:O1084,"在职"),"")</f>
        <v/>
      </c>
    </row>
    <row r="1085" customFormat="1" ht="18" spans="1:16">
      <c r="A1085" s="14">
        <f t="shared" si="22"/>
        <v>1084</v>
      </c>
      <c r="B1085" s="31">
        <v>46176</v>
      </c>
      <c r="C1085" s="32" t="s">
        <v>1259</v>
      </c>
      <c r="D1085" s="120" t="s">
        <v>486</v>
      </c>
      <c r="E1085" s="33" t="s">
        <v>42</v>
      </c>
      <c r="F1085" s="18" t="s">
        <v>63</v>
      </c>
      <c r="G1085" s="18" t="s">
        <v>578</v>
      </c>
      <c r="H1085" s="34" t="s">
        <v>85</v>
      </c>
      <c r="I1085" s="18" t="s">
        <v>104</v>
      </c>
      <c r="J1085" s="31" t="s">
        <v>105</v>
      </c>
      <c r="K1085" s="31">
        <v>46179</v>
      </c>
      <c r="L1085" s="4"/>
      <c r="M1085" s="4"/>
      <c r="N1085" s="13" t="s">
        <v>29</v>
      </c>
      <c r="O1085" s="35" t="str">
        <f>IF(D1085="","",IF(COUNTIF(离职清单!C:C,D1085)&gt;0,"已离职","在职"))</f>
        <v>在职</v>
      </c>
      <c r="P1085" s="35" t="str">
        <f>IF(AND(O1085="在职",J1085="是"),COUNTIF(O$2:O1085,"在职"),"")</f>
        <v/>
      </c>
    </row>
    <row r="1086" customFormat="1" ht="18" spans="1:16">
      <c r="A1086" s="10">
        <f t="shared" si="22"/>
        <v>1085</v>
      </c>
      <c r="B1086" s="31">
        <v>46176</v>
      </c>
      <c r="C1086" s="32" t="s">
        <v>1260</v>
      </c>
      <c r="D1086" s="120" t="s">
        <v>488</v>
      </c>
      <c r="E1086" s="33" t="s">
        <v>42</v>
      </c>
      <c r="F1086" s="18" t="s">
        <v>63</v>
      </c>
      <c r="G1086" s="18" t="s">
        <v>578</v>
      </c>
      <c r="H1086" s="34" t="s">
        <v>85</v>
      </c>
      <c r="I1086" s="18" t="s">
        <v>104</v>
      </c>
      <c r="J1086" s="31" t="s">
        <v>105</v>
      </c>
      <c r="K1086" s="31">
        <v>46178</v>
      </c>
      <c r="L1086" s="4"/>
      <c r="M1086" s="4"/>
      <c r="N1086" s="13" t="s">
        <v>29</v>
      </c>
      <c r="O1086" s="35" t="str">
        <f>IF(D1086="","",IF(COUNTIF(离职清单!C:C,D1086)&gt;0,"已离职","在职"))</f>
        <v>在职</v>
      </c>
      <c r="P1086" s="35" t="str">
        <f>IF(AND(O1086="在职",J1086="是"),COUNTIF(O$2:O1086,"在职"),"")</f>
        <v/>
      </c>
    </row>
    <row r="1087" customFormat="1" ht="18" spans="1:16">
      <c r="A1087" s="14">
        <f t="shared" si="22"/>
        <v>1086</v>
      </c>
      <c r="B1087" s="31">
        <v>46176</v>
      </c>
      <c r="C1087" s="32" t="s">
        <v>937</v>
      </c>
      <c r="D1087" s="120" t="s">
        <v>490</v>
      </c>
      <c r="E1087" s="33" t="s">
        <v>42</v>
      </c>
      <c r="F1087" s="18" t="s">
        <v>64</v>
      </c>
      <c r="G1087" s="18" t="s">
        <v>578</v>
      </c>
      <c r="H1087" s="34" t="s">
        <v>85</v>
      </c>
      <c r="I1087" s="18" t="s">
        <v>104</v>
      </c>
      <c r="J1087" s="31" t="s">
        <v>105</v>
      </c>
      <c r="K1087" s="31"/>
      <c r="L1087" s="4"/>
      <c r="M1087" s="4"/>
      <c r="N1087" s="13" t="s">
        <v>29</v>
      </c>
      <c r="O1087" s="35" t="str">
        <f>IF(D1087="","",IF(COUNTIF(离职清单!C:C,D1087)&gt;0,"已离职","在职"))</f>
        <v>在职</v>
      </c>
      <c r="P1087" s="35" t="str">
        <f>IF(AND(O1087="在职",J1087="是"),COUNTIF(O$2:O1087,"在职"),"")</f>
        <v/>
      </c>
    </row>
    <row r="1088" customFormat="1" ht="18" spans="1:16">
      <c r="A1088" s="10">
        <f t="shared" si="22"/>
        <v>1087</v>
      </c>
      <c r="B1088" s="31">
        <v>46176</v>
      </c>
      <c r="C1088" s="32" t="s">
        <v>1261</v>
      </c>
      <c r="D1088" s="120" t="s">
        <v>492</v>
      </c>
      <c r="E1088" s="33" t="s">
        <v>42</v>
      </c>
      <c r="F1088" s="18" t="s">
        <v>62</v>
      </c>
      <c r="G1088" s="18" t="s">
        <v>578</v>
      </c>
      <c r="H1088" s="34" t="s">
        <v>85</v>
      </c>
      <c r="I1088" s="18" t="s">
        <v>104</v>
      </c>
      <c r="J1088" s="31" t="s">
        <v>105</v>
      </c>
      <c r="K1088" s="31">
        <v>46178</v>
      </c>
      <c r="L1088" s="4"/>
      <c r="M1088" s="4"/>
      <c r="N1088" s="13" t="s">
        <v>29</v>
      </c>
      <c r="O1088" s="35" t="str">
        <f>IF(D1088="","",IF(COUNTIF(离职清单!C:C,D1088)&gt;0,"已离职","在职"))</f>
        <v>在职</v>
      </c>
      <c r="P1088" s="35" t="str">
        <f>IF(AND(O1088="在职",J1088="是"),COUNTIF(O$2:O1088,"在职"),"")</f>
        <v/>
      </c>
    </row>
    <row r="1089" customFormat="1" ht="18" spans="1:16">
      <c r="A1089" s="14">
        <f t="shared" si="22"/>
        <v>1088</v>
      </c>
      <c r="B1089" s="31">
        <v>46176</v>
      </c>
      <c r="C1089" s="32" t="s">
        <v>1262</v>
      </c>
      <c r="D1089" s="120" t="s">
        <v>477</v>
      </c>
      <c r="E1089" s="33" t="s">
        <v>42</v>
      </c>
      <c r="F1089" s="18" t="s">
        <v>63</v>
      </c>
      <c r="G1089" s="18" t="s">
        <v>578</v>
      </c>
      <c r="H1089" s="34" t="s">
        <v>85</v>
      </c>
      <c r="I1089" s="18" t="s">
        <v>104</v>
      </c>
      <c r="J1089" s="31" t="s">
        <v>105</v>
      </c>
      <c r="K1089" s="31">
        <v>46178</v>
      </c>
      <c r="L1089" s="4"/>
      <c r="M1089" s="4"/>
      <c r="N1089" s="13" t="s">
        <v>29</v>
      </c>
      <c r="O1089" s="35" t="str">
        <f>IF(D1089="","",IF(COUNTIF(离职清单!C:C,D1089)&gt;0,"已离职","在职"))</f>
        <v>在职</v>
      </c>
      <c r="P1089" s="35" t="str">
        <f>IF(AND(O1089="在职",J1089="是"),COUNTIF(O$2:O1089,"在职"),"")</f>
        <v/>
      </c>
    </row>
    <row r="1090" customFormat="1" ht="18" spans="1:16">
      <c r="A1090" s="10">
        <f t="shared" si="22"/>
        <v>1089</v>
      </c>
      <c r="B1090" s="31">
        <v>46176</v>
      </c>
      <c r="C1090" s="32" t="s">
        <v>1263</v>
      </c>
      <c r="D1090" s="120" t="s">
        <v>478</v>
      </c>
      <c r="E1090" s="33" t="s">
        <v>42</v>
      </c>
      <c r="F1090" s="18" t="s">
        <v>64</v>
      </c>
      <c r="G1090" s="18" t="s">
        <v>135</v>
      </c>
      <c r="H1090" s="34" t="s">
        <v>85</v>
      </c>
      <c r="I1090" s="18" t="s">
        <v>104</v>
      </c>
      <c r="J1090" s="31" t="s">
        <v>105</v>
      </c>
      <c r="K1090" s="31"/>
      <c r="L1090" s="4"/>
      <c r="M1090" s="4"/>
      <c r="N1090" s="13" t="s">
        <v>29</v>
      </c>
      <c r="O1090" s="35" t="str">
        <f>IF(D1090="","",IF(COUNTIF(离职清单!C:C,D1090)&gt;0,"已离职","在职"))</f>
        <v>在职</v>
      </c>
      <c r="P1090" s="35" t="str">
        <f>IF(AND(O1090="在职",J1090="是"),COUNTIF(O$2:O1090,"在职"),"")</f>
        <v/>
      </c>
    </row>
    <row r="1091" customFormat="1" ht="18" spans="1:16">
      <c r="A1091" s="14">
        <f t="shared" si="22"/>
        <v>1090</v>
      </c>
      <c r="B1091" s="31">
        <v>46176</v>
      </c>
      <c r="C1091" s="32" t="s">
        <v>1264</v>
      </c>
      <c r="D1091" s="120" t="s">
        <v>480</v>
      </c>
      <c r="E1091" s="33" t="s">
        <v>43</v>
      </c>
      <c r="F1091" s="18" t="s">
        <v>62</v>
      </c>
      <c r="G1091" s="18" t="s">
        <v>426</v>
      </c>
      <c r="H1091" s="34" t="s">
        <v>85</v>
      </c>
      <c r="I1091" s="18" t="s">
        <v>104</v>
      </c>
      <c r="J1091" s="31" t="s">
        <v>105</v>
      </c>
      <c r="K1091" s="31">
        <v>46179</v>
      </c>
      <c r="L1091" s="4"/>
      <c r="M1091" s="4"/>
      <c r="N1091" s="13" t="s">
        <v>29</v>
      </c>
      <c r="O1091" s="35" t="str">
        <f>IF(D1091="","",IF(COUNTIF(离职清单!C:C,D1091)&gt;0,"已离职","在职"))</f>
        <v>在职</v>
      </c>
      <c r="P1091" s="35" t="str">
        <f>IF(AND(O1091="在职",J1091="是"),COUNTIF(O$2:O1091,"在职"),"")</f>
        <v/>
      </c>
    </row>
    <row r="1092" customFormat="1" ht="18" spans="1:16">
      <c r="A1092" s="10">
        <f t="shared" si="22"/>
        <v>1091</v>
      </c>
      <c r="B1092" s="31">
        <v>46176</v>
      </c>
      <c r="C1092" s="32" t="s">
        <v>1265</v>
      </c>
      <c r="D1092" s="120" t="s">
        <v>482</v>
      </c>
      <c r="E1092" s="33" t="s">
        <v>43</v>
      </c>
      <c r="F1092" s="18" t="s">
        <v>62</v>
      </c>
      <c r="G1092" s="18" t="s">
        <v>173</v>
      </c>
      <c r="H1092" s="34" t="s">
        <v>85</v>
      </c>
      <c r="I1092" s="18" t="s">
        <v>104</v>
      </c>
      <c r="J1092" s="31" t="s">
        <v>105</v>
      </c>
      <c r="K1092" s="31"/>
      <c r="L1092" s="4"/>
      <c r="M1092" s="4"/>
      <c r="N1092" s="13" t="s">
        <v>29</v>
      </c>
      <c r="O1092" s="35" t="str">
        <f>IF(D1092="","",IF(COUNTIF(离职清单!C:C,D1092)&gt;0,"已离职","在职"))</f>
        <v>在职</v>
      </c>
      <c r="P1092" s="35" t="str">
        <f>IF(AND(O1092="在职",J1092="是"),COUNTIF(O$2:O1092,"在职"),"")</f>
        <v/>
      </c>
    </row>
    <row r="1093" customFormat="1" ht="18" spans="1:16">
      <c r="A1093" s="14">
        <f t="shared" si="22"/>
        <v>1092</v>
      </c>
      <c r="B1093" s="31">
        <v>46176</v>
      </c>
      <c r="C1093" s="32" t="s">
        <v>1266</v>
      </c>
      <c r="D1093" s="120" t="s">
        <v>484</v>
      </c>
      <c r="E1093" s="33" t="s">
        <v>43</v>
      </c>
      <c r="F1093" s="18" t="s">
        <v>62</v>
      </c>
      <c r="G1093" s="18" t="s">
        <v>468</v>
      </c>
      <c r="H1093" s="34" t="s">
        <v>85</v>
      </c>
      <c r="I1093" s="18" t="s">
        <v>104</v>
      </c>
      <c r="J1093" s="31" t="s">
        <v>105</v>
      </c>
      <c r="K1093" s="31"/>
      <c r="L1093" s="4"/>
      <c r="M1093" s="4"/>
      <c r="N1093" s="13" t="s">
        <v>29</v>
      </c>
      <c r="O1093" s="35" t="str">
        <f>IF(D1093="","",IF(COUNTIF(离职清单!C:C,D1093)&gt;0,"已离职","在职"))</f>
        <v>在职</v>
      </c>
      <c r="P1093" s="35" t="str">
        <f>IF(AND(O1093="在职",J1093="是"),COUNTIF(O$2:O1093,"在职"),"")</f>
        <v/>
      </c>
    </row>
    <row r="1094" customFormat="1" ht="18" spans="1:16">
      <c r="A1094" s="10">
        <f t="shared" si="22"/>
        <v>1093</v>
      </c>
      <c r="B1094" s="31">
        <v>46176</v>
      </c>
      <c r="C1094" s="32" t="s">
        <v>1267</v>
      </c>
      <c r="D1094" s="120" t="s">
        <v>486</v>
      </c>
      <c r="E1094" s="33" t="s">
        <v>43</v>
      </c>
      <c r="F1094" s="18" t="s">
        <v>62</v>
      </c>
      <c r="G1094" s="18" t="s">
        <v>468</v>
      </c>
      <c r="H1094" s="34" t="s">
        <v>85</v>
      </c>
      <c r="I1094" s="18" t="s">
        <v>104</v>
      </c>
      <c r="J1094" s="31" t="s">
        <v>105</v>
      </c>
      <c r="K1094" s="31">
        <v>46177</v>
      </c>
      <c r="L1094" s="4"/>
      <c r="M1094" s="4"/>
      <c r="N1094" s="13" t="s">
        <v>29</v>
      </c>
      <c r="O1094" s="35" t="str">
        <f>IF(D1094="","",IF(COUNTIF(离职清单!C:C,D1094)&gt;0,"已离职","在职"))</f>
        <v>在职</v>
      </c>
      <c r="P1094" s="35" t="str">
        <f>IF(AND(O1094="在职",J1094="是"),COUNTIF(O$2:O1094,"在职"),"")</f>
        <v/>
      </c>
    </row>
    <row r="1095" customFormat="1" ht="18" spans="1:16">
      <c r="A1095" s="14">
        <f t="shared" si="22"/>
        <v>1094</v>
      </c>
      <c r="B1095" s="31">
        <v>46176</v>
      </c>
      <c r="C1095" s="32" t="s">
        <v>1268</v>
      </c>
      <c r="D1095" s="120" t="s">
        <v>488</v>
      </c>
      <c r="E1095" s="33" t="s">
        <v>43</v>
      </c>
      <c r="F1095" s="18" t="s">
        <v>62</v>
      </c>
      <c r="G1095" s="18" t="s">
        <v>468</v>
      </c>
      <c r="H1095" s="34" t="s">
        <v>85</v>
      </c>
      <c r="I1095" s="18" t="s">
        <v>104</v>
      </c>
      <c r="J1095" s="31" t="s">
        <v>105</v>
      </c>
      <c r="K1095" s="31">
        <v>46181</v>
      </c>
      <c r="L1095" s="4"/>
      <c r="M1095" s="4"/>
      <c r="N1095" s="13" t="s">
        <v>29</v>
      </c>
      <c r="O1095" s="35" t="str">
        <f>IF(D1095="","",IF(COUNTIF(离职清单!C:C,D1095)&gt;0,"已离职","在职"))</f>
        <v>在职</v>
      </c>
      <c r="P1095" s="35" t="str">
        <f>IF(AND(O1095="在职",J1095="是"),COUNTIF(O$2:O1095,"在职"),"")</f>
        <v/>
      </c>
    </row>
    <row r="1096" customFormat="1" ht="18" spans="1:16">
      <c r="A1096" s="10">
        <f t="shared" si="22"/>
        <v>1095</v>
      </c>
      <c r="B1096" s="31">
        <v>46176</v>
      </c>
      <c r="C1096" s="32" t="s">
        <v>1269</v>
      </c>
      <c r="D1096" s="120" t="s">
        <v>490</v>
      </c>
      <c r="E1096" s="33" t="s">
        <v>43</v>
      </c>
      <c r="F1096" s="18" t="s">
        <v>62</v>
      </c>
      <c r="G1096" s="18" t="s">
        <v>690</v>
      </c>
      <c r="H1096" s="34" t="s">
        <v>85</v>
      </c>
      <c r="I1096" s="18" t="s">
        <v>104</v>
      </c>
      <c r="J1096" s="31" t="s">
        <v>105</v>
      </c>
      <c r="K1096" s="31"/>
      <c r="L1096" s="4"/>
      <c r="M1096" s="4"/>
      <c r="N1096" s="13" t="s">
        <v>29</v>
      </c>
      <c r="O1096" s="35" t="str">
        <f>IF(D1096="","",IF(COUNTIF(离职清单!C:C,D1096)&gt;0,"已离职","在职"))</f>
        <v>在职</v>
      </c>
      <c r="P1096" s="35" t="str">
        <f>IF(AND(O1096="在职",J1096="是"),COUNTIF(O$2:O1096,"在职"),"")</f>
        <v/>
      </c>
    </row>
    <row r="1097" customFormat="1" ht="18" spans="1:16">
      <c r="A1097" s="14">
        <f t="shared" si="22"/>
        <v>1096</v>
      </c>
      <c r="B1097" s="31">
        <v>46176</v>
      </c>
      <c r="C1097" s="32" t="s">
        <v>1270</v>
      </c>
      <c r="D1097" s="120" t="s">
        <v>492</v>
      </c>
      <c r="E1097" s="33" t="s">
        <v>43</v>
      </c>
      <c r="F1097" s="18" t="s">
        <v>62</v>
      </c>
      <c r="G1097" s="18" t="s">
        <v>176</v>
      </c>
      <c r="H1097" s="34" t="s">
        <v>85</v>
      </c>
      <c r="I1097" s="18" t="s">
        <v>104</v>
      </c>
      <c r="J1097" s="31" t="s">
        <v>105</v>
      </c>
      <c r="K1097" s="31"/>
      <c r="L1097" s="4"/>
      <c r="M1097" s="4"/>
      <c r="N1097" s="13" t="s">
        <v>29</v>
      </c>
      <c r="O1097" s="35" t="str">
        <f>IF(D1097="","",IF(COUNTIF(离职清单!C:C,D1097)&gt;0,"已离职","在职"))</f>
        <v>在职</v>
      </c>
      <c r="P1097" s="35" t="str">
        <f>IF(AND(O1097="在职",J1097="是"),COUNTIF(O$2:O1097,"在职"),"")</f>
        <v/>
      </c>
    </row>
    <row r="1098" customFormat="1" ht="18" spans="1:16">
      <c r="A1098" s="10">
        <f t="shared" si="22"/>
        <v>1097</v>
      </c>
      <c r="B1098" s="31">
        <v>46176</v>
      </c>
      <c r="C1098" s="32" t="s">
        <v>1271</v>
      </c>
      <c r="D1098" s="120" t="s">
        <v>477</v>
      </c>
      <c r="E1098" s="33" t="s">
        <v>43</v>
      </c>
      <c r="F1098" s="18" t="s">
        <v>62</v>
      </c>
      <c r="G1098" s="18" t="s">
        <v>148</v>
      </c>
      <c r="H1098" s="34" t="s">
        <v>85</v>
      </c>
      <c r="I1098" s="18" t="s">
        <v>104</v>
      </c>
      <c r="J1098" s="31" t="s">
        <v>105</v>
      </c>
      <c r="K1098" s="31">
        <v>46178</v>
      </c>
      <c r="L1098" s="4"/>
      <c r="M1098" s="4"/>
      <c r="N1098" s="13" t="s">
        <v>29</v>
      </c>
      <c r="O1098" s="35" t="str">
        <f>IF(D1098="","",IF(COUNTIF(离职清单!C:C,D1098)&gt;0,"已离职","在职"))</f>
        <v>在职</v>
      </c>
      <c r="P1098" s="35" t="str">
        <f>IF(AND(O1098="在职",J1098="是"),COUNTIF(O$2:O1098,"在职"),"")</f>
        <v/>
      </c>
    </row>
    <row r="1099" customFormat="1" ht="18" spans="1:16">
      <c r="A1099" s="14">
        <f t="shared" si="22"/>
        <v>1098</v>
      </c>
      <c r="B1099" s="31">
        <v>46176</v>
      </c>
      <c r="C1099" s="32" t="s">
        <v>1272</v>
      </c>
      <c r="D1099" s="120" t="s">
        <v>478</v>
      </c>
      <c r="E1099" s="33" t="s">
        <v>43</v>
      </c>
      <c r="F1099" s="18" t="s">
        <v>63</v>
      </c>
      <c r="G1099" s="18" t="s">
        <v>426</v>
      </c>
      <c r="H1099" s="34" t="s">
        <v>85</v>
      </c>
      <c r="I1099" s="18" t="s">
        <v>104</v>
      </c>
      <c r="J1099" s="31" t="s">
        <v>105</v>
      </c>
      <c r="K1099" s="31">
        <v>46180</v>
      </c>
      <c r="L1099" s="4"/>
      <c r="M1099" s="4"/>
      <c r="N1099" s="13" t="s">
        <v>29</v>
      </c>
      <c r="O1099" s="35" t="str">
        <f>IF(D1099="","",IF(COUNTIF(离职清单!C:C,D1099)&gt;0,"已离职","在职"))</f>
        <v>在职</v>
      </c>
      <c r="P1099" s="35" t="str">
        <f>IF(AND(O1099="在职",J1099="是"),COUNTIF(O$2:O1099,"在职"),"")</f>
        <v/>
      </c>
    </row>
    <row r="1100" customFormat="1" ht="18" spans="1:16">
      <c r="A1100" s="10">
        <f t="shared" si="22"/>
        <v>1099</v>
      </c>
      <c r="B1100" s="31">
        <v>46176</v>
      </c>
      <c r="C1100" s="32" t="s">
        <v>1273</v>
      </c>
      <c r="D1100" s="120" t="s">
        <v>480</v>
      </c>
      <c r="E1100" s="33" t="s">
        <v>43</v>
      </c>
      <c r="F1100" s="18" t="s">
        <v>64</v>
      </c>
      <c r="G1100" s="18" t="s">
        <v>117</v>
      </c>
      <c r="H1100" s="34" t="s">
        <v>85</v>
      </c>
      <c r="I1100" s="18" t="s">
        <v>104</v>
      </c>
      <c r="J1100" s="31" t="s">
        <v>105</v>
      </c>
      <c r="K1100" s="31"/>
      <c r="L1100" s="4"/>
      <c r="M1100" s="4"/>
      <c r="N1100" s="13" t="s">
        <v>29</v>
      </c>
      <c r="O1100" s="35" t="str">
        <f>IF(D1100="","",IF(COUNTIF(离职清单!C:C,D1100)&gt;0,"已离职","在职"))</f>
        <v>在职</v>
      </c>
      <c r="P1100" s="35" t="str">
        <f>IF(AND(O1100="在职",J1100="是"),COUNTIF(O$2:O1100,"在职"),"")</f>
        <v/>
      </c>
    </row>
    <row r="1101" customFormat="1" ht="18" spans="1:16">
      <c r="A1101" s="14">
        <f t="shared" si="22"/>
        <v>1100</v>
      </c>
      <c r="B1101" s="31">
        <v>46176</v>
      </c>
      <c r="C1101" s="32" t="s">
        <v>1274</v>
      </c>
      <c r="D1101" s="120" t="s">
        <v>482</v>
      </c>
      <c r="E1101" s="33" t="s">
        <v>43</v>
      </c>
      <c r="F1101" s="18" t="s">
        <v>62</v>
      </c>
      <c r="G1101" s="18" t="s">
        <v>124</v>
      </c>
      <c r="H1101" s="34" t="s">
        <v>85</v>
      </c>
      <c r="I1101" s="18" t="s">
        <v>104</v>
      </c>
      <c r="J1101" s="31" t="s">
        <v>105</v>
      </c>
      <c r="K1101" s="31">
        <v>46177</v>
      </c>
      <c r="L1101" s="4"/>
      <c r="M1101" s="4"/>
      <c r="N1101" s="13" t="s">
        <v>29</v>
      </c>
      <c r="O1101" s="35" t="str">
        <f>IF(D1101="","",IF(COUNTIF(离职清单!C:C,D1101)&gt;0,"已离职","在职"))</f>
        <v>在职</v>
      </c>
      <c r="P1101" s="35" t="str">
        <f>IF(AND(O1101="在职",J1101="是"),COUNTIF(O$2:O1101,"在职"),"")</f>
        <v/>
      </c>
    </row>
    <row r="1102" customFormat="1" ht="18" spans="1:16">
      <c r="A1102" s="10">
        <f t="shared" si="22"/>
        <v>1101</v>
      </c>
      <c r="B1102" s="31">
        <v>46176</v>
      </c>
      <c r="C1102" s="32" t="s">
        <v>1275</v>
      </c>
      <c r="D1102" s="120" t="s">
        <v>484</v>
      </c>
      <c r="E1102" s="33" t="s">
        <v>43</v>
      </c>
      <c r="F1102" s="18" t="s">
        <v>63</v>
      </c>
      <c r="G1102" s="18" t="s">
        <v>124</v>
      </c>
      <c r="H1102" s="34" t="s">
        <v>85</v>
      </c>
      <c r="I1102" s="18" t="s">
        <v>104</v>
      </c>
      <c r="J1102" s="31" t="s">
        <v>105</v>
      </c>
      <c r="K1102" s="31">
        <v>46177</v>
      </c>
      <c r="L1102" s="4"/>
      <c r="M1102" s="4"/>
      <c r="N1102" s="13" t="s">
        <v>29</v>
      </c>
      <c r="O1102" s="35" t="str">
        <f>IF(D1102="","",IF(COUNTIF(离职清单!C:C,D1102)&gt;0,"已离职","在职"))</f>
        <v>在职</v>
      </c>
      <c r="P1102" s="35" t="str">
        <f>IF(AND(O1102="在职",J1102="是"),COUNTIF(O$2:O1102,"在职"),"")</f>
        <v/>
      </c>
    </row>
    <row r="1103" customFormat="1" ht="18" spans="1:16">
      <c r="A1103" s="14">
        <f t="shared" si="22"/>
        <v>1102</v>
      </c>
      <c r="B1103" s="31">
        <v>46176</v>
      </c>
      <c r="C1103" s="32" t="s">
        <v>1276</v>
      </c>
      <c r="D1103" s="120" t="s">
        <v>486</v>
      </c>
      <c r="E1103" s="33" t="s">
        <v>43</v>
      </c>
      <c r="F1103" s="18" t="s">
        <v>64</v>
      </c>
      <c r="G1103" s="18" t="s">
        <v>631</v>
      </c>
      <c r="H1103" s="34" t="s">
        <v>85</v>
      </c>
      <c r="I1103" s="18" t="s">
        <v>104</v>
      </c>
      <c r="J1103" s="31" t="s">
        <v>105</v>
      </c>
      <c r="K1103" s="31"/>
      <c r="L1103" s="4"/>
      <c r="M1103" s="4"/>
      <c r="N1103" s="13" t="s">
        <v>29</v>
      </c>
      <c r="O1103" s="35" t="str">
        <f>IF(D1103="","",IF(COUNTIF(离职清单!C:C,D1103)&gt;0,"已离职","在职"))</f>
        <v>在职</v>
      </c>
      <c r="P1103" s="35" t="str">
        <f>IF(AND(O1103="在职",J1103="是"),COUNTIF(O$2:O1103,"在职"),"")</f>
        <v/>
      </c>
    </row>
    <row r="1104" customFormat="1" ht="18" spans="1:16">
      <c r="A1104" s="10">
        <f t="shared" si="22"/>
        <v>1103</v>
      </c>
      <c r="B1104" s="31">
        <v>46176</v>
      </c>
      <c r="C1104" s="32" t="s">
        <v>1277</v>
      </c>
      <c r="D1104" s="120" t="s">
        <v>488</v>
      </c>
      <c r="E1104" s="33" t="s">
        <v>43</v>
      </c>
      <c r="F1104" s="18" t="s">
        <v>62</v>
      </c>
      <c r="G1104" s="18" t="s">
        <v>631</v>
      </c>
      <c r="H1104" s="34" t="s">
        <v>85</v>
      </c>
      <c r="I1104" s="18" t="s">
        <v>104</v>
      </c>
      <c r="J1104" s="31" t="s">
        <v>105</v>
      </c>
      <c r="K1104" s="31"/>
      <c r="L1104" s="4"/>
      <c r="M1104" s="4"/>
      <c r="N1104" s="13" t="s">
        <v>29</v>
      </c>
      <c r="O1104" s="35" t="str">
        <f>IF(D1104="","",IF(COUNTIF(离职清单!C:C,D1104)&gt;0,"已离职","在职"))</f>
        <v>在职</v>
      </c>
      <c r="P1104" s="35" t="str">
        <f>IF(AND(O1104="在职",J1104="是"),COUNTIF(O$2:O1104,"在职"),"")</f>
        <v/>
      </c>
    </row>
    <row r="1105" customFormat="1" ht="18" spans="1:16">
      <c r="A1105" s="14">
        <f t="shared" si="22"/>
        <v>1104</v>
      </c>
      <c r="B1105" s="31">
        <v>46176</v>
      </c>
      <c r="C1105" s="32" t="s">
        <v>1278</v>
      </c>
      <c r="D1105" s="120" t="s">
        <v>490</v>
      </c>
      <c r="E1105" s="33" t="s">
        <v>43</v>
      </c>
      <c r="F1105" s="18" t="s">
        <v>63</v>
      </c>
      <c r="G1105" s="18" t="s">
        <v>129</v>
      </c>
      <c r="H1105" s="34" t="s">
        <v>85</v>
      </c>
      <c r="I1105" s="18" t="s">
        <v>104</v>
      </c>
      <c r="J1105" s="31" t="s">
        <v>114</v>
      </c>
      <c r="K1105" s="31">
        <v>46181</v>
      </c>
      <c r="L1105" s="4"/>
      <c r="M1105" s="4"/>
      <c r="N1105" s="13" t="s">
        <v>29</v>
      </c>
      <c r="O1105" s="35" t="str">
        <f>IF(D1105="","",IF(COUNTIF(离职清单!C:C,D1105)&gt;0,"已离职","在职"))</f>
        <v>在职</v>
      </c>
      <c r="P1105" s="35">
        <f>IF(AND(O1105="在职",J1105="是"),COUNTIF(O$2:O1105,"在职"),"")</f>
        <v>1098</v>
      </c>
    </row>
    <row r="1106" customFormat="1" ht="18" spans="1:16">
      <c r="A1106" s="10">
        <f t="shared" si="22"/>
        <v>1105</v>
      </c>
      <c r="B1106" s="31">
        <v>46176</v>
      </c>
      <c r="C1106" s="32" t="s">
        <v>1279</v>
      </c>
      <c r="D1106" s="120" t="s">
        <v>492</v>
      </c>
      <c r="E1106" s="33" t="s">
        <v>43</v>
      </c>
      <c r="F1106" s="18" t="s">
        <v>62</v>
      </c>
      <c r="G1106" s="18" t="s">
        <v>246</v>
      </c>
      <c r="H1106" s="34" t="s">
        <v>85</v>
      </c>
      <c r="I1106" s="18" t="s">
        <v>104</v>
      </c>
      <c r="J1106" s="31" t="s">
        <v>105</v>
      </c>
      <c r="K1106" s="31"/>
      <c r="L1106" s="4"/>
      <c r="M1106" s="4"/>
      <c r="N1106" s="13" t="s">
        <v>29</v>
      </c>
      <c r="O1106" s="35" t="str">
        <f>IF(D1106="","",IF(COUNTIF(离职清单!C:C,D1106)&gt;0,"已离职","在职"))</f>
        <v>在职</v>
      </c>
      <c r="P1106" s="35" t="str">
        <f>IF(AND(O1106="在职",J1106="是"),COUNTIF(O$2:O1106,"在职"),"")</f>
        <v/>
      </c>
    </row>
    <row r="1107" customFormat="1" ht="18" spans="1:16">
      <c r="A1107" s="14">
        <f t="shared" si="22"/>
        <v>1106</v>
      </c>
      <c r="B1107" s="31">
        <v>46176</v>
      </c>
      <c r="C1107" s="32" t="s">
        <v>666</v>
      </c>
      <c r="D1107" s="120" t="s">
        <v>477</v>
      </c>
      <c r="E1107" s="33" t="s">
        <v>43</v>
      </c>
      <c r="F1107" s="18" t="s">
        <v>64</v>
      </c>
      <c r="G1107" s="18" t="s">
        <v>132</v>
      </c>
      <c r="H1107" s="34" t="s">
        <v>85</v>
      </c>
      <c r="I1107" s="18" t="s">
        <v>104</v>
      </c>
      <c r="J1107" s="31" t="s">
        <v>105</v>
      </c>
      <c r="K1107" s="31"/>
      <c r="L1107" s="4"/>
      <c r="M1107" s="4"/>
      <c r="N1107" s="13" t="s">
        <v>29</v>
      </c>
      <c r="O1107" s="35" t="str">
        <f>IF(D1107="","",IF(COUNTIF(离职清单!C:C,D1107)&gt;0,"已离职","在职"))</f>
        <v>在职</v>
      </c>
      <c r="P1107" s="35" t="str">
        <f>IF(AND(O1107="在职",J1107="是"),COUNTIF(O$2:O1107,"在职"),"")</f>
        <v/>
      </c>
    </row>
    <row r="1108" customFormat="1" ht="18" spans="1:16">
      <c r="A1108" s="10">
        <f t="shared" si="22"/>
        <v>1107</v>
      </c>
      <c r="B1108" s="31">
        <v>46176</v>
      </c>
      <c r="C1108" s="32" t="s">
        <v>1280</v>
      </c>
      <c r="D1108" s="120" t="s">
        <v>478</v>
      </c>
      <c r="E1108" s="33" t="s">
        <v>43</v>
      </c>
      <c r="F1108" s="18" t="s">
        <v>63</v>
      </c>
      <c r="G1108" s="18" t="s">
        <v>132</v>
      </c>
      <c r="H1108" s="34" t="s">
        <v>85</v>
      </c>
      <c r="I1108" s="18" t="s">
        <v>104</v>
      </c>
      <c r="J1108" s="31" t="s">
        <v>105</v>
      </c>
      <c r="K1108" s="31">
        <v>46177</v>
      </c>
      <c r="L1108" s="4"/>
      <c r="M1108" s="4"/>
      <c r="N1108" s="13" t="s">
        <v>29</v>
      </c>
      <c r="O1108" s="35" t="str">
        <f>IF(D1108="","",IF(COUNTIF(离职清单!C:C,D1108)&gt;0,"已离职","在职"))</f>
        <v>在职</v>
      </c>
      <c r="P1108" s="35" t="str">
        <f>IF(AND(O1108="在职",J1108="是"),COUNTIF(O$2:O1108,"在职"),"")</f>
        <v/>
      </c>
    </row>
    <row r="1109" customFormat="1" ht="18" spans="1:16">
      <c r="A1109" s="14">
        <f t="shared" si="22"/>
        <v>1108</v>
      </c>
      <c r="B1109" s="31">
        <v>46176</v>
      </c>
      <c r="C1109" s="32" t="s">
        <v>1281</v>
      </c>
      <c r="D1109" s="120" t="s">
        <v>480</v>
      </c>
      <c r="E1109" s="33" t="s">
        <v>43</v>
      </c>
      <c r="F1109" s="18" t="s">
        <v>62</v>
      </c>
      <c r="G1109" s="18" t="s">
        <v>132</v>
      </c>
      <c r="H1109" s="34" t="s">
        <v>85</v>
      </c>
      <c r="I1109" s="18" t="s">
        <v>104</v>
      </c>
      <c r="J1109" s="31" t="s">
        <v>105</v>
      </c>
      <c r="K1109" s="31">
        <v>46177</v>
      </c>
      <c r="L1109" s="4"/>
      <c r="M1109" s="4"/>
      <c r="N1109" s="13" t="s">
        <v>29</v>
      </c>
      <c r="O1109" s="35" t="str">
        <f>IF(D1109="","",IF(COUNTIF(离职清单!C:C,D1109)&gt;0,"已离职","在职"))</f>
        <v>在职</v>
      </c>
      <c r="P1109" s="35" t="str">
        <f>IF(AND(O1109="在职",J1109="是"),COUNTIF(O$2:O1109,"在职"),"")</f>
        <v/>
      </c>
    </row>
    <row r="1110" customFormat="1" ht="18" spans="1:16">
      <c r="A1110" s="10">
        <f t="shared" si="22"/>
        <v>1109</v>
      </c>
      <c r="B1110" s="31">
        <v>46176</v>
      </c>
      <c r="C1110" s="32" t="s">
        <v>1282</v>
      </c>
      <c r="D1110" s="120" t="s">
        <v>482</v>
      </c>
      <c r="E1110" s="33" t="s">
        <v>43</v>
      </c>
      <c r="F1110" s="18" t="s">
        <v>62</v>
      </c>
      <c r="G1110" s="18" t="s">
        <v>132</v>
      </c>
      <c r="H1110" s="34" t="s">
        <v>85</v>
      </c>
      <c r="I1110" s="18" t="s">
        <v>104</v>
      </c>
      <c r="J1110" s="31" t="s">
        <v>105</v>
      </c>
      <c r="K1110" s="31">
        <v>46178</v>
      </c>
      <c r="L1110" s="4"/>
      <c r="M1110" s="4"/>
      <c r="N1110" s="13" t="s">
        <v>29</v>
      </c>
      <c r="O1110" s="35" t="str">
        <f>IF(D1110="","",IF(COUNTIF(离职清单!C:C,D1110)&gt;0,"已离职","在职"))</f>
        <v>在职</v>
      </c>
      <c r="P1110" s="35" t="str">
        <f>IF(AND(O1110="在职",J1110="是"),COUNTIF(O$2:O1110,"在职"),"")</f>
        <v/>
      </c>
    </row>
    <row r="1111" customFormat="1" ht="18" spans="1:16">
      <c r="A1111" s="14">
        <f t="shared" si="22"/>
        <v>1110</v>
      </c>
      <c r="B1111" s="31">
        <v>46176</v>
      </c>
      <c r="C1111" s="32" t="s">
        <v>1283</v>
      </c>
      <c r="D1111" s="120" t="s">
        <v>484</v>
      </c>
      <c r="E1111" s="33" t="s">
        <v>43</v>
      </c>
      <c r="F1111" s="18" t="s">
        <v>62</v>
      </c>
      <c r="G1111" s="18" t="s">
        <v>132</v>
      </c>
      <c r="H1111" s="34" t="s">
        <v>85</v>
      </c>
      <c r="I1111" s="18" t="s">
        <v>104</v>
      </c>
      <c r="J1111" s="31" t="s">
        <v>105</v>
      </c>
      <c r="K1111" s="31">
        <v>46178</v>
      </c>
      <c r="L1111" s="4"/>
      <c r="M1111" s="4"/>
      <c r="N1111" s="13" t="s">
        <v>29</v>
      </c>
      <c r="O1111" s="35" t="str">
        <f>IF(D1111="","",IF(COUNTIF(离职清单!C:C,D1111)&gt;0,"已离职","在职"))</f>
        <v>在职</v>
      </c>
      <c r="P1111" s="35" t="str">
        <f>IF(AND(O1111="在职",J1111="是"),COUNTIF(O$2:O1111,"在职"),"")</f>
        <v/>
      </c>
    </row>
    <row r="1112" customFormat="1" ht="18" spans="1:16">
      <c r="A1112" s="10">
        <f t="shared" si="22"/>
        <v>1111</v>
      </c>
      <c r="B1112" s="31">
        <v>46176</v>
      </c>
      <c r="C1112" s="32" t="s">
        <v>1284</v>
      </c>
      <c r="D1112" s="120" t="s">
        <v>486</v>
      </c>
      <c r="E1112" s="33" t="s">
        <v>43</v>
      </c>
      <c r="F1112" s="18" t="s">
        <v>62</v>
      </c>
      <c r="G1112" s="18" t="s">
        <v>233</v>
      </c>
      <c r="H1112" s="34" t="s">
        <v>85</v>
      </c>
      <c r="I1112" s="18" t="s">
        <v>104</v>
      </c>
      <c r="J1112" s="31" t="s">
        <v>105</v>
      </c>
      <c r="K1112" s="31"/>
      <c r="L1112" s="4"/>
      <c r="M1112" s="4"/>
      <c r="N1112" s="13" t="s">
        <v>29</v>
      </c>
      <c r="O1112" s="35" t="str">
        <f>IF(D1112="","",IF(COUNTIF(离职清单!C:C,D1112)&gt;0,"已离职","在职"))</f>
        <v>在职</v>
      </c>
      <c r="P1112" s="35" t="str">
        <f>IF(AND(O1112="在职",J1112="是"),COUNTIF(O$2:O1112,"在职"),"")</f>
        <v/>
      </c>
    </row>
    <row r="1113" customFormat="1" ht="18" spans="1:16">
      <c r="A1113" s="14">
        <f t="shared" si="22"/>
        <v>1112</v>
      </c>
      <c r="B1113" s="31">
        <v>46176</v>
      </c>
      <c r="C1113" s="32" t="s">
        <v>1285</v>
      </c>
      <c r="D1113" s="120" t="s">
        <v>488</v>
      </c>
      <c r="E1113" s="33" t="s">
        <v>43</v>
      </c>
      <c r="F1113" s="18" t="s">
        <v>64</v>
      </c>
      <c r="G1113" s="18" t="s">
        <v>148</v>
      </c>
      <c r="H1113" s="34" t="s">
        <v>85</v>
      </c>
      <c r="I1113" s="18" t="s">
        <v>104</v>
      </c>
      <c r="J1113" s="31" t="s">
        <v>105</v>
      </c>
      <c r="K1113" s="31"/>
      <c r="L1113" s="4"/>
      <c r="M1113" s="4"/>
      <c r="N1113" s="13" t="s">
        <v>29</v>
      </c>
      <c r="O1113" s="35" t="str">
        <f>IF(D1113="","",IF(COUNTIF(离职清单!C:C,D1113)&gt;0,"已离职","在职"))</f>
        <v>在职</v>
      </c>
      <c r="P1113" s="35" t="str">
        <f>IF(AND(O1113="在职",J1113="是"),COUNTIF(O$2:O1113,"在职"),"")</f>
        <v/>
      </c>
    </row>
    <row r="1114" customFormat="1" ht="18" spans="1:16">
      <c r="A1114" s="10">
        <f t="shared" si="22"/>
        <v>1113</v>
      </c>
      <c r="B1114" s="31">
        <v>46176</v>
      </c>
      <c r="C1114" s="32" t="s">
        <v>1286</v>
      </c>
      <c r="D1114" s="120" t="s">
        <v>490</v>
      </c>
      <c r="E1114" s="33" t="s">
        <v>43</v>
      </c>
      <c r="F1114" s="18" t="s">
        <v>62</v>
      </c>
      <c r="G1114" s="18" t="s">
        <v>307</v>
      </c>
      <c r="H1114" s="34" t="s">
        <v>85</v>
      </c>
      <c r="I1114" s="18" t="s">
        <v>104</v>
      </c>
      <c r="J1114" s="31" t="s">
        <v>114</v>
      </c>
      <c r="K1114" s="31">
        <v>46177</v>
      </c>
      <c r="L1114" s="4"/>
      <c r="M1114" s="4"/>
      <c r="N1114" s="13" t="s">
        <v>29</v>
      </c>
      <c r="O1114" s="35" t="str">
        <f>IF(D1114="","",IF(COUNTIF(离职清单!C:C,D1114)&gt;0,"已离职","在职"))</f>
        <v>在职</v>
      </c>
      <c r="P1114" s="35">
        <f>IF(AND(O1114="在职",J1114="是"),COUNTIF(O$2:O1114,"在职"),"")</f>
        <v>1107</v>
      </c>
    </row>
    <row r="1115" customFormat="1" ht="18" spans="1:16">
      <c r="A1115" s="14">
        <f t="shared" si="22"/>
        <v>1114</v>
      </c>
      <c r="B1115" s="31">
        <v>46176</v>
      </c>
      <c r="C1115" s="32" t="s">
        <v>1287</v>
      </c>
      <c r="D1115" s="120" t="s">
        <v>492</v>
      </c>
      <c r="E1115" s="33" t="s">
        <v>43</v>
      </c>
      <c r="F1115" s="18" t="s">
        <v>62</v>
      </c>
      <c r="G1115" s="18" t="s">
        <v>307</v>
      </c>
      <c r="H1115" s="34" t="s">
        <v>85</v>
      </c>
      <c r="I1115" s="18" t="s">
        <v>104</v>
      </c>
      <c r="J1115" s="31" t="s">
        <v>114</v>
      </c>
      <c r="K1115" s="31">
        <v>46177</v>
      </c>
      <c r="L1115" s="4"/>
      <c r="M1115" s="4"/>
      <c r="N1115" s="13" t="s">
        <v>29</v>
      </c>
      <c r="O1115" s="35" t="str">
        <f>IF(D1115="","",IF(COUNTIF(离职清单!C:C,D1115)&gt;0,"已离职","在职"))</f>
        <v>在职</v>
      </c>
      <c r="P1115" s="35">
        <f>IF(AND(O1115="在职",J1115="是"),COUNTIF(O$2:O1115,"在职"),"")</f>
        <v>1108</v>
      </c>
    </row>
    <row r="1116" customFormat="1" ht="18" spans="1:16">
      <c r="A1116" s="10">
        <f t="shared" si="22"/>
        <v>1115</v>
      </c>
      <c r="B1116" s="31">
        <v>46176</v>
      </c>
      <c r="C1116" s="32" t="s">
        <v>1288</v>
      </c>
      <c r="D1116" s="120" t="s">
        <v>477</v>
      </c>
      <c r="E1116" s="33" t="s">
        <v>43</v>
      </c>
      <c r="F1116" s="18" t="s">
        <v>63</v>
      </c>
      <c r="G1116" s="18" t="s">
        <v>135</v>
      </c>
      <c r="H1116" s="34" t="s">
        <v>85</v>
      </c>
      <c r="I1116" s="18" t="s">
        <v>104</v>
      </c>
      <c r="J1116" s="31" t="s">
        <v>105</v>
      </c>
      <c r="K1116" s="31"/>
      <c r="L1116" s="4"/>
      <c r="M1116" s="4"/>
      <c r="N1116" s="13" t="s">
        <v>29</v>
      </c>
      <c r="O1116" s="35" t="str">
        <f>IF(D1116="","",IF(COUNTIF(离职清单!C:C,D1116)&gt;0,"已离职","在职"))</f>
        <v>在职</v>
      </c>
      <c r="P1116" s="35" t="str">
        <f>IF(AND(O1116="在职",J1116="是"),COUNTIF(O$2:O1116,"在职"),"")</f>
        <v/>
      </c>
    </row>
    <row r="1117" customFormat="1" ht="18" spans="1:16">
      <c r="A1117" s="14">
        <f t="shared" si="22"/>
        <v>1116</v>
      </c>
      <c r="B1117" s="31">
        <v>46176</v>
      </c>
      <c r="C1117" s="32" t="s">
        <v>1289</v>
      </c>
      <c r="D1117" s="120" t="s">
        <v>477</v>
      </c>
      <c r="E1117" s="33" t="s">
        <v>43</v>
      </c>
      <c r="F1117" s="18" t="s">
        <v>62</v>
      </c>
      <c r="G1117" s="18" t="s">
        <v>135</v>
      </c>
      <c r="H1117" s="34" t="s">
        <v>85</v>
      </c>
      <c r="I1117" s="18" t="s">
        <v>104</v>
      </c>
      <c r="J1117" s="31" t="s">
        <v>105</v>
      </c>
      <c r="K1117" s="31"/>
      <c r="L1117" s="4"/>
      <c r="M1117" s="4"/>
      <c r="N1117" s="13" t="s">
        <v>29</v>
      </c>
      <c r="O1117" s="35" t="str">
        <f>IF(D1117="","",IF(COUNTIF(离职清单!C:C,D1117)&gt;0,"已离职","在职"))</f>
        <v>在职</v>
      </c>
      <c r="P1117" s="35" t="str">
        <f>IF(AND(O1117="在职",J1117="是"),COUNTIF(O$2:O1117,"在职"),"")</f>
        <v/>
      </c>
    </row>
    <row r="1118" customFormat="1" ht="18" spans="1:16">
      <c r="A1118" s="10">
        <f t="shared" si="22"/>
        <v>1117</v>
      </c>
      <c r="B1118" s="31">
        <v>46176</v>
      </c>
      <c r="C1118" s="32" t="s">
        <v>1290</v>
      </c>
      <c r="D1118" s="120" t="s">
        <v>478</v>
      </c>
      <c r="E1118" s="33" t="s">
        <v>43</v>
      </c>
      <c r="F1118" s="18" t="s">
        <v>62</v>
      </c>
      <c r="G1118" s="18" t="s">
        <v>132</v>
      </c>
      <c r="H1118" s="34" t="s">
        <v>85</v>
      </c>
      <c r="I1118" s="18" t="s">
        <v>104</v>
      </c>
      <c r="J1118" s="31" t="s">
        <v>105</v>
      </c>
      <c r="K1118" s="31">
        <v>46177</v>
      </c>
      <c r="L1118" s="4"/>
      <c r="M1118" s="4"/>
      <c r="N1118" s="13" t="s">
        <v>29</v>
      </c>
      <c r="O1118" s="35" t="str">
        <f>IF(D1118="","",IF(COUNTIF(离职清单!C:C,D1118)&gt;0,"已离职","在职"))</f>
        <v>在职</v>
      </c>
      <c r="P1118" s="35" t="str">
        <f>IF(AND(O1118="在职",J1118="是"),COUNTIF(O$2:O1118,"在职"),"")</f>
        <v/>
      </c>
    </row>
    <row r="1119" customFormat="1" ht="18" spans="1:16">
      <c r="A1119" s="14">
        <f t="shared" si="22"/>
        <v>1118</v>
      </c>
      <c r="B1119" s="31">
        <v>46177</v>
      </c>
      <c r="C1119" s="32" t="s">
        <v>1291</v>
      </c>
      <c r="D1119" s="120" t="s">
        <v>480</v>
      </c>
      <c r="E1119" s="33" t="s">
        <v>43</v>
      </c>
      <c r="F1119" s="18" t="s">
        <v>62</v>
      </c>
      <c r="G1119" s="18" t="s">
        <v>1166</v>
      </c>
      <c r="H1119" s="34" t="s">
        <v>85</v>
      </c>
      <c r="I1119" s="18" t="s">
        <v>104</v>
      </c>
      <c r="J1119" s="31" t="s">
        <v>105</v>
      </c>
      <c r="K1119" s="31">
        <v>46178</v>
      </c>
      <c r="L1119" s="4"/>
      <c r="M1119" s="4"/>
      <c r="N1119" s="13" t="s">
        <v>29</v>
      </c>
      <c r="O1119" s="35" t="str">
        <f>IF(D1119="","",IF(COUNTIF(离职清单!C:C,D1119)&gt;0,"已离职","在职"))</f>
        <v>在职</v>
      </c>
      <c r="P1119" s="35" t="str">
        <f>IF(AND(O1119="在职",J1119="是"),COUNTIF(O$2:O1119,"在职"),"")</f>
        <v/>
      </c>
    </row>
    <row r="1120" customFormat="1" ht="18" spans="1:16">
      <c r="A1120" s="10">
        <f t="shared" si="22"/>
        <v>1119</v>
      </c>
      <c r="B1120" s="31">
        <v>46177</v>
      </c>
      <c r="C1120" s="32" t="s">
        <v>1292</v>
      </c>
      <c r="D1120" s="120" t="s">
        <v>482</v>
      </c>
      <c r="E1120" s="33" t="s">
        <v>43</v>
      </c>
      <c r="F1120" s="18" t="s">
        <v>62</v>
      </c>
      <c r="G1120" s="18" t="s">
        <v>176</v>
      </c>
      <c r="H1120" s="34" t="s">
        <v>85</v>
      </c>
      <c r="I1120" s="18" t="s">
        <v>104</v>
      </c>
      <c r="J1120" s="31" t="s">
        <v>105</v>
      </c>
      <c r="K1120" s="31"/>
      <c r="L1120" s="4"/>
      <c r="M1120" s="4"/>
      <c r="N1120" s="13" t="s">
        <v>29</v>
      </c>
      <c r="O1120" s="35" t="str">
        <f>IF(D1120="","",IF(COUNTIF(离职清单!C:C,D1120)&gt;0,"已离职","在职"))</f>
        <v>在职</v>
      </c>
      <c r="P1120" s="35" t="str">
        <f>IF(AND(O1120="在职",J1120="是"),COUNTIF(O$2:O1120,"在职"),"")</f>
        <v/>
      </c>
    </row>
    <row r="1121" customFormat="1" ht="18" spans="1:16">
      <c r="A1121" s="14">
        <f t="shared" si="22"/>
        <v>1120</v>
      </c>
      <c r="B1121" s="31">
        <v>46177</v>
      </c>
      <c r="C1121" s="32" t="s">
        <v>1293</v>
      </c>
      <c r="D1121" s="120" t="s">
        <v>484</v>
      </c>
      <c r="E1121" s="33" t="s">
        <v>43</v>
      </c>
      <c r="F1121" s="18" t="s">
        <v>62</v>
      </c>
      <c r="G1121" s="18" t="s">
        <v>176</v>
      </c>
      <c r="H1121" s="34" t="s">
        <v>85</v>
      </c>
      <c r="I1121" s="18" t="s">
        <v>104</v>
      </c>
      <c r="J1121" s="31" t="s">
        <v>105</v>
      </c>
      <c r="K1121" s="31"/>
      <c r="L1121" s="4"/>
      <c r="M1121" s="4"/>
      <c r="N1121" s="13" t="s">
        <v>29</v>
      </c>
      <c r="O1121" s="35" t="str">
        <f>IF(D1121="","",IF(COUNTIF(离职清单!C:C,D1121)&gt;0,"已离职","在职"))</f>
        <v>在职</v>
      </c>
      <c r="P1121" s="35" t="str">
        <f>IF(AND(O1121="在职",J1121="是"),COUNTIF(O$2:O1121,"在职"),"")</f>
        <v/>
      </c>
    </row>
    <row r="1122" customFormat="1" ht="18" spans="1:16">
      <c r="A1122" s="10">
        <f t="shared" si="22"/>
        <v>1121</v>
      </c>
      <c r="B1122" s="31">
        <v>46177</v>
      </c>
      <c r="C1122" s="32" t="s">
        <v>1294</v>
      </c>
      <c r="D1122" s="120" t="s">
        <v>486</v>
      </c>
      <c r="E1122" s="33" t="s">
        <v>43</v>
      </c>
      <c r="F1122" s="18" t="s">
        <v>62</v>
      </c>
      <c r="G1122" s="18" t="s">
        <v>176</v>
      </c>
      <c r="H1122" s="34" t="s">
        <v>85</v>
      </c>
      <c r="I1122" s="18" t="s">
        <v>104</v>
      </c>
      <c r="J1122" s="31" t="s">
        <v>105</v>
      </c>
      <c r="K1122" s="31">
        <v>46182</v>
      </c>
      <c r="L1122" s="4"/>
      <c r="M1122" s="4"/>
      <c r="N1122" s="13" t="s">
        <v>29</v>
      </c>
      <c r="O1122" s="35" t="str">
        <f>IF(D1122="","",IF(COUNTIF(离职清单!C:C,D1122)&gt;0,"已离职","在职"))</f>
        <v>在职</v>
      </c>
      <c r="P1122" s="35" t="str">
        <f>IF(AND(O1122="在职",J1122="是"),COUNTIF(O$2:O1122,"在职"),"")</f>
        <v/>
      </c>
    </row>
    <row r="1123" customFormat="1" ht="18" spans="1:16">
      <c r="A1123" s="14">
        <f t="shared" si="22"/>
        <v>1122</v>
      </c>
      <c r="B1123" s="31">
        <v>46177</v>
      </c>
      <c r="C1123" s="32" t="s">
        <v>1295</v>
      </c>
      <c r="D1123" s="120" t="s">
        <v>488</v>
      </c>
      <c r="E1123" s="33" t="s">
        <v>43</v>
      </c>
      <c r="F1123" s="18" t="s">
        <v>63</v>
      </c>
      <c r="G1123" s="18" t="s">
        <v>135</v>
      </c>
      <c r="H1123" s="34" t="s">
        <v>85</v>
      </c>
      <c r="I1123" s="18" t="s">
        <v>104</v>
      </c>
      <c r="J1123" s="31" t="s">
        <v>105</v>
      </c>
      <c r="K1123" s="31">
        <v>46178</v>
      </c>
      <c r="L1123" s="4"/>
      <c r="M1123" s="4"/>
      <c r="N1123" s="13" t="s">
        <v>29</v>
      </c>
      <c r="O1123" s="35" t="str">
        <f>IF(D1123="","",IF(COUNTIF(离职清单!C:C,D1123)&gt;0,"已离职","在职"))</f>
        <v>在职</v>
      </c>
      <c r="P1123" s="35" t="str">
        <f>IF(AND(O1123="在职",J1123="是"),COUNTIF(O$2:O1123,"在职"),"")</f>
        <v/>
      </c>
    </row>
    <row r="1124" customFormat="1" ht="18" spans="1:16">
      <c r="A1124" s="10">
        <f t="shared" si="22"/>
        <v>1123</v>
      </c>
      <c r="B1124" s="31">
        <v>46177</v>
      </c>
      <c r="C1124" s="32" t="s">
        <v>1296</v>
      </c>
      <c r="D1124" s="120" t="s">
        <v>490</v>
      </c>
      <c r="E1124" s="33" t="s">
        <v>43</v>
      </c>
      <c r="F1124" s="18" t="s">
        <v>62</v>
      </c>
      <c r="G1124" s="18" t="s">
        <v>796</v>
      </c>
      <c r="H1124" s="34" t="s">
        <v>85</v>
      </c>
      <c r="I1124" s="18" t="s">
        <v>104</v>
      </c>
      <c r="J1124" s="31" t="s">
        <v>105</v>
      </c>
      <c r="K1124" s="31">
        <v>46179</v>
      </c>
      <c r="L1124" s="4"/>
      <c r="M1124" s="4"/>
      <c r="N1124" s="13" t="s">
        <v>29</v>
      </c>
      <c r="O1124" s="35" t="str">
        <f>IF(D1124="","",IF(COUNTIF(离职清单!C:C,D1124)&gt;0,"已离职","在职"))</f>
        <v>在职</v>
      </c>
      <c r="P1124" s="35" t="str">
        <f>IF(AND(O1124="在职",J1124="是"),COUNTIF(O$2:O1124,"在职"),"")</f>
        <v/>
      </c>
    </row>
    <row r="1125" customFormat="1" ht="18" spans="1:16">
      <c r="A1125" s="14">
        <f t="shared" si="22"/>
        <v>1124</v>
      </c>
      <c r="B1125" s="31">
        <v>46177</v>
      </c>
      <c r="C1125" s="32" t="s">
        <v>1297</v>
      </c>
      <c r="D1125" s="120" t="s">
        <v>492</v>
      </c>
      <c r="E1125" s="33" t="s">
        <v>43</v>
      </c>
      <c r="F1125" s="18" t="s">
        <v>62</v>
      </c>
      <c r="G1125" s="18" t="s">
        <v>233</v>
      </c>
      <c r="H1125" s="34" t="s">
        <v>85</v>
      </c>
      <c r="I1125" s="18" t="s">
        <v>104</v>
      </c>
      <c r="J1125" s="31" t="s">
        <v>105</v>
      </c>
      <c r="K1125" s="31"/>
      <c r="L1125" s="4"/>
      <c r="M1125" s="4"/>
      <c r="N1125" s="13" t="s">
        <v>29</v>
      </c>
      <c r="O1125" s="35" t="str">
        <f>IF(D1125="","",IF(COUNTIF(离职清单!C:C,D1125)&gt;0,"已离职","在职"))</f>
        <v>在职</v>
      </c>
      <c r="P1125" s="35" t="str">
        <f>IF(AND(O1125="在职",J1125="是"),COUNTIF(O$2:O1125,"在职"),"")</f>
        <v/>
      </c>
    </row>
    <row r="1126" customFormat="1" ht="18" spans="1:16">
      <c r="A1126" s="10">
        <f t="shared" si="22"/>
        <v>1125</v>
      </c>
      <c r="B1126" s="31">
        <v>46177</v>
      </c>
      <c r="C1126" s="32" t="s">
        <v>1298</v>
      </c>
      <c r="D1126" s="120" t="s">
        <v>477</v>
      </c>
      <c r="E1126" s="33" t="s">
        <v>43</v>
      </c>
      <c r="F1126" s="18" t="s">
        <v>64</v>
      </c>
      <c r="G1126" s="18" t="s">
        <v>233</v>
      </c>
      <c r="H1126" s="34" t="s">
        <v>85</v>
      </c>
      <c r="I1126" s="18" t="s">
        <v>104</v>
      </c>
      <c r="J1126" s="31" t="s">
        <v>105</v>
      </c>
      <c r="K1126" s="31"/>
      <c r="L1126" s="4"/>
      <c r="M1126" s="4"/>
      <c r="N1126" s="13" t="s">
        <v>29</v>
      </c>
      <c r="O1126" s="35" t="str">
        <f>IF(D1126="","",IF(COUNTIF(离职清单!C:C,D1126)&gt;0,"已离职","在职"))</f>
        <v>在职</v>
      </c>
      <c r="P1126" s="35" t="str">
        <f>IF(AND(O1126="在职",J1126="是"),COUNTIF(O$2:O1126,"在职"),"")</f>
        <v/>
      </c>
    </row>
    <row r="1127" customFormat="1" ht="18" spans="1:16">
      <c r="A1127" s="14">
        <f t="shared" si="22"/>
        <v>1126</v>
      </c>
      <c r="B1127" s="31">
        <v>46177</v>
      </c>
      <c r="C1127" s="32" t="s">
        <v>1299</v>
      </c>
      <c r="D1127" s="120" t="s">
        <v>478</v>
      </c>
      <c r="E1127" s="33" t="s">
        <v>43</v>
      </c>
      <c r="F1127" s="18" t="s">
        <v>62</v>
      </c>
      <c r="G1127" s="18" t="s">
        <v>173</v>
      </c>
      <c r="H1127" s="34" t="s">
        <v>85</v>
      </c>
      <c r="I1127" s="18" t="s">
        <v>104</v>
      </c>
      <c r="J1127" s="31" t="s">
        <v>114</v>
      </c>
      <c r="K1127" s="31">
        <v>46181</v>
      </c>
      <c r="L1127" s="4"/>
      <c r="M1127" s="4"/>
      <c r="N1127" s="13" t="s">
        <v>29</v>
      </c>
      <c r="O1127" s="35" t="str">
        <f>IF(D1127="","",IF(COUNTIF(离职清单!C:C,D1127)&gt;0,"已离职","在职"))</f>
        <v>在职</v>
      </c>
      <c r="P1127" s="35">
        <f>IF(AND(O1127="在职",J1127="是"),COUNTIF(O$2:O1127,"在职"),"")</f>
        <v>1120</v>
      </c>
    </row>
    <row r="1128" customFormat="1" ht="18" spans="1:16">
      <c r="A1128" s="10">
        <f t="shared" si="22"/>
        <v>1127</v>
      </c>
      <c r="B1128" s="31">
        <v>46177</v>
      </c>
      <c r="C1128" s="32" t="s">
        <v>1300</v>
      </c>
      <c r="D1128" s="120" t="s">
        <v>480</v>
      </c>
      <c r="E1128" s="33" t="s">
        <v>43</v>
      </c>
      <c r="F1128" s="18" t="s">
        <v>63</v>
      </c>
      <c r="G1128" s="18" t="s">
        <v>173</v>
      </c>
      <c r="H1128" s="34" t="s">
        <v>85</v>
      </c>
      <c r="I1128" s="18" t="s">
        <v>104</v>
      </c>
      <c r="J1128" s="31" t="s">
        <v>114</v>
      </c>
      <c r="K1128" s="31">
        <v>46181</v>
      </c>
      <c r="L1128" s="4"/>
      <c r="M1128" s="4"/>
      <c r="N1128" s="13" t="s">
        <v>29</v>
      </c>
      <c r="O1128" s="35" t="str">
        <f>IF(D1128="","",IF(COUNTIF(离职清单!C:C,D1128)&gt;0,"已离职","在职"))</f>
        <v>在职</v>
      </c>
      <c r="P1128" s="35">
        <f>IF(AND(O1128="在职",J1128="是"),COUNTIF(O$2:O1128,"在职"),"")</f>
        <v>1121</v>
      </c>
    </row>
    <row r="1129" customFormat="1" ht="18" spans="1:16">
      <c r="A1129" s="14">
        <f t="shared" si="22"/>
        <v>1128</v>
      </c>
      <c r="B1129" s="31">
        <v>46177</v>
      </c>
      <c r="C1129" s="32" t="s">
        <v>1301</v>
      </c>
      <c r="D1129" s="120" t="s">
        <v>482</v>
      </c>
      <c r="E1129" s="33" t="s">
        <v>43</v>
      </c>
      <c r="F1129" s="18" t="s">
        <v>63</v>
      </c>
      <c r="G1129" s="18" t="s">
        <v>173</v>
      </c>
      <c r="H1129" s="34" t="s">
        <v>85</v>
      </c>
      <c r="I1129" s="18" t="s">
        <v>104</v>
      </c>
      <c r="J1129" s="31" t="s">
        <v>105</v>
      </c>
      <c r="K1129" s="31"/>
      <c r="L1129" s="4"/>
      <c r="M1129" s="4"/>
      <c r="N1129" s="13" t="s">
        <v>29</v>
      </c>
      <c r="O1129" s="35" t="str">
        <f>IF(D1129="","",IF(COUNTIF(离职清单!C:C,D1129)&gt;0,"已离职","在职"))</f>
        <v>在职</v>
      </c>
      <c r="P1129" s="35" t="str">
        <f>IF(AND(O1129="在职",J1129="是"),COUNTIF(O$2:O1129,"在职"),"")</f>
        <v/>
      </c>
    </row>
    <row r="1130" customFormat="1" ht="18" spans="1:16">
      <c r="A1130" s="10">
        <f t="shared" si="22"/>
        <v>1129</v>
      </c>
      <c r="B1130" s="31">
        <v>46177</v>
      </c>
      <c r="C1130" s="32" t="s">
        <v>1302</v>
      </c>
      <c r="D1130" s="120" t="s">
        <v>484</v>
      </c>
      <c r="E1130" s="33" t="s">
        <v>43</v>
      </c>
      <c r="F1130" s="18" t="s">
        <v>62</v>
      </c>
      <c r="G1130" s="18" t="s">
        <v>148</v>
      </c>
      <c r="H1130" s="34" t="s">
        <v>85</v>
      </c>
      <c r="I1130" s="18" t="s">
        <v>104</v>
      </c>
      <c r="J1130" s="31" t="s">
        <v>105</v>
      </c>
      <c r="K1130" s="31"/>
      <c r="L1130" s="4"/>
      <c r="M1130" s="4"/>
      <c r="N1130" s="13" t="s">
        <v>29</v>
      </c>
      <c r="O1130" s="35" t="str">
        <f>IF(D1130="","",IF(COUNTIF(离职清单!C:C,D1130)&gt;0,"已离职","在职"))</f>
        <v>在职</v>
      </c>
      <c r="P1130" s="35" t="str">
        <f>IF(AND(O1130="在职",J1130="是"),COUNTIF(O$2:O1130,"在职"),"")</f>
        <v/>
      </c>
    </row>
    <row r="1131" customFormat="1" ht="18" spans="1:16">
      <c r="A1131" s="14">
        <f t="shared" si="22"/>
        <v>1130</v>
      </c>
      <c r="B1131" s="31">
        <v>46177</v>
      </c>
      <c r="C1131" s="32" t="s">
        <v>1303</v>
      </c>
      <c r="D1131" s="120" t="s">
        <v>486</v>
      </c>
      <c r="E1131" s="33" t="s">
        <v>43</v>
      </c>
      <c r="F1131" s="18" t="s">
        <v>62</v>
      </c>
      <c r="G1131" s="18" t="s">
        <v>148</v>
      </c>
      <c r="H1131" s="34" t="s">
        <v>85</v>
      </c>
      <c r="I1131" s="18" t="s">
        <v>104</v>
      </c>
      <c r="J1131" s="31" t="s">
        <v>105</v>
      </c>
      <c r="K1131" s="31">
        <v>46180</v>
      </c>
      <c r="L1131" s="4"/>
      <c r="M1131" s="4"/>
      <c r="N1131" s="13" t="s">
        <v>29</v>
      </c>
      <c r="O1131" s="35" t="str">
        <f>IF(D1131="","",IF(COUNTIF(离职清单!C:C,D1131)&gt;0,"已离职","在职"))</f>
        <v>在职</v>
      </c>
      <c r="P1131" s="35" t="str">
        <f>IF(AND(O1131="在职",J1131="是"),COUNTIF(O$2:O1131,"在职"),"")</f>
        <v/>
      </c>
    </row>
    <row r="1132" customFormat="1" ht="18" spans="1:16">
      <c r="A1132" s="10">
        <f t="shared" ref="A1132:A1195" si="23">IF(B1132&lt;&gt;"",ROW()-1,"")</f>
        <v>1131</v>
      </c>
      <c r="B1132" s="31">
        <v>46177</v>
      </c>
      <c r="C1132" s="32" t="s">
        <v>1304</v>
      </c>
      <c r="D1132" s="120" t="s">
        <v>488</v>
      </c>
      <c r="E1132" s="33" t="s">
        <v>43</v>
      </c>
      <c r="F1132" s="18" t="s">
        <v>62</v>
      </c>
      <c r="G1132" s="18" t="s">
        <v>246</v>
      </c>
      <c r="H1132" s="34" t="s">
        <v>85</v>
      </c>
      <c r="I1132" s="18" t="s">
        <v>104</v>
      </c>
      <c r="J1132" s="31" t="s">
        <v>114</v>
      </c>
      <c r="K1132" s="31"/>
      <c r="L1132" s="4"/>
      <c r="M1132" s="4"/>
      <c r="N1132" s="13" t="s">
        <v>29</v>
      </c>
      <c r="O1132" s="35" t="str">
        <f>IF(D1132="","",IF(COUNTIF(离职清单!C:C,D1132)&gt;0,"已离职","在职"))</f>
        <v>在职</v>
      </c>
      <c r="P1132" s="35">
        <f>IF(AND(O1132="在职",J1132="是"),COUNTIF(O$2:O1132,"在职"),"")</f>
        <v>1125</v>
      </c>
    </row>
    <row r="1133" customFormat="1" ht="18" spans="1:16">
      <c r="A1133" s="14">
        <f t="shared" si="23"/>
        <v>1132</v>
      </c>
      <c r="B1133" s="31">
        <v>46177</v>
      </c>
      <c r="C1133" s="32" t="s">
        <v>1305</v>
      </c>
      <c r="D1133" s="120" t="s">
        <v>490</v>
      </c>
      <c r="E1133" s="33" t="s">
        <v>43</v>
      </c>
      <c r="F1133" s="18" t="s">
        <v>62</v>
      </c>
      <c r="G1133" s="18" t="s">
        <v>179</v>
      </c>
      <c r="H1133" s="34" t="s">
        <v>85</v>
      </c>
      <c r="I1133" s="18" t="s">
        <v>104</v>
      </c>
      <c r="J1133" s="31" t="s">
        <v>105</v>
      </c>
      <c r="K1133" s="31"/>
      <c r="L1133" s="4"/>
      <c r="M1133" s="4"/>
      <c r="N1133" s="13" t="s">
        <v>29</v>
      </c>
      <c r="O1133" s="35" t="str">
        <f>IF(D1133="","",IF(COUNTIF(离职清单!C:C,D1133)&gt;0,"已离职","在职"))</f>
        <v>在职</v>
      </c>
      <c r="P1133" s="35" t="str">
        <f>IF(AND(O1133="在职",J1133="是"),COUNTIF(O$2:O1133,"在职"),"")</f>
        <v/>
      </c>
    </row>
    <row r="1134" customFormat="1" ht="18" spans="1:16">
      <c r="A1134" s="10">
        <f t="shared" si="23"/>
        <v>1133</v>
      </c>
      <c r="B1134" s="31">
        <v>46177</v>
      </c>
      <c r="C1134" s="32" t="s">
        <v>1306</v>
      </c>
      <c r="D1134" s="120" t="s">
        <v>492</v>
      </c>
      <c r="E1134" s="33" t="s">
        <v>43</v>
      </c>
      <c r="F1134" s="18" t="s">
        <v>63</v>
      </c>
      <c r="G1134" s="18" t="s">
        <v>124</v>
      </c>
      <c r="H1134" s="34" t="s">
        <v>85</v>
      </c>
      <c r="I1134" s="18" t="s">
        <v>104</v>
      </c>
      <c r="J1134" s="31" t="s">
        <v>105</v>
      </c>
      <c r="K1134" s="31">
        <v>46181</v>
      </c>
      <c r="L1134" s="4"/>
      <c r="M1134" s="4"/>
      <c r="N1134" s="13" t="s">
        <v>29</v>
      </c>
      <c r="O1134" s="35" t="str">
        <f>IF(D1134="","",IF(COUNTIF(离职清单!C:C,D1134)&gt;0,"已离职","在职"))</f>
        <v>在职</v>
      </c>
      <c r="P1134" s="35" t="str">
        <f>IF(AND(O1134="在职",J1134="是"),COUNTIF(O$2:O1134,"在职"),"")</f>
        <v/>
      </c>
    </row>
    <row r="1135" customFormat="1" ht="18" spans="1:16">
      <c r="A1135" s="14">
        <f t="shared" si="23"/>
        <v>1134</v>
      </c>
      <c r="B1135" s="31">
        <v>46177</v>
      </c>
      <c r="C1135" s="32" t="s">
        <v>1307</v>
      </c>
      <c r="D1135" s="120" t="s">
        <v>477</v>
      </c>
      <c r="E1135" s="33" t="s">
        <v>42</v>
      </c>
      <c r="F1135" s="18" t="s">
        <v>63</v>
      </c>
      <c r="G1135" s="18" t="s">
        <v>129</v>
      </c>
      <c r="H1135" s="34" t="s">
        <v>85</v>
      </c>
      <c r="I1135" s="18" t="s">
        <v>104</v>
      </c>
      <c r="J1135" s="31" t="s">
        <v>105</v>
      </c>
      <c r="K1135" s="31">
        <v>46181</v>
      </c>
      <c r="L1135" s="4"/>
      <c r="M1135" s="4"/>
      <c r="N1135" s="13" t="s">
        <v>29</v>
      </c>
      <c r="O1135" s="35" t="str">
        <f>IF(D1135="","",IF(COUNTIF(离职清单!C:C,D1135)&gt;0,"已离职","在职"))</f>
        <v>在职</v>
      </c>
      <c r="P1135" s="35" t="str">
        <f>IF(AND(O1135="在职",J1135="是"),COUNTIF(O$2:O1135,"在职"),"")</f>
        <v/>
      </c>
    </row>
    <row r="1136" customFormat="1" ht="18" spans="1:16">
      <c r="A1136" s="10">
        <f t="shared" si="23"/>
        <v>1135</v>
      </c>
      <c r="B1136" s="31">
        <v>46177</v>
      </c>
      <c r="C1136" s="32" t="s">
        <v>1308</v>
      </c>
      <c r="D1136" s="120" t="s">
        <v>478</v>
      </c>
      <c r="E1136" s="33" t="s">
        <v>42</v>
      </c>
      <c r="F1136" s="18" t="s">
        <v>63</v>
      </c>
      <c r="G1136" s="18" t="s">
        <v>129</v>
      </c>
      <c r="H1136" s="34" t="s">
        <v>85</v>
      </c>
      <c r="I1136" s="18" t="s">
        <v>104</v>
      </c>
      <c r="J1136" s="31" t="s">
        <v>105</v>
      </c>
      <c r="K1136" s="31"/>
      <c r="L1136" s="4"/>
      <c r="M1136" s="4"/>
      <c r="N1136" s="13" t="s">
        <v>29</v>
      </c>
      <c r="O1136" s="35" t="str">
        <f>IF(D1136="","",IF(COUNTIF(离职清单!C:C,D1136)&gt;0,"已离职","在职"))</f>
        <v>在职</v>
      </c>
      <c r="P1136" s="35" t="str">
        <f>IF(AND(O1136="在职",J1136="是"),COUNTIF(O$2:O1136,"在职"),"")</f>
        <v/>
      </c>
    </row>
    <row r="1137" customFormat="1" ht="18" spans="1:16">
      <c r="A1137" s="14">
        <f t="shared" si="23"/>
        <v>1136</v>
      </c>
      <c r="B1137" s="31">
        <v>46177</v>
      </c>
      <c r="C1137" s="32" t="s">
        <v>1309</v>
      </c>
      <c r="D1137" s="120" t="s">
        <v>480</v>
      </c>
      <c r="E1137" s="33" t="s">
        <v>42</v>
      </c>
      <c r="F1137" s="18" t="s">
        <v>64</v>
      </c>
      <c r="G1137" s="18" t="s">
        <v>631</v>
      </c>
      <c r="H1137" s="34" t="s">
        <v>85</v>
      </c>
      <c r="I1137" s="18" t="s">
        <v>104</v>
      </c>
      <c r="J1137" s="31" t="s">
        <v>105</v>
      </c>
      <c r="K1137" s="31"/>
      <c r="L1137" s="4"/>
      <c r="M1137" s="4"/>
      <c r="N1137" s="13" t="s">
        <v>29</v>
      </c>
      <c r="O1137" s="35" t="str">
        <f>IF(D1137="","",IF(COUNTIF(离职清单!C:C,D1137)&gt;0,"已离职","在职"))</f>
        <v>在职</v>
      </c>
      <c r="P1137" s="35" t="str">
        <f>IF(AND(O1137="在职",J1137="是"),COUNTIF(O$2:O1137,"在职"),"")</f>
        <v/>
      </c>
    </row>
    <row r="1138" customFormat="1" ht="18" spans="1:16">
      <c r="A1138" s="10">
        <f t="shared" si="23"/>
        <v>1137</v>
      </c>
      <c r="B1138" s="31">
        <v>46177</v>
      </c>
      <c r="C1138" s="32" t="s">
        <v>1310</v>
      </c>
      <c r="D1138" s="120" t="s">
        <v>482</v>
      </c>
      <c r="E1138" s="33" t="s">
        <v>42</v>
      </c>
      <c r="F1138" s="18" t="s">
        <v>62</v>
      </c>
      <c r="G1138" s="18" t="s">
        <v>631</v>
      </c>
      <c r="H1138" s="34" t="s">
        <v>85</v>
      </c>
      <c r="I1138" s="18" t="s">
        <v>104</v>
      </c>
      <c r="J1138" s="31" t="s">
        <v>105</v>
      </c>
      <c r="K1138" s="31"/>
      <c r="L1138" s="4"/>
      <c r="M1138" s="4"/>
      <c r="N1138" s="13" t="s">
        <v>29</v>
      </c>
      <c r="O1138" s="35" t="str">
        <f>IF(D1138="","",IF(COUNTIF(离职清单!C:C,D1138)&gt;0,"已离职","在职"))</f>
        <v>在职</v>
      </c>
      <c r="P1138" s="35" t="str">
        <f>IF(AND(O1138="在职",J1138="是"),COUNTIF(O$2:O1138,"在职"),"")</f>
        <v/>
      </c>
    </row>
    <row r="1139" customFormat="1" ht="18" spans="1:16">
      <c r="A1139" s="14">
        <f t="shared" si="23"/>
        <v>1138</v>
      </c>
      <c r="B1139" s="31">
        <v>46177</v>
      </c>
      <c r="C1139" s="32" t="s">
        <v>1311</v>
      </c>
      <c r="D1139" s="120" t="s">
        <v>484</v>
      </c>
      <c r="E1139" s="33" t="s">
        <v>42</v>
      </c>
      <c r="F1139" s="18" t="s">
        <v>63</v>
      </c>
      <c r="G1139" s="18" t="s">
        <v>631</v>
      </c>
      <c r="H1139" s="34" t="s">
        <v>85</v>
      </c>
      <c r="I1139" s="18" t="s">
        <v>104</v>
      </c>
      <c r="J1139" s="31" t="s">
        <v>105</v>
      </c>
      <c r="K1139" s="31"/>
      <c r="L1139" s="4"/>
      <c r="M1139" s="4"/>
      <c r="N1139" s="13" t="s">
        <v>29</v>
      </c>
      <c r="O1139" s="35" t="str">
        <f>IF(D1139="","",IF(COUNTIF(离职清单!C:C,D1139)&gt;0,"已离职","在职"))</f>
        <v>在职</v>
      </c>
      <c r="P1139" s="35" t="str">
        <f>IF(AND(O1139="在职",J1139="是"),COUNTIF(O$2:O1139,"在职"),"")</f>
        <v/>
      </c>
    </row>
    <row r="1140" customFormat="1" ht="18" spans="1:16">
      <c r="A1140" s="10">
        <f t="shared" si="23"/>
        <v>1139</v>
      </c>
      <c r="B1140" s="31">
        <v>46177</v>
      </c>
      <c r="C1140" s="32" t="s">
        <v>1312</v>
      </c>
      <c r="D1140" s="120" t="s">
        <v>486</v>
      </c>
      <c r="E1140" s="33" t="s">
        <v>42</v>
      </c>
      <c r="F1140" s="18" t="s">
        <v>64</v>
      </c>
      <c r="G1140" s="18" t="s">
        <v>631</v>
      </c>
      <c r="H1140" s="34" t="s">
        <v>85</v>
      </c>
      <c r="I1140" s="18" t="s">
        <v>104</v>
      </c>
      <c r="J1140" s="31" t="s">
        <v>105</v>
      </c>
      <c r="K1140" s="31"/>
      <c r="L1140" s="4"/>
      <c r="M1140" s="4"/>
      <c r="N1140" s="13" t="s">
        <v>29</v>
      </c>
      <c r="O1140" s="35" t="str">
        <f>IF(D1140="","",IF(COUNTIF(离职清单!C:C,D1140)&gt;0,"已离职","在职"))</f>
        <v>在职</v>
      </c>
      <c r="P1140" s="35" t="str">
        <f>IF(AND(O1140="在职",J1140="是"),COUNTIF(O$2:O1140,"在职"),"")</f>
        <v/>
      </c>
    </row>
    <row r="1141" customFormat="1" ht="18" spans="1:16">
      <c r="A1141" s="14">
        <f t="shared" si="23"/>
        <v>1140</v>
      </c>
      <c r="B1141" s="31">
        <v>46177</v>
      </c>
      <c r="C1141" s="32" t="s">
        <v>1313</v>
      </c>
      <c r="D1141" s="120" t="s">
        <v>488</v>
      </c>
      <c r="E1141" s="33" t="s">
        <v>42</v>
      </c>
      <c r="F1141" s="18" t="s">
        <v>63</v>
      </c>
      <c r="G1141" s="18" t="s">
        <v>468</v>
      </c>
      <c r="H1141" s="34" t="s">
        <v>85</v>
      </c>
      <c r="I1141" s="18" t="s">
        <v>104</v>
      </c>
      <c r="J1141" s="31" t="s">
        <v>105</v>
      </c>
      <c r="K1141" s="31"/>
      <c r="L1141" s="4"/>
      <c r="M1141" s="4"/>
      <c r="N1141" s="13" t="s">
        <v>29</v>
      </c>
      <c r="O1141" s="35" t="str">
        <f>IF(D1141="","",IF(COUNTIF(离职清单!C:C,D1141)&gt;0,"已离职","在职"))</f>
        <v>在职</v>
      </c>
      <c r="P1141" s="35" t="str">
        <f>IF(AND(O1141="在职",J1141="是"),COUNTIF(O$2:O1141,"在职"),"")</f>
        <v/>
      </c>
    </row>
    <row r="1142" customFormat="1" ht="18" spans="1:16">
      <c r="A1142" s="10">
        <f t="shared" si="23"/>
        <v>1141</v>
      </c>
      <c r="B1142" s="31">
        <v>46177</v>
      </c>
      <c r="C1142" s="32" t="s">
        <v>1314</v>
      </c>
      <c r="D1142" s="120" t="s">
        <v>490</v>
      </c>
      <c r="E1142" s="33" t="s">
        <v>42</v>
      </c>
      <c r="F1142" s="18" t="s">
        <v>63</v>
      </c>
      <c r="G1142" s="18" t="s">
        <v>468</v>
      </c>
      <c r="H1142" s="34" t="s">
        <v>85</v>
      </c>
      <c r="I1142" s="18" t="s">
        <v>104</v>
      </c>
      <c r="J1142" s="31" t="s">
        <v>105</v>
      </c>
      <c r="K1142" s="31"/>
      <c r="L1142" s="4"/>
      <c r="M1142" s="4"/>
      <c r="N1142" s="13" t="s">
        <v>29</v>
      </c>
      <c r="O1142" s="35" t="str">
        <f>IF(D1142="","",IF(COUNTIF(离职清单!C:C,D1142)&gt;0,"已离职","在职"))</f>
        <v>在职</v>
      </c>
      <c r="P1142" s="35" t="str">
        <f>IF(AND(O1142="在职",J1142="是"),COUNTIF(O$2:O1142,"在职"),"")</f>
        <v/>
      </c>
    </row>
    <row r="1143" customFormat="1" ht="18" spans="1:16">
      <c r="A1143" s="14">
        <f t="shared" si="23"/>
        <v>1142</v>
      </c>
      <c r="B1143" s="31">
        <v>46177</v>
      </c>
      <c r="C1143" s="32" t="s">
        <v>1315</v>
      </c>
      <c r="D1143" s="120" t="s">
        <v>492</v>
      </c>
      <c r="E1143" s="33" t="s">
        <v>42</v>
      </c>
      <c r="F1143" s="18" t="s">
        <v>63</v>
      </c>
      <c r="G1143" s="18" t="s">
        <v>176</v>
      </c>
      <c r="H1143" s="34" t="s">
        <v>85</v>
      </c>
      <c r="I1143" s="18" t="s">
        <v>104</v>
      </c>
      <c r="J1143" s="31" t="s">
        <v>105</v>
      </c>
      <c r="K1143" s="31">
        <v>46181</v>
      </c>
      <c r="L1143" s="4"/>
      <c r="M1143" s="4"/>
      <c r="N1143" s="13" t="s">
        <v>29</v>
      </c>
      <c r="O1143" s="35" t="str">
        <f>IF(D1143="","",IF(COUNTIF(离职清单!C:C,D1143)&gt;0,"已离职","在职"))</f>
        <v>在职</v>
      </c>
      <c r="P1143" s="35" t="str">
        <f>IF(AND(O1143="在职",J1143="是"),COUNTIF(O$2:O1143,"在职"),"")</f>
        <v/>
      </c>
    </row>
    <row r="1144" customFormat="1" ht="18" spans="1:16">
      <c r="A1144" s="10">
        <f t="shared" si="23"/>
        <v>1143</v>
      </c>
      <c r="B1144" s="31">
        <v>46177</v>
      </c>
      <c r="C1144" s="32" t="s">
        <v>1316</v>
      </c>
      <c r="D1144" s="120" t="s">
        <v>477</v>
      </c>
      <c r="E1144" s="33" t="s">
        <v>42</v>
      </c>
      <c r="F1144" s="18" t="s">
        <v>64</v>
      </c>
      <c r="G1144" s="18" t="s">
        <v>509</v>
      </c>
      <c r="H1144" s="34" t="s">
        <v>85</v>
      </c>
      <c r="I1144" s="18" t="s">
        <v>104</v>
      </c>
      <c r="J1144" s="31" t="s">
        <v>105</v>
      </c>
      <c r="K1144" s="31"/>
      <c r="L1144" s="4"/>
      <c r="M1144" s="4"/>
      <c r="N1144" s="13" t="s">
        <v>29</v>
      </c>
      <c r="O1144" s="35" t="str">
        <f>IF(D1144="","",IF(COUNTIF(离职清单!C:C,D1144)&gt;0,"已离职","在职"))</f>
        <v>在职</v>
      </c>
      <c r="P1144" s="35" t="str">
        <f>IF(AND(O1144="在职",J1144="是"),COUNTIF(O$2:O1144,"在职"),"")</f>
        <v/>
      </c>
    </row>
    <row r="1145" customFormat="1" ht="18" spans="1:16">
      <c r="A1145" s="14">
        <f t="shared" si="23"/>
        <v>1144</v>
      </c>
      <c r="B1145" s="31">
        <v>46177</v>
      </c>
      <c r="C1145" s="32" t="s">
        <v>1317</v>
      </c>
      <c r="D1145" s="120" t="s">
        <v>478</v>
      </c>
      <c r="E1145" s="33" t="s">
        <v>42</v>
      </c>
      <c r="F1145" s="18" t="s">
        <v>62</v>
      </c>
      <c r="G1145" s="18" t="s">
        <v>148</v>
      </c>
      <c r="H1145" s="34" t="s">
        <v>85</v>
      </c>
      <c r="I1145" s="18" t="s">
        <v>104</v>
      </c>
      <c r="J1145" s="31" t="s">
        <v>105</v>
      </c>
      <c r="K1145" s="31">
        <v>46183</v>
      </c>
      <c r="L1145" s="4"/>
      <c r="M1145" s="4"/>
      <c r="N1145" s="13" t="s">
        <v>29</v>
      </c>
      <c r="O1145" s="35" t="str">
        <f>IF(D1145="","",IF(COUNTIF(离职清单!C:C,D1145)&gt;0,"已离职","在职"))</f>
        <v>在职</v>
      </c>
      <c r="P1145" s="35" t="str">
        <f>IF(AND(O1145="在职",J1145="是"),COUNTIF(O$2:O1145,"在职"),"")</f>
        <v/>
      </c>
    </row>
    <row r="1146" customFormat="1" ht="18" spans="1:16">
      <c r="A1146" s="10">
        <f t="shared" si="23"/>
        <v>1145</v>
      </c>
      <c r="B1146" s="31">
        <v>46177</v>
      </c>
      <c r="C1146" s="32" t="s">
        <v>1318</v>
      </c>
      <c r="D1146" s="120" t="s">
        <v>480</v>
      </c>
      <c r="E1146" s="33" t="s">
        <v>42</v>
      </c>
      <c r="F1146" s="18" t="s">
        <v>64</v>
      </c>
      <c r="G1146" s="18" t="s">
        <v>148</v>
      </c>
      <c r="H1146" s="34" t="s">
        <v>85</v>
      </c>
      <c r="I1146" s="18" t="s">
        <v>104</v>
      </c>
      <c r="J1146" s="31" t="s">
        <v>105</v>
      </c>
      <c r="K1146" s="31"/>
      <c r="L1146" s="4"/>
      <c r="M1146" s="4"/>
      <c r="N1146" s="13" t="s">
        <v>29</v>
      </c>
      <c r="O1146" s="35" t="str">
        <f>IF(D1146="","",IF(COUNTIF(离职清单!C:C,D1146)&gt;0,"已离职","在职"))</f>
        <v>在职</v>
      </c>
      <c r="P1146" s="35" t="str">
        <f>IF(AND(O1146="在职",J1146="是"),COUNTIF(O$2:O1146,"在职"),"")</f>
        <v/>
      </c>
    </row>
    <row r="1147" customFormat="1" ht="18" spans="1:16">
      <c r="A1147" s="14">
        <f t="shared" si="23"/>
        <v>1146</v>
      </c>
      <c r="B1147" s="31">
        <v>46177</v>
      </c>
      <c r="C1147" s="32" t="s">
        <v>1319</v>
      </c>
      <c r="D1147" s="120" t="s">
        <v>482</v>
      </c>
      <c r="E1147" s="33" t="s">
        <v>42</v>
      </c>
      <c r="F1147" s="18" t="s">
        <v>64</v>
      </c>
      <c r="G1147" s="18" t="s">
        <v>148</v>
      </c>
      <c r="H1147" s="34" t="s">
        <v>85</v>
      </c>
      <c r="I1147" s="18" t="s">
        <v>104</v>
      </c>
      <c r="J1147" s="31" t="s">
        <v>105</v>
      </c>
      <c r="K1147" s="31"/>
      <c r="L1147" s="4"/>
      <c r="M1147" s="4"/>
      <c r="N1147" s="13" t="s">
        <v>29</v>
      </c>
      <c r="O1147" s="35" t="str">
        <f>IF(D1147="","",IF(COUNTIF(离职清单!C:C,D1147)&gt;0,"已离职","在职"))</f>
        <v>在职</v>
      </c>
      <c r="P1147" s="35" t="str">
        <f>IF(AND(O1147="在职",J1147="是"),COUNTIF(O$2:O1147,"在职"),"")</f>
        <v/>
      </c>
    </row>
    <row r="1148" customFormat="1" ht="18" spans="1:16">
      <c r="A1148" s="10">
        <f t="shared" si="23"/>
        <v>1147</v>
      </c>
      <c r="B1148" s="31">
        <v>46177</v>
      </c>
      <c r="C1148" s="32" t="s">
        <v>1320</v>
      </c>
      <c r="D1148" s="120" t="s">
        <v>484</v>
      </c>
      <c r="E1148" s="33" t="s">
        <v>42</v>
      </c>
      <c r="F1148" s="18" t="s">
        <v>64</v>
      </c>
      <c r="G1148" s="18" t="s">
        <v>148</v>
      </c>
      <c r="H1148" s="34" t="s">
        <v>85</v>
      </c>
      <c r="I1148" s="18" t="s">
        <v>104</v>
      </c>
      <c r="J1148" s="31" t="s">
        <v>105</v>
      </c>
      <c r="K1148" s="31"/>
      <c r="L1148" s="4"/>
      <c r="M1148" s="4"/>
      <c r="N1148" s="13" t="s">
        <v>29</v>
      </c>
      <c r="O1148" s="35" t="str">
        <f>IF(D1148="","",IF(COUNTIF(离职清单!C:C,D1148)&gt;0,"已离职","在职"))</f>
        <v>在职</v>
      </c>
      <c r="P1148" s="35" t="str">
        <f>IF(AND(O1148="在职",J1148="是"),COUNTIF(O$2:O1148,"在职"),"")</f>
        <v/>
      </c>
    </row>
    <row r="1149" customFormat="1" ht="18" spans="1:16">
      <c r="A1149" s="14">
        <f t="shared" si="23"/>
        <v>1148</v>
      </c>
      <c r="B1149" s="31">
        <v>46177</v>
      </c>
      <c r="C1149" s="32" t="s">
        <v>1321</v>
      </c>
      <c r="D1149" s="120" t="s">
        <v>486</v>
      </c>
      <c r="E1149" s="33" t="s">
        <v>42</v>
      </c>
      <c r="F1149" s="18" t="s">
        <v>64</v>
      </c>
      <c r="G1149" s="18" t="s">
        <v>148</v>
      </c>
      <c r="H1149" s="34" t="s">
        <v>85</v>
      </c>
      <c r="I1149" s="18" t="s">
        <v>104</v>
      </c>
      <c r="J1149" s="31" t="s">
        <v>105</v>
      </c>
      <c r="K1149" s="31"/>
      <c r="L1149" s="4"/>
      <c r="M1149" s="4"/>
      <c r="N1149" s="13" t="s">
        <v>29</v>
      </c>
      <c r="O1149" s="35" t="str">
        <f>IF(D1149="","",IF(COUNTIF(离职清单!C:C,D1149)&gt;0,"已离职","在职"))</f>
        <v>在职</v>
      </c>
      <c r="P1149" s="35" t="str">
        <f>IF(AND(O1149="在职",J1149="是"),COUNTIF(O$2:O1149,"在职"),"")</f>
        <v/>
      </c>
    </row>
    <row r="1150" customFormat="1" ht="18" spans="1:16">
      <c r="A1150" s="10">
        <f t="shared" si="23"/>
        <v>1149</v>
      </c>
      <c r="B1150" s="31">
        <v>46177</v>
      </c>
      <c r="C1150" s="32" t="s">
        <v>565</v>
      </c>
      <c r="D1150" s="120" t="s">
        <v>488</v>
      </c>
      <c r="E1150" s="33" t="s">
        <v>42</v>
      </c>
      <c r="F1150" s="18" t="s">
        <v>64</v>
      </c>
      <c r="G1150" s="18" t="s">
        <v>148</v>
      </c>
      <c r="H1150" s="34" t="s">
        <v>85</v>
      </c>
      <c r="I1150" s="18" t="s">
        <v>104</v>
      </c>
      <c r="J1150" s="31" t="s">
        <v>105</v>
      </c>
      <c r="K1150" s="31"/>
      <c r="L1150" s="4"/>
      <c r="M1150" s="4"/>
      <c r="N1150" s="13" t="s">
        <v>29</v>
      </c>
      <c r="O1150" s="35" t="str">
        <f>IF(D1150="","",IF(COUNTIF(离职清单!C:C,D1150)&gt;0,"已离职","在职"))</f>
        <v>在职</v>
      </c>
      <c r="P1150" s="35" t="str">
        <f>IF(AND(O1150="在职",J1150="是"),COUNTIF(O$2:O1150,"在职"),"")</f>
        <v/>
      </c>
    </row>
    <row r="1151" customFormat="1" ht="18" spans="1:16">
      <c r="A1151" s="14">
        <f t="shared" si="23"/>
        <v>1150</v>
      </c>
      <c r="B1151" s="31">
        <v>46177</v>
      </c>
      <c r="C1151" s="32" t="s">
        <v>741</v>
      </c>
      <c r="D1151" s="120" t="s">
        <v>490</v>
      </c>
      <c r="E1151" s="33" t="s">
        <v>42</v>
      </c>
      <c r="F1151" s="18" t="s">
        <v>63</v>
      </c>
      <c r="G1151" s="18" t="s">
        <v>148</v>
      </c>
      <c r="H1151" s="34" t="s">
        <v>85</v>
      </c>
      <c r="I1151" s="18" t="s">
        <v>104</v>
      </c>
      <c r="J1151" s="31" t="s">
        <v>105</v>
      </c>
      <c r="K1151" s="31"/>
      <c r="L1151" s="4"/>
      <c r="M1151" s="4"/>
      <c r="N1151" s="13" t="s">
        <v>29</v>
      </c>
      <c r="O1151" s="35" t="str">
        <f>IF(D1151="","",IF(COUNTIF(离职清单!C:C,D1151)&gt;0,"已离职","在职"))</f>
        <v>在职</v>
      </c>
      <c r="P1151" s="35" t="str">
        <f>IF(AND(O1151="在职",J1151="是"),COUNTIF(O$2:O1151,"在职"),"")</f>
        <v/>
      </c>
    </row>
    <row r="1152" customFormat="1" ht="18" spans="1:16">
      <c r="A1152" s="10">
        <f t="shared" si="23"/>
        <v>1151</v>
      </c>
      <c r="B1152" s="31">
        <v>46177</v>
      </c>
      <c r="C1152" s="32" t="s">
        <v>1322</v>
      </c>
      <c r="D1152" s="120" t="s">
        <v>492</v>
      </c>
      <c r="E1152" s="33" t="s">
        <v>42</v>
      </c>
      <c r="F1152" s="18" t="s">
        <v>64</v>
      </c>
      <c r="G1152" s="18" t="s">
        <v>1323</v>
      </c>
      <c r="H1152" s="34" t="s">
        <v>85</v>
      </c>
      <c r="I1152" s="18" t="s">
        <v>104</v>
      </c>
      <c r="J1152" s="31" t="s">
        <v>105</v>
      </c>
      <c r="K1152" s="31"/>
      <c r="L1152" s="4"/>
      <c r="M1152" s="4"/>
      <c r="N1152" s="13" t="s">
        <v>29</v>
      </c>
      <c r="O1152" s="35" t="str">
        <f>IF(D1152="","",IF(COUNTIF(离职清单!C:C,D1152)&gt;0,"已离职","在职"))</f>
        <v>在职</v>
      </c>
      <c r="P1152" s="35" t="str">
        <f>IF(AND(O1152="在职",J1152="是"),COUNTIF(O$2:O1152,"在职"),"")</f>
        <v/>
      </c>
    </row>
    <row r="1153" customFormat="1" ht="18" spans="1:16">
      <c r="A1153" s="14">
        <f t="shared" si="23"/>
        <v>1152</v>
      </c>
      <c r="B1153" s="31">
        <v>46177</v>
      </c>
      <c r="C1153" s="32" t="s">
        <v>1324</v>
      </c>
      <c r="D1153" s="120" t="s">
        <v>477</v>
      </c>
      <c r="E1153" s="33" t="s">
        <v>42</v>
      </c>
      <c r="F1153" s="18" t="s">
        <v>64</v>
      </c>
      <c r="G1153" s="18" t="s">
        <v>148</v>
      </c>
      <c r="H1153" s="34" t="s">
        <v>85</v>
      </c>
      <c r="I1153" s="18" t="s">
        <v>104</v>
      </c>
      <c r="J1153" s="31" t="s">
        <v>105</v>
      </c>
      <c r="K1153" s="31"/>
      <c r="L1153" s="4"/>
      <c r="M1153" s="4"/>
      <c r="N1153" s="13" t="s">
        <v>29</v>
      </c>
      <c r="O1153" s="35" t="str">
        <f>IF(D1153="","",IF(COUNTIF(离职清单!C:C,D1153)&gt;0,"已离职","在职"))</f>
        <v>在职</v>
      </c>
      <c r="P1153" s="35" t="str">
        <f>IF(AND(O1153="在职",J1153="是"),COUNTIF(O$2:O1153,"在职"),"")</f>
        <v/>
      </c>
    </row>
    <row r="1154" customFormat="1" ht="18" spans="1:16">
      <c r="A1154" s="10">
        <f t="shared" si="23"/>
        <v>1153</v>
      </c>
      <c r="B1154" s="31">
        <v>46177</v>
      </c>
      <c r="C1154" s="32" t="s">
        <v>1325</v>
      </c>
      <c r="D1154" s="120" t="s">
        <v>478</v>
      </c>
      <c r="E1154" s="33" t="s">
        <v>42</v>
      </c>
      <c r="F1154" s="18" t="s">
        <v>64</v>
      </c>
      <c r="G1154" s="18" t="s">
        <v>148</v>
      </c>
      <c r="H1154" s="34" t="s">
        <v>85</v>
      </c>
      <c r="I1154" s="18" t="s">
        <v>104</v>
      </c>
      <c r="J1154" s="31" t="s">
        <v>105</v>
      </c>
      <c r="K1154" s="31"/>
      <c r="L1154" s="4"/>
      <c r="M1154" s="4"/>
      <c r="N1154" s="13" t="s">
        <v>29</v>
      </c>
      <c r="O1154" s="35" t="str">
        <f>IF(D1154="","",IF(COUNTIF(离职清单!C:C,D1154)&gt;0,"已离职","在职"))</f>
        <v>在职</v>
      </c>
      <c r="P1154" s="35" t="str">
        <f>IF(AND(O1154="在职",J1154="是"),COUNTIF(O$2:O1154,"在职"),"")</f>
        <v/>
      </c>
    </row>
    <row r="1155" customFormat="1" ht="18" spans="1:16">
      <c r="A1155" s="14">
        <f t="shared" si="23"/>
        <v>1154</v>
      </c>
      <c r="B1155" s="31">
        <v>46177</v>
      </c>
      <c r="C1155" s="32" t="s">
        <v>1326</v>
      </c>
      <c r="D1155" s="120" t="s">
        <v>480</v>
      </c>
      <c r="E1155" s="33" t="s">
        <v>42</v>
      </c>
      <c r="F1155" s="18" t="s">
        <v>64</v>
      </c>
      <c r="G1155" s="18" t="s">
        <v>148</v>
      </c>
      <c r="H1155" s="34" t="s">
        <v>85</v>
      </c>
      <c r="I1155" s="18" t="s">
        <v>104</v>
      </c>
      <c r="J1155" s="31" t="s">
        <v>105</v>
      </c>
      <c r="K1155" s="31"/>
      <c r="L1155" s="4"/>
      <c r="M1155" s="4"/>
      <c r="N1155" s="13" t="s">
        <v>29</v>
      </c>
      <c r="O1155" s="35" t="str">
        <f>IF(D1155="","",IF(COUNTIF(离职清单!C:C,D1155)&gt;0,"已离职","在职"))</f>
        <v>在职</v>
      </c>
      <c r="P1155" s="35" t="str">
        <f>IF(AND(O1155="在职",J1155="是"),COUNTIF(O$2:O1155,"在职"),"")</f>
        <v/>
      </c>
    </row>
    <row r="1156" customFormat="1" ht="18" spans="1:16">
      <c r="A1156" s="10">
        <f t="shared" si="23"/>
        <v>1155</v>
      </c>
      <c r="B1156" s="31">
        <v>46177</v>
      </c>
      <c r="C1156" s="32" t="s">
        <v>1327</v>
      </c>
      <c r="D1156" s="120" t="s">
        <v>482</v>
      </c>
      <c r="E1156" s="33" t="s">
        <v>42</v>
      </c>
      <c r="F1156" s="18" t="s">
        <v>64</v>
      </c>
      <c r="G1156" s="18" t="s">
        <v>796</v>
      </c>
      <c r="H1156" s="34" t="s">
        <v>85</v>
      </c>
      <c r="I1156" s="18" t="s">
        <v>104</v>
      </c>
      <c r="J1156" s="31" t="s">
        <v>105</v>
      </c>
      <c r="K1156" s="31"/>
      <c r="L1156" s="4"/>
      <c r="M1156" s="4"/>
      <c r="N1156" s="13" t="s">
        <v>29</v>
      </c>
      <c r="O1156" s="35" t="str">
        <f>IF(D1156="","",IF(COUNTIF(离职清单!C:C,D1156)&gt;0,"已离职","在职"))</f>
        <v>在职</v>
      </c>
      <c r="P1156" s="35" t="str">
        <f>IF(AND(O1156="在职",J1156="是"),COUNTIF(O$2:O1156,"在职"),"")</f>
        <v/>
      </c>
    </row>
    <row r="1157" customFormat="1" ht="18" spans="1:16">
      <c r="A1157" s="14">
        <f t="shared" si="23"/>
        <v>1156</v>
      </c>
      <c r="B1157" s="31">
        <v>46177</v>
      </c>
      <c r="C1157" s="32" t="s">
        <v>1328</v>
      </c>
      <c r="D1157" s="120" t="s">
        <v>484</v>
      </c>
      <c r="E1157" s="33" t="s">
        <v>42</v>
      </c>
      <c r="F1157" s="18" t="s">
        <v>63</v>
      </c>
      <c r="G1157" s="18" t="s">
        <v>103</v>
      </c>
      <c r="H1157" s="34" t="s">
        <v>85</v>
      </c>
      <c r="I1157" s="18" t="s">
        <v>104</v>
      </c>
      <c r="J1157" s="31" t="s">
        <v>105</v>
      </c>
      <c r="K1157" s="31"/>
      <c r="L1157" s="4"/>
      <c r="M1157" s="4"/>
      <c r="N1157" s="13" t="s">
        <v>29</v>
      </c>
      <c r="O1157" s="35" t="str">
        <f>IF(D1157="","",IF(COUNTIF(离职清单!C:C,D1157)&gt;0,"已离职","在职"))</f>
        <v>在职</v>
      </c>
      <c r="P1157" s="35" t="str">
        <f>IF(AND(O1157="在职",J1157="是"),COUNTIF(O$2:O1157,"在职"),"")</f>
        <v/>
      </c>
    </row>
    <row r="1158" customFormat="1" ht="18" spans="1:16">
      <c r="A1158" s="10">
        <f t="shared" si="23"/>
        <v>1157</v>
      </c>
      <c r="B1158" s="31">
        <v>46177</v>
      </c>
      <c r="C1158" s="32" t="s">
        <v>689</v>
      </c>
      <c r="D1158" s="120" t="s">
        <v>486</v>
      </c>
      <c r="E1158" s="33" t="s">
        <v>42</v>
      </c>
      <c r="F1158" s="18" t="s">
        <v>64</v>
      </c>
      <c r="G1158" s="18" t="s">
        <v>690</v>
      </c>
      <c r="H1158" s="34" t="s">
        <v>85</v>
      </c>
      <c r="I1158" s="18" t="s">
        <v>104</v>
      </c>
      <c r="J1158" s="31" t="s">
        <v>105</v>
      </c>
      <c r="K1158" s="31"/>
      <c r="L1158" s="4"/>
      <c r="M1158" s="4"/>
      <c r="N1158" s="13" t="s">
        <v>29</v>
      </c>
      <c r="O1158" s="35" t="str">
        <f>IF(D1158="","",IF(COUNTIF(离职清单!C:C,D1158)&gt;0,"已离职","在职"))</f>
        <v>在职</v>
      </c>
      <c r="P1158" s="35" t="str">
        <f>IF(AND(O1158="在职",J1158="是"),COUNTIF(O$2:O1158,"在职"),"")</f>
        <v/>
      </c>
    </row>
    <row r="1159" customFormat="1" ht="18" spans="1:16">
      <c r="A1159" s="14">
        <f t="shared" si="23"/>
        <v>1158</v>
      </c>
      <c r="B1159" s="31">
        <v>46177</v>
      </c>
      <c r="C1159" s="32" t="s">
        <v>620</v>
      </c>
      <c r="D1159" s="120" t="s">
        <v>488</v>
      </c>
      <c r="E1159" s="33" t="s">
        <v>42</v>
      </c>
      <c r="F1159" s="18" t="s">
        <v>64</v>
      </c>
      <c r="G1159" s="18" t="s">
        <v>124</v>
      </c>
      <c r="H1159" s="34" t="s">
        <v>85</v>
      </c>
      <c r="I1159" s="18" t="s">
        <v>104</v>
      </c>
      <c r="J1159" s="31" t="s">
        <v>105</v>
      </c>
      <c r="K1159" s="31"/>
      <c r="L1159" s="4"/>
      <c r="M1159" s="4"/>
      <c r="N1159" s="13" t="s">
        <v>29</v>
      </c>
      <c r="O1159" s="35" t="str">
        <f>IF(D1159="","",IF(COUNTIF(离职清单!C:C,D1159)&gt;0,"已离职","在职"))</f>
        <v>在职</v>
      </c>
      <c r="P1159" s="35" t="str">
        <f>IF(AND(O1159="在职",J1159="是"),COUNTIF(O$2:O1159,"在职"),"")</f>
        <v/>
      </c>
    </row>
    <row r="1160" customFormat="1" ht="18" spans="1:16">
      <c r="A1160" s="10">
        <f t="shared" si="23"/>
        <v>1159</v>
      </c>
      <c r="B1160" s="31">
        <v>46177</v>
      </c>
      <c r="C1160" s="32" t="s">
        <v>1329</v>
      </c>
      <c r="D1160" s="120" t="s">
        <v>490</v>
      </c>
      <c r="E1160" s="33" t="s">
        <v>42</v>
      </c>
      <c r="F1160" s="18" t="s">
        <v>63</v>
      </c>
      <c r="G1160" s="18" t="s">
        <v>233</v>
      </c>
      <c r="H1160" s="34" t="s">
        <v>85</v>
      </c>
      <c r="I1160" s="18" t="s">
        <v>104</v>
      </c>
      <c r="J1160" s="31" t="s">
        <v>105</v>
      </c>
      <c r="K1160" s="31" t="s">
        <v>1330</v>
      </c>
      <c r="L1160" s="4"/>
      <c r="M1160" s="4"/>
      <c r="N1160" s="13" t="s">
        <v>29</v>
      </c>
      <c r="O1160" s="35" t="str">
        <f>IF(D1160="","",IF(COUNTIF(离职清单!C:C,D1160)&gt;0,"已离职","在职"))</f>
        <v>在职</v>
      </c>
      <c r="P1160" s="35" t="str">
        <f>IF(AND(O1160="在职",J1160="是"),COUNTIF(O$2:O1160,"在职"),"")</f>
        <v/>
      </c>
    </row>
    <row r="1161" customFormat="1" ht="18" spans="1:16">
      <c r="A1161" s="14">
        <f t="shared" si="23"/>
        <v>1160</v>
      </c>
      <c r="B1161" s="31">
        <v>46177</v>
      </c>
      <c r="C1161" s="32" t="s">
        <v>1331</v>
      </c>
      <c r="D1161" s="120" t="s">
        <v>492</v>
      </c>
      <c r="E1161" s="33" t="s">
        <v>42</v>
      </c>
      <c r="F1161" s="18" t="s">
        <v>62</v>
      </c>
      <c r="G1161" s="18" t="s">
        <v>233</v>
      </c>
      <c r="H1161" s="34" t="s">
        <v>85</v>
      </c>
      <c r="I1161" s="18" t="s">
        <v>104</v>
      </c>
      <c r="J1161" s="31" t="s">
        <v>105</v>
      </c>
      <c r="K1161" s="31"/>
      <c r="L1161" s="4"/>
      <c r="M1161" s="4"/>
      <c r="N1161" s="13" t="s">
        <v>29</v>
      </c>
      <c r="O1161" s="35" t="str">
        <f>IF(D1161="","",IF(COUNTIF(离职清单!C:C,D1161)&gt;0,"已离职","在职"))</f>
        <v>在职</v>
      </c>
      <c r="P1161" s="35" t="str">
        <f>IF(AND(O1161="在职",J1161="是"),COUNTIF(O$2:O1161,"在职"),"")</f>
        <v/>
      </c>
    </row>
    <row r="1162" customFormat="1" ht="18" spans="1:16">
      <c r="A1162" s="10">
        <f t="shared" si="23"/>
        <v>1161</v>
      </c>
      <c r="B1162" s="31">
        <v>46177</v>
      </c>
      <c r="C1162" s="32" t="s">
        <v>1332</v>
      </c>
      <c r="D1162" s="120" t="s">
        <v>477</v>
      </c>
      <c r="E1162" s="33" t="s">
        <v>42</v>
      </c>
      <c r="F1162" s="18" t="s">
        <v>63</v>
      </c>
      <c r="G1162" s="18" t="s">
        <v>173</v>
      </c>
      <c r="H1162" s="34" t="s">
        <v>85</v>
      </c>
      <c r="I1162" s="18" t="s">
        <v>104</v>
      </c>
      <c r="J1162" s="31" t="s">
        <v>105</v>
      </c>
      <c r="K1162" s="31">
        <v>46183</v>
      </c>
      <c r="L1162" s="4"/>
      <c r="M1162" s="4"/>
      <c r="N1162" s="13" t="s">
        <v>29</v>
      </c>
      <c r="O1162" s="35" t="str">
        <f>IF(D1162="","",IF(COUNTIF(离职清单!C:C,D1162)&gt;0,"已离职","在职"))</f>
        <v>在职</v>
      </c>
      <c r="P1162" s="35" t="str">
        <f>IF(AND(O1162="在职",J1162="是"),COUNTIF(O$2:O1162,"在职"),"")</f>
        <v/>
      </c>
    </row>
    <row r="1163" customFormat="1" ht="18" spans="1:16">
      <c r="A1163" s="14">
        <f t="shared" si="23"/>
        <v>1162</v>
      </c>
      <c r="B1163" s="31">
        <v>46177</v>
      </c>
      <c r="C1163" s="32" t="s">
        <v>691</v>
      </c>
      <c r="D1163" s="120" t="s">
        <v>478</v>
      </c>
      <c r="E1163" s="33" t="s">
        <v>42</v>
      </c>
      <c r="F1163" s="18" t="s">
        <v>64</v>
      </c>
      <c r="G1163" s="18" t="s">
        <v>173</v>
      </c>
      <c r="H1163" s="34" t="s">
        <v>85</v>
      </c>
      <c r="I1163" s="18" t="s">
        <v>104</v>
      </c>
      <c r="J1163" s="31" t="s">
        <v>105</v>
      </c>
      <c r="K1163" s="31"/>
      <c r="L1163" s="4"/>
      <c r="M1163" s="4"/>
      <c r="N1163" s="13" t="s">
        <v>29</v>
      </c>
      <c r="O1163" s="35" t="str">
        <f>IF(D1163="","",IF(COUNTIF(离职清单!C:C,D1163)&gt;0,"已离职","在职"))</f>
        <v>在职</v>
      </c>
      <c r="P1163" s="35" t="str">
        <f>IF(AND(O1163="在职",J1163="是"),COUNTIF(O$2:O1163,"在职"),"")</f>
        <v/>
      </c>
    </row>
    <row r="1164" customFormat="1" ht="18" spans="1:16">
      <c r="A1164" s="10">
        <f t="shared" si="23"/>
        <v>1163</v>
      </c>
      <c r="B1164" s="31">
        <v>46177</v>
      </c>
      <c r="C1164" s="32" t="s">
        <v>1333</v>
      </c>
      <c r="D1164" s="120" t="s">
        <v>480</v>
      </c>
      <c r="E1164" s="33" t="s">
        <v>42</v>
      </c>
      <c r="F1164" s="18" t="s">
        <v>63</v>
      </c>
      <c r="G1164" s="18" t="s">
        <v>1334</v>
      </c>
      <c r="H1164" s="34" t="s">
        <v>85</v>
      </c>
      <c r="I1164" s="18" t="s">
        <v>104</v>
      </c>
      <c r="J1164" s="31" t="s">
        <v>105</v>
      </c>
      <c r="K1164" s="31"/>
      <c r="L1164" s="4"/>
      <c r="M1164" s="4"/>
      <c r="N1164" s="13" t="s">
        <v>29</v>
      </c>
      <c r="O1164" s="35" t="str">
        <f>IF(D1164="","",IF(COUNTIF(离职清单!C:C,D1164)&gt;0,"已离职","在职"))</f>
        <v>在职</v>
      </c>
      <c r="P1164" s="35" t="str">
        <f>IF(AND(O1164="在职",J1164="是"),COUNTIF(O$2:O1164,"在职"),"")</f>
        <v/>
      </c>
    </row>
    <row r="1165" customFormat="1" ht="18" spans="1:16">
      <c r="A1165" s="14">
        <f t="shared" si="23"/>
        <v>1164</v>
      </c>
      <c r="B1165" s="31">
        <v>46177</v>
      </c>
      <c r="C1165" s="32" t="s">
        <v>1335</v>
      </c>
      <c r="D1165" s="120" t="s">
        <v>482</v>
      </c>
      <c r="E1165" s="33" t="s">
        <v>42</v>
      </c>
      <c r="F1165" s="18" t="s">
        <v>64</v>
      </c>
      <c r="G1165" s="18" t="s">
        <v>1334</v>
      </c>
      <c r="H1165" s="34" t="s">
        <v>85</v>
      </c>
      <c r="I1165" s="18" t="s">
        <v>104</v>
      </c>
      <c r="J1165" s="31" t="s">
        <v>105</v>
      </c>
      <c r="K1165" s="31"/>
      <c r="L1165" s="4"/>
      <c r="M1165" s="4"/>
      <c r="N1165" s="13" t="s">
        <v>29</v>
      </c>
      <c r="O1165" s="35" t="str">
        <f>IF(D1165="","",IF(COUNTIF(离职清单!C:C,D1165)&gt;0,"已离职","在职"))</f>
        <v>在职</v>
      </c>
      <c r="P1165" s="35" t="str">
        <f>IF(AND(O1165="在职",J1165="是"),COUNTIF(O$2:O1165,"在职"),"")</f>
        <v/>
      </c>
    </row>
    <row r="1166" customFormat="1" ht="18" spans="1:16">
      <c r="A1166" s="10">
        <f t="shared" si="23"/>
        <v>1165</v>
      </c>
      <c r="B1166" s="31">
        <v>46177</v>
      </c>
      <c r="C1166" s="32" t="s">
        <v>1336</v>
      </c>
      <c r="D1166" s="120" t="s">
        <v>484</v>
      </c>
      <c r="E1166" s="33" t="s">
        <v>42</v>
      </c>
      <c r="F1166" s="18" t="s">
        <v>64</v>
      </c>
      <c r="G1166" s="18" t="s">
        <v>512</v>
      </c>
      <c r="H1166" s="34" t="s">
        <v>85</v>
      </c>
      <c r="I1166" s="18" t="s">
        <v>104</v>
      </c>
      <c r="J1166" s="31" t="s">
        <v>105</v>
      </c>
      <c r="K1166" s="31"/>
      <c r="L1166" s="4"/>
      <c r="M1166" s="4"/>
      <c r="N1166" s="13" t="s">
        <v>29</v>
      </c>
      <c r="O1166" s="35" t="str">
        <f>IF(D1166="","",IF(COUNTIF(离职清单!C:C,D1166)&gt;0,"已离职","在职"))</f>
        <v>在职</v>
      </c>
      <c r="P1166" s="35" t="str">
        <f>IF(AND(O1166="在职",J1166="是"),COUNTIF(O$2:O1166,"在职"),"")</f>
        <v/>
      </c>
    </row>
    <row r="1167" customFormat="1" ht="18" spans="1:16">
      <c r="A1167" s="14">
        <f t="shared" si="23"/>
        <v>1166</v>
      </c>
      <c r="B1167" s="31">
        <v>46177</v>
      </c>
      <c r="C1167" s="32" t="s">
        <v>1337</v>
      </c>
      <c r="D1167" s="120" t="s">
        <v>486</v>
      </c>
      <c r="E1167" s="33" t="s">
        <v>42</v>
      </c>
      <c r="F1167" s="18" t="s">
        <v>64</v>
      </c>
      <c r="G1167" s="18" t="s">
        <v>512</v>
      </c>
      <c r="H1167" s="34" t="s">
        <v>85</v>
      </c>
      <c r="I1167" s="18" t="s">
        <v>104</v>
      </c>
      <c r="J1167" s="31" t="s">
        <v>105</v>
      </c>
      <c r="K1167" s="31"/>
      <c r="L1167" s="4"/>
      <c r="M1167" s="4"/>
      <c r="N1167" s="13" t="s">
        <v>29</v>
      </c>
      <c r="O1167" s="35" t="str">
        <f>IF(D1167="","",IF(COUNTIF(离职清单!C:C,D1167)&gt;0,"已离职","在职"))</f>
        <v>在职</v>
      </c>
      <c r="P1167" s="35" t="str">
        <f>IF(AND(O1167="在职",J1167="是"),COUNTIF(O$2:O1167,"在职"),"")</f>
        <v/>
      </c>
    </row>
    <row r="1168" customFormat="1" ht="18" spans="1:16">
      <c r="A1168" s="10">
        <f t="shared" si="23"/>
        <v>1167</v>
      </c>
      <c r="B1168" s="31">
        <v>46177</v>
      </c>
      <c r="C1168" s="32" t="s">
        <v>1338</v>
      </c>
      <c r="D1168" s="120" t="s">
        <v>488</v>
      </c>
      <c r="E1168" s="33" t="s">
        <v>42</v>
      </c>
      <c r="F1168" s="18" t="s">
        <v>64</v>
      </c>
      <c r="G1168" s="18" t="s">
        <v>512</v>
      </c>
      <c r="H1168" s="34" t="s">
        <v>85</v>
      </c>
      <c r="I1168" s="18" t="s">
        <v>104</v>
      </c>
      <c r="J1168" s="31" t="s">
        <v>105</v>
      </c>
      <c r="K1168" s="31"/>
      <c r="L1168" s="4"/>
      <c r="M1168" s="4"/>
      <c r="N1168" s="13" t="s">
        <v>29</v>
      </c>
      <c r="O1168" s="35" t="str">
        <f>IF(D1168="","",IF(COUNTIF(离职清单!C:C,D1168)&gt;0,"已离职","在职"))</f>
        <v>在职</v>
      </c>
      <c r="P1168" s="35" t="str">
        <f>IF(AND(O1168="在职",J1168="是"),COUNTIF(O$2:O1168,"在职"),"")</f>
        <v/>
      </c>
    </row>
    <row r="1169" customFormat="1" ht="18" spans="1:16">
      <c r="A1169" s="14">
        <f t="shared" si="23"/>
        <v>1168</v>
      </c>
      <c r="B1169" s="31">
        <v>46177</v>
      </c>
      <c r="C1169" s="32" t="s">
        <v>1339</v>
      </c>
      <c r="D1169" s="120" t="s">
        <v>490</v>
      </c>
      <c r="E1169" s="33" t="s">
        <v>42</v>
      </c>
      <c r="F1169" s="18" t="s">
        <v>64</v>
      </c>
      <c r="G1169" s="18" t="s">
        <v>512</v>
      </c>
      <c r="H1169" s="34" t="s">
        <v>85</v>
      </c>
      <c r="I1169" s="18" t="s">
        <v>104</v>
      </c>
      <c r="J1169" s="31" t="s">
        <v>105</v>
      </c>
      <c r="K1169" s="31"/>
      <c r="L1169" s="4"/>
      <c r="M1169" s="4"/>
      <c r="N1169" s="13" t="s">
        <v>29</v>
      </c>
      <c r="O1169" s="35" t="str">
        <f>IF(D1169="","",IF(COUNTIF(离职清单!C:C,D1169)&gt;0,"已离职","在职"))</f>
        <v>在职</v>
      </c>
      <c r="P1169" s="35" t="str">
        <f>IF(AND(O1169="在职",J1169="是"),COUNTIF(O$2:O1169,"在职"),"")</f>
        <v/>
      </c>
    </row>
    <row r="1170" customFormat="1" ht="18" spans="1:16">
      <c r="A1170" s="10">
        <f t="shared" si="23"/>
        <v>1169</v>
      </c>
      <c r="B1170" s="31">
        <v>46177</v>
      </c>
      <c r="C1170" s="32" t="s">
        <v>1340</v>
      </c>
      <c r="D1170" s="120" t="s">
        <v>492</v>
      </c>
      <c r="E1170" s="33" t="s">
        <v>42</v>
      </c>
      <c r="F1170" s="18" t="s">
        <v>64</v>
      </c>
      <c r="G1170" s="18" t="s">
        <v>312</v>
      </c>
      <c r="H1170" s="34" t="s">
        <v>85</v>
      </c>
      <c r="I1170" s="18" t="s">
        <v>104</v>
      </c>
      <c r="J1170" s="31" t="s">
        <v>105</v>
      </c>
      <c r="K1170" s="31"/>
      <c r="L1170" s="4"/>
      <c r="M1170" s="4"/>
      <c r="N1170" s="13" t="s">
        <v>29</v>
      </c>
      <c r="O1170" s="35" t="str">
        <f>IF(D1170="","",IF(COUNTIF(离职清单!C:C,D1170)&gt;0,"已离职","在职"))</f>
        <v>在职</v>
      </c>
      <c r="P1170" s="35" t="str">
        <f>IF(AND(O1170="在职",J1170="是"),COUNTIF(O$2:O1170,"在职"),"")</f>
        <v/>
      </c>
    </row>
    <row r="1171" customFormat="1" ht="18" spans="1:16">
      <c r="A1171" s="14">
        <f t="shared" si="23"/>
        <v>1170</v>
      </c>
      <c r="B1171" s="31">
        <v>46177</v>
      </c>
      <c r="C1171" s="32" t="s">
        <v>1341</v>
      </c>
      <c r="D1171" s="120" t="s">
        <v>477</v>
      </c>
      <c r="E1171" s="33" t="s">
        <v>74</v>
      </c>
      <c r="F1171" s="18" t="s">
        <v>64</v>
      </c>
      <c r="G1171" s="18" t="s">
        <v>631</v>
      </c>
      <c r="H1171" s="34" t="s">
        <v>85</v>
      </c>
      <c r="I1171" s="18" t="s">
        <v>104</v>
      </c>
      <c r="J1171" s="31" t="s">
        <v>105</v>
      </c>
      <c r="K1171" s="31"/>
      <c r="L1171" s="4"/>
      <c r="M1171" s="4"/>
      <c r="N1171" s="13" t="s">
        <v>29</v>
      </c>
      <c r="O1171" s="35" t="str">
        <f>IF(D1171="","",IF(COUNTIF(离职清单!C:C,D1171)&gt;0,"已离职","在职"))</f>
        <v>在职</v>
      </c>
      <c r="P1171" s="35" t="str">
        <f>IF(AND(O1171="在职",J1171="是"),COUNTIF(O$2:O1171,"在职"),"")</f>
        <v/>
      </c>
    </row>
    <row r="1172" customFormat="1" ht="18" spans="1:16">
      <c r="A1172" s="10">
        <f t="shared" si="23"/>
        <v>1171</v>
      </c>
      <c r="B1172" s="31">
        <v>46177</v>
      </c>
      <c r="C1172" s="32" t="s">
        <v>1342</v>
      </c>
      <c r="D1172" s="120" t="s">
        <v>477</v>
      </c>
      <c r="E1172" s="33" t="s">
        <v>42</v>
      </c>
      <c r="F1172" s="18" t="s">
        <v>62</v>
      </c>
      <c r="G1172" s="18" t="s">
        <v>578</v>
      </c>
      <c r="H1172" s="34" t="s">
        <v>85</v>
      </c>
      <c r="I1172" s="18" t="s">
        <v>104</v>
      </c>
      <c r="J1172" s="31" t="s">
        <v>105</v>
      </c>
      <c r="K1172" s="31">
        <v>46179</v>
      </c>
      <c r="L1172" s="4"/>
      <c r="M1172" s="4"/>
      <c r="N1172" s="13" t="s">
        <v>29</v>
      </c>
      <c r="O1172" s="35" t="str">
        <f>IF(D1172="","",IF(COUNTIF(离职清单!C:C,D1172)&gt;0,"已离职","在职"))</f>
        <v>在职</v>
      </c>
      <c r="P1172" s="35" t="str">
        <f>IF(AND(O1172="在职",J1172="是"),COUNTIF(O$2:O1172,"在职"),"")</f>
        <v/>
      </c>
    </row>
    <row r="1173" customFormat="1" ht="18" spans="1:16">
      <c r="A1173" s="14">
        <f t="shared" si="23"/>
        <v>1172</v>
      </c>
      <c r="B1173" s="31">
        <v>46177</v>
      </c>
      <c r="C1173" s="32" t="s">
        <v>1343</v>
      </c>
      <c r="D1173" s="120" t="s">
        <v>478</v>
      </c>
      <c r="E1173" s="33" t="s">
        <v>42</v>
      </c>
      <c r="F1173" s="18" t="s">
        <v>63</v>
      </c>
      <c r="G1173" s="18" t="s">
        <v>578</v>
      </c>
      <c r="H1173" s="34" t="s">
        <v>85</v>
      </c>
      <c r="I1173" s="18" t="s">
        <v>104</v>
      </c>
      <c r="J1173" s="31" t="s">
        <v>114</v>
      </c>
      <c r="K1173" s="31">
        <v>46179</v>
      </c>
      <c r="L1173" s="4"/>
      <c r="M1173" s="4"/>
      <c r="N1173" s="13" t="s">
        <v>29</v>
      </c>
      <c r="O1173" s="35" t="str">
        <f>IF(D1173="","",IF(COUNTIF(离职清单!C:C,D1173)&gt;0,"已离职","在职"))</f>
        <v>在职</v>
      </c>
      <c r="P1173" s="35">
        <f>IF(AND(O1173="在职",J1173="是"),COUNTIF(O$2:O1173,"在职"),"")</f>
        <v>1166</v>
      </c>
    </row>
    <row r="1174" customFormat="1" ht="18" spans="1:16">
      <c r="A1174" s="10">
        <f t="shared" si="23"/>
        <v>1173</v>
      </c>
      <c r="B1174" s="31">
        <v>46177</v>
      </c>
      <c r="C1174" s="32" t="s">
        <v>1344</v>
      </c>
      <c r="D1174" s="120" t="s">
        <v>480</v>
      </c>
      <c r="E1174" s="33" t="s">
        <v>42</v>
      </c>
      <c r="F1174" s="18" t="s">
        <v>63</v>
      </c>
      <c r="G1174" s="18" t="s">
        <v>578</v>
      </c>
      <c r="H1174" s="34" t="s">
        <v>85</v>
      </c>
      <c r="I1174" s="18" t="s">
        <v>104</v>
      </c>
      <c r="J1174" s="31" t="s">
        <v>114</v>
      </c>
      <c r="K1174" s="31">
        <v>46179</v>
      </c>
      <c r="L1174" s="4"/>
      <c r="M1174" s="4"/>
      <c r="N1174" s="13" t="s">
        <v>29</v>
      </c>
      <c r="O1174" s="35" t="str">
        <f>IF(D1174="","",IF(COUNTIF(离职清单!C:C,D1174)&gt;0,"已离职","在职"))</f>
        <v>在职</v>
      </c>
      <c r="P1174" s="35">
        <f>IF(AND(O1174="在职",J1174="是"),COUNTIF(O$2:O1174,"在职"),"")</f>
        <v>1167</v>
      </c>
    </row>
    <row r="1175" customFormat="1" ht="18" spans="1:16">
      <c r="A1175" s="14">
        <f t="shared" si="23"/>
        <v>1174</v>
      </c>
      <c r="B1175" s="31">
        <v>46177</v>
      </c>
      <c r="C1175" s="32" t="s">
        <v>1345</v>
      </c>
      <c r="D1175" s="120" t="s">
        <v>482</v>
      </c>
      <c r="E1175" s="33" t="s">
        <v>42</v>
      </c>
      <c r="F1175" s="18" t="s">
        <v>63</v>
      </c>
      <c r="G1175" s="18" t="s">
        <v>578</v>
      </c>
      <c r="H1175" s="34" t="s">
        <v>85</v>
      </c>
      <c r="I1175" s="18" t="s">
        <v>104</v>
      </c>
      <c r="J1175" s="31" t="s">
        <v>114</v>
      </c>
      <c r="K1175" s="31">
        <v>46178</v>
      </c>
      <c r="L1175" s="4"/>
      <c r="M1175" s="4"/>
      <c r="N1175" s="13" t="s">
        <v>29</v>
      </c>
      <c r="O1175" s="35" t="str">
        <f>IF(D1175="","",IF(COUNTIF(离职清单!C:C,D1175)&gt;0,"已离职","在职"))</f>
        <v>在职</v>
      </c>
      <c r="P1175" s="35">
        <f>IF(AND(O1175="在职",J1175="是"),COUNTIF(O$2:O1175,"在职"),"")</f>
        <v>1168</v>
      </c>
    </row>
    <row r="1176" customFormat="1" ht="18" spans="1:16">
      <c r="A1176" s="10">
        <f t="shared" si="23"/>
        <v>1175</v>
      </c>
      <c r="B1176" s="31">
        <v>46177</v>
      </c>
      <c r="C1176" s="32" t="s">
        <v>1346</v>
      </c>
      <c r="D1176" s="120" t="s">
        <v>484</v>
      </c>
      <c r="E1176" s="33" t="s">
        <v>42</v>
      </c>
      <c r="F1176" s="18" t="s">
        <v>63</v>
      </c>
      <c r="G1176" s="18" t="s">
        <v>578</v>
      </c>
      <c r="H1176" s="34" t="s">
        <v>85</v>
      </c>
      <c r="I1176" s="18" t="s">
        <v>104</v>
      </c>
      <c r="J1176" s="31" t="s">
        <v>114</v>
      </c>
      <c r="K1176" s="31"/>
      <c r="L1176" s="4"/>
      <c r="M1176" s="4"/>
      <c r="N1176" s="13" t="s">
        <v>29</v>
      </c>
      <c r="O1176" s="35" t="str">
        <f>IF(D1176="","",IF(COUNTIF(离职清单!C:C,D1176)&gt;0,"已离职","在职"))</f>
        <v>在职</v>
      </c>
      <c r="P1176" s="35">
        <f>IF(AND(O1176="在职",J1176="是"),COUNTIF(O$2:O1176,"在职"),"")</f>
        <v>1169</v>
      </c>
    </row>
    <row r="1177" customFormat="1" ht="18" spans="1:16">
      <c r="A1177" s="14">
        <f t="shared" si="23"/>
        <v>1176</v>
      </c>
      <c r="B1177" s="31">
        <v>46177</v>
      </c>
      <c r="C1177" s="32" t="s">
        <v>1347</v>
      </c>
      <c r="D1177" s="120" t="s">
        <v>486</v>
      </c>
      <c r="E1177" s="33" t="s">
        <v>42</v>
      </c>
      <c r="F1177" s="18" t="s">
        <v>62</v>
      </c>
      <c r="G1177" s="18" t="s">
        <v>578</v>
      </c>
      <c r="H1177" s="34" t="s">
        <v>85</v>
      </c>
      <c r="I1177" s="18" t="s">
        <v>104</v>
      </c>
      <c r="J1177" s="31" t="s">
        <v>105</v>
      </c>
      <c r="K1177" s="31"/>
      <c r="L1177" s="4"/>
      <c r="M1177" s="4"/>
      <c r="N1177" s="13" t="s">
        <v>29</v>
      </c>
      <c r="O1177" s="35" t="str">
        <f>IF(D1177="","",IF(COUNTIF(离职清单!C:C,D1177)&gt;0,"已离职","在职"))</f>
        <v>在职</v>
      </c>
      <c r="P1177" s="35" t="str">
        <f>IF(AND(O1177="在职",J1177="是"),COUNTIF(O$2:O1177,"在职"),"")</f>
        <v/>
      </c>
    </row>
    <row r="1178" customFormat="1" ht="18" spans="1:16">
      <c r="A1178" s="10">
        <f t="shared" si="23"/>
        <v>1177</v>
      </c>
      <c r="B1178" s="31">
        <v>46177</v>
      </c>
      <c r="C1178" s="32" t="s">
        <v>1348</v>
      </c>
      <c r="D1178" s="120" t="s">
        <v>488</v>
      </c>
      <c r="E1178" s="33" t="s">
        <v>42</v>
      </c>
      <c r="F1178" s="18" t="s">
        <v>63</v>
      </c>
      <c r="G1178" s="18" t="s">
        <v>578</v>
      </c>
      <c r="H1178" s="34" t="s">
        <v>85</v>
      </c>
      <c r="I1178" s="18" t="s">
        <v>104</v>
      </c>
      <c r="J1178" s="31" t="s">
        <v>105</v>
      </c>
      <c r="K1178" s="31"/>
      <c r="L1178" s="4"/>
      <c r="M1178" s="4"/>
      <c r="N1178" s="13" t="s">
        <v>29</v>
      </c>
      <c r="O1178" s="35" t="str">
        <f>IF(D1178="","",IF(COUNTIF(离职清单!C:C,D1178)&gt;0,"已离职","在职"))</f>
        <v>在职</v>
      </c>
      <c r="P1178" s="35" t="str">
        <f>IF(AND(O1178="在职",J1178="是"),COUNTIF(O$2:O1178,"在职"),"")</f>
        <v/>
      </c>
    </row>
    <row r="1179" customFormat="1" ht="18" spans="1:16">
      <c r="A1179" s="14">
        <f t="shared" si="23"/>
        <v>1178</v>
      </c>
      <c r="B1179" s="31">
        <v>46177</v>
      </c>
      <c r="C1179" s="32" t="s">
        <v>1349</v>
      </c>
      <c r="D1179" s="120" t="s">
        <v>490</v>
      </c>
      <c r="E1179" s="33" t="s">
        <v>42</v>
      </c>
      <c r="F1179" s="18" t="s">
        <v>63</v>
      </c>
      <c r="G1179" s="18" t="s">
        <v>578</v>
      </c>
      <c r="H1179" s="34" t="s">
        <v>85</v>
      </c>
      <c r="I1179" s="18" t="s">
        <v>104</v>
      </c>
      <c r="J1179" s="31" t="s">
        <v>114</v>
      </c>
      <c r="K1179" s="31">
        <v>46179</v>
      </c>
      <c r="L1179" s="4"/>
      <c r="M1179" s="4"/>
      <c r="N1179" s="13" t="s">
        <v>29</v>
      </c>
      <c r="O1179" s="35" t="str">
        <f>IF(D1179="","",IF(COUNTIF(离职清单!C:C,D1179)&gt;0,"已离职","在职"))</f>
        <v>在职</v>
      </c>
      <c r="P1179" s="35">
        <f>IF(AND(O1179="在职",J1179="是"),COUNTIF(O$2:O1179,"在职"),"")</f>
        <v>1172</v>
      </c>
    </row>
    <row r="1180" customFormat="1" ht="18" spans="1:16">
      <c r="A1180" s="10">
        <f t="shared" si="23"/>
        <v>1179</v>
      </c>
      <c r="B1180" s="31">
        <v>46177</v>
      </c>
      <c r="C1180" s="32" t="s">
        <v>1350</v>
      </c>
      <c r="D1180" s="120" t="s">
        <v>492</v>
      </c>
      <c r="E1180" s="33" t="s">
        <v>42</v>
      </c>
      <c r="F1180" s="18" t="s">
        <v>63</v>
      </c>
      <c r="G1180" s="18" t="s">
        <v>307</v>
      </c>
      <c r="H1180" s="34" t="s">
        <v>85</v>
      </c>
      <c r="I1180" s="18" t="s">
        <v>104</v>
      </c>
      <c r="J1180" s="31" t="s">
        <v>105</v>
      </c>
      <c r="K1180" s="31"/>
      <c r="L1180" s="4"/>
      <c r="M1180" s="4"/>
      <c r="N1180" s="13" t="s">
        <v>29</v>
      </c>
      <c r="O1180" s="35" t="str">
        <f>IF(D1180="","",IF(COUNTIF(离职清单!C:C,D1180)&gt;0,"已离职","在职"))</f>
        <v>在职</v>
      </c>
      <c r="P1180" s="35" t="str">
        <f>IF(AND(O1180="在职",J1180="是"),COUNTIF(O$2:O1180,"在职"),"")</f>
        <v/>
      </c>
    </row>
    <row r="1181" customFormat="1" ht="18" spans="1:16">
      <c r="A1181" s="14">
        <f t="shared" si="23"/>
        <v>1180</v>
      </c>
      <c r="B1181" s="31">
        <v>46177</v>
      </c>
      <c r="C1181" s="32" t="s">
        <v>1351</v>
      </c>
      <c r="D1181" s="120" t="s">
        <v>477</v>
      </c>
      <c r="E1181" s="33" t="s">
        <v>42</v>
      </c>
      <c r="F1181" s="18" t="s">
        <v>63</v>
      </c>
      <c r="G1181" s="18" t="s">
        <v>307</v>
      </c>
      <c r="H1181" s="34" t="s">
        <v>85</v>
      </c>
      <c r="I1181" s="18" t="s">
        <v>104</v>
      </c>
      <c r="J1181" s="31" t="s">
        <v>105</v>
      </c>
      <c r="K1181" s="31"/>
      <c r="L1181" s="4"/>
      <c r="M1181" s="4"/>
      <c r="N1181" s="13" t="s">
        <v>29</v>
      </c>
      <c r="O1181" s="35" t="str">
        <f>IF(D1181="","",IF(COUNTIF(离职清单!C:C,D1181)&gt;0,"已离职","在职"))</f>
        <v>在职</v>
      </c>
      <c r="P1181" s="35" t="str">
        <f>IF(AND(O1181="在职",J1181="是"),COUNTIF(O$2:O1181,"在职"),"")</f>
        <v/>
      </c>
    </row>
    <row r="1182" customFormat="1" ht="18" spans="1:16">
      <c r="A1182" s="10">
        <f t="shared" si="23"/>
        <v>1181</v>
      </c>
      <c r="B1182" s="31">
        <v>46177</v>
      </c>
      <c r="C1182" s="32" t="s">
        <v>1352</v>
      </c>
      <c r="D1182" s="120" t="s">
        <v>478</v>
      </c>
      <c r="E1182" s="33" t="s">
        <v>42</v>
      </c>
      <c r="F1182" s="18" t="s">
        <v>63</v>
      </c>
      <c r="G1182" s="18" t="s">
        <v>307</v>
      </c>
      <c r="H1182" s="34" t="s">
        <v>85</v>
      </c>
      <c r="I1182" s="18" t="s">
        <v>104</v>
      </c>
      <c r="J1182" s="31" t="s">
        <v>105</v>
      </c>
      <c r="K1182" s="31"/>
      <c r="L1182" s="4"/>
      <c r="M1182" s="4"/>
      <c r="N1182" s="13" t="s">
        <v>29</v>
      </c>
      <c r="O1182" s="35" t="str">
        <f>IF(D1182="","",IF(COUNTIF(离职清单!C:C,D1182)&gt;0,"已离职","在职"))</f>
        <v>在职</v>
      </c>
      <c r="P1182" s="35" t="str">
        <f>IF(AND(O1182="在职",J1182="是"),COUNTIF(O$2:O1182,"在职"),"")</f>
        <v/>
      </c>
    </row>
    <row r="1183" customFormat="1" ht="18" spans="1:16">
      <c r="A1183" s="14">
        <f t="shared" si="23"/>
        <v>1182</v>
      </c>
      <c r="B1183" s="31">
        <v>46177</v>
      </c>
      <c r="C1183" s="32" t="s">
        <v>1353</v>
      </c>
      <c r="D1183" s="120" t="s">
        <v>480</v>
      </c>
      <c r="E1183" s="33" t="s">
        <v>42</v>
      </c>
      <c r="F1183" s="18" t="s">
        <v>63</v>
      </c>
      <c r="G1183" s="18" t="s">
        <v>307</v>
      </c>
      <c r="H1183" s="34" t="s">
        <v>85</v>
      </c>
      <c r="I1183" s="18" t="s">
        <v>104</v>
      </c>
      <c r="J1183" s="31" t="s">
        <v>105</v>
      </c>
      <c r="K1183" s="31"/>
      <c r="L1183" s="4"/>
      <c r="M1183" s="4"/>
      <c r="N1183" s="13" t="s">
        <v>29</v>
      </c>
      <c r="O1183" s="35" t="str">
        <f>IF(D1183="","",IF(COUNTIF(离职清单!C:C,D1183)&gt;0,"已离职","在职"))</f>
        <v>在职</v>
      </c>
      <c r="P1183" s="35" t="str">
        <f>IF(AND(O1183="在职",J1183="是"),COUNTIF(O$2:O1183,"在职"),"")</f>
        <v/>
      </c>
    </row>
    <row r="1184" customFormat="1" ht="18" spans="1:16">
      <c r="A1184" s="10">
        <f t="shared" si="23"/>
        <v>1183</v>
      </c>
      <c r="B1184" s="31">
        <v>46177</v>
      </c>
      <c r="C1184" s="32" t="s">
        <v>880</v>
      </c>
      <c r="D1184" s="120" t="s">
        <v>482</v>
      </c>
      <c r="E1184" s="33" t="s">
        <v>42</v>
      </c>
      <c r="F1184" s="18" t="s">
        <v>64</v>
      </c>
      <c r="G1184" s="18" t="s">
        <v>148</v>
      </c>
      <c r="H1184" s="34" t="s">
        <v>85</v>
      </c>
      <c r="I1184" s="18" t="s">
        <v>104</v>
      </c>
      <c r="J1184" s="31" t="s">
        <v>105</v>
      </c>
      <c r="K1184" s="31"/>
      <c r="L1184" s="4"/>
      <c r="M1184" s="4"/>
      <c r="N1184" s="13" t="s">
        <v>29</v>
      </c>
      <c r="O1184" s="35" t="str">
        <f>IF(D1184="","",IF(COUNTIF(离职清单!C:C,D1184)&gt;0,"已离职","在职"))</f>
        <v>在职</v>
      </c>
      <c r="P1184" s="35" t="str">
        <f>IF(AND(O1184="在职",J1184="是"),COUNTIF(O$2:O1184,"在职"),"")</f>
        <v/>
      </c>
    </row>
    <row r="1185" customFormat="1" ht="18" spans="1:16">
      <c r="A1185" s="14">
        <f t="shared" si="23"/>
        <v>1184</v>
      </c>
      <c r="B1185" s="31">
        <v>46177</v>
      </c>
      <c r="C1185" s="32" t="s">
        <v>1354</v>
      </c>
      <c r="D1185" s="120" t="s">
        <v>484</v>
      </c>
      <c r="E1185" s="33" t="s">
        <v>42</v>
      </c>
      <c r="F1185" s="18" t="s">
        <v>63</v>
      </c>
      <c r="G1185" s="18" t="s">
        <v>148</v>
      </c>
      <c r="H1185" s="34" t="s">
        <v>85</v>
      </c>
      <c r="I1185" s="18" t="s">
        <v>104</v>
      </c>
      <c r="J1185" s="31" t="s">
        <v>105</v>
      </c>
      <c r="K1185" s="31">
        <v>46181</v>
      </c>
      <c r="L1185" s="4"/>
      <c r="M1185" s="4"/>
      <c r="N1185" s="13" t="s">
        <v>29</v>
      </c>
      <c r="O1185" s="35" t="str">
        <f>IF(D1185="","",IF(COUNTIF(离职清单!C:C,D1185)&gt;0,"已离职","在职"))</f>
        <v>在职</v>
      </c>
      <c r="P1185" s="35" t="str">
        <f>IF(AND(O1185="在职",J1185="是"),COUNTIF(O$2:O1185,"在职"),"")</f>
        <v/>
      </c>
    </row>
    <row r="1186" customFormat="1" ht="18" spans="1:16">
      <c r="A1186" s="10">
        <f t="shared" si="23"/>
        <v>1185</v>
      </c>
      <c r="B1186" s="31">
        <v>46177</v>
      </c>
      <c r="C1186" s="32" t="s">
        <v>1355</v>
      </c>
      <c r="D1186" s="120" t="s">
        <v>486</v>
      </c>
      <c r="E1186" s="33" t="s">
        <v>42</v>
      </c>
      <c r="F1186" s="18" t="s">
        <v>64</v>
      </c>
      <c r="G1186" s="18" t="s">
        <v>129</v>
      </c>
      <c r="H1186" s="34" t="s">
        <v>85</v>
      </c>
      <c r="I1186" s="18" t="s">
        <v>104</v>
      </c>
      <c r="J1186" s="31" t="s">
        <v>105</v>
      </c>
      <c r="K1186" s="31"/>
      <c r="L1186" s="4"/>
      <c r="M1186" s="4"/>
      <c r="N1186" s="13" t="s">
        <v>29</v>
      </c>
      <c r="O1186" s="35" t="str">
        <f>IF(D1186="","",IF(COUNTIF(离职清单!C:C,D1186)&gt;0,"已离职","在职"))</f>
        <v>在职</v>
      </c>
      <c r="P1186" s="35" t="str">
        <f>IF(AND(O1186="在职",J1186="是"),COUNTIF(O$2:O1186,"在职"),"")</f>
        <v/>
      </c>
    </row>
    <row r="1187" customFormat="1" ht="18" spans="1:16">
      <c r="A1187" s="14">
        <f t="shared" si="23"/>
        <v>1186</v>
      </c>
      <c r="B1187" s="31">
        <v>46177</v>
      </c>
      <c r="C1187" s="32" t="s">
        <v>1356</v>
      </c>
      <c r="D1187" s="120" t="s">
        <v>488</v>
      </c>
      <c r="E1187" s="33" t="s">
        <v>42</v>
      </c>
      <c r="F1187" s="18" t="s">
        <v>63</v>
      </c>
      <c r="G1187" s="18" t="s">
        <v>129</v>
      </c>
      <c r="H1187" s="34" t="s">
        <v>85</v>
      </c>
      <c r="I1187" s="18" t="s">
        <v>104</v>
      </c>
      <c r="J1187" s="31" t="s">
        <v>105</v>
      </c>
      <c r="K1187" s="31">
        <v>46180</v>
      </c>
      <c r="L1187" s="4"/>
      <c r="M1187" s="4"/>
      <c r="N1187" s="13" t="s">
        <v>29</v>
      </c>
      <c r="O1187" s="35" t="str">
        <f>IF(D1187="","",IF(COUNTIF(离职清单!C:C,D1187)&gt;0,"已离职","在职"))</f>
        <v>在职</v>
      </c>
      <c r="P1187" s="35" t="str">
        <f>IF(AND(O1187="在职",J1187="是"),COUNTIF(O$2:O1187,"在职"),"")</f>
        <v/>
      </c>
    </row>
    <row r="1188" customFormat="1" ht="18" spans="1:16">
      <c r="A1188" s="10">
        <f t="shared" si="23"/>
        <v>1187</v>
      </c>
      <c r="B1188" s="31">
        <v>46177</v>
      </c>
      <c r="C1188" s="32" t="s">
        <v>1357</v>
      </c>
      <c r="D1188" s="120" t="s">
        <v>490</v>
      </c>
      <c r="E1188" s="33" t="s">
        <v>42</v>
      </c>
      <c r="F1188" s="18" t="s">
        <v>62</v>
      </c>
      <c r="G1188" s="18" t="s">
        <v>246</v>
      </c>
      <c r="H1188" s="34" t="s">
        <v>85</v>
      </c>
      <c r="I1188" s="18" t="s">
        <v>104</v>
      </c>
      <c r="J1188" s="31" t="s">
        <v>114</v>
      </c>
      <c r="K1188" s="31">
        <v>46179</v>
      </c>
      <c r="L1188" s="4"/>
      <c r="M1188" s="4"/>
      <c r="N1188" s="13" t="s">
        <v>29</v>
      </c>
      <c r="O1188" s="35" t="str">
        <f>IF(D1188="","",IF(COUNTIF(离职清单!C:C,D1188)&gt;0,"已离职","在职"))</f>
        <v>在职</v>
      </c>
      <c r="P1188" s="35">
        <f>IF(AND(O1188="在职",J1188="是"),COUNTIF(O$2:O1188,"在职"),"")</f>
        <v>1181</v>
      </c>
    </row>
    <row r="1189" customFormat="1" ht="18" spans="1:16">
      <c r="A1189" s="14">
        <f t="shared" si="23"/>
        <v>1188</v>
      </c>
      <c r="B1189" s="31">
        <v>46177</v>
      </c>
      <c r="C1189" s="32" t="s">
        <v>1358</v>
      </c>
      <c r="D1189" s="120" t="s">
        <v>492</v>
      </c>
      <c r="E1189" s="33" t="s">
        <v>42</v>
      </c>
      <c r="F1189" s="18" t="s">
        <v>63</v>
      </c>
      <c r="G1189" s="18" t="s">
        <v>332</v>
      </c>
      <c r="H1189" s="34" t="s">
        <v>85</v>
      </c>
      <c r="I1189" s="18" t="s">
        <v>104</v>
      </c>
      <c r="J1189" s="31" t="s">
        <v>105</v>
      </c>
      <c r="K1189" s="31"/>
      <c r="L1189" s="4"/>
      <c r="M1189" s="4"/>
      <c r="N1189" s="13" t="s">
        <v>29</v>
      </c>
      <c r="O1189" s="35" t="str">
        <f>IF(D1189="","",IF(COUNTIF(离职清单!C:C,D1189)&gt;0,"已离职","在职"))</f>
        <v>在职</v>
      </c>
      <c r="P1189" s="35" t="str">
        <f>IF(AND(O1189="在职",J1189="是"),COUNTIF(O$2:O1189,"在职"),"")</f>
        <v/>
      </c>
    </row>
    <row r="1190" customFormat="1" ht="18" spans="1:16">
      <c r="A1190" s="10">
        <f t="shared" si="23"/>
        <v>1189</v>
      </c>
      <c r="B1190" s="31">
        <v>46177</v>
      </c>
      <c r="C1190" s="32" t="s">
        <v>1359</v>
      </c>
      <c r="D1190" s="120" t="s">
        <v>477</v>
      </c>
      <c r="E1190" s="33" t="s">
        <v>42</v>
      </c>
      <c r="F1190" s="18" t="s">
        <v>63</v>
      </c>
      <c r="G1190" s="18" t="s">
        <v>332</v>
      </c>
      <c r="H1190" s="34" t="s">
        <v>85</v>
      </c>
      <c r="I1190" s="18" t="s">
        <v>104</v>
      </c>
      <c r="J1190" s="31" t="s">
        <v>105</v>
      </c>
      <c r="K1190" s="31"/>
      <c r="L1190" s="4"/>
      <c r="M1190" s="4"/>
      <c r="N1190" s="13" t="s">
        <v>29</v>
      </c>
      <c r="O1190" s="35" t="str">
        <f>IF(D1190="","",IF(COUNTIF(离职清单!C:C,D1190)&gt;0,"已离职","在职"))</f>
        <v>在职</v>
      </c>
      <c r="P1190" s="35" t="str">
        <f>IF(AND(O1190="在职",J1190="是"),COUNTIF(O$2:O1190,"在职"),"")</f>
        <v/>
      </c>
    </row>
    <row r="1191" customFormat="1" ht="18" spans="1:16">
      <c r="A1191" s="14">
        <f t="shared" si="23"/>
        <v>1190</v>
      </c>
      <c r="B1191" s="31">
        <v>46177</v>
      </c>
      <c r="C1191" s="32" t="s">
        <v>1360</v>
      </c>
      <c r="D1191" s="120" t="s">
        <v>478</v>
      </c>
      <c r="E1191" s="33" t="s">
        <v>42</v>
      </c>
      <c r="F1191" s="18" t="s">
        <v>62</v>
      </c>
      <c r="G1191" s="18" t="s">
        <v>176</v>
      </c>
      <c r="H1191" s="34" t="s">
        <v>85</v>
      </c>
      <c r="I1191" s="18" t="s">
        <v>104</v>
      </c>
      <c r="J1191" s="31" t="s">
        <v>105</v>
      </c>
      <c r="K1191" s="31">
        <v>46179</v>
      </c>
      <c r="L1191" s="4"/>
      <c r="M1191" s="4"/>
      <c r="N1191" s="13" t="s">
        <v>29</v>
      </c>
      <c r="O1191" s="35" t="str">
        <f>IF(D1191="","",IF(COUNTIF(离职清单!C:C,D1191)&gt;0,"已离职","在职"))</f>
        <v>在职</v>
      </c>
      <c r="P1191" s="35" t="str">
        <f>IF(AND(O1191="在职",J1191="是"),COUNTIF(O$2:O1191,"在职"),"")</f>
        <v/>
      </c>
    </row>
    <row r="1192" customFormat="1" ht="18" spans="1:16">
      <c r="A1192" s="10">
        <f t="shared" si="23"/>
        <v>1191</v>
      </c>
      <c r="B1192" s="31">
        <v>46177</v>
      </c>
      <c r="C1192" s="32" t="s">
        <v>1361</v>
      </c>
      <c r="D1192" s="120" t="s">
        <v>480</v>
      </c>
      <c r="E1192" s="33" t="s">
        <v>42</v>
      </c>
      <c r="F1192" s="18" t="s">
        <v>63</v>
      </c>
      <c r="G1192" s="18" t="s">
        <v>530</v>
      </c>
      <c r="H1192" s="34" t="s">
        <v>85</v>
      </c>
      <c r="I1192" s="18" t="s">
        <v>104</v>
      </c>
      <c r="J1192" s="31" t="s">
        <v>105</v>
      </c>
      <c r="K1192" s="31"/>
      <c r="L1192" s="4"/>
      <c r="M1192" s="4"/>
      <c r="N1192" s="13" t="s">
        <v>29</v>
      </c>
      <c r="O1192" s="35" t="str">
        <f>IF(D1192="","",IF(COUNTIF(离职清单!C:C,D1192)&gt;0,"已离职","在职"))</f>
        <v>在职</v>
      </c>
      <c r="P1192" s="35" t="str">
        <f>IF(AND(O1192="在职",J1192="是"),COUNTIF(O$2:O1192,"在职"),"")</f>
        <v/>
      </c>
    </row>
    <row r="1193" customFormat="1" ht="18" spans="1:16">
      <c r="A1193" s="14">
        <f t="shared" si="23"/>
        <v>1192</v>
      </c>
      <c r="B1193" s="31">
        <v>46178</v>
      </c>
      <c r="C1193" s="32" t="s">
        <v>1362</v>
      </c>
      <c r="D1193" s="120" t="s">
        <v>482</v>
      </c>
      <c r="E1193" s="33" t="s">
        <v>42</v>
      </c>
      <c r="F1193" s="18" t="s">
        <v>62</v>
      </c>
      <c r="G1193" s="18" t="s">
        <v>695</v>
      </c>
      <c r="H1193" s="34" t="s">
        <v>85</v>
      </c>
      <c r="I1193" s="18" t="s">
        <v>104</v>
      </c>
      <c r="J1193" s="31" t="s">
        <v>105</v>
      </c>
      <c r="K1193" s="31"/>
      <c r="L1193" s="4"/>
      <c r="M1193" s="4"/>
      <c r="N1193" s="13" t="s">
        <v>29</v>
      </c>
      <c r="O1193" s="35" t="str">
        <f>IF(D1193="","",IF(COUNTIF(离职清单!C:C,D1193)&gt;0,"已离职","在职"))</f>
        <v>在职</v>
      </c>
      <c r="P1193" s="35" t="str">
        <f>IF(AND(O1193="在职",J1193="是"),COUNTIF(O$2:O1193,"在职"),"")</f>
        <v/>
      </c>
    </row>
    <row r="1194" customFormat="1" ht="18" spans="1:16">
      <c r="A1194" s="10">
        <f t="shared" si="23"/>
        <v>1193</v>
      </c>
      <c r="B1194" s="31">
        <v>46178</v>
      </c>
      <c r="C1194" s="32" t="s">
        <v>1363</v>
      </c>
      <c r="D1194" s="120" t="s">
        <v>484</v>
      </c>
      <c r="E1194" s="33" t="s">
        <v>42</v>
      </c>
      <c r="F1194" s="18" t="s">
        <v>62</v>
      </c>
      <c r="G1194" s="18" t="s">
        <v>695</v>
      </c>
      <c r="H1194" s="34" t="s">
        <v>85</v>
      </c>
      <c r="I1194" s="18" t="s">
        <v>104</v>
      </c>
      <c r="J1194" s="31" t="s">
        <v>105</v>
      </c>
      <c r="K1194" s="31"/>
      <c r="L1194" s="4"/>
      <c r="M1194" s="4"/>
      <c r="N1194" s="13" t="s">
        <v>29</v>
      </c>
      <c r="O1194" s="35" t="str">
        <f>IF(D1194="","",IF(COUNTIF(离职清单!C:C,D1194)&gt;0,"已离职","在职"))</f>
        <v>在职</v>
      </c>
      <c r="P1194" s="35" t="str">
        <f>IF(AND(O1194="在职",J1194="是"),COUNTIF(O$2:O1194,"在职"),"")</f>
        <v/>
      </c>
    </row>
    <row r="1195" customFormat="1" ht="18" spans="1:16">
      <c r="A1195" s="14">
        <f t="shared" si="23"/>
        <v>1194</v>
      </c>
      <c r="B1195" s="31">
        <v>46178</v>
      </c>
      <c r="C1195" s="32" t="s">
        <v>694</v>
      </c>
      <c r="D1195" s="120" t="s">
        <v>486</v>
      </c>
      <c r="E1195" s="33" t="s">
        <v>42</v>
      </c>
      <c r="F1195" s="18" t="s">
        <v>64</v>
      </c>
      <c r="G1195" s="18" t="s">
        <v>695</v>
      </c>
      <c r="H1195" s="34" t="s">
        <v>85</v>
      </c>
      <c r="I1195" s="18" t="s">
        <v>104</v>
      </c>
      <c r="J1195" s="31" t="s">
        <v>105</v>
      </c>
      <c r="K1195" s="31"/>
      <c r="L1195" s="4"/>
      <c r="M1195" s="4"/>
      <c r="N1195" s="13" t="s">
        <v>29</v>
      </c>
      <c r="O1195" s="35" t="str">
        <f>IF(D1195="","",IF(COUNTIF(离职清单!C:C,D1195)&gt;0,"已离职","在职"))</f>
        <v>在职</v>
      </c>
      <c r="P1195" s="35" t="str">
        <f>IF(AND(O1195="在职",J1195="是"),COUNTIF(O$2:O1195,"在职"),"")</f>
        <v/>
      </c>
    </row>
    <row r="1196" customFormat="1" ht="18" spans="1:16">
      <c r="A1196" s="10">
        <f t="shared" ref="A1196:A1259" si="24">IF(B1196&lt;&gt;"",ROW()-1,"")</f>
        <v>1195</v>
      </c>
      <c r="B1196" s="31">
        <v>46178</v>
      </c>
      <c r="C1196" s="32" t="s">
        <v>696</v>
      </c>
      <c r="D1196" s="120" t="s">
        <v>488</v>
      </c>
      <c r="E1196" s="33" t="s">
        <v>42</v>
      </c>
      <c r="F1196" s="18" t="s">
        <v>64</v>
      </c>
      <c r="G1196" s="18" t="s">
        <v>695</v>
      </c>
      <c r="H1196" s="34" t="s">
        <v>85</v>
      </c>
      <c r="I1196" s="18" t="s">
        <v>104</v>
      </c>
      <c r="J1196" s="31" t="s">
        <v>105</v>
      </c>
      <c r="K1196" s="31"/>
      <c r="L1196" s="4"/>
      <c r="M1196" s="4"/>
      <c r="N1196" s="13" t="s">
        <v>29</v>
      </c>
      <c r="O1196" s="35" t="str">
        <f>IF(D1196="","",IF(COUNTIF(离职清单!C:C,D1196)&gt;0,"已离职","在职"))</f>
        <v>在职</v>
      </c>
      <c r="P1196" s="35" t="str">
        <f>IF(AND(O1196="在职",J1196="是"),COUNTIF(O$2:O1196,"在职"),"")</f>
        <v/>
      </c>
    </row>
    <row r="1197" customFormat="1" ht="18" spans="1:16">
      <c r="A1197" s="14">
        <f t="shared" si="24"/>
        <v>1196</v>
      </c>
      <c r="B1197" s="31">
        <v>46178</v>
      </c>
      <c r="C1197" s="32" t="s">
        <v>697</v>
      </c>
      <c r="D1197" s="120" t="s">
        <v>490</v>
      </c>
      <c r="E1197" s="33" t="s">
        <v>42</v>
      </c>
      <c r="F1197" s="18" t="s">
        <v>64</v>
      </c>
      <c r="G1197" s="18" t="s">
        <v>695</v>
      </c>
      <c r="H1197" s="34" t="s">
        <v>85</v>
      </c>
      <c r="I1197" s="18" t="s">
        <v>104</v>
      </c>
      <c r="J1197" s="31" t="s">
        <v>105</v>
      </c>
      <c r="K1197" s="31"/>
      <c r="L1197" s="4"/>
      <c r="M1197" s="4"/>
      <c r="N1197" s="13" t="s">
        <v>29</v>
      </c>
      <c r="O1197" s="35" t="str">
        <f>IF(D1197="","",IF(COUNTIF(离职清单!C:C,D1197)&gt;0,"已离职","在职"))</f>
        <v>在职</v>
      </c>
      <c r="P1197" s="35" t="str">
        <f>IF(AND(O1197="在职",J1197="是"),COUNTIF(O$2:O1197,"在职"),"")</f>
        <v/>
      </c>
    </row>
    <row r="1198" customFormat="1" ht="18" spans="1:16">
      <c r="A1198" s="10">
        <f t="shared" si="24"/>
        <v>1197</v>
      </c>
      <c r="B1198" s="31">
        <v>46178</v>
      </c>
      <c r="C1198" s="32" t="s">
        <v>698</v>
      </c>
      <c r="D1198" s="120" t="s">
        <v>492</v>
      </c>
      <c r="E1198" s="33" t="s">
        <v>42</v>
      </c>
      <c r="F1198" s="18" t="s">
        <v>64</v>
      </c>
      <c r="G1198" s="18" t="s">
        <v>695</v>
      </c>
      <c r="H1198" s="34" t="s">
        <v>85</v>
      </c>
      <c r="I1198" s="18" t="s">
        <v>104</v>
      </c>
      <c r="J1198" s="31" t="s">
        <v>105</v>
      </c>
      <c r="K1198" s="31"/>
      <c r="L1198" s="4"/>
      <c r="M1198" s="4"/>
      <c r="N1198" s="13" t="s">
        <v>29</v>
      </c>
      <c r="O1198" s="35" t="str">
        <f>IF(D1198="","",IF(COUNTIF(离职清单!C:C,D1198)&gt;0,"已离职","在职"))</f>
        <v>在职</v>
      </c>
      <c r="P1198" s="35" t="str">
        <f>IF(AND(O1198="在职",J1198="是"),COUNTIF(O$2:O1198,"在职"),"")</f>
        <v/>
      </c>
    </row>
    <row r="1199" customFormat="1" ht="18" spans="1:16">
      <c r="A1199" s="14">
        <f t="shared" si="24"/>
        <v>1198</v>
      </c>
      <c r="B1199" s="31">
        <v>46178</v>
      </c>
      <c r="C1199" s="32" t="s">
        <v>1364</v>
      </c>
      <c r="D1199" s="120" t="s">
        <v>477</v>
      </c>
      <c r="E1199" s="33" t="s">
        <v>42</v>
      </c>
      <c r="F1199" s="18" t="s">
        <v>63</v>
      </c>
      <c r="G1199" s="18" t="s">
        <v>695</v>
      </c>
      <c r="H1199" s="34" t="s">
        <v>85</v>
      </c>
      <c r="I1199" s="18" t="s">
        <v>104</v>
      </c>
      <c r="J1199" s="31" t="s">
        <v>105</v>
      </c>
      <c r="K1199" s="31"/>
      <c r="L1199" s="4"/>
      <c r="M1199" s="4"/>
      <c r="N1199" s="13" t="s">
        <v>29</v>
      </c>
      <c r="O1199" s="35" t="str">
        <f>IF(D1199="","",IF(COUNTIF(离职清单!C:C,D1199)&gt;0,"已离职","在职"))</f>
        <v>在职</v>
      </c>
      <c r="P1199" s="35" t="str">
        <f>IF(AND(O1199="在职",J1199="是"),COUNTIF(O$2:O1199,"在职"),"")</f>
        <v/>
      </c>
    </row>
    <row r="1200" customFormat="1" ht="18" spans="1:16">
      <c r="A1200" s="10">
        <f t="shared" si="24"/>
        <v>1199</v>
      </c>
      <c r="B1200" s="31">
        <v>46178</v>
      </c>
      <c r="C1200" s="32" t="s">
        <v>699</v>
      </c>
      <c r="D1200" s="120" t="s">
        <v>478</v>
      </c>
      <c r="E1200" s="33" t="s">
        <v>42</v>
      </c>
      <c r="F1200" s="18" t="s">
        <v>64</v>
      </c>
      <c r="G1200" s="18" t="s">
        <v>695</v>
      </c>
      <c r="H1200" s="34" t="s">
        <v>85</v>
      </c>
      <c r="I1200" s="18" t="s">
        <v>104</v>
      </c>
      <c r="J1200" s="31" t="s">
        <v>105</v>
      </c>
      <c r="K1200" s="31"/>
      <c r="L1200" s="4"/>
      <c r="M1200" s="4"/>
      <c r="N1200" s="13" t="s">
        <v>29</v>
      </c>
      <c r="O1200" s="35" t="str">
        <f>IF(D1200="","",IF(COUNTIF(离职清单!C:C,D1200)&gt;0,"已离职","在职"))</f>
        <v>在职</v>
      </c>
      <c r="P1200" s="35" t="str">
        <f>IF(AND(O1200="在职",J1200="是"),COUNTIF(O$2:O1200,"在职"),"")</f>
        <v/>
      </c>
    </row>
    <row r="1201" customFormat="1" ht="18" spans="1:16">
      <c r="A1201" s="14">
        <f t="shared" si="24"/>
        <v>1200</v>
      </c>
      <c r="B1201" s="31">
        <v>46178</v>
      </c>
      <c r="C1201" s="32" t="s">
        <v>700</v>
      </c>
      <c r="D1201" s="120" t="s">
        <v>480</v>
      </c>
      <c r="E1201" s="33" t="s">
        <v>42</v>
      </c>
      <c r="F1201" s="18" t="s">
        <v>64</v>
      </c>
      <c r="G1201" s="18" t="s">
        <v>695</v>
      </c>
      <c r="H1201" s="34" t="s">
        <v>85</v>
      </c>
      <c r="I1201" s="18" t="s">
        <v>104</v>
      </c>
      <c r="J1201" s="31" t="s">
        <v>105</v>
      </c>
      <c r="K1201" s="31"/>
      <c r="L1201" s="4"/>
      <c r="M1201" s="4"/>
      <c r="N1201" s="13" t="s">
        <v>29</v>
      </c>
      <c r="O1201" s="35" t="str">
        <f>IF(D1201="","",IF(COUNTIF(离职清单!C:C,D1201)&gt;0,"已离职","在职"))</f>
        <v>在职</v>
      </c>
      <c r="P1201" s="35" t="str">
        <f>IF(AND(O1201="在职",J1201="是"),COUNTIF(O$2:O1201,"在职"),"")</f>
        <v/>
      </c>
    </row>
    <row r="1202" customFormat="1" ht="18" spans="1:16">
      <c r="A1202" s="10">
        <f t="shared" si="24"/>
        <v>1201</v>
      </c>
      <c r="B1202" s="31">
        <v>46178</v>
      </c>
      <c r="C1202" s="32" t="s">
        <v>701</v>
      </c>
      <c r="D1202" s="120" t="s">
        <v>482</v>
      </c>
      <c r="E1202" s="33" t="s">
        <v>42</v>
      </c>
      <c r="F1202" s="18" t="s">
        <v>64</v>
      </c>
      <c r="G1202" s="18" t="s">
        <v>695</v>
      </c>
      <c r="H1202" s="34" t="s">
        <v>85</v>
      </c>
      <c r="I1202" s="18" t="s">
        <v>104</v>
      </c>
      <c r="J1202" s="31" t="s">
        <v>105</v>
      </c>
      <c r="K1202" s="31"/>
      <c r="L1202" s="4"/>
      <c r="M1202" s="4"/>
      <c r="N1202" s="13" t="s">
        <v>29</v>
      </c>
      <c r="O1202" s="35" t="str">
        <f>IF(D1202="","",IF(COUNTIF(离职清单!C:C,D1202)&gt;0,"已离职","在职"))</f>
        <v>在职</v>
      </c>
      <c r="P1202" s="35" t="str">
        <f>IF(AND(O1202="在职",J1202="是"),COUNTIF(O$2:O1202,"在职"),"")</f>
        <v/>
      </c>
    </row>
    <row r="1203" customFormat="1" ht="18" spans="1:16">
      <c r="A1203" s="14">
        <f t="shared" si="24"/>
        <v>1202</v>
      </c>
      <c r="B1203" s="31">
        <v>46178</v>
      </c>
      <c r="C1203" s="32" t="s">
        <v>1365</v>
      </c>
      <c r="D1203" s="120" t="s">
        <v>484</v>
      </c>
      <c r="E1203" s="33" t="s">
        <v>42</v>
      </c>
      <c r="F1203" s="18" t="s">
        <v>64</v>
      </c>
      <c r="G1203" s="18" t="s">
        <v>695</v>
      </c>
      <c r="H1203" s="34" t="s">
        <v>85</v>
      </c>
      <c r="I1203" s="18" t="s">
        <v>104</v>
      </c>
      <c r="J1203" s="31" t="s">
        <v>105</v>
      </c>
      <c r="K1203" s="31"/>
      <c r="L1203" s="4"/>
      <c r="M1203" s="4"/>
      <c r="N1203" s="13" t="s">
        <v>29</v>
      </c>
      <c r="O1203" s="35" t="str">
        <f>IF(D1203="","",IF(COUNTIF(离职清单!C:C,D1203)&gt;0,"已离职","在职"))</f>
        <v>在职</v>
      </c>
      <c r="P1203" s="35" t="str">
        <f>IF(AND(O1203="在职",J1203="是"),COUNTIF(O$2:O1203,"在职"),"")</f>
        <v/>
      </c>
    </row>
    <row r="1204" customFormat="1" ht="18" spans="1:16">
      <c r="A1204" s="10">
        <f t="shared" si="24"/>
        <v>1203</v>
      </c>
      <c r="B1204" s="31">
        <v>46178</v>
      </c>
      <c r="C1204" s="32" t="s">
        <v>1366</v>
      </c>
      <c r="D1204" s="120" t="s">
        <v>486</v>
      </c>
      <c r="E1204" s="33" t="s">
        <v>42</v>
      </c>
      <c r="F1204" s="18" t="s">
        <v>64</v>
      </c>
      <c r="G1204" s="18" t="s">
        <v>695</v>
      </c>
      <c r="H1204" s="34" t="s">
        <v>85</v>
      </c>
      <c r="I1204" s="18" t="s">
        <v>104</v>
      </c>
      <c r="J1204" s="31" t="s">
        <v>105</v>
      </c>
      <c r="K1204" s="31"/>
      <c r="L1204" s="4"/>
      <c r="M1204" s="4"/>
      <c r="N1204" s="13" t="s">
        <v>29</v>
      </c>
      <c r="O1204" s="35" t="str">
        <f>IF(D1204="","",IF(COUNTIF(离职清单!C:C,D1204)&gt;0,"已离职","在职"))</f>
        <v>在职</v>
      </c>
      <c r="P1204" s="35" t="str">
        <f>IF(AND(O1204="在职",J1204="是"),COUNTIF(O$2:O1204,"在职"),"")</f>
        <v/>
      </c>
    </row>
    <row r="1205" customFormat="1" ht="18" spans="1:16">
      <c r="A1205" s="14">
        <f t="shared" si="24"/>
        <v>1204</v>
      </c>
      <c r="B1205" s="31">
        <v>46178</v>
      </c>
      <c r="C1205" s="32" t="s">
        <v>1367</v>
      </c>
      <c r="D1205" s="120" t="s">
        <v>488</v>
      </c>
      <c r="E1205" s="33" t="s">
        <v>42</v>
      </c>
      <c r="F1205" s="18" t="s">
        <v>64</v>
      </c>
      <c r="G1205" s="18" t="s">
        <v>695</v>
      </c>
      <c r="H1205" s="34" t="s">
        <v>85</v>
      </c>
      <c r="I1205" s="18" t="s">
        <v>104</v>
      </c>
      <c r="J1205" s="31" t="s">
        <v>105</v>
      </c>
      <c r="K1205" s="31"/>
      <c r="L1205" s="4"/>
      <c r="M1205" s="4"/>
      <c r="N1205" s="13" t="s">
        <v>29</v>
      </c>
      <c r="O1205" s="35" t="str">
        <f>IF(D1205="","",IF(COUNTIF(离职清单!C:C,D1205)&gt;0,"已离职","在职"))</f>
        <v>在职</v>
      </c>
      <c r="P1205" s="35" t="str">
        <f>IF(AND(O1205="在职",J1205="是"),COUNTIF(O$2:O1205,"在职"),"")</f>
        <v/>
      </c>
    </row>
    <row r="1206" customFormat="1" ht="18" spans="1:16">
      <c r="A1206" s="10">
        <f t="shared" si="24"/>
        <v>1205</v>
      </c>
      <c r="B1206" s="31">
        <v>46178</v>
      </c>
      <c r="C1206" s="32" t="s">
        <v>1368</v>
      </c>
      <c r="D1206" s="120" t="s">
        <v>490</v>
      </c>
      <c r="E1206" s="33" t="s">
        <v>42</v>
      </c>
      <c r="F1206" s="18" t="s">
        <v>64</v>
      </c>
      <c r="G1206" s="18" t="s">
        <v>695</v>
      </c>
      <c r="H1206" s="34" t="s">
        <v>85</v>
      </c>
      <c r="I1206" s="18" t="s">
        <v>104</v>
      </c>
      <c r="J1206" s="31" t="s">
        <v>105</v>
      </c>
      <c r="K1206" s="31"/>
      <c r="L1206" s="4"/>
      <c r="M1206" s="4"/>
      <c r="N1206" s="13" t="s">
        <v>29</v>
      </c>
      <c r="O1206" s="35" t="str">
        <f>IF(D1206="","",IF(COUNTIF(离职清单!C:C,D1206)&gt;0,"已离职","在职"))</f>
        <v>在职</v>
      </c>
      <c r="P1206" s="35" t="str">
        <f>IF(AND(O1206="在职",J1206="是"),COUNTIF(O$2:O1206,"在职"),"")</f>
        <v/>
      </c>
    </row>
    <row r="1207" customFormat="1" ht="18" spans="1:16">
      <c r="A1207" s="14">
        <f t="shared" si="24"/>
        <v>1206</v>
      </c>
      <c r="B1207" s="31">
        <v>46178</v>
      </c>
      <c r="C1207" s="32" t="s">
        <v>703</v>
      </c>
      <c r="D1207" s="120" t="s">
        <v>492</v>
      </c>
      <c r="E1207" s="33" t="s">
        <v>42</v>
      </c>
      <c r="F1207" s="18" t="s">
        <v>64</v>
      </c>
      <c r="G1207" s="18" t="s">
        <v>695</v>
      </c>
      <c r="H1207" s="34" t="s">
        <v>85</v>
      </c>
      <c r="I1207" s="18" t="s">
        <v>104</v>
      </c>
      <c r="J1207" s="31" t="s">
        <v>105</v>
      </c>
      <c r="K1207" s="31"/>
      <c r="L1207" s="4"/>
      <c r="M1207" s="4"/>
      <c r="N1207" s="13" t="s">
        <v>29</v>
      </c>
      <c r="O1207" s="35" t="str">
        <f>IF(D1207="","",IF(COUNTIF(离职清单!C:C,D1207)&gt;0,"已离职","在职"))</f>
        <v>在职</v>
      </c>
      <c r="P1207" s="35" t="str">
        <f>IF(AND(O1207="在职",J1207="是"),COUNTIF(O$2:O1207,"在职"),"")</f>
        <v/>
      </c>
    </row>
    <row r="1208" customFormat="1" ht="18" spans="1:16">
      <c r="A1208" s="10">
        <f t="shared" si="24"/>
        <v>1207</v>
      </c>
      <c r="B1208" s="31">
        <v>46178</v>
      </c>
      <c r="C1208" s="32" t="s">
        <v>704</v>
      </c>
      <c r="D1208" s="120" t="s">
        <v>477</v>
      </c>
      <c r="E1208" s="33" t="s">
        <v>42</v>
      </c>
      <c r="F1208" s="18" t="s">
        <v>64</v>
      </c>
      <c r="G1208" s="18" t="s">
        <v>695</v>
      </c>
      <c r="H1208" s="34" t="s">
        <v>85</v>
      </c>
      <c r="I1208" s="18" t="s">
        <v>104</v>
      </c>
      <c r="J1208" s="31" t="s">
        <v>105</v>
      </c>
      <c r="K1208" s="31"/>
      <c r="L1208" s="4"/>
      <c r="M1208" s="4"/>
      <c r="N1208" s="13" t="s">
        <v>29</v>
      </c>
      <c r="O1208" s="35" t="str">
        <f>IF(D1208="","",IF(COUNTIF(离职清单!C:C,D1208)&gt;0,"已离职","在职"))</f>
        <v>在职</v>
      </c>
      <c r="P1208" s="35" t="str">
        <f>IF(AND(O1208="在职",J1208="是"),COUNTIF(O$2:O1208,"在职"),"")</f>
        <v/>
      </c>
    </row>
    <row r="1209" customFormat="1" ht="18" spans="1:16">
      <c r="A1209" s="14">
        <f t="shared" si="24"/>
        <v>1208</v>
      </c>
      <c r="B1209" s="31">
        <v>46178</v>
      </c>
      <c r="C1209" s="32" t="s">
        <v>705</v>
      </c>
      <c r="D1209" s="120" t="s">
        <v>478</v>
      </c>
      <c r="E1209" s="33" t="s">
        <v>42</v>
      </c>
      <c r="F1209" s="18" t="s">
        <v>64</v>
      </c>
      <c r="G1209" s="18" t="s">
        <v>695</v>
      </c>
      <c r="H1209" s="34" t="s">
        <v>85</v>
      </c>
      <c r="I1209" s="18" t="s">
        <v>104</v>
      </c>
      <c r="J1209" s="31" t="s">
        <v>105</v>
      </c>
      <c r="K1209" s="31"/>
      <c r="L1209" s="4"/>
      <c r="M1209" s="4"/>
      <c r="N1209" s="13" t="s">
        <v>29</v>
      </c>
      <c r="O1209" s="35" t="str">
        <f>IF(D1209="","",IF(COUNTIF(离职清单!C:C,D1209)&gt;0,"已离职","在职"))</f>
        <v>在职</v>
      </c>
      <c r="P1209" s="35" t="str">
        <f>IF(AND(O1209="在职",J1209="是"),COUNTIF(O$2:O1209,"在职"),"")</f>
        <v/>
      </c>
    </row>
    <row r="1210" customFormat="1" ht="18" spans="1:16">
      <c r="A1210" s="10">
        <f t="shared" si="24"/>
        <v>1209</v>
      </c>
      <c r="B1210" s="31">
        <v>46178</v>
      </c>
      <c r="C1210" s="32" t="s">
        <v>702</v>
      </c>
      <c r="D1210" s="120" t="s">
        <v>480</v>
      </c>
      <c r="E1210" s="33" t="s">
        <v>42</v>
      </c>
      <c r="F1210" s="18" t="s">
        <v>64</v>
      </c>
      <c r="G1210" s="18" t="s">
        <v>695</v>
      </c>
      <c r="H1210" s="34" t="s">
        <v>85</v>
      </c>
      <c r="I1210" s="18" t="s">
        <v>104</v>
      </c>
      <c r="J1210" s="31" t="s">
        <v>105</v>
      </c>
      <c r="K1210" s="31"/>
      <c r="L1210" s="4"/>
      <c r="M1210" s="4"/>
      <c r="N1210" s="13" t="s">
        <v>29</v>
      </c>
      <c r="O1210" s="35" t="str">
        <f>IF(D1210="","",IF(COUNTIF(离职清单!C:C,D1210)&gt;0,"已离职","在职"))</f>
        <v>在职</v>
      </c>
      <c r="P1210" s="35" t="str">
        <f>IF(AND(O1210="在职",J1210="是"),COUNTIF(O$2:O1210,"在职"),"")</f>
        <v/>
      </c>
    </row>
    <row r="1211" customFormat="1" ht="18" spans="1:16">
      <c r="A1211" s="14">
        <f t="shared" si="24"/>
        <v>1210</v>
      </c>
      <c r="B1211" s="31">
        <v>46178</v>
      </c>
      <c r="C1211" s="32" t="s">
        <v>1369</v>
      </c>
      <c r="D1211" s="120" t="s">
        <v>482</v>
      </c>
      <c r="E1211" s="33" t="s">
        <v>42</v>
      </c>
      <c r="F1211" s="18" t="s">
        <v>62</v>
      </c>
      <c r="G1211" s="18" t="s">
        <v>631</v>
      </c>
      <c r="H1211" s="34" t="s">
        <v>85</v>
      </c>
      <c r="I1211" s="18" t="s">
        <v>104</v>
      </c>
      <c r="J1211" s="31" t="s">
        <v>105</v>
      </c>
      <c r="K1211" s="31">
        <v>46179</v>
      </c>
      <c r="L1211" s="4"/>
      <c r="M1211" s="4"/>
      <c r="N1211" s="13" t="s">
        <v>29</v>
      </c>
      <c r="O1211" s="35" t="str">
        <f>IF(D1211="","",IF(COUNTIF(离职清单!C:C,D1211)&gt;0,"已离职","在职"))</f>
        <v>在职</v>
      </c>
      <c r="P1211" s="35" t="str">
        <f>IF(AND(O1211="在职",J1211="是"),COUNTIF(O$2:O1211,"在职"),"")</f>
        <v/>
      </c>
    </row>
    <row r="1212" customFormat="1" ht="18" spans="1:16">
      <c r="A1212" s="10">
        <f t="shared" si="24"/>
        <v>1211</v>
      </c>
      <c r="B1212" s="31">
        <v>46178</v>
      </c>
      <c r="C1212" s="32" t="s">
        <v>630</v>
      </c>
      <c r="D1212" s="120" t="s">
        <v>484</v>
      </c>
      <c r="E1212" s="33" t="s">
        <v>42</v>
      </c>
      <c r="F1212" s="18" t="s">
        <v>64</v>
      </c>
      <c r="G1212" s="18" t="s">
        <v>631</v>
      </c>
      <c r="H1212" s="34" t="s">
        <v>85</v>
      </c>
      <c r="I1212" s="18" t="s">
        <v>104</v>
      </c>
      <c r="J1212" s="31" t="s">
        <v>105</v>
      </c>
      <c r="K1212" s="31"/>
      <c r="L1212" s="4"/>
      <c r="M1212" s="4"/>
      <c r="N1212" s="13" t="s">
        <v>29</v>
      </c>
      <c r="O1212" s="35" t="str">
        <f>IF(D1212="","",IF(COUNTIF(离职清单!C:C,D1212)&gt;0,"已离职","在职"))</f>
        <v>在职</v>
      </c>
      <c r="P1212" s="35" t="str">
        <f>IF(AND(O1212="在职",J1212="是"),COUNTIF(O$2:O1212,"在职"),"")</f>
        <v/>
      </c>
    </row>
    <row r="1213" customFormat="1" ht="18" spans="1:16">
      <c r="A1213" s="14">
        <f t="shared" si="24"/>
        <v>1212</v>
      </c>
      <c r="B1213" s="31">
        <v>46178</v>
      </c>
      <c r="C1213" s="32" t="s">
        <v>706</v>
      </c>
      <c r="D1213" s="120" t="s">
        <v>486</v>
      </c>
      <c r="E1213" s="33" t="s">
        <v>42</v>
      </c>
      <c r="F1213" s="18" t="s">
        <v>64</v>
      </c>
      <c r="G1213" s="18" t="s">
        <v>631</v>
      </c>
      <c r="H1213" s="34" t="s">
        <v>85</v>
      </c>
      <c r="I1213" s="18" t="s">
        <v>104</v>
      </c>
      <c r="J1213" s="31" t="s">
        <v>105</v>
      </c>
      <c r="K1213" s="31"/>
      <c r="L1213" s="4"/>
      <c r="M1213" s="4"/>
      <c r="N1213" s="13" t="s">
        <v>29</v>
      </c>
      <c r="O1213" s="35" t="str">
        <f>IF(D1213="","",IF(COUNTIF(离职清单!C:C,D1213)&gt;0,"已离职","在职"))</f>
        <v>在职</v>
      </c>
      <c r="P1213" s="35" t="str">
        <f>IF(AND(O1213="在职",J1213="是"),COUNTIF(O$2:O1213,"在职"),"")</f>
        <v/>
      </c>
    </row>
    <row r="1214" customFormat="1" ht="18" spans="1:16">
      <c r="A1214" s="10">
        <f t="shared" si="24"/>
        <v>1213</v>
      </c>
      <c r="B1214" s="31">
        <v>46178</v>
      </c>
      <c r="C1214" s="32" t="s">
        <v>1370</v>
      </c>
      <c r="D1214" s="120" t="s">
        <v>488</v>
      </c>
      <c r="E1214" s="33" t="s">
        <v>42</v>
      </c>
      <c r="F1214" s="18" t="s">
        <v>62</v>
      </c>
      <c r="G1214" s="18" t="s">
        <v>129</v>
      </c>
      <c r="H1214" s="34" t="s">
        <v>85</v>
      </c>
      <c r="I1214" s="18" t="s">
        <v>104</v>
      </c>
      <c r="J1214" s="31" t="s">
        <v>114</v>
      </c>
      <c r="K1214" s="31">
        <v>46182</v>
      </c>
      <c r="L1214" s="4"/>
      <c r="M1214" s="4"/>
      <c r="N1214" s="13" t="s">
        <v>29</v>
      </c>
      <c r="O1214" s="35" t="str">
        <f>IF(D1214="","",IF(COUNTIF(离职清单!C:C,D1214)&gt;0,"已离职","在职"))</f>
        <v>在职</v>
      </c>
      <c r="P1214" s="35">
        <f>IF(AND(O1214="在职",J1214="是"),COUNTIF(O$2:O1214,"在职"),"")</f>
        <v>1207</v>
      </c>
    </row>
    <row r="1215" customFormat="1" ht="18" spans="1:16">
      <c r="A1215" s="14">
        <f t="shared" si="24"/>
        <v>1214</v>
      </c>
      <c r="B1215" s="31">
        <v>46178</v>
      </c>
      <c r="C1215" s="32" t="s">
        <v>1371</v>
      </c>
      <c r="D1215" s="120" t="s">
        <v>490</v>
      </c>
      <c r="E1215" s="33" t="s">
        <v>42</v>
      </c>
      <c r="F1215" s="18" t="s">
        <v>64</v>
      </c>
      <c r="G1215" s="18" t="s">
        <v>129</v>
      </c>
      <c r="H1215" s="34" t="s">
        <v>85</v>
      </c>
      <c r="I1215" s="18" t="s">
        <v>104</v>
      </c>
      <c r="J1215" s="31" t="s">
        <v>105</v>
      </c>
      <c r="K1215" s="31"/>
      <c r="L1215" s="4"/>
      <c r="M1215" s="4"/>
      <c r="N1215" s="13" t="s">
        <v>29</v>
      </c>
      <c r="O1215" s="35" t="str">
        <f>IF(D1215="","",IF(COUNTIF(离职清单!C:C,D1215)&gt;0,"已离职","在职"))</f>
        <v>在职</v>
      </c>
      <c r="P1215" s="35" t="str">
        <f>IF(AND(O1215="在职",J1215="是"),COUNTIF(O$2:O1215,"在职"),"")</f>
        <v/>
      </c>
    </row>
    <row r="1216" customFormat="1" ht="18" spans="1:16">
      <c r="A1216" s="10">
        <f t="shared" si="24"/>
        <v>1215</v>
      </c>
      <c r="B1216" s="31">
        <v>46178</v>
      </c>
      <c r="C1216" s="32" t="s">
        <v>1372</v>
      </c>
      <c r="D1216" s="120" t="s">
        <v>492</v>
      </c>
      <c r="E1216" s="33" t="s">
        <v>42</v>
      </c>
      <c r="F1216" s="18" t="s">
        <v>63</v>
      </c>
      <c r="G1216" s="18" t="s">
        <v>176</v>
      </c>
      <c r="H1216" s="34" t="s">
        <v>85</v>
      </c>
      <c r="I1216" s="18" t="s">
        <v>104</v>
      </c>
      <c r="J1216" s="31" t="s">
        <v>105</v>
      </c>
      <c r="K1216" s="31"/>
      <c r="L1216" s="4"/>
      <c r="M1216" s="4"/>
      <c r="N1216" s="13" t="s">
        <v>29</v>
      </c>
      <c r="O1216" s="35" t="str">
        <f>IF(D1216="","",IF(COUNTIF(离职清单!C:C,D1216)&gt;0,"已离职","在职"))</f>
        <v>在职</v>
      </c>
      <c r="P1216" s="35" t="str">
        <f>IF(AND(O1216="在职",J1216="是"),COUNTIF(O$2:O1216,"在职"),"")</f>
        <v/>
      </c>
    </row>
    <row r="1217" customFormat="1" ht="18" spans="1:16">
      <c r="A1217" s="14">
        <f t="shared" si="24"/>
        <v>1216</v>
      </c>
      <c r="B1217" s="31">
        <v>46178</v>
      </c>
      <c r="C1217" s="32" t="s">
        <v>1373</v>
      </c>
      <c r="D1217" s="120" t="s">
        <v>477</v>
      </c>
      <c r="E1217" s="33" t="s">
        <v>42</v>
      </c>
      <c r="F1217" s="18" t="s">
        <v>64</v>
      </c>
      <c r="G1217" s="18" t="s">
        <v>176</v>
      </c>
      <c r="H1217" s="34" t="s">
        <v>85</v>
      </c>
      <c r="I1217" s="18" t="s">
        <v>104</v>
      </c>
      <c r="J1217" s="31" t="s">
        <v>105</v>
      </c>
      <c r="K1217" s="31"/>
      <c r="L1217" s="4"/>
      <c r="M1217" s="4"/>
      <c r="N1217" s="13" t="s">
        <v>29</v>
      </c>
      <c r="O1217" s="35" t="str">
        <f>IF(D1217="","",IF(COUNTIF(离职清单!C:C,D1217)&gt;0,"已离职","在职"))</f>
        <v>在职</v>
      </c>
      <c r="P1217" s="35" t="str">
        <f>IF(AND(O1217="在职",J1217="是"),COUNTIF(O$2:O1217,"在职"),"")</f>
        <v/>
      </c>
    </row>
    <row r="1218" customFormat="1" ht="18" spans="1:16">
      <c r="A1218" s="10">
        <f t="shared" si="24"/>
        <v>1217</v>
      </c>
      <c r="B1218" s="31">
        <v>46178</v>
      </c>
      <c r="C1218" s="32" t="s">
        <v>1374</v>
      </c>
      <c r="D1218" s="120" t="s">
        <v>478</v>
      </c>
      <c r="E1218" s="33" t="s">
        <v>42</v>
      </c>
      <c r="F1218" s="18" t="s">
        <v>64</v>
      </c>
      <c r="G1218" s="18" t="s">
        <v>176</v>
      </c>
      <c r="H1218" s="34" t="s">
        <v>85</v>
      </c>
      <c r="I1218" s="18" t="s">
        <v>104</v>
      </c>
      <c r="J1218" s="31" t="s">
        <v>105</v>
      </c>
      <c r="K1218" s="31"/>
      <c r="L1218" s="4"/>
      <c r="M1218" s="4"/>
      <c r="N1218" s="13" t="s">
        <v>29</v>
      </c>
      <c r="O1218" s="35" t="str">
        <f>IF(D1218="","",IF(COUNTIF(离职清单!C:C,D1218)&gt;0,"已离职","在职"))</f>
        <v>在职</v>
      </c>
      <c r="P1218" s="35" t="str">
        <f>IF(AND(O1218="在职",J1218="是"),COUNTIF(O$2:O1218,"在职"),"")</f>
        <v/>
      </c>
    </row>
    <row r="1219" customFormat="1" ht="18" spans="1:16">
      <c r="A1219" s="14">
        <f t="shared" si="24"/>
        <v>1218</v>
      </c>
      <c r="B1219" s="31">
        <v>46178</v>
      </c>
      <c r="C1219" s="32" t="s">
        <v>1375</v>
      </c>
      <c r="D1219" s="120" t="s">
        <v>480</v>
      </c>
      <c r="E1219" s="33" t="s">
        <v>42</v>
      </c>
      <c r="F1219" s="18" t="s">
        <v>63</v>
      </c>
      <c r="G1219" s="18" t="s">
        <v>176</v>
      </c>
      <c r="H1219" s="34" t="s">
        <v>85</v>
      </c>
      <c r="I1219" s="18" t="s">
        <v>104</v>
      </c>
      <c r="J1219" s="31" t="s">
        <v>114</v>
      </c>
      <c r="K1219" s="31">
        <v>46180</v>
      </c>
      <c r="L1219" s="4"/>
      <c r="M1219" s="4"/>
      <c r="N1219" s="13" t="s">
        <v>29</v>
      </c>
      <c r="O1219" s="35" t="str">
        <f>IF(D1219="","",IF(COUNTIF(离职清单!C:C,D1219)&gt;0,"已离职","在职"))</f>
        <v>在职</v>
      </c>
      <c r="P1219" s="35">
        <f>IF(AND(O1219="在职",J1219="是"),COUNTIF(O$2:O1219,"在职"),"")</f>
        <v>1212</v>
      </c>
    </row>
    <row r="1220" customFormat="1" ht="18" spans="1:16">
      <c r="A1220" s="10">
        <f t="shared" si="24"/>
        <v>1219</v>
      </c>
      <c r="B1220" s="31">
        <v>46178</v>
      </c>
      <c r="C1220" s="32" t="s">
        <v>1376</v>
      </c>
      <c r="D1220" s="120" t="s">
        <v>482</v>
      </c>
      <c r="E1220" s="33" t="s">
        <v>42</v>
      </c>
      <c r="F1220" s="18" t="s">
        <v>63</v>
      </c>
      <c r="G1220" s="18" t="s">
        <v>176</v>
      </c>
      <c r="H1220" s="34" t="s">
        <v>85</v>
      </c>
      <c r="I1220" s="18" t="s">
        <v>104</v>
      </c>
      <c r="J1220" s="31" t="s">
        <v>114</v>
      </c>
      <c r="K1220" s="31">
        <v>46180</v>
      </c>
      <c r="L1220" s="4"/>
      <c r="M1220" s="4"/>
      <c r="N1220" s="13" t="s">
        <v>29</v>
      </c>
      <c r="O1220" s="35" t="str">
        <f>IF(D1220="","",IF(COUNTIF(离职清单!C:C,D1220)&gt;0,"已离职","在职"))</f>
        <v>在职</v>
      </c>
      <c r="P1220" s="35">
        <f>IF(AND(O1220="在职",J1220="是"),COUNTIF(O$2:O1220,"在职"),"")</f>
        <v>1213</v>
      </c>
    </row>
    <row r="1221" customFormat="1" ht="18" spans="1:16">
      <c r="A1221" s="14">
        <f t="shared" si="24"/>
        <v>1220</v>
      </c>
      <c r="B1221" s="31">
        <v>46178</v>
      </c>
      <c r="C1221" s="32" t="s">
        <v>1377</v>
      </c>
      <c r="D1221" s="120" t="s">
        <v>484</v>
      </c>
      <c r="E1221" s="33" t="s">
        <v>42</v>
      </c>
      <c r="F1221" s="18" t="s">
        <v>63</v>
      </c>
      <c r="G1221" s="18" t="s">
        <v>176</v>
      </c>
      <c r="H1221" s="34" t="s">
        <v>85</v>
      </c>
      <c r="I1221" s="18" t="s">
        <v>104</v>
      </c>
      <c r="J1221" s="31" t="s">
        <v>114</v>
      </c>
      <c r="K1221" s="31">
        <v>46180</v>
      </c>
      <c r="L1221" s="4"/>
      <c r="M1221" s="4"/>
      <c r="N1221" s="13" t="s">
        <v>29</v>
      </c>
      <c r="O1221" s="35" t="str">
        <f>IF(D1221="","",IF(COUNTIF(离职清单!C:C,D1221)&gt;0,"已离职","在职"))</f>
        <v>在职</v>
      </c>
      <c r="P1221" s="35">
        <f>IF(AND(O1221="在职",J1221="是"),COUNTIF(O$2:O1221,"在职"),"")</f>
        <v>1214</v>
      </c>
    </row>
    <row r="1222" customFormat="1" ht="18" spans="1:16">
      <c r="A1222" s="10">
        <f t="shared" si="24"/>
        <v>1221</v>
      </c>
      <c r="B1222" s="31">
        <v>46178</v>
      </c>
      <c r="C1222" s="32" t="s">
        <v>679</v>
      </c>
      <c r="D1222" s="120" t="s">
        <v>486</v>
      </c>
      <c r="E1222" s="33" t="s">
        <v>42</v>
      </c>
      <c r="F1222" s="18" t="s">
        <v>64</v>
      </c>
      <c r="G1222" s="18" t="s">
        <v>176</v>
      </c>
      <c r="H1222" s="34" t="s">
        <v>85</v>
      </c>
      <c r="I1222" s="18" t="s">
        <v>104</v>
      </c>
      <c r="J1222" s="31" t="s">
        <v>114</v>
      </c>
      <c r="K1222" s="31"/>
      <c r="L1222" s="4"/>
      <c r="M1222" s="4"/>
      <c r="N1222" s="13" t="s">
        <v>29</v>
      </c>
      <c r="O1222" s="35" t="str">
        <f>IF(D1222="","",IF(COUNTIF(离职清单!C:C,D1222)&gt;0,"已离职","在职"))</f>
        <v>在职</v>
      </c>
      <c r="P1222" s="35">
        <f>IF(AND(O1222="在职",J1222="是"),COUNTIF(O$2:O1222,"在职"),"")</f>
        <v>1215</v>
      </c>
    </row>
    <row r="1223" customFormat="1" ht="18" spans="1:16">
      <c r="A1223" s="14">
        <f t="shared" si="24"/>
        <v>1222</v>
      </c>
      <c r="B1223" s="31">
        <v>46178</v>
      </c>
      <c r="C1223" s="32" t="s">
        <v>677</v>
      </c>
      <c r="D1223" s="120" t="s">
        <v>488</v>
      </c>
      <c r="E1223" s="33" t="s">
        <v>42</v>
      </c>
      <c r="F1223" s="18" t="s">
        <v>64</v>
      </c>
      <c r="G1223" s="18" t="s">
        <v>148</v>
      </c>
      <c r="H1223" s="34" t="s">
        <v>85</v>
      </c>
      <c r="I1223" s="18" t="s">
        <v>104</v>
      </c>
      <c r="J1223" s="31" t="s">
        <v>114</v>
      </c>
      <c r="K1223" s="31"/>
      <c r="L1223" s="4"/>
      <c r="M1223" s="4"/>
      <c r="N1223" s="13" t="s">
        <v>29</v>
      </c>
      <c r="O1223" s="35" t="str">
        <f>IF(D1223="","",IF(COUNTIF(离职清单!C:C,D1223)&gt;0,"已离职","在职"))</f>
        <v>在职</v>
      </c>
      <c r="P1223" s="35">
        <f>IF(AND(O1223="在职",J1223="是"),COUNTIF(O$2:O1223,"在职"),"")</f>
        <v>1216</v>
      </c>
    </row>
    <row r="1224" customFormat="1" ht="18" spans="1:16">
      <c r="A1224" s="10">
        <f t="shared" si="24"/>
        <v>1223</v>
      </c>
      <c r="B1224" s="31">
        <v>46178</v>
      </c>
      <c r="C1224" s="32" t="s">
        <v>756</v>
      </c>
      <c r="D1224" s="120" t="s">
        <v>490</v>
      </c>
      <c r="E1224" s="33" t="s">
        <v>42</v>
      </c>
      <c r="F1224" s="18" t="s">
        <v>64</v>
      </c>
      <c r="G1224" s="18" t="s">
        <v>148</v>
      </c>
      <c r="H1224" s="34" t="s">
        <v>85</v>
      </c>
      <c r="I1224" s="18" t="s">
        <v>104</v>
      </c>
      <c r="J1224" s="31" t="s">
        <v>105</v>
      </c>
      <c r="K1224" s="31"/>
      <c r="L1224" s="4"/>
      <c r="M1224" s="4"/>
      <c r="N1224" s="13" t="s">
        <v>29</v>
      </c>
      <c r="O1224" s="35" t="str">
        <f>IF(D1224="","",IF(COUNTIF(离职清单!C:C,D1224)&gt;0,"已离职","在职"))</f>
        <v>在职</v>
      </c>
      <c r="P1224" s="35" t="str">
        <f>IF(AND(O1224="在职",J1224="是"),COUNTIF(O$2:O1224,"在职"),"")</f>
        <v/>
      </c>
    </row>
    <row r="1225" customFormat="1" ht="18" spans="1:16">
      <c r="A1225" s="14">
        <f t="shared" si="24"/>
        <v>1224</v>
      </c>
      <c r="B1225" s="31">
        <v>46178</v>
      </c>
      <c r="C1225" s="32" t="s">
        <v>1378</v>
      </c>
      <c r="D1225" s="120" t="s">
        <v>492</v>
      </c>
      <c r="E1225" s="33" t="s">
        <v>42</v>
      </c>
      <c r="F1225" s="18" t="s">
        <v>63</v>
      </c>
      <c r="G1225" s="18" t="s">
        <v>148</v>
      </c>
      <c r="H1225" s="34" t="s">
        <v>85</v>
      </c>
      <c r="I1225" s="18" t="s">
        <v>104</v>
      </c>
      <c r="J1225" s="31" t="s">
        <v>114</v>
      </c>
      <c r="K1225" s="31">
        <v>46181</v>
      </c>
      <c r="L1225" s="4"/>
      <c r="M1225" s="4"/>
      <c r="N1225" s="13" t="s">
        <v>29</v>
      </c>
      <c r="O1225" s="35" t="str">
        <f>IF(D1225="","",IF(COUNTIF(离职清单!C:C,D1225)&gt;0,"已离职","在职"))</f>
        <v>在职</v>
      </c>
      <c r="P1225" s="35">
        <f>IF(AND(O1225="在职",J1225="是"),COUNTIF(O$2:O1225,"在职"),"")</f>
        <v>1218</v>
      </c>
    </row>
    <row r="1226" customFormat="1" ht="18" spans="1:16">
      <c r="A1226" s="10">
        <f t="shared" si="24"/>
        <v>1225</v>
      </c>
      <c r="B1226" s="31">
        <v>46178</v>
      </c>
      <c r="C1226" s="32" t="s">
        <v>1379</v>
      </c>
      <c r="D1226" s="120" t="s">
        <v>477</v>
      </c>
      <c r="E1226" s="33" t="s">
        <v>42</v>
      </c>
      <c r="F1226" s="18" t="s">
        <v>64</v>
      </c>
      <c r="G1226" s="18" t="s">
        <v>148</v>
      </c>
      <c r="H1226" s="34" t="s">
        <v>85</v>
      </c>
      <c r="I1226" s="18" t="s">
        <v>104</v>
      </c>
      <c r="J1226" s="31" t="s">
        <v>105</v>
      </c>
      <c r="K1226" s="31"/>
      <c r="L1226" s="4"/>
      <c r="M1226" s="4"/>
      <c r="N1226" s="13" t="s">
        <v>29</v>
      </c>
      <c r="O1226" s="35" t="str">
        <f>IF(D1226="","",IF(COUNTIF(离职清单!C:C,D1226)&gt;0,"已离职","在职"))</f>
        <v>在职</v>
      </c>
      <c r="P1226" s="35" t="str">
        <f>IF(AND(O1226="在职",J1226="是"),COUNTIF(O$2:O1226,"在职"),"")</f>
        <v/>
      </c>
    </row>
    <row r="1227" customFormat="1" ht="18" spans="1:16">
      <c r="A1227" s="14">
        <f t="shared" si="24"/>
        <v>1226</v>
      </c>
      <c r="B1227" s="31">
        <v>46178</v>
      </c>
      <c r="C1227" s="32" t="s">
        <v>683</v>
      </c>
      <c r="D1227" s="120" t="s">
        <v>477</v>
      </c>
      <c r="E1227" s="33" t="s">
        <v>42</v>
      </c>
      <c r="F1227" s="18" t="s">
        <v>64</v>
      </c>
      <c r="G1227" s="18" t="s">
        <v>148</v>
      </c>
      <c r="H1227" s="34" t="s">
        <v>85</v>
      </c>
      <c r="I1227" s="18" t="s">
        <v>104</v>
      </c>
      <c r="J1227" s="31" t="s">
        <v>114</v>
      </c>
      <c r="K1227" s="31" t="s">
        <v>1380</v>
      </c>
      <c r="L1227" s="4"/>
      <c r="M1227" s="4"/>
      <c r="N1227" s="13" t="s">
        <v>29</v>
      </c>
      <c r="O1227" s="35" t="str">
        <f>IF(D1227="","",IF(COUNTIF(离职清单!C:C,D1227)&gt;0,"已离职","在职"))</f>
        <v>在职</v>
      </c>
      <c r="P1227" s="35">
        <f>IF(AND(O1227="在职",J1227="是"),COUNTIF(O$2:O1227,"在职"),"")</f>
        <v>1220</v>
      </c>
    </row>
    <row r="1228" customFormat="1" ht="18" spans="1:16">
      <c r="A1228" s="10">
        <f t="shared" si="24"/>
        <v>1227</v>
      </c>
      <c r="B1228" s="31">
        <v>46178</v>
      </c>
      <c r="C1228" s="32" t="s">
        <v>1381</v>
      </c>
      <c r="D1228" s="120" t="s">
        <v>478</v>
      </c>
      <c r="E1228" s="33" t="s">
        <v>42</v>
      </c>
      <c r="F1228" s="18" t="s">
        <v>63</v>
      </c>
      <c r="G1228" s="18" t="s">
        <v>148</v>
      </c>
      <c r="H1228" s="34" t="s">
        <v>85</v>
      </c>
      <c r="I1228" s="18" t="s">
        <v>104</v>
      </c>
      <c r="J1228" s="31" t="s">
        <v>114</v>
      </c>
      <c r="K1228" s="31">
        <v>46181</v>
      </c>
      <c r="L1228" s="4"/>
      <c r="M1228" s="4"/>
      <c r="N1228" s="13" t="s">
        <v>29</v>
      </c>
      <c r="O1228" s="35" t="str">
        <f>IF(D1228="","",IF(COUNTIF(离职清单!C:C,D1228)&gt;0,"已离职","在职"))</f>
        <v>在职</v>
      </c>
      <c r="P1228" s="35">
        <f>IF(AND(O1228="在职",J1228="是"),COUNTIF(O$2:O1228,"在职"),"")</f>
        <v>1221</v>
      </c>
    </row>
    <row r="1229" customFormat="1" ht="18" spans="1:16">
      <c r="A1229" s="14">
        <f t="shared" si="24"/>
        <v>1228</v>
      </c>
      <c r="B1229" s="31">
        <v>46178</v>
      </c>
      <c r="C1229" s="32" t="s">
        <v>271</v>
      </c>
      <c r="D1229" s="120" t="s">
        <v>480</v>
      </c>
      <c r="E1229" s="33" t="s">
        <v>42</v>
      </c>
      <c r="F1229" s="18" t="s">
        <v>63</v>
      </c>
      <c r="G1229" s="18" t="s">
        <v>179</v>
      </c>
      <c r="H1229" s="34" t="s">
        <v>85</v>
      </c>
      <c r="I1229" s="18" t="s">
        <v>104</v>
      </c>
      <c r="J1229" s="31" t="s">
        <v>105</v>
      </c>
      <c r="K1229" s="31"/>
      <c r="L1229" s="4"/>
      <c r="M1229" s="4"/>
      <c r="N1229" s="13" t="s">
        <v>29</v>
      </c>
      <c r="O1229" s="35" t="str">
        <f>IF(D1229="","",IF(COUNTIF(离职清单!C:C,D1229)&gt;0,"已离职","在职"))</f>
        <v>在职</v>
      </c>
      <c r="P1229" s="35" t="str">
        <f>IF(AND(O1229="在职",J1229="是"),COUNTIF(O$2:O1229,"在职"),"")</f>
        <v/>
      </c>
    </row>
    <row r="1230" customFormat="1" ht="18" spans="1:16">
      <c r="A1230" s="10">
        <f t="shared" si="24"/>
        <v>1229</v>
      </c>
      <c r="B1230" s="31">
        <v>46178</v>
      </c>
      <c r="C1230" s="32" t="s">
        <v>1382</v>
      </c>
      <c r="D1230" s="120" t="s">
        <v>482</v>
      </c>
      <c r="E1230" s="33" t="s">
        <v>42</v>
      </c>
      <c r="F1230" s="18" t="s">
        <v>63</v>
      </c>
      <c r="G1230" s="18" t="s">
        <v>233</v>
      </c>
      <c r="H1230" s="34" t="s">
        <v>85</v>
      </c>
      <c r="I1230" s="18" t="s">
        <v>104</v>
      </c>
      <c r="J1230" s="31" t="s">
        <v>105</v>
      </c>
      <c r="K1230" s="31"/>
      <c r="L1230" s="4"/>
      <c r="M1230" s="4"/>
      <c r="N1230" s="13" t="s">
        <v>29</v>
      </c>
      <c r="O1230" s="35" t="str">
        <f>IF(D1230="","",IF(COUNTIF(离职清单!C:C,D1230)&gt;0,"已离职","在职"))</f>
        <v>在职</v>
      </c>
      <c r="P1230" s="35" t="str">
        <f>IF(AND(O1230="在职",J1230="是"),COUNTIF(O$2:O1230,"在职"),"")</f>
        <v/>
      </c>
    </row>
    <row r="1231" customFormat="1" ht="18" spans="1:16">
      <c r="A1231" s="14">
        <f t="shared" si="24"/>
        <v>1230</v>
      </c>
      <c r="B1231" s="31">
        <v>46178</v>
      </c>
      <c r="C1231" s="32" t="s">
        <v>1383</v>
      </c>
      <c r="D1231" s="120" t="s">
        <v>484</v>
      </c>
      <c r="E1231" s="33" t="s">
        <v>42</v>
      </c>
      <c r="F1231" s="18" t="s">
        <v>64</v>
      </c>
      <c r="G1231" s="18" t="s">
        <v>124</v>
      </c>
      <c r="H1231" s="34" t="s">
        <v>85</v>
      </c>
      <c r="I1231" s="18" t="s">
        <v>104</v>
      </c>
      <c r="J1231" s="31" t="s">
        <v>105</v>
      </c>
      <c r="K1231" s="31"/>
      <c r="L1231" s="4"/>
      <c r="M1231" s="4"/>
      <c r="N1231" s="13" t="s">
        <v>29</v>
      </c>
      <c r="O1231" s="35" t="str">
        <f>IF(D1231="","",IF(COUNTIF(离职清单!C:C,D1231)&gt;0,"已离职","在职"))</f>
        <v>在职</v>
      </c>
      <c r="P1231" s="35" t="str">
        <f>IF(AND(O1231="在职",J1231="是"),COUNTIF(O$2:O1231,"在职"),"")</f>
        <v/>
      </c>
    </row>
    <row r="1232" customFormat="1" ht="18" spans="1:16">
      <c r="A1232" s="10">
        <f t="shared" si="24"/>
        <v>1231</v>
      </c>
      <c r="B1232" s="31">
        <v>46178</v>
      </c>
      <c r="C1232" s="32" t="s">
        <v>1384</v>
      </c>
      <c r="D1232" s="120" t="s">
        <v>486</v>
      </c>
      <c r="E1232" s="33" t="s">
        <v>42</v>
      </c>
      <c r="F1232" s="18" t="s">
        <v>62</v>
      </c>
      <c r="G1232" s="18" t="s">
        <v>124</v>
      </c>
      <c r="H1232" s="34" t="s">
        <v>85</v>
      </c>
      <c r="I1232" s="18" t="s">
        <v>104</v>
      </c>
      <c r="J1232" s="31" t="s">
        <v>105</v>
      </c>
      <c r="K1232" s="31"/>
      <c r="L1232" s="4"/>
      <c r="M1232" s="4"/>
      <c r="N1232" s="13" t="s">
        <v>29</v>
      </c>
      <c r="O1232" s="35" t="str">
        <f>IF(D1232="","",IF(COUNTIF(离职清单!C:C,D1232)&gt;0,"已离职","在职"))</f>
        <v>在职</v>
      </c>
      <c r="P1232" s="35" t="str">
        <f>IF(AND(O1232="在职",J1232="是"),COUNTIF(O$2:O1232,"在职"),"")</f>
        <v/>
      </c>
    </row>
    <row r="1233" customFormat="1" ht="18" spans="1:16">
      <c r="A1233" s="14">
        <f t="shared" si="24"/>
        <v>1232</v>
      </c>
      <c r="B1233" s="31">
        <v>46178</v>
      </c>
      <c r="C1233" s="32" t="s">
        <v>1385</v>
      </c>
      <c r="D1233" s="120" t="s">
        <v>488</v>
      </c>
      <c r="E1233" s="33" t="s">
        <v>42</v>
      </c>
      <c r="F1233" s="18" t="s">
        <v>64</v>
      </c>
      <c r="G1233" s="18" t="s">
        <v>124</v>
      </c>
      <c r="H1233" s="34" t="s">
        <v>85</v>
      </c>
      <c r="I1233" s="18" t="s">
        <v>104</v>
      </c>
      <c r="J1233" s="31" t="s">
        <v>105</v>
      </c>
      <c r="K1233" s="31"/>
      <c r="L1233" s="4"/>
      <c r="M1233" s="4"/>
      <c r="N1233" s="13" t="s">
        <v>29</v>
      </c>
      <c r="O1233" s="35" t="str">
        <f>IF(D1233="","",IF(COUNTIF(离职清单!C:C,D1233)&gt;0,"已离职","在职"))</f>
        <v>在职</v>
      </c>
      <c r="P1233" s="35" t="str">
        <f>IF(AND(O1233="在职",J1233="是"),COUNTIF(O$2:O1233,"在职"),"")</f>
        <v/>
      </c>
    </row>
    <row r="1234" customFormat="1" ht="18" spans="1:16">
      <c r="A1234" s="10">
        <f t="shared" si="24"/>
        <v>1233</v>
      </c>
      <c r="B1234" s="31">
        <v>46178</v>
      </c>
      <c r="C1234" s="32" t="s">
        <v>1386</v>
      </c>
      <c r="D1234" s="120" t="s">
        <v>490</v>
      </c>
      <c r="E1234" s="33" t="s">
        <v>42</v>
      </c>
      <c r="F1234" s="18" t="s">
        <v>62</v>
      </c>
      <c r="G1234" s="18" t="s">
        <v>1334</v>
      </c>
      <c r="H1234" s="34" t="s">
        <v>85</v>
      </c>
      <c r="I1234" s="18" t="s">
        <v>104</v>
      </c>
      <c r="J1234" s="31" t="s">
        <v>105</v>
      </c>
      <c r="K1234" s="31"/>
      <c r="L1234" s="4"/>
      <c r="M1234" s="4"/>
      <c r="N1234" s="13" t="s">
        <v>29</v>
      </c>
      <c r="O1234" s="35" t="str">
        <f>IF(D1234="","",IF(COUNTIF(离职清单!C:C,D1234)&gt;0,"已离职","在职"))</f>
        <v>在职</v>
      </c>
      <c r="P1234" s="35" t="str">
        <f>IF(AND(O1234="在职",J1234="是"),COUNTIF(O$2:O1234,"在职"),"")</f>
        <v/>
      </c>
    </row>
    <row r="1235" customFormat="1" ht="18" spans="1:16">
      <c r="A1235" s="14">
        <f t="shared" si="24"/>
        <v>1234</v>
      </c>
      <c r="B1235" s="31">
        <v>46178</v>
      </c>
      <c r="C1235" s="32" t="s">
        <v>1387</v>
      </c>
      <c r="D1235" s="120" t="s">
        <v>492</v>
      </c>
      <c r="E1235" s="33" t="s">
        <v>42</v>
      </c>
      <c r="F1235" s="18" t="s">
        <v>63</v>
      </c>
      <c r="G1235" s="18" t="s">
        <v>103</v>
      </c>
      <c r="H1235" s="34" t="s">
        <v>85</v>
      </c>
      <c r="I1235" s="18" t="s">
        <v>104</v>
      </c>
      <c r="J1235" s="31" t="s">
        <v>114</v>
      </c>
      <c r="K1235" s="31">
        <v>46179</v>
      </c>
      <c r="L1235" s="4"/>
      <c r="M1235" s="4"/>
      <c r="N1235" s="13" t="s">
        <v>29</v>
      </c>
      <c r="O1235" s="35" t="str">
        <f>IF(D1235="","",IF(COUNTIF(离职清单!C:C,D1235)&gt;0,"已离职","在职"))</f>
        <v>在职</v>
      </c>
      <c r="P1235" s="35">
        <f>IF(AND(O1235="在职",J1235="是"),COUNTIF(O$2:O1235,"在职"),"")</f>
        <v>1228</v>
      </c>
    </row>
    <row r="1236" customFormat="1" ht="18" spans="1:16">
      <c r="A1236" s="10">
        <f t="shared" si="24"/>
        <v>1235</v>
      </c>
      <c r="B1236" s="31">
        <v>46178</v>
      </c>
      <c r="C1236" s="32" t="s">
        <v>676</v>
      </c>
      <c r="D1236" s="120" t="s">
        <v>477</v>
      </c>
      <c r="E1236" s="33" t="s">
        <v>42</v>
      </c>
      <c r="F1236" s="18" t="s">
        <v>64</v>
      </c>
      <c r="G1236" s="18" t="s">
        <v>117</v>
      </c>
      <c r="H1236" s="34" t="s">
        <v>85</v>
      </c>
      <c r="I1236" s="18" t="s">
        <v>104</v>
      </c>
      <c r="J1236" s="31" t="s">
        <v>114</v>
      </c>
      <c r="K1236" s="31"/>
      <c r="L1236" s="4"/>
      <c r="M1236" s="4"/>
      <c r="N1236" s="13" t="s">
        <v>29</v>
      </c>
      <c r="O1236" s="35" t="str">
        <f>IF(D1236="","",IF(COUNTIF(离职清单!C:C,D1236)&gt;0,"已离职","在职"))</f>
        <v>在职</v>
      </c>
      <c r="P1236" s="35">
        <f>IF(AND(O1236="在职",J1236="是"),COUNTIF(O$2:O1236,"在职"),"")</f>
        <v>1229</v>
      </c>
    </row>
    <row r="1237" customFormat="1" ht="18" spans="1:16">
      <c r="A1237" s="14">
        <f t="shared" si="24"/>
        <v>1236</v>
      </c>
      <c r="B1237" s="31">
        <v>46178</v>
      </c>
      <c r="C1237" s="32" t="s">
        <v>1388</v>
      </c>
      <c r="D1237" s="120" t="s">
        <v>478</v>
      </c>
      <c r="E1237" s="33" t="s">
        <v>42</v>
      </c>
      <c r="F1237" s="18" t="s">
        <v>62</v>
      </c>
      <c r="G1237" s="18" t="s">
        <v>117</v>
      </c>
      <c r="H1237" s="34" t="s">
        <v>85</v>
      </c>
      <c r="I1237" s="18" t="s">
        <v>104</v>
      </c>
      <c r="J1237" s="31" t="s">
        <v>114</v>
      </c>
      <c r="K1237" s="31">
        <v>46179</v>
      </c>
      <c r="L1237" s="4"/>
      <c r="M1237" s="4"/>
      <c r="N1237" s="13" t="s">
        <v>29</v>
      </c>
      <c r="O1237" s="35" t="str">
        <f>IF(D1237="","",IF(COUNTIF(离职清单!C:C,D1237)&gt;0,"已离职","在职"))</f>
        <v>在职</v>
      </c>
      <c r="P1237" s="35">
        <f>IF(AND(O1237="在职",J1237="是"),COUNTIF(O$2:O1237,"在职"),"")</f>
        <v>1230</v>
      </c>
    </row>
    <row r="1238" customFormat="1" ht="18" spans="1:16">
      <c r="A1238" s="10">
        <f t="shared" si="24"/>
        <v>1237</v>
      </c>
      <c r="B1238" s="31">
        <v>46178</v>
      </c>
      <c r="C1238" s="32" t="s">
        <v>1389</v>
      </c>
      <c r="D1238" s="120" t="s">
        <v>480</v>
      </c>
      <c r="E1238" s="33" t="s">
        <v>42</v>
      </c>
      <c r="F1238" s="18" t="s">
        <v>64</v>
      </c>
      <c r="G1238" s="18" t="s">
        <v>307</v>
      </c>
      <c r="H1238" s="34" t="s">
        <v>85</v>
      </c>
      <c r="I1238" s="18" t="s">
        <v>104</v>
      </c>
      <c r="J1238" s="31" t="s">
        <v>105</v>
      </c>
      <c r="K1238" s="31"/>
      <c r="L1238" s="4"/>
      <c r="M1238" s="4"/>
      <c r="N1238" s="13" t="s">
        <v>29</v>
      </c>
      <c r="O1238" s="35" t="str">
        <f>IF(D1238="","",IF(COUNTIF(离职清单!C:C,D1238)&gt;0,"已离职","在职"))</f>
        <v>在职</v>
      </c>
      <c r="P1238" s="35" t="str">
        <f>IF(AND(O1238="在职",J1238="是"),COUNTIF(O$2:O1238,"在职"),"")</f>
        <v/>
      </c>
    </row>
    <row r="1239" ht="18" spans="1:16">
      <c r="A1239" s="14">
        <f t="shared" si="24"/>
        <v>1238</v>
      </c>
      <c r="B1239" s="31">
        <v>46178</v>
      </c>
      <c r="C1239" s="32" t="s">
        <v>1390</v>
      </c>
      <c r="D1239" s="120" t="s">
        <v>482</v>
      </c>
      <c r="E1239" s="33" t="s">
        <v>42</v>
      </c>
      <c r="F1239" s="18" t="s">
        <v>63</v>
      </c>
      <c r="G1239" s="18" t="s">
        <v>307</v>
      </c>
      <c r="H1239" s="34" t="s">
        <v>85</v>
      </c>
      <c r="I1239" s="18" t="s">
        <v>104</v>
      </c>
      <c r="J1239" s="31" t="s">
        <v>114</v>
      </c>
      <c r="K1239" s="31">
        <v>46179</v>
      </c>
      <c r="N1239" s="13" t="s">
        <v>29</v>
      </c>
      <c r="O1239" s="24" t="str">
        <f>IF(D1239="","",IF(COUNTIF(离职清单!C:C,D1239)&gt;0,"已离职","在职"))</f>
        <v>在职</v>
      </c>
      <c r="P1239" s="24">
        <f>IF(AND(O1239="在职",J1239="是"),COUNTIF(O$2:O1239,"在职"),"")</f>
        <v>1232</v>
      </c>
    </row>
    <row r="1240" ht="18" spans="1:16">
      <c r="A1240" s="10">
        <f t="shared" si="24"/>
        <v>1239</v>
      </c>
      <c r="B1240" s="31">
        <v>46178</v>
      </c>
      <c r="C1240" s="32" t="s">
        <v>1391</v>
      </c>
      <c r="D1240" s="120" t="s">
        <v>484</v>
      </c>
      <c r="E1240" s="33" t="s">
        <v>42</v>
      </c>
      <c r="F1240" s="18" t="s">
        <v>64</v>
      </c>
      <c r="G1240" s="18" t="s">
        <v>307</v>
      </c>
      <c r="H1240" s="34" t="s">
        <v>85</v>
      </c>
      <c r="I1240" s="18" t="s">
        <v>104</v>
      </c>
      <c r="J1240" s="31" t="s">
        <v>105</v>
      </c>
      <c r="K1240" s="31"/>
      <c r="N1240" s="13" t="s">
        <v>29</v>
      </c>
      <c r="O1240" s="24" t="str">
        <f>IF(D1240="","",IF(COUNTIF(离职清单!C:C,D1240)&gt;0,"已离职","在职"))</f>
        <v>在职</v>
      </c>
      <c r="P1240" s="24" t="str">
        <f>IF(AND(O1240="在职",J1240="是"),COUNTIF(O$2:O1240,"在职"),"")</f>
        <v/>
      </c>
    </row>
    <row r="1241" ht="18" spans="1:16">
      <c r="A1241" s="14">
        <f t="shared" si="24"/>
        <v>1240</v>
      </c>
      <c r="B1241" s="31">
        <v>46178</v>
      </c>
      <c r="C1241" s="32" t="s">
        <v>1392</v>
      </c>
      <c r="D1241" s="120" t="s">
        <v>486</v>
      </c>
      <c r="E1241" s="33" t="s">
        <v>42</v>
      </c>
      <c r="F1241" s="18" t="s">
        <v>64</v>
      </c>
      <c r="G1241" s="18" t="s">
        <v>307</v>
      </c>
      <c r="H1241" s="34" t="s">
        <v>85</v>
      </c>
      <c r="I1241" s="18" t="s">
        <v>104</v>
      </c>
      <c r="J1241" s="31" t="s">
        <v>105</v>
      </c>
      <c r="K1241" s="31"/>
      <c r="N1241" s="13" t="s">
        <v>29</v>
      </c>
      <c r="O1241" s="24" t="str">
        <f>IF(D1241="","",IF(COUNTIF(离职清单!C:C,D1241)&gt;0,"已离职","在职"))</f>
        <v>在职</v>
      </c>
      <c r="P1241" s="24" t="str">
        <f>IF(AND(O1241="在职",J1241="是"),COUNTIF(O$2:O1241,"在职"),"")</f>
        <v/>
      </c>
    </row>
    <row r="1242" ht="18" spans="1:16">
      <c r="A1242" s="10">
        <f t="shared" si="24"/>
        <v>1241</v>
      </c>
      <c r="B1242" s="31">
        <v>46178</v>
      </c>
      <c r="C1242" s="32" t="s">
        <v>1393</v>
      </c>
      <c r="D1242" s="120" t="s">
        <v>488</v>
      </c>
      <c r="E1242" s="33" t="s">
        <v>42</v>
      </c>
      <c r="F1242" s="18" t="s">
        <v>63</v>
      </c>
      <c r="G1242" s="18" t="s">
        <v>307</v>
      </c>
      <c r="H1242" s="34" t="s">
        <v>85</v>
      </c>
      <c r="I1242" s="18" t="s">
        <v>104</v>
      </c>
      <c r="J1242" s="31" t="s">
        <v>114</v>
      </c>
      <c r="K1242" s="31">
        <v>46180</v>
      </c>
      <c r="N1242" s="13" t="s">
        <v>29</v>
      </c>
      <c r="O1242" s="24" t="str">
        <f>IF(D1242="","",IF(COUNTIF(离职清单!C:C,D1242)&gt;0,"已离职","在职"))</f>
        <v>在职</v>
      </c>
      <c r="P1242" s="24">
        <f>IF(AND(O1242="在职",J1242="是"),COUNTIF(O$2:O1242,"在职"),"")</f>
        <v>1235</v>
      </c>
    </row>
    <row r="1243" ht="18" spans="1:16">
      <c r="A1243" s="14">
        <f t="shared" si="24"/>
        <v>1242</v>
      </c>
      <c r="B1243" s="31">
        <v>46178</v>
      </c>
      <c r="C1243" s="32" t="s">
        <v>1394</v>
      </c>
      <c r="D1243" s="120" t="s">
        <v>490</v>
      </c>
      <c r="E1243" s="33" t="s">
        <v>42</v>
      </c>
      <c r="F1243" s="18" t="s">
        <v>63</v>
      </c>
      <c r="G1243" s="18" t="s">
        <v>173</v>
      </c>
      <c r="H1243" s="34" t="s">
        <v>85</v>
      </c>
      <c r="I1243" s="18" t="s">
        <v>104</v>
      </c>
      <c r="J1243" s="31" t="s">
        <v>114</v>
      </c>
      <c r="K1243" s="31">
        <v>46181</v>
      </c>
      <c r="N1243" s="13" t="s">
        <v>29</v>
      </c>
      <c r="O1243" s="24" t="str">
        <f>IF(D1243="","",IF(COUNTIF(离职清单!C:C,D1243)&gt;0,"已离职","在职"))</f>
        <v>在职</v>
      </c>
      <c r="P1243" s="24">
        <f>IF(AND(O1243="在职",J1243="是"),COUNTIF(O$2:O1243,"在职"),"")</f>
        <v>1236</v>
      </c>
    </row>
    <row r="1244" ht="18" spans="1:16">
      <c r="A1244" s="10">
        <f t="shared" si="24"/>
        <v>1243</v>
      </c>
      <c r="B1244" s="31">
        <v>46178</v>
      </c>
      <c r="C1244" s="32" t="s">
        <v>1395</v>
      </c>
      <c r="D1244" s="120" t="s">
        <v>492</v>
      </c>
      <c r="E1244" s="33" t="s">
        <v>42</v>
      </c>
      <c r="F1244" s="18" t="s">
        <v>64</v>
      </c>
      <c r="G1244" s="18" t="s">
        <v>631</v>
      </c>
      <c r="H1244" s="34" t="s">
        <v>85</v>
      </c>
      <c r="I1244" s="18" t="s">
        <v>104</v>
      </c>
      <c r="J1244" s="31" t="s">
        <v>105</v>
      </c>
      <c r="K1244" s="31"/>
      <c r="N1244" s="13" t="s">
        <v>29</v>
      </c>
      <c r="O1244" s="24" t="str">
        <f>IF(D1244="","",IF(COUNTIF(离职清单!C:C,D1244)&gt;0,"已离职","在职"))</f>
        <v>在职</v>
      </c>
      <c r="P1244" s="24" t="str">
        <f>IF(AND(O1244="在职",J1244="是"),COUNTIF(O$2:O1244,"在职"),"")</f>
        <v/>
      </c>
    </row>
    <row r="1245" ht="18" spans="1:16">
      <c r="A1245" s="14">
        <f t="shared" si="24"/>
        <v>1244</v>
      </c>
      <c r="B1245" s="31">
        <v>46178</v>
      </c>
      <c r="C1245" s="32" t="s">
        <v>1396</v>
      </c>
      <c r="D1245" s="120" t="s">
        <v>477</v>
      </c>
      <c r="E1245" s="33" t="s">
        <v>42</v>
      </c>
      <c r="F1245" s="18" t="s">
        <v>64</v>
      </c>
      <c r="G1245" s="18" t="s">
        <v>631</v>
      </c>
      <c r="H1245" s="34" t="s">
        <v>85</v>
      </c>
      <c r="I1245" s="18" t="s">
        <v>104</v>
      </c>
      <c r="J1245" s="31" t="s">
        <v>105</v>
      </c>
      <c r="K1245" s="31"/>
      <c r="N1245" s="13" t="s">
        <v>29</v>
      </c>
      <c r="O1245" s="24" t="str">
        <f>IF(D1245="","",IF(COUNTIF(离职清单!C:C,D1245)&gt;0,"已离职","在职"))</f>
        <v>在职</v>
      </c>
      <c r="P1245" s="24" t="str">
        <f>IF(AND(O1245="在职",J1245="是"),COUNTIF(O$2:O1245,"在职"),"")</f>
        <v/>
      </c>
    </row>
    <row r="1246" ht="18" spans="1:16">
      <c r="A1246" s="10">
        <f t="shared" si="24"/>
        <v>1245</v>
      </c>
      <c r="B1246" s="31">
        <v>46178</v>
      </c>
      <c r="C1246" s="32" t="s">
        <v>935</v>
      </c>
      <c r="D1246" s="120" t="s">
        <v>478</v>
      </c>
      <c r="E1246" s="33" t="s">
        <v>42</v>
      </c>
      <c r="F1246" s="18" t="s">
        <v>64</v>
      </c>
      <c r="G1246" s="18" t="s">
        <v>578</v>
      </c>
      <c r="H1246" s="34" t="s">
        <v>85</v>
      </c>
      <c r="I1246" s="18" t="s">
        <v>104</v>
      </c>
      <c r="J1246" s="31" t="s">
        <v>105</v>
      </c>
      <c r="K1246" s="31"/>
      <c r="N1246" s="13" t="s">
        <v>29</v>
      </c>
      <c r="O1246" s="24" t="str">
        <f>IF(D1246="","",IF(COUNTIF(离职清单!C:C,D1246)&gt;0,"已离职","在职"))</f>
        <v>在职</v>
      </c>
      <c r="P1246" s="24" t="str">
        <f>IF(AND(O1246="在职",J1246="是"),COUNTIF(O$2:O1246,"在职"),"")</f>
        <v/>
      </c>
    </row>
    <row r="1247" ht="18" spans="1:16">
      <c r="A1247" s="14">
        <f t="shared" si="24"/>
        <v>1246</v>
      </c>
      <c r="B1247" s="31">
        <v>46178</v>
      </c>
      <c r="C1247" s="32" t="s">
        <v>1397</v>
      </c>
      <c r="D1247" s="120" t="s">
        <v>480</v>
      </c>
      <c r="E1247" s="33" t="s">
        <v>42</v>
      </c>
      <c r="F1247" s="18" t="s">
        <v>64</v>
      </c>
      <c r="G1247" s="18" t="s">
        <v>578</v>
      </c>
      <c r="H1247" s="34" t="s">
        <v>85</v>
      </c>
      <c r="I1247" s="18" t="s">
        <v>104</v>
      </c>
      <c r="J1247" s="31" t="s">
        <v>114</v>
      </c>
      <c r="K1247" s="31" t="s">
        <v>1380</v>
      </c>
      <c r="N1247" s="13" t="s">
        <v>29</v>
      </c>
      <c r="O1247" s="24" t="str">
        <f>IF(D1247="","",IF(COUNTIF(离职清单!C:C,D1247)&gt;0,"已离职","在职"))</f>
        <v>在职</v>
      </c>
      <c r="P1247" s="24">
        <f>IF(AND(O1247="在职",J1247="是"),COUNTIF(O$2:O1247,"在职"),"")</f>
        <v>1240</v>
      </c>
    </row>
    <row r="1248" ht="18" spans="1:16">
      <c r="A1248" s="10">
        <f t="shared" si="24"/>
        <v>1247</v>
      </c>
      <c r="B1248" s="31">
        <v>46178</v>
      </c>
      <c r="C1248" s="32" t="s">
        <v>1398</v>
      </c>
      <c r="D1248" s="120" t="s">
        <v>482</v>
      </c>
      <c r="E1248" s="33" t="s">
        <v>42</v>
      </c>
      <c r="F1248" s="18" t="s">
        <v>63</v>
      </c>
      <c r="G1248" s="18" t="s">
        <v>578</v>
      </c>
      <c r="H1248" s="34" t="s">
        <v>85</v>
      </c>
      <c r="I1248" s="18" t="s">
        <v>104</v>
      </c>
      <c r="J1248" s="31" t="s">
        <v>114</v>
      </c>
      <c r="K1248" s="31">
        <v>46179</v>
      </c>
      <c r="N1248" s="13" t="s">
        <v>29</v>
      </c>
      <c r="O1248" s="24" t="str">
        <f>IF(D1248="","",IF(COUNTIF(离职清单!C:C,D1248)&gt;0,"已离职","在职"))</f>
        <v>在职</v>
      </c>
      <c r="P1248" s="24">
        <f>IF(AND(O1248="在职",J1248="是"),COUNTIF(O$2:O1248,"在职"),"")</f>
        <v>1241</v>
      </c>
    </row>
    <row r="1249" ht="18" spans="1:16">
      <c r="A1249" s="14">
        <f t="shared" si="24"/>
        <v>1248</v>
      </c>
      <c r="B1249" s="31">
        <v>46178</v>
      </c>
      <c r="C1249" s="32" t="s">
        <v>1399</v>
      </c>
      <c r="D1249" s="120" t="s">
        <v>484</v>
      </c>
      <c r="E1249" s="33" t="s">
        <v>42</v>
      </c>
      <c r="F1249" s="18" t="s">
        <v>64</v>
      </c>
      <c r="G1249" s="18" t="s">
        <v>578</v>
      </c>
      <c r="H1249" s="34" t="s">
        <v>85</v>
      </c>
      <c r="I1249" s="18" t="s">
        <v>104</v>
      </c>
      <c r="J1249" s="31" t="s">
        <v>105</v>
      </c>
      <c r="K1249" s="31"/>
      <c r="N1249" s="13" t="s">
        <v>29</v>
      </c>
      <c r="O1249" s="24" t="str">
        <f>IF(D1249="","",IF(COUNTIF(离职清单!C:C,D1249)&gt;0,"已离职","在职"))</f>
        <v>在职</v>
      </c>
      <c r="P1249" s="24" t="str">
        <f>IF(AND(O1249="在职",J1249="是"),COUNTIF(O$2:O1249,"在职"),"")</f>
        <v/>
      </c>
    </row>
    <row r="1250" ht="18" spans="1:16">
      <c r="A1250" s="10">
        <f t="shared" si="24"/>
        <v>1249</v>
      </c>
      <c r="B1250" s="31">
        <v>46178</v>
      </c>
      <c r="C1250" s="32" t="s">
        <v>1400</v>
      </c>
      <c r="D1250" s="120" t="s">
        <v>486</v>
      </c>
      <c r="E1250" s="33" t="s">
        <v>42</v>
      </c>
      <c r="F1250" s="18" t="s">
        <v>64</v>
      </c>
      <c r="G1250" s="18" t="s">
        <v>578</v>
      </c>
      <c r="H1250" s="34" t="s">
        <v>85</v>
      </c>
      <c r="I1250" s="18" t="s">
        <v>104</v>
      </c>
      <c r="J1250" s="31" t="s">
        <v>114</v>
      </c>
      <c r="K1250" s="31" t="s">
        <v>1380</v>
      </c>
      <c r="N1250" s="13" t="s">
        <v>29</v>
      </c>
      <c r="O1250" s="24" t="str">
        <f>IF(D1250="","",IF(COUNTIF(离职清单!C:C,D1250)&gt;0,"已离职","在职"))</f>
        <v>在职</v>
      </c>
      <c r="P1250" s="24">
        <f>IF(AND(O1250="在职",J1250="是"),COUNTIF(O$2:O1250,"在职"),"")</f>
        <v>1243</v>
      </c>
    </row>
    <row r="1251" ht="18" spans="1:16">
      <c r="A1251" s="14">
        <f t="shared" si="24"/>
        <v>1250</v>
      </c>
      <c r="B1251" s="31">
        <v>46178</v>
      </c>
      <c r="C1251" s="32" t="s">
        <v>1401</v>
      </c>
      <c r="D1251" s="120" t="s">
        <v>488</v>
      </c>
      <c r="E1251" s="33" t="s">
        <v>42</v>
      </c>
      <c r="F1251" s="18" t="s">
        <v>63</v>
      </c>
      <c r="G1251" s="18" t="s">
        <v>578</v>
      </c>
      <c r="H1251" s="34" t="s">
        <v>85</v>
      </c>
      <c r="I1251" s="18" t="s">
        <v>104</v>
      </c>
      <c r="J1251" s="31" t="s">
        <v>114</v>
      </c>
      <c r="K1251" s="31">
        <v>46179</v>
      </c>
      <c r="N1251" s="13" t="s">
        <v>29</v>
      </c>
      <c r="O1251" s="24" t="str">
        <f>IF(D1251="","",IF(COUNTIF(离职清单!C:C,D1251)&gt;0,"已离职","在职"))</f>
        <v>在职</v>
      </c>
      <c r="P1251" s="24">
        <f>IF(AND(O1251="在职",J1251="是"),COUNTIF(O$2:O1251,"在职"),"")</f>
        <v>1244</v>
      </c>
    </row>
    <row r="1252" ht="18" spans="1:16">
      <c r="A1252" s="10">
        <f t="shared" si="24"/>
        <v>1251</v>
      </c>
      <c r="B1252" s="31">
        <v>46178</v>
      </c>
      <c r="C1252" s="32" t="s">
        <v>1402</v>
      </c>
      <c r="D1252" s="120" t="s">
        <v>490</v>
      </c>
      <c r="E1252" s="33" t="s">
        <v>42</v>
      </c>
      <c r="F1252" s="18" t="s">
        <v>64</v>
      </c>
      <c r="G1252" s="18" t="s">
        <v>148</v>
      </c>
      <c r="H1252" s="34" t="s">
        <v>85</v>
      </c>
      <c r="I1252" s="18" t="s">
        <v>104</v>
      </c>
      <c r="J1252" s="31" t="s">
        <v>105</v>
      </c>
      <c r="K1252" s="31"/>
      <c r="N1252" s="13" t="s">
        <v>29</v>
      </c>
      <c r="O1252" s="24" t="str">
        <f>IF(D1252="","",IF(COUNTIF(离职清单!C:C,D1252)&gt;0,"已离职","在职"))</f>
        <v>在职</v>
      </c>
      <c r="P1252" s="24" t="str">
        <f>IF(AND(O1252="在职",J1252="是"),COUNTIF(O$2:O1252,"在职"),"")</f>
        <v/>
      </c>
    </row>
    <row r="1253" ht="18" spans="1:16">
      <c r="A1253" s="14">
        <f t="shared" si="24"/>
        <v>1252</v>
      </c>
      <c r="B1253" s="31">
        <v>46178</v>
      </c>
      <c r="C1253" s="32" t="s">
        <v>1403</v>
      </c>
      <c r="D1253" s="120" t="s">
        <v>492</v>
      </c>
      <c r="E1253" s="33" t="s">
        <v>42</v>
      </c>
      <c r="F1253" s="18" t="s">
        <v>64</v>
      </c>
      <c r="G1253" s="18" t="s">
        <v>148</v>
      </c>
      <c r="H1253" s="34" t="s">
        <v>85</v>
      </c>
      <c r="I1253" s="18" t="s">
        <v>104</v>
      </c>
      <c r="J1253" s="31" t="s">
        <v>105</v>
      </c>
      <c r="K1253" s="31"/>
      <c r="N1253" s="13" t="s">
        <v>29</v>
      </c>
      <c r="O1253" s="24" t="str">
        <f>IF(D1253="","",IF(COUNTIF(离职清单!C:C,D1253)&gt;0,"已离职","在职"))</f>
        <v>在职</v>
      </c>
      <c r="P1253" s="24" t="str">
        <f>IF(AND(O1253="在职",J1253="是"),COUNTIF(O$2:O1253,"在职"),"")</f>
        <v/>
      </c>
    </row>
    <row r="1254" ht="18" spans="1:16">
      <c r="A1254" s="10">
        <f t="shared" si="24"/>
        <v>1253</v>
      </c>
      <c r="B1254" s="31">
        <v>46178</v>
      </c>
      <c r="C1254" s="32" t="s">
        <v>1404</v>
      </c>
      <c r="D1254" s="120" t="s">
        <v>477</v>
      </c>
      <c r="E1254" s="33" t="s">
        <v>42</v>
      </c>
      <c r="F1254" s="18" t="s">
        <v>63</v>
      </c>
      <c r="G1254" s="18" t="s">
        <v>148</v>
      </c>
      <c r="H1254" s="34" t="s">
        <v>85</v>
      </c>
      <c r="I1254" s="18" t="s">
        <v>104</v>
      </c>
      <c r="J1254" s="31" t="s">
        <v>105</v>
      </c>
      <c r="K1254" s="31"/>
      <c r="N1254" s="13" t="s">
        <v>29</v>
      </c>
      <c r="O1254" s="24" t="str">
        <f>IF(D1254="","",IF(COUNTIF(离职清单!C:C,D1254)&gt;0,"已离职","在职"))</f>
        <v>在职</v>
      </c>
      <c r="P1254" s="24" t="str">
        <f>IF(AND(O1254="在职",J1254="是"),COUNTIF(O$2:O1254,"在职"),"")</f>
        <v/>
      </c>
    </row>
    <row r="1255" ht="18" spans="1:16">
      <c r="A1255" s="14">
        <f t="shared" si="24"/>
        <v>1254</v>
      </c>
      <c r="B1255" s="31">
        <v>46178</v>
      </c>
      <c r="C1255" s="32" t="s">
        <v>1405</v>
      </c>
      <c r="D1255" s="120" t="s">
        <v>478</v>
      </c>
      <c r="E1255" s="33" t="s">
        <v>42</v>
      </c>
      <c r="F1255" s="18" t="s">
        <v>63</v>
      </c>
      <c r="G1255" s="18" t="s">
        <v>512</v>
      </c>
      <c r="H1255" s="34" t="s">
        <v>85</v>
      </c>
      <c r="I1255" s="18" t="s">
        <v>104</v>
      </c>
      <c r="J1255" s="31" t="s">
        <v>105</v>
      </c>
      <c r="K1255" s="31"/>
      <c r="N1255" s="13" t="s">
        <v>29</v>
      </c>
      <c r="O1255" s="24" t="str">
        <f>IF(D1255="","",IF(COUNTIF(离职清单!C:C,D1255)&gt;0,"已离职","在职"))</f>
        <v>在职</v>
      </c>
      <c r="P1255" s="24" t="str">
        <f>IF(AND(O1255="在职",J1255="是"),COUNTIF(O$2:O1255,"在职"),"")</f>
        <v/>
      </c>
    </row>
    <row r="1256" ht="18" spans="1:16">
      <c r="A1256" s="10">
        <f t="shared" si="24"/>
        <v>1255</v>
      </c>
      <c r="B1256" s="31">
        <v>46178</v>
      </c>
      <c r="C1256" s="32" t="s">
        <v>1406</v>
      </c>
      <c r="D1256" s="120" t="s">
        <v>480</v>
      </c>
      <c r="E1256" s="33" t="s">
        <v>42</v>
      </c>
      <c r="F1256" s="18" t="s">
        <v>64</v>
      </c>
      <c r="G1256" s="18" t="s">
        <v>512</v>
      </c>
      <c r="H1256" s="34" t="s">
        <v>85</v>
      </c>
      <c r="I1256" s="18" t="s">
        <v>104</v>
      </c>
      <c r="J1256" s="31" t="s">
        <v>105</v>
      </c>
      <c r="K1256" s="31"/>
      <c r="N1256" s="13" t="s">
        <v>29</v>
      </c>
      <c r="O1256" s="24" t="str">
        <f>IF(D1256="","",IF(COUNTIF(离职清单!C:C,D1256)&gt;0,"已离职","在职"))</f>
        <v>在职</v>
      </c>
      <c r="P1256" s="24" t="str">
        <f>IF(AND(O1256="在职",J1256="是"),COUNTIF(O$2:O1256,"在职"),"")</f>
        <v/>
      </c>
    </row>
    <row r="1257" ht="18" spans="1:16">
      <c r="A1257" s="14">
        <f t="shared" si="24"/>
        <v>1256</v>
      </c>
      <c r="B1257" s="31">
        <v>46178</v>
      </c>
      <c r="C1257" s="32" t="s">
        <v>1407</v>
      </c>
      <c r="D1257" s="120" t="s">
        <v>482</v>
      </c>
      <c r="E1257" s="33" t="s">
        <v>42</v>
      </c>
      <c r="F1257" s="18" t="s">
        <v>63</v>
      </c>
      <c r="G1257" s="18" t="s">
        <v>135</v>
      </c>
      <c r="H1257" s="34" t="s">
        <v>85</v>
      </c>
      <c r="I1257" s="18" t="s">
        <v>104</v>
      </c>
      <c r="J1257" s="31" t="s">
        <v>114</v>
      </c>
      <c r="K1257" s="31">
        <v>46183</v>
      </c>
      <c r="N1257" s="13" t="s">
        <v>29</v>
      </c>
      <c r="O1257" s="24" t="str">
        <f>IF(D1257="","",IF(COUNTIF(离职清单!C:C,D1257)&gt;0,"已离职","在职"))</f>
        <v>在职</v>
      </c>
      <c r="P1257" s="24">
        <f>IF(AND(O1257="在职",J1257="是"),COUNTIF(O$2:O1257,"在职"),"")</f>
        <v>1250</v>
      </c>
    </row>
    <row r="1258" ht="18" spans="1:16">
      <c r="A1258" s="10">
        <f t="shared" si="24"/>
        <v>1257</v>
      </c>
      <c r="B1258" s="31">
        <v>46178</v>
      </c>
      <c r="C1258" s="32" t="s">
        <v>1408</v>
      </c>
      <c r="D1258" s="120" t="s">
        <v>484</v>
      </c>
      <c r="E1258" s="33" t="s">
        <v>42</v>
      </c>
      <c r="F1258" s="18" t="s">
        <v>63</v>
      </c>
      <c r="G1258" s="18" t="s">
        <v>135</v>
      </c>
      <c r="H1258" s="34" t="s">
        <v>85</v>
      </c>
      <c r="I1258" s="18" t="s">
        <v>104</v>
      </c>
      <c r="J1258" s="31" t="s">
        <v>114</v>
      </c>
      <c r="K1258" s="31">
        <v>46183</v>
      </c>
      <c r="N1258" s="13" t="s">
        <v>29</v>
      </c>
      <c r="O1258" s="24" t="str">
        <f>IF(D1258="","",IF(COUNTIF(离职清单!C:C,D1258)&gt;0,"已离职","在职"))</f>
        <v>在职</v>
      </c>
      <c r="P1258" s="24">
        <f>IF(AND(O1258="在职",J1258="是"),COUNTIF(O$2:O1258,"在职"),"")</f>
        <v>1251</v>
      </c>
    </row>
    <row r="1259" ht="18" spans="1:16">
      <c r="A1259" s="14">
        <f t="shared" si="24"/>
        <v>1258</v>
      </c>
      <c r="B1259" s="31">
        <v>46178</v>
      </c>
      <c r="C1259" s="32" t="s">
        <v>1409</v>
      </c>
      <c r="D1259" s="120" t="s">
        <v>486</v>
      </c>
      <c r="E1259" s="33" t="s">
        <v>42</v>
      </c>
      <c r="F1259" s="18" t="s">
        <v>63</v>
      </c>
      <c r="G1259" s="18" t="s">
        <v>246</v>
      </c>
      <c r="H1259" s="34" t="s">
        <v>85</v>
      </c>
      <c r="I1259" s="18" t="s">
        <v>104</v>
      </c>
      <c r="J1259" s="31" t="s">
        <v>105</v>
      </c>
      <c r="K1259" s="31"/>
      <c r="N1259" s="13" t="s">
        <v>29</v>
      </c>
      <c r="O1259" s="24" t="str">
        <f>IF(D1259="","",IF(COUNTIF(离职清单!C:C,D1259)&gt;0,"已离职","在职"))</f>
        <v>在职</v>
      </c>
      <c r="P1259" s="24" t="str">
        <f>IF(AND(O1259="在职",J1259="是"),COUNTIF(O$2:O1259,"在职"),"")</f>
        <v/>
      </c>
    </row>
    <row r="1260" ht="18" spans="1:16">
      <c r="A1260" s="10">
        <f t="shared" ref="A1260:A1323" si="25">IF(B1260&lt;&gt;"",ROW()-1,"")</f>
        <v>1259</v>
      </c>
      <c r="B1260" s="31">
        <v>46178</v>
      </c>
      <c r="C1260" s="32" t="s">
        <v>1410</v>
      </c>
      <c r="D1260" s="120" t="s">
        <v>488</v>
      </c>
      <c r="E1260" s="33" t="s">
        <v>42</v>
      </c>
      <c r="F1260" s="18" t="s">
        <v>64</v>
      </c>
      <c r="G1260" s="18" t="s">
        <v>505</v>
      </c>
      <c r="H1260" s="34" t="s">
        <v>85</v>
      </c>
      <c r="I1260" s="18" t="s">
        <v>104</v>
      </c>
      <c r="J1260" s="31" t="s">
        <v>105</v>
      </c>
      <c r="K1260" s="31"/>
      <c r="N1260" s="13" t="s">
        <v>29</v>
      </c>
      <c r="O1260" s="24" t="str">
        <f>IF(D1260="","",IF(COUNTIF(离职清单!C:C,D1260)&gt;0,"已离职","在职"))</f>
        <v>在职</v>
      </c>
      <c r="P1260" s="24" t="str">
        <f>IF(AND(O1260="在职",J1260="是"),COUNTIF(O$2:O1260,"在职"),"")</f>
        <v/>
      </c>
    </row>
    <row r="1261" ht="18" spans="1:16">
      <c r="A1261" s="14">
        <f t="shared" si="25"/>
        <v>1260</v>
      </c>
      <c r="B1261" s="31">
        <v>46178</v>
      </c>
      <c r="C1261" s="32" t="s">
        <v>1411</v>
      </c>
      <c r="D1261" s="120" t="s">
        <v>490</v>
      </c>
      <c r="E1261" s="33" t="s">
        <v>43</v>
      </c>
      <c r="F1261" s="18" t="s">
        <v>63</v>
      </c>
      <c r="G1261" s="18" t="s">
        <v>176</v>
      </c>
      <c r="H1261" s="34" t="s">
        <v>85</v>
      </c>
      <c r="I1261" s="18" t="s">
        <v>104</v>
      </c>
      <c r="J1261" s="31" t="s">
        <v>114</v>
      </c>
      <c r="K1261" s="31">
        <v>46180</v>
      </c>
      <c r="N1261" s="13" t="s">
        <v>29</v>
      </c>
      <c r="O1261" s="24" t="str">
        <f>IF(D1261="","",IF(COUNTIF(离职清单!C:C,D1261)&gt;0,"已离职","在职"))</f>
        <v>在职</v>
      </c>
      <c r="P1261" s="24">
        <f>IF(AND(O1261="在职",J1261="是"),COUNTIF(O$2:O1261,"在职"),"")</f>
        <v>1254</v>
      </c>
    </row>
    <row r="1262" ht="18" spans="1:16">
      <c r="A1262" s="10">
        <f t="shared" si="25"/>
        <v>1261</v>
      </c>
      <c r="B1262" s="31">
        <v>46178</v>
      </c>
      <c r="C1262" s="32" t="s">
        <v>1412</v>
      </c>
      <c r="D1262" s="120" t="s">
        <v>492</v>
      </c>
      <c r="E1262" s="33" t="s">
        <v>43</v>
      </c>
      <c r="F1262" s="18" t="s">
        <v>62</v>
      </c>
      <c r="G1262" s="18" t="s">
        <v>468</v>
      </c>
      <c r="H1262" s="34" t="s">
        <v>85</v>
      </c>
      <c r="I1262" s="18" t="s">
        <v>104</v>
      </c>
      <c r="J1262" s="31" t="s">
        <v>114</v>
      </c>
      <c r="K1262" s="31">
        <v>46179</v>
      </c>
      <c r="N1262" s="13" t="s">
        <v>29</v>
      </c>
      <c r="O1262" s="24" t="str">
        <f>IF(D1262="","",IF(COUNTIF(离职清单!C:C,D1262)&gt;0,"已离职","在职"))</f>
        <v>在职</v>
      </c>
      <c r="P1262" s="24">
        <f>IF(AND(O1262="在职",J1262="是"),COUNTIF(O$2:O1262,"在职"),"")</f>
        <v>1255</v>
      </c>
    </row>
    <row r="1263" ht="18" spans="1:16">
      <c r="A1263" s="14">
        <f t="shared" si="25"/>
        <v>1262</v>
      </c>
      <c r="B1263" s="31">
        <v>46178</v>
      </c>
      <c r="C1263" s="32" t="s">
        <v>1413</v>
      </c>
      <c r="D1263" s="120" t="s">
        <v>477</v>
      </c>
      <c r="E1263" s="33" t="s">
        <v>43</v>
      </c>
      <c r="F1263" s="18" t="s">
        <v>62</v>
      </c>
      <c r="G1263" s="18" t="s">
        <v>148</v>
      </c>
      <c r="H1263" s="34" t="s">
        <v>85</v>
      </c>
      <c r="I1263" s="18" t="s">
        <v>104</v>
      </c>
      <c r="J1263" s="31" t="s">
        <v>114</v>
      </c>
      <c r="K1263" s="31">
        <v>46182</v>
      </c>
      <c r="N1263" s="13" t="s">
        <v>29</v>
      </c>
      <c r="O1263" s="24" t="str">
        <f>IF(D1263="","",IF(COUNTIF(离职清单!C:C,D1263)&gt;0,"已离职","在职"))</f>
        <v>在职</v>
      </c>
      <c r="P1263" s="24">
        <f>IF(AND(O1263="在职",J1263="是"),COUNTIF(O$2:O1263,"在职"),"")</f>
        <v>1256</v>
      </c>
    </row>
    <row r="1264" ht="18" spans="1:16">
      <c r="A1264" s="10">
        <f t="shared" si="25"/>
        <v>1263</v>
      </c>
      <c r="B1264" s="31">
        <v>46178</v>
      </c>
      <c r="C1264" s="32" t="s">
        <v>1414</v>
      </c>
      <c r="D1264" s="120" t="s">
        <v>478</v>
      </c>
      <c r="E1264" s="33" t="s">
        <v>43</v>
      </c>
      <c r="F1264" s="18" t="s">
        <v>62</v>
      </c>
      <c r="G1264" s="18" t="s">
        <v>148</v>
      </c>
      <c r="H1264" s="34" t="s">
        <v>85</v>
      </c>
      <c r="I1264" s="18" t="s">
        <v>104</v>
      </c>
      <c r="J1264" s="31" t="s">
        <v>105</v>
      </c>
      <c r="K1264" s="31">
        <v>46182</v>
      </c>
      <c r="N1264" s="13" t="s">
        <v>29</v>
      </c>
      <c r="O1264" s="24" t="str">
        <f>IF(D1264="","",IF(COUNTIF(离职清单!C:C,D1264)&gt;0,"已离职","在职"))</f>
        <v>在职</v>
      </c>
      <c r="P1264" s="24" t="str">
        <f>IF(AND(O1264="在职",J1264="是"),COUNTIF(O$2:O1264,"在职"),"")</f>
        <v/>
      </c>
    </row>
    <row r="1265" ht="18" spans="1:16">
      <c r="A1265" s="14">
        <f t="shared" si="25"/>
        <v>1264</v>
      </c>
      <c r="B1265" s="31">
        <v>46178</v>
      </c>
      <c r="C1265" s="32" t="s">
        <v>1415</v>
      </c>
      <c r="D1265" s="120" t="s">
        <v>480</v>
      </c>
      <c r="E1265" s="33" t="s">
        <v>43</v>
      </c>
      <c r="F1265" s="18" t="s">
        <v>62</v>
      </c>
      <c r="G1265" s="18" t="s">
        <v>148</v>
      </c>
      <c r="H1265" s="34" t="s">
        <v>85</v>
      </c>
      <c r="I1265" s="18" t="s">
        <v>104</v>
      </c>
      <c r="J1265" s="31" t="s">
        <v>114</v>
      </c>
      <c r="K1265" s="31">
        <v>46182</v>
      </c>
      <c r="N1265" s="13" t="s">
        <v>29</v>
      </c>
      <c r="O1265" s="24" t="str">
        <f>IF(D1265="","",IF(COUNTIF(离职清单!C:C,D1265)&gt;0,"已离职","在职"))</f>
        <v>在职</v>
      </c>
      <c r="P1265" s="24">
        <f>IF(AND(O1265="在职",J1265="是"),COUNTIF(O$2:O1265,"在职"),"")</f>
        <v>1258</v>
      </c>
    </row>
    <row r="1266" ht="18" spans="1:16">
      <c r="A1266" s="10">
        <f t="shared" si="25"/>
        <v>1265</v>
      </c>
      <c r="B1266" s="31">
        <v>46178</v>
      </c>
      <c r="C1266" s="32" t="s">
        <v>914</v>
      </c>
      <c r="D1266" s="120" t="s">
        <v>482</v>
      </c>
      <c r="E1266" s="33" t="s">
        <v>43</v>
      </c>
      <c r="F1266" s="18" t="s">
        <v>64</v>
      </c>
      <c r="G1266" s="18" t="s">
        <v>148</v>
      </c>
      <c r="H1266" s="34" t="s">
        <v>85</v>
      </c>
      <c r="I1266" s="18" t="s">
        <v>104</v>
      </c>
      <c r="J1266" s="31" t="s">
        <v>105</v>
      </c>
      <c r="K1266" s="31"/>
      <c r="N1266" s="13" t="s">
        <v>29</v>
      </c>
      <c r="O1266" s="24" t="str">
        <f>IF(D1266="","",IF(COUNTIF(离职清单!C:C,D1266)&gt;0,"已离职","在职"))</f>
        <v>在职</v>
      </c>
      <c r="P1266" s="24" t="str">
        <f>IF(AND(O1266="在职",J1266="是"),COUNTIF(O$2:O1266,"在职"),"")</f>
        <v/>
      </c>
    </row>
    <row r="1267" ht="18" spans="1:16">
      <c r="A1267" s="14">
        <f t="shared" si="25"/>
        <v>1266</v>
      </c>
      <c r="B1267" s="31">
        <v>46178</v>
      </c>
      <c r="C1267" s="32" t="s">
        <v>1416</v>
      </c>
      <c r="D1267" s="120" t="s">
        <v>484</v>
      </c>
      <c r="E1267" s="33" t="s">
        <v>43</v>
      </c>
      <c r="F1267" s="18" t="s">
        <v>63</v>
      </c>
      <c r="G1267" s="18" t="s">
        <v>148</v>
      </c>
      <c r="H1267" s="34" t="s">
        <v>85</v>
      </c>
      <c r="I1267" s="18" t="s">
        <v>104</v>
      </c>
      <c r="J1267" s="31" t="s">
        <v>105</v>
      </c>
      <c r="K1267" s="31"/>
      <c r="N1267" s="13" t="s">
        <v>29</v>
      </c>
      <c r="O1267" s="24" t="str">
        <f>IF(D1267="","",IF(COUNTIF(离职清单!C:C,D1267)&gt;0,"已离职","在职"))</f>
        <v>在职</v>
      </c>
      <c r="P1267" s="24" t="str">
        <f>IF(AND(O1267="在职",J1267="是"),COUNTIF(O$2:O1267,"在职"),"")</f>
        <v/>
      </c>
    </row>
    <row r="1268" ht="18" spans="1:16">
      <c r="A1268" s="10">
        <f t="shared" si="25"/>
        <v>1267</v>
      </c>
      <c r="B1268" s="31">
        <v>46178</v>
      </c>
      <c r="C1268" s="32" t="s">
        <v>1417</v>
      </c>
      <c r="D1268" s="120" t="s">
        <v>486</v>
      </c>
      <c r="E1268" s="33" t="s">
        <v>43</v>
      </c>
      <c r="F1268" s="18" t="s">
        <v>62</v>
      </c>
      <c r="G1268" s="18" t="s">
        <v>148</v>
      </c>
      <c r="H1268" s="34" t="s">
        <v>85</v>
      </c>
      <c r="I1268" s="18" t="s">
        <v>104</v>
      </c>
      <c r="J1268" s="31" t="s">
        <v>105</v>
      </c>
      <c r="K1268" s="31">
        <v>46179</v>
      </c>
      <c r="N1268" s="13" t="s">
        <v>29</v>
      </c>
      <c r="O1268" s="24" t="str">
        <f>IF(D1268="","",IF(COUNTIF(离职清单!C:C,D1268)&gt;0,"已离职","在职"))</f>
        <v>在职</v>
      </c>
      <c r="P1268" s="24" t="str">
        <f>IF(AND(O1268="在职",J1268="是"),COUNTIF(O$2:O1268,"在职"),"")</f>
        <v/>
      </c>
    </row>
    <row r="1269" ht="18" spans="1:16">
      <c r="A1269" s="14">
        <f t="shared" si="25"/>
        <v>1268</v>
      </c>
      <c r="B1269" s="31">
        <v>46178</v>
      </c>
      <c r="C1269" s="32" t="s">
        <v>1418</v>
      </c>
      <c r="D1269" s="120" t="s">
        <v>488</v>
      </c>
      <c r="E1269" s="33" t="s">
        <v>43</v>
      </c>
      <c r="F1269" s="18" t="s">
        <v>63</v>
      </c>
      <c r="G1269" s="18" t="s">
        <v>173</v>
      </c>
      <c r="H1269" s="34" t="s">
        <v>85</v>
      </c>
      <c r="I1269" s="18" t="s">
        <v>104</v>
      </c>
      <c r="J1269" s="31" t="s">
        <v>114</v>
      </c>
      <c r="K1269" s="31">
        <v>46179</v>
      </c>
      <c r="N1269" s="13" t="s">
        <v>29</v>
      </c>
      <c r="O1269" s="24" t="str">
        <f>IF(D1269="","",IF(COUNTIF(离职清单!C:C,D1269)&gt;0,"已离职","在职"))</f>
        <v>在职</v>
      </c>
      <c r="P1269" s="24">
        <f>IF(AND(O1269="在职",J1269="是"),COUNTIF(O$2:O1269,"在职"),"")</f>
        <v>1262</v>
      </c>
    </row>
    <row r="1270" ht="18" spans="1:16">
      <c r="A1270" s="10">
        <f t="shared" si="25"/>
        <v>1269</v>
      </c>
      <c r="B1270" s="31">
        <v>46178</v>
      </c>
      <c r="C1270" s="32" t="s">
        <v>1419</v>
      </c>
      <c r="D1270" s="120" t="s">
        <v>490</v>
      </c>
      <c r="E1270" s="33" t="s">
        <v>43</v>
      </c>
      <c r="F1270" s="18" t="s">
        <v>63</v>
      </c>
      <c r="G1270" s="18" t="s">
        <v>173</v>
      </c>
      <c r="H1270" s="34" t="s">
        <v>85</v>
      </c>
      <c r="I1270" s="18" t="s">
        <v>104</v>
      </c>
      <c r="J1270" s="31" t="s">
        <v>114</v>
      </c>
      <c r="K1270" s="31">
        <v>46179</v>
      </c>
      <c r="N1270" s="13" t="s">
        <v>29</v>
      </c>
      <c r="O1270" s="24" t="str">
        <f>IF(D1270="","",IF(COUNTIF(离职清单!C:C,D1270)&gt;0,"已离职","在职"))</f>
        <v>在职</v>
      </c>
      <c r="P1270" s="24">
        <f>IF(AND(O1270="在职",J1270="是"),COUNTIF(O$2:O1270,"在职"),"")</f>
        <v>1263</v>
      </c>
    </row>
    <row r="1271" ht="18" spans="1:16">
      <c r="A1271" s="14">
        <f t="shared" si="25"/>
        <v>1270</v>
      </c>
      <c r="B1271" s="31">
        <v>46178</v>
      </c>
      <c r="C1271" s="32" t="s">
        <v>1420</v>
      </c>
      <c r="D1271" s="120" t="s">
        <v>492</v>
      </c>
      <c r="E1271" s="33" t="s">
        <v>43</v>
      </c>
      <c r="F1271" s="18" t="s">
        <v>63</v>
      </c>
      <c r="G1271" s="18" t="s">
        <v>1334</v>
      </c>
      <c r="H1271" s="34" t="s">
        <v>85</v>
      </c>
      <c r="I1271" s="18" t="s">
        <v>104</v>
      </c>
      <c r="J1271" s="31" t="s">
        <v>105</v>
      </c>
      <c r="K1271" s="31"/>
      <c r="N1271" s="13" t="s">
        <v>29</v>
      </c>
      <c r="O1271" s="24" t="str">
        <f>IF(D1271="","",IF(COUNTIF(离职清单!C:C,D1271)&gt;0,"已离职","在职"))</f>
        <v>在职</v>
      </c>
      <c r="P1271" s="24" t="str">
        <f>IF(AND(O1271="在职",J1271="是"),COUNTIF(O$2:O1271,"在职"),"")</f>
        <v/>
      </c>
    </row>
    <row r="1272" ht="18" spans="1:16">
      <c r="A1272" s="10">
        <f t="shared" si="25"/>
        <v>1271</v>
      </c>
      <c r="B1272" s="31">
        <v>46178</v>
      </c>
      <c r="C1272" s="32" t="s">
        <v>1421</v>
      </c>
      <c r="D1272" s="120" t="s">
        <v>477</v>
      </c>
      <c r="E1272" s="33" t="s">
        <v>43</v>
      </c>
      <c r="F1272" s="18" t="s">
        <v>62</v>
      </c>
      <c r="G1272" s="18" t="s">
        <v>796</v>
      </c>
      <c r="H1272" s="34" t="s">
        <v>85</v>
      </c>
      <c r="I1272" s="18" t="s">
        <v>104</v>
      </c>
      <c r="J1272" s="31" t="s">
        <v>114</v>
      </c>
      <c r="K1272" s="31">
        <v>46180</v>
      </c>
      <c r="N1272" s="13" t="s">
        <v>29</v>
      </c>
      <c r="O1272" s="24" t="str">
        <f>IF(D1272="","",IF(COUNTIF(离职清单!C:C,D1272)&gt;0,"已离职","在职"))</f>
        <v>在职</v>
      </c>
      <c r="P1272" s="24">
        <f>IF(AND(O1272="在职",J1272="是"),COUNTIF(O$2:O1272,"在职"),"")</f>
        <v>1265</v>
      </c>
    </row>
    <row r="1273" ht="18" spans="1:16">
      <c r="A1273" s="14">
        <f t="shared" si="25"/>
        <v>1272</v>
      </c>
      <c r="B1273" s="31">
        <v>46178</v>
      </c>
      <c r="C1273" s="32" t="s">
        <v>1422</v>
      </c>
      <c r="D1273" s="120" t="s">
        <v>478</v>
      </c>
      <c r="E1273" s="33" t="s">
        <v>43</v>
      </c>
      <c r="F1273" s="18" t="s">
        <v>62</v>
      </c>
      <c r="G1273" s="18" t="s">
        <v>733</v>
      </c>
      <c r="H1273" s="34" t="s">
        <v>85</v>
      </c>
      <c r="I1273" s="18" t="s">
        <v>104</v>
      </c>
      <c r="J1273" s="31" t="s">
        <v>114</v>
      </c>
      <c r="K1273" s="31">
        <v>46179</v>
      </c>
      <c r="N1273" s="13" t="s">
        <v>29</v>
      </c>
      <c r="O1273" s="24" t="str">
        <f>IF(D1273="","",IF(COUNTIF(离职清单!C:C,D1273)&gt;0,"已离职","在职"))</f>
        <v>在职</v>
      </c>
      <c r="P1273" s="24">
        <f>IF(AND(O1273="在职",J1273="是"),COUNTIF(O$2:O1273,"在职"),"")</f>
        <v>1266</v>
      </c>
    </row>
    <row r="1274" ht="18" spans="1:16">
      <c r="A1274" s="10">
        <f t="shared" si="25"/>
        <v>1273</v>
      </c>
      <c r="B1274" s="31">
        <v>46178</v>
      </c>
      <c r="C1274" s="32" t="s">
        <v>1423</v>
      </c>
      <c r="D1274" s="120" t="s">
        <v>480</v>
      </c>
      <c r="E1274" s="33" t="s">
        <v>43</v>
      </c>
      <c r="F1274" s="18" t="s">
        <v>63</v>
      </c>
      <c r="G1274" s="18" t="s">
        <v>733</v>
      </c>
      <c r="H1274" s="34" t="s">
        <v>85</v>
      </c>
      <c r="I1274" s="18" t="s">
        <v>104</v>
      </c>
      <c r="J1274" s="31" t="s">
        <v>114</v>
      </c>
      <c r="K1274" s="31">
        <v>46179</v>
      </c>
      <c r="N1274" s="13" t="s">
        <v>29</v>
      </c>
      <c r="O1274" s="24" t="str">
        <f>IF(D1274="","",IF(COUNTIF(离职清单!C:C,D1274)&gt;0,"已离职","在职"))</f>
        <v>在职</v>
      </c>
      <c r="P1274" s="24">
        <f>IF(AND(O1274="在职",J1274="是"),COUNTIF(O$2:O1274,"在职"),"")</f>
        <v>1267</v>
      </c>
    </row>
    <row r="1275" ht="18" spans="1:16">
      <c r="A1275" s="14">
        <f t="shared" si="25"/>
        <v>1274</v>
      </c>
      <c r="B1275" s="31">
        <v>46178</v>
      </c>
      <c r="C1275" s="32" t="s">
        <v>1424</v>
      </c>
      <c r="D1275" s="120" t="s">
        <v>482</v>
      </c>
      <c r="E1275" s="33" t="s">
        <v>43</v>
      </c>
      <c r="F1275" s="18" t="s">
        <v>63</v>
      </c>
      <c r="G1275" s="18" t="s">
        <v>733</v>
      </c>
      <c r="H1275" s="34" t="s">
        <v>85</v>
      </c>
      <c r="I1275" s="18" t="s">
        <v>104</v>
      </c>
      <c r="J1275" s="31" t="s">
        <v>105</v>
      </c>
      <c r="K1275" s="31">
        <v>46179</v>
      </c>
      <c r="N1275" s="13" t="s">
        <v>29</v>
      </c>
      <c r="O1275" s="24" t="str">
        <f>IF(D1275="","",IF(COUNTIF(离职清单!C:C,D1275)&gt;0,"已离职","在职"))</f>
        <v>在职</v>
      </c>
      <c r="P1275" s="24" t="str">
        <f>IF(AND(O1275="在职",J1275="是"),COUNTIF(O$2:O1275,"在职"),"")</f>
        <v/>
      </c>
    </row>
    <row r="1276" ht="18" spans="1:16">
      <c r="A1276" s="10">
        <f t="shared" si="25"/>
        <v>1275</v>
      </c>
      <c r="B1276" s="31">
        <v>46178</v>
      </c>
      <c r="C1276" s="32" t="s">
        <v>1425</v>
      </c>
      <c r="D1276" s="120" t="s">
        <v>484</v>
      </c>
      <c r="E1276" s="33" t="s">
        <v>43</v>
      </c>
      <c r="F1276" s="18" t="s">
        <v>62</v>
      </c>
      <c r="G1276" s="18" t="s">
        <v>1426</v>
      </c>
      <c r="H1276" s="34" t="s">
        <v>85</v>
      </c>
      <c r="I1276" s="18" t="s">
        <v>104</v>
      </c>
      <c r="J1276" s="31" t="s">
        <v>114</v>
      </c>
      <c r="K1276" s="31">
        <v>46180</v>
      </c>
      <c r="N1276" s="13" t="s">
        <v>29</v>
      </c>
      <c r="O1276" s="24" t="str">
        <f>IF(D1276="","",IF(COUNTIF(离职清单!C:C,D1276)&gt;0,"已离职","在职"))</f>
        <v>在职</v>
      </c>
      <c r="P1276" s="24">
        <f>IF(AND(O1276="在职",J1276="是"),COUNTIF(O$2:O1276,"在职"),"")</f>
        <v>1269</v>
      </c>
    </row>
    <row r="1277" ht="18" spans="1:16">
      <c r="A1277" s="14">
        <f t="shared" si="25"/>
        <v>1276</v>
      </c>
      <c r="B1277" s="31">
        <v>46178</v>
      </c>
      <c r="C1277" s="32" t="s">
        <v>1427</v>
      </c>
      <c r="D1277" s="120" t="s">
        <v>486</v>
      </c>
      <c r="E1277" s="33" t="s">
        <v>43</v>
      </c>
      <c r="F1277" s="18" t="s">
        <v>62</v>
      </c>
      <c r="G1277" s="18" t="s">
        <v>1426</v>
      </c>
      <c r="H1277" s="34" t="s">
        <v>85</v>
      </c>
      <c r="I1277" s="18" t="s">
        <v>104</v>
      </c>
      <c r="J1277" s="31" t="s">
        <v>105</v>
      </c>
      <c r="K1277" s="31">
        <v>46180</v>
      </c>
      <c r="N1277" s="13" t="s">
        <v>29</v>
      </c>
      <c r="O1277" s="24" t="str">
        <f>IF(D1277="","",IF(COUNTIF(离职清单!C:C,D1277)&gt;0,"已离职","在职"))</f>
        <v>在职</v>
      </c>
      <c r="P1277" s="24" t="str">
        <f>IF(AND(O1277="在职",J1277="是"),COUNTIF(O$2:O1277,"在职"),"")</f>
        <v/>
      </c>
    </row>
    <row r="1278" ht="18" spans="1:16">
      <c r="A1278" s="10">
        <f t="shared" si="25"/>
        <v>1277</v>
      </c>
      <c r="B1278" s="31">
        <v>46178</v>
      </c>
      <c r="C1278" s="32" t="s">
        <v>1428</v>
      </c>
      <c r="D1278" s="120" t="s">
        <v>488</v>
      </c>
      <c r="E1278" s="33" t="s">
        <v>43</v>
      </c>
      <c r="F1278" s="18" t="s">
        <v>63</v>
      </c>
      <c r="G1278" s="18" t="s">
        <v>744</v>
      </c>
      <c r="H1278" s="34" t="s">
        <v>85</v>
      </c>
      <c r="I1278" s="18" t="s">
        <v>104</v>
      </c>
      <c r="J1278" s="31" t="s">
        <v>105</v>
      </c>
      <c r="K1278" s="31"/>
      <c r="N1278" s="13" t="s">
        <v>29</v>
      </c>
      <c r="O1278" s="24" t="str">
        <f>IF(D1278="","",IF(COUNTIF(离职清单!C:C,D1278)&gt;0,"已离职","在职"))</f>
        <v>在职</v>
      </c>
      <c r="P1278" s="24" t="str">
        <f>IF(AND(O1278="在职",J1278="是"),COUNTIF(O$2:O1278,"在职"),"")</f>
        <v/>
      </c>
    </row>
    <row r="1279" ht="18" spans="1:16">
      <c r="A1279" s="14">
        <f t="shared" si="25"/>
        <v>1278</v>
      </c>
      <c r="B1279" s="31">
        <v>46178</v>
      </c>
      <c r="C1279" s="32" t="s">
        <v>1429</v>
      </c>
      <c r="D1279" s="120" t="s">
        <v>490</v>
      </c>
      <c r="E1279" s="33" t="s">
        <v>43</v>
      </c>
      <c r="F1279" s="18" t="s">
        <v>62</v>
      </c>
      <c r="G1279" s="18" t="s">
        <v>124</v>
      </c>
      <c r="H1279" s="34" t="s">
        <v>85</v>
      </c>
      <c r="I1279" s="18" t="s">
        <v>104</v>
      </c>
      <c r="J1279" s="31" t="s">
        <v>114</v>
      </c>
      <c r="K1279" s="31">
        <v>46180</v>
      </c>
      <c r="N1279" s="13" t="s">
        <v>29</v>
      </c>
      <c r="O1279" s="24" t="str">
        <f>IF(D1279="","",IF(COUNTIF(离职清单!C:C,D1279)&gt;0,"已离职","在职"))</f>
        <v>在职</v>
      </c>
      <c r="P1279" s="24">
        <f>IF(AND(O1279="在职",J1279="是"),COUNTIF(O$2:O1279,"在职"),"")</f>
        <v>1272</v>
      </c>
    </row>
    <row r="1280" ht="18" spans="1:16">
      <c r="A1280" s="10">
        <f t="shared" si="25"/>
        <v>1279</v>
      </c>
      <c r="B1280" s="31">
        <v>46178</v>
      </c>
      <c r="C1280" s="32" t="s">
        <v>1430</v>
      </c>
      <c r="D1280" s="120" t="s">
        <v>492</v>
      </c>
      <c r="E1280" s="33" t="s">
        <v>43</v>
      </c>
      <c r="F1280" s="18" t="s">
        <v>63</v>
      </c>
      <c r="G1280" s="18" t="s">
        <v>124</v>
      </c>
      <c r="H1280" s="34" t="s">
        <v>85</v>
      </c>
      <c r="I1280" s="18" t="s">
        <v>104</v>
      </c>
      <c r="J1280" s="31" t="s">
        <v>114</v>
      </c>
      <c r="K1280" s="31">
        <v>46180</v>
      </c>
      <c r="N1280" s="13" t="s">
        <v>29</v>
      </c>
      <c r="O1280" s="24" t="str">
        <f>IF(D1280="","",IF(COUNTIF(离职清单!C:C,D1280)&gt;0,"已离职","在职"))</f>
        <v>在职</v>
      </c>
      <c r="P1280" s="24">
        <f>IF(AND(O1280="在职",J1280="是"),COUNTIF(O$2:O1280,"在职"),"")</f>
        <v>1273</v>
      </c>
    </row>
    <row r="1281" ht="18" spans="1:16">
      <c r="A1281" s="14">
        <f t="shared" si="25"/>
        <v>1280</v>
      </c>
      <c r="B1281" s="31">
        <v>46178</v>
      </c>
      <c r="C1281" s="32" t="s">
        <v>1431</v>
      </c>
      <c r="D1281" s="120" t="s">
        <v>477</v>
      </c>
      <c r="E1281" s="33" t="s">
        <v>43</v>
      </c>
      <c r="F1281" s="18" t="s">
        <v>63</v>
      </c>
      <c r="G1281" s="18" t="s">
        <v>124</v>
      </c>
      <c r="H1281" s="34" t="s">
        <v>85</v>
      </c>
      <c r="I1281" s="18" t="s">
        <v>104</v>
      </c>
      <c r="J1281" s="31" t="s">
        <v>114</v>
      </c>
      <c r="K1281" s="31">
        <v>46179</v>
      </c>
      <c r="N1281" s="13" t="s">
        <v>29</v>
      </c>
      <c r="O1281" s="24" t="str">
        <f>IF(D1281="","",IF(COUNTIF(离职清单!C:C,D1281)&gt;0,"已离职","在职"))</f>
        <v>在职</v>
      </c>
      <c r="P1281" s="24">
        <f>IF(AND(O1281="在职",J1281="是"),COUNTIF(O$2:O1281,"在职"),"")</f>
        <v>1274</v>
      </c>
    </row>
    <row r="1282" ht="18" spans="1:16">
      <c r="A1282" s="10">
        <f t="shared" si="25"/>
        <v>1281</v>
      </c>
      <c r="B1282" s="31">
        <v>46178</v>
      </c>
      <c r="C1282" s="32" t="s">
        <v>1432</v>
      </c>
      <c r="D1282" s="120" t="s">
        <v>477</v>
      </c>
      <c r="E1282" s="33" t="s">
        <v>43</v>
      </c>
      <c r="F1282" s="18" t="s">
        <v>63</v>
      </c>
      <c r="G1282" s="18" t="s">
        <v>810</v>
      </c>
      <c r="H1282" s="34" t="s">
        <v>85</v>
      </c>
      <c r="I1282" s="18" t="s">
        <v>104</v>
      </c>
      <c r="J1282" s="31" t="s">
        <v>105</v>
      </c>
      <c r="K1282" s="31"/>
      <c r="N1282" s="13" t="s">
        <v>29</v>
      </c>
      <c r="O1282" s="24" t="str">
        <f>IF(D1282="","",IF(COUNTIF(离职清单!C:C,D1282)&gt;0,"已离职","在职"))</f>
        <v>在职</v>
      </c>
      <c r="P1282" s="24" t="str">
        <f>IF(AND(O1282="在职",J1282="是"),COUNTIF(O$2:O1282,"在职"),"")</f>
        <v/>
      </c>
    </row>
    <row r="1283" ht="18" spans="1:16">
      <c r="A1283" s="14">
        <f t="shared" si="25"/>
        <v>1282</v>
      </c>
      <c r="B1283" s="31">
        <v>46178</v>
      </c>
      <c r="C1283" s="32" t="s">
        <v>1433</v>
      </c>
      <c r="D1283" s="120" t="s">
        <v>478</v>
      </c>
      <c r="E1283" s="33" t="s">
        <v>43</v>
      </c>
      <c r="F1283" s="18" t="s">
        <v>63</v>
      </c>
      <c r="G1283" s="18" t="s">
        <v>173</v>
      </c>
      <c r="H1283" s="34" t="s">
        <v>85</v>
      </c>
      <c r="I1283" s="18" t="s">
        <v>104</v>
      </c>
      <c r="J1283" s="31" t="s">
        <v>114</v>
      </c>
      <c r="K1283" s="31">
        <v>46182</v>
      </c>
      <c r="N1283" s="13" t="s">
        <v>29</v>
      </c>
      <c r="O1283" s="24" t="str">
        <f>IF(D1283="","",IF(COUNTIF(离职清单!C:C,D1283)&gt;0,"已离职","在职"))</f>
        <v>在职</v>
      </c>
      <c r="P1283" s="24">
        <f>IF(AND(O1283="在职",J1283="是"),COUNTIF(O$2:O1283,"在职"),"")</f>
        <v>1276</v>
      </c>
    </row>
    <row r="1284" ht="18" spans="1:16">
      <c r="A1284" s="10">
        <f t="shared" si="25"/>
        <v>1283</v>
      </c>
      <c r="B1284" s="31">
        <v>46178</v>
      </c>
      <c r="C1284" s="32" t="s">
        <v>1434</v>
      </c>
      <c r="D1284" s="120" t="s">
        <v>480</v>
      </c>
      <c r="E1284" s="33" t="s">
        <v>43</v>
      </c>
      <c r="F1284" s="18" t="s">
        <v>63</v>
      </c>
      <c r="G1284" s="18" t="s">
        <v>148</v>
      </c>
      <c r="H1284" s="34" t="s">
        <v>85</v>
      </c>
      <c r="I1284" s="18" t="s">
        <v>104</v>
      </c>
      <c r="J1284" s="31" t="s">
        <v>114</v>
      </c>
      <c r="K1284" s="31">
        <v>46180</v>
      </c>
      <c r="N1284" s="13" t="s">
        <v>29</v>
      </c>
      <c r="O1284" s="24" t="str">
        <f>IF(D1284="","",IF(COUNTIF(离职清单!C:C,D1284)&gt;0,"已离职","在职"))</f>
        <v>在职</v>
      </c>
      <c r="P1284" s="24">
        <f>IF(AND(O1284="在职",J1284="是"),COUNTIF(O$2:O1284,"在职"),"")</f>
        <v>1277</v>
      </c>
    </row>
    <row r="1285" ht="18" spans="1:16">
      <c r="A1285" s="14">
        <f t="shared" si="25"/>
        <v>1284</v>
      </c>
      <c r="B1285" s="31">
        <v>46178</v>
      </c>
      <c r="C1285" s="32" t="s">
        <v>1435</v>
      </c>
      <c r="D1285" s="120" t="s">
        <v>482</v>
      </c>
      <c r="E1285" s="33" t="s">
        <v>43</v>
      </c>
      <c r="F1285" s="18" t="s">
        <v>63</v>
      </c>
      <c r="G1285" s="18" t="s">
        <v>148</v>
      </c>
      <c r="H1285" s="34" t="s">
        <v>85</v>
      </c>
      <c r="I1285" s="18" t="s">
        <v>104</v>
      </c>
      <c r="J1285" s="31" t="s">
        <v>114</v>
      </c>
      <c r="K1285" s="31">
        <v>46182</v>
      </c>
      <c r="N1285" s="13" t="s">
        <v>29</v>
      </c>
      <c r="O1285" s="24" t="str">
        <f>IF(D1285="","",IF(COUNTIF(离职清单!C:C,D1285)&gt;0,"已离职","在职"))</f>
        <v>在职</v>
      </c>
      <c r="P1285" s="24">
        <f>IF(AND(O1285="在职",J1285="是"),COUNTIF(O$2:O1285,"在职"),"")</f>
        <v>1278</v>
      </c>
    </row>
    <row r="1286" ht="18" spans="1:16">
      <c r="A1286" s="10">
        <f t="shared" si="25"/>
        <v>1285</v>
      </c>
      <c r="B1286" s="31">
        <v>46178</v>
      </c>
      <c r="C1286" s="32" t="s">
        <v>1436</v>
      </c>
      <c r="D1286" s="120" t="s">
        <v>484</v>
      </c>
      <c r="E1286" s="33" t="s">
        <v>43</v>
      </c>
      <c r="F1286" s="18" t="s">
        <v>63</v>
      </c>
      <c r="G1286" s="18" t="s">
        <v>135</v>
      </c>
      <c r="H1286" s="34" t="s">
        <v>85</v>
      </c>
      <c r="I1286" s="18" t="s">
        <v>104</v>
      </c>
      <c r="J1286" s="31" t="s">
        <v>114</v>
      </c>
      <c r="K1286" s="31">
        <v>46181</v>
      </c>
      <c r="N1286" s="13" t="s">
        <v>29</v>
      </c>
      <c r="O1286" s="24" t="str">
        <f>IF(D1286="","",IF(COUNTIF(离职清单!C:C,D1286)&gt;0,"已离职","在职"))</f>
        <v>在职</v>
      </c>
      <c r="P1286" s="24">
        <f>IF(AND(O1286="在职",J1286="是"),COUNTIF(O$2:O1286,"在职"),"")</f>
        <v>1279</v>
      </c>
    </row>
    <row r="1287" ht="18" spans="1:16">
      <c r="A1287" s="14">
        <f t="shared" si="25"/>
        <v>1286</v>
      </c>
      <c r="B1287" s="31">
        <v>46179</v>
      </c>
      <c r="C1287" s="32" t="s">
        <v>1437</v>
      </c>
      <c r="D1287" s="120" t="s">
        <v>486</v>
      </c>
      <c r="E1287" s="33" t="s">
        <v>43</v>
      </c>
      <c r="F1287" s="18" t="s">
        <v>63</v>
      </c>
      <c r="G1287" s="18" t="s">
        <v>631</v>
      </c>
      <c r="H1287" s="34" t="s">
        <v>85</v>
      </c>
      <c r="I1287" s="18" t="s">
        <v>104</v>
      </c>
      <c r="J1287" s="31" t="s">
        <v>105</v>
      </c>
      <c r="K1287" s="31"/>
      <c r="N1287" s="13" t="s">
        <v>29</v>
      </c>
      <c r="O1287" s="24" t="str">
        <f>IF(D1287="","",IF(COUNTIF(离职清单!C:C,D1287)&gt;0,"已离职","在职"))</f>
        <v>在职</v>
      </c>
      <c r="P1287" s="24" t="str">
        <f>IF(AND(O1287="在职",J1287="是"),COUNTIF(O$2:O1287,"在职"),"")</f>
        <v/>
      </c>
    </row>
    <row r="1288" ht="18" spans="1:16">
      <c r="A1288" s="10">
        <f t="shared" si="25"/>
        <v>1287</v>
      </c>
      <c r="B1288" s="31">
        <v>46179</v>
      </c>
      <c r="C1288" s="32" t="s">
        <v>1438</v>
      </c>
      <c r="D1288" s="120" t="s">
        <v>488</v>
      </c>
      <c r="E1288" s="33" t="s">
        <v>43</v>
      </c>
      <c r="F1288" s="18" t="s">
        <v>63</v>
      </c>
      <c r="G1288" s="18" t="s">
        <v>176</v>
      </c>
      <c r="H1288" s="34" t="s">
        <v>85</v>
      </c>
      <c r="I1288" s="18" t="s">
        <v>104</v>
      </c>
      <c r="J1288" s="31" t="s">
        <v>114</v>
      </c>
      <c r="K1288" s="31">
        <v>46181</v>
      </c>
      <c r="N1288" s="13" t="s">
        <v>29</v>
      </c>
      <c r="O1288" s="24" t="str">
        <f>IF(D1288="","",IF(COUNTIF(离职清单!C:C,D1288)&gt;0,"已离职","在职"))</f>
        <v>在职</v>
      </c>
      <c r="P1288" s="24">
        <f>IF(AND(O1288="在职",J1288="是"),COUNTIF(O$2:O1288,"在职"),"")</f>
        <v>1281</v>
      </c>
    </row>
    <row r="1289" ht="18" spans="1:16">
      <c r="A1289" s="14">
        <f t="shared" si="25"/>
        <v>1288</v>
      </c>
      <c r="B1289" s="31">
        <v>46179</v>
      </c>
      <c r="C1289" s="32" t="s">
        <v>1439</v>
      </c>
      <c r="D1289" s="120" t="s">
        <v>490</v>
      </c>
      <c r="E1289" s="33" t="s">
        <v>43</v>
      </c>
      <c r="F1289" s="18" t="s">
        <v>62</v>
      </c>
      <c r="G1289" s="18" t="s">
        <v>468</v>
      </c>
      <c r="H1289" s="34" t="s">
        <v>85</v>
      </c>
      <c r="I1289" s="18" t="s">
        <v>104</v>
      </c>
      <c r="J1289" s="31" t="s">
        <v>105</v>
      </c>
      <c r="K1289" s="31"/>
      <c r="N1289" s="13" t="s">
        <v>29</v>
      </c>
      <c r="O1289" s="24" t="str">
        <f>IF(D1289="","",IF(COUNTIF(离职清单!C:C,D1289)&gt;0,"已离职","在职"))</f>
        <v>在职</v>
      </c>
      <c r="P1289" s="24" t="str">
        <f>IF(AND(O1289="在职",J1289="是"),COUNTIF(O$2:O1289,"在职"),"")</f>
        <v/>
      </c>
    </row>
    <row r="1290" ht="18" spans="1:16">
      <c r="A1290" s="10">
        <f t="shared" si="25"/>
        <v>1289</v>
      </c>
      <c r="B1290" s="31">
        <v>46179</v>
      </c>
      <c r="C1290" s="32" t="s">
        <v>1440</v>
      </c>
      <c r="D1290" s="120" t="s">
        <v>492</v>
      </c>
      <c r="E1290" s="33" t="s">
        <v>43</v>
      </c>
      <c r="F1290" s="18" t="s">
        <v>63</v>
      </c>
      <c r="G1290" s="18" t="s">
        <v>468</v>
      </c>
      <c r="H1290" s="34" t="s">
        <v>85</v>
      </c>
      <c r="I1290" s="18" t="s">
        <v>104</v>
      </c>
      <c r="J1290" s="31" t="s">
        <v>105</v>
      </c>
      <c r="K1290" s="31"/>
      <c r="N1290" s="13" t="s">
        <v>29</v>
      </c>
      <c r="O1290" s="24" t="str">
        <f>IF(D1290="","",IF(COUNTIF(离职清单!C:C,D1290)&gt;0,"已离职","在职"))</f>
        <v>在职</v>
      </c>
      <c r="P1290" s="24" t="str">
        <f>IF(AND(O1290="在职",J1290="是"),COUNTIF(O$2:O1290,"在职"),"")</f>
        <v/>
      </c>
    </row>
    <row r="1291" ht="18" spans="1:16">
      <c r="A1291" s="14">
        <f t="shared" si="25"/>
        <v>1290</v>
      </c>
      <c r="B1291" s="31">
        <v>46179</v>
      </c>
      <c r="C1291" s="32" t="s">
        <v>1441</v>
      </c>
      <c r="D1291" s="120" t="s">
        <v>477</v>
      </c>
      <c r="E1291" s="33" t="s">
        <v>43</v>
      </c>
      <c r="F1291" s="18" t="s">
        <v>62</v>
      </c>
      <c r="G1291" s="18" t="s">
        <v>468</v>
      </c>
      <c r="H1291" s="34" t="s">
        <v>85</v>
      </c>
      <c r="I1291" s="18" t="s">
        <v>104</v>
      </c>
      <c r="J1291" s="31" t="s">
        <v>105</v>
      </c>
      <c r="K1291" s="31"/>
      <c r="N1291" s="13" t="s">
        <v>29</v>
      </c>
      <c r="O1291" s="24" t="str">
        <f>IF(D1291="","",IF(COUNTIF(离职清单!C:C,D1291)&gt;0,"已离职","在职"))</f>
        <v>在职</v>
      </c>
      <c r="P1291" s="24" t="str">
        <f>IF(AND(O1291="在职",J1291="是"),COUNTIF(O$2:O1291,"在职"),"")</f>
        <v/>
      </c>
    </row>
    <row r="1292" ht="18" spans="1:16">
      <c r="A1292" s="10">
        <f t="shared" si="25"/>
        <v>1291</v>
      </c>
      <c r="B1292" s="31">
        <v>46179</v>
      </c>
      <c r="C1292" s="32" t="s">
        <v>1442</v>
      </c>
      <c r="D1292" s="120" t="s">
        <v>478</v>
      </c>
      <c r="E1292" s="33" t="s">
        <v>43</v>
      </c>
      <c r="F1292" s="18" t="s">
        <v>62</v>
      </c>
      <c r="G1292" s="18" t="s">
        <v>796</v>
      </c>
      <c r="H1292" s="34" t="s">
        <v>85</v>
      </c>
      <c r="I1292" s="18" t="s">
        <v>104</v>
      </c>
      <c r="J1292" s="31" t="s">
        <v>114</v>
      </c>
      <c r="K1292" s="31">
        <v>46180</v>
      </c>
      <c r="N1292" s="13" t="s">
        <v>29</v>
      </c>
      <c r="O1292" s="24" t="str">
        <f>IF(D1292="","",IF(COUNTIF(离职清单!C:C,D1292)&gt;0,"已离职","在职"))</f>
        <v>在职</v>
      </c>
      <c r="P1292" s="24">
        <f>IF(AND(O1292="在职",J1292="是"),COUNTIF(O$2:O1292,"在职"),"")</f>
        <v>1285</v>
      </c>
    </row>
    <row r="1293" ht="18" spans="1:16">
      <c r="A1293" s="14">
        <f t="shared" si="25"/>
        <v>1292</v>
      </c>
      <c r="B1293" s="31">
        <v>46179</v>
      </c>
      <c r="C1293" s="32" t="s">
        <v>1443</v>
      </c>
      <c r="D1293" s="120" t="s">
        <v>480</v>
      </c>
      <c r="E1293" s="33" t="s">
        <v>43</v>
      </c>
      <c r="F1293" s="18" t="s">
        <v>62</v>
      </c>
      <c r="G1293" s="18" t="s">
        <v>796</v>
      </c>
      <c r="H1293" s="34" t="s">
        <v>85</v>
      </c>
      <c r="I1293" s="18" t="s">
        <v>104</v>
      </c>
      <c r="J1293" s="31" t="s">
        <v>114</v>
      </c>
      <c r="K1293" s="31">
        <v>46180</v>
      </c>
      <c r="N1293" s="13" t="s">
        <v>29</v>
      </c>
      <c r="O1293" s="24" t="str">
        <f>IF(D1293="","",IF(COUNTIF(离职清单!C:C,D1293)&gt;0,"已离职","在职"))</f>
        <v>在职</v>
      </c>
      <c r="P1293" s="24">
        <f>IF(AND(O1293="在职",J1293="是"),COUNTIF(O$2:O1293,"在职"),"")</f>
        <v>1286</v>
      </c>
    </row>
    <row r="1294" ht="18" spans="1:16">
      <c r="A1294" s="10">
        <f t="shared" si="25"/>
        <v>1293</v>
      </c>
      <c r="B1294" s="31">
        <v>46179</v>
      </c>
      <c r="C1294" s="32" t="s">
        <v>1444</v>
      </c>
      <c r="D1294" s="120" t="s">
        <v>482</v>
      </c>
      <c r="E1294" s="33" t="s">
        <v>43</v>
      </c>
      <c r="F1294" s="18" t="s">
        <v>63</v>
      </c>
      <c r="G1294" s="18" t="s">
        <v>148</v>
      </c>
      <c r="H1294" s="34" t="s">
        <v>85</v>
      </c>
      <c r="I1294" s="18" t="s">
        <v>104</v>
      </c>
      <c r="J1294" s="31" t="s">
        <v>105</v>
      </c>
      <c r="K1294" s="31"/>
      <c r="N1294" s="13" t="s">
        <v>29</v>
      </c>
      <c r="O1294" s="24" t="str">
        <f>IF(D1294="","",IF(COUNTIF(离职清单!C:C,D1294)&gt;0,"已离职","在职"))</f>
        <v>在职</v>
      </c>
      <c r="P1294" s="24" t="str">
        <f>IF(AND(O1294="在职",J1294="是"),COUNTIF(O$2:O1294,"在职"),"")</f>
        <v/>
      </c>
    </row>
    <row r="1295" ht="18" spans="1:16">
      <c r="A1295" s="14">
        <f t="shared" si="25"/>
        <v>1294</v>
      </c>
      <c r="B1295" s="31">
        <v>46179</v>
      </c>
      <c r="C1295" s="32" t="s">
        <v>780</v>
      </c>
      <c r="D1295" s="120" t="s">
        <v>484</v>
      </c>
      <c r="E1295" s="33" t="s">
        <v>43</v>
      </c>
      <c r="F1295" s="18" t="s">
        <v>64</v>
      </c>
      <c r="G1295" s="18" t="s">
        <v>148</v>
      </c>
      <c r="H1295" s="34" t="s">
        <v>85</v>
      </c>
      <c r="I1295" s="18" t="s">
        <v>104</v>
      </c>
      <c r="J1295" s="31" t="s">
        <v>105</v>
      </c>
      <c r="K1295" s="31"/>
      <c r="N1295" s="13" t="s">
        <v>29</v>
      </c>
      <c r="O1295" s="24" t="str">
        <f>IF(D1295="","",IF(COUNTIF(离职清单!C:C,D1295)&gt;0,"已离职","在职"))</f>
        <v>在职</v>
      </c>
      <c r="P1295" s="24" t="str">
        <f>IF(AND(O1295="在职",J1295="是"),COUNTIF(O$2:O1295,"在职"),"")</f>
        <v/>
      </c>
    </row>
    <row r="1296" ht="18" spans="1:16">
      <c r="A1296" s="10">
        <f t="shared" si="25"/>
        <v>1295</v>
      </c>
      <c r="B1296" s="31">
        <v>46179</v>
      </c>
      <c r="C1296" s="32" t="s">
        <v>1445</v>
      </c>
      <c r="D1296" s="120" t="s">
        <v>486</v>
      </c>
      <c r="E1296" s="33" t="s">
        <v>43</v>
      </c>
      <c r="F1296" s="18" t="s">
        <v>64</v>
      </c>
      <c r="G1296" s="18" t="s">
        <v>148</v>
      </c>
      <c r="H1296" s="34" t="s">
        <v>85</v>
      </c>
      <c r="I1296" s="18" t="s">
        <v>104</v>
      </c>
      <c r="J1296" s="31" t="s">
        <v>105</v>
      </c>
      <c r="K1296" s="31"/>
      <c r="N1296" s="13" t="s">
        <v>29</v>
      </c>
      <c r="O1296" s="24" t="str">
        <f>IF(D1296="","",IF(COUNTIF(离职清单!C:C,D1296)&gt;0,"已离职","在职"))</f>
        <v>在职</v>
      </c>
      <c r="P1296" s="24" t="str">
        <f>IF(AND(O1296="在职",J1296="是"),COUNTIF(O$2:O1296,"在职"),"")</f>
        <v/>
      </c>
    </row>
    <row r="1297" ht="18" spans="1:16">
      <c r="A1297" s="14">
        <f t="shared" si="25"/>
        <v>1296</v>
      </c>
      <c r="B1297" s="31">
        <v>46179</v>
      </c>
      <c r="C1297" s="32" t="s">
        <v>1446</v>
      </c>
      <c r="D1297" s="120" t="s">
        <v>488</v>
      </c>
      <c r="E1297" s="33" t="s">
        <v>43</v>
      </c>
      <c r="F1297" s="18" t="s">
        <v>63</v>
      </c>
      <c r="G1297" s="18" t="s">
        <v>124</v>
      </c>
      <c r="H1297" s="34" t="s">
        <v>85</v>
      </c>
      <c r="I1297" s="18" t="s">
        <v>104</v>
      </c>
      <c r="J1297" s="31" t="s">
        <v>114</v>
      </c>
      <c r="K1297" s="31">
        <v>46182</v>
      </c>
      <c r="N1297" s="13" t="s">
        <v>29</v>
      </c>
      <c r="O1297" s="24" t="str">
        <f>IF(D1297="","",IF(COUNTIF(离职清单!C:C,D1297)&gt;0,"已离职","在职"))</f>
        <v>在职</v>
      </c>
      <c r="P1297" s="24">
        <f>IF(AND(O1297="在职",J1297="是"),COUNTIF(O$2:O1297,"在职"),"")</f>
        <v>1290</v>
      </c>
    </row>
    <row r="1298" ht="18" spans="1:16">
      <c r="A1298" s="10">
        <f t="shared" si="25"/>
        <v>1297</v>
      </c>
      <c r="B1298" s="31">
        <v>46179</v>
      </c>
      <c r="C1298" s="32" t="s">
        <v>1447</v>
      </c>
      <c r="D1298" s="120" t="s">
        <v>490</v>
      </c>
      <c r="E1298" s="33" t="s">
        <v>43</v>
      </c>
      <c r="F1298" s="18" t="s">
        <v>63</v>
      </c>
      <c r="G1298" s="18" t="s">
        <v>124</v>
      </c>
      <c r="H1298" s="34" t="s">
        <v>85</v>
      </c>
      <c r="I1298" s="18" t="s">
        <v>104</v>
      </c>
      <c r="J1298" s="31" t="s">
        <v>114</v>
      </c>
      <c r="K1298" s="31">
        <v>46181</v>
      </c>
      <c r="N1298" s="13" t="s">
        <v>29</v>
      </c>
      <c r="O1298" s="24" t="str">
        <f>IF(D1298="","",IF(COUNTIF(离职清单!C:C,D1298)&gt;0,"已离职","在职"))</f>
        <v>在职</v>
      </c>
      <c r="P1298" s="24">
        <f>IF(AND(O1298="在职",J1298="是"),COUNTIF(O$2:O1298,"在职"),"")</f>
        <v>1291</v>
      </c>
    </row>
    <row r="1299" ht="18" spans="1:16">
      <c r="A1299" s="14">
        <f t="shared" si="25"/>
        <v>1298</v>
      </c>
      <c r="B1299" s="31">
        <v>46179</v>
      </c>
      <c r="C1299" s="32" t="s">
        <v>1448</v>
      </c>
      <c r="D1299" s="120" t="s">
        <v>492</v>
      </c>
      <c r="E1299" s="33" t="s">
        <v>43</v>
      </c>
      <c r="F1299" s="18" t="s">
        <v>63</v>
      </c>
      <c r="G1299" s="18" t="s">
        <v>173</v>
      </c>
      <c r="H1299" s="34" t="s">
        <v>85</v>
      </c>
      <c r="I1299" s="18" t="s">
        <v>104</v>
      </c>
      <c r="J1299" s="31" t="s">
        <v>105</v>
      </c>
      <c r="K1299" s="31">
        <v>46180</v>
      </c>
      <c r="N1299" s="13" t="s">
        <v>29</v>
      </c>
      <c r="O1299" s="24" t="str">
        <f>IF(D1299="","",IF(COUNTIF(离职清单!C:C,D1299)&gt;0,"已离职","在职"))</f>
        <v>在职</v>
      </c>
      <c r="P1299" s="24" t="str">
        <f>IF(AND(O1299="在职",J1299="是"),COUNTIF(O$2:O1299,"在职"),"")</f>
        <v/>
      </c>
    </row>
    <row r="1300" ht="18" spans="1:16">
      <c r="A1300" s="10">
        <f t="shared" si="25"/>
        <v>1299</v>
      </c>
      <c r="B1300" s="31">
        <v>46179</v>
      </c>
      <c r="C1300" s="32" t="s">
        <v>1449</v>
      </c>
      <c r="D1300" s="120" t="s">
        <v>477</v>
      </c>
      <c r="E1300" s="33" t="s">
        <v>43</v>
      </c>
      <c r="F1300" s="18" t="s">
        <v>62</v>
      </c>
      <c r="G1300" s="18" t="s">
        <v>173</v>
      </c>
      <c r="H1300" s="34" t="s">
        <v>85</v>
      </c>
      <c r="I1300" s="18" t="s">
        <v>104</v>
      </c>
      <c r="J1300" s="31" t="s">
        <v>114</v>
      </c>
      <c r="K1300" s="31">
        <v>46182</v>
      </c>
      <c r="N1300" s="13" t="s">
        <v>29</v>
      </c>
      <c r="O1300" s="24" t="str">
        <f>IF(D1300="","",IF(COUNTIF(离职清单!C:C,D1300)&gt;0,"已离职","在职"))</f>
        <v>在职</v>
      </c>
      <c r="P1300" s="24">
        <f>IF(AND(O1300="在职",J1300="是"),COUNTIF(O$2:O1300,"在职"),"")</f>
        <v>1293</v>
      </c>
    </row>
    <row r="1301" ht="18" spans="1:16">
      <c r="A1301" s="14">
        <f t="shared" si="25"/>
        <v>1300</v>
      </c>
      <c r="B1301" s="31">
        <v>46179</v>
      </c>
      <c r="C1301" s="32" t="s">
        <v>1450</v>
      </c>
      <c r="D1301" s="120" t="s">
        <v>478</v>
      </c>
      <c r="E1301" s="33" t="s">
        <v>43</v>
      </c>
      <c r="F1301" s="18" t="s">
        <v>62</v>
      </c>
      <c r="G1301" s="18" t="s">
        <v>173</v>
      </c>
      <c r="H1301" s="34" t="s">
        <v>85</v>
      </c>
      <c r="I1301" s="18" t="s">
        <v>104</v>
      </c>
      <c r="J1301" s="31" t="s">
        <v>105</v>
      </c>
      <c r="K1301" s="31"/>
      <c r="N1301" s="13" t="s">
        <v>29</v>
      </c>
      <c r="O1301" s="24" t="str">
        <f>IF(D1301="","",IF(COUNTIF(离职清单!C:C,D1301)&gt;0,"已离职","在职"))</f>
        <v>在职</v>
      </c>
      <c r="P1301" s="24" t="str">
        <f>IF(AND(O1301="在职",J1301="是"),COUNTIF(O$2:O1301,"在职"),"")</f>
        <v/>
      </c>
    </row>
    <row r="1302" ht="18" spans="1:16">
      <c r="A1302" s="10">
        <f t="shared" si="25"/>
        <v>1301</v>
      </c>
      <c r="B1302" s="31">
        <v>46179</v>
      </c>
      <c r="C1302" s="32" t="s">
        <v>1451</v>
      </c>
      <c r="D1302" s="120" t="s">
        <v>480</v>
      </c>
      <c r="E1302" s="33" t="s">
        <v>43</v>
      </c>
      <c r="F1302" s="18" t="s">
        <v>62</v>
      </c>
      <c r="G1302" s="18" t="s">
        <v>744</v>
      </c>
      <c r="H1302" s="34" t="s">
        <v>85</v>
      </c>
      <c r="I1302" s="18" t="s">
        <v>104</v>
      </c>
      <c r="J1302" s="31" t="s">
        <v>105</v>
      </c>
      <c r="K1302" s="31"/>
      <c r="N1302" s="13" t="s">
        <v>29</v>
      </c>
      <c r="O1302" s="24" t="str">
        <f>IF(D1302="","",IF(COUNTIF(离职清单!C:C,D1302)&gt;0,"已离职","在职"))</f>
        <v>在职</v>
      </c>
      <c r="P1302" s="24" t="str">
        <f>IF(AND(O1302="在职",J1302="是"),COUNTIF(O$2:O1302,"在职"),"")</f>
        <v/>
      </c>
    </row>
    <row r="1303" ht="18" spans="1:16">
      <c r="A1303" s="14">
        <f t="shared" si="25"/>
        <v>1302</v>
      </c>
      <c r="B1303" s="31">
        <v>46179</v>
      </c>
      <c r="C1303" s="32" t="s">
        <v>1452</v>
      </c>
      <c r="D1303" s="120" t="s">
        <v>482</v>
      </c>
      <c r="E1303" s="33" t="s">
        <v>43</v>
      </c>
      <c r="F1303" s="18" t="s">
        <v>63</v>
      </c>
      <c r="G1303" s="18" t="s">
        <v>744</v>
      </c>
      <c r="H1303" s="34" t="s">
        <v>85</v>
      </c>
      <c r="I1303" s="18" t="s">
        <v>104</v>
      </c>
      <c r="J1303" s="31" t="s">
        <v>105</v>
      </c>
      <c r="K1303" s="31"/>
      <c r="N1303" s="13" t="s">
        <v>29</v>
      </c>
      <c r="O1303" s="24" t="str">
        <f>IF(D1303="","",IF(COUNTIF(离职清单!C:C,D1303)&gt;0,"已离职","在职"))</f>
        <v>在职</v>
      </c>
      <c r="P1303" s="24" t="str">
        <f>IF(AND(O1303="在职",J1303="是"),COUNTIF(O$2:O1303,"在职"),"")</f>
        <v/>
      </c>
    </row>
    <row r="1304" ht="18" spans="1:16">
      <c r="A1304" s="10">
        <f t="shared" si="25"/>
        <v>1303</v>
      </c>
      <c r="B1304" s="31">
        <v>46179</v>
      </c>
      <c r="C1304" s="32" t="s">
        <v>1453</v>
      </c>
      <c r="D1304" s="120" t="s">
        <v>484</v>
      </c>
      <c r="E1304" s="33" t="s">
        <v>43</v>
      </c>
      <c r="F1304" s="18" t="s">
        <v>63</v>
      </c>
      <c r="G1304" s="18" t="s">
        <v>173</v>
      </c>
      <c r="H1304" s="34" t="s">
        <v>85</v>
      </c>
      <c r="I1304" s="18" t="s">
        <v>104</v>
      </c>
      <c r="J1304" s="31" t="s">
        <v>114</v>
      </c>
      <c r="K1304" s="31">
        <v>46182</v>
      </c>
      <c r="N1304" s="13" t="s">
        <v>29</v>
      </c>
      <c r="O1304" s="24" t="str">
        <f>IF(D1304="","",IF(COUNTIF(离职清单!C:C,D1304)&gt;0,"已离职","在职"))</f>
        <v>在职</v>
      </c>
      <c r="P1304" s="24">
        <f>IF(AND(O1304="在职",J1304="是"),COUNTIF(O$2:O1304,"在职"),"")</f>
        <v>1297</v>
      </c>
    </row>
    <row r="1305" ht="18" spans="1:16">
      <c r="A1305" s="14">
        <f t="shared" si="25"/>
        <v>1304</v>
      </c>
      <c r="B1305" s="31">
        <v>46179</v>
      </c>
      <c r="C1305" s="32" t="s">
        <v>1454</v>
      </c>
      <c r="D1305" s="120" t="s">
        <v>486</v>
      </c>
      <c r="E1305" s="33" t="s">
        <v>43</v>
      </c>
      <c r="F1305" s="18" t="s">
        <v>62</v>
      </c>
      <c r="G1305" s="18" t="s">
        <v>1334</v>
      </c>
      <c r="H1305" s="34" t="s">
        <v>85</v>
      </c>
      <c r="I1305" s="18" t="s">
        <v>104</v>
      </c>
      <c r="J1305" s="31" t="s">
        <v>105</v>
      </c>
      <c r="K1305" s="31"/>
      <c r="N1305" s="13" t="s">
        <v>29</v>
      </c>
      <c r="O1305" s="24" t="str">
        <f>IF(D1305="","",IF(COUNTIF(离职清单!C:C,D1305)&gt;0,"已离职","在职"))</f>
        <v>在职</v>
      </c>
      <c r="P1305" s="24" t="str">
        <f>IF(AND(O1305="在职",J1305="是"),COUNTIF(O$2:O1305,"在职"),"")</f>
        <v/>
      </c>
    </row>
    <row r="1306" ht="18" spans="1:16">
      <c r="A1306" s="10">
        <f t="shared" si="25"/>
        <v>1305</v>
      </c>
      <c r="B1306" s="31">
        <v>46179</v>
      </c>
      <c r="C1306" s="32" t="s">
        <v>1455</v>
      </c>
      <c r="D1306" s="120" t="s">
        <v>488</v>
      </c>
      <c r="E1306" s="33" t="s">
        <v>43</v>
      </c>
      <c r="F1306" s="18" t="s">
        <v>62</v>
      </c>
      <c r="G1306" s="18" t="s">
        <v>744</v>
      </c>
      <c r="H1306" s="34" t="s">
        <v>85</v>
      </c>
      <c r="I1306" s="18" t="s">
        <v>104</v>
      </c>
      <c r="J1306" s="31" t="s">
        <v>105</v>
      </c>
      <c r="K1306" s="31">
        <v>46182</v>
      </c>
      <c r="N1306" s="13" t="s">
        <v>29</v>
      </c>
      <c r="O1306" s="24" t="str">
        <f>IF(D1306="","",IF(COUNTIF(离职清单!C:C,D1306)&gt;0,"已离职","在职"))</f>
        <v>在职</v>
      </c>
      <c r="P1306" s="24" t="str">
        <f>IF(AND(O1306="在职",J1306="是"),COUNTIF(O$2:O1306,"在职"),"")</f>
        <v/>
      </c>
    </row>
    <row r="1307" ht="18" spans="1:16">
      <c r="A1307" s="14">
        <f t="shared" si="25"/>
        <v>1306</v>
      </c>
      <c r="B1307" s="31">
        <v>46179</v>
      </c>
      <c r="C1307" s="32" t="s">
        <v>1456</v>
      </c>
      <c r="D1307" s="120" t="s">
        <v>490</v>
      </c>
      <c r="E1307" s="33" t="s">
        <v>43</v>
      </c>
      <c r="F1307" s="18" t="s">
        <v>62</v>
      </c>
      <c r="G1307" s="18" t="s">
        <v>530</v>
      </c>
      <c r="H1307" s="34" t="s">
        <v>85</v>
      </c>
      <c r="I1307" s="18" t="s">
        <v>104</v>
      </c>
      <c r="J1307" s="31" t="s">
        <v>114</v>
      </c>
      <c r="K1307" s="31">
        <v>46180</v>
      </c>
      <c r="N1307" s="13" t="s">
        <v>29</v>
      </c>
      <c r="O1307" s="24" t="str">
        <f>IF(D1307="","",IF(COUNTIF(离职清单!C:C,D1307)&gt;0,"已离职","在职"))</f>
        <v>在职</v>
      </c>
      <c r="P1307" s="24">
        <f>IF(AND(O1307="在职",J1307="是"),COUNTIF(O$2:O1307,"在职"),"")</f>
        <v>1300</v>
      </c>
    </row>
    <row r="1308" ht="18" spans="1:16">
      <c r="A1308" s="10">
        <f t="shared" si="25"/>
        <v>1307</v>
      </c>
      <c r="B1308" s="31">
        <v>46179</v>
      </c>
      <c r="C1308" s="32" t="s">
        <v>878</v>
      </c>
      <c r="D1308" s="120" t="s">
        <v>492</v>
      </c>
      <c r="E1308" s="33" t="s">
        <v>43</v>
      </c>
      <c r="F1308" s="18" t="s">
        <v>64</v>
      </c>
      <c r="G1308" s="18" t="s">
        <v>631</v>
      </c>
      <c r="H1308" s="34" t="s">
        <v>85</v>
      </c>
      <c r="I1308" s="18" t="s">
        <v>104</v>
      </c>
      <c r="J1308" s="31" t="s">
        <v>105</v>
      </c>
      <c r="K1308" s="31"/>
      <c r="N1308" s="13" t="s">
        <v>29</v>
      </c>
      <c r="O1308" s="24" t="str">
        <f>IF(D1308="","",IF(COUNTIF(离职清单!C:C,D1308)&gt;0,"已离职","在职"))</f>
        <v>在职</v>
      </c>
      <c r="P1308" s="24" t="str">
        <f>IF(AND(O1308="在职",J1308="是"),COUNTIF(O$2:O1308,"在职"),"")</f>
        <v/>
      </c>
    </row>
    <row r="1309" ht="18" spans="1:16">
      <c r="A1309" s="14">
        <f t="shared" si="25"/>
        <v>1308</v>
      </c>
      <c r="B1309" s="31">
        <v>46179</v>
      </c>
      <c r="C1309" s="32" t="s">
        <v>879</v>
      </c>
      <c r="D1309" s="120" t="s">
        <v>477</v>
      </c>
      <c r="E1309" s="33" t="s">
        <v>43</v>
      </c>
      <c r="F1309" s="18" t="s">
        <v>64</v>
      </c>
      <c r="G1309" s="18" t="s">
        <v>631</v>
      </c>
      <c r="H1309" s="34" t="s">
        <v>85</v>
      </c>
      <c r="I1309" s="18" t="s">
        <v>104</v>
      </c>
      <c r="J1309" s="31" t="s">
        <v>105</v>
      </c>
      <c r="K1309" s="31"/>
      <c r="N1309" s="13" t="s">
        <v>29</v>
      </c>
      <c r="O1309" s="24" t="str">
        <f>IF(D1309="","",IF(COUNTIF(离职清单!C:C,D1309)&gt;0,"已离职","在职"))</f>
        <v>在职</v>
      </c>
      <c r="P1309" s="24" t="str">
        <f>IF(AND(O1309="在职",J1309="是"),COUNTIF(O$2:O1309,"在职"),"")</f>
        <v/>
      </c>
    </row>
    <row r="1310" ht="18" spans="1:16">
      <c r="A1310" s="10">
        <f t="shared" si="25"/>
        <v>1309</v>
      </c>
      <c r="B1310" s="31">
        <v>46179</v>
      </c>
      <c r="C1310" s="32" t="s">
        <v>1457</v>
      </c>
      <c r="D1310" s="120" t="s">
        <v>478</v>
      </c>
      <c r="E1310" s="33" t="s">
        <v>43</v>
      </c>
      <c r="F1310" s="18" t="s">
        <v>63</v>
      </c>
      <c r="G1310" s="18" t="s">
        <v>117</v>
      </c>
      <c r="H1310" s="34" t="s">
        <v>85</v>
      </c>
      <c r="I1310" s="18" t="s">
        <v>104</v>
      </c>
      <c r="J1310" s="31" t="s">
        <v>114</v>
      </c>
      <c r="K1310" s="31">
        <v>46180</v>
      </c>
      <c r="N1310" s="13" t="s">
        <v>29</v>
      </c>
      <c r="O1310" s="24" t="str">
        <f>IF(D1310="","",IF(COUNTIF(离职清单!C:C,D1310)&gt;0,"已离职","在职"))</f>
        <v>在职</v>
      </c>
      <c r="P1310" s="24">
        <f>IF(AND(O1310="在职",J1310="是"),COUNTIF(O$2:O1310,"在职"),"")</f>
        <v>1303</v>
      </c>
    </row>
    <row r="1311" ht="18" spans="1:16">
      <c r="A1311" s="14">
        <f t="shared" si="25"/>
        <v>1310</v>
      </c>
      <c r="B1311" s="31">
        <v>46179</v>
      </c>
      <c r="C1311" s="32" t="s">
        <v>1458</v>
      </c>
      <c r="D1311" s="120" t="s">
        <v>480</v>
      </c>
      <c r="E1311" s="33" t="s">
        <v>43</v>
      </c>
      <c r="F1311" s="18" t="s">
        <v>64</v>
      </c>
      <c r="G1311" s="18" t="s">
        <v>129</v>
      </c>
      <c r="H1311" s="34" t="s">
        <v>85</v>
      </c>
      <c r="I1311" s="18" t="s">
        <v>104</v>
      </c>
      <c r="J1311" s="31" t="s">
        <v>105</v>
      </c>
      <c r="K1311" s="31"/>
      <c r="N1311" s="13" t="s">
        <v>29</v>
      </c>
      <c r="O1311" s="24" t="str">
        <f>IF(D1311="","",IF(COUNTIF(离职清单!C:C,D1311)&gt;0,"已离职","在职"))</f>
        <v>在职</v>
      </c>
      <c r="P1311" s="24" t="str">
        <f>IF(AND(O1311="在职",J1311="是"),COUNTIF(O$2:O1311,"在职"),"")</f>
        <v/>
      </c>
    </row>
    <row r="1312" ht="18" spans="1:16">
      <c r="A1312" s="10">
        <f t="shared" si="25"/>
        <v>1311</v>
      </c>
      <c r="B1312" s="31">
        <v>46179</v>
      </c>
      <c r="C1312" s="32" t="s">
        <v>1459</v>
      </c>
      <c r="D1312" s="120" t="s">
        <v>482</v>
      </c>
      <c r="E1312" s="33" t="s">
        <v>43</v>
      </c>
      <c r="F1312" s="18" t="s">
        <v>62</v>
      </c>
      <c r="G1312" s="18" t="s">
        <v>1426</v>
      </c>
      <c r="H1312" s="34" t="s">
        <v>85</v>
      </c>
      <c r="I1312" s="18" t="s">
        <v>104</v>
      </c>
      <c r="J1312" s="31" t="s">
        <v>114</v>
      </c>
      <c r="K1312" s="31">
        <v>46182</v>
      </c>
      <c r="N1312" s="13" t="s">
        <v>29</v>
      </c>
      <c r="O1312" s="24" t="str">
        <f>IF(D1312="","",IF(COUNTIF(离职清单!C:C,D1312)&gt;0,"已离职","在职"))</f>
        <v>在职</v>
      </c>
      <c r="P1312" s="24">
        <f>IF(AND(O1312="在职",J1312="是"),COUNTIF(O$2:O1312,"在职"),"")</f>
        <v>1305</v>
      </c>
    </row>
    <row r="1313" ht="18" spans="1:16">
      <c r="A1313" s="14">
        <f t="shared" si="25"/>
        <v>1312</v>
      </c>
      <c r="B1313" s="31">
        <v>46179</v>
      </c>
      <c r="C1313" s="32" t="s">
        <v>1460</v>
      </c>
      <c r="D1313" s="120" t="s">
        <v>484</v>
      </c>
      <c r="E1313" s="33" t="s">
        <v>43</v>
      </c>
      <c r="F1313" s="18" t="s">
        <v>63</v>
      </c>
      <c r="G1313" s="18" t="s">
        <v>148</v>
      </c>
      <c r="H1313" s="34" t="s">
        <v>85</v>
      </c>
      <c r="I1313" s="18" t="s">
        <v>104</v>
      </c>
      <c r="J1313" s="31" t="s">
        <v>105</v>
      </c>
      <c r="K1313" s="31">
        <v>46180</v>
      </c>
      <c r="N1313" s="13" t="s">
        <v>29</v>
      </c>
      <c r="O1313" s="24" t="str">
        <f>IF(D1313="","",IF(COUNTIF(离职清单!C:C,D1313)&gt;0,"已离职","在职"))</f>
        <v>在职</v>
      </c>
      <c r="P1313" s="24" t="str">
        <f>IF(AND(O1313="在职",J1313="是"),COUNTIF(O$2:O1313,"在职"),"")</f>
        <v/>
      </c>
    </row>
    <row r="1314" ht="18" spans="1:16">
      <c r="A1314" s="10">
        <f t="shared" si="25"/>
        <v>1313</v>
      </c>
      <c r="B1314" s="31">
        <v>46179</v>
      </c>
      <c r="C1314" s="32" t="s">
        <v>1461</v>
      </c>
      <c r="D1314" s="120" t="s">
        <v>486</v>
      </c>
      <c r="E1314" s="33" t="s">
        <v>42</v>
      </c>
      <c r="F1314" s="18" t="s">
        <v>64</v>
      </c>
      <c r="G1314" s="18" t="s">
        <v>631</v>
      </c>
      <c r="H1314" s="34" t="s">
        <v>85</v>
      </c>
      <c r="I1314" s="18" t="s">
        <v>104</v>
      </c>
      <c r="J1314" s="31" t="s">
        <v>105</v>
      </c>
      <c r="K1314" s="31"/>
      <c r="N1314" s="13" t="s">
        <v>29</v>
      </c>
      <c r="O1314" s="24" t="str">
        <f>IF(D1314="","",IF(COUNTIF(离职清单!C:C,D1314)&gt;0,"已离职","在职"))</f>
        <v>在职</v>
      </c>
      <c r="P1314" s="24" t="str">
        <f>IF(AND(O1314="在职",J1314="是"),COUNTIF(O$2:O1314,"在职"),"")</f>
        <v/>
      </c>
    </row>
    <row r="1315" ht="18" spans="1:16">
      <c r="A1315" s="14">
        <f t="shared" si="25"/>
        <v>1314</v>
      </c>
      <c r="B1315" s="31">
        <v>46179</v>
      </c>
      <c r="C1315" s="32" t="s">
        <v>1462</v>
      </c>
      <c r="D1315" s="120" t="s">
        <v>488</v>
      </c>
      <c r="E1315" s="33" t="s">
        <v>42</v>
      </c>
      <c r="F1315" s="18" t="s">
        <v>64</v>
      </c>
      <c r="G1315" s="18" t="s">
        <v>631</v>
      </c>
      <c r="H1315" s="34" t="s">
        <v>85</v>
      </c>
      <c r="I1315" s="18" t="s">
        <v>104</v>
      </c>
      <c r="J1315" s="31" t="s">
        <v>105</v>
      </c>
      <c r="K1315" s="31"/>
      <c r="N1315" s="13" t="s">
        <v>29</v>
      </c>
      <c r="O1315" s="24" t="str">
        <f>IF(D1315="","",IF(COUNTIF(离职清单!C:C,D1315)&gt;0,"已离职","在职"))</f>
        <v>在职</v>
      </c>
      <c r="P1315" s="24" t="str">
        <f>IF(AND(O1315="在职",J1315="是"),COUNTIF(O$2:O1315,"在职"),"")</f>
        <v/>
      </c>
    </row>
    <row r="1316" ht="18" spans="1:16">
      <c r="A1316" s="10">
        <f t="shared" si="25"/>
        <v>1315</v>
      </c>
      <c r="B1316" s="31">
        <v>46179</v>
      </c>
      <c r="C1316" s="32" t="s">
        <v>1463</v>
      </c>
      <c r="D1316" s="120" t="s">
        <v>490</v>
      </c>
      <c r="E1316" s="33" t="s">
        <v>42</v>
      </c>
      <c r="F1316" s="18" t="s">
        <v>63</v>
      </c>
      <c r="G1316" s="18" t="s">
        <v>631</v>
      </c>
      <c r="H1316" s="34" t="s">
        <v>85</v>
      </c>
      <c r="I1316" s="18" t="s">
        <v>104</v>
      </c>
      <c r="J1316" s="31" t="s">
        <v>105</v>
      </c>
      <c r="K1316" s="31"/>
      <c r="N1316" s="13" t="s">
        <v>29</v>
      </c>
      <c r="O1316" s="24" t="str">
        <f>IF(D1316="","",IF(COUNTIF(离职清单!C:C,D1316)&gt;0,"已离职","在职"))</f>
        <v>在职</v>
      </c>
      <c r="P1316" s="24" t="str">
        <f>IF(AND(O1316="在职",J1316="是"),COUNTIF(O$2:O1316,"在职"),"")</f>
        <v/>
      </c>
    </row>
    <row r="1317" ht="18" spans="1:16">
      <c r="A1317" s="14">
        <f t="shared" si="25"/>
        <v>1316</v>
      </c>
      <c r="B1317" s="31">
        <v>46179</v>
      </c>
      <c r="C1317" s="32" t="s">
        <v>929</v>
      </c>
      <c r="D1317" s="120" t="s">
        <v>492</v>
      </c>
      <c r="E1317" s="33" t="s">
        <v>42</v>
      </c>
      <c r="F1317" s="18" t="s">
        <v>64</v>
      </c>
      <c r="G1317" s="18" t="s">
        <v>631</v>
      </c>
      <c r="H1317" s="34" t="s">
        <v>85</v>
      </c>
      <c r="I1317" s="18" t="s">
        <v>104</v>
      </c>
      <c r="J1317" s="31" t="s">
        <v>114</v>
      </c>
      <c r="K1317" s="31"/>
      <c r="N1317" s="13" t="s">
        <v>29</v>
      </c>
      <c r="O1317" s="24" t="str">
        <f>IF(D1317="","",IF(COUNTIF(离职清单!C:C,D1317)&gt;0,"已离职","在职"))</f>
        <v>在职</v>
      </c>
      <c r="P1317" s="24">
        <f>IF(AND(O1317="在职",J1317="是"),COUNTIF(O$2:O1317,"在职"),"")</f>
        <v>1310</v>
      </c>
    </row>
    <row r="1318" ht="18" spans="1:16">
      <c r="A1318" s="10">
        <f t="shared" si="25"/>
        <v>1317</v>
      </c>
      <c r="B1318" s="31">
        <v>46179</v>
      </c>
      <c r="C1318" s="32" t="s">
        <v>930</v>
      </c>
      <c r="D1318" s="120" t="s">
        <v>477</v>
      </c>
      <c r="E1318" s="33" t="s">
        <v>42</v>
      </c>
      <c r="F1318" s="18" t="s">
        <v>64</v>
      </c>
      <c r="G1318" s="18" t="s">
        <v>631</v>
      </c>
      <c r="H1318" s="34" t="s">
        <v>85</v>
      </c>
      <c r="I1318" s="18" t="s">
        <v>104</v>
      </c>
      <c r="J1318" s="31" t="s">
        <v>114</v>
      </c>
      <c r="K1318" s="31"/>
      <c r="N1318" s="13" t="s">
        <v>29</v>
      </c>
      <c r="O1318" s="24" t="str">
        <f>IF(D1318="","",IF(COUNTIF(离职清单!C:C,D1318)&gt;0,"已离职","在职"))</f>
        <v>在职</v>
      </c>
      <c r="P1318" s="24">
        <f>IF(AND(O1318="在职",J1318="是"),COUNTIF(O$2:O1318,"在职"),"")</f>
        <v>1311</v>
      </c>
    </row>
    <row r="1319" ht="18" spans="1:16">
      <c r="A1319" s="14">
        <f t="shared" si="25"/>
        <v>1318</v>
      </c>
      <c r="B1319" s="31">
        <v>46179</v>
      </c>
      <c r="C1319" s="32" t="s">
        <v>1464</v>
      </c>
      <c r="D1319" s="120" t="s">
        <v>478</v>
      </c>
      <c r="E1319" s="33" t="s">
        <v>42</v>
      </c>
      <c r="F1319" s="18" t="s">
        <v>62</v>
      </c>
      <c r="G1319" s="18" t="s">
        <v>176</v>
      </c>
      <c r="H1319" s="34" t="s">
        <v>85</v>
      </c>
      <c r="I1319" s="18" t="s">
        <v>104</v>
      </c>
      <c r="J1319" s="31" t="s">
        <v>105</v>
      </c>
      <c r="K1319" s="31"/>
      <c r="N1319" s="13" t="s">
        <v>29</v>
      </c>
      <c r="O1319" s="24" t="str">
        <f>IF(D1319="","",IF(COUNTIF(离职清单!C:C,D1319)&gt;0,"已离职","在职"))</f>
        <v>在职</v>
      </c>
      <c r="P1319" s="24" t="str">
        <f>IF(AND(O1319="在职",J1319="是"),COUNTIF(O$2:O1319,"在职"),"")</f>
        <v/>
      </c>
    </row>
    <row r="1320" ht="18" spans="1:16">
      <c r="A1320" s="10">
        <f t="shared" si="25"/>
        <v>1319</v>
      </c>
      <c r="B1320" s="31">
        <v>46179</v>
      </c>
      <c r="C1320" s="32" t="s">
        <v>1465</v>
      </c>
      <c r="D1320" s="120" t="s">
        <v>480</v>
      </c>
      <c r="E1320" s="33" t="s">
        <v>42</v>
      </c>
      <c r="F1320" s="18" t="s">
        <v>62</v>
      </c>
      <c r="G1320" s="18" t="s">
        <v>468</v>
      </c>
      <c r="H1320" s="34" t="s">
        <v>85</v>
      </c>
      <c r="I1320" s="18" t="s">
        <v>104</v>
      </c>
      <c r="J1320" s="31" t="s">
        <v>114</v>
      </c>
      <c r="K1320" s="31">
        <v>46180</v>
      </c>
      <c r="N1320" s="13" t="s">
        <v>29</v>
      </c>
      <c r="O1320" s="24" t="str">
        <f>IF(D1320="","",IF(COUNTIF(离职清单!C:C,D1320)&gt;0,"已离职","在职"))</f>
        <v>在职</v>
      </c>
      <c r="P1320" s="24">
        <f>IF(AND(O1320="在职",J1320="是"),COUNTIF(O$2:O1320,"在职"),"")</f>
        <v>1313</v>
      </c>
    </row>
    <row r="1321" ht="18" spans="1:16">
      <c r="A1321" s="14">
        <f t="shared" si="25"/>
        <v>1320</v>
      </c>
      <c r="B1321" s="31">
        <v>46179</v>
      </c>
      <c r="C1321" s="32" t="s">
        <v>1466</v>
      </c>
      <c r="D1321" s="120" t="s">
        <v>482</v>
      </c>
      <c r="E1321" s="33" t="s">
        <v>42</v>
      </c>
      <c r="F1321" s="18" t="s">
        <v>63</v>
      </c>
      <c r="G1321" s="18" t="s">
        <v>468</v>
      </c>
      <c r="H1321" s="34" t="s">
        <v>85</v>
      </c>
      <c r="I1321" s="18" t="s">
        <v>104</v>
      </c>
      <c r="J1321" s="31" t="s">
        <v>105</v>
      </c>
      <c r="K1321" s="31"/>
      <c r="N1321" s="13" t="s">
        <v>29</v>
      </c>
      <c r="O1321" s="24" t="str">
        <f>IF(D1321="","",IF(COUNTIF(离职清单!C:C,D1321)&gt;0,"已离职","在职"))</f>
        <v>在职</v>
      </c>
      <c r="P1321" s="24" t="str">
        <f>IF(AND(O1321="在职",J1321="是"),COUNTIF(O$2:O1321,"在职"),"")</f>
        <v/>
      </c>
    </row>
    <row r="1322" ht="18" spans="1:16">
      <c r="A1322" s="10">
        <f t="shared" si="25"/>
        <v>1321</v>
      </c>
      <c r="B1322" s="31">
        <v>46179</v>
      </c>
      <c r="C1322" s="32" t="s">
        <v>1467</v>
      </c>
      <c r="D1322" s="120" t="s">
        <v>484</v>
      </c>
      <c r="E1322" s="33" t="s">
        <v>42</v>
      </c>
      <c r="F1322" s="18" t="s">
        <v>63</v>
      </c>
      <c r="G1322" s="18" t="s">
        <v>132</v>
      </c>
      <c r="H1322" s="34" t="s">
        <v>85</v>
      </c>
      <c r="I1322" s="18" t="s">
        <v>104</v>
      </c>
      <c r="J1322" s="31" t="s">
        <v>114</v>
      </c>
      <c r="K1322" s="31">
        <v>46180</v>
      </c>
      <c r="N1322" s="13" t="s">
        <v>29</v>
      </c>
      <c r="O1322" s="24" t="str">
        <f>IF(D1322="","",IF(COUNTIF(离职清单!C:C,D1322)&gt;0,"已离职","在职"))</f>
        <v>在职</v>
      </c>
      <c r="P1322" s="24">
        <f>IF(AND(O1322="在职",J1322="是"),COUNTIF(O$2:O1322,"在职"),"")</f>
        <v>1315</v>
      </c>
    </row>
    <row r="1323" ht="18" spans="1:16">
      <c r="A1323" s="14">
        <f t="shared" si="25"/>
        <v>1322</v>
      </c>
      <c r="B1323" s="31">
        <v>46179</v>
      </c>
      <c r="C1323" s="32" t="s">
        <v>1468</v>
      </c>
      <c r="D1323" s="120" t="s">
        <v>486</v>
      </c>
      <c r="E1323" s="33" t="s">
        <v>42</v>
      </c>
      <c r="F1323" s="18" t="s">
        <v>62</v>
      </c>
      <c r="G1323" s="18" t="s">
        <v>132</v>
      </c>
      <c r="H1323" s="34" t="s">
        <v>85</v>
      </c>
      <c r="I1323" s="18" t="s">
        <v>104</v>
      </c>
      <c r="J1323" s="31" t="s">
        <v>114</v>
      </c>
      <c r="K1323" s="31">
        <v>46180</v>
      </c>
      <c r="N1323" s="13" t="s">
        <v>29</v>
      </c>
      <c r="O1323" s="24" t="str">
        <f>IF(D1323="","",IF(COUNTIF(离职清单!C:C,D1323)&gt;0,"已离职","在职"))</f>
        <v>在职</v>
      </c>
      <c r="P1323" s="24">
        <f>IF(AND(O1323="在职",J1323="是"),COUNTIF(O$2:O1323,"在职"),"")</f>
        <v>1316</v>
      </c>
    </row>
    <row r="1324" ht="18" spans="1:16">
      <c r="A1324" s="10">
        <f t="shared" ref="A1324:A1387" si="26">IF(B1324&lt;&gt;"",ROW()-1,"")</f>
        <v>1323</v>
      </c>
      <c r="B1324" s="31">
        <v>46179</v>
      </c>
      <c r="C1324" s="32" t="s">
        <v>1469</v>
      </c>
      <c r="D1324" s="120" t="s">
        <v>488</v>
      </c>
      <c r="E1324" s="33" t="s">
        <v>42</v>
      </c>
      <c r="F1324" s="18" t="s">
        <v>63</v>
      </c>
      <c r="G1324" s="18" t="s">
        <v>129</v>
      </c>
      <c r="H1324" s="34" t="s">
        <v>85</v>
      </c>
      <c r="I1324" s="18" t="s">
        <v>104</v>
      </c>
      <c r="J1324" s="31" t="s">
        <v>114</v>
      </c>
      <c r="K1324" s="31">
        <v>46181</v>
      </c>
      <c r="N1324" s="13" t="s">
        <v>29</v>
      </c>
      <c r="O1324" s="24" t="str">
        <f>IF(D1324="","",IF(COUNTIF(离职清单!C:C,D1324)&gt;0,"已离职","在职"))</f>
        <v>在职</v>
      </c>
      <c r="P1324" s="24">
        <f>IF(AND(O1324="在职",J1324="是"),COUNTIF(O$2:O1324,"在职"),"")</f>
        <v>1317</v>
      </c>
    </row>
    <row r="1325" ht="18" spans="1:16">
      <c r="A1325" s="14">
        <f t="shared" si="26"/>
        <v>1324</v>
      </c>
      <c r="B1325" s="31">
        <v>46179</v>
      </c>
      <c r="C1325" s="32" t="s">
        <v>1470</v>
      </c>
      <c r="D1325" s="120" t="s">
        <v>490</v>
      </c>
      <c r="E1325" s="33" t="s">
        <v>42</v>
      </c>
      <c r="F1325" s="18" t="s">
        <v>63</v>
      </c>
      <c r="G1325" s="18" t="s">
        <v>129</v>
      </c>
      <c r="H1325" s="34" t="s">
        <v>85</v>
      </c>
      <c r="I1325" s="18" t="s">
        <v>104</v>
      </c>
      <c r="J1325" s="31" t="s">
        <v>105</v>
      </c>
      <c r="K1325" s="31"/>
      <c r="N1325" s="13" t="s">
        <v>29</v>
      </c>
      <c r="O1325" s="24" t="str">
        <f>IF(D1325="","",IF(COUNTIF(离职清单!C:C,D1325)&gt;0,"已离职","在职"))</f>
        <v>在职</v>
      </c>
      <c r="P1325" s="24" t="str">
        <f>IF(AND(O1325="在职",J1325="是"),COUNTIF(O$2:O1325,"在职"),"")</f>
        <v/>
      </c>
    </row>
    <row r="1326" ht="18" spans="1:16">
      <c r="A1326" s="10">
        <f t="shared" si="26"/>
        <v>1325</v>
      </c>
      <c r="B1326" s="31">
        <v>46179</v>
      </c>
      <c r="C1326" s="32" t="s">
        <v>1471</v>
      </c>
      <c r="D1326" s="120" t="s">
        <v>492</v>
      </c>
      <c r="E1326" s="33" t="s">
        <v>42</v>
      </c>
      <c r="F1326" s="18" t="s">
        <v>62</v>
      </c>
      <c r="G1326" s="18" t="s">
        <v>129</v>
      </c>
      <c r="H1326" s="34" t="s">
        <v>85</v>
      </c>
      <c r="I1326" s="18" t="s">
        <v>104</v>
      </c>
      <c r="J1326" s="31" t="s">
        <v>105</v>
      </c>
      <c r="K1326" s="31"/>
      <c r="N1326" s="13" t="s">
        <v>29</v>
      </c>
      <c r="O1326" s="24" t="str">
        <f>IF(D1326="","",IF(COUNTIF(离职清单!C:C,D1326)&gt;0,"已离职","在职"))</f>
        <v>在职</v>
      </c>
      <c r="P1326" s="24" t="str">
        <f>IF(AND(O1326="在职",J1326="是"),COUNTIF(O$2:O1326,"在职"),"")</f>
        <v/>
      </c>
    </row>
    <row r="1327" ht="18" spans="1:16">
      <c r="A1327" s="14">
        <f t="shared" si="26"/>
        <v>1326</v>
      </c>
      <c r="B1327" s="31">
        <v>46179</v>
      </c>
      <c r="C1327" s="32" t="s">
        <v>1472</v>
      </c>
      <c r="D1327" s="120" t="s">
        <v>477</v>
      </c>
      <c r="E1327" s="33" t="s">
        <v>42</v>
      </c>
      <c r="F1327" s="18" t="s">
        <v>63</v>
      </c>
      <c r="G1327" s="18" t="s">
        <v>954</v>
      </c>
      <c r="H1327" s="34" t="s">
        <v>85</v>
      </c>
      <c r="I1327" s="18" t="s">
        <v>104</v>
      </c>
      <c r="J1327" s="31" t="s">
        <v>114</v>
      </c>
      <c r="K1327" s="31">
        <v>46186</v>
      </c>
      <c r="N1327" s="13" t="s">
        <v>29</v>
      </c>
      <c r="O1327" s="24" t="str">
        <f>IF(D1327="","",IF(COUNTIF(离职清单!C:C,D1327)&gt;0,"已离职","在职"))</f>
        <v>在职</v>
      </c>
      <c r="P1327" s="24">
        <f>IF(AND(O1327="在职",J1327="是"),COUNTIF(O$2:O1327,"在职"),"")</f>
        <v>1320</v>
      </c>
    </row>
    <row r="1328" ht="18" spans="1:16">
      <c r="A1328" s="10">
        <f t="shared" si="26"/>
        <v>1327</v>
      </c>
      <c r="B1328" s="31">
        <v>46179</v>
      </c>
      <c r="C1328" s="32" t="s">
        <v>1015</v>
      </c>
      <c r="D1328" s="120" t="s">
        <v>478</v>
      </c>
      <c r="E1328" s="33" t="s">
        <v>42</v>
      </c>
      <c r="F1328" s="18" t="s">
        <v>64</v>
      </c>
      <c r="G1328" s="18" t="s">
        <v>954</v>
      </c>
      <c r="H1328" s="34" t="s">
        <v>85</v>
      </c>
      <c r="I1328" s="18" t="s">
        <v>104</v>
      </c>
      <c r="J1328" s="31" t="s">
        <v>114</v>
      </c>
      <c r="K1328" s="31"/>
      <c r="N1328" s="13" t="s">
        <v>29</v>
      </c>
      <c r="O1328" s="24" t="str">
        <f>IF(D1328="","",IF(COUNTIF(离职清单!C:C,D1328)&gt;0,"已离职","在职"))</f>
        <v>在职</v>
      </c>
      <c r="P1328" s="24">
        <f>IF(AND(O1328="在职",J1328="是"),COUNTIF(O$2:O1328,"在职"),"")</f>
        <v>1321</v>
      </c>
    </row>
    <row r="1329" ht="18" spans="1:16">
      <c r="A1329" s="14">
        <f t="shared" si="26"/>
        <v>1328</v>
      </c>
      <c r="B1329" s="31">
        <v>46179</v>
      </c>
      <c r="C1329" s="32" t="s">
        <v>1473</v>
      </c>
      <c r="D1329" s="120" t="s">
        <v>480</v>
      </c>
      <c r="E1329" s="33" t="s">
        <v>42</v>
      </c>
      <c r="F1329" s="18" t="s">
        <v>64</v>
      </c>
      <c r="G1329" s="18" t="s">
        <v>179</v>
      </c>
      <c r="H1329" s="34" t="s">
        <v>85</v>
      </c>
      <c r="I1329" s="18" t="s">
        <v>104</v>
      </c>
      <c r="J1329" s="31" t="s">
        <v>105</v>
      </c>
      <c r="K1329" s="31"/>
      <c r="N1329" s="13" t="s">
        <v>29</v>
      </c>
      <c r="O1329" s="24" t="str">
        <f>IF(D1329="","",IF(COUNTIF(离职清单!C:C,D1329)&gt;0,"已离职","在职"))</f>
        <v>在职</v>
      </c>
      <c r="P1329" s="24" t="str">
        <f>IF(AND(O1329="在职",J1329="是"),COUNTIF(O$2:O1329,"在职"),"")</f>
        <v/>
      </c>
    </row>
    <row r="1330" ht="18" spans="1:16">
      <c r="A1330" s="10">
        <f t="shared" si="26"/>
        <v>1329</v>
      </c>
      <c r="B1330" s="31">
        <v>46179</v>
      </c>
      <c r="C1330" s="32" t="s">
        <v>1474</v>
      </c>
      <c r="D1330" s="120" t="s">
        <v>482</v>
      </c>
      <c r="E1330" s="33" t="s">
        <v>42</v>
      </c>
      <c r="F1330" s="18" t="s">
        <v>64</v>
      </c>
      <c r="G1330" s="18" t="s">
        <v>103</v>
      </c>
      <c r="H1330" s="34" t="s">
        <v>85</v>
      </c>
      <c r="I1330" s="18" t="s">
        <v>104</v>
      </c>
      <c r="J1330" s="31" t="s">
        <v>105</v>
      </c>
      <c r="K1330" s="31"/>
      <c r="N1330" s="13" t="s">
        <v>29</v>
      </c>
      <c r="O1330" s="24" t="str">
        <f>IF(D1330="","",IF(COUNTIF(离职清单!C:C,D1330)&gt;0,"已离职","在职"))</f>
        <v>在职</v>
      </c>
      <c r="P1330" s="24" t="str">
        <f>IF(AND(O1330="在职",J1330="是"),COUNTIF(O$2:O1330,"在职"),"")</f>
        <v/>
      </c>
    </row>
    <row r="1331" ht="18" spans="1:16">
      <c r="A1331" s="14">
        <f t="shared" si="26"/>
        <v>1330</v>
      </c>
      <c r="B1331" s="31">
        <v>46179</v>
      </c>
      <c r="C1331" s="32" t="s">
        <v>1475</v>
      </c>
      <c r="D1331" s="120" t="s">
        <v>484</v>
      </c>
      <c r="E1331" s="33" t="s">
        <v>42</v>
      </c>
      <c r="F1331" s="18" t="s">
        <v>63</v>
      </c>
      <c r="G1331" s="18" t="s">
        <v>505</v>
      </c>
      <c r="H1331" s="34" t="s">
        <v>85</v>
      </c>
      <c r="I1331" s="18" t="s">
        <v>104</v>
      </c>
      <c r="J1331" s="31" t="s">
        <v>114</v>
      </c>
      <c r="K1331" s="31">
        <v>46180</v>
      </c>
      <c r="N1331" s="13" t="s">
        <v>29</v>
      </c>
      <c r="O1331" s="24" t="str">
        <f>IF(D1331="","",IF(COUNTIF(离职清单!C:C,D1331)&gt;0,"已离职","在职"))</f>
        <v>在职</v>
      </c>
      <c r="P1331" s="24">
        <f>IF(AND(O1331="在职",J1331="是"),COUNTIF(O$2:O1331,"在职"),"")</f>
        <v>1324</v>
      </c>
    </row>
    <row r="1332" ht="18" spans="1:16">
      <c r="A1332" s="10">
        <f t="shared" si="26"/>
        <v>1331</v>
      </c>
      <c r="B1332" s="31">
        <v>46179</v>
      </c>
      <c r="C1332" s="32" t="s">
        <v>1476</v>
      </c>
      <c r="D1332" s="120" t="s">
        <v>486</v>
      </c>
      <c r="E1332" s="33" t="s">
        <v>42</v>
      </c>
      <c r="F1332" s="18" t="s">
        <v>64</v>
      </c>
      <c r="G1332" s="18" t="s">
        <v>173</v>
      </c>
      <c r="H1332" s="34" t="s">
        <v>85</v>
      </c>
      <c r="I1332" s="18" t="s">
        <v>104</v>
      </c>
      <c r="J1332" s="31" t="s">
        <v>105</v>
      </c>
      <c r="K1332" s="31"/>
      <c r="N1332" s="13" t="s">
        <v>29</v>
      </c>
      <c r="O1332" s="24" t="str">
        <f>IF(D1332="","",IF(COUNTIF(离职清单!C:C,D1332)&gt;0,"已离职","在职"))</f>
        <v>在职</v>
      </c>
      <c r="P1332" s="24" t="str">
        <f>IF(AND(O1332="在职",J1332="是"),COUNTIF(O$2:O1332,"在职"),"")</f>
        <v/>
      </c>
    </row>
    <row r="1333" ht="18" spans="1:16">
      <c r="A1333" s="14">
        <f t="shared" si="26"/>
        <v>1332</v>
      </c>
      <c r="B1333" s="31">
        <v>46179</v>
      </c>
      <c r="C1333" s="32" t="s">
        <v>1477</v>
      </c>
      <c r="D1333" s="120" t="s">
        <v>488</v>
      </c>
      <c r="E1333" s="33" t="s">
        <v>42</v>
      </c>
      <c r="F1333" s="18" t="s">
        <v>63</v>
      </c>
      <c r="G1333" s="18" t="s">
        <v>173</v>
      </c>
      <c r="H1333" s="34" t="s">
        <v>85</v>
      </c>
      <c r="I1333" s="18" t="s">
        <v>104</v>
      </c>
      <c r="J1333" s="31" t="s">
        <v>105</v>
      </c>
      <c r="K1333" s="31"/>
      <c r="N1333" s="13" t="s">
        <v>29</v>
      </c>
      <c r="O1333" s="24" t="str">
        <f>IF(D1333="","",IF(COUNTIF(离职清单!C:C,D1333)&gt;0,"已离职","在职"))</f>
        <v>在职</v>
      </c>
      <c r="P1333" s="24" t="str">
        <f>IF(AND(O1333="在职",J1333="是"),COUNTIF(O$2:O1333,"在职"),"")</f>
        <v/>
      </c>
    </row>
    <row r="1334" ht="18" spans="1:16">
      <c r="A1334" s="10">
        <f t="shared" si="26"/>
        <v>1333</v>
      </c>
      <c r="B1334" s="31">
        <v>46179</v>
      </c>
      <c r="C1334" s="32" t="s">
        <v>692</v>
      </c>
      <c r="D1334" s="120" t="s">
        <v>490</v>
      </c>
      <c r="E1334" s="33" t="s">
        <v>42</v>
      </c>
      <c r="F1334" s="18" t="s">
        <v>63</v>
      </c>
      <c r="G1334" s="18" t="s">
        <v>173</v>
      </c>
      <c r="H1334" s="34" t="s">
        <v>85</v>
      </c>
      <c r="I1334" s="18" t="s">
        <v>104</v>
      </c>
      <c r="J1334" s="31" t="s">
        <v>114</v>
      </c>
      <c r="K1334" s="31">
        <v>46180</v>
      </c>
      <c r="N1334" s="13" t="s">
        <v>29</v>
      </c>
      <c r="O1334" s="24" t="str">
        <f>IF(D1334="","",IF(COUNTIF(离职清单!C:C,D1334)&gt;0,"已离职","在职"))</f>
        <v>在职</v>
      </c>
      <c r="P1334" s="24">
        <f>IF(AND(O1334="在职",J1334="是"),COUNTIF(O$2:O1334,"在职"),"")</f>
        <v>1327</v>
      </c>
    </row>
    <row r="1335" ht="18" spans="1:16">
      <c r="A1335" s="14">
        <f t="shared" si="26"/>
        <v>1334</v>
      </c>
      <c r="B1335" s="31">
        <v>46179</v>
      </c>
      <c r="C1335" s="32" t="s">
        <v>1478</v>
      </c>
      <c r="D1335" s="120" t="s">
        <v>492</v>
      </c>
      <c r="E1335" s="33" t="s">
        <v>42</v>
      </c>
      <c r="F1335" s="18" t="s">
        <v>62</v>
      </c>
      <c r="G1335" s="18" t="s">
        <v>173</v>
      </c>
      <c r="H1335" s="34" t="s">
        <v>85</v>
      </c>
      <c r="I1335" s="18" t="s">
        <v>104</v>
      </c>
      <c r="J1335" s="31" t="s">
        <v>105</v>
      </c>
      <c r="K1335" s="31">
        <v>46180</v>
      </c>
      <c r="N1335" s="13" t="s">
        <v>29</v>
      </c>
      <c r="O1335" s="24" t="str">
        <f>IF(D1335="","",IF(COUNTIF(离职清单!C:C,D1335)&gt;0,"已离职","在职"))</f>
        <v>在职</v>
      </c>
      <c r="P1335" s="24" t="str">
        <f>IF(AND(O1335="在职",J1335="是"),COUNTIF(O$2:O1335,"在职"),"")</f>
        <v/>
      </c>
    </row>
    <row r="1336" ht="18" spans="1:16">
      <c r="A1336" s="10">
        <f t="shared" si="26"/>
        <v>1335</v>
      </c>
      <c r="B1336" s="31">
        <v>46179</v>
      </c>
      <c r="C1336" s="32" t="s">
        <v>1479</v>
      </c>
      <c r="D1336" s="120" t="s">
        <v>477</v>
      </c>
      <c r="E1336" s="33" t="s">
        <v>42</v>
      </c>
      <c r="F1336" s="18" t="s">
        <v>62</v>
      </c>
      <c r="G1336" s="18" t="s">
        <v>173</v>
      </c>
      <c r="H1336" s="34" t="s">
        <v>85</v>
      </c>
      <c r="I1336" s="18" t="s">
        <v>104</v>
      </c>
      <c r="J1336" s="31" t="s">
        <v>114</v>
      </c>
      <c r="K1336" s="31">
        <v>46180</v>
      </c>
      <c r="N1336" s="13" t="s">
        <v>29</v>
      </c>
      <c r="O1336" s="24" t="str">
        <f>IF(D1336="","",IF(COUNTIF(离职清单!C:C,D1336)&gt;0,"已离职","在职"))</f>
        <v>在职</v>
      </c>
      <c r="P1336" s="24">
        <f>IF(AND(O1336="在职",J1336="是"),COUNTIF(O$2:O1336,"在职"),"")</f>
        <v>1329</v>
      </c>
    </row>
    <row r="1337" ht="18" spans="1:16">
      <c r="A1337" s="14">
        <f t="shared" si="26"/>
        <v>1336</v>
      </c>
      <c r="B1337" s="31">
        <v>46179</v>
      </c>
      <c r="C1337" s="32" t="s">
        <v>1480</v>
      </c>
      <c r="D1337" s="120" t="s">
        <v>477</v>
      </c>
      <c r="E1337" s="33" t="s">
        <v>42</v>
      </c>
      <c r="F1337" s="18" t="s">
        <v>64</v>
      </c>
      <c r="G1337" s="18" t="s">
        <v>173</v>
      </c>
      <c r="H1337" s="34" t="s">
        <v>85</v>
      </c>
      <c r="I1337" s="18" t="s">
        <v>104</v>
      </c>
      <c r="J1337" s="31" t="s">
        <v>105</v>
      </c>
      <c r="K1337" s="31"/>
      <c r="N1337" s="13" t="s">
        <v>29</v>
      </c>
      <c r="O1337" s="24" t="str">
        <f>IF(D1337="","",IF(COUNTIF(离职清单!C:C,D1337)&gt;0,"已离职","在职"))</f>
        <v>在职</v>
      </c>
      <c r="P1337" s="24" t="str">
        <f>IF(AND(O1337="在职",J1337="是"),COUNTIF(O$2:O1337,"在职"),"")</f>
        <v/>
      </c>
    </row>
    <row r="1338" ht="18" spans="1:16">
      <c r="A1338" s="10">
        <f t="shared" si="26"/>
        <v>1337</v>
      </c>
      <c r="B1338" s="31">
        <v>46179</v>
      </c>
      <c r="C1338" s="32" t="s">
        <v>1481</v>
      </c>
      <c r="D1338" s="120" t="s">
        <v>478</v>
      </c>
      <c r="E1338" s="33" t="s">
        <v>42</v>
      </c>
      <c r="F1338" s="18" t="s">
        <v>62</v>
      </c>
      <c r="G1338" s="18" t="s">
        <v>173</v>
      </c>
      <c r="H1338" s="34" t="s">
        <v>85</v>
      </c>
      <c r="I1338" s="18" t="s">
        <v>104</v>
      </c>
      <c r="J1338" s="31" t="s">
        <v>114</v>
      </c>
      <c r="K1338" s="31">
        <v>46181</v>
      </c>
      <c r="N1338" s="13" t="s">
        <v>29</v>
      </c>
      <c r="O1338" s="24" t="str">
        <f>IF(D1338="","",IF(COUNTIF(离职清单!C:C,D1338)&gt;0,"已离职","在职"))</f>
        <v>在职</v>
      </c>
      <c r="P1338" s="24">
        <f>IF(AND(O1338="在职",J1338="是"),COUNTIF(O$2:O1338,"在职"),"")</f>
        <v>1331</v>
      </c>
    </row>
    <row r="1339" ht="18" spans="1:16">
      <c r="A1339" s="14">
        <f t="shared" si="26"/>
        <v>1338</v>
      </c>
      <c r="B1339" s="31">
        <v>46179</v>
      </c>
      <c r="C1339" s="32" t="s">
        <v>1482</v>
      </c>
      <c r="D1339" s="120" t="s">
        <v>480</v>
      </c>
      <c r="E1339" s="33" t="s">
        <v>42</v>
      </c>
      <c r="F1339" s="18" t="s">
        <v>62</v>
      </c>
      <c r="G1339" s="18" t="s">
        <v>681</v>
      </c>
      <c r="H1339" s="34" t="s">
        <v>85</v>
      </c>
      <c r="I1339" s="18" t="s">
        <v>104</v>
      </c>
      <c r="J1339" s="31" t="s">
        <v>105</v>
      </c>
      <c r="K1339" s="31"/>
      <c r="N1339" s="13" t="s">
        <v>29</v>
      </c>
      <c r="O1339" s="24" t="str">
        <f>IF(D1339="","",IF(COUNTIF(离职清单!C:C,D1339)&gt;0,"已离职","在职"))</f>
        <v>在职</v>
      </c>
      <c r="P1339" s="24" t="str">
        <f>IF(AND(O1339="在职",J1339="是"),COUNTIF(O$2:O1339,"在职"),"")</f>
        <v/>
      </c>
    </row>
    <row r="1340" ht="18" spans="1:16">
      <c r="A1340" s="10">
        <f t="shared" si="26"/>
        <v>1339</v>
      </c>
      <c r="B1340" s="31">
        <v>46179</v>
      </c>
      <c r="C1340" s="32" t="s">
        <v>1483</v>
      </c>
      <c r="D1340" s="120" t="s">
        <v>482</v>
      </c>
      <c r="E1340" s="33" t="s">
        <v>42</v>
      </c>
      <c r="F1340" s="18" t="s">
        <v>62</v>
      </c>
      <c r="G1340" s="18" t="s">
        <v>681</v>
      </c>
      <c r="H1340" s="34" t="s">
        <v>85</v>
      </c>
      <c r="I1340" s="18" t="s">
        <v>104</v>
      </c>
      <c r="J1340" s="31" t="s">
        <v>114</v>
      </c>
      <c r="K1340" s="31">
        <v>46180</v>
      </c>
      <c r="N1340" s="13" t="s">
        <v>29</v>
      </c>
      <c r="O1340" s="24" t="str">
        <f>IF(D1340="","",IF(COUNTIF(离职清单!C:C,D1340)&gt;0,"已离职","在职"))</f>
        <v>在职</v>
      </c>
      <c r="P1340" s="24">
        <f>IF(AND(O1340="在职",J1340="是"),COUNTIF(O$2:O1340,"在职"),"")</f>
        <v>1333</v>
      </c>
    </row>
    <row r="1341" ht="18" spans="1:16">
      <c r="A1341" s="14">
        <f t="shared" si="26"/>
        <v>1340</v>
      </c>
      <c r="B1341" s="31">
        <v>46179</v>
      </c>
      <c r="C1341" s="32" t="s">
        <v>1484</v>
      </c>
      <c r="D1341" s="120" t="s">
        <v>484</v>
      </c>
      <c r="E1341" s="33" t="s">
        <v>42</v>
      </c>
      <c r="F1341" s="18" t="s">
        <v>63</v>
      </c>
      <c r="G1341" s="18" t="s">
        <v>744</v>
      </c>
      <c r="H1341" s="34" t="s">
        <v>85</v>
      </c>
      <c r="I1341" s="18" t="s">
        <v>104</v>
      </c>
      <c r="J1341" s="31" t="s">
        <v>114</v>
      </c>
      <c r="K1341" s="31">
        <v>46181</v>
      </c>
      <c r="N1341" s="13" t="s">
        <v>29</v>
      </c>
      <c r="O1341" s="24" t="str">
        <f>IF(D1341="","",IF(COUNTIF(离职清单!C:C,D1341)&gt;0,"已离职","在职"))</f>
        <v>在职</v>
      </c>
      <c r="P1341" s="24">
        <f>IF(AND(O1341="在职",J1341="是"),COUNTIF(O$2:O1341,"在职"),"")</f>
        <v>1334</v>
      </c>
    </row>
    <row r="1342" ht="18" spans="1:16">
      <c r="A1342" s="10">
        <f t="shared" si="26"/>
        <v>1341</v>
      </c>
      <c r="B1342" s="31">
        <v>46179</v>
      </c>
      <c r="C1342" s="32" t="s">
        <v>747</v>
      </c>
      <c r="D1342" s="120" t="s">
        <v>486</v>
      </c>
      <c r="E1342" s="33" t="s">
        <v>42</v>
      </c>
      <c r="F1342" s="18" t="s">
        <v>64</v>
      </c>
      <c r="G1342" s="18" t="s">
        <v>744</v>
      </c>
      <c r="H1342" s="34" t="s">
        <v>85</v>
      </c>
      <c r="I1342" s="18" t="s">
        <v>104</v>
      </c>
      <c r="J1342" s="31" t="s">
        <v>105</v>
      </c>
      <c r="K1342" s="31"/>
      <c r="N1342" s="13" t="s">
        <v>29</v>
      </c>
      <c r="O1342" s="24" t="str">
        <f>IF(D1342="","",IF(COUNTIF(离职清单!C:C,D1342)&gt;0,"已离职","在职"))</f>
        <v>在职</v>
      </c>
      <c r="P1342" s="24" t="str">
        <f>IF(AND(O1342="在职",J1342="是"),COUNTIF(O$2:O1342,"在职"),"")</f>
        <v/>
      </c>
    </row>
    <row r="1343" ht="18" spans="1:16">
      <c r="A1343" s="14">
        <f t="shared" si="26"/>
        <v>1342</v>
      </c>
      <c r="B1343" s="31">
        <v>46179</v>
      </c>
      <c r="C1343" s="32" t="s">
        <v>1485</v>
      </c>
      <c r="D1343" s="120" t="s">
        <v>488</v>
      </c>
      <c r="E1343" s="33" t="s">
        <v>42</v>
      </c>
      <c r="F1343" s="18" t="s">
        <v>63</v>
      </c>
      <c r="G1343" s="18" t="s">
        <v>744</v>
      </c>
      <c r="H1343" s="34" t="s">
        <v>85</v>
      </c>
      <c r="I1343" s="18" t="s">
        <v>104</v>
      </c>
      <c r="J1343" s="31" t="s">
        <v>114</v>
      </c>
      <c r="K1343" s="31">
        <v>46181</v>
      </c>
      <c r="N1343" s="13" t="s">
        <v>29</v>
      </c>
      <c r="O1343" s="24" t="str">
        <f>IF(D1343="","",IF(COUNTIF(离职清单!C:C,D1343)&gt;0,"已离职","在职"))</f>
        <v>在职</v>
      </c>
      <c r="P1343" s="24">
        <f>IF(AND(O1343="在职",J1343="是"),COUNTIF(O$2:O1343,"在职"),"")</f>
        <v>1336</v>
      </c>
    </row>
    <row r="1344" ht="18" spans="1:16">
      <c r="A1344" s="10">
        <f t="shared" si="26"/>
        <v>1343</v>
      </c>
      <c r="B1344" s="31">
        <v>46179</v>
      </c>
      <c r="C1344" s="32" t="s">
        <v>1486</v>
      </c>
      <c r="D1344" s="120" t="s">
        <v>490</v>
      </c>
      <c r="E1344" s="33" t="s">
        <v>42</v>
      </c>
      <c r="F1344" s="18" t="s">
        <v>63</v>
      </c>
      <c r="G1344" s="18" t="s">
        <v>744</v>
      </c>
      <c r="H1344" s="34" t="s">
        <v>85</v>
      </c>
      <c r="I1344" s="18" t="s">
        <v>104</v>
      </c>
      <c r="J1344" s="31" t="s">
        <v>114</v>
      </c>
      <c r="K1344" s="31">
        <v>46181</v>
      </c>
      <c r="N1344" s="13" t="s">
        <v>29</v>
      </c>
      <c r="O1344" s="24" t="str">
        <f>IF(D1344="","",IF(COUNTIF(离职清单!C:C,D1344)&gt;0,"已离职","在职"))</f>
        <v>在职</v>
      </c>
      <c r="P1344" s="24">
        <f>IF(AND(O1344="在职",J1344="是"),COUNTIF(O$2:O1344,"在职"),"")</f>
        <v>1337</v>
      </c>
    </row>
    <row r="1345" ht="18" spans="1:16">
      <c r="A1345" s="14">
        <f t="shared" si="26"/>
        <v>1344</v>
      </c>
      <c r="B1345" s="31">
        <v>46179</v>
      </c>
      <c r="C1345" s="32" t="s">
        <v>1487</v>
      </c>
      <c r="D1345" s="120" t="s">
        <v>492</v>
      </c>
      <c r="E1345" s="33" t="s">
        <v>42</v>
      </c>
      <c r="F1345" s="18" t="s">
        <v>63</v>
      </c>
      <c r="G1345" s="18" t="s">
        <v>744</v>
      </c>
      <c r="H1345" s="34" t="s">
        <v>85</v>
      </c>
      <c r="I1345" s="18" t="s">
        <v>104</v>
      </c>
      <c r="J1345" s="31" t="s">
        <v>114</v>
      </c>
      <c r="K1345" s="31">
        <v>46181</v>
      </c>
      <c r="N1345" s="13" t="s">
        <v>29</v>
      </c>
      <c r="O1345" s="24" t="str">
        <f>IF(D1345="","",IF(COUNTIF(离职清单!C:C,D1345)&gt;0,"已离职","在职"))</f>
        <v>在职</v>
      </c>
      <c r="P1345" s="24">
        <f>IF(AND(O1345="在职",J1345="是"),COUNTIF(O$2:O1345,"在职"),"")</f>
        <v>1338</v>
      </c>
    </row>
    <row r="1346" ht="18" spans="1:16">
      <c r="A1346" s="10">
        <f t="shared" si="26"/>
        <v>1345</v>
      </c>
      <c r="B1346" s="31">
        <v>46179</v>
      </c>
      <c r="C1346" s="32" t="s">
        <v>745</v>
      </c>
      <c r="D1346" s="120" t="s">
        <v>477</v>
      </c>
      <c r="E1346" s="33" t="s">
        <v>42</v>
      </c>
      <c r="F1346" s="18" t="s">
        <v>64</v>
      </c>
      <c r="G1346" s="18" t="s">
        <v>744</v>
      </c>
      <c r="H1346" s="34" t="s">
        <v>85</v>
      </c>
      <c r="I1346" s="18" t="s">
        <v>104</v>
      </c>
      <c r="J1346" s="31" t="s">
        <v>105</v>
      </c>
      <c r="K1346" s="31"/>
      <c r="N1346" s="13" t="s">
        <v>29</v>
      </c>
      <c r="O1346" s="24" t="str">
        <f>IF(D1346="","",IF(COUNTIF(离职清单!C:C,D1346)&gt;0,"已离职","在职"))</f>
        <v>在职</v>
      </c>
      <c r="P1346" s="24" t="str">
        <f>IF(AND(O1346="在职",J1346="是"),COUNTIF(O$2:O1346,"在职"),"")</f>
        <v/>
      </c>
    </row>
    <row r="1347" ht="18" spans="1:16">
      <c r="A1347" s="14">
        <f t="shared" si="26"/>
        <v>1346</v>
      </c>
      <c r="B1347" s="31">
        <v>46179</v>
      </c>
      <c r="C1347" s="32" t="s">
        <v>746</v>
      </c>
      <c r="D1347" s="120" t="s">
        <v>478</v>
      </c>
      <c r="E1347" s="33" t="s">
        <v>42</v>
      </c>
      <c r="F1347" s="18" t="s">
        <v>64</v>
      </c>
      <c r="G1347" s="18" t="s">
        <v>744</v>
      </c>
      <c r="H1347" s="34" t="s">
        <v>85</v>
      </c>
      <c r="I1347" s="18" t="s">
        <v>104</v>
      </c>
      <c r="J1347" s="31" t="s">
        <v>105</v>
      </c>
      <c r="K1347" s="31"/>
      <c r="N1347" s="13" t="s">
        <v>29</v>
      </c>
      <c r="O1347" s="24" t="str">
        <f>IF(D1347="","",IF(COUNTIF(离职清单!C:C,D1347)&gt;0,"已离职","在职"))</f>
        <v>在职</v>
      </c>
      <c r="P1347" s="24" t="str">
        <f>IF(AND(O1347="在职",J1347="是"),COUNTIF(O$2:O1347,"在职"),"")</f>
        <v/>
      </c>
    </row>
    <row r="1348" ht="18" spans="1:16">
      <c r="A1348" s="10">
        <f t="shared" si="26"/>
        <v>1347</v>
      </c>
      <c r="B1348" s="31">
        <v>46179</v>
      </c>
      <c r="C1348" s="32" t="s">
        <v>1488</v>
      </c>
      <c r="D1348" s="120" t="s">
        <v>480</v>
      </c>
      <c r="E1348" s="33" t="s">
        <v>42</v>
      </c>
      <c r="F1348" s="18" t="s">
        <v>64</v>
      </c>
      <c r="G1348" s="18" t="s">
        <v>744</v>
      </c>
      <c r="H1348" s="34" t="s">
        <v>85</v>
      </c>
      <c r="I1348" s="18" t="s">
        <v>104</v>
      </c>
      <c r="J1348" s="31" t="s">
        <v>105</v>
      </c>
      <c r="K1348" s="31"/>
      <c r="N1348" s="13" t="s">
        <v>29</v>
      </c>
      <c r="O1348" s="24" t="str">
        <f>IF(D1348="","",IF(COUNTIF(离职清单!C:C,D1348)&gt;0,"已离职","在职"))</f>
        <v>在职</v>
      </c>
      <c r="P1348" s="24" t="str">
        <f>IF(AND(O1348="在职",J1348="是"),COUNTIF(O$2:O1348,"在职"),"")</f>
        <v/>
      </c>
    </row>
    <row r="1349" ht="18" spans="1:16">
      <c r="A1349" s="14">
        <f t="shared" si="26"/>
        <v>1348</v>
      </c>
      <c r="B1349" s="31">
        <v>46179</v>
      </c>
      <c r="C1349" s="32" t="s">
        <v>1489</v>
      </c>
      <c r="D1349" s="120" t="s">
        <v>482</v>
      </c>
      <c r="E1349" s="33" t="s">
        <v>42</v>
      </c>
      <c r="F1349" s="18" t="s">
        <v>64</v>
      </c>
      <c r="G1349" s="18" t="s">
        <v>744</v>
      </c>
      <c r="H1349" s="34" t="s">
        <v>85</v>
      </c>
      <c r="I1349" s="18" t="s">
        <v>104</v>
      </c>
      <c r="J1349" s="31" t="s">
        <v>105</v>
      </c>
      <c r="K1349" s="31"/>
      <c r="N1349" s="13" t="s">
        <v>29</v>
      </c>
      <c r="O1349" s="24" t="str">
        <f>IF(D1349="","",IF(COUNTIF(离职清单!C:C,D1349)&gt;0,"已离职","在职"))</f>
        <v>在职</v>
      </c>
      <c r="P1349" s="24" t="str">
        <f>IF(AND(O1349="在职",J1349="是"),COUNTIF(O$2:O1349,"在职"),"")</f>
        <v/>
      </c>
    </row>
    <row r="1350" ht="18" spans="1:16">
      <c r="A1350" s="10">
        <f t="shared" si="26"/>
        <v>1349</v>
      </c>
      <c r="B1350" s="31">
        <v>46179</v>
      </c>
      <c r="C1350" s="32" t="s">
        <v>1490</v>
      </c>
      <c r="D1350" s="120" t="s">
        <v>484</v>
      </c>
      <c r="E1350" s="33" t="s">
        <v>42</v>
      </c>
      <c r="F1350" s="18" t="s">
        <v>62</v>
      </c>
      <c r="G1350" s="18" t="s">
        <v>233</v>
      </c>
      <c r="H1350" s="34" t="s">
        <v>85</v>
      </c>
      <c r="I1350" s="18" t="s">
        <v>104</v>
      </c>
      <c r="J1350" s="31" t="s">
        <v>105</v>
      </c>
      <c r="K1350" s="31"/>
      <c r="N1350" s="13" t="s">
        <v>29</v>
      </c>
      <c r="O1350" s="24" t="str">
        <f>IF(D1350="","",IF(COUNTIF(离职清单!C:C,D1350)&gt;0,"已离职","在职"))</f>
        <v>在职</v>
      </c>
      <c r="P1350" s="24" t="str">
        <f>IF(AND(O1350="在职",J1350="是"),COUNTIF(O$2:O1350,"在职"),"")</f>
        <v/>
      </c>
    </row>
    <row r="1351" ht="18" spans="1:16">
      <c r="A1351" s="14">
        <f t="shared" si="26"/>
        <v>1350</v>
      </c>
      <c r="B1351" s="31">
        <v>46179</v>
      </c>
      <c r="C1351" s="32" t="s">
        <v>1491</v>
      </c>
      <c r="D1351" s="120" t="s">
        <v>486</v>
      </c>
      <c r="E1351" s="33" t="s">
        <v>42</v>
      </c>
      <c r="F1351" s="18" t="s">
        <v>62</v>
      </c>
      <c r="G1351" s="18" t="s">
        <v>233</v>
      </c>
      <c r="H1351" s="34" t="s">
        <v>85</v>
      </c>
      <c r="I1351" s="18" t="s">
        <v>104</v>
      </c>
      <c r="J1351" s="31" t="s">
        <v>114</v>
      </c>
      <c r="K1351" s="31">
        <v>46180</v>
      </c>
      <c r="N1351" s="13" t="s">
        <v>29</v>
      </c>
      <c r="O1351" s="24" t="str">
        <f>IF(D1351="","",IF(COUNTIF(离职清单!C:C,D1351)&gt;0,"已离职","在职"))</f>
        <v>在职</v>
      </c>
      <c r="P1351" s="24">
        <f>IF(AND(O1351="在职",J1351="是"),COUNTIF(O$2:O1351,"在职"),"")</f>
        <v>1344</v>
      </c>
    </row>
    <row r="1352" ht="18" spans="1:16">
      <c r="A1352" s="10">
        <f t="shared" si="26"/>
        <v>1351</v>
      </c>
      <c r="B1352" s="31">
        <v>46179</v>
      </c>
      <c r="C1352" s="32" t="s">
        <v>1492</v>
      </c>
      <c r="D1352" s="120" t="s">
        <v>488</v>
      </c>
      <c r="E1352" s="33" t="s">
        <v>42</v>
      </c>
      <c r="F1352" s="18" t="s">
        <v>63</v>
      </c>
      <c r="G1352" s="18" t="s">
        <v>173</v>
      </c>
      <c r="H1352" s="34" t="s">
        <v>85</v>
      </c>
      <c r="I1352" s="18" t="s">
        <v>104</v>
      </c>
      <c r="J1352" s="31" t="s">
        <v>114</v>
      </c>
      <c r="K1352" s="31">
        <v>46180</v>
      </c>
      <c r="N1352" s="13" t="s">
        <v>29</v>
      </c>
      <c r="O1352" s="24" t="str">
        <f>IF(D1352="","",IF(COUNTIF(离职清单!C:C,D1352)&gt;0,"已离职","在职"))</f>
        <v>在职</v>
      </c>
      <c r="P1352" s="24">
        <f>IF(AND(O1352="在职",J1352="是"),COUNTIF(O$2:O1352,"在职"),"")</f>
        <v>1345</v>
      </c>
    </row>
    <row r="1353" ht="18" spans="1:16">
      <c r="A1353" s="14">
        <f t="shared" si="26"/>
        <v>1352</v>
      </c>
      <c r="B1353" s="31">
        <v>46179</v>
      </c>
      <c r="C1353" s="32" t="s">
        <v>1493</v>
      </c>
      <c r="D1353" s="120" t="s">
        <v>490</v>
      </c>
      <c r="E1353" s="33" t="s">
        <v>42</v>
      </c>
      <c r="F1353" s="18" t="s">
        <v>62</v>
      </c>
      <c r="G1353" s="18" t="s">
        <v>307</v>
      </c>
      <c r="H1353" s="34" t="s">
        <v>85</v>
      </c>
      <c r="I1353" s="18" t="s">
        <v>104</v>
      </c>
      <c r="J1353" s="31" t="s">
        <v>114</v>
      </c>
      <c r="K1353" s="31">
        <v>46180</v>
      </c>
      <c r="N1353" s="13" t="s">
        <v>29</v>
      </c>
      <c r="O1353" s="24" t="str">
        <f>IF(D1353="","",IF(COUNTIF(离职清单!C:C,D1353)&gt;0,"已离职","在职"))</f>
        <v>在职</v>
      </c>
      <c r="P1353" s="24">
        <f>IF(AND(O1353="在职",J1353="是"),COUNTIF(O$2:O1353,"在职"),"")</f>
        <v>1346</v>
      </c>
    </row>
    <row r="1354" ht="18" spans="1:16">
      <c r="A1354" s="10">
        <f t="shared" si="26"/>
        <v>1353</v>
      </c>
      <c r="B1354" s="31">
        <v>46179</v>
      </c>
      <c r="C1354" s="32" t="s">
        <v>1494</v>
      </c>
      <c r="D1354" s="120" t="s">
        <v>492</v>
      </c>
      <c r="E1354" s="33" t="s">
        <v>42</v>
      </c>
      <c r="F1354" s="18" t="s">
        <v>63</v>
      </c>
      <c r="G1354" s="18" t="s">
        <v>307</v>
      </c>
      <c r="H1354" s="34" t="s">
        <v>85</v>
      </c>
      <c r="I1354" s="18" t="s">
        <v>104</v>
      </c>
      <c r="J1354" s="31" t="s">
        <v>114</v>
      </c>
      <c r="K1354" s="31">
        <v>46181</v>
      </c>
      <c r="N1354" s="13" t="s">
        <v>29</v>
      </c>
      <c r="O1354" s="24" t="str">
        <f>IF(D1354="","",IF(COUNTIF(离职清单!C:C,D1354)&gt;0,"已离职","在职"))</f>
        <v>在职</v>
      </c>
      <c r="P1354" s="24">
        <f>IF(AND(O1354="在职",J1354="是"),COUNTIF(O$2:O1354,"在职"),"")</f>
        <v>1347</v>
      </c>
    </row>
    <row r="1355" ht="18" spans="1:16">
      <c r="A1355" s="14">
        <f t="shared" si="26"/>
        <v>1354</v>
      </c>
      <c r="B1355" s="31">
        <v>46179</v>
      </c>
      <c r="C1355" s="32" t="s">
        <v>1495</v>
      </c>
      <c r="D1355" s="120" t="s">
        <v>477</v>
      </c>
      <c r="E1355" s="33" t="s">
        <v>42</v>
      </c>
      <c r="F1355" s="18" t="s">
        <v>63</v>
      </c>
      <c r="G1355" s="18" t="s">
        <v>307</v>
      </c>
      <c r="H1355" s="34" t="s">
        <v>85</v>
      </c>
      <c r="I1355" s="18" t="s">
        <v>104</v>
      </c>
      <c r="J1355" s="31" t="s">
        <v>114</v>
      </c>
      <c r="K1355" s="31">
        <v>46183</v>
      </c>
      <c r="N1355" s="13" t="s">
        <v>29</v>
      </c>
      <c r="O1355" s="24" t="str">
        <f>IF(D1355="","",IF(COUNTIF(离职清单!C:C,D1355)&gt;0,"已离职","在职"))</f>
        <v>在职</v>
      </c>
      <c r="P1355" s="24">
        <f>IF(AND(O1355="在职",J1355="是"),COUNTIF(O$2:O1355,"在职"),"")</f>
        <v>1348</v>
      </c>
    </row>
    <row r="1356" ht="18" spans="1:16">
      <c r="A1356" s="10">
        <f t="shared" si="26"/>
        <v>1355</v>
      </c>
      <c r="B1356" s="31">
        <v>46179</v>
      </c>
      <c r="C1356" s="32" t="s">
        <v>1496</v>
      </c>
      <c r="D1356" s="120" t="s">
        <v>478</v>
      </c>
      <c r="E1356" s="33" t="s">
        <v>42</v>
      </c>
      <c r="F1356" s="18" t="s">
        <v>64</v>
      </c>
      <c r="G1356" s="18" t="s">
        <v>512</v>
      </c>
      <c r="H1356" s="34" t="s">
        <v>85</v>
      </c>
      <c r="I1356" s="18" t="s">
        <v>104</v>
      </c>
      <c r="J1356" s="31" t="s">
        <v>105</v>
      </c>
      <c r="K1356" s="31"/>
      <c r="N1356" s="13" t="s">
        <v>29</v>
      </c>
      <c r="O1356" s="24" t="str">
        <f>IF(D1356="","",IF(COUNTIF(离职清单!C:C,D1356)&gt;0,"已离职","在职"))</f>
        <v>在职</v>
      </c>
      <c r="P1356" s="24" t="str">
        <f>IF(AND(O1356="在职",J1356="是"),COUNTIF(O$2:O1356,"在职"),"")</f>
        <v/>
      </c>
    </row>
    <row r="1357" ht="18" spans="1:16">
      <c r="A1357" s="14">
        <f t="shared" si="26"/>
        <v>1356</v>
      </c>
      <c r="B1357" s="31">
        <v>46179</v>
      </c>
      <c r="C1357" s="32" t="s">
        <v>1497</v>
      </c>
      <c r="D1357" s="120" t="s">
        <v>480</v>
      </c>
      <c r="E1357" s="33" t="s">
        <v>42</v>
      </c>
      <c r="F1357" s="18" t="s">
        <v>64</v>
      </c>
      <c r="G1357" s="18" t="s">
        <v>578</v>
      </c>
      <c r="H1357" s="34" t="s">
        <v>85</v>
      </c>
      <c r="I1357" s="18" t="s">
        <v>104</v>
      </c>
      <c r="J1357" s="31" t="s">
        <v>105</v>
      </c>
      <c r="K1357" s="31"/>
      <c r="N1357" s="13" t="s">
        <v>29</v>
      </c>
      <c r="O1357" s="24" t="str">
        <f>IF(D1357="","",IF(COUNTIF(离职清单!C:C,D1357)&gt;0,"已离职","在职"))</f>
        <v>在职</v>
      </c>
      <c r="P1357" s="24" t="str">
        <f>IF(AND(O1357="在职",J1357="是"),COUNTIF(O$2:O1357,"在职"),"")</f>
        <v/>
      </c>
    </row>
    <row r="1358" ht="18" spans="1:16">
      <c r="A1358" s="10">
        <f t="shared" si="26"/>
        <v>1357</v>
      </c>
      <c r="B1358" s="31">
        <v>46179</v>
      </c>
      <c r="C1358" s="32" t="s">
        <v>1498</v>
      </c>
      <c r="D1358" s="120" t="s">
        <v>482</v>
      </c>
      <c r="E1358" s="33" t="s">
        <v>42</v>
      </c>
      <c r="F1358" s="18" t="s">
        <v>63</v>
      </c>
      <c r="G1358" s="18" t="s">
        <v>578</v>
      </c>
      <c r="H1358" s="34" t="s">
        <v>85</v>
      </c>
      <c r="I1358" s="18" t="s">
        <v>104</v>
      </c>
      <c r="J1358" s="31" t="s">
        <v>105</v>
      </c>
      <c r="K1358" s="31"/>
      <c r="N1358" s="13" t="s">
        <v>29</v>
      </c>
      <c r="O1358" s="24" t="str">
        <f>IF(D1358="","",IF(COUNTIF(离职清单!C:C,D1358)&gt;0,"已离职","在职"))</f>
        <v>在职</v>
      </c>
      <c r="P1358" s="24" t="str">
        <f>IF(AND(O1358="在职",J1358="是"),COUNTIF(O$2:O1358,"在职"),"")</f>
        <v/>
      </c>
    </row>
    <row r="1359" ht="18" spans="1:16">
      <c r="A1359" s="14">
        <f t="shared" si="26"/>
        <v>1358</v>
      </c>
      <c r="B1359" s="31">
        <v>46179</v>
      </c>
      <c r="C1359" s="32" t="s">
        <v>1499</v>
      </c>
      <c r="D1359" s="120" t="s">
        <v>484</v>
      </c>
      <c r="E1359" s="33" t="s">
        <v>42</v>
      </c>
      <c r="F1359" s="18" t="s">
        <v>64</v>
      </c>
      <c r="G1359" s="18" t="s">
        <v>578</v>
      </c>
      <c r="H1359" s="34" t="s">
        <v>85</v>
      </c>
      <c r="I1359" s="18" t="s">
        <v>104</v>
      </c>
      <c r="J1359" s="31" t="s">
        <v>105</v>
      </c>
      <c r="K1359" s="31"/>
      <c r="N1359" s="13" t="s">
        <v>29</v>
      </c>
      <c r="O1359" s="24" t="str">
        <f>IF(D1359="","",IF(COUNTIF(离职清单!C:C,D1359)&gt;0,"已离职","在职"))</f>
        <v>在职</v>
      </c>
      <c r="P1359" s="24" t="str">
        <f>IF(AND(O1359="在职",J1359="是"),COUNTIF(O$2:O1359,"在职"),"")</f>
        <v/>
      </c>
    </row>
    <row r="1360" ht="18" spans="1:16">
      <c r="A1360" s="10">
        <f t="shared" si="26"/>
        <v>1359</v>
      </c>
      <c r="B1360" s="31">
        <v>46179</v>
      </c>
      <c r="C1360" s="32" t="s">
        <v>1500</v>
      </c>
      <c r="D1360" s="120" t="s">
        <v>486</v>
      </c>
      <c r="E1360" s="33" t="s">
        <v>42</v>
      </c>
      <c r="F1360" s="18" t="s">
        <v>63</v>
      </c>
      <c r="G1360" s="18" t="s">
        <v>578</v>
      </c>
      <c r="H1360" s="34" t="s">
        <v>85</v>
      </c>
      <c r="I1360" s="18" t="s">
        <v>104</v>
      </c>
      <c r="J1360" s="31" t="s">
        <v>105</v>
      </c>
      <c r="K1360" s="31">
        <v>46180</v>
      </c>
      <c r="N1360" s="13" t="s">
        <v>29</v>
      </c>
      <c r="O1360" s="24" t="str">
        <f>IF(D1360="","",IF(COUNTIF(离职清单!C:C,D1360)&gt;0,"已离职","在职"))</f>
        <v>在职</v>
      </c>
      <c r="P1360" s="24" t="str">
        <f>IF(AND(O1360="在职",J1360="是"),COUNTIF(O$2:O1360,"在职"),"")</f>
        <v/>
      </c>
    </row>
    <row r="1361" ht="18" spans="1:16">
      <c r="A1361" s="14">
        <f t="shared" si="26"/>
        <v>1360</v>
      </c>
      <c r="B1361" s="31">
        <v>46179</v>
      </c>
      <c r="C1361" s="32" t="s">
        <v>1501</v>
      </c>
      <c r="D1361" s="120" t="s">
        <v>488</v>
      </c>
      <c r="E1361" s="33" t="s">
        <v>42</v>
      </c>
      <c r="F1361" s="18" t="s">
        <v>64</v>
      </c>
      <c r="G1361" s="18" t="s">
        <v>578</v>
      </c>
      <c r="H1361" s="34" t="s">
        <v>85</v>
      </c>
      <c r="I1361" s="18" t="s">
        <v>104</v>
      </c>
      <c r="J1361" s="31" t="s">
        <v>105</v>
      </c>
      <c r="K1361" s="31"/>
      <c r="N1361" s="13" t="s">
        <v>29</v>
      </c>
      <c r="O1361" s="24" t="str">
        <f>IF(D1361="","",IF(COUNTIF(离职清单!C:C,D1361)&gt;0,"已离职","在职"))</f>
        <v>在职</v>
      </c>
      <c r="P1361" s="24" t="str">
        <f>IF(AND(O1361="在职",J1361="是"),COUNTIF(O$2:O1361,"在职"),"")</f>
        <v/>
      </c>
    </row>
    <row r="1362" ht="18" spans="1:16">
      <c r="A1362" s="10">
        <f t="shared" si="26"/>
        <v>1361</v>
      </c>
      <c r="B1362" s="31">
        <v>46179</v>
      </c>
      <c r="C1362" s="32" t="s">
        <v>1502</v>
      </c>
      <c r="D1362" s="120" t="s">
        <v>490</v>
      </c>
      <c r="E1362" s="33" t="s">
        <v>42</v>
      </c>
      <c r="F1362" s="18" t="s">
        <v>64</v>
      </c>
      <c r="G1362" s="18" t="s">
        <v>578</v>
      </c>
      <c r="H1362" s="34" t="s">
        <v>85</v>
      </c>
      <c r="I1362" s="18" t="s">
        <v>104</v>
      </c>
      <c r="J1362" s="31" t="s">
        <v>105</v>
      </c>
      <c r="K1362" s="31"/>
      <c r="N1362" s="13" t="s">
        <v>29</v>
      </c>
      <c r="O1362" s="24" t="str">
        <f>IF(D1362="","",IF(COUNTIF(离职清单!C:C,D1362)&gt;0,"已离职","在职"))</f>
        <v>在职</v>
      </c>
      <c r="P1362" s="24" t="str">
        <f>IF(AND(O1362="在职",J1362="是"),COUNTIF(O$2:O1362,"在职"),"")</f>
        <v/>
      </c>
    </row>
    <row r="1363" ht="18" spans="1:16">
      <c r="A1363" s="14">
        <f t="shared" si="26"/>
        <v>1362</v>
      </c>
      <c r="B1363" s="31">
        <v>46179</v>
      </c>
      <c r="C1363" s="32" t="s">
        <v>1503</v>
      </c>
      <c r="D1363" s="120" t="s">
        <v>492</v>
      </c>
      <c r="E1363" s="33" t="s">
        <v>42</v>
      </c>
      <c r="F1363" s="18" t="s">
        <v>63</v>
      </c>
      <c r="G1363" s="18" t="s">
        <v>179</v>
      </c>
      <c r="H1363" s="34" t="s">
        <v>85</v>
      </c>
      <c r="I1363" s="18" t="s">
        <v>104</v>
      </c>
      <c r="J1363" s="31" t="s">
        <v>105</v>
      </c>
      <c r="K1363" s="31"/>
      <c r="N1363" s="13" t="s">
        <v>29</v>
      </c>
      <c r="O1363" s="24" t="str">
        <f>IF(D1363="","",IF(COUNTIF(离职清单!C:C,D1363)&gt;0,"已离职","在职"))</f>
        <v>在职</v>
      </c>
      <c r="P1363" s="24" t="str">
        <f>IF(AND(O1363="在职",J1363="是"),COUNTIF(O$2:O1363,"在职"),"")</f>
        <v/>
      </c>
    </row>
    <row r="1364" ht="18" spans="1:16">
      <c r="A1364" s="10">
        <f t="shared" si="26"/>
        <v>1363</v>
      </c>
      <c r="B1364" s="31">
        <v>46179</v>
      </c>
      <c r="C1364" s="32" t="s">
        <v>1504</v>
      </c>
      <c r="D1364" s="120" t="s">
        <v>477</v>
      </c>
      <c r="E1364" s="33" t="s">
        <v>42</v>
      </c>
      <c r="F1364" s="18" t="s">
        <v>64</v>
      </c>
      <c r="G1364" s="18" t="s">
        <v>631</v>
      </c>
      <c r="H1364" s="34" t="s">
        <v>85</v>
      </c>
      <c r="I1364" s="18" t="s">
        <v>104</v>
      </c>
      <c r="J1364" s="31" t="s">
        <v>105</v>
      </c>
      <c r="K1364" s="31"/>
      <c r="N1364" s="13" t="s">
        <v>29</v>
      </c>
      <c r="O1364" s="24" t="str">
        <f>IF(D1364="","",IF(COUNTIF(离职清单!C:C,D1364)&gt;0,"已离职","在职"))</f>
        <v>在职</v>
      </c>
      <c r="P1364" s="24" t="str">
        <f>IF(AND(O1364="在职",J1364="是"),COUNTIF(O$2:O1364,"在职"),"")</f>
        <v/>
      </c>
    </row>
    <row r="1365" ht="18" spans="1:16">
      <c r="A1365" s="14">
        <f t="shared" si="26"/>
        <v>1364</v>
      </c>
      <c r="B1365" s="31">
        <v>46179</v>
      </c>
      <c r="C1365" s="32" t="s">
        <v>1505</v>
      </c>
      <c r="D1365" s="120" t="s">
        <v>478</v>
      </c>
      <c r="E1365" s="33" t="s">
        <v>42</v>
      </c>
      <c r="F1365" s="18" t="s">
        <v>64</v>
      </c>
      <c r="G1365" s="18" t="s">
        <v>631</v>
      </c>
      <c r="H1365" s="34" t="s">
        <v>85</v>
      </c>
      <c r="I1365" s="18" t="s">
        <v>104</v>
      </c>
      <c r="J1365" s="31" t="s">
        <v>105</v>
      </c>
      <c r="K1365" s="31"/>
      <c r="N1365" s="13" t="s">
        <v>29</v>
      </c>
      <c r="O1365" s="24" t="str">
        <f>IF(D1365="","",IF(COUNTIF(离职清单!C:C,D1365)&gt;0,"已离职","在职"))</f>
        <v>在职</v>
      </c>
      <c r="P1365" s="24" t="str">
        <f>IF(AND(O1365="在职",J1365="是"),COUNTIF(O$2:O1365,"在职"),"")</f>
        <v/>
      </c>
    </row>
    <row r="1366" ht="18" spans="1:16">
      <c r="A1366" s="10">
        <f t="shared" si="26"/>
        <v>1365</v>
      </c>
      <c r="B1366" s="31">
        <v>46179</v>
      </c>
      <c r="C1366" s="32" t="s">
        <v>1506</v>
      </c>
      <c r="D1366" s="120" t="s">
        <v>480</v>
      </c>
      <c r="E1366" s="33" t="s">
        <v>42</v>
      </c>
      <c r="F1366" s="18" t="s">
        <v>63</v>
      </c>
      <c r="G1366" s="18" t="s">
        <v>631</v>
      </c>
      <c r="H1366" s="34" t="s">
        <v>85</v>
      </c>
      <c r="I1366" s="18" t="s">
        <v>104</v>
      </c>
      <c r="J1366" s="31" t="s">
        <v>105</v>
      </c>
      <c r="K1366" s="31">
        <v>46183</v>
      </c>
      <c r="N1366" s="13" t="s">
        <v>29</v>
      </c>
      <c r="O1366" s="24" t="str">
        <f>IF(D1366="","",IF(COUNTIF(离职清单!C:C,D1366)&gt;0,"已离职","在职"))</f>
        <v>在职</v>
      </c>
      <c r="P1366" s="24" t="str">
        <f>IF(AND(O1366="在职",J1366="是"),COUNTIF(O$2:O1366,"在职"),"")</f>
        <v/>
      </c>
    </row>
    <row r="1367" ht="18" spans="1:16">
      <c r="A1367" s="14">
        <f t="shared" si="26"/>
        <v>1366</v>
      </c>
      <c r="B1367" s="31">
        <v>46179</v>
      </c>
      <c r="C1367" s="32" t="s">
        <v>877</v>
      </c>
      <c r="D1367" s="120" t="s">
        <v>482</v>
      </c>
      <c r="E1367" s="33" t="s">
        <v>42</v>
      </c>
      <c r="F1367" s="18" t="s">
        <v>64</v>
      </c>
      <c r="G1367" s="18" t="s">
        <v>631</v>
      </c>
      <c r="H1367" s="34" t="s">
        <v>85</v>
      </c>
      <c r="I1367" s="18" t="s">
        <v>104</v>
      </c>
      <c r="J1367" s="31" t="s">
        <v>105</v>
      </c>
      <c r="K1367" s="31"/>
      <c r="N1367" s="13" t="s">
        <v>29</v>
      </c>
      <c r="O1367" s="24" t="str">
        <f>IF(D1367="","",IF(COUNTIF(离职清单!C:C,D1367)&gt;0,"已离职","在职"))</f>
        <v>在职</v>
      </c>
      <c r="P1367" s="24" t="str">
        <f>IF(AND(O1367="在职",J1367="是"),COUNTIF(O$2:O1367,"在职"),"")</f>
        <v/>
      </c>
    </row>
    <row r="1368" ht="18" spans="1:16">
      <c r="A1368" s="10">
        <f t="shared" si="26"/>
        <v>1367</v>
      </c>
      <c r="B1368" s="31">
        <v>46179</v>
      </c>
      <c r="C1368" s="32" t="s">
        <v>1507</v>
      </c>
      <c r="D1368" s="120" t="s">
        <v>484</v>
      </c>
      <c r="E1368" s="33" t="s">
        <v>42</v>
      </c>
      <c r="F1368" s="18" t="s">
        <v>64</v>
      </c>
      <c r="G1368" s="18" t="s">
        <v>631</v>
      </c>
      <c r="H1368" s="34" t="s">
        <v>85</v>
      </c>
      <c r="I1368" s="18" t="s">
        <v>104</v>
      </c>
      <c r="J1368" s="31" t="s">
        <v>105</v>
      </c>
      <c r="K1368" s="31"/>
      <c r="N1368" s="13" t="s">
        <v>29</v>
      </c>
      <c r="O1368" s="24" t="str">
        <f>IF(D1368="","",IF(COUNTIF(离职清单!C:C,D1368)&gt;0,"已离职","在职"))</f>
        <v>在职</v>
      </c>
      <c r="P1368" s="24" t="str">
        <f>IF(AND(O1368="在职",J1368="是"),COUNTIF(O$2:O1368,"在职"),"")</f>
        <v/>
      </c>
    </row>
    <row r="1369" ht="18" spans="1:16">
      <c r="A1369" s="14">
        <f t="shared" si="26"/>
        <v>1368</v>
      </c>
      <c r="B1369" s="31">
        <v>46179</v>
      </c>
      <c r="C1369" s="32" t="s">
        <v>859</v>
      </c>
      <c r="D1369" s="120" t="s">
        <v>486</v>
      </c>
      <c r="E1369" s="33" t="s">
        <v>42</v>
      </c>
      <c r="F1369" s="18" t="s">
        <v>64</v>
      </c>
      <c r="G1369" s="18" t="s">
        <v>117</v>
      </c>
      <c r="H1369" s="34" t="s">
        <v>85</v>
      </c>
      <c r="I1369" s="18" t="s">
        <v>104</v>
      </c>
      <c r="J1369" s="31" t="s">
        <v>114</v>
      </c>
      <c r="K1369" s="31"/>
      <c r="N1369" s="13" t="s">
        <v>29</v>
      </c>
      <c r="O1369" s="24" t="str">
        <f>IF(D1369="","",IF(COUNTIF(离职清单!C:C,D1369)&gt;0,"已离职","在职"))</f>
        <v>在职</v>
      </c>
      <c r="P1369" s="24">
        <f>IF(AND(O1369="在职",J1369="是"),COUNTIF(O$2:O1369,"在职"),"")</f>
        <v>1362</v>
      </c>
    </row>
    <row r="1370" ht="18" spans="1:16">
      <c r="A1370" s="10">
        <f t="shared" si="26"/>
        <v>1369</v>
      </c>
      <c r="B1370" s="31">
        <v>46179</v>
      </c>
      <c r="C1370" s="32" t="s">
        <v>1508</v>
      </c>
      <c r="D1370" s="120" t="s">
        <v>488</v>
      </c>
      <c r="E1370" s="33" t="s">
        <v>42</v>
      </c>
      <c r="F1370" s="18" t="s">
        <v>64</v>
      </c>
      <c r="G1370" s="18" t="s">
        <v>148</v>
      </c>
      <c r="H1370" s="34" t="s">
        <v>85</v>
      </c>
      <c r="I1370" s="18" t="s">
        <v>104</v>
      </c>
      <c r="J1370" s="31" t="s">
        <v>105</v>
      </c>
      <c r="K1370" s="31"/>
      <c r="N1370" s="13" t="s">
        <v>29</v>
      </c>
      <c r="O1370" s="24" t="str">
        <f>IF(D1370="","",IF(COUNTIF(离职清单!C:C,D1370)&gt;0,"已离职","在职"))</f>
        <v>在职</v>
      </c>
      <c r="P1370" s="24" t="str">
        <f>IF(AND(O1370="在职",J1370="是"),COUNTIF(O$2:O1370,"在职"),"")</f>
        <v/>
      </c>
    </row>
    <row r="1371" ht="18" spans="1:16">
      <c r="A1371" s="14">
        <f t="shared" si="26"/>
        <v>1370</v>
      </c>
      <c r="B1371" s="31">
        <v>46180</v>
      </c>
      <c r="C1371" s="32" t="s">
        <v>1509</v>
      </c>
      <c r="D1371" s="120" t="s">
        <v>490</v>
      </c>
      <c r="E1371" s="33" t="s">
        <v>42</v>
      </c>
      <c r="F1371" s="18" t="s">
        <v>63</v>
      </c>
      <c r="G1371" s="18" t="s">
        <v>129</v>
      </c>
      <c r="H1371" s="34" t="s">
        <v>85</v>
      </c>
      <c r="I1371" s="18" t="s">
        <v>104</v>
      </c>
      <c r="J1371" s="31" t="s">
        <v>114</v>
      </c>
      <c r="K1371" s="31">
        <v>46184</v>
      </c>
      <c r="N1371" s="13" t="s">
        <v>29</v>
      </c>
      <c r="O1371" s="24" t="str">
        <f>IF(D1371="","",IF(COUNTIF(离职清单!C:C,D1371)&gt;0,"已离职","在职"))</f>
        <v>在职</v>
      </c>
      <c r="P1371" s="24">
        <f>IF(AND(O1371="在职",J1371="是"),COUNTIF(O$2:O1371,"在职"),"")</f>
        <v>1364</v>
      </c>
    </row>
    <row r="1372" ht="18" spans="1:16">
      <c r="A1372" s="10">
        <f t="shared" si="26"/>
        <v>1371</v>
      </c>
      <c r="B1372" s="31">
        <v>46180</v>
      </c>
      <c r="C1372" s="32" t="s">
        <v>1510</v>
      </c>
      <c r="D1372" s="120" t="s">
        <v>492</v>
      </c>
      <c r="E1372" s="33" t="s">
        <v>42</v>
      </c>
      <c r="F1372" s="18" t="s">
        <v>64</v>
      </c>
      <c r="G1372" s="18" t="s">
        <v>1511</v>
      </c>
      <c r="H1372" s="34" t="s">
        <v>85</v>
      </c>
      <c r="I1372" s="18" t="s">
        <v>104</v>
      </c>
      <c r="J1372" s="31" t="s">
        <v>105</v>
      </c>
      <c r="K1372" s="31"/>
      <c r="N1372" s="13" t="s">
        <v>29</v>
      </c>
      <c r="O1372" s="24" t="str">
        <f>IF(D1372="","",IF(COUNTIF(离职清单!C:C,D1372)&gt;0,"已离职","在职"))</f>
        <v>在职</v>
      </c>
      <c r="P1372" s="24" t="str">
        <f>IF(AND(O1372="在职",J1372="是"),COUNTIF(O$2:O1372,"在职"),"")</f>
        <v/>
      </c>
    </row>
    <row r="1373" ht="18" spans="1:16">
      <c r="A1373" s="14">
        <f t="shared" si="26"/>
        <v>1372</v>
      </c>
      <c r="B1373" s="31">
        <v>46180</v>
      </c>
      <c r="C1373" s="32" t="s">
        <v>1512</v>
      </c>
      <c r="D1373" s="120" t="s">
        <v>477</v>
      </c>
      <c r="E1373" s="33" t="s">
        <v>42</v>
      </c>
      <c r="F1373" s="18" t="s">
        <v>62</v>
      </c>
      <c r="G1373" s="18" t="s">
        <v>1513</v>
      </c>
      <c r="H1373" s="34" t="s">
        <v>85</v>
      </c>
      <c r="I1373" s="18" t="s">
        <v>104</v>
      </c>
      <c r="J1373" s="31" t="s">
        <v>105</v>
      </c>
      <c r="K1373" s="31"/>
      <c r="N1373" s="13" t="s">
        <v>29</v>
      </c>
      <c r="O1373" s="24" t="str">
        <f>IF(D1373="","",IF(COUNTIF(离职清单!C:C,D1373)&gt;0,"已离职","在职"))</f>
        <v>在职</v>
      </c>
      <c r="P1373" s="24" t="str">
        <f>IF(AND(O1373="在职",J1373="是"),COUNTIF(O$2:O1373,"在职"),"")</f>
        <v/>
      </c>
    </row>
    <row r="1374" ht="18" spans="1:16">
      <c r="A1374" s="10">
        <f t="shared" si="26"/>
        <v>1373</v>
      </c>
      <c r="B1374" s="31">
        <v>46180</v>
      </c>
      <c r="C1374" s="32" t="s">
        <v>1514</v>
      </c>
      <c r="D1374" s="120" t="s">
        <v>478</v>
      </c>
      <c r="E1374" s="33" t="s">
        <v>42</v>
      </c>
      <c r="F1374" s="18" t="s">
        <v>64</v>
      </c>
      <c r="G1374" s="18" t="s">
        <v>1513</v>
      </c>
      <c r="H1374" s="34" t="s">
        <v>85</v>
      </c>
      <c r="I1374" s="18" t="s">
        <v>104</v>
      </c>
      <c r="J1374" s="31" t="s">
        <v>105</v>
      </c>
      <c r="K1374" s="31"/>
      <c r="N1374" s="13" t="s">
        <v>29</v>
      </c>
      <c r="O1374" s="24" t="str">
        <f>IF(D1374="","",IF(COUNTIF(离职清单!C:C,D1374)&gt;0,"已离职","在职"))</f>
        <v>在职</v>
      </c>
      <c r="P1374" s="24" t="str">
        <f>IF(AND(O1374="在职",J1374="是"),COUNTIF(O$2:O1374,"在职"),"")</f>
        <v/>
      </c>
    </row>
    <row r="1375" ht="18" spans="1:16">
      <c r="A1375" s="14">
        <f t="shared" si="26"/>
        <v>1374</v>
      </c>
      <c r="B1375" s="31">
        <v>46180</v>
      </c>
      <c r="C1375" s="32" t="s">
        <v>1515</v>
      </c>
      <c r="D1375" s="120" t="s">
        <v>480</v>
      </c>
      <c r="E1375" s="33" t="s">
        <v>42</v>
      </c>
      <c r="F1375" s="18" t="s">
        <v>62</v>
      </c>
      <c r="G1375" s="18" t="s">
        <v>733</v>
      </c>
      <c r="H1375" s="34" t="s">
        <v>85</v>
      </c>
      <c r="I1375" s="18" t="s">
        <v>104</v>
      </c>
      <c r="J1375" s="31" t="s">
        <v>114</v>
      </c>
      <c r="K1375" s="31">
        <v>46183</v>
      </c>
      <c r="N1375" s="13" t="s">
        <v>29</v>
      </c>
      <c r="O1375" s="24" t="str">
        <f>IF(D1375="","",IF(COUNTIF(离职清单!C:C,D1375)&gt;0,"已离职","在职"))</f>
        <v>在职</v>
      </c>
      <c r="P1375" s="24">
        <f>IF(AND(O1375="在职",J1375="是"),COUNTIF(O$2:O1375,"在职"),"")</f>
        <v>1368</v>
      </c>
    </row>
    <row r="1376" ht="18" spans="1:16">
      <c r="A1376" s="10">
        <f t="shared" si="26"/>
        <v>1375</v>
      </c>
      <c r="B1376" s="31">
        <v>46180</v>
      </c>
      <c r="C1376" s="32" t="s">
        <v>1516</v>
      </c>
      <c r="D1376" s="120" t="s">
        <v>482</v>
      </c>
      <c r="E1376" s="33" t="s">
        <v>42</v>
      </c>
      <c r="F1376" s="18" t="s">
        <v>64</v>
      </c>
      <c r="G1376" s="18" t="s">
        <v>631</v>
      </c>
      <c r="H1376" s="34" t="s">
        <v>85</v>
      </c>
      <c r="I1376" s="18" t="s">
        <v>104</v>
      </c>
      <c r="J1376" s="31" t="s">
        <v>105</v>
      </c>
      <c r="K1376" s="31"/>
      <c r="N1376" s="13" t="s">
        <v>29</v>
      </c>
      <c r="O1376" s="24" t="str">
        <f>IF(D1376="","",IF(COUNTIF(离职清单!C:C,D1376)&gt;0,"已离职","在职"))</f>
        <v>在职</v>
      </c>
      <c r="P1376" s="24" t="str">
        <f>IF(AND(O1376="在职",J1376="是"),COUNTIF(O$2:O1376,"在职"),"")</f>
        <v/>
      </c>
    </row>
    <row r="1377" ht="18" spans="1:16">
      <c r="A1377" s="14">
        <f t="shared" si="26"/>
        <v>1376</v>
      </c>
      <c r="B1377" s="31">
        <v>46180</v>
      </c>
      <c r="C1377" s="32" t="s">
        <v>1517</v>
      </c>
      <c r="D1377" s="120" t="s">
        <v>484</v>
      </c>
      <c r="E1377" s="33" t="s">
        <v>42</v>
      </c>
      <c r="F1377" s="18" t="s">
        <v>64</v>
      </c>
      <c r="G1377" s="18" t="s">
        <v>631</v>
      </c>
      <c r="H1377" s="34" t="s">
        <v>85</v>
      </c>
      <c r="I1377" s="18" t="s">
        <v>104</v>
      </c>
      <c r="J1377" s="31" t="s">
        <v>105</v>
      </c>
      <c r="K1377" s="31"/>
      <c r="N1377" s="13" t="s">
        <v>29</v>
      </c>
      <c r="O1377" s="24" t="str">
        <f>IF(D1377="","",IF(COUNTIF(离职清单!C:C,D1377)&gt;0,"已离职","在职"))</f>
        <v>在职</v>
      </c>
      <c r="P1377" s="24" t="str">
        <f>IF(AND(O1377="在职",J1377="是"),COUNTIF(O$2:O1377,"在职"),"")</f>
        <v/>
      </c>
    </row>
    <row r="1378" ht="18" spans="1:16">
      <c r="A1378" s="10">
        <f t="shared" si="26"/>
        <v>1377</v>
      </c>
      <c r="B1378" s="31">
        <v>46180</v>
      </c>
      <c r="C1378" s="32" t="s">
        <v>1518</v>
      </c>
      <c r="D1378" s="120" t="s">
        <v>486</v>
      </c>
      <c r="E1378" s="33" t="s">
        <v>42</v>
      </c>
      <c r="F1378" s="18" t="s">
        <v>64</v>
      </c>
      <c r="G1378" s="18" t="s">
        <v>631</v>
      </c>
      <c r="H1378" s="34" t="s">
        <v>85</v>
      </c>
      <c r="I1378" s="18" t="s">
        <v>104</v>
      </c>
      <c r="J1378" s="31" t="s">
        <v>105</v>
      </c>
      <c r="K1378" s="31"/>
      <c r="N1378" s="13" t="s">
        <v>29</v>
      </c>
      <c r="O1378" s="24" t="str">
        <f>IF(D1378="","",IF(COUNTIF(离职清单!C:C,D1378)&gt;0,"已离职","在职"))</f>
        <v>在职</v>
      </c>
      <c r="P1378" s="24" t="str">
        <f>IF(AND(O1378="在职",J1378="是"),COUNTIF(O$2:O1378,"在职"),"")</f>
        <v/>
      </c>
    </row>
    <row r="1379" ht="18" spans="1:16">
      <c r="A1379" s="14">
        <f t="shared" si="26"/>
        <v>1378</v>
      </c>
      <c r="B1379" s="31">
        <v>46180</v>
      </c>
      <c r="C1379" s="32" t="s">
        <v>808</v>
      </c>
      <c r="D1379" s="120" t="s">
        <v>488</v>
      </c>
      <c r="E1379" s="33" t="s">
        <v>42</v>
      </c>
      <c r="F1379" s="18" t="s">
        <v>64</v>
      </c>
      <c r="G1379" s="18" t="s">
        <v>631</v>
      </c>
      <c r="H1379" s="34" t="s">
        <v>85</v>
      </c>
      <c r="I1379" s="18" t="s">
        <v>104</v>
      </c>
      <c r="J1379" s="31" t="s">
        <v>105</v>
      </c>
      <c r="K1379" s="31"/>
      <c r="N1379" s="13" t="s">
        <v>29</v>
      </c>
      <c r="O1379" s="24" t="str">
        <f>IF(D1379="","",IF(COUNTIF(离职清单!C:C,D1379)&gt;0,"已离职","在职"))</f>
        <v>在职</v>
      </c>
      <c r="P1379" s="24" t="str">
        <f>IF(AND(O1379="在职",J1379="是"),COUNTIF(O$2:O1379,"在职"),"")</f>
        <v/>
      </c>
    </row>
    <row r="1380" ht="18" spans="1:16">
      <c r="A1380" s="10">
        <f t="shared" si="26"/>
        <v>1379</v>
      </c>
      <c r="B1380" s="31">
        <v>46180</v>
      </c>
      <c r="C1380" s="32" t="s">
        <v>1519</v>
      </c>
      <c r="D1380" s="120" t="s">
        <v>490</v>
      </c>
      <c r="E1380" s="33" t="s">
        <v>42</v>
      </c>
      <c r="F1380" s="18" t="s">
        <v>62</v>
      </c>
      <c r="G1380" s="18" t="s">
        <v>468</v>
      </c>
      <c r="H1380" s="34" t="s">
        <v>85</v>
      </c>
      <c r="I1380" s="18" t="s">
        <v>104</v>
      </c>
      <c r="J1380" s="31" t="s">
        <v>105</v>
      </c>
      <c r="K1380" s="31"/>
      <c r="N1380" s="13" t="s">
        <v>29</v>
      </c>
      <c r="O1380" s="24" t="str">
        <f>IF(D1380="","",IF(COUNTIF(离职清单!C:C,D1380)&gt;0,"已离职","在职"))</f>
        <v>在职</v>
      </c>
      <c r="P1380" s="24" t="str">
        <f>IF(AND(O1380="在职",J1380="是"),COUNTIF(O$2:O1380,"在职"),"")</f>
        <v/>
      </c>
    </row>
    <row r="1381" ht="18" spans="1:16">
      <c r="A1381" s="14">
        <f t="shared" si="26"/>
        <v>1380</v>
      </c>
      <c r="B1381" s="31">
        <v>46180</v>
      </c>
      <c r="C1381" s="32" t="s">
        <v>1520</v>
      </c>
      <c r="D1381" s="120" t="s">
        <v>492</v>
      </c>
      <c r="E1381" s="33" t="s">
        <v>42</v>
      </c>
      <c r="F1381" s="18" t="s">
        <v>64</v>
      </c>
      <c r="G1381" s="18" t="s">
        <v>681</v>
      </c>
      <c r="H1381" s="34" t="s">
        <v>85</v>
      </c>
      <c r="I1381" s="18" t="s">
        <v>104</v>
      </c>
      <c r="J1381" s="31" t="s">
        <v>105</v>
      </c>
      <c r="K1381" s="31"/>
      <c r="N1381" s="13" t="s">
        <v>29</v>
      </c>
      <c r="O1381" s="24" t="str">
        <f>IF(D1381="","",IF(COUNTIF(离职清单!C:C,D1381)&gt;0,"已离职","在职"))</f>
        <v>在职</v>
      </c>
      <c r="P1381" s="24" t="str">
        <f>IF(AND(O1381="在职",J1381="是"),COUNTIF(O$2:O1381,"在职"),"")</f>
        <v/>
      </c>
    </row>
    <row r="1382" ht="18" spans="1:16">
      <c r="A1382" s="10">
        <f t="shared" si="26"/>
        <v>1381</v>
      </c>
      <c r="B1382" s="31">
        <v>46180</v>
      </c>
      <c r="C1382" s="32" t="s">
        <v>737</v>
      </c>
      <c r="D1382" s="120" t="s">
        <v>477</v>
      </c>
      <c r="E1382" s="33" t="s">
        <v>42</v>
      </c>
      <c r="F1382" s="18" t="s">
        <v>64</v>
      </c>
      <c r="G1382" s="18" t="s">
        <v>148</v>
      </c>
      <c r="H1382" s="34" t="s">
        <v>85</v>
      </c>
      <c r="I1382" s="18" t="s">
        <v>104</v>
      </c>
      <c r="J1382" s="31" t="s">
        <v>105</v>
      </c>
      <c r="K1382" s="31"/>
      <c r="N1382" s="13" t="s">
        <v>29</v>
      </c>
      <c r="O1382" s="24" t="str">
        <f>IF(D1382="","",IF(COUNTIF(离职清单!C:C,D1382)&gt;0,"已离职","在职"))</f>
        <v>在职</v>
      </c>
      <c r="P1382" s="24" t="str">
        <f>IF(AND(O1382="在职",J1382="是"),COUNTIF(O$2:O1382,"在职"),"")</f>
        <v/>
      </c>
    </row>
    <row r="1383" ht="18" spans="1:16">
      <c r="A1383" s="14">
        <f t="shared" si="26"/>
        <v>1382</v>
      </c>
      <c r="B1383" s="31">
        <v>46180</v>
      </c>
      <c r="C1383" s="32" t="s">
        <v>1521</v>
      </c>
      <c r="D1383" s="120" t="s">
        <v>478</v>
      </c>
      <c r="E1383" s="33" t="s">
        <v>42</v>
      </c>
      <c r="F1383" s="18" t="s">
        <v>64</v>
      </c>
      <c r="G1383" s="18" t="s">
        <v>148</v>
      </c>
      <c r="H1383" s="34" t="s">
        <v>85</v>
      </c>
      <c r="I1383" s="18" t="s">
        <v>104</v>
      </c>
      <c r="J1383" s="31" t="s">
        <v>105</v>
      </c>
      <c r="K1383" s="31"/>
      <c r="N1383" s="13" t="s">
        <v>29</v>
      </c>
      <c r="O1383" s="24" t="str">
        <f>IF(D1383="","",IF(COUNTIF(离职清单!C:C,D1383)&gt;0,"已离职","在职"))</f>
        <v>在职</v>
      </c>
      <c r="P1383" s="24" t="str">
        <f>IF(AND(O1383="在职",J1383="是"),COUNTIF(O$2:O1383,"在职"),"")</f>
        <v/>
      </c>
    </row>
    <row r="1384" ht="18" spans="1:16">
      <c r="A1384" s="10">
        <f t="shared" si="26"/>
        <v>1383</v>
      </c>
      <c r="B1384" s="31">
        <v>46180</v>
      </c>
      <c r="C1384" s="32" t="s">
        <v>1522</v>
      </c>
      <c r="D1384" s="120" t="s">
        <v>480</v>
      </c>
      <c r="E1384" s="33" t="s">
        <v>42</v>
      </c>
      <c r="F1384" s="18" t="s">
        <v>63</v>
      </c>
      <c r="G1384" s="18" t="s">
        <v>148</v>
      </c>
      <c r="H1384" s="34" t="s">
        <v>85</v>
      </c>
      <c r="I1384" s="18" t="s">
        <v>104</v>
      </c>
      <c r="J1384" s="31" t="s">
        <v>105</v>
      </c>
      <c r="K1384" s="31"/>
      <c r="N1384" s="13" t="s">
        <v>29</v>
      </c>
      <c r="O1384" s="24" t="str">
        <f>IF(D1384="","",IF(COUNTIF(离职清单!C:C,D1384)&gt;0,"已离职","在职"))</f>
        <v>在职</v>
      </c>
      <c r="P1384" s="24" t="str">
        <f>IF(AND(O1384="在职",J1384="是"),COUNTIF(O$2:O1384,"在职"),"")</f>
        <v/>
      </c>
    </row>
    <row r="1385" ht="18" spans="1:16">
      <c r="A1385" s="14">
        <f t="shared" si="26"/>
        <v>1384</v>
      </c>
      <c r="B1385" s="31">
        <v>46180</v>
      </c>
      <c r="C1385" s="32" t="s">
        <v>1523</v>
      </c>
      <c r="D1385" s="120" t="s">
        <v>482</v>
      </c>
      <c r="E1385" s="33" t="s">
        <v>42</v>
      </c>
      <c r="F1385" s="18" t="s">
        <v>64</v>
      </c>
      <c r="G1385" s="18" t="s">
        <v>148</v>
      </c>
      <c r="H1385" s="34" t="s">
        <v>85</v>
      </c>
      <c r="I1385" s="18" t="s">
        <v>104</v>
      </c>
      <c r="J1385" s="31" t="s">
        <v>105</v>
      </c>
      <c r="K1385" s="31"/>
      <c r="N1385" s="13" t="s">
        <v>29</v>
      </c>
      <c r="O1385" s="24" t="str">
        <f>IF(D1385="","",IF(COUNTIF(离职清单!C:C,D1385)&gt;0,"已离职","在职"))</f>
        <v>在职</v>
      </c>
      <c r="P1385" s="24" t="str">
        <f>IF(AND(O1385="在职",J1385="是"),COUNTIF(O$2:O1385,"在职"),"")</f>
        <v/>
      </c>
    </row>
    <row r="1386" ht="18" spans="1:16">
      <c r="A1386" s="10">
        <f t="shared" si="26"/>
        <v>1385</v>
      </c>
      <c r="B1386" s="31">
        <v>46180</v>
      </c>
      <c r="C1386" s="32" t="s">
        <v>1524</v>
      </c>
      <c r="D1386" s="120" t="s">
        <v>484</v>
      </c>
      <c r="E1386" s="33" t="s">
        <v>42</v>
      </c>
      <c r="F1386" s="18" t="s">
        <v>64</v>
      </c>
      <c r="G1386" s="18" t="s">
        <v>148</v>
      </c>
      <c r="H1386" s="34" t="s">
        <v>85</v>
      </c>
      <c r="I1386" s="18" t="s">
        <v>104</v>
      </c>
      <c r="J1386" s="31" t="s">
        <v>105</v>
      </c>
      <c r="K1386" s="31"/>
      <c r="N1386" s="13" t="s">
        <v>29</v>
      </c>
      <c r="O1386" s="24" t="str">
        <f>IF(D1386="","",IF(COUNTIF(离职清单!C:C,D1386)&gt;0,"已离职","在职"))</f>
        <v>在职</v>
      </c>
      <c r="P1386" s="24" t="str">
        <f>IF(AND(O1386="在职",J1386="是"),COUNTIF(O$2:O1386,"在职"),"")</f>
        <v/>
      </c>
    </row>
    <row r="1387" ht="18" spans="1:16">
      <c r="A1387" s="14">
        <f t="shared" si="26"/>
        <v>1386</v>
      </c>
      <c r="B1387" s="31">
        <v>46180</v>
      </c>
      <c r="C1387" s="32" t="s">
        <v>1525</v>
      </c>
      <c r="D1387" s="120" t="s">
        <v>486</v>
      </c>
      <c r="E1387" s="33" t="s">
        <v>42</v>
      </c>
      <c r="F1387" s="18" t="s">
        <v>63</v>
      </c>
      <c r="G1387" s="18" t="s">
        <v>117</v>
      </c>
      <c r="H1387" s="34" t="s">
        <v>85</v>
      </c>
      <c r="I1387" s="18" t="s">
        <v>104</v>
      </c>
      <c r="J1387" s="31" t="s">
        <v>114</v>
      </c>
      <c r="K1387" s="31">
        <v>46182</v>
      </c>
      <c r="N1387" s="13" t="s">
        <v>29</v>
      </c>
      <c r="O1387" s="24" t="str">
        <f>IF(D1387="","",IF(COUNTIF(离职清单!C:C,D1387)&gt;0,"已离职","在职"))</f>
        <v>在职</v>
      </c>
      <c r="P1387" s="24">
        <f>IF(AND(O1387="在职",J1387="是"),COUNTIF(O$2:O1387,"在职"),"")</f>
        <v>1380</v>
      </c>
    </row>
    <row r="1388" ht="18" spans="1:16">
      <c r="A1388" s="10">
        <f t="shared" ref="A1388:A1451" si="27">IF(B1388&lt;&gt;"",ROW()-1,"")</f>
        <v>1387</v>
      </c>
      <c r="B1388" s="31">
        <v>46180</v>
      </c>
      <c r="C1388" s="32" t="s">
        <v>1526</v>
      </c>
      <c r="D1388" s="120" t="s">
        <v>488</v>
      </c>
      <c r="E1388" s="33" t="s">
        <v>42</v>
      </c>
      <c r="F1388" s="18" t="s">
        <v>63</v>
      </c>
      <c r="G1388" s="18" t="s">
        <v>117</v>
      </c>
      <c r="H1388" s="34" t="s">
        <v>85</v>
      </c>
      <c r="I1388" s="18" t="s">
        <v>104</v>
      </c>
      <c r="J1388" s="31" t="s">
        <v>114</v>
      </c>
      <c r="K1388" s="31">
        <v>46181</v>
      </c>
      <c r="N1388" s="13" t="s">
        <v>29</v>
      </c>
      <c r="O1388" s="24" t="str">
        <f>IF(D1388="","",IF(COUNTIF(离职清单!C:C,D1388)&gt;0,"已离职","在职"))</f>
        <v>在职</v>
      </c>
      <c r="P1388" s="24">
        <f>IF(AND(O1388="在职",J1388="是"),COUNTIF(O$2:O1388,"在职"),"")</f>
        <v>1381</v>
      </c>
    </row>
    <row r="1389" ht="18" spans="1:16">
      <c r="A1389" s="14">
        <f t="shared" si="27"/>
        <v>1388</v>
      </c>
      <c r="B1389" s="31">
        <v>46180</v>
      </c>
      <c r="C1389" s="32" t="s">
        <v>1527</v>
      </c>
      <c r="D1389" s="120" t="s">
        <v>490</v>
      </c>
      <c r="E1389" s="33" t="s">
        <v>42</v>
      </c>
      <c r="F1389" s="18" t="s">
        <v>63</v>
      </c>
      <c r="G1389" s="18" t="s">
        <v>117</v>
      </c>
      <c r="H1389" s="34" t="s">
        <v>85</v>
      </c>
      <c r="I1389" s="18" t="s">
        <v>104</v>
      </c>
      <c r="J1389" s="31" t="s">
        <v>114</v>
      </c>
      <c r="K1389" s="31">
        <v>46181</v>
      </c>
      <c r="N1389" s="13" t="s">
        <v>29</v>
      </c>
      <c r="O1389" s="24" t="str">
        <f>IF(D1389="","",IF(COUNTIF(离职清单!C:C,D1389)&gt;0,"已离职","在职"))</f>
        <v>在职</v>
      </c>
      <c r="P1389" s="24">
        <f>IF(AND(O1389="在职",J1389="是"),COUNTIF(O$2:O1389,"在职"),"")</f>
        <v>1382</v>
      </c>
    </row>
    <row r="1390" ht="18" spans="1:16">
      <c r="A1390" s="10">
        <f t="shared" si="27"/>
        <v>1389</v>
      </c>
      <c r="B1390" s="31">
        <v>46180</v>
      </c>
      <c r="C1390" s="32" t="s">
        <v>735</v>
      </c>
      <c r="D1390" s="120" t="s">
        <v>492</v>
      </c>
      <c r="E1390" s="33" t="s">
        <v>42</v>
      </c>
      <c r="F1390" s="18" t="s">
        <v>64</v>
      </c>
      <c r="G1390" s="18" t="s">
        <v>179</v>
      </c>
      <c r="H1390" s="34" t="s">
        <v>85</v>
      </c>
      <c r="I1390" s="18" t="s">
        <v>104</v>
      </c>
      <c r="J1390" s="31" t="s">
        <v>105</v>
      </c>
      <c r="K1390" s="31"/>
      <c r="N1390" s="13" t="s">
        <v>29</v>
      </c>
      <c r="O1390" s="24" t="str">
        <f>IF(D1390="","",IF(COUNTIF(离职清单!C:C,D1390)&gt;0,"已离职","在职"))</f>
        <v>在职</v>
      </c>
      <c r="P1390" s="24" t="str">
        <f>IF(AND(O1390="在职",J1390="是"),COUNTIF(O$2:O1390,"在职"),"")</f>
        <v/>
      </c>
    </row>
    <row r="1391" ht="18" spans="1:16">
      <c r="A1391" s="14">
        <f t="shared" si="27"/>
        <v>1390</v>
      </c>
      <c r="B1391" s="31">
        <v>46180</v>
      </c>
      <c r="C1391" s="32" t="s">
        <v>1528</v>
      </c>
      <c r="D1391" s="120" t="s">
        <v>477</v>
      </c>
      <c r="E1391" s="33" t="s">
        <v>42</v>
      </c>
      <c r="F1391" s="18" t="s">
        <v>62</v>
      </c>
      <c r="G1391" s="18" t="s">
        <v>233</v>
      </c>
      <c r="H1391" s="34" t="s">
        <v>85</v>
      </c>
      <c r="I1391" s="18" t="s">
        <v>104</v>
      </c>
      <c r="J1391" s="31" t="s">
        <v>114</v>
      </c>
      <c r="K1391" s="31">
        <v>46182</v>
      </c>
      <c r="N1391" s="13" t="s">
        <v>29</v>
      </c>
      <c r="O1391" s="24" t="str">
        <f>IF(D1391="","",IF(COUNTIF(离职清单!C:C,D1391)&gt;0,"已离职","在职"))</f>
        <v>在职</v>
      </c>
      <c r="P1391" s="24">
        <f>IF(AND(O1391="在职",J1391="是"),COUNTIF(O$2:O1391,"在职"),"")</f>
        <v>1384</v>
      </c>
    </row>
    <row r="1392" ht="18" spans="1:16">
      <c r="A1392" s="10">
        <f t="shared" si="27"/>
        <v>1391</v>
      </c>
      <c r="B1392" s="31">
        <v>46180</v>
      </c>
      <c r="C1392" s="32" t="s">
        <v>1529</v>
      </c>
      <c r="D1392" s="120" t="s">
        <v>477</v>
      </c>
      <c r="E1392" s="33" t="s">
        <v>42</v>
      </c>
      <c r="F1392" s="18" t="s">
        <v>64</v>
      </c>
      <c r="G1392" s="18" t="s">
        <v>135</v>
      </c>
      <c r="H1392" s="34" t="s">
        <v>85</v>
      </c>
      <c r="I1392" s="18" t="s">
        <v>104</v>
      </c>
      <c r="J1392" s="31" t="s">
        <v>105</v>
      </c>
      <c r="K1392" s="31"/>
      <c r="N1392" s="13" t="s">
        <v>29</v>
      </c>
      <c r="O1392" s="24" t="str">
        <f>IF(D1392="","",IF(COUNTIF(离职清单!C:C,D1392)&gt;0,"已离职","在职"))</f>
        <v>在职</v>
      </c>
      <c r="P1392" s="24" t="str">
        <f>IF(AND(O1392="在职",J1392="是"),COUNTIF(O$2:O1392,"在职"),"")</f>
        <v/>
      </c>
    </row>
    <row r="1393" ht="18" spans="1:16">
      <c r="A1393" s="14">
        <f t="shared" si="27"/>
        <v>1392</v>
      </c>
      <c r="B1393" s="31">
        <v>46180</v>
      </c>
      <c r="C1393" s="32" t="s">
        <v>1530</v>
      </c>
      <c r="D1393" s="120" t="s">
        <v>478</v>
      </c>
      <c r="E1393" s="33" t="s">
        <v>42</v>
      </c>
      <c r="F1393" s="18" t="s">
        <v>64</v>
      </c>
      <c r="G1393" s="18" t="s">
        <v>173</v>
      </c>
      <c r="H1393" s="34" t="s">
        <v>85</v>
      </c>
      <c r="I1393" s="18" t="s">
        <v>104</v>
      </c>
      <c r="J1393" s="31" t="s">
        <v>105</v>
      </c>
      <c r="K1393" s="31"/>
      <c r="N1393" s="13" t="s">
        <v>29</v>
      </c>
      <c r="O1393" s="24" t="str">
        <f>IF(D1393="","",IF(COUNTIF(离职清单!C:C,D1393)&gt;0,"已离职","在职"))</f>
        <v>在职</v>
      </c>
      <c r="P1393" s="24" t="str">
        <f>IF(AND(O1393="在职",J1393="是"),COUNTIF(O$2:O1393,"在职"),"")</f>
        <v/>
      </c>
    </row>
    <row r="1394" ht="18" spans="1:16">
      <c r="A1394" s="10">
        <f t="shared" si="27"/>
        <v>1393</v>
      </c>
      <c r="B1394" s="31">
        <v>46180</v>
      </c>
      <c r="C1394" s="32" t="s">
        <v>1531</v>
      </c>
      <c r="D1394" s="120" t="s">
        <v>480</v>
      </c>
      <c r="E1394" s="33" t="s">
        <v>42</v>
      </c>
      <c r="F1394" s="18" t="s">
        <v>62</v>
      </c>
      <c r="G1394" s="18" t="s">
        <v>173</v>
      </c>
      <c r="H1394" s="34" t="s">
        <v>85</v>
      </c>
      <c r="I1394" s="18" t="s">
        <v>104</v>
      </c>
      <c r="J1394" s="31" t="s">
        <v>114</v>
      </c>
      <c r="K1394" s="31">
        <v>46182</v>
      </c>
      <c r="N1394" s="13" t="s">
        <v>29</v>
      </c>
      <c r="O1394" s="24" t="str">
        <f>IF(D1394="","",IF(COUNTIF(离职清单!C:C,D1394)&gt;0,"已离职","在职"))</f>
        <v>在职</v>
      </c>
      <c r="P1394" s="24">
        <f>IF(AND(O1394="在职",J1394="是"),COUNTIF(O$2:O1394,"在职"),"")</f>
        <v>1387</v>
      </c>
    </row>
    <row r="1395" ht="18" spans="1:16">
      <c r="A1395" s="14">
        <f t="shared" si="27"/>
        <v>1394</v>
      </c>
      <c r="B1395" s="31">
        <v>46180</v>
      </c>
      <c r="C1395" s="32" t="s">
        <v>1532</v>
      </c>
      <c r="D1395" s="120" t="s">
        <v>482</v>
      </c>
      <c r="E1395" s="33" t="s">
        <v>42</v>
      </c>
      <c r="F1395" s="18" t="s">
        <v>64</v>
      </c>
      <c r="G1395" s="18" t="s">
        <v>173</v>
      </c>
      <c r="H1395" s="34" t="s">
        <v>85</v>
      </c>
      <c r="I1395" s="18" t="s">
        <v>104</v>
      </c>
      <c r="J1395" s="31" t="s">
        <v>105</v>
      </c>
      <c r="K1395" s="31"/>
      <c r="N1395" s="13" t="s">
        <v>29</v>
      </c>
      <c r="O1395" s="24" t="str">
        <f>IF(D1395="","",IF(COUNTIF(离职清单!C:C,D1395)&gt;0,"已离职","在职"))</f>
        <v>在职</v>
      </c>
      <c r="P1395" s="24" t="str">
        <f>IF(AND(O1395="在职",J1395="是"),COUNTIF(O$2:O1395,"在职"),"")</f>
        <v/>
      </c>
    </row>
    <row r="1396" ht="18" spans="1:16">
      <c r="A1396" s="10">
        <f t="shared" si="27"/>
        <v>1395</v>
      </c>
      <c r="B1396" s="31">
        <v>46180</v>
      </c>
      <c r="C1396" s="32" t="s">
        <v>1533</v>
      </c>
      <c r="D1396" s="120" t="s">
        <v>484</v>
      </c>
      <c r="E1396" s="33" t="s">
        <v>42</v>
      </c>
      <c r="F1396" s="18" t="s">
        <v>62</v>
      </c>
      <c r="G1396" s="18" t="s">
        <v>173</v>
      </c>
      <c r="H1396" s="34" t="s">
        <v>85</v>
      </c>
      <c r="I1396" s="18" t="s">
        <v>104</v>
      </c>
      <c r="J1396" s="31" t="s">
        <v>105</v>
      </c>
      <c r="K1396" s="31"/>
      <c r="N1396" s="13" t="s">
        <v>29</v>
      </c>
      <c r="O1396" s="24" t="str">
        <f>IF(D1396="","",IF(COUNTIF(离职清单!C:C,D1396)&gt;0,"已离职","在职"))</f>
        <v>在职</v>
      </c>
      <c r="P1396" s="24" t="str">
        <f>IF(AND(O1396="在职",J1396="是"),COUNTIF(O$2:O1396,"在职"),"")</f>
        <v/>
      </c>
    </row>
    <row r="1397" ht="18" spans="1:16">
      <c r="A1397" s="14">
        <f t="shared" si="27"/>
        <v>1396</v>
      </c>
      <c r="B1397" s="31">
        <v>46180</v>
      </c>
      <c r="C1397" s="32" t="s">
        <v>1534</v>
      </c>
      <c r="D1397" s="120" t="s">
        <v>486</v>
      </c>
      <c r="E1397" s="33" t="s">
        <v>42</v>
      </c>
      <c r="F1397" s="18" t="s">
        <v>63</v>
      </c>
      <c r="G1397" s="18" t="s">
        <v>173</v>
      </c>
      <c r="H1397" s="34" t="s">
        <v>85</v>
      </c>
      <c r="I1397" s="18" t="s">
        <v>104</v>
      </c>
      <c r="J1397" s="31" t="s">
        <v>105</v>
      </c>
      <c r="K1397" s="31"/>
      <c r="N1397" s="13" t="s">
        <v>29</v>
      </c>
      <c r="O1397" s="24" t="str">
        <f>IF(D1397="","",IF(COUNTIF(离职清单!C:C,D1397)&gt;0,"已离职","在职"))</f>
        <v>在职</v>
      </c>
      <c r="P1397" s="24" t="str">
        <f>IF(AND(O1397="在职",J1397="是"),COUNTIF(O$2:O1397,"在职"),"")</f>
        <v/>
      </c>
    </row>
    <row r="1398" ht="18" spans="1:16">
      <c r="A1398" s="10">
        <f t="shared" si="27"/>
        <v>1397</v>
      </c>
      <c r="B1398" s="31">
        <v>46180</v>
      </c>
      <c r="C1398" s="32" t="s">
        <v>1535</v>
      </c>
      <c r="D1398" s="120" t="s">
        <v>488</v>
      </c>
      <c r="E1398" s="33" t="s">
        <v>42</v>
      </c>
      <c r="F1398" s="18" t="s">
        <v>63</v>
      </c>
      <c r="G1398" s="18" t="s">
        <v>135</v>
      </c>
      <c r="H1398" s="34" t="s">
        <v>85</v>
      </c>
      <c r="I1398" s="18" t="s">
        <v>104</v>
      </c>
      <c r="J1398" s="31" t="s">
        <v>114</v>
      </c>
      <c r="K1398" s="31">
        <v>46182</v>
      </c>
      <c r="N1398" s="13" t="s">
        <v>29</v>
      </c>
      <c r="O1398" s="24" t="str">
        <f>IF(D1398="","",IF(COUNTIF(离职清单!C:C,D1398)&gt;0,"已离职","在职"))</f>
        <v>在职</v>
      </c>
      <c r="P1398" s="24">
        <f>IF(AND(O1398="在职",J1398="是"),COUNTIF(O$2:O1398,"在职"),"")</f>
        <v>1391</v>
      </c>
    </row>
    <row r="1399" ht="18" spans="1:16">
      <c r="A1399" s="14">
        <f t="shared" si="27"/>
        <v>1398</v>
      </c>
      <c r="B1399" s="31">
        <v>46180</v>
      </c>
      <c r="C1399" s="32" t="s">
        <v>1536</v>
      </c>
      <c r="D1399" s="120" t="s">
        <v>490</v>
      </c>
      <c r="E1399" s="33" t="s">
        <v>42</v>
      </c>
      <c r="F1399" s="18" t="s">
        <v>63</v>
      </c>
      <c r="G1399" s="18" t="s">
        <v>103</v>
      </c>
      <c r="H1399" s="34" t="s">
        <v>85</v>
      </c>
      <c r="I1399" s="18" t="s">
        <v>104</v>
      </c>
      <c r="J1399" s="31" t="s">
        <v>105</v>
      </c>
      <c r="K1399" s="31"/>
      <c r="N1399" s="13" t="s">
        <v>29</v>
      </c>
      <c r="O1399" s="24" t="str">
        <f>IF(D1399="","",IF(COUNTIF(离职清单!C:C,D1399)&gt;0,"已离职","在职"))</f>
        <v>在职</v>
      </c>
      <c r="P1399" s="24" t="str">
        <f>IF(AND(O1399="在职",J1399="是"),COUNTIF(O$2:O1399,"在职"),"")</f>
        <v/>
      </c>
    </row>
    <row r="1400" ht="18" spans="1:16">
      <c r="A1400" s="10">
        <f t="shared" si="27"/>
        <v>1399</v>
      </c>
      <c r="B1400" s="31">
        <v>46180</v>
      </c>
      <c r="C1400" s="32" t="s">
        <v>1537</v>
      </c>
      <c r="D1400" s="120" t="s">
        <v>492</v>
      </c>
      <c r="E1400" s="33" t="s">
        <v>42</v>
      </c>
      <c r="F1400" s="18" t="s">
        <v>64</v>
      </c>
      <c r="G1400" s="18" t="s">
        <v>631</v>
      </c>
      <c r="H1400" s="34" t="s">
        <v>85</v>
      </c>
      <c r="I1400" s="18" t="s">
        <v>104</v>
      </c>
      <c r="J1400" s="31" t="s">
        <v>105</v>
      </c>
      <c r="K1400" s="31"/>
      <c r="N1400" s="13" t="s">
        <v>29</v>
      </c>
      <c r="O1400" s="24" t="str">
        <f>IF(D1400="","",IF(COUNTIF(离职清单!C:C,D1400)&gt;0,"已离职","在职"))</f>
        <v>在职</v>
      </c>
      <c r="P1400" s="24" t="str">
        <f>IF(AND(O1400="在职",J1400="是"),COUNTIF(O$2:O1400,"在职"),"")</f>
        <v/>
      </c>
    </row>
    <row r="1401" ht="18" spans="1:16">
      <c r="A1401" s="14">
        <f t="shared" si="27"/>
        <v>1400</v>
      </c>
      <c r="B1401" s="31">
        <v>46180</v>
      </c>
      <c r="C1401" s="32" t="s">
        <v>778</v>
      </c>
      <c r="D1401" s="120" t="s">
        <v>477</v>
      </c>
      <c r="E1401" s="33" t="s">
        <v>42</v>
      </c>
      <c r="F1401" s="18" t="s">
        <v>64</v>
      </c>
      <c r="G1401" s="18" t="s">
        <v>631</v>
      </c>
      <c r="H1401" s="34" t="s">
        <v>85</v>
      </c>
      <c r="I1401" s="18" t="s">
        <v>104</v>
      </c>
      <c r="J1401" s="31" t="s">
        <v>105</v>
      </c>
      <c r="K1401" s="31"/>
      <c r="N1401" s="13" t="s">
        <v>29</v>
      </c>
      <c r="O1401" s="24" t="str">
        <f>IF(D1401="","",IF(COUNTIF(离职清单!C:C,D1401)&gt;0,"已离职","在职"))</f>
        <v>在职</v>
      </c>
      <c r="P1401" s="24" t="str">
        <f>IF(AND(O1401="在职",J1401="是"),COUNTIF(O$2:O1401,"在职"),"")</f>
        <v/>
      </c>
    </row>
    <row r="1402" ht="18" spans="1:16">
      <c r="A1402" s="10">
        <f t="shared" si="27"/>
        <v>1401</v>
      </c>
      <c r="B1402" s="31">
        <v>46180</v>
      </c>
      <c r="C1402" s="32" t="s">
        <v>1538</v>
      </c>
      <c r="D1402" s="120" t="s">
        <v>478</v>
      </c>
      <c r="E1402" s="33" t="s">
        <v>42</v>
      </c>
      <c r="F1402" s="18" t="s">
        <v>64</v>
      </c>
      <c r="G1402" s="18" t="s">
        <v>631</v>
      </c>
      <c r="H1402" s="34" t="s">
        <v>85</v>
      </c>
      <c r="I1402" s="18" t="s">
        <v>104</v>
      </c>
      <c r="J1402" s="31" t="s">
        <v>105</v>
      </c>
      <c r="K1402" s="31"/>
      <c r="N1402" s="13" t="s">
        <v>29</v>
      </c>
      <c r="O1402" s="24" t="str">
        <f>IF(D1402="","",IF(COUNTIF(离职清单!C:C,D1402)&gt;0,"已离职","在职"))</f>
        <v>在职</v>
      </c>
      <c r="P1402" s="24" t="str">
        <f>IF(AND(O1402="在职",J1402="是"),COUNTIF(O$2:O1402,"在职"),"")</f>
        <v/>
      </c>
    </row>
    <row r="1403" ht="18" spans="1:16">
      <c r="A1403" s="14">
        <f t="shared" si="27"/>
        <v>1402</v>
      </c>
      <c r="B1403" s="31">
        <v>46180</v>
      </c>
      <c r="C1403" s="32" t="s">
        <v>1539</v>
      </c>
      <c r="D1403" s="120" t="s">
        <v>480</v>
      </c>
      <c r="E1403" s="33" t="s">
        <v>42</v>
      </c>
      <c r="F1403" s="18" t="s">
        <v>62</v>
      </c>
      <c r="G1403" s="18" t="s">
        <v>148</v>
      </c>
      <c r="H1403" s="34" t="s">
        <v>85</v>
      </c>
      <c r="I1403" s="18" t="s">
        <v>104</v>
      </c>
      <c r="J1403" s="31" t="s">
        <v>114</v>
      </c>
      <c r="K1403" s="31">
        <v>46182</v>
      </c>
      <c r="N1403" s="13" t="s">
        <v>29</v>
      </c>
      <c r="O1403" s="24" t="str">
        <f>IF(D1403="","",IF(COUNTIF(离职清单!C:C,D1403)&gt;0,"已离职","在职"))</f>
        <v>在职</v>
      </c>
      <c r="P1403" s="24">
        <f>IF(AND(O1403="在职",J1403="是"),COUNTIF(O$2:O1403,"在职"),"")</f>
        <v>1396</v>
      </c>
    </row>
    <row r="1404" ht="18" spans="1:16">
      <c r="A1404" s="10">
        <f t="shared" si="27"/>
        <v>1403</v>
      </c>
      <c r="B1404" s="31">
        <v>46180</v>
      </c>
      <c r="C1404" s="32" t="s">
        <v>1540</v>
      </c>
      <c r="D1404" s="120" t="s">
        <v>482</v>
      </c>
      <c r="E1404" s="33" t="s">
        <v>43</v>
      </c>
      <c r="F1404" s="18" t="s">
        <v>63</v>
      </c>
      <c r="G1404" s="18" t="s">
        <v>129</v>
      </c>
      <c r="H1404" s="34" t="s">
        <v>85</v>
      </c>
      <c r="I1404" s="18" t="s">
        <v>104</v>
      </c>
      <c r="J1404" s="31" t="s">
        <v>105</v>
      </c>
      <c r="K1404" s="31"/>
      <c r="N1404" s="13" t="s">
        <v>29</v>
      </c>
      <c r="O1404" s="24" t="str">
        <f>IF(D1404="","",IF(COUNTIF(离职清单!C:C,D1404)&gt;0,"已离职","在职"))</f>
        <v>在职</v>
      </c>
      <c r="P1404" s="24" t="str">
        <f>IF(AND(O1404="在职",J1404="是"),COUNTIF(O$2:O1404,"在职"),"")</f>
        <v/>
      </c>
    </row>
    <row r="1405" ht="18" spans="1:16">
      <c r="A1405" s="14">
        <f t="shared" si="27"/>
        <v>1404</v>
      </c>
      <c r="B1405" s="31">
        <v>46180</v>
      </c>
      <c r="C1405" s="32" t="s">
        <v>1541</v>
      </c>
      <c r="D1405" s="120" t="s">
        <v>484</v>
      </c>
      <c r="E1405" s="33" t="s">
        <v>43</v>
      </c>
      <c r="F1405" s="18" t="s">
        <v>62</v>
      </c>
      <c r="G1405" s="18" t="s">
        <v>1542</v>
      </c>
      <c r="H1405" s="34" t="s">
        <v>85</v>
      </c>
      <c r="I1405" s="18" t="s">
        <v>104</v>
      </c>
      <c r="J1405" s="31" t="s">
        <v>114</v>
      </c>
      <c r="K1405" s="31">
        <v>46182</v>
      </c>
      <c r="N1405" s="13" t="s">
        <v>29</v>
      </c>
      <c r="O1405" s="24" t="str">
        <f>IF(D1405="","",IF(COUNTIF(离职清单!C:C,D1405)&gt;0,"已离职","在职"))</f>
        <v>在职</v>
      </c>
      <c r="P1405" s="24">
        <f>IF(AND(O1405="在职",J1405="是"),COUNTIF(O$2:O1405,"在职"),"")</f>
        <v>1398</v>
      </c>
    </row>
    <row r="1406" ht="18" spans="1:16">
      <c r="A1406" s="10">
        <f t="shared" si="27"/>
        <v>1405</v>
      </c>
      <c r="B1406" s="31">
        <v>46180</v>
      </c>
      <c r="C1406" s="32" t="s">
        <v>1543</v>
      </c>
      <c r="D1406" s="120" t="s">
        <v>486</v>
      </c>
      <c r="E1406" s="33" t="s">
        <v>43</v>
      </c>
      <c r="F1406" s="18" t="s">
        <v>63</v>
      </c>
      <c r="G1406" s="18" t="s">
        <v>733</v>
      </c>
      <c r="H1406" s="34" t="s">
        <v>85</v>
      </c>
      <c r="I1406" s="18" t="s">
        <v>104</v>
      </c>
      <c r="J1406" s="31" t="s">
        <v>114</v>
      </c>
      <c r="K1406" s="31">
        <v>46181</v>
      </c>
      <c r="N1406" s="13" t="s">
        <v>29</v>
      </c>
      <c r="O1406" s="24" t="str">
        <f>IF(D1406="","",IF(COUNTIF(离职清单!C:C,D1406)&gt;0,"已离职","在职"))</f>
        <v>在职</v>
      </c>
      <c r="P1406" s="24">
        <f>IF(AND(O1406="在职",J1406="是"),COUNTIF(O$2:O1406,"在职"),"")</f>
        <v>1399</v>
      </c>
    </row>
    <row r="1407" ht="18" spans="1:16">
      <c r="A1407" s="14">
        <f t="shared" si="27"/>
        <v>1406</v>
      </c>
      <c r="B1407" s="31">
        <v>46180</v>
      </c>
      <c r="C1407" s="32" t="s">
        <v>1544</v>
      </c>
      <c r="D1407" s="120" t="s">
        <v>488</v>
      </c>
      <c r="E1407" s="33" t="s">
        <v>43</v>
      </c>
      <c r="F1407" s="18" t="s">
        <v>63</v>
      </c>
      <c r="G1407" s="18" t="s">
        <v>530</v>
      </c>
      <c r="H1407" s="34" t="s">
        <v>85</v>
      </c>
      <c r="I1407" s="18" t="s">
        <v>104</v>
      </c>
      <c r="J1407" s="31" t="s">
        <v>114</v>
      </c>
      <c r="K1407" s="31">
        <v>46181</v>
      </c>
      <c r="N1407" s="13" t="s">
        <v>29</v>
      </c>
      <c r="O1407" s="24" t="str">
        <f>IF(D1407="","",IF(COUNTIF(离职清单!C:C,D1407)&gt;0,"已离职","在职"))</f>
        <v>在职</v>
      </c>
      <c r="P1407" s="24">
        <f>IF(AND(O1407="在职",J1407="是"),COUNTIF(O$2:O1407,"在职"),"")</f>
        <v>1400</v>
      </c>
    </row>
    <row r="1408" ht="18" spans="1:16">
      <c r="A1408" s="10">
        <f t="shared" si="27"/>
        <v>1407</v>
      </c>
      <c r="B1408" s="31">
        <v>46180</v>
      </c>
      <c r="C1408" s="32" t="s">
        <v>1545</v>
      </c>
      <c r="D1408" s="120" t="s">
        <v>490</v>
      </c>
      <c r="E1408" s="33" t="s">
        <v>43</v>
      </c>
      <c r="F1408" s="18" t="s">
        <v>62</v>
      </c>
      <c r="G1408" s="18" t="s">
        <v>530</v>
      </c>
      <c r="H1408" s="34" t="s">
        <v>85</v>
      </c>
      <c r="I1408" s="18" t="s">
        <v>104</v>
      </c>
      <c r="J1408" s="31" t="s">
        <v>105</v>
      </c>
      <c r="K1408" s="31"/>
      <c r="N1408" s="13" t="s">
        <v>29</v>
      </c>
      <c r="O1408" s="24" t="str">
        <f>IF(D1408="","",IF(COUNTIF(离职清单!C:C,D1408)&gt;0,"已离职","在职"))</f>
        <v>在职</v>
      </c>
      <c r="P1408" s="24" t="str">
        <f>IF(AND(O1408="在职",J1408="是"),COUNTIF(O$2:O1408,"在职"),"")</f>
        <v/>
      </c>
    </row>
    <row r="1409" ht="18" spans="1:16">
      <c r="A1409" s="14">
        <f t="shared" si="27"/>
        <v>1408</v>
      </c>
      <c r="B1409" s="31">
        <v>46180</v>
      </c>
      <c r="C1409" s="32" t="s">
        <v>1546</v>
      </c>
      <c r="D1409" s="120" t="s">
        <v>492</v>
      </c>
      <c r="E1409" s="33" t="s">
        <v>43</v>
      </c>
      <c r="F1409" s="18" t="s">
        <v>62</v>
      </c>
      <c r="G1409" s="18" t="s">
        <v>530</v>
      </c>
      <c r="H1409" s="34" t="s">
        <v>85</v>
      </c>
      <c r="I1409" s="18" t="s">
        <v>104</v>
      </c>
      <c r="J1409" s="31" t="s">
        <v>105</v>
      </c>
      <c r="K1409" s="31"/>
      <c r="N1409" s="13" t="s">
        <v>29</v>
      </c>
      <c r="O1409" s="24" t="str">
        <f>IF(D1409="","",IF(COUNTIF(离职清单!C:C,D1409)&gt;0,"已离职","在职"))</f>
        <v>在职</v>
      </c>
      <c r="P1409" s="24" t="str">
        <f>IF(AND(O1409="在职",J1409="是"),COUNTIF(O$2:O1409,"在职"),"")</f>
        <v/>
      </c>
    </row>
    <row r="1410" ht="18" spans="1:16">
      <c r="A1410" s="10">
        <f t="shared" si="27"/>
        <v>1409</v>
      </c>
      <c r="B1410" s="31">
        <v>46180</v>
      </c>
      <c r="C1410" s="32" t="s">
        <v>1547</v>
      </c>
      <c r="D1410" s="120" t="s">
        <v>477</v>
      </c>
      <c r="E1410" s="33" t="s">
        <v>43</v>
      </c>
      <c r="F1410" s="18" t="s">
        <v>62</v>
      </c>
      <c r="G1410" s="18" t="s">
        <v>176</v>
      </c>
      <c r="H1410" s="34" t="s">
        <v>85</v>
      </c>
      <c r="I1410" s="18" t="s">
        <v>104</v>
      </c>
      <c r="J1410" s="31" t="s">
        <v>114</v>
      </c>
      <c r="K1410" s="31">
        <v>46185</v>
      </c>
      <c r="N1410" s="13" t="s">
        <v>29</v>
      </c>
      <c r="O1410" s="24" t="str">
        <f>IF(D1410="","",IF(COUNTIF(离职清单!C:C,D1410)&gt;0,"已离职","在职"))</f>
        <v>在职</v>
      </c>
      <c r="P1410" s="24">
        <f>IF(AND(O1410="在职",J1410="是"),COUNTIF(O$2:O1410,"在职"),"")</f>
        <v>1403</v>
      </c>
    </row>
    <row r="1411" ht="18" spans="1:16">
      <c r="A1411" s="14">
        <f t="shared" si="27"/>
        <v>1410</v>
      </c>
      <c r="B1411" s="31">
        <v>46180</v>
      </c>
      <c r="C1411" s="32" t="s">
        <v>1548</v>
      </c>
      <c r="D1411" s="120" t="s">
        <v>478</v>
      </c>
      <c r="E1411" s="33" t="s">
        <v>43</v>
      </c>
      <c r="F1411" s="18" t="s">
        <v>63</v>
      </c>
      <c r="G1411" s="18" t="s">
        <v>176</v>
      </c>
      <c r="H1411" s="34" t="s">
        <v>85</v>
      </c>
      <c r="I1411" s="18" t="s">
        <v>104</v>
      </c>
      <c r="J1411" s="31" t="s">
        <v>114</v>
      </c>
      <c r="K1411" s="31">
        <v>46185</v>
      </c>
      <c r="N1411" s="13" t="s">
        <v>29</v>
      </c>
      <c r="O1411" s="24" t="str">
        <f>IF(D1411="","",IF(COUNTIF(离职清单!C:C,D1411)&gt;0,"已离职","在职"))</f>
        <v>在职</v>
      </c>
      <c r="P1411" s="24">
        <f>IF(AND(O1411="在职",J1411="是"),COUNTIF(O$2:O1411,"在职"),"")</f>
        <v>1404</v>
      </c>
    </row>
    <row r="1412" ht="18" spans="1:16">
      <c r="A1412" s="10">
        <f t="shared" si="27"/>
        <v>1411</v>
      </c>
      <c r="B1412" s="31">
        <v>46180</v>
      </c>
      <c r="C1412" s="32" t="s">
        <v>1549</v>
      </c>
      <c r="D1412" s="120" t="s">
        <v>480</v>
      </c>
      <c r="E1412" s="33" t="s">
        <v>43</v>
      </c>
      <c r="F1412" s="18" t="s">
        <v>63</v>
      </c>
      <c r="G1412" s="18" t="s">
        <v>1056</v>
      </c>
      <c r="H1412" s="34" t="s">
        <v>85</v>
      </c>
      <c r="I1412" s="18" t="s">
        <v>104</v>
      </c>
      <c r="J1412" s="31" t="s">
        <v>114</v>
      </c>
      <c r="K1412" s="31">
        <v>46182</v>
      </c>
      <c r="N1412" s="13" t="s">
        <v>29</v>
      </c>
      <c r="O1412" s="24" t="str">
        <f>IF(D1412="","",IF(COUNTIF(离职清单!C:C,D1412)&gt;0,"已离职","在职"))</f>
        <v>在职</v>
      </c>
      <c r="P1412" s="24">
        <f>IF(AND(O1412="在职",J1412="是"),COUNTIF(O$2:O1412,"在职"),"")</f>
        <v>1405</v>
      </c>
    </row>
    <row r="1413" ht="18" spans="1:16">
      <c r="A1413" s="14">
        <f t="shared" si="27"/>
        <v>1412</v>
      </c>
      <c r="B1413" s="31">
        <v>46180</v>
      </c>
      <c r="C1413" s="32" t="s">
        <v>1550</v>
      </c>
      <c r="D1413" s="120" t="s">
        <v>482</v>
      </c>
      <c r="E1413" s="33" t="s">
        <v>43</v>
      </c>
      <c r="F1413" s="18" t="s">
        <v>63</v>
      </c>
      <c r="G1413" s="18" t="s">
        <v>468</v>
      </c>
      <c r="H1413" s="34" t="s">
        <v>85</v>
      </c>
      <c r="I1413" s="18" t="s">
        <v>104</v>
      </c>
      <c r="J1413" s="31" t="s">
        <v>105</v>
      </c>
      <c r="K1413" s="31"/>
      <c r="N1413" s="13" t="s">
        <v>29</v>
      </c>
      <c r="O1413" s="24" t="str">
        <f>IF(D1413="","",IF(COUNTIF(离职清单!C:C,D1413)&gt;0,"已离职","在职"))</f>
        <v>在职</v>
      </c>
      <c r="P1413" s="24" t="str">
        <f>IF(AND(O1413="在职",J1413="是"),COUNTIF(O$2:O1413,"在职"),"")</f>
        <v/>
      </c>
    </row>
    <row r="1414" ht="18" spans="1:16">
      <c r="A1414" s="10">
        <f t="shared" si="27"/>
        <v>1413</v>
      </c>
      <c r="B1414" s="31">
        <v>46180</v>
      </c>
      <c r="C1414" s="32" t="s">
        <v>1551</v>
      </c>
      <c r="D1414" s="120" t="s">
        <v>484</v>
      </c>
      <c r="E1414" s="33" t="s">
        <v>43</v>
      </c>
      <c r="F1414" s="18" t="s">
        <v>62</v>
      </c>
      <c r="G1414" s="18" t="s">
        <v>148</v>
      </c>
      <c r="H1414" s="34" t="s">
        <v>85</v>
      </c>
      <c r="I1414" s="18" t="s">
        <v>104</v>
      </c>
      <c r="J1414" s="31" t="s">
        <v>105</v>
      </c>
      <c r="K1414" s="31"/>
      <c r="N1414" s="13" t="s">
        <v>29</v>
      </c>
      <c r="O1414" s="24" t="str">
        <f>IF(D1414="","",IF(COUNTIF(离职清单!C:C,D1414)&gt;0,"已离职","在职"))</f>
        <v>在职</v>
      </c>
      <c r="P1414" s="24" t="str">
        <f>IF(AND(O1414="在职",J1414="是"),COUNTIF(O$2:O1414,"在职"),"")</f>
        <v/>
      </c>
    </row>
    <row r="1415" ht="18" spans="1:16">
      <c r="A1415" s="14">
        <f t="shared" si="27"/>
        <v>1414</v>
      </c>
      <c r="B1415" s="31">
        <v>46180</v>
      </c>
      <c r="C1415" s="32" t="s">
        <v>1552</v>
      </c>
      <c r="D1415" s="120" t="s">
        <v>486</v>
      </c>
      <c r="E1415" s="33" t="s">
        <v>43</v>
      </c>
      <c r="F1415" s="18" t="s">
        <v>63</v>
      </c>
      <c r="G1415" s="18" t="s">
        <v>148</v>
      </c>
      <c r="H1415" s="34" t="s">
        <v>85</v>
      </c>
      <c r="I1415" s="18" t="s">
        <v>104</v>
      </c>
      <c r="J1415" s="31" t="s">
        <v>114</v>
      </c>
      <c r="K1415" s="31">
        <v>46181</v>
      </c>
      <c r="N1415" s="13" t="s">
        <v>29</v>
      </c>
      <c r="O1415" s="24" t="str">
        <f>IF(D1415="","",IF(COUNTIF(离职清单!C:C,D1415)&gt;0,"已离职","在职"))</f>
        <v>在职</v>
      </c>
      <c r="P1415" s="24">
        <f>IF(AND(O1415="在职",J1415="是"),COUNTIF(O$2:O1415,"在职"),"")</f>
        <v>1408</v>
      </c>
    </row>
    <row r="1416" ht="18" spans="1:16">
      <c r="A1416" s="10">
        <f t="shared" si="27"/>
        <v>1415</v>
      </c>
      <c r="B1416" s="31">
        <v>46180</v>
      </c>
      <c r="C1416" s="32" t="s">
        <v>1553</v>
      </c>
      <c r="D1416" s="120" t="s">
        <v>488</v>
      </c>
      <c r="E1416" s="33" t="s">
        <v>43</v>
      </c>
      <c r="F1416" s="18" t="s">
        <v>63</v>
      </c>
      <c r="G1416" s="18" t="s">
        <v>148</v>
      </c>
      <c r="H1416" s="34" t="s">
        <v>85</v>
      </c>
      <c r="I1416" s="18" t="s">
        <v>104</v>
      </c>
      <c r="J1416" s="31" t="s">
        <v>114</v>
      </c>
      <c r="K1416" s="31">
        <v>46181</v>
      </c>
      <c r="N1416" s="13" t="s">
        <v>29</v>
      </c>
      <c r="O1416" s="24" t="str">
        <f>IF(D1416="","",IF(COUNTIF(离职清单!C:C,D1416)&gt;0,"已离职","在职"))</f>
        <v>在职</v>
      </c>
      <c r="P1416" s="24">
        <f>IF(AND(O1416="在职",J1416="是"),COUNTIF(O$2:O1416,"在职"),"")</f>
        <v>1409</v>
      </c>
    </row>
    <row r="1417" ht="18" spans="1:16">
      <c r="A1417" s="14">
        <f t="shared" si="27"/>
        <v>1416</v>
      </c>
      <c r="B1417" s="31">
        <v>46180</v>
      </c>
      <c r="C1417" s="32" t="s">
        <v>1554</v>
      </c>
      <c r="D1417" s="120" t="s">
        <v>490</v>
      </c>
      <c r="E1417" s="33" t="s">
        <v>43</v>
      </c>
      <c r="F1417" s="18" t="s">
        <v>62</v>
      </c>
      <c r="G1417" s="18" t="s">
        <v>1426</v>
      </c>
      <c r="H1417" s="34" t="s">
        <v>85</v>
      </c>
      <c r="I1417" s="18" t="s">
        <v>104</v>
      </c>
      <c r="J1417" s="31" t="s">
        <v>114</v>
      </c>
      <c r="K1417" s="31">
        <v>46183</v>
      </c>
      <c r="N1417" s="13" t="s">
        <v>29</v>
      </c>
      <c r="O1417" s="24" t="str">
        <f>IF(D1417="","",IF(COUNTIF(离职清单!C:C,D1417)&gt;0,"已离职","在职"))</f>
        <v>在职</v>
      </c>
      <c r="P1417" s="24">
        <f>IF(AND(O1417="在职",J1417="是"),COUNTIF(O$2:O1417,"在职"),"")</f>
        <v>1410</v>
      </c>
    </row>
    <row r="1418" ht="18" spans="1:16">
      <c r="A1418" s="10">
        <f t="shared" si="27"/>
        <v>1417</v>
      </c>
      <c r="B1418" s="31">
        <v>46180</v>
      </c>
      <c r="C1418" s="32" t="s">
        <v>1555</v>
      </c>
      <c r="D1418" s="120" t="s">
        <v>492</v>
      </c>
      <c r="E1418" s="33" t="s">
        <v>43</v>
      </c>
      <c r="F1418" s="18" t="s">
        <v>62</v>
      </c>
      <c r="G1418" s="18" t="s">
        <v>117</v>
      </c>
      <c r="H1418" s="34" t="s">
        <v>85</v>
      </c>
      <c r="I1418" s="18" t="s">
        <v>104</v>
      </c>
      <c r="J1418" s="31" t="s">
        <v>114</v>
      </c>
      <c r="K1418" s="31">
        <v>46182</v>
      </c>
      <c r="N1418" s="13" t="s">
        <v>29</v>
      </c>
      <c r="O1418" s="24" t="str">
        <f>IF(D1418="","",IF(COUNTIF(离职清单!C:C,D1418)&gt;0,"已离职","在职"))</f>
        <v>在职</v>
      </c>
      <c r="P1418" s="24">
        <f>IF(AND(O1418="在职",J1418="是"),COUNTIF(O$2:O1418,"在职"),"")</f>
        <v>1411</v>
      </c>
    </row>
    <row r="1419" ht="18" spans="1:16">
      <c r="A1419" s="14">
        <f t="shared" si="27"/>
        <v>1418</v>
      </c>
      <c r="B1419" s="31">
        <v>46180</v>
      </c>
      <c r="C1419" s="32" t="s">
        <v>1556</v>
      </c>
      <c r="D1419" s="120" t="s">
        <v>477</v>
      </c>
      <c r="E1419" s="33" t="s">
        <v>43</v>
      </c>
      <c r="F1419" s="18" t="s">
        <v>62</v>
      </c>
      <c r="G1419" s="18" t="s">
        <v>312</v>
      </c>
      <c r="H1419" s="34" t="s">
        <v>85</v>
      </c>
      <c r="I1419" s="18" t="s">
        <v>104</v>
      </c>
      <c r="J1419" s="31" t="s">
        <v>105</v>
      </c>
      <c r="K1419" s="31"/>
      <c r="N1419" s="13" t="s">
        <v>29</v>
      </c>
      <c r="O1419" s="24" t="str">
        <f>IF(D1419="","",IF(COUNTIF(离职清单!C:C,D1419)&gt;0,"已离职","在职"))</f>
        <v>在职</v>
      </c>
      <c r="P1419" s="24" t="str">
        <f>IF(AND(O1419="在职",J1419="是"),COUNTIF(O$2:O1419,"在职"),"")</f>
        <v/>
      </c>
    </row>
    <row r="1420" ht="18" spans="1:16">
      <c r="A1420" s="10">
        <f t="shared" si="27"/>
        <v>1419</v>
      </c>
      <c r="B1420" s="31">
        <v>46180</v>
      </c>
      <c r="C1420" s="32" t="s">
        <v>1557</v>
      </c>
      <c r="D1420" s="120" t="s">
        <v>478</v>
      </c>
      <c r="E1420" s="33" t="s">
        <v>43</v>
      </c>
      <c r="F1420" s="18" t="s">
        <v>63</v>
      </c>
      <c r="G1420" s="18" t="s">
        <v>307</v>
      </c>
      <c r="H1420" s="34" t="s">
        <v>85</v>
      </c>
      <c r="I1420" s="18" t="s">
        <v>104</v>
      </c>
      <c r="J1420" s="31" t="s">
        <v>114</v>
      </c>
      <c r="K1420" s="31">
        <v>46181</v>
      </c>
      <c r="N1420" s="13" t="s">
        <v>29</v>
      </c>
      <c r="O1420" s="24" t="str">
        <f>IF(D1420="","",IF(COUNTIF(离职清单!C:C,D1420)&gt;0,"已离职","在职"))</f>
        <v>在职</v>
      </c>
      <c r="P1420" s="24">
        <f>IF(AND(O1420="在职",J1420="是"),COUNTIF(O$2:O1420,"在职"),"")</f>
        <v>1413</v>
      </c>
    </row>
    <row r="1421" ht="18" spans="1:16">
      <c r="A1421" s="14">
        <f t="shared" si="27"/>
        <v>1420</v>
      </c>
      <c r="B1421" s="31">
        <v>46180</v>
      </c>
      <c r="C1421" s="32" t="s">
        <v>1558</v>
      </c>
      <c r="D1421" s="120" t="s">
        <v>480</v>
      </c>
      <c r="E1421" s="33" t="s">
        <v>43</v>
      </c>
      <c r="F1421" s="18" t="s">
        <v>64</v>
      </c>
      <c r="G1421" s="18" t="s">
        <v>173</v>
      </c>
      <c r="H1421" s="34" t="s">
        <v>85</v>
      </c>
      <c r="I1421" s="18" t="s">
        <v>104</v>
      </c>
      <c r="J1421" s="31" t="s">
        <v>105</v>
      </c>
      <c r="K1421" s="31"/>
      <c r="N1421" s="13" t="s">
        <v>29</v>
      </c>
      <c r="O1421" s="24" t="str">
        <f>IF(D1421="","",IF(COUNTIF(离职清单!C:C,D1421)&gt;0,"已离职","在职"))</f>
        <v>在职</v>
      </c>
      <c r="P1421" s="24" t="str">
        <f>IF(AND(O1421="在职",J1421="是"),COUNTIF(O$2:O1421,"在职"),"")</f>
        <v/>
      </c>
    </row>
    <row r="1422" ht="18" spans="1:16">
      <c r="A1422" s="10">
        <f t="shared" si="27"/>
        <v>1421</v>
      </c>
      <c r="B1422" s="31">
        <v>46180</v>
      </c>
      <c r="C1422" s="32" t="s">
        <v>797</v>
      </c>
      <c r="D1422" s="120" t="s">
        <v>482</v>
      </c>
      <c r="E1422" s="33" t="s">
        <v>43</v>
      </c>
      <c r="F1422" s="18" t="s">
        <v>64</v>
      </c>
      <c r="G1422" s="18" t="s">
        <v>103</v>
      </c>
      <c r="H1422" s="34" t="s">
        <v>85</v>
      </c>
      <c r="I1422" s="18" t="s">
        <v>104</v>
      </c>
      <c r="J1422" s="31" t="s">
        <v>105</v>
      </c>
      <c r="K1422" s="31"/>
      <c r="N1422" s="13" t="s">
        <v>29</v>
      </c>
      <c r="O1422" s="24" t="str">
        <f>IF(D1422="","",IF(COUNTIF(离职清单!C:C,D1422)&gt;0,"已离职","在职"))</f>
        <v>在职</v>
      </c>
      <c r="P1422" s="24" t="str">
        <f>IF(AND(O1422="在职",J1422="是"),COUNTIF(O$2:O1422,"在职"),"")</f>
        <v/>
      </c>
    </row>
    <row r="1423" ht="18" spans="1:16">
      <c r="A1423" s="14">
        <f t="shared" si="27"/>
        <v>1422</v>
      </c>
      <c r="B1423" s="31">
        <v>46180</v>
      </c>
      <c r="C1423" s="32" t="s">
        <v>1559</v>
      </c>
      <c r="D1423" s="120" t="s">
        <v>484</v>
      </c>
      <c r="E1423" s="33" t="s">
        <v>43</v>
      </c>
      <c r="F1423" s="18" t="s">
        <v>62</v>
      </c>
      <c r="G1423" s="18" t="s">
        <v>509</v>
      </c>
      <c r="H1423" s="34" t="s">
        <v>85</v>
      </c>
      <c r="I1423" s="18" t="s">
        <v>104</v>
      </c>
      <c r="J1423" s="31" t="s">
        <v>105</v>
      </c>
      <c r="K1423" s="31">
        <v>46183</v>
      </c>
      <c r="N1423" s="13" t="s">
        <v>29</v>
      </c>
      <c r="O1423" s="24" t="str">
        <f>IF(D1423="","",IF(COUNTIF(离职清单!C:C,D1423)&gt;0,"已离职","在职"))</f>
        <v>在职</v>
      </c>
      <c r="P1423" s="24" t="str">
        <f>IF(AND(O1423="在职",J1423="是"),COUNTIF(O$2:O1423,"在职"),"")</f>
        <v/>
      </c>
    </row>
    <row r="1424" ht="18" spans="1:16">
      <c r="A1424" s="10">
        <f t="shared" si="27"/>
        <v>1423</v>
      </c>
      <c r="B1424" s="31">
        <v>46180</v>
      </c>
      <c r="C1424" s="32" t="s">
        <v>1560</v>
      </c>
      <c r="D1424" s="120" t="s">
        <v>486</v>
      </c>
      <c r="E1424" s="33" t="s">
        <v>43</v>
      </c>
      <c r="F1424" s="18" t="s">
        <v>63</v>
      </c>
      <c r="G1424" s="18" t="s">
        <v>173</v>
      </c>
      <c r="H1424" s="34" t="s">
        <v>85</v>
      </c>
      <c r="I1424" s="18" t="s">
        <v>104</v>
      </c>
      <c r="J1424" s="31" t="s">
        <v>114</v>
      </c>
      <c r="K1424" s="31">
        <v>46182</v>
      </c>
      <c r="N1424" s="13" t="s">
        <v>29</v>
      </c>
      <c r="O1424" s="24" t="str">
        <f>IF(D1424="","",IF(COUNTIF(离职清单!C:C,D1424)&gt;0,"已离职","在职"))</f>
        <v>在职</v>
      </c>
      <c r="P1424" s="24">
        <f>IF(AND(O1424="在职",J1424="是"),COUNTIF(O$2:O1424,"在职"),"")</f>
        <v>1417</v>
      </c>
    </row>
    <row r="1425" ht="18" spans="1:16">
      <c r="A1425" s="14">
        <f t="shared" si="27"/>
        <v>1424</v>
      </c>
      <c r="B1425" s="31">
        <v>46180</v>
      </c>
      <c r="C1425" s="32" t="s">
        <v>1561</v>
      </c>
      <c r="D1425" s="120" t="s">
        <v>488</v>
      </c>
      <c r="E1425" s="33" t="s">
        <v>43</v>
      </c>
      <c r="F1425" s="18" t="s">
        <v>62</v>
      </c>
      <c r="G1425" s="18" t="s">
        <v>1562</v>
      </c>
      <c r="H1425" s="34" t="s">
        <v>85</v>
      </c>
      <c r="I1425" s="18" t="s">
        <v>104</v>
      </c>
      <c r="J1425" s="31" t="s">
        <v>114</v>
      </c>
      <c r="K1425" s="31">
        <v>46181</v>
      </c>
      <c r="N1425" s="13" t="s">
        <v>29</v>
      </c>
      <c r="O1425" s="24" t="str">
        <f>IF(D1425="","",IF(COUNTIF(离职清单!C:C,D1425)&gt;0,"已离职","在职"))</f>
        <v>在职</v>
      </c>
      <c r="P1425" s="24">
        <f>IF(AND(O1425="在职",J1425="是"),COUNTIF(O$2:O1425,"在职"),"")</f>
        <v>1418</v>
      </c>
    </row>
    <row r="1426" ht="18" spans="1:16">
      <c r="A1426" s="10">
        <f t="shared" si="27"/>
        <v>1425</v>
      </c>
      <c r="B1426" s="31">
        <v>46180</v>
      </c>
      <c r="C1426" s="32" t="s">
        <v>1563</v>
      </c>
      <c r="D1426" s="120" t="s">
        <v>490</v>
      </c>
      <c r="E1426" s="33" t="s">
        <v>43</v>
      </c>
      <c r="F1426" s="18" t="s">
        <v>62</v>
      </c>
      <c r="G1426" s="18" t="s">
        <v>233</v>
      </c>
      <c r="H1426" s="34" t="s">
        <v>85</v>
      </c>
      <c r="I1426" s="18" t="s">
        <v>104</v>
      </c>
      <c r="J1426" s="31" t="s">
        <v>114</v>
      </c>
      <c r="K1426" s="31">
        <v>46184</v>
      </c>
      <c r="N1426" s="13" t="s">
        <v>29</v>
      </c>
      <c r="O1426" s="24" t="str">
        <f>IF(D1426="","",IF(COUNTIF(离职清单!C:C,D1426)&gt;0,"已离职","在职"))</f>
        <v>在职</v>
      </c>
      <c r="P1426" s="24">
        <f>IF(AND(O1426="在职",J1426="是"),COUNTIF(O$2:O1426,"在职"),"")</f>
        <v>1419</v>
      </c>
    </row>
    <row r="1427" ht="18" spans="1:16">
      <c r="A1427" s="14">
        <f t="shared" si="27"/>
        <v>1426</v>
      </c>
      <c r="B1427" s="31" t="s">
        <v>1564</v>
      </c>
      <c r="C1427" s="32" t="s">
        <v>1183</v>
      </c>
      <c r="D1427" s="120" t="s">
        <v>492</v>
      </c>
      <c r="E1427" s="33" t="s">
        <v>42</v>
      </c>
      <c r="F1427" s="18" t="s">
        <v>62</v>
      </c>
      <c r="G1427" s="18" t="s">
        <v>103</v>
      </c>
      <c r="H1427" s="34" t="s">
        <v>85</v>
      </c>
      <c r="I1427" s="18" t="s">
        <v>104</v>
      </c>
      <c r="J1427" s="31" t="s">
        <v>105</v>
      </c>
      <c r="K1427" s="31">
        <v>46176</v>
      </c>
      <c r="N1427" s="13" t="s">
        <v>29</v>
      </c>
      <c r="O1427" s="24" t="str">
        <f>IF(D1427="","",IF(COUNTIF(离职清单!C:C,D1427)&gt;0,"已离职","在职"))</f>
        <v>在职</v>
      </c>
      <c r="P1427" s="24" t="str">
        <f>IF(AND(O1427="在职",J1427="是"),COUNTIF(O$2:O1427,"在职"),"")</f>
        <v/>
      </c>
    </row>
    <row r="1428" ht="18" spans="1:16">
      <c r="A1428" s="10">
        <f t="shared" si="27"/>
        <v>1427</v>
      </c>
      <c r="B1428" s="31">
        <v>46181</v>
      </c>
      <c r="C1428" s="32" t="s">
        <v>1565</v>
      </c>
      <c r="D1428" s="120" t="s">
        <v>477</v>
      </c>
      <c r="E1428" s="33" t="s">
        <v>42</v>
      </c>
      <c r="F1428" s="18" t="s">
        <v>64</v>
      </c>
      <c r="G1428" s="18" t="s">
        <v>129</v>
      </c>
      <c r="H1428" s="34" t="s">
        <v>85</v>
      </c>
      <c r="I1428" s="18" t="s">
        <v>104</v>
      </c>
      <c r="J1428" s="31" t="s">
        <v>105</v>
      </c>
      <c r="K1428" s="31"/>
      <c r="N1428" s="13" t="s">
        <v>29</v>
      </c>
      <c r="O1428" s="24" t="str">
        <f>IF(D1428="","",IF(COUNTIF(离职清单!C:C,D1428)&gt;0,"已离职","在职"))</f>
        <v>在职</v>
      </c>
      <c r="P1428" s="24" t="str">
        <f>IF(AND(O1428="在职",J1428="是"),COUNTIF(O$2:O1428,"在职"),"")</f>
        <v/>
      </c>
    </row>
    <row r="1429" ht="18" spans="1:16">
      <c r="A1429" s="14">
        <f t="shared" si="27"/>
        <v>1428</v>
      </c>
      <c r="B1429" s="31">
        <v>46181</v>
      </c>
      <c r="C1429" s="32" t="s">
        <v>1566</v>
      </c>
      <c r="D1429" s="120" t="s">
        <v>478</v>
      </c>
      <c r="E1429" s="33" t="s">
        <v>42</v>
      </c>
      <c r="F1429" s="18" t="s">
        <v>64</v>
      </c>
      <c r="G1429" s="18" t="s">
        <v>129</v>
      </c>
      <c r="H1429" s="34" t="s">
        <v>85</v>
      </c>
      <c r="I1429" s="18" t="s">
        <v>104</v>
      </c>
      <c r="J1429" s="31" t="s">
        <v>105</v>
      </c>
      <c r="K1429" s="31"/>
      <c r="N1429" s="13" t="s">
        <v>29</v>
      </c>
      <c r="O1429" s="24" t="str">
        <f>IF(D1429="","",IF(COUNTIF(离职清单!C:C,D1429)&gt;0,"已离职","在职"))</f>
        <v>在职</v>
      </c>
      <c r="P1429" s="24" t="str">
        <f>IF(AND(O1429="在职",J1429="是"),COUNTIF(O$2:O1429,"在职"),"")</f>
        <v/>
      </c>
    </row>
    <row r="1430" ht="18" spans="1:16">
      <c r="A1430" s="10">
        <f t="shared" si="27"/>
        <v>1429</v>
      </c>
      <c r="B1430" s="31">
        <v>46181</v>
      </c>
      <c r="C1430" s="32" t="s">
        <v>1567</v>
      </c>
      <c r="D1430" s="120" t="s">
        <v>480</v>
      </c>
      <c r="E1430" s="33" t="s">
        <v>42</v>
      </c>
      <c r="F1430" s="18" t="s">
        <v>63</v>
      </c>
      <c r="G1430" s="18" t="s">
        <v>176</v>
      </c>
      <c r="H1430" s="34" t="s">
        <v>85</v>
      </c>
      <c r="I1430" s="18" t="s">
        <v>104</v>
      </c>
      <c r="J1430" s="31" t="s">
        <v>114</v>
      </c>
      <c r="K1430" s="31">
        <v>46187</v>
      </c>
      <c r="N1430" s="13" t="s">
        <v>29</v>
      </c>
      <c r="O1430" s="24" t="str">
        <f>IF(D1430="","",IF(COUNTIF(离职清单!C:C,D1430)&gt;0,"已离职","在职"))</f>
        <v>在职</v>
      </c>
      <c r="P1430" s="24">
        <f>IF(AND(O1430="在职",J1430="是"),COUNTIF(O$2:O1430,"在职"),"")</f>
        <v>1423</v>
      </c>
    </row>
    <row r="1431" ht="18" spans="1:16">
      <c r="A1431" s="14">
        <f t="shared" si="27"/>
        <v>1430</v>
      </c>
      <c r="B1431" s="31">
        <v>46181</v>
      </c>
      <c r="C1431" s="32" t="s">
        <v>1568</v>
      </c>
      <c r="D1431" s="120" t="s">
        <v>482</v>
      </c>
      <c r="E1431" s="33" t="s">
        <v>42</v>
      </c>
      <c r="F1431" s="18" t="s">
        <v>64</v>
      </c>
      <c r="G1431" s="18" t="s">
        <v>176</v>
      </c>
      <c r="H1431" s="34" t="s">
        <v>85</v>
      </c>
      <c r="I1431" s="18" t="s">
        <v>104</v>
      </c>
      <c r="J1431" s="31" t="s">
        <v>105</v>
      </c>
      <c r="K1431" s="31"/>
      <c r="N1431" s="13" t="s">
        <v>29</v>
      </c>
      <c r="O1431" s="24" t="str">
        <f>IF(D1431="","",IF(COUNTIF(离职清单!C:C,D1431)&gt;0,"已离职","在职"))</f>
        <v>在职</v>
      </c>
      <c r="P1431" s="24" t="str">
        <f>IF(AND(O1431="在职",J1431="是"),COUNTIF(O$2:O1431,"在职"),"")</f>
        <v/>
      </c>
    </row>
    <row r="1432" ht="18" spans="1:16">
      <c r="A1432" s="10">
        <f t="shared" si="27"/>
        <v>1431</v>
      </c>
      <c r="B1432" s="31">
        <v>46181</v>
      </c>
      <c r="C1432" s="32" t="s">
        <v>1569</v>
      </c>
      <c r="D1432" s="120" t="s">
        <v>484</v>
      </c>
      <c r="E1432" s="33" t="s">
        <v>42</v>
      </c>
      <c r="F1432" s="18" t="s">
        <v>63</v>
      </c>
      <c r="G1432" s="18" t="s">
        <v>176</v>
      </c>
      <c r="H1432" s="34" t="s">
        <v>85</v>
      </c>
      <c r="I1432" s="18" t="s">
        <v>104</v>
      </c>
      <c r="J1432" s="31" t="s">
        <v>114</v>
      </c>
      <c r="K1432" s="31">
        <v>46182</v>
      </c>
      <c r="N1432" s="13" t="s">
        <v>29</v>
      </c>
      <c r="O1432" s="24" t="str">
        <f>IF(D1432="","",IF(COUNTIF(离职清单!C:C,D1432)&gt;0,"已离职","在职"))</f>
        <v>在职</v>
      </c>
      <c r="P1432" s="24">
        <f>IF(AND(O1432="在职",J1432="是"),COUNTIF(O$2:O1432,"在职"),"")</f>
        <v>1425</v>
      </c>
    </row>
    <row r="1433" ht="18" spans="1:16">
      <c r="A1433" s="14">
        <f t="shared" si="27"/>
        <v>1432</v>
      </c>
      <c r="B1433" s="31">
        <v>46181</v>
      </c>
      <c r="C1433" s="32" t="s">
        <v>1570</v>
      </c>
      <c r="D1433" s="120" t="s">
        <v>486</v>
      </c>
      <c r="E1433" s="33" t="s">
        <v>42</v>
      </c>
      <c r="F1433" s="18" t="s">
        <v>64</v>
      </c>
      <c r="G1433" s="18" t="s">
        <v>176</v>
      </c>
      <c r="H1433" s="34" t="s">
        <v>85</v>
      </c>
      <c r="I1433" s="18" t="s">
        <v>104</v>
      </c>
      <c r="J1433" s="31" t="s">
        <v>105</v>
      </c>
      <c r="K1433" s="31"/>
      <c r="N1433" s="13" t="s">
        <v>29</v>
      </c>
      <c r="O1433" s="24" t="str">
        <f>IF(D1433="","",IF(COUNTIF(离职清单!C:C,D1433)&gt;0,"已离职","在职"))</f>
        <v>在职</v>
      </c>
      <c r="P1433" s="24" t="str">
        <f>IF(AND(O1433="在职",J1433="是"),COUNTIF(O$2:O1433,"在职"),"")</f>
        <v/>
      </c>
    </row>
    <row r="1434" ht="18" spans="1:16">
      <c r="A1434" s="10">
        <f t="shared" si="27"/>
        <v>1433</v>
      </c>
      <c r="B1434" s="31">
        <v>46181</v>
      </c>
      <c r="C1434" s="32" t="s">
        <v>1571</v>
      </c>
      <c r="D1434" s="120" t="s">
        <v>488</v>
      </c>
      <c r="E1434" s="33" t="s">
        <v>42</v>
      </c>
      <c r="F1434" s="18" t="s">
        <v>64</v>
      </c>
      <c r="G1434" s="18" t="s">
        <v>176</v>
      </c>
      <c r="H1434" s="34" t="s">
        <v>85</v>
      </c>
      <c r="I1434" s="18" t="s">
        <v>104</v>
      </c>
      <c r="J1434" s="31" t="s">
        <v>105</v>
      </c>
      <c r="K1434" s="31"/>
      <c r="N1434" s="13" t="s">
        <v>29</v>
      </c>
      <c r="O1434" s="24" t="str">
        <f>IF(D1434="","",IF(COUNTIF(离职清单!C:C,D1434)&gt;0,"已离职","在职"))</f>
        <v>在职</v>
      </c>
      <c r="P1434" s="24" t="str">
        <f>IF(AND(O1434="在职",J1434="是"),COUNTIF(O$2:O1434,"在职"),"")</f>
        <v/>
      </c>
    </row>
    <row r="1435" ht="18" spans="1:16">
      <c r="A1435" s="14">
        <f t="shared" si="27"/>
        <v>1434</v>
      </c>
      <c r="B1435" s="31">
        <v>46181</v>
      </c>
      <c r="C1435" s="32" t="s">
        <v>1572</v>
      </c>
      <c r="D1435" s="120" t="s">
        <v>490</v>
      </c>
      <c r="E1435" s="33" t="s">
        <v>42</v>
      </c>
      <c r="F1435" s="18" t="s">
        <v>63</v>
      </c>
      <c r="G1435" s="18" t="s">
        <v>176</v>
      </c>
      <c r="H1435" s="34" t="s">
        <v>85</v>
      </c>
      <c r="I1435" s="18" t="s">
        <v>104</v>
      </c>
      <c r="J1435" s="31" t="s">
        <v>114</v>
      </c>
      <c r="K1435" s="31">
        <v>46187</v>
      </c>
      <c r="N1435" s="13" t="s">
        <v>29</v>
      </c>
      <c r="O1435" s="24" t="str">
        <f>IF(D1435="","",IF(COUNTIF(离职清单!C:C,D1435)&gt;0,"已离职","在职"))</f>
        <v>在职</v>
      </c>
      <c r="P1435" s="24">
        <f>IF(AND(O1435="在职",J1435="是"),COUNTIF(O$2:O1435,"在职"),"")</f>
        <v>1428</v>
      </c>
    </row>
    <row r="1436" ht="18" spans="1:16">
      <c r="A1436" s="10">
        <f t="shared" si="27"/>
        <v>1435</v>
      </c>
      <c r="B1436" s="31">
        <v>46181</v>
      </c>
      <c r="C1436" s="32" t="s">
        <v>1573</v>
      </c>
      <c r="D1436" s="120" t="s">
        <v>492</v>
      </c>
      <c r="E1436" s="33" t="s">
        <v>42</v>
      </c>
      <c r="F1436" s="18" t="s">
        <v>64</v>
      </c>
      <c r="G1436" s="18" t="s">
        <v>681</v>
      </c>
      <c r="H1436" s="34" t="s">
        <v>85</v>
      </c>
      <c r="I1436" s="18" t="s">
        <v>104</v>
      </c>
      <c r="J1436" s="31" t="s">
        <v>105</v>
      </c>
      <c r="K1436" s="31"/>
      <c r="N1436" s="13" t="s">
        <v>29</v>
      </c>
      <c r="O1436" s="24" t="str">
        <f>IF(D1436="","",IF(COUNTIF(离职清单!C:C,D1436)&gt;0,"已离职","在职"))</f>
        <v>在职</v>
      </c>
      <c r="P1436" s="24" t="str">
        <f>IF(AND(O1436="在职",J1436="是"),COUNTIF(O$2:O1436,"在职"),"")</f>
        <v/>
      </c>
    </row>
    <row r="1437" ht="18" spans="1:16">
      <c r="A1437" s="14">
        <f t="shared" si="27"/>
        <v>1436</v>
      </c>
      <c r="B1437" s="31">
        <v>46181</v>
      </c>
      <c r="C1437" s="32" t="s">
        <v>1574</v>
      </c>
      <c r="D1437" s="120" t="s">
        <v>477</v>
      </c>
      <c r="E1437" s="33" t="s">
        <v>42</v>
      </c>
      <c r="F1437" s="18" t="s">
        <v>62</v>
      </c>
      <c r="G1437" s="18" t="s">
        <v>509</v>
      </c>
      <c r="H1437" s="34" t="s">
        <v>85</v>
      </c>
      <c r="I1437" s="18" t="s">
        <v>104</v>
      </c>
      <c r="J1437" s="31" t="s">
        <v>105</v>
      </c>
      <c r="K1437" s="31">
        <v>46183</v>
      </c>
      <c r="N1437" s="13" t="s">
        <v>29</v>
      </c>
      <c r="O1437" s="24" t="str">
        <f>IF(D1437="","",IF(COUNTIF(离职清单!C:C,D1437)&gt;0,"已离职","在职"))</f>
        <v>在职</v>
      </c>
      <c r="P1437" s="24" t="str">
        <f>IF(AND(O1437="在职",J1437="是"),COUNTIF(O$2:O1437,"在职"),"")</f>
        <v/>
      </c>
    </row>
    <row r="1438" ht="18" spans="1:16">
      <c r="A1438" s="10">
        <f t="shared" si="27"/>
        <v>1437</v>
      </c>
      <c r="B1438" s="31">
        <v>46181</v>
      </c>
      <c r="C1438" s="32" t="s">
        <v>1575</v>
      </c>
      <c r="D1438" s="120" t="s">
        <v>478</v>
      </c>
      <c r="E1438" s="33" t="s">
        <v>42</v>
      </c>
      <c r="F1438" s="18" t="s">
        <v>64</v>
      </c>
      <c r="G1438" s="18" t="s">
        <v>509</v>
      </c>
      <c r="H1438" s="34" t="s">
        <v>85</v>
      </c>
      <c r="I1438" s="18" t="s">
        <v>104</v>
      </c>
      <c r="J1438" s="31" t="s">
        <v>105</v>
      </c>
      <c r="K1438" s="31"/>
      <c r="N1438" s="13" t="s">
        <v>29</v>
      </c>
      <c r="O1438" s="24" t="str">
        <f>IF(D1438="","",IF(COUNTIF(离职清单!C:C,D1438)&gt;0,"已离职","在职"))</f>
        <v>在职</v>
      </c>
      <c r="P1438" s="24" t="str">
        <f>IF(AND(O1438="在职",J1438="是"),COUNTIF(O$2:O1438,"在职"),"")</f>
        <v/>
      </c>
    </row>
    <row r="1439" ht="18" spans="1:16">
      <c r="A1439" s="14">
        <f t="shared" si="27"/>
        <v>1438</v>
      </c>
      <c r="B1439" s="31">
        <v>46181</v>
      </c>
      <c r="C1439" s="32" t="s">
        <v>1140</v>
      </c>
      <c r="D1439" s="120" t="s">
        <v>480</v>
      </c>
      <c r="E1439" s="33" t="s">
        <v>42</v>
      </c>
      <c r="F1439" s="18" t="s">
        <v>63</v>
      </c>
      <c r="G1439" s="18" t="s">
        <v>733</v>
      </c>
      <c r="H1439" s="34" t="s">
        <v>85</v>
      </c>
      <c r="I1439" s="18" t="s">
        <v>104</v>
      </c>
      <c r="J1439" s="31" t="s">
        <v>105</v>
      </c>
      <c r="K1439" s="31"/>
      <c r="N1439" s="13" t="s">
        <v>29</v>
      </c>
      <c r="O1439" s="24" t="str">
        <f>IF(D1439="","",IF(COUNTIF(离职清单!C:C,D1439)&gt;0,"已离职","在职"))</f>
        <v>在职</v>
      </c>
      <c r="P1439" s="24" t="str">
        <f>IF(AND(O1439="在职",J1439="是"),COUNTIF(O$2:O1439,"在职"),"")</f>
        <v/>
      </c>
    </row>
    <row r="1440" ht="18" spans="1:16">
      <c r="A1440" s="10">
        <f t="shared" si="27"/>
        <v>1439</v>
      </c>
      <c r="B1440" s="31">
        <v>46181</v>
      </c>
      <c r="C1440" s="32" t="s">
        <v>1576</v>
      </c>
      <c r="D1440" s="120" t="s">
        <v>482</v>
      </c>
      <c r="E1440" s="33" t="s">
        <v>42</v>
      </c>
      <c r="F1440" s="18" t="s">
        <v>62</v>
      </c>
      <c r="G1440" s="18" t="s">
        <v>103</v>
      </c>
      <c r="H1440" s="34" t="s">
        <v>85</v>
      </c>
      <c r="I1440" s="18" t="s">
        <v>104</v>
      </c>
      <c r="J1440" s="31" t="s">
        <v>114</v>
      </c>
      <c r="K1440" s="31">
        <v>46182</v>
      </c>
      <c r="N1440" s="13" t="s">
        <v>29</v>
      </c>
      <c r="O1440" s="24" t="str">
        <f>IF(D1440="","",IF(COUNTIF(离职清单!C:C,D1440)&gt;0,"已离职","在职"))</f>
        <v>在职</v>
      </c>
      <c r="P1440" s="24">
        <f>IF(AND(O1440="在职",J1440="是"),COUNTIF(O$2:O1440,"在职"),"")</f>
        <v>1433</v>
      </c>
    </row>
    <row r="1441" ht="18" spans="1:16">
      <c r="A1441" s="14">
        <f t="shared" si="27"/>
        <v>1440</v>
      </c>
      <c r="B1441" s="31">
        <v>46181</v>
      </c>
      <c r="C1441" s="32" t="s">
        <v>1577</v>
      </c>
      <c r="D1441" s="120" t="s">
        <v>484</v>
      </c>
      <c r="E1441" s="33" t="s">
        <v>42</v>
      </c>
      <c r="F1441" s="18" t="s">
        <v>64</v>
      </c>
      <c r="G1441" s="18" t="s">
        <v>148</v>
      </c>
      <c r="H1441" s="34" t="s">
        <v>85</v>
      </c>
      <c r="I1441" s="18" t="s">
        <v>104</v>
      </c>
      <c r="J1441" s="31" t="s">
        <v>105</v>
      </c>
      <c r="K1441" s="31"/>
      <c r="N1441" s="13" t="s">
        <v>29</v>
      </c>
      <c r="O1441" s="24" t="str">
        <f>IF(D1441="","",IF(COUNTIF(离职清单!C:C,D1441)&gt;0,"已离职","在职"))</f>
        <v>在职</v>
      </c>
      <c r="P1441" s="24" t="str">
        <f>IF(AND(O1441="在职",J1441="是"),COUNTIF(O$2:O1441,"在职"),"")</f>
        <v/>
      </c>
    </row>
    <row r="1442" ht="18" spans="1:16">
      <c r="A1442" s="10">
        <f t="shared" si="27"/>
        <v>1441</v>
      </c>
      <c r="B1442" s="31">
        <v>46181</v>
      </c>
      <c r="C1442" s="32" t="s">
        <v>1578</v>
      </c>
      <c r="D1442" s="120" t="s">
        <v>486</v>
      </c>
      <c r="E1442" s="33" t="s">
        <v>42</v>
      </c>
      <c r="F1442" s="18" t="s">
        <v>64</v>
      </c>
      <c r="G1442" s="18" t="s">
        <v>148</v>
      </c>
      <c r="H1442" s="34" t="s">
        <v>85</v>
      </c>
      <c r="I1442" s="18" t="s">
        <v>104</v>
      </c>
      <c r="J1442" s="31" t="s">
        <v>105</v>
      </c>
      <c r="K1442" s="31"/>
      <c r="N1442" s="13" t="s">
        <v>29</v>
      </c>
      <c r="O1442" s="24" t="str">
        <f>IF(D1442="","",IF(COUNTIF(离职清单!C:C,D1442)&gt;0,"已离职","在职"))</f>
        <v>在职</v>
      </c>
      <c r="P1442" s="24" t="str">
        <f>IF(AND(O1442="在职",J1442="是"),COUNTIF(O$2:O1442,"在职"),"")</f>
        <v/>
      </c>
    </row>
    <row r="1443" ht="18" spans="1:16">
      <c r="A1443" s="14">
        <f t="shared" si="27"/>
        <v>1442</v>
      </c>
      <c r="B1443" s="31">
        <v>46181</v>
      </c>
      <c r="C1443" s="32" t="s">
        <v>1579</v>
      </c>
      <c r="D1443" s="120" t="s">
        <v>488</v>
      </c>
      <c r="E1443" s="33" t="s">
        <v>42</v>
      </c>
      <c r="F1443" s="18" t="s">
        <v>62</v>
      </c>
      <c r="G1443" s="18" t="s">
        <v>148</v>
      </c>
      <c r="H1443" s="34" t="s">
        <v>85</v>
      </c>
      <c r="I1443" s="18" t="s">
        <v>104</v>
      </c>
      <c r="J1443" s="31" t="s">
        <v>114</v>
      </c>
      <c r="K1443" s="31">
        <v>46182</v>
      </c>
      <c r="N1443" s="13" t="s">
        <v>29</v>
      </c>
      <c r="O1443" s="24" t="str">
        <f>IF(D1443="","",IF(COUNTIF(离职清单!C:C,D1443)&gt;0,"已离职","在职"))</f>
        <v>在职</v>
      </c>
      <c r="P1443" s="24">
        <f>IF(AND(O1443="在职",J1443="是"),COUNTIF(O$2:O1443,"在职"),"")</f>
        <v>1436</v>
      </c>
    </row>
    <row r="1444" ht="18" spans="1:16">
      <c r="A1444" s="10">
        <f t="shared" si="27"/>
        <v>1443</v>
      </c>
      <c r="B1444" s="31">
        <v>46181</v>
      </c>
      <c r="C1444" s="32" t="s">
        <v>1580</v>
      </c>
      <c r="D1444" s="120" t="s">
        <v>490</v>
      </c>
      <c r="E1444" s="33" t="s">
        <v>42</v>
      </c>
      <c r="F1444" s="18" t="s">
        <v>64</v>
      </c>
      <c r="G1444" s="18" t="s">
        <v>148</v>
      </c>
      <c r="H1444" s="34" t="s">
        <v>85</v>
      </c>
      <c r="I1444" s="18" t="s">
        <v>104</v>
      </c>
      <c r="J1444" s="31" t="s">
        <v>105</v>
      </c>
      <c r="K1444" s="31"/>
      <c r="N1444" s="13" t="s">
        <v>29</v>
      </c>
      <c r="O1444" s="24" t="str">
        <f>IF(D1444="","",IF(COUNTIF(离职清单!C:C,D1444)&gt;0,"已离职","在职"))</f>
        <v>在职</v>
      </c>
      <c r="P1444" s="24" t="str">
        <f>IF(AND(O1444="在职",J1444="是"),COUNTIF(O$2:O1444,"在职"),"")</f>
        <v/>
      </c>
    </row>
    <row r="1445" ht="18" spans="1:16">
      <c r="A1445" s="14">
        <f t="shared" si="27"/>
        <v>1444</v>
      </c>
      <c r="B1445" s="31">
        <v>46181</v>
      </c>
      <c r="C1445" s="32" t="s">
        <v>1581</v>
      </c>
      <c r="D1445" s="120" t="s">
        <v>492</v>
      </c>
      <c r="E1445" s="33" t="s">
        <v>42</v>
      </c>
      <c r="F1445" s="18" t="s">
        <v>64</v>
      </c>
      <c r="G1445" s="18" t="s">
        <v>148</v>
      </c>
      <c r="H1445" s="34" t="s">
        <v>85</v>
      </c>
      <c r="I1445" s="18" t="s">
        <v>104</v>
      </c>
      <c r="J1445" s="31" t="s">
        <v>105</v>
      </c>
      <c r="K1445" s="31"/>
      <c r="N1445" s="13" t="s">
        <v>29</v>
      </c>
      <c r="O1445" s="24" t="str">
        <f>IF(D1445="","",IF(COUNTIF(离职清单!C:C,D1445)&gt;0,"已离职","在职"))</f>
        <v>在职</v>
      </c>
      <c r="P1445" s="24" t="str">
        <f>IF(AND(O1445="在职",J1445="是"),COUNTIF(O$2:O1445,"在职"),"")</f>
        <v/>
      </c>
    </row>
    <row r="1446" ht="18" spans="1:16">
      <c r="A1446" s="10">
        <f t="shared" si="27"/>
        <v>1445</v>
      </c>
      <c r="B1446" s="31">
        <v>46181</v>
      </c>
      <c r="C1446" s="32" t="s">
        <v>1582</v>
      </c>
      <c r="D1446" s="120" t="s">
        <v>477</v>
      </c>
      <c r="E1446" s="33" t="s">
        <v>42</v>
      </c>
      <c r="F1446" s="18" t="s">
        <v>64</v>
      </c>
      <c r="G1446" s="18" t="s">
        <v>148</v>
      </c>
      <c r="H1446" s="34" t="s">
        <v>85</v>
      </c>
      <c r="I1446" s="18" t="s">
        <v>104</v>
      </c>
      <c r="J1446" s="31" t="s">
        <v>105</v>
      </c>
      <c r="K1446" s="31"/>
      <c r="N1446" s="13" t="s">
        <v>29</v>
      </c>
      <c r="O1446" s="24" t="str">
        <f>IF(D1446="","",IF(COUNTIF(离职清单!C:C,D1446)&gt;0,"已离职","在职"))</f>
        <v>在职</v>
      </c>
      <c r="P1446" s="24" t="str">
        <f>IF(AND(O1446="在职",J1446="是"),COUNTIF(O$2:O1446,"在职"),"")</f>
        <v/>
      </c>
    </row>
    <row r="1447" ht="18" spans="1:16">
      <c r="A1447" s="14">
        <f t="shared" si="27"/>
        <v>1446</v>
      </c>
      <c r="B1447" s="31">
        <v>46181</v>
      </c>
      <c r="C1447" s="32" t="s">
        <v>1583</v>
      </c>
      <c r="D1447" s="120" t="s">
        <v>477</v>
      </c>
      <c r="E1447" s="33" t="s">
        <v>42</v>
      </c>
      <c r="F1447" s="18" t="s">
        <v>64</v>
      </c>
      <c r="G1447" s="18" t="s">
        <v>148</v>
      </c>
      <c r="H1447" s="34" t="s">
        <v>85</v>
      </c>
      <c r="I1447" s="18" t="s">
        <v>104</v>
      </c>
      <c r="J1447" s="31" t="s">
        <v>105</v>
      </c>
      <c r="K1447" s="31"/>
      <c r="N1447" s="13" t="s">
        <v>29</v>
      </c>
      <c r="O1447" s="24" t="str">
        <f>IF(D1447="","",IF(COUNTIF(离职清单!C:C,D1447)&gt;0,"已离职","在职"))</f>
        <v>在职</v>
      </c>
      <c r="P1447" s="24" t="str">
        <f>IF(AND(O1447="在职",J1447="是"),COUNTIF(O$2:O1447,"在职"),"")</f>
        <v/>
      </c>
    </row>
    <row r="1448" ht="18" spans="1:16">
      <c r="A1448" s="10">
        <f t="shared" si="27"/>
        <v>1447</v>
      </c>
      <c r="B1448" s="31">
        <v>46181</v>
      </c>
      <c r="C1448" s="32" t="s">
        <v>1584</v>
      </c>
      <c r="D1448" s="120" t="s">
        <v>478</v>
      </c>
      <c r="E1448" s="33" t="s">
        <v>42</v>
      </c>
      <c r="F1448" s="18" t="s">
        <v>64</v>
      </c>
      <c r="G1448" s="18" t="s">
        <v>631</v>
      </c>
      <c r="H1448" s="34" t="s">
        <v>85</v>
      </c>
      <c r="I1448" s="18" t="s">
        <v>104</v>
      </c>
      <c r="J1448" s="31" t="s">
        <v>105</v>
      </c>
      <c r="K1448" s="31"/>
      <c r="N1448" s="13" t="s">
        <v>29</v>
      </c>
      <c r="O1448" s="24" t="str">
        <f>IF(D1448="","",IF(COUNTIF(离职清单!C:C,D1448)&gt;0,"已离职","在职"))</f>
        <v>在职</v>
      </c>
      <c r="P1448" s="24" t="str">
        <f>IF(AND(O1448="在职",J1448="是"),COUNTIF(O$2:O1448,"在职"),"")</f>
        <v/>
      </c>
    </row>
    <row r="1449" ht="18" spans="1:16">
      <c r="A1449" s="14">
        <f t="shared" si="27"/>
        <v>1448</v>
      </c>
      <c r="B1449" s="31">
        <v>46181</v>
      </c>
      <c r="C1449" s="32" t="s">
        <v>1585</v>
      </c>
      <c r="D1449" s="120" t="s">
        <v>480</v>
      </c>
      <c r="E1449" s="33" t="s">
        <v>42</v>
      </c>
      <c r="F1449" s="18" t="s">
        <v>64</v>
      </c>
      <c r="G1449" s="18" t="s">
        <v>631</v>
      </c>
      <c r="H1449" s="34" t="s">
        <v>85</v>
      </c>
      <c r="I1449" s="18" t="s">
        <v>104</v>
      </c>
      <c r="J1449" s="31" t="s">
        <v>105</v>
      </c>
      <c r="K1449" s="31"/>
      <c r="N1449" s="13" t="s">
        <v>29</v>
      </c>
      <c r="O1449" s="24" t="str">
        <f>IF(D1449="","",IF(COUNTIF(离职清单!C:C,D1449)&gt;0,"已离职","在职"))</f>
        <v>在职</v>
      </c>
      <c r="P1449" s="24" t="str">
        <f>IF(AND(O1449="在职",J1449="是"),COUNTIF(O$2:O1449,"在职"),"")</f>
        <v/>
      </c>
    </row>
    <row r="1450" ht="18" spans="1:16">
      <c r="A1450" s="10">
        <f t="shared" si="27"/>
        <v>1449</v>
      </c>
      <c r="B1450" s="31">
        <v>46181</v>
      </c>
      <c r="C1450" s="32" t="s">
        <v>1586</v>
      </c>
      <c r="D1450" s="120" t="s">
        <v>482</v>
      </c>
      <c r="E1450" s="33" t="s">
        <v>42</v>
      </c>
      <c r="F1450" s="18" t="s">
        <v>64</v>
      </c>
      <c r="G1450" s="18" t="s">
        <v>1513</v>
      </c>
      <c r="H1450" s="34" t="s">
        <v>85</v>
      </c>
      <c r="I1450" s="18" t="s">
        <v>104</v>
      </c>
      <c r="J1450" s="31" t="s">
        <v>105</v>
      </c>
      <c r="K1450" s="31"/>
      <c r="N1450" s="13" t="s">
        <v>29</v>
      </c>
      <c r="O1450" s="24" t="str">
        <f>IF(D1450="","",IF(COUNTIF(离职清单!C:C,D1450)&gt;0,"已离职","在职"))</f>
        <v>在职</v>
      </c>
      <c r="P1450" s="24" t="str">
        <f>IF(AND(O1450="在职",J1450="是"),COUNTIF(O$2:O1450,"在职"),"")</f>
        <v/>
      </c>
    </row>
    <row r="1451" ht="18" spans="1:16">
      <c r="A1451" s="14">
        <f t="shared" si="27"/>
        <v>1450</v>
      </c>
      <c r="B1451" s="31">
        <v>46181</v>
      </c>
      <c r="C1451" s="32" t="s">
        <v>1587</v>
      </c>
      <c r="D1451" s="120" t="s">
        <v>484</v>
      </c>
      <c r="E1451" s="33" t="s">
        <v>42</v>
      </c>
      <c r="F1451" s="18" t="s">
        <v>62</v>
      </c>
      <c r="G1451" s="18" t="s">
        <v>307</v>
      </c>
      <c r="H1451" s="34" t="s">
        <v>85</v>
      </c>
      <c r="I1451" s="18" t="s">
        <v>104</v>
      </c>
      <c r="J1451" s="31" t="s">
        <v>114</v>
      </c>
      <c r="K1451" s="31">
        <v>46182</v>
      </c>
      <c r="N1451" s="13" t="s">
        <v>29</v>
      </c>
      <c r="O1451" s="24" t="str">
        <f>IF(D1451="","",IF(COUNTIF(离职清单!C:C,D1451)&gt;0,"已离职","在职"))</f>
        <v>在职</v>
      </c>
      <c r="P1451" s="24">
        <f>IF(AND(O1451="在职",J1451="是"),COUNTIF(O$2:O1451,"在职"),"")</f>
        <v>1444</v>
      </c>
    </row>
    <row r="1452" ht="18" spans="1:16">
      <c r="A1452" s="10">
        <f t="shared" ref="A1452:A1515" si="28">IF(B1452&lt;&gt;"",ROW()-1,"")</f>
        <v>1451</v>
      </c>
      <c r="B1452" s="31">
        <v>46181</v>
      </c>
      <c r="C1452" s="32" t="s">
        <v>1588</v>
      </c>
      <c r="D1452" s="120" t="s">
        <v>486</v>
      </c>
      <c r="E1452" s="33" t="s">
        <v>42</v>
      </c>
      <c r="F1452" s="18" t="s">
        <v>62</v>
      </c>
      <c r="G1452" s="18" t="s">
        <v>307</v>
      </c>
      <c r="H1452" s="34" t="s">
        <v>85</v>
      </c>
      <c r="I1452" s="18" t="s">
        <v>104</v>
      </c>
      <c r="J1452" s="31" t="s">
        <v>114</v>
      </c>
      <c r="K1452" s="31">
        <v>46185</v>
      </c>
      <c r="N1452" s="13" t="s">
        <v>29</v>
      </c>
      <c r="O1452" s="24" t="str">
        <f>IF(D1452="","",IF(COUNTIF(离职清单!C:C,D1452)&gt;0,"已离职","在职"))</f>
        <v>在职</v>
      </c>
      <c r="P1452" s="24">
        <f>IF(AND(O1452="在职",J1452="是"),COUNTIF(O$2:O1452,"在职"),"")</f>
        <v>1445</v>
      </c>
    </row>
    <row r="1453" ht="18" spans="1:16">
      <c r="A1453" s="14">
        <f t="shared" si="28"/>
        <v>1452</v>
      </c>
      <c r="B1453" s="31">
        <v>46181</v>
      </c>
      <c r="C1453" s="32" t="s">
        <v>1589</v>
      </c>
      <c r="D1453" s="120" t="s">
        <v>488</v>
      </c>
      <c r="E1453" s="33" t="s">
        <v>42</v>
      </c>
      <c r="F1453" s="18" t="s">
        <v>63</v>
      </c>
      <c r="G1453" s="18" t="s">
        <v>307</v>
      </c>
      <c r="H1453" s="34" t="s">
        <v>85</v>
      </c>
      <c r="I1453" s="18" t="s">
        <v>104</v>
      </c>
      <c r="J1453" s="31" t="s">
        <v>114</v>
      </c>
      <c r="K1453" s="31">
        <v>46182</v>
      </c>
      <c r="N1453" s="13" t="s">
        <v>29</v>
      </c>
      <c r="O1453" s="24" t="str">
        <f>IF(D1453="","",IF(COUNTIF(离职清单!C:C,D1453)&gt;0,"已离职","在职"))</f>
        <v>在职</v>
      </c>
      <c r="P1453" s="24">
        <f>IF(AND(O1453="在职",J1453="是"),COUNTIF(O$2:O1453,"在职"),"")</f>
        <v>1446</v>
      </c>
    </row>
    <row r="1454" ht="18" spans="1:16">
      <c r="A1454" s="10">
        <f t="shared" si="28"/>
        <v>1453</v>
      </c>
      <c r="B1454" s="31">
        <v>46181</v>
      </c>
      <c r="C1454" s="32" t="s">
        <v>1590</v>
      </c>
      <c r="D1454" s="120" t="s">
        <v>490</v>
      </c>
      <c r="E1454" s="33" t="s">
        <v>42</v>
      </c>
      <c r="F1454" s="18" t="s">
        <v>64</v>
      </c>
      <c r="G1454" s="18" t="s">
        <v>307</v>
      </c>
      <c r="H1454" s="34" t="s">
        <v>85</v>
      </c>
      <c r="I1454" s="18" t="s">
        <v>104</v>
      </c>
      <c r="J1454" s="31" t="s">
        <v>105</v>
      </c>
      <c r="K1454" s="31"/>
      <c r="N1454" s="13" t="s">
        <v>29</v>
      </c>
      <c r="O1454" s="24" t="str">
        <f>IF(D1454="","",IF(COUNTIF(离职清单!C:C,D1454)&gt;0,"已离职","在职"))</f>
        <v>在职</v>
      </c>
      <c r="P1454" s="24" t="str">
        <f>IF(AND(O1454="在职",J1454="是"),COUNTIF(O$2:O1454,"在职"),"")</f>
        <v/>
      </c>
    </row>
    <row r="1455" ht="18" spans="1:16">
      <c r="A1455" s="14">
        <f t="shared" si="28"/>
        <v>1454</v>
      </c>
      <c r="B1455" s="31">
        <v>46181</v>
      </c>
      <c r="C1455" s="32" t="s">
        <v>1591</v>
      </c>
      <c r="D1455" s="120" t="s">
        <v>492</v>
      </c>
      <c r="E1455" s="33" t="s">
        <v>42</v>
      </c>
      <c r="F1455" s="18" t="s">
        <v>64</v>
      </c>
      <c r="G1455" s="18" t="s">
        <v>124</v>
      </c>
      <c r="H1455" s="34" t="s">
        <v>85</v>
      </c>
      <c r="I1455" s="18" t="s">
        <v>104</v>
      </c>
      <c r="J1455" s="31" t="s">
        <v>105</v>
      </c>
      <c r="K1455" s="31"/>
      <c r="N1455" s="13" t="s">
        <v>29</v>
      </c>
      <c r="O1455" s="24" t="str">
        <f>IF(D1455="","",IF(COUNTIF(离职清单!C:C,D1455)&gt;0,"已离职","在职"))</f>
        <v>在职</v>
      </c>
      <c r="P1455" s="24" t="str">
        <f>IF(AND(O1455="在职",J1455="是"),COUNTIF(O$2:O1455,"在职"),"")</f>
        <v/>
      </c>
    </row>
    <row r="1456" ht="18" spans="1:16">
      <c r="A1456" s="10">
        <f t="shared" si="28"/>
        <v>1455</v>
      </c>
      <c r="B1456" s="31">
        <v>46181</v>
      </c>
      <c r="C1456" s="32" t="s">
        <v>1592</v>
      </c>
      <c r="D1456" s="120" t="s">
        <v>477</v>
      </c>
      <c r="E1456" s="33" t="s">
        <v>42</v>
      </c>
      <c r="F1456" s="18" t="s">
        <v>63</v>
      </c>
      <c r="G1456" s="18" t="s">
        <v>124</v>
      </c>
      <c r="H1456" s="34" t="s">
        <v>85</v>
      </c>
      <c r="I1456" s="18" t="s">
        <v>104</v>
      </c>
      <c r="J1456" s="31" t="s">
        <v>105</v>
      </c>
      <c r="K1456" s="31"/>
      <c r="N1456" s="13" t="s">
        <v>29</v>
      </c>
      <c r="O1456" s="24" t="str">
        <f>IF(D1456="","",IF(COUNTIF(离职清单!C:C,D1456)&gt;0,"已离职","在职"))</f>
        <v>在职</v>
      </c>
      <c r="P1456" s="24" t="str">
        <f>IF(AND(O1456="在职",J1456="是"),COUNTIF(O$2:O1456,"在职"),"")</f>
        <v/>
      </c>
    </row>
    <row r="1457" ht="18" spans="1:16">
      <c r="A1457" s="14">
        <f t="shared" si="28"/>
        <v>1456</v>
      </c>
      <c r="B1457" s="31">
        <v>46181</v>
      </c>
      <c r="C1457" s="32" t="s">
        <v>1593</v>
      </c>
      <c r="D1457" s="120" t="s">
        <v>478</v>
      </c>
      <c r="E1457" s="33" t="s">
        <v>74</v>
      </c>
      <c r="F1457" s="18" t="s">
        <v>64</v>
      </c>
      <c r="G1457" s="18" t="s">
        <v>744</v>
      </c>
      <c r="H1457" s="34" t="s">
        <v>85</v>
      </c>
      <c r="I1457" s="18" t="s">
        <v>104</v>
      </c>
      <c r="J1457" s="31" t="s">
        <v>105</v>
      </c>
      <c r="K1457" s="31"/>
      <c r="N1457" s="13" t="s">
        <v>29</v>
      </c>
      <c r="O1457" s="24" t="str">
        <f>IF(D1457="","",IF(COUNTIF(离职清单!C:C,D1457)&gt;0,"已离职","在职"))</f>
        <v>在职</v>
      </c>
      <c r="P1457" s="24" t="str">
        <f>IF(AND(O1457="在职",J1457="是"),COUNTIF(O$2:O1457,"在职"),"")</f>
        <v/>
      </c>
    </row>
    <row r="1458" ht="18" spans="1:16">
      <c r="A1458" s="10">
        <f t="shared" si="28"/>
        <v>1457</v>
      </c>
      <c r="B1458" s="31">
        <v>46181</v>
      </c>
      <c r="C1458" s="32" t="s">
        <v>1529</v>
      </c>
      <c r="D1458" s="120" t="s">
        <v>480</v>
      </c>
      <c r="E1458" s="33" t="s">
        <v>42</v>
      </c>
      <c r="F1458" s="18" t="s">
        <v>64</v>
      </c>
      <c r="G1458" s="18" t="s">
        <v>135</v>
      </c>
      <c r="H1458" s="34" t="s">
        <v>85</v>
      </c>
      <c r="I1458" s="18" t="s">
        <v>104</v>
      </c>
      <c r="J1458" s="31" t="s">
        <v>105</v>
      </c>
      <c r="K1458" s="31"/>
      <c r="N1458" s="13" t="s">
        <v>29</v>
      </c>
      <c r="O1458" s="24" t="str">
        <f>IF(D1458="","",IF(COUNTIF(离职清单!C:C,D1458)&gt;0,"已离职","在职"))</f>
        <v>在职</v>
      </c>
      <c r="P1458" s="24" t="str">
        <f>IF(AND(O1458="在职",J1458="是"),COUNTIF(O$2:O1458,"在职"),"")</f>
        <v/>
      </c>
    </row>
    <row r="1459" ht="18" spans="1:16">
      <c r="A1459" s="14">
        <f t="shared" si="28"/>
        <v>1458</v>
      </c>
      <c r="B1459" s="31">
        <v>46181</v>
      </c>
      <c r="C1459" s="32" t="s">
        <v>1594</v>
      </c>
      <c r="D1459" s="120" t="s">
        <v>482</v>
      </c>
      <c r="E1459" s="33" t="s">
        <v>42</v>
      </c>
      <c r="F1459" s="18" t="s">
        <v>62</v>
      </c>
      <c r="G1459" s="18" t="s">
        <v>1056</v>
      </c>
      <c r="H1459" s="34" t="s">
        <v>85</v>
      </c>
      <c r="I1459" s="18" t="s">
        <v>104</v>
      </c>
      <c r="J1459" s="31" t="s">
        <v>105</v>
      </c>
      <c r="K1459" s="31"/>
      <c r="N1459" s="13" t="s">
        <v>29</v>
      </c>
      <c r="O1459" s="24" t="str">
        <f>IF(D1459="","",IF(COUNTIF(离职清单!C:C,D1459)&gt;0,"已离职","在职"))</f>
        <v>在职</v>
      </c>
      <c r="P1459" s="24" t="str">
        <f>IF(AND(O1459="在职",J1459="是"),COUNTIF(O$2:O1459,"在职"),"")</f>
        <v/>
      </c>
    </row>
    <row r="1460" ht="18" spans="1:16">
      <c r="A1460" s="10">
        <f t="shared" si="28"/>
        <v>1459</v>
      </c>
      <c r="B1460" s="31">
        <v>46181</v>
      </c>
      <c r="C1460" s="32" t="s">
        <v>1595</v>
      </c>
      <c r="D1460" s="120" t="s">
        <v>484</v>
      </c>
      <c r="E1460" s="33" t="s">
        <v>42</v>
      </c>
      <c r="F1460" s="18" t="s">
        <v>64</v>
      </c>
      <c r="G1460" s="18" t="s">
        <v>1056</v>
      </c>
      <c r="H1460" s="34" t="s">
        <v>85</v>
      </c>
      <c r="I1460" s="18" t="s">
        <v>104</v>
      </c>
      <c r="J1460" s="31" t="s">
        <v>105</v>
      </c>
      <c r="K1460" s="31"/>
      <c r="N1460" s="13" t="s">
        <v>29</v>
      </c>
      <c r="O1460" s="24" t="str">
        <f>IF(D1460="","",IF(COUNTIF(离职清单!C:C,D1460)&gt;0,"已离职","在职"))</f>
        <v>在职</v>
      </c>
      <c r="P1460" s="24" t="str">
        <f>IF(AND(O1460="在职",J1460="是"),COUNTIF(O$2:O1460,"在职"),"")</f>
        <v/>
      </c>
    </row>
    <row r="1461" ht="18" spans="1:16">
      <c r="A1461" s="14">
        <f t="shared" si="28"/>
        <v>1460</v>
      </c>
      <c r="B1461" s="31">
        <v>46181</v>
      </c>
      <c r="C1461" s="32" t="s">
        <v>1055</v>
      </c>
      <c r="D1461" s="120" t="s">
        <v>486</v>
      </c>
      <c r="E1461" s="33" t="s">
        <v>42</v>
      </c>
      <c r="F1461" s="18" t="s">
        <v>64</v>
      </c>
      <c r="G1461" s="18" t="s">
        <v>1056</v>
      </c>
      <c r="H1461" s="34" t="s">
        <v>85</v>
      </c>
      <c r="I1461" s="18" t="s">
        <v>104</v>
      </c>
      <c r="J1461" s="31" t="s">
        <v>105</v>
      </c>
      <c r="K1461" s="31"/>
      <c r="N1461" s="13" t="s">
        <v>29</v>
      </c>
      <c r="O1461" s="24" t="str">
        <f>IF(D1461="","",IF(COUNTIF(离职清单!C:C,D1461)&gt;0,"已离职","在职"))</f>
        <v>在职</v>
      </c>
      <c r="P1461" s="24" t="str">
        <f>IF(AND(O1461="在职",J1461="是"),COUNTIF(O$2:O1461,"在职"),"")</f>
        <v/>
      </c>
    </row>
    <row r="1462" ht="18" spans="1:16">
      <c r="A1462" s="10">
        <f t="shared" si="28"/>
        <v>1461</v>
      </c>
      <c r="B1462" s="31">
        <v>46181</v>
      </c>
      <c r="C1462" s="32" t="s">
        <v>1596</v>
      </c>
      <c r="D1462" s="120" t="s">
        <v>488</v>
      </c>
      <c r="E1462" s="33" t="s">
        <v>42</v>
      </c>
      <c r="F1462" s="18" t="s">
        <v>62</v>
      </c>
      <c r="G1462" s="18" t="s">
        <v>117</v>
      </c>
      <c r="H1462" s="34" t="s">
        <v>85</v>
      </c>
      <c r="I1462" s="18" t="s">
        <v>104</v>
      </c>
      <c r="J1462" s="31" t="s">
        <v>114</v>
      </c>
      <c r="K1462" s="31">
        <v>46184</v>
      </c>
      <c r="N1462" s="13" t="s">
        <v>29</v>
      </c>
      <c r="O1462" s="24" t="str">
        <f>IF(D1462="","",IF(COUNTIF(离职清单!C:C,D1462)&gt;0,"已离职","在职"))</f>
        <v>在职</v>
      </c>
      <c r="P1462" s="24">
        <f>IF(AND(O1462="在职",J1462="是"),COUNTIF(O$2:O1462,"在职"),"")</f>
        <v>1455</v>
      </c>
    </row>
    <row r="1463" ht="18" spans="1:16">
      <c r="A1463" s="14">
        <f t="shared" si="28"/>
        <v>1462</v>
      </c>
      <c r="B1463" s="31">
        <v>46181</v>
      </c>
      <c r="C1463" s="32" t="s">
        <v>1597</v>
      </c>
      <c r="D1463" s="120" t="s">
        <v>490</v>
      </c>
      <c r="E1463" s="33" t="s">
        <v>42</v>
      </c>
      <c r="F1463" s="18" t="s">
        <v>64</v>
      </c>
      <c r="G1463" s="18" t="s">
        <v>578</v>
      </c>
      <c r="H1463" s="34" t="s">
        <v>85</v>
      </c>
      <c r="I1463" s="18" t="s">
        <v>104</v>
      </c>
      <c r="J1463" s="31" t="s">
        <v>105</v>
      </c>
      <c r="K1463" s="31"/>
      <c r="N1463" s="13" t="s">
        <v>29</v>
      </c>
      <c r="O1463" s="24" t="str">
        <f>IF(D1463="","",IF(COUNTIF(离职清单!C:C,D1463)&gt;0,"已离职","在职"))</f>
        <v>在职</v>
      </c>
      <c r="P1463" s="24" t="str">
        <f>IF(AND(O1463="在职",J1463="是"),COUNTIF(O$2:O1463,"在职"),"")</f>
        <v/>
      </c>
    </row>
    <row r="1464" ht="18" spans="1:16">
      <c r="A1464" s="10">
        <f t="shared" si="28"/>
        <v>1463</v>
      </c>
      <c r="B1464" s="31">
        <v>46181</v>
      </c>
      <c r="C1464" s="32" t="s">
        <v>1598</v>
      </c>
      <c r="D1464" s="120" t="s">
        <v>492</v>
      </c>
      <c r="E1464" s="33" t="s">
        <v>42</v>
      </c>
      <c r="F1464" s="18" t="s">
        <v>64</v>
      </c>
      <c r="G1464" s="18" t="s">
        <v>578</v>
      </c>
      <c r="H1464" s="34" t="s">
        <v>85</v>
      </c>
      <c r="I1464" s="18" t="s">
        <v>104</v>
      </c>
      <c r="J1464" s="31" t="s">
        <v>105</v>
      </c>
      <c r="K1464" s="31"/>
      <c r="N1464" s="13" t="s">
        <v>29</v>
      </c>
      <c r="O1464" s="24" t="str">
        <f>IF(D1464="","",IF(COUNTIF(离职清单!C:C,D1464)&gt;0,"已离职","在职"))</f>
        <v>在职</v>
      </c>
      <c r="P1464" s="24" t="str">
        <f>IF(AND(O1464="在职",J1464="是"),COUNTIF(O$2:O1464,"在职"),"")</f>
        <v/>
      </c>
    </row>
    <row r="1465" ht="18" spans="1:16">
      <c r="A1465" s="14">
        <f t="shared" si="28"/>
        <v>1464</v>
      </c>
      <c r="B1465" s="31">
        <v>46181</v>
      </c>
      <c r="C1465" s="32" t="s">
        <v>1599</v>
      </c>
      <c r="D1465" s="120" t="s">
        <v>477</v>
      </c>
      <c r="E1465" s="33" t="s">
        <v>42</v>
      </c>
      <c r="F1465" s="18" t="s">
        <v>64</v>
      </c>
      <c r="G1465" s="18" t="s">
        <v>1334</v>
      </c>
      <c r="H1465" s="34" t="s">
        <v>85</v>
      </c>
      <c r="I1465" s="18" t="s">
        <v>104</v>
      </c>
      <c r="J1465" s="31" t="s">
        <v>105</v>
      </c>
      <c r="K1465" s="31"/>
      <c r="N1465" s="13" t="s">
        <v>29</v>
      </c>
      <c r="O1465" s="24" t="str">
        <f>IF(D1465="","",IF(COUNTIF(离职清单!C:C,D1465)&gt;0,"已离职","在职"))</f>
        <v>在职</v>
      </c>
      <c r="P1465" s="24" t="str">
        <f>IF(AND(O1465="在职",J1465="是"),COUNTIF(O$2:O1465,"在职"),"")</f>
        <v/>
      </c>
    </row>
    <row r="1466" ht="18" spans="1:16">
      <c r="A1466" s="10">
        <f t="shared" si="28"/>
        <v>1465</v>
      </c>
      <c r="B1466" s="31">
        <v>46181</v>
      </c>
      <c r="C1466" s="32" t="s">
        <v>1600</v>
      </c>
      <c r="D1466" s="120" t="s">
        <v>478</v>
      </c>
      <c r="E1466" s="33" t="s">
        <v>74</v>
      </c>
      <c r="F1466" s="18" t="s">
        <v>64</v>
      </c>
      <c r="G1466" s="18" t="s">
        <v>631</v>
      </c>
      <c r="H1466" s="34" t="s">
        <v>85</v>
      </c>
      <c r="I1466" s="18" t="s">
        <v>104</v>
      </c>
      <c r="J1466" s="31" t="s">
        <v>105</v>
      </c>
      <c r="K1466" s="31"/>
      <c r="N1466" s="13" t="s">
        <v>29</v>
      </c>
      <c r="O1466" s="24" t="str">
        <f>IF(D1466="","",IF(COUNTIF(离职清单!C:C,D1466)&gt;0,"已离职","在职"))</f>
        <v>在职</v>
      </c>
      <c r="P1466" s="24" t="str">
        <f>IF(AND(O1466="在职",J1466="是"),COUNTIF(O$2:O1466,"在职"),"")</f>
        <v/>
      </c>
    </row>
    <row r="1467" ht="18" spans="1:16">
      <c r="A1467" s="14">
        <f t="shared" si="28"/>
        <v>1466</v>
      </c>
      <c r="B1467" s="31">
        <v>46181</v>
      </c>
      <c r="C1467" s="32" t="s">
        <v>854</v>
      </c>
      <c r="D1467" s="120" t="s">
        <v>480</v>
      </c>
      <c r="E1467" s="33" t="s">
        <v>42</v>
      </c>
      <c r="F1467" s="18" t="s">
        <v>64</v>
      </c>
      <c r="G1467" s="18" t="s">
        <v>631</v>
      </c>
      <c r="H1467" s="34" t="s">
        <v>85</v>
      </c>
      <c r="I1467" s="18" t="s">
        <v>104</v>
      </c>
      <c r="J1467" s="31" t="s">
        <v>105</v>
      </c>
      <c r="K1467" s="31"/>
      <c r="N1467" s="13" t="s">
        <v>29</v>
      </c>
      <c r="O1467" s="24" t="str">
        <f>IF(D1467="","",IF(COUNTIF(离职清单!C:C,D1467)&gt;0,"已离职","在职"))</f>
        <v>在职</v>
      </c>
      <c r="P1467" s="24" t="str">
        <f>IF(AND(O1467="在职",J1467="是"),COUNTIF(O$2:O1467,"在职"),"")</f>
        <v/>
      </c>
    </row>
    <row r="1468" ht="18" spans="1:16">
      <c r="A1468" s="10">
        <f t="shared" si="28"/>
        <v>1467</v>
      </c>
      <c r="B1468" s="31">
        <v>46181</v>
      </c>
      <c r="C1468" s="32" t="s">
        <v>1601</v>
      </c>
      <c r="D1468" s="120" t="s">
        <v>482</v>
      </c>
      <c r="E1468" s="33" t="s">
        <v>42</v>
      </c>
      <c r="F1468" s="18" t="s">
        <v>64</v>
      </c>
      <c r="G1468" s="18" t="s">
        <v>631</v>
      </c>
      <c r="H1468" s="34" t="s">
        <v>85</v>
      </c>
      <c r="I1468" s="18" t="s">
        <v>104</v>
      </c>
      <c r="J1468" s="31" t="s">
        <v>105</v>
      </c>
      <c r="K1468" s="31"/>
      <c r="N1468" s="13" t="s">
        <v>29</v>
      </c>
      <c r="O1468" s="24" t="str">
        <f>IF(D1468="","",IF(COUNTIF(离职清单!C:C,D1468)&gt;0,"已离职","在职"))</f>
        <v>在职</v>
      </c>
      <c r="P1468" s="24" t="str">
        <f>IF(AND(O1468="在职",J1468="是"),COUNTIF(O$2:O1468,"在职"),"")</f>
        <v/>
      </c>
    </row>
    <row r="1469" ht="18" spans="1:16">
      <c r="A1469" s="14">
        <f t="shared" si="28"/>
        <v>1468</v>
      </c>
      <c r="B1469" s="31">
        <v>46181</v>
      </c>
      <c r="C1469" s="32" t="s">
        <v>814</v>
      </c>
      <c r="D1469" s="120" t="s">
        <v>484</v>
      </c>
      <c r="E1469" s="33" t="s">
        <v>42</v>
      </c>
      <c r="F1469" s="18" t="s">
        <v>64</v>
      </c>
      <c r="G1469" s="18" t="s">
        <v>129</v>
      </c>
      <c r="H1469" s="34" t="s">
        <v>85</v>
      </c>
      <c r="I1469" s="18" t="s">
        <v>104</v>
      </c>
      <c r="J1469" s="31" t="s">
        <v>105</v>
      </c>
      <c r="K1469" s="31"/>
      <c r="N1469" s="13" t="s">
        <v>29</v>
      </c>
      <c r="O1469" s="24" t="str">
        <f>IF(D1469="","",IF(COUNTIF(离职清单!C:C,D1469)&gt;0,"已离职","在职"))</f>
        <v>在职</v>
      </c>
      <c r="P1469" s="24" t="str">
        <f>IF(AND(O1469="在职",J1469="是"),COUNTIF(O$2:O1469,"在职"),"")</f>
        <v/>
      </c>
    </row>
    <row r="1470" ht="18" spans="1:16">
      <c r="A1470" s="10">
        <f t="shared" si="28"/>
        <v>1469</v>
      </c>
      <c r="B1470" s="31">
        <v>46181</v>
      </c>
      <c r="C1470" s="32" t="s">
        <v>1602</v>
      </c>
      <c r="D1470" s="120" t="s">
        <v>486</v>
      </c>
      <c r="E1470" s="33" t="s">
        <v>42</v>
      </c>
      <c r="F1470" s="18" t="s">
        <v>64</v>
      </c>
      <c r="G1470" s="18" t="s">
        <v>312</v>
      </c>
      <c r="H1470" s="34" t="s">
        <v>85</v>
      </c>
      <c r="I1470" s="18" t="s">
        <v>104</v>
      </c>
      <c r="J1470" s="31" t="s">
        <v>105</v>
      </c>
      <c r="K1470" s="31"/>
      <c r="N1470" s="13" t="s">
        <v>29</v>
      </c>
      <c r="O1470" s="24" t="str">
        <f>IF(D1470="","",IF(COUNTIF(离职清单!C:C,D1470)&gt;0,"已离职","在职"))</f>
        <v>在职</v>
      </c>
      <c r="P1470" s="24" t="str">
        <f>IF(AND(O1470="在职",J1470="是"),COUNTIF(O$2:O1470,"在职"),"")</f>
        <v/>
      </c>
    </row>
    <row r="1471" ht="18" spans="1:16">
      <c r="A1471" s="14">
        <f t="shared" si="28"/>
        <v>1470</v>
      </c>
      <c r="B1471" s="31">
        <v>46181</v>
      </c>
      <c r="C1471" s="32" t="s">
        <v>1603</v>
      </c>
      <c r="D1471" s="120" t="s">
        <v>488</v>
      </c>
      <c r="E1471" s="33" t="s">
        <v>42</v>
      </c>
      <c r="F1471" s="18" t="s">
        <v>62</v>
      </c>
      <c r="G1471" s="18" t="s">
        <v>173</v>
      </c>
      <c r="H1471" s="34" t="s">
        <v>85</v>
      </c>
      <c r="I1471" s="18" t="s">
        <v>104</v>
      </c>
      <c r="J1471" s="31" t="s">
        <v>114</v>
      </c>
      <c r="K1471" s="31">
        <v>46182</v>
      </c>
      <c r="N1471" s="13" t="s">
        <v>29</v>
      </c>
      <c r="O1471" s="24" t="str">
        <f>IF(D1471="","",IF(COUNTIF(离职清单!C:C,D1471)&gt;0,"已离职","在职"))</f>
        <v>在职</v>
      </c>
      <c r="P1471" s="24">
        <f>IF(AND(O1471="在职",J1471="是"),COUNTIF(O$2:O1471,"在职"),"")</f>
        <v>1464</v>
      </c>
    </row>
    <row r="1472" ht="18" spans="1:16">
      <c r="A1472" s="10">
        <f t="shared" si="28"/>
        <v>1471</v>
      </c>
      <c r="B1472" s="31">
        <v>46181</v>
      </c>
      <c r="C1472" s="32" t="s">
        <v>1604</v>
      </c>
      <c r="D1472" s="120" t="s">
        <v>490</v>
      </c>
      <c r="E1472" s="33" t="s">
        <v>42</v>
      </c>
      <c r="F1472" s="18" t="s">
        <v>64</v>
      </c>
      <c r="G1472" s="18" t="s">
        <v>173</v>
      </c>
      <c r="H1472" s="34" t="s">
        <v>85</v>
      </c>
      <c r="I1472" s="18" t="s">
        <v>104</v>
      </c>
      <c r="J1472" s="31" t="s">
        <v>105</v>
      </c>
      <c r="K1472" s="31"/>
      <c r="N1472" s="13" t="s">
        <v>29</v>
      </c>
      <c r="O1472" s="24" t="str">
        <f>IF(D1472="","",IF(COUNTIF(离职清单!C:C,D1472)&gt;0,"已离职","在职"))</f>
        <v>在职</v>
      </c>
      <c r="P1472" s="24" t="str">
        <f>IF(AND(O1472="在职",J1472="是"),COUNTIF(O$2:O1472,"在职"),"")</f>
        <v/>
      </c>
    </row>
    <row r="1473" ht="18" spans="1:16">
      <c r="A1473" s="14">
        <f t="shared" si="28"/>
        <v>1472</v>
      </c>
      <c r="B1473" s="31">
        <v>46181</v>
      </c>
      <c r="C1473" s="32" t="s">
        <v>1605</v>
      </c>
      <c r="D1473" s="120" t="s">
        <v>492</v>
      </c>
      <c r="E1473" s="33" t="s">
        <v>42</v>
      </c>
      <c r="F1473" s="18" t="s">
        <v>64</v>
      </c>
      <c r="G1473" s="18" t="s">
        <v>512</v>
      </c>
      <c r="H1473" s="34" t="s">
        <v>85</v>
      </c>
      <c r="I1473" s="18" t="s">
        <v>104</v>
      </c>
      <c r="J1473" s="31" t="s">
        <v>105</v>
      </c>
      <c r="K1473" s="31"/>
      <c r="N1473" s="13" t="s">
        <v>29</v>
      </c>
      <c r="O1473" s="24" t="str">
        <f>IF(D1473="","",IF(COUNTIF(离职清单!C:C,D1473)&gt;0,"已离职","在职"))</f>
        <v>在职</v>
      </c>
      <c r="P1473" s="24" t="str">
        <f>IF(AND(O1473="在职",J1473="是"),COUNTIF(O$2:O1473,"在职"),"")</f>
        <v/>
      </c>
    </row>
    <row r="1474" ht="18" spans="1:16">
      <c r="A1474" s="10">
        <f t="shared" si="28"/>
        <v>1473</v>
      </c>
      <c r="B1474" s="31">
        <v>46181</v>
      </c>
      <c r="C1474" s="32" t="s">
        <v>938</v>
      </c>
      <c r="D1474" s="120" t="s">
        <v>477</v>
      </c>
      <c r="E1474" s="33" t="s">
        <v>42</v>
      </c>
      <c r="F1474" s="18" t="s">
        <v>64</v>
      </c>
      <c r="G1474" s="18" t="s">
        <v>512</v>
      </c>
      <c r="H1474" s="34" t="s">
        <v>85</v>
      </c>
      <c r="I1474" s="18" t="s">
        <v>104</v>
      </c>
      <c r="J1474" s="31" t="s">
        <v>114</v>
      </c>
      <c r="K1474" s="31"/>
      <c r="N1474" s="13" t="s">
        <v>29</v>
      </c>
      <c r="O1474" s="24" t="str">
        <f>IF(D1474="","",IF(COUNTIF(离职清单!C:C,D1474)&gt;0,"已离职","在职"))</f>
        <v>在职</v>
      </c>
      <c r="P1474" s="24">
        <f>IF(AND(O1474="在职",J1474="是"),COUNTIF(O$2:O1474,"在职"),"")</f>
        <v>1467</v>
      </c>
    </row>
    <row r="1475" ht="18" spans="1:16">
      <c r="A1475" s="14">
        <f t="shared" si="28"/>
        <v>1474</v>
      </c>
      <c r="B1475" s="31">
        <v>46181</v>
      </c>
      <c r="C1475" s="32" t="s">
        <v>947</v>
      </c>
      <c r="D1475" s="120" t="s">
        <v>478</v>
      </c>
      <c r="E1475" s="33" t="s">
        <v>43</v>
      </c>
      <c r="F1475" s="18" t="s">
        <v>63</v>
      </c>
      <c r="G1475" s="18" t="s">
        <v>110</v>
      </c>
      <c r="H1475" s="34" t="s">
        <v>85</v>
      </c>
      <c r="I1475" s="18" t="s">
        <v>104</v>
      </c>
      <c r="J1475" s="31" t="s">
        <v>114</v>
      </c>
      <c r="K1475" s="31"/>
      <c r="N1475" s="13" t="s">
        <v>29</v>
      </c>
      <c r="O1475" s="24" t="str">
        <f>IF(D1475="","",IF(COUNTIF(离职清单!C:C,D1475)&gt;0,"已离职","在职"))</f>
        <v>在职</v>
      </c>
      <c r="P1475" s="24">
        <f>IF(AND(O1475="在职",J1475="是"),COUNTIF(O$2:O1475,"在职"),"")</f>
        <v>1468</v>
      </c>
    </row>
    <row r="1476" ht="18" spans="1:16">
      <c r="A1476" s="10">
        <f t="shared" si="28"/>
        <v>1475</v>
      </c>
      <c r="B1476" s="31">
        <v>46181</v>
      </c>
      <c r="C1476" s="32" t="s">
        <v>1606</v>
      </c>
      <c r="D1476" s="120" t="s">
        <v>480</v>
      </c>
      <c r="E1476" s="33" t="s">
        <v>43</v>
      </c>
      <c r="F1476" s="18" t="s">
        <v>62</v>
      </c>
      <c r="G1476" s="18" t="s">
        <v>509</v>
      </c>
      <c r="H1476" s="34" t="s">
        <v>85</v>
      </c>
      <c r="I1476" s="18" t="s">
        <v>104</v>
      </c>
      <c r="J1476" s="31" t="s">
        <v>105</v>
      </c>
      <c r="K1476" s="31">
        <v>46183</v>
      </c>
      <c r="N1476" s="13" t="s">
        <v>29</v>
      </c>
      <c r="O1476" s="24" t="str">
        <f>IF(D1476="","",IF(COUNTIF(离职清单!C:C,D1476)&gt;0,"已离职","在职"))</f>
        <v>在职</v>
      </c>
      <c r="P1476" s="24" t="str">
        <f>IF(AND(O1476="在职",J1476="是"),COUNTIF(O$2:O1476,"在职"),"")</f>
        <v/>
      </c>
    </row>
    <row r="1477" ht="18" spans="1:16">
      <c r="A1477" s="14">
        <f t="shared" si="28"/>
        <v>1476</v>
      </c>
      <c r="B1477" s="31">
        <v>46181</v>
      </c>
      <c r="C1477" s="32" t="s">
        <v>1607</v>
      </c>
      <c r="D1477" s="120" t="s">
        <v>482</v>
      </c>
      <c r="E1477" s="33" t="s">
        <v>43</v>
      </c>
      <c r="F1477" s="18" t="s">
        <v>64</v>
      </c>
      <c r="G1477" s="18" t="s">
        <v>103</v>
      </c>
      <c r="H1477" s="34" t="s">
        <v>85</v>
      </c>
      <c r="I1477" s="18" t="s">
        <v>104</v>
      </c>
      <c r="J1477" s="31" t="s">
        <v>105</v>
      </c>
      <c r="K1477" s="31"/>
      <c r="N1477" s="13" t="s">
        <v>29</v>
      </c>
      <c r="O1477" s="24" t="str">
        <f>IF(D1477="","",IF(COUNTIF(离职清单!C:C,D1477)&gt;0,"已离职","在职"))</f>
        <v>在职</v>
      </c>
      <c r="P1477" s="24" t="str">
        <f>IF(AND(O1477="在职",J1477="是"),COUNTIF(O$2:O1477,"在职"),"")</f>
        <v/>
      </c>
    </row>
    <row r="1478" ht="18" spans="1:16">
      <c r="A1478" s="10">
        <f t="shared" si="28"/>
        <v>1477</v>
      </c>
      <c r="B1478" s="31">
        <v>46181</v>
      </c>
      <c r="C1478" s="32" t="s">
        <v>1608</v>
      </c>
      <c r="D1478" s="120" t="s">
        <v>484</v>
      </c>
      <c r="E1478" s="33" t="s">
        <v>43</v>
      </c>
      <c r="F1478" s="18" t="s">
        <v>63</v>
      </c>
      <c r="G1478" s="18" t="s">
        <v>103</v>
      </c>
      <c r="H1478" s="34" t="s">
        <v>85</v>
      </c>
      <c r="I1478" s="18" t="s">
        <v>104</v>
      </c>
      <c r="J1478" s="31" t="s">
        <v>114</v>
      </c>
      <c r="K1478" s="31">
        <v>46182</v>
      </c>
      <c r="N1478" s="13" t="s">
        <v>29</v>
      </c>
      <c r="O1478" s="24" t="str">
        <f>IF(D1478="","",IF(COUNTIF(离职清单!C:C,D1478)&gt;0,"已离职","在职"))</f>
        <v>在职</v>
      </c>
      <c r="P1478" s="24">
        <f>IF(AND(O1478="在职",J1478="是"),COUNTIF(O$2:O1478,"在职"),"")</f>
        <v>1471</v>
      </c>
    </row>
    <row r="1479" ht="18" spans="1:16">
      <c r="A1479" s="14">
        <f t="shared" si="28"/>
        <v>1478</v>
      </c>
      <c r="B1479" s="31">
        <v>46181</v>
      </c>
      <c r="C1479" s="32" t="s">
        <v>1609</v>
      </c>
      <c r="D1479" s="120" t="s">
        <v>486</v>
      </c>
      <c r="E1479" s="33" t="s">
        <v>43</v>
      </c>
      <c r="F1479" s="18" t="s">
        <v>63</v>
      </c>
      <c r="G1479" s="18" t="s">
        <v>1426</v>
      </c>
      <c r="H1479" s="34" t="s">
        <v>85</v>
      </c>
      <c r="I1479" s="18" t="s">
        <v>104</v>
      </c>
      <c r="J1479" s="31" t="s">
        <v>114</v>
      </c>
      <c r="K1479" s="31">
        <v>46184</v>
      </c>
      <c r="N1479" s="13" t="s">
        <v>29</v>
      </c>
      <c r="O1479" s="24" t="str">
        <f>IF(D1479="","",IF(COUNTIF(离职清单!C:C,D1479)&gt;0,"已离职","在职"))</f>
        <v>在职</v>
      </c>
      <c r="P1479" s="24">
        <f>IF(AND(O1479="在职",J1479="是"),COUNTIF(O$2:O1479,"在职"),"")</f>
        <v>1472</v>
      </c>
    </row>
    <row r="1480" ht="18" spans="1:16">
      <c r="A1480" s="10">
        <f t="shared" si="28"/>
        <v>1479</v>
      </c>
      <c r="B1480" s="31">
        <v>46181</v>
      </c>
      <c r="C1480" s="32" t="s">
        <v>1610</v>
      </c>
      <c r="D1480" s="120" t="s">
        <v>488</v>
      </c>
      <c r="E1480" s="33" t="s">
        <v>43</v>
      </c>
      <c r="F1480" s="18" t="s">
        <v>63</v>
      </c>
      <c r="G1480" s="18" t="s">
        <v>148</v>
      </c>
      <c r="H1480" s="34" t="s">
        <v>85</v>
      </c>
      <c r="I1480" s="18" t="s">
        <v>104</v>
      </c>
      <c r="J1480" s="31" t="s">
        <v>114</v>
      </c>
      <c r="K1480" s="31">
        <v>46185</v>
      </c>
      <c r="N1480" s="13" t="s">
        <v>29</v>
      </c>
      <c r="O1480" s="24" t="str">
        <f>IF(D1480="","",IF(COUNTIF(离职清单!C:C,D1480)&gt;0,"已离职","在职"))</f>
        <v>在职</v>
      </c>
      <c r="P1480" s="24">
        <f>IF(AND(O1480="在职",J1480="是"),COUNTIF(O$2:O1480,"在职"),"")</f>
        <v>1473</v>
      </c>
    </row>
    <row r="1481" ht="18" spans="1:16">
      <c r="A1481" s="14">
        <f t="shared" si="28"/>
        <v>1480</v>
      </c>
      <c r="B1481" s="31">
        <v>46181</v>
      </c>
      <c r="C1481" s="32" t="s">
        <v>1611</v>
      </c>
      <c r="D1481" s="120" t="s">
        <v>490</v>
      </c>
      <c r="E1481" s="33" t="s">
        <v>43</v>
      </c>
      <c r="F1481" s="18" t="s">
        <v>63</v>
      </c>
      <c r="G1481" s="18" t="s">
        <v>148</v>
      </c>
      <c r="H1481" s="34" t="s">
        <v>85</v>
      </c>
      <c r="I1481" s="18" t="s">
        <v>104</v>
      </c>
      <c r="J1481" s="31" t="s">
        <v>114</v>
      </c>
      <c r="K1481" s="31">
        <v>46185</v>
      </c>
      <c r="N1481" s="13" t="s">
        <v>29</v>
      </c>
      <c r="O1481" s="24" t="str">
        <f>IF(D1481="","",IF(COUNTIF(离职清单!C:C,D1481)&gt;0,"已离职","在职"))</f>
        <v>在职</v>
      </c>
      <c r="P1481" s="24">
        <f>IF(AND(O1481="在职",J1481="是"),COUNTIF(O$2:O1481,"在职"),"")</f>
        <v>1474</v>
      </c>
    </row>
    <row r="1482" ht="18" spans="1:16">
      <c r="A1482" s="10">
        <f t="shared" si="28"/>
        <v>1481</v>
      </c>
      <c r="B1482" s="31">
        <v>46181</v>
      </c>
      <c r="C1482" s="32" t="s">
        <v>1612</v>
      </c>
      <c r="D1482" s="120" t="s">
        <v>492</v>
      </c>
      <c r="E1482" s="33" t="s">
        <v>43</v>
      </c>
      <c r="F1482" s="18" t="s">
        <v>63</v>
      </c>
      <c r="G1482" s="18" t="s">
        <v>148</v>
      </c>
      <c r="H1482" s="34" t="s">
        <v>85</v>
      </c>
      <c r="I1482" s="18" t="s">
        <v>104</v>
      </c>
      <c r="J1482" s="31" t="s">
        <v>114</v>
      </c>
      <c r="K1482" s="31">
        <v>46182</v>
      </c>
      <c r="N1482" s="13" t="s">
        <v>29</v>
      </c>
      <c r="O1482" s="24" t="str">
        <f>IF(D1482="","",IF(COUNTIF(离职清单!C:C,D1482)&gt;0,"已离职","在职"))</f>
        <v>在职</v>
      </c>
      <c r="P1482" s="24">
        <f>IF(AND(O1482="在职",J1482="是"),COUNTIF(O$2:O1482,"在职"),"")</f>
        <v>1475</v>
      </c>
    </row>
    <row r="1483" ht="18" spans="1:16">
      <c r="A1483" s="14">
        <f t="shared" si="28"/>
        <v>1482</v>
      </c>
      <c r="B1483" s="31">
        <v>46181</v>
      </c>
      <c r="C1483" s="32" t="s">
        <v>1613</v>
      </c>
      <c r="D1483" s="120" t="s">
        <v>477</v>
      </c>
      <c r="E1483" s="33" t="s">
        <v>43</v>
      </c>
      <c r="F1483" s="18" t="s">
        <v>63</v>
      </c>
      <c r="G1483" s="18" t="s">
        <v>148</v>
      </c>
      <c r="H1483" s="34" t="s">
        <v>85</v>
      </c>
      <c r="I1483" s="18" t="s">
        <v>104</v>
      </c>
      <c r="J1483" s="31" t="s">
        <v>114</v>
      </c>
      <c r="K1483" s="31">
        <v>46182</v>
      </c>
      <c r="N1483" s="13" t="s">
        <v>29</v>
      </c>
      <c r="O1483" s="24" t="str">
        <f>IF(D1483="","",IF(COUNTIF(离职清单!C:C,D1483)&gt;0,"已离职","在职"))</f>
        <v>在职</v>
      </c>
      <c r="P1483" s="24">
        <f>IF(AND(O1483="在职",J1483="是"),COUNTIF(O$2:O1483,"在职"),"")</f>
        <v>1476</v>
      </c>
    </row>
    <row r="1484" ht="18" spans="1:16">
      <c r="A1484" s="10">
        <f t="shared" si="28"/>
        <v>1483</v>
      </c>
      <c r="B1484" s="31">
        <v>46181</v>
      </c>
      <c r="C1484" s="32" t="s">
        <v>1614</v>
      </c>
      <c r="D1484" s="120" t="s">
        <v>478</v>
      </c>
      <c r="E1484" s="33" t="s">
        <v>43</v>
      </c>
      <c r="F1484" s="18" t="s">
        <v>63</v>
      </c>
      <c r="G1484" s="18" t="s">
        <v>148</v>
      </c>
      <c r="H1484" s="34" t="s">
        <v>85</v>
      </c>
      <c r="I1484" s="18" t="s">
        <v>104</v>
      </c>
      <c r="J1484" s="31" t="s">
        <v>114</v>
      </c>
      <c r="K1484" s="31">
        <v>46182</v>
      </c>
      <c r="N1484" s="13" t="s">
        <v>29</v>
      </c>
      <c r="O1484" s="24" t="str">
        <f>IF(D1484="","",IF(COUNTIF(离职清单!C:C,D1484)&gt;0,"已离职","在职"))</f>
        <v>在职</v>
      </c>
      <c r="P1484" s="24">
        <f>IF(AND(O1484="在职",J1484="是"),COUNTIF(O$2:O1484,"在职"),"")</f>
        <v>1477</v>
      </c>
    </row>
    <row r="1485" ht="18" spans="1:16">
      <c r="A1485" s="14">
        <f t="shared" si="28"/>
        <v>1484</v>
      </c>
      <c r="B1485" s="31">
        <v>46181</v>
      </c>
      <c r="C1485" s="32" t="s">
        <v>1615</v>
      </c>
      <c r="D1485" s="120" t="s">
        <v>480</v>
      </c>
      <c r="E1485" s="33" t="s">
        <v>43</v>
      </c>
      <c r="F1485" s="18" t="s">
        <v>63</v>
      </c>
      <c r="G1485" s="18" t="s">
        <v>148</v>
      </c>
      <c r="H1485" s="34" t="s">
        <v>85</v>
      </c>
      <c r="I1485" s="18" t="s">
        <v>104</v>
      </c>
      <c r="J1485" s="31" t="s">
        <v>114</v>
      </c>
      <c r="K1485" s="31">
        <v>46182</v>
      </c>
      <c r="N1485" s="13" t="s">
        <v>29</v>
      </c>
      <c r="O1485" s="24" t="str">
        <f>IF(D1485="","",IF(COUNTIF(离职清单!C:C,D1485)&gt;0,"已离职","在职"))</f>
        <v>在职</v>
      </c>
      <c r="P1485" s="24">
        <f>IF(AND(O1485="在职",J1485="是"),COUNTIF(O$2:O1485,"在职"),"")</f>
        <v>1478</v>
      </c>
    </row>
    <row r="1486" ht="18" spans="1:16">
      <c r="A1486" s="10">
        <f t="shared" si="28"/>
        <v>1485</v>
      </c>
      <c r="B1486" s="31">
        <v>46181</v>
      </c>
      <c r="C1486" s="32" t="s">
        <v>271</v>
      </c>
      <c r="D1486" s="120" t="s">
        <v>482</v>
      </c>
      <c r="E1486" s="33" t="s">
        <v>43</v>
      </c>
      <c r="F1486" s="18" t="s">
        <v>63</v>
      </c>
      <c r="G1486" s="18" t="s">
        <v>148</v>
      </c>
      <c r="H1486" s="34" t="s">
        <v>85</v>
      </c>
      <c r="I1486" s="18" t="s">
        <v>104</v>
      </c>
      <c r="J1486" s="31" t="s">
        <v>105</v>
      </c>
      <c r="K1486" s="31">
        <v>46184</v>
      </c>
      <c r="N1486" s="13" t="s">
        <v>29</v>
      </c>
      <c r="O1486" s="24" t="str">
        <f>IF(D1486="","",IF(COUNTIF(离职清单!C:C,D1486)&gt;0,"已离职","在职"))</f>
        <v>在职</v>
      </c>
      <c r="P1486" s="24" t="str">
        <f>IF(AND(O1486="在职",J1486="是"),COUNTIF(O$2:O1486,"在职"),"")</f>
        <v/>
      </c>
    </row>
    <row r="1487" ht="18" spans="1:16">
      <c r="A1487" s="14">
        <f t="shared" si="28"/>
        <v>1486</v>
      </c>
      <c r="B1487" s="31">
        <v>46181</v>
      </c>
      <c r="C1487" s="32" t="s">
        <v>1616</v>
      </c>
      <c r="D1487" s="120" t="s">
        <v>484</v>
      </c>
      <c r="E1487" s="33" t="s">
        <v>43</v>
      </c>
      <c r="F1487" s="18" t="s">
        <v>63</v>
      </c>
      <c r="G1487" s="18" t="s">
        <v>233</v>
      </c>
      <c r="H1487" s="34" t="s">
        <v>85</v>
      </c>
      <c r="I1487" s="18" t="s">
        <v>104</v>
      </c>
      <c r="J1487" s="31" t="s">
        <v>114</v>
      </c>
      <c r="K1487" s="31">
        <v>46184</v>
      </c>
      <c r="N1487" s="13" t="s">
        <v>29</v>
      </c>
      <c r="O1487" s="24" t="str">
        <f>IF(D1487="","",IF(COUNTIF(离职清单!C:C,D1487)&gt;0,"已离职","在职"))</f>
        <v>在职</v>
      </c>
      <c r="P1487" s="24">
        <f>IF(AND(O1487="在职",J1487="是"),COUNTIF(O$2:O1487,"在职"),"")</f>
        <v>1480</v>
      </c>
    </row>
    <row r="1488" ht="18" spans="1:16">
      <c r="A1488" s="10">
        <f t="shared" si="28"/>
        <v>1487</v>
      </c>
      <c r="B1488" s="31">
        <v>46181</v>
      </c>
      <c r="C1488" s="32" t="s">
        <v>1617</v>
      </c>
      <c r="D1488" s="120" t="s">
        <v>486</v>
      </c>
      <c r="E1488" s="33" t="s">
        <v>43</v>
      </c>
      <c r="F1488" s="18" t="s">
        <v>62</v>
      </c>
      <c r="G1488" s="18" t="s">
        <v>1562</v>
      </c>
      <c r="H1488" s="34" t="s">
        <v>85</v>
      </c>
      <c r="I1488" s="18" t="s">
        <v>104</v>
      </c>
      <c r="J1488" s="31" t="s">
        <v>105</v>
      </c>
      <c r="K1488" s="31"/>
      <c r="N1488" s="13" t="s">
        <v>29</v>
      </c>
      <c r="O1488" s="24" t="str">
        <f>IF(D1488="","",IF(COUNTIF(离职清单!C:C,D1488)&gt;0,"已离职","在职"))</f>
        <v>在职</v>
      </c>
      <c r="P1488" s="24" t="str">
        <f>IF(AND(O1488="在职",J1488="是"),COUNTIF(O$2:O1488,"在职"),"")</f>
        <v/>
      </c>
    </row>
    <row r="1489" ht="18" spans="1:16">
      <c r="A1489" s="14">
        <f t="shared" si="28"/>
        <v>1488</v>
      </c>
      <c r="B1489" s="31">
        <v>46181</v>
      </c>
      <c r="C1489" s="32" t="s">
        <v>1618</v>
      </c>
      <c r="D1489" s="120" t="s">
        <v>488</v>
      </c>
      <c r="E1489" s="33" t="s">
        <v>43</v>
      </c>
      <c r="F1489" s="18" t="s">
        <v>64</v>
      </c>
      <c r="G1489" s="18" t="s">
        <v>733</v>
      </c>
      <c r="H1489" s="34" t="s">
        <v>85</v>
      </c>
      <c r="I1489" s="18" t="s">
        <v>104</v>
      </c>
      <c r="J1489" s="31" t="s">
        <v>105</v>
      </c>
      <c r="K1489" s="31"/>
      <c r="N1489" s="13" t="s">
        <v>29</v>
      </c>
      <c r="O1489" s="24" t="str">
        <f>IF(D1489="","",IF(COUNTIF(离职清单!C:C,D1489)&gt;0,"已离职","在职"))</f>
        <v>在职</v>
      </c>
      <c r="P1489" s="24" t="str">
        <f>IF(AND(O1489="在职",J1489="是"),COUNTIF(O$2:O1489,"在职"),"")</f>
        <v/>
      </c>
    </row>
    <row r="1490" ht="18" spans="1:16">
      <c r="A1490" s="10">
        <f t="shared" si="28"/>
        <v>1489</v>
      </c>
      <c r="B1490" s="31">
        <v>46181</v>
      </c>
      <c r="C1490" s="32" t="s">
        <v>1619</v>
      </c>
      <c r="D1490" s="120" t="s">
        <v>490</v>
      </c>
      <c r="E1490" s="33" t="s">
        <v>43</v>
      </c>
      <c r="F1490" s="18" t="s">
        <v>62</v>
      </c>
      <c r="G1490" s="18" t="s">
        <v>148</v>
      </c>
      <c r="H1490" s="34" t="s">
        <v>85</v>
      </c>
      <c r="I1490" s="18" t="s">
        <v>104</v>
      </c>
      <c r="J1490" s="31" t="s">
        <v>105</v>
      </c>
      <c r="K1490" s="31"/>
      <c r="N1490" s="13" t="s">
        <v>29</v>
      </c>
      <c r="O1490" s="24" t="str">
        <f>IF(D1490="","",IF(COUNTIF(离职清单!C:C,D1490)&gt;0,"已离职","在职"))</f>
        <v>在职</v>
      </c>
      <c r="P1490" s="24" t="str">
        <f>IF(AND(O1490="在职",J1490="是"),COUNTIF(O$2:O1490,"在职"),"")</f>
        <v/>
      </c>
    </row>
    <row r="1491" ht="18" spans="1:16">
      <c r="A1491" s="14">
        <f t="shared" si="28"/>
        <v>1490</v>
      </c>
      <c r="B1491" s="31">
        <v>46181</v>
      </c>
      <c r="C1491" s="32" t="s">
        <v>1620</v>
      </c>
      <c r="D1491" s="120" t="s">
        <v>492</v>
      </c>
      <c r="E1491" s="33" t="s">
        <v>43</v>
      </c>
      <c r="F1491" s="18" t="s">
        <v>62</v>
      </c>
      <c r="G1491" s="18" t="s">
        <v>148</v>
      </c>
      <c r="H1491" s="34" t="s">
        <v>85</v>
      </c>
      <c r="I1491" s="18" t="s">
        <v>104</v>
      </c>
      <c r="J1491" s="31" t="s">
        <v>105</v>
      </c>
      <c r="K1491" s="31"/>
      <c r="N1491" s="13" t="s">
        <v>29</v>
      </c>
      <c r="O1491" s="24" t="str">
        <f>IF(D1491="","",IF(COUNTIF(离职清单!C:C,D1491)&gt;0,"已离职","在职"))</f>
        <v>在职</v>
      </c>
      <c r="P1491" s="24" t="str">
        <f>IF(AND(O1491="在职",J1491="是"),COUNTIF(O$2:O1491,"在职"),"")</f>
        <v/>
      </c>
    </row>
    <row r="1492" ht="18" spans="1:16">
      <c r="A1492" s="10">
        <f t="shared" si="28"/>
        <v>1491</v>
      </c>
      <c r="B1492" s="31">
        <v>46181</v>
      </c>
      <c r="C1492" s="32" t="s">
        <v>1621</v>
      </c>
      <c r="D1492" s="120" t="s">
        <v>477</v>
      </c>
      <c r="E1492" s="33" t="s">
        <v>43</v>
      </c>
      <c r="F1492" s="18" t="s">
        <v>63</v>
      </c>
      <c r="G1492" s="18" t="s">
        <v>129</v>
      </c>
      <c r="H1492" s="34" t="s">
        <v>85</v>
      </c>
      <c r="I1492" s="18" t="s">
        <v>104</v>
      </c>
      <c r="J1492" s="31" t="s">
        <v>114</v>
      </c>
      <c r="K1492" s="31">
        <v>46182</v>
      </c>
      <c r="N1492" s="13" t="s">
        <v>29</v>
      </c>
      <c r="O1492" s="24" t="str">
        <f>IF(D1492="","",IF(COUNTIF(离职清单!C:C,D1492)&gt;0,"已离职","在职"))</f>
        <v>在职</v>
      </c>
      <c r="P1492" s="24">
        <f>IF(AND(O1492="在职",J1492="是"),COUNTIF(O$2:O1492,"在职"),"")</f>
        <v>1485</v>
      </c>
    </row>
    <row r="1493" ht="18" spans="1:16">
      <c r="A1493" s="14">
        <f t="shared" si="28"/>
        <v>1492</v>
      </c>
      <c r="B1493" s="31">
        <v>46181</v>
      </c>
      <c r="C1493" s="32" t="s">
        <v>1622</v>
      </c>
      <c r="D1493" s="120" t="s">
        <v>478</v>
      </c>
      <c r="E1493" s="33" t="s">
        <v>43</v>
      </c>
      <c r="F1493" s="18" t="s">
        <v>63</v>
      </c>
      <c r="G1493" s="18" t="s">
        <v>173</v>
      </c>
      <c r="H1493" s="34" t="s">
        <v>85</v>
      </c>
      <c r="I1493" s="18" t="s">
        <v>104</v>
      </c>
      <c r="J1493" s="31" t="s">
        <v>105</v>
      </c>
      <c r="K1493" s="31"/>
      <c r="N1493" s="13" t="s">
        <v>29</v>
      </c>
      <c r="O1493" s="24" t="str">
        <f>IF(D1493="","",IF(COUNTIF(离职清单!C:C,D1493)&gt;0,"已离职","在职"))</f>
        <v>在职</v>
      </c>
      <c r="P1493" s="24" t="str">
        <f>IF(AND(O1493="在职",J1493="是"),COUNTIF(O$2:O1493,"在职"),"")</f>
        <v/>
      </c>
    </row>
    <row r="1494" ht="18" spans="1:16">
      <c r="A1494" s="10">
        <f t="shared" si="28"/>
        <v>1493</v>
      </c>
      <c r="B1494" s="31">
        <v>46181</v>
      </c>
      <c r="C1494" s="32" t="s">
        <v>1623</v>
      </c>
      <c r="D1494" s="120" t="s">
        <v>480</v>
      </c>
      <c r="E1494" s="33" t="s">
        <v>43</v>
      </c>
      <c r="F1494" s="18" t="s">
        <v>62</v>
      </c>
      <c r="G1494" s="18" t="s">
        <v>173</v>
      </c>
      <c r="H1494" s="34" t="s">
        <v>85</v>
      </c>
      <c r="I1494" s="18" t="s">
        <v>104</v>
      </c>
      <c r="J1494" s="31" t="s">
        <v>114</v>
      </c>
      <c r="K1494" s="31">
        <v>46182</v>
      </c>
      <c r="N1494" s="13" t="s">
        <v>29</v>
      </c>
      <c r="O1494" s="24" t="str">
        <f>IF(D1494="","",IF(COUNTIF(离职清单!C:C,D1494)&gt;0,"已离职","在职"))</f>
        <v>在职</v>
      </c>
      <c r="P1494" s="24">
        <f>IF(AND(O1494="在职",J1494="是"),COUNTIF(O$2:O1494,"在职"),"")</f>
        <v>1487</v>
      </c>
    </row>
    <row r="1495" ht="18" spans="1:16">
      <c r="A1495" s="14">
        <f t="shared" si="28"/>
        <v>1494</v>
      </c>
      <c r="B1495" s="31">
        <v>46181</v>
      </c>
      <c r="C1495" s="32" t="s">
        <v>1624</v>
      </c>
      <c r="D1495" s="120" t="s">
        <v>482</v>
      </c>
      <c r="E1495" s="33" t="s">
        <v>43</v>
      </c>
      <c r="F1495" s="18" t="s">
        <v>64</v>
      </c>
      <c r="G1495" s="18" t="s">
        <v>173</v>
      </c>
      <c r="H1495" s="34" t="s">
        <v>85</v>
      </c>
      <c r="I1495" s="18" t="s">
        <v>104</v>
      </c>
      <c r="J1495" s="31" t="s">
        <v>105</v>
      </c>
      <c r="K1495" s="31"/>
      <c r="N1495" s="13" t="s">
        <v>29</v>
      </c>
      <c r="O1495" s="24" t="str">
        <f>IF(D1495="","",IF(COUNTIF(离职清单!C:C,D1495)&gt;0,"已离职","在职"))</f>
        <v>在职</v>
      </c>
      <c r="P1495" s="24" t="str">
        <f>IF(AND(O1495="在职",J1495="是"),COUNTIF(O$2:O1495,"在职"),"")</f>
        <v/>
      </c>
    </row>
    <row r="1496" ht="18" spans="1:16">
      <c r="A1496" s="10">
        <f t="shared" si="28"/>
        <v>1495</v>
      </c>
      <c r="B1496" s="31" t="s">
        <v>1625</v>
      </c>
      <c r="C1496" s="32" t="s">
        <v>1626</v>
      </c>
      <c r="D1496" s="120" t="s">
        <v>484</v>
      </c>
      <c r="E1496" s="33" t="s">
        <v>43</v>
      </c>
      <c r="F1496" s="18" t="s">
        <v>62</v>
      </c>
      <c r="G1496" s="18" t="s">
        <v>129</v>
      </c>
      <c r="H1496" s="34" t="s">
        <v>85</v>
      </c>
      <c r="I1496" s="18" t="s">
        <v>104</v>
      </c>
      <c r="J1496" s="31" t="s">
        <v>105</v>
      </c>
      <c r="K1496" s="31">
        <v>46181</v>
      </c>
      <c r="N1496" s="13" t="s">
        <v>29</v>
      </c>
      <c r="O1496" s="24" t="str">
        <f>IF(D1496="","",IF(COUNTIF(离职清单!C:C,D1496)&gt;0,"已离职","在职"))</f>
        <v>在职</v>
      </c>
      <c r="P1496" s="24" t="str">
        <f>IF(AND(O1496="在职",J1496="是"),COUNTIF(O$2:O1496,"在职"),"")</f>
        <v/>
      </c>
    </row>
    <row r="1497" ht="18" spans="1:16">
      <c r="A1497" s="14">
        <f t="shared" si="28"/>
        <v>1496</v>
      </c>
      <c r="B1497" s="31" t="s">
        <v>1625</v>
      </c>
      <c r="C1497" s="32" t="s">
        <v>1627</v>
      </c>
      <c r="D1497" s="120" t="s">
        <v>486</v>
      </c>
      <c r="E1497" s="33" t="s">
        <v>43</v>
      </c>
      <c r="F1497" s="18" t="s">
        <v>62</v>
      </c>
      <c r="G1497" s="18" t="s">
        <v>129</v>
      </c>
      <c r="H1497" s="34" t="s">
        <v>85</v>
      </c>
      <c r="I1497" s="18" t="s">
        <v>104</v>
      </c>
      <c r="J1497" s="31" t="s">
        <v>105</v>
      </c>
      <c r="K1497" s="31">
        <v>46181</v>
      </c>
      <c r="N1497" s="13" t="s">
        <v>29</v>
      </c>
      <c r="O1497" s="24" t="str">
        <f>IF(D1497="","",IF(COUNTIF(离职清单!C:C,D1497)&gt;0,"已离职","在职"))</f>
        <v>在职</v>
      </c>
      <c r="P1497" s="24" t="str">
        <f>IF(AND(O1497="在职",J1497="是"),COUNTIF(O$2:O1497,"在职"),"")</f>
        <v/>
      </c>
    </row>
    <row r="1498" ht="18" spans="1:16">
      <c r="A1498" s="10">
        <f t="shared" si="28"/>
        <v>1497</v>
      </c>
      <c r="B1498" s="31">
        <v>46182</v>
      </c>
      <c r="C1498" s="32" t="s">
        <v>1628</v>
      </c>
      <c r="D1498" s="120" t="s">
        <v>488</v>
      </c>
      <c r="E1498" s="33" t="s">
        <v>43</v>
      </c>
      <c r="F1498" s="18" t="s">
        <v>62</v>
      </c>
      <c r="G1498" s="18" t="s">
        <v>129</v>
      </c>
      <c r="H1498" s="34" t="s">
        <v>85</v>
      </c>
      <c r="I1498" s="18" t="s">
        <v>104</v>
      </c>
      <c r="J1498" s="31" t="s">
        <v>114</v>
      </c>
      <c r="K1498" s="31">
        <v>46182</v>
      </c>
      <c r="N1498" s="13" t="s">
        <v>29</v>
      </c>
      <c r="O1498" s="24" t="str">
        <f>IF(D1498="","",IF(COUNTIF(离职清单!C:C,D1498)&gt;0,"已离职","在职"))</f>
        <v>在职</v>
      </c>
      <c r="P1498" s="24">
        <f>IF(AND(O1498="在职",J1498="是"),COUNTIF(O$2:O1498,"在职"),"")</f>
        <v>1491</v>
      </c>
    </row>
    <row r="1499" ht="18" spans="1:16">
      <c r="A1499" s="14">
        <f t="shared" si="28"/>
        <v>1498</v>
      </c>
      <c r="B1499" s="31">
        <v>46182</v>
      </c>
      <c r="C1499" s="32" t="s">
        <v>1629</v>
      </c>
      <c r="D1499" s="120" t="s">
        <v>490</v>
      </c>
      <c r="E1499" s="33" t="s">
        <v>43</v>
      </c>
      <c r="F1499" s="18" t="s">
        <v>62</v>
      </c>
      <c r="G1499" s="18" t="s">
        <v>129</v>
      </c>
      <c r="H1499" s="34" t="s">
        <v>85</v>
      </c>
      <c r="I1499" s="18" t="s">
        <v>104</v>
      </c>
      <c r="J1499" s="31" t="s">
        <v>114</v>
      </c>
      <c r="K1499" s="31">
        <v>46182</v>
      </c>
      <c r="N1499" s="13" t="s">
        <v>29</v>
      </c>
      <c r="O1499" s="24" t="str">
        <f>IF(D1499="","",IF(COUNTIF(离职清单!C:C,D1499)&gt;0,"已离职","在职"))</f>
        <v>在职</v>
      </c>
      <c r="P1499" s="24">
        <f>IF(AND(O1499="在职",J1499="是"),COUNTIF(O$2:O1499,"在职"),"")</f>
        <v>1492</v>
      </c>
    </row>
    <row r="1500" ht="18" spans="1:16">
      <c r="A1500" s="10">
        <f t="shared" si="28"/>
        <v>1499</v>
      </c>
      <c r="B1500" s="31">
        <v>46182</v>
      </c>
      <c r="C1500" s="32" t="s">
        <v>1630</v>
      </c>
      <c r="D1500" s="120" t="s">
        <v>492</v>
      </c>
      <c r="E1500" s="33" t="s">
        <v>43</v>
      </c>
      <c r="F1500" s="18" t="s">
        <v>63</v>
      </c>
      <c r="G1500" s="18" t="s">
        <v>129</v>
      </c>
      <c r="H1500" s="34" t="s">
        <v>85</v>
      </c>
      <c r="I1500" s="18" t="s">
        <v>104</v>
      </c>
      <c r="J1500" s="31" t="s">
        <v>114</v>
      </c>
      <c r="K1500" s="31">
        <v>46182</v>
      </c>
      <c r="N1500" s="13" t="s">
        <v>29</v>
      </c>
      <c r="O1500" s="24" t="str">
        <f>IF(D1500="","",IF(COUNTIF(离职清单!C:C,D1500)&gt;0,"已离职","在职"))</f>
        <v>在职</v>
      </c>
      <c r="P1500" s="24">
        <f>IF(AND(O1500="在职",J1500="是"),COUNTIF(O$2:O1500,"在职"),"")</f>
        <v>1493</v>
      </c>
    </row>
    <row r="1501" ht="18" spans="1:16">
      <c r="A1501" s="14">
        <f t="shared" si="28"/>
        <v>1500</v>
      </c>
      <c r="B1501" s="31">
        <v>46182</v>
      </c>
      <c r="C1501" s="32" t="s">
        <v>1631</v>
      </c>
      <c r="D1501" s="120" t="s">
        <v>477</v>
      </c>
      <c r="E1501" s="33" t="s">
        <v>42</v>
      </c>
      <c r="F1501" s="18" t="s">
        <v>63</v>
      </c>
      <c r="G1501" s="18" t="s">
        <v>129</v>
      </c>
      <c r="H1501" s="34" t="s">
        <v>85</v>
      </c>
      <c r="I1501" s="18" t="s">
        <v>104</v>
      </c>
      <c r="J1501" s="31" t="s">
        <v>114</v>
      </c>
      <c r="K1501" s="31">
        <v>46182</v>
      </c>
      <c r="N1501" s="13" t="s">
        <v>29</v>
      </c>
      <c r="O1501" s="24" t="str">
        <f>IF(D1501="","",IF(COUNTIF(离职清单!C:C,D1501)&gt;0,"已离职","在职"))</f>
        <v>在职</v>
      </c>
      <c r="P1501" s="24">
        <f>IF(AND(O1501="在职",J1501="是"),COUNTIF(O$2:O1501,"在职"),"")</f>
        <v>1494</v>
      </c>
    </row>
    <row r="1502" ht="18" spans="1:16">
      <c r="A1502" s="10">
        <f t="shared" si="28"/>
        <v>1501</v>
      </c>
      <c r="B1502" s="31">
        <v>46182</v>
      </c>
      <c r="C1502" s="32" t="s">
        <v>1632</v>
      </c>
      <c r="D1502" s="120" t="s">
        <v>477</v>
      </c>
      <c r="E1502" s="33" t="s">
        <v>43</v>
      </c>
      <c r="F1502" s="18" t="s">
        <v>62</v>
      </c>
      <c r="G1502" s="18" t="s">
        <v>129</v>
      </c>
      <c r="H1502" s="34" t="s">
        <v>85</v>
      </c>
      <c r="I1502" s="18" t="s">
        <v>104</v>
      </c>
      <c r="J1502" s="31" t="s">
        <v>114</v>
      </c>
      <c r="K1502" s="31">
        <v>46182</v>
      </c>
      <c r="N1502" s="13" t="s">
        <v>29</v>
      </c>
      <c r="O1502" s="24" t="str">
        <f>IF(D1502="","",IF(COUNTIF(离职清单!C:C,D1502)&gt;0,"已离职","在职"))</f>
        <v>在职</v>
      </c>
      <c r="P1502" s="24">
        <f>IF(AND(O1502="在职",J1502="是"),COUNTIF(O$2:O1502,"在职"),"")</f>
        <v>1495</v>
      </c>
    </row>
    <row r="1503" ht="18" spans="1:16">
      <c r="A1503" s="14">
        <f t="shared" si="28"/>
        <v>1502</v>
      </c>
      <c r="B1503" s="31">
        <v>46182</v>
      </c>
      <c r="C1503" s="32" t="s">
        <v>1617</v>
      </c>
      <c r="D1503" s="120" t="s">
        <v>478</v>
      </c>
      <c r="E1503" s="33" t="s">
        <v>43</v>
      </c>
      <c r="F1503" s="18" t="s">
        <v>62</v>
      </c>
      <c r="G1503" s="18" t="s">
        <v>129</v>
      </c>
      <c r="H1503" s="34" t="s">
        <v>85</v>
      </c>
      <c r="I1503" s="18" t="s">
        <v>104</v>
      </c>
      <c r="J1503" s="31" t="s">
        <v>105</v>
      </c>
      <c r="K1503" s="31"/>
      <c r="N1503" s="13" t="s">
        <v>29</v>
      </c>
      <c r="O1503" s="24" t="str">
        <f>IF(D1503="","",IF(COUNTIF(离职清单!C:C,D1503)&gt;0,"已离职","在职"))</f>
        <v>在职</v>
      </c>
      <c r="P1503" s="24" t="str">
        <f>IF(AND(O1503="在职",J1503="是"),COUNTIF(O$2:O1503,"在职"),"")</f>
        <v/>
      </c>
    </row>
    <row r="1504" ht="18" spans="1:16">
      <c r="A1504" s="10">
        <f t="shared" si="28"/>
        <v>1503</v>
      </c>
      <c r="B1504" s="31">
        <v>46182</v>
      </c>
      <c r="C1504" s="32" t="s">
        <v>1633</v>
      </c>
      <c r="D1504" s="120" t="s">
        <v>480</v>
      </c>
      <c r="E1504" s="33" t="s">
        <v>43</v>
      </c>
      <c r="F1504" s="18" t="s">
        <v>63</v>
      </c>
      <c r="G1504" s="18" t="s">
        <v>129</v>
      </c>
      <c r="H1504" s="34" t="s">
        <v>85</v>
      </c>
      <c r="I1504" s="18" t="s">
        <v>104</v>
      </c>
      <c r="J1504" s="31" t="s">
        <v>114</v>
      </c>
      <c r="K1504" s="31">
        <v>46182</v>
      </c>
      <c r="N1504" s="13" t="s">
        <v>29</v>
      </c>
      <c r="O1504" s="24" t="str">
        <f>IF(D1504="","",IF(COUNTIF(离职清单!C:C,D1504)&gt;0,"已离职","在职"))</f>
        <v>在职</v>
      </c>
      <c r="P1504" s="24">
        <f>IF(AND(O1504="在职",J1504="是"),COUNTIF(O$2:O1504,"在职"),"")</f>
        <v>1497</v>
      </c>
    </row>
    <row r="1505" ht="18" spans="1:16">
      <c r="A1505" s="14">
        <f t="shared" si="28"/>
        <v>1504</v>
      </c>
      <c r="B1505" s="31">
        <v>46182</v>
      </c>
      <c r="C1505" s="32" t="s">
        <v>1634</v>
      </c>
      <c r="D1505" s="120" t="s">
        <v>482</v>
      </c>
      <c r="E1505" s="33" t="s">
        <v>42</v>
      </c>
      <c r="F1505" s="18" t="s">
        <v>62</v>
      </c>
      <c r="G1505" s="18" t="s">
        <v>129</v>
      </c>
      <c r="H1505" s="34" t="s">
        <v>85</v>
      </c>
      <c r="I1505" s="18" t="s">
        <v>104</v>
      </c>
      <c r="J1505" s="31" t="s">
        <v>114</v>
      </c>
      <c r="K1505" s="31">
        <v>46182</v>
      </c>
      <c r="N1505" s="13" t="s">
        <v>29</v>
      </c>
      <c r="O1505" s="24" t="str">
        <f>IF(D1505="","",IF(COUNTIF(离职清单!C:C,D1505)&gt;0,"已离职","在职"))</f>
        <v>在职</v>
      </c>
      <c r="P1505" s="24">
        <f>IF(AND(O1505="在职",J1505="是"),COUNTIF(O$2:O1505,"在职"),"")</f>
        <v>1498</v>
      </c>
    </row>
    <row r="1506" ht="18" spans="1:16">
      <c r="A1506" s="10">
        <f t="shared" si="28"/>
        <v>1505</v>
      </c>
      <c r="B1506" s="31">
        <v>46182</v>
      </c>
      <c r="C1506" s="32" t="s">
        <v>240</v>
      </c>
      <c r="D1506" s="120" t="s">
        <v>484</v>
      </c>
      <c r="E1506" s="33" t="s">
        <v>42</v>
      </c>
      <c r="F1506" s="18" t="s">
        <v>63</v>
      </c>
      <c r="G1506" s="18" t="s">
        <v>129</v>
      </c>
      <c r="H1506" s="34" t="s">
        <v>85</v>
      </c>
      <c r="I1506" s="18" t="s">
        <v>104</v>
      </c>
      <c r="J1506" s="31" t="s">
        <v>114</v>
      </c>
      <c r="K1506" s="31">
        <v>46182</v>
      </c>
      <c r="N1506" s="13" t="s">
        <v>29</v>
      </c>
      <c r="O1506" s="24" t="str">
        <f>IF(D1506="","",IF(COUNTIF(离职清单!C:C,D1506)&gt;0,"已离职","在职"))</f>
        <v>在职</v>
      </c>
      <c r="P1506" s="24">
        <f>IF(AND(O1506="在职",J1506="是"),COUNTIF(O$2:O1506,"在职"),"")</f>
        <v>1499</v>
      </c>
    </row>
    <row r="1507" ht="18" spans="1:16">
      <c r="A1507" s="14">
        <f t="shared" si="28"/>
        <v>1506</v>
      </c>
      <c r="B1507" s="31">
        <v>46182</v>
      </c>
      <c r="C1507" s="32" t="s">
        <v>1635</v>
      </c>
      <c r="D1507" s="120" t="s">
        <v>486</v>
      </c>
      <c r="E1507" s="33" t="s">
        <v>42</v>
      </c>
      <c r="F1507" s="18" t="s">
        <v>62</v>
      </c>
      <c r="G1507" s="18" t="s">
        <v>129</v>
      </c>
      <c r="H1507" s="34" t="s">
        <v>85</v>
      </c>
      <c r="I1507" s="18" t="s">
        <v>104</v>
      </c>
      <c r="J1507" s="31" t="s">
        <v>114</v>
      </c>
      <c r="K1507" s="31">
        <v>46182</v>
      </c>
      <c r="N1507" s="13" t="s">
        <v>29</v>
      </c>
      <c r="O1507" s="24" t="str">
        <f>IF(D1507="","",IF(COUNTIF(离职清单!C:C,D1507)&gt;0,"已离职","在职"))</f>
        <v>在职</v>
      </c>
      <c r="P1507" s="24">
        <f>IF(AND(O1507="在职",J1507="是"),COUNTIF(O$2:O1507,"在职"),"")</f>
        <v>1500</v>
      </c>
    </row>
    <row r="1508" ht="18" spans="1:16">
      <c r="A1508" s="10">
        <f t="shared" si="28"/>
        <v>1507</v>
      </c>
      <c r="B1508" s="31">
        <v>46182</v>
      </c>
      <c r="C1508" s="32" t="s">
        <v>1636</v>
      </c>
      <c r="D1508" s="120" t="s">
        <v>488</v>
      </c>
      <c r="E1508" s="33" t="s">
        <v>42</v>
      </c>
      <c r="F1508" s="18" t="s">
        <v>62</v>
      </c>
      <c r="G1508" s="18" t="s">
        <v>129</v>
      </c>
      <c r="H1508" s="34" t="s">
        <v>85</v>
      </c>
      <c r="I1508" s="18" t="s">
        <v>104</v>
      </c>
      <c r="J1508" s="31" t="s">
        <v>114</v>
      </c>
      <c r="K1508" s="31">
        <v>46182</v>
      </c>
      <c r="N1508" s="13" t="s">
        <v>29</v>
      </c>
      <c r="O1508" s="24" t="str">
        <f>IF(D1508="","",IF(COUNTIF(离职清单!C:C,D1508)&gt;0,"已离职","在职"))</f>
        <v>在职</v>
      </c>
      <c r="P1508" s="24">
        <f>IF(AND(O1508="在职",J1508="是"),COUNTIF(O$2:O1508,"在职"),"")</f>
        <v>1501</v>
      </c>
    </row>
    <row r="1509" ht="18" spans="1:16">
      <c r="A1509" s="14">
        <f t="shared" si="28"/>
        <v>1508</v>
      </c>
      <c r="B1509" s="31">
        <v>46182</v>
      </c>
      <c r="C1509" s="32" t="s">
        <v>1637</v>
      </c>
      <c r="D1509" s="120" t="s">
        <v>490</v>
      </c>
      <c r="E1509" s="33" t="s">
        <v>42</v>
      </c>
      <c r="F1509" s="18" t="s">
        <v>63</v>
      </c>
      <c r="G1509" s="18" t="s">
        <v>129</v>
      </c>
      <c r="H1509" s="34" t="s">
        <v>85</v>
      </c>
      <c r="I1509" s="18" t="s">
        <v>104</v>
      </c>
      <c r="J1509" s="31" t="s">
        <v>114</v>
      </c>
      <c r="K1509" s="31">
        <v>46183</v>
      </c>
      <c r="N1509" s="13" t="s">
        <v>29</v>
      </c>
      <c r="O1509" s="24" t="str">
        <f>IF(D1509="","",IF(COUNTIF(离职清单!C:C,D1509)&gt;0,"已离职","在职"))</f>
        <v>在职</v>
      </c>
      <c r="P1509" s="24">
        <f>IF(AND(O1509="在职",J1509="是"),COUNTIF(O$2:O1509,"在职"),"")</f>
        <v>1502</v>
      </c>
    </row>
    <row r="1510" ht="18" spans="1:16">
      <c r="A1510" s="10">
        <f t="shared" si="28"/>
        <v>1509</v>
      </c>
      <c r="B1510" s="31">
        <v>46182</v>
      </c>
      <c r="C1510" s="32" t="s">
        <v>1638</v>
      </c>
      <c r="D1510" s="120" t="s">
        <v>492</v>
      </c>
      <c r="E1510" s="33" t="s">
        <v>43</v>
      </c>
      <c r="F1510" s="18" t="s">
        <v>63</v>
      </c>
      <c r="G1510" s="18" t="s">
        <v>1006</v>
      </c>
      <c r="H1510" s="34" t="s">
        <v>85</v>
      </c>
      <c r="I1510" s="18" t="s">
        <v>104</v>
      </c>
      <c r="J1510" s="31" t="s">
        <v>114</v>
      </c>
      <c r="K1510" s="31">
        <v>46184</v>
      </c>
      <c r="N1510" s="13" t="s">
        <v>29</v>
      </c>
      <c r="O1510" s="24" t="str">
        <f>IF(D1510="","",IF(COUNTIF(离职清单!C:C,D1510)&gt;0,"已离职","在职"))</f>
        <v>在职</v>
      </c>
      <c r="P1510" s="24">
        <f>IF(AND(O1510="在职",J1510="是"),COUNTIF(O$2:O1510,"在职"),"")</f>
        <v>1503</v>
      </c>
    </row>
    <row r="1511" ht="18" spans="1:16">
      <c r="A1511" s="14">
        <f t="shared" si="28"/>
        <v>1510</v>
      </c>
      <c r="B1511" s="31">
        <v>46182</v>
      </c>
      <c r="C1511" s="32" t="s">
        <v>1005</v>
      </c>
      <c r="D1511" s="120" t="s">
        <v>477</v>
      </c>
      <c r="E1511" s="33" t="s">
        <v>43</v>
      </c>
      <c r="F1511" s="18" t="s">
        <v>64</v>
      </c>
      <c r="G1511" s="18" t="s">
        <v>1006</v>
      </c>
      <c r="H1511" s="34" t="s">
        <v>85</v>
      </c>
      <c r="I1511" s="18" t="s">
        <v>104</v>
      </c>
      <c r="J1511" s="31" t="s">
        <v>105</v>
      </c>
      <c r="K1511" s="31"/>
      <c r="N1511" s="13" t="s">
        <v>29</v>
      </c>
      <c r="O1511" s="24" t="str">
        <f>IF(D1511="","",IF(COUNTIF(离职清单!C:C,D1511)&gt;0,"已离职","在职"))</f>
        <v>在职</v>
      </c>
      <c r="P1511" s="24" t="str">
        <f>IF(AND(O1511="在职",J1511="是"),COUNTIF(O$2:O1511,"在职"),"")</f>
        <v/>
      </c>
    </row>
    <row r="1512" ht="18" spans="1:16">
      <c r="A1512" s="10">
        <f t="shared" si="28"/>
        <v>1511</v>
      </c>
      <c r="B1512" s="31">
        <v>46182</v>
      </c>
      <c r="C1512" s="32" t="s">
        <v>1639</v>
      </c>
      <c r="D1512" s="120" t="s">
        <v>478</v>
      </c>
      <c r="E1512" s="33" t="s">
        <v>43</v>
      </c>
      <c r="F1512" s="18" t="s">
        <v>63</v>
      </c>
      <c r="G1512" s="18" t="s">
        <v>954</v>
      </c>
      <c r="H1512" s="34" t="s">
        <v>85</v>
      </c>
      <c r="I1512" s="18" t="s">
        <v>104</v>
      </c>
      <c r="J1512" s="31" t="s">
        <v>114</v>
      </c>
      <c r="K1512" s="31">
        <v>46183</v>
      </c>
      <c r="N1512" s="13" t="s">
        <v>29</v>
      </c>
      <c r="O1512" s="24" t="str">
        <f>IF(D1512="","",IF(COUNTIF(离职清单!C:C,D1512)&gt;0,"已离职","在职"))</f>
        <v>在职</v>
      </c>
      <c r="P1512" s="24">
        <f>IF(AND(O1512="在职",J1512="是"),COUNTIF(O$2:O1512,"在职"),"")</f>
        <v>1505</v>
      </c>
    </row>
    <row r="1513" ht="18" spans="1:16">
      <c r="A1513" s="14">
        <f t="shared" si="28"/>
        <v>1512</v>
      </c>
      <c r="B1513" s="31">
        <v>46182</v>
      </c>
      <c r="C1513" s="32" t="s">
        <v>1640</v>
      </c>
      <c r="D1513" s="120" t="s">
        <v>480</v>
      </c>
      <c r="E1513" s="33" t="s">
        <v>43</v>
      </c>
      <c r="F1513" s="18" t="s">
        <v>63</v>
      </c>
      <c r="G1513" s="18" t="s">
        <v>129</v>
      </c>
      <c r="H1513" s="34" t="s">
        <v>85</v>
      </c>
      <c r="I1513" s="18" t="s">
        <v>104</v>
      </c>
      <c r="J1513" s="31" t="s">
        <v>105</v>
      </c>
      <c r="K1513" s="31"/>
      <c r="N1513" s="13" t="s">
        <v>29</v>
      </c>
      <c r="O1513" s="24" t="str">
        <f>IF(D1513="","",IF(COUNTIF(离职清单!C:C,D1513)&gt;0,"已离职","在职"))</f>
        <v>在职</v>
      </c>
      <c r="P1513" s="24" t="str">
        <f>IF(AND(O1513="在职",J1513="是"),COUNTIF(O$2:O1513,"在职"),"")</f>
        <v/>
      </c>
    </row>
    <row r="1514" ht="18" spans="1:16">
      <c r="A1514" s="10">
        <f t="shared" si="28"/>
        <v>1513</v>
      </c>
      <c r="B1514" s="31">
        <v>46182</v>
      </c>
      <c r="C1514" s="32" t="s">
        <v>1641</v>
      </c>
      <c r="D1514" s="120" t="s">
        <v>482</v>
      </c>
      <c r="E1514" s="33" t="s">
        <v>43</v>
      </c>
      <c r="F1514" s="18" t="s">
        <v>62</v>
      </c>
      <c r="G1514" s="18" t="s">
        <v>129</v>
      </c>
      <c r="H1514" s="34" t="s">
        <v>85</v>
      </c>
      <c r="I1514" s="18" t="s">
        <v>104</v>
      </c>
      <c r="J1514" s="31" t="s">
        <v>105</v>
      </c>
      <c r="K1514" s="31"/>
      <c r="N1514" s="13" t="s">
        <v>29</v>
      </c>
      <c r="O1514" s="24" t="str">
        <f>IF(D1514="","",IF(COUNTIF(离职清单!C:C,D1514)&gt;0,"已离职","在职"))</f>
        <v>在职</v>
      </c>
      <c r="P1514" s="24" t="str">
        <f>IF(AND(O1514="在职",J1514="是"),COUNTIF(O$2:O1514,"在职"),"")</f>
        <v/>
      </c>
    </row>
    <row r="1515" ht="18" spans="1:16">
      <c r="A1515" s="14">
        <f t="shared" si="28"/>
        <v>1514</v>
      </c>
      <c r="B1515" s="31">
        <v>46182</v>
      </c>
      <c r="C1515" s="32" t="s">
        <v>1642</v>
      </c>
      <c r="D1515" s="120" t="s">
        <v>484</v>
      </c>
      <c r="E1515" s="33" t="s">
        <v>43</v>
      </c>
      <c r="F1515" s="18" t="s">
        <v>62</v>
      </c>
      <c r="G1515" s="18" t="s">
        <v>176</v>
      </c>
      <c r="H1515" s="34" t="s">
        <v>85</v>
      </c>
      <c r="I1515" s="18" t="s">
        <v>104</v>
      </c>
      <c r="J1515" s="31" t="s">
        <v>114</v>
      </c>
      <c r="K1515" s="31">
        <v>46184</v>
      </c>
      <c r="N1515" s="13" t="s">
        <v>29</v>
      </c>
      <c r="O1515" s="24" t="str">
        <f>IF(D1515="","",IF(COUNTIF(离职清单!C:C,D1515)&gt;0,"已离职","在职"))</f>
        <v>在职</v>
      </c>
      <c r="P1515" s="24">
        <f>IF(AND(O1515="在职",J1515="是"),COUNTIF(O$2:O1515,"在职"),"")</f>
        <v>1508</v>
      </c>
    </row>
    <row r="1516" ht="18" spans="1:16">
      <c r="A1516" s="10">
        <f t="shared" ref="A1516:A1579" si="29">IF(B1516&lt;&gt;"",ROW()-1,"")</f>
        <v>1515</v>
      </c>
      <c r="B1516" s="31">
        <v>46182</v>
      </c>
      <c r="C1516" s="32" t="s">
        <v>624</v>
      </c>
      <c r="D1516" s="120" t="s">
        <v>486</v>
      </c>
      <c r="E1516" s="33" t="s">
        <v>43</v>
      </c>
      <c r="F1516" s="18" t="s">
        <v>62</v>
      </c>
      <c r="G1516" s="18" t="s">
        <v>176</v>
      </c>
      <c r="H1516" s="34" t="s">
        <v>85</v>
      </c>
      <c r="I1516" s="18" t="s">
        <v>104</v>
      </c>
      <c r="J1516" s="31" t="s">
        <v>114</v>
      </c>
      <c r="K1516" s="31">
        <v>46184</v>
      </c>
      <c r="N1516" s="13" t="s">
        <v>29</v>
      </c>
      <c r="O1516" s="24" t="str">
        <f>IF(D1516="","",IF(COUNTIF(离职清单!C:C,D1516)&gt;0,"已离职","在职"))</f>
        <v>在职</v>
      </c>
      <c r="P1516" s="24">
        <f>IF(AND(O1516="在职",J1516="是"),COUNTIF(O$2:O1516,"在职"),"")</f>
        <v>1509</v>
      </c>
    </row>
    <row r="1517" ht="18" spans="1:16">
      <c r="A1517" s="14">
        <f t="shared" si="29"/>
        <v>1516</v>
      </c>
      <c r="B1517" s="31">
        <v>46182</v>
      </c>
      <c r="C1517" s="32" t="s">
        <v>1643</v>
      </c>
      <c r="D1517" s="120" t="s">
        <v>488</v>
      </c>
      <c r="E1517" s="33" t="s">
        <v>43</v>
      </c>
      <c r="F1517" s="18" t="s">
        <v>63</v>
      </c>
      <c r="G1517" s="18" t="s">
        <v>509</v>
      </c>
      <c r="H1517" s="34" t="s">
        <v>85</v>
      </c>
      <c r="I1517" s="18" t="s">
        <v>104</v>
      </c>
      <c r="J1517" s="31" t="s">
        <v>105</v>
      </c>
      <c r="K1517" s="31">
        <v>46184</v>
      </c>
      <c r="N1517" s="13" t="s">
        <v>29</v>
      </c>
      <c r="O1517" s="24" t="str">
        <f>IF(D1517="","",IF(COUNTIF(离职清单!C:C,D1517)&gt;0,"已离职","在职"))</f>
        <v>在职</v>
      </c>
      <c r="P1517" s="24" t="str">
        <f>IF(AND(O1517="在职",J1517="是"),COUNTIF(O$2:O1517,"在职"),"")</f>
        <v/>
      </c>
    </row>
    <row r="1518" ht="18" spans="1:16">
      <c r="A1518" s="10">
        <f t="shared" si="29"/>
        <v>1517</v>
      </c>
      <c r="B1518" s="31">
        <v>46182</v>
      </c>
      <c r="C1518" s="32" t="s">
        <v>1644</v>
      </c>
      <c r="D1518" s="120" t="s">
        <v>490</v>
      </c>
      <c r="E1518" s="33" t="s">
        <v>43</v>
      </c>
      <c r="F1518" s="18" t="s">
        <v>62</v>
      </c>
      <c r="G1518" s="18" t="s">
        <v>132</v>
      </c>
      <c r="H1518" s="34" t="s">
        <v>85</v>
      </c>
      <c r="I1518" s="18" t="s">
        <v>104</v>
      </c>
      <c r="J1518" s="31" t="s">
        <v>105</v>
      </c>
      <c r="K1518" s="31">
        <v>46184</v>
      </c>
      <c r="N1518" s="13" t="s">
        <v>29</v>
      </c>
      <c r="O1518" s="24" t="str">
        <f>IF(D1518="","",IF(COUNTIF(离职清单!C:C,D1518)&gt;0,"已离职","在职"))</f>
        <v>在职</v>
      </c>
      <c r="P1518" s="24" t="str">
        <f>IF(AND(O1518="在职",J1518="是"),COUNTIF(O$2:O1518,"在职"),"")</f>
        <v/>
      </c>
    </row>
    <row r="1519" ht="18" spans="1:16">
      <c r="A1519" s="14">
        <f t="shared" si="29"/>
        <v>1518</v>
      </c>
      <c r="B1519" s="31">
        <v>46182</v>
      </c>
      <c r="C1519" s="32" t="s">
        <v>1645</v>
      </c>
      <c r="D1519" s="120" t="s">
        <v>492</v>
      </c>
      <c r="E1519" s="33" t="s">
        <v>43</v>
      </c>
      <c r="F1519" s="18" t="s">
        <v>62</v>
      </c>
      <c r="G1519" s="18" t="s">
        <v>132</v>
      </c>
      <c r="H1519" s="34" t="s">
        <v>85</v>
      </c>
      <c r="I1519" s="18" t="s">
        <v>104</v>
      </c>
      <c r="J1519" s="31" t="s">
        <v>105</v>
      </c>
      <c r="K1519" s="31">
        <v>46184</v>
      </c>
      <c r="N1519" s="13" t="s">
        <v>29</v>
      </c>
      <c r="O1519" s="24" t="str">
        <f>IF(D1519="","",IF(COUNTIF(离职清单!C:C,D1519)&gt;0,"已离职","在职"))</f>
        <v>在职</v>
      </c>
      <c r="P1519" s="24" t="str">
        <f>IF(AND(O1519="在职",J1519="是"),COUNTIF(O$2:O1519,"在职"),"")</f>
        <v/>
      </c>
    </row>
    <row r="1520" ht="18" spans="1:16">
      <c r="A1520" s="10">
        <f t="shared" si="29"/>
        <v>1519</v>
      </c>
      <c r="B1520" s="31">
        <v>46182</v>
      </c>
      <c r="C1520" s="32" t="s">
        <v>1646</v>
      </c>
      <c r="D1520" s="120" t="s">
        <v>477</v>
      </c>
      <c r="E1520" s="33" t="s">
        <v>43</v>
      </c>
      <c r="F1520" s="18" t="s">
        <v>63</v>
      </c>
      <c r="G1520" s="18" t="s">
        <v>148</v>
      </c>
      <c r="H1520" s="34" t="s">
        <v>85</v>
      </c>
      <c r="I1520" s="18" t="s">
        <v>104</v>
      </c>
      <c r="J1520" s="31" t="s">
        <v>105</v>
      </c>
      <c r="K1520" s="31">
        <v>46184</v>
      </c>
      <c r="N1520" s="13" t="s">
        <v>29</v>
      </c>
      <c r="O1520" s="24" t="str">
        <f>IF(D1520="","",IF(COUNTIF(离职清单!C:C,D1520)&gt;0,"已离职","在职"))</f>
        <v>在职</v>
      </c>
      <c r="P1520" s="24" t="str">
        <f>IF(AND(O1520="在职",J1520="是"),COUNTIF(O$2:O1520,"在职"),"")</f>
        <v/>
      </c>
    </row>
    <row r="1521" ht="18" spans="1:16">
      <c r="A1521" s="14">
        <f t="shared" si="29"/>
        <v>1520</v>
      </c>
      <c r="B1521" s="31">
        <v>46182</v>
      </c>
      <c r="C1521" s="32" t="s">
        <v>1647</v>
      </c>
      <c r="D1521" s="120" t="s">
        <v>478</v>
      </c>
      <c r="E1521" s="33" t="s">
        <v>43</v>
      </c>
      <c r="F1521" s="18" t="s">
        <v>62</v>
      </c>
      <c r="G1521" s="18" t="s">
        <v>148</v>
      </c>
      <c r="H1521" s="34" t="s">
        <v>85</v>
      </c>
      <c r="I1521" s="18" t="s">
        <v>104</v>
      </c>
      <c r="J1521" s="31" t="s">
        <v>114</v>
      </c>
      <c r="K1521" s="31">
        <v>46185</v>
      </c>
      <c r="N1521" s="13" t="s">
        <v>29</v>
      </c>
      <c r="O1521" s="24" t="str">
        <f>IF(D1521="","",IF(COUNTIF(离职清单!C:C,D1521)&gt;0,"已离职","在职"))</f>
        <v>在职</v>
      </c>
      <c r="P1521" s="24">
        <f>IF(AND(O1521="在职",J1521="是"),COUNTIF(O$2:O1521,"在职"),"")</f>
        <v>1514</v>
      </c>
    </row>
    <row r="1522" ht="18" spans="1:16">
      <c r="A1522" s="10">
        <f t="shared" si="29"/>
        <v>1521</v>
      </c>
      <c r="B1522" s="31">
        <v>46182</v>
      </c>
      <c r="C1522" s="32" t="s">
        <v>1200</v>
      </c>
      <c r="D1522" s="120" t="s">
        <v>480</v>
      </c>
      <c r="E1522" s="33" t="s">
        <v>43</v>
      </c>
      <c r="F1522" s="18" t="s">
        <v>63</v>
      </c>
      <c r="G1522" s="18" t="s">
        <v>148</v>
      </c>
      <c r="H1522" s="34" t="s">
        <v>85</v>
      </c>
      <c r="I1522" s="18" t="s">
        <v>104</v>
      </c>
      <c r="J1522" s="31" t="s">
        <v>114</v>
      </c>
      <c r="K1522" s="31">
        <v>46183</v>
      </c>
      <c r="N1522" s="13" t="s">
        <v>29</v>
      </c>
      <c r="O1522" s="24" t="str">
        <f>IF(D1522="","",IF(COUNTIF(离职清单!C:C,D1522)&gt;0,"已离职","在职"))</f>
        <v>在职</v>
      </c>
      <c r="P1522" s="24">
        <f>IF(AND(O1522="在职",J1522="是"),COUNTIF(O$2:O1522,"在职"),"")</f>
        <v>1515</v>
      </c>
    </row>
    <row r="1523" ht="18" spans="1:16">
      <c r="A1523" s="14">
        <f t="shared" si="29"/>
        <v>1522</v>
      </c>
      <c r="B1523" s="31">
        <v>46182</v>
      </c>
      <c r="C1523" s="32" t="s">
        <v>1648</v>
      </c>
      <c r="D1523" s="120" t="s">
        <v>482</v>
      </c>
      <c r="E1523" s="33" t="s">
        <v>43</v>
      </c>
      <c r="F1523" s="18" t="s">
        <v>62</v>
      </c>
      <c r="G1523" s="18" t="s">
        <v>530</v>
      </c>
      <c r="H1523" s="34" t="s">
        <v>85</v>
      </c>
      <c r="I1523" s="18" t="s">
        <v>104</v>
      </c>
      <c r="J1523" s="31" t="s">
        <v>105</v>
      </c>
      <c r="K1523" s="31">
        <v>46184</v>
      </c>
      <c r="N1523" s="13" t="s">
        <v>29</v>
      </c>
      <c r="O1523" s="24" t="str">
        <f>IF(D1523="","",IF(COUNTIF(离职清单!C:C,D1523)&gt;0,"已离职","在职"))</f>
        <v>在职</v>
      </c>
      <c r="P1523" s="24" t="str">
        <f>IF(AND(O1523="在职",J1523="是"),COUNTIF(O$2:O1523,"在职"),"")</f>
        <v/>
      </c>
    </row>
    <row r="1524" ht="18" spans="1:16">
      <c r="A1524" s="10">
        <f t="shared" si="29"/>
        <v>1523</v>
      </c>
      <c r="B1524" s="31">
        <v>46182</v>
      </c>
      <c r="C1524" s="32" t="s">
        <v>1649</v>
      </c>
      <c r="D1524" s="120" t="s">
        <v>484</v>
      </c>
      <c r="E1524" s="33" t="s">
        <v>43</v>
      </c>
      <c r="F1524" s="18" t="s">
        <v>63</v>
      </c>
      <c r="G1524" s="18" t="s">
        <v>124</v>
      </c>
      <c r="H1524" s="34" t="s">
        <v>85</v>
      </c>
      <c r="I1524" s="18" t="s">
        <v>104</v>
      </c>
      <c r="J1524" s="31" t="s">
        <v>114</v>
      </c>
      <c r="K1524" s="31">
        <v>46184</v>
      </c>
      <c r="N1524" s="13" t="s">
        <v>29</v>
      </c>
      <c r="O1524" s="24" t="str">
        <f>IF(D1524="","",IF(COUNTIF(离职清单!C:C,D1524)&gt;0,"已离职","在职"))</f>
        <v>在职</v>
      </c>
      <c r="P1524" s="24">
        <f>IF(AND(O1524="在职",J1524="是"),COUNTIF(O$2:O1524,"在职"),"")</f>
        <v>1517</v>
      </c>
    </row>
    <row r="1525" ht="18" spans="1:16">
      <c r="A1525" s="14">
        <f t="shared" si="29"/>
        <v>1524</v>
      </c>
      <c r="B1525" s="31">
        <v>46182</v>
      </c>
      <c r="C1525" s="32" t="s">
        <v>1650</v>
      </c>
      <c r="D1525" s="120" t="s">
        <v>486</v>
      </c>
      <c r="E1525" s="33" t="s">
        <v>43</v>
      </c>
      <c r="F1525" s="18" t="s">
        <v>62</v>
      </c>
      <c r="G1525" s="18" t="s">
        <v>733</v>
      </c>
      <c r="H1525" s="34" t="s">
        <v>85</v>
      </c>
      <c r="I1525" s="18" t="s">
        <v>104</v>
      </c>
      <c r="J1525" s="31" t="s">
        <v>105</v>
      </c>
      <c r="K1525" s="31"/>
      <c r="N1525" s="13" t="s">
        <v>29</v>
      </c>
      <c r="O1525" s="24" t="str">
        <f>IF(D1525="","",IF(COUNTIF(离职清单!C:C,D1525)&gt;0,"已离职","在职"))</f>
        <v>在职</v>
      </c>
      <c r="P1525" s="24" t="str">
        <f>IF(AND(O1525="在职",J1525="是"),COUNTIF(O$2:O1525,"在职"),"")</f>
        <v/>
      </c>
    </row>
    <row r="1526" ht="18" spans="1:16">
      <c r="A1526" s="10">
        <f t="shared" si="29"/>
        <v>1525</v>
      </c>
      <c r="B1526" s="31">
        <v>46182</v>
      </c>
      <c r="C1526" s="32" t="s">
        <v>1651</v>
      </c>
      <c r="D1526" s="120" t="s">
        <v>488</v>
      </c>
      <c r="E1526" s="33" t="s">
        <v>43</v>
      </c>
      <c r="F1526" s="18" t="s">
        <v>62</v>
      </c>
      <c r="G1526" s="18" t="s">
        <v>1056</v>
      </c>
      <c r="H1526" s="34" t="s">
        <v>85</v>
      </c>
      <c r="I1526" s="18" t="s">
        <v>104</v>
      </c>
      <c r="J1526" s="31" t="s">
        <v>105</v>
      </c>
      <c r="K1526" s="31"/>
      <c r="N1526" s="13" t="s">
        <v>29</v>
      </c>
      <c r="O1526" s="24" t="str">
        <f>IF(D1526="","",IF(COUNTIF(离职清单!C:C,D1526)&gt;0,"已离职","在职"))</f>
        <v>在职</v>
      </c>
      <c r="P1526" s="24" t="str">
        <f>IF(AND(O1526="在职",J1526="是"),COUNTIF(O$2:O1526,"在职"),"")</f>
        <v/>
      </c>
    </row>
    <row r="1527" ht="18" spans="1:16">
      <c r="A1527" s="14">
        <f t="shared" si="29"/>
        <v>1526</v>
      </c>
      <c r="B1527" s="31">
        <v>46182</v>
      </c>
      <c r="C1527" s="32" t="s">
        <v>1652</v>
      </c>
      <c r="D1527" s="120" t="s">
        <v>490</v>
      </c>
      <c r="E1527" s="33" t="s">
        <v>43</v>
      </c>
      <c r="F1527" s="18" t="s">
        <v>63</v>
      </c>
      <c r="G1527" s="18" t="s">
        <v>1056</v>
      </c>
      <c r="H1527" s="34" t="s">
        <v>85</v>
      </c>
      <c r="I1527" s="18" t="s">
        <v>104</v>
      </c>
      <c r="J1527" s="31" t="s">
        <v>105</v>
      </c>
      <c r="K1527" s="31"/>
      <c r="N1527" s="13" t="s">
        <v>29</v>
      </c>
      <c r="O1527" s="24" t="str">
        <f>IF(D1527="","",IF(COUNTIF(离职清单!C:C,D1527)&gt;0,"已离职","在职"))</f>
        <v>在职</v>
      </c>
      <c r="P1527" s="24" t="str">
        <f>IF(AND(O1527="在职",J1527="是"),COUNTIF(O$2:O1527,"在职"),"")</f>
        <v/>
      </c>
    </row>
    <row r="1528" ht="18" spans="1:16">
      <c r="A1528" s="10">
        <f t="shared" si="29"/>
        <v>1527</v>
      </c>
      <c r="B1528" s="31">
        <v>46182</v>
      </c>
      <c r="C1528" s="32" t="s">
        <v>1653</v>
      </c>
      <c r="D1528" s="120" t="s">
        <v>492</v>
      </c>
      <c r="E1528" s="33" t="s">
        <v>43</v>
      </c>
      <c r="F1528" s="18" t="s">
        <v>62</v>
      </c>
      <c r="G1528" s="18" t="s">
        <v>233</v>
      </c>
      <c r="H1528" s="34" t="s">
        <v>85</v>
      </c>
      <c r="I1528" s="18" t="s">
        <v>104</v>
      </c>
      <c r="J1528" s="31" t="s">
        <v>114</v>
      </c>
      <c r="K1528" s="31">
        <v>46183</v>
      </c>
      <c r="N1528" s="13" t="s">
        <v>29</v>
      </c>
      <c r="O1528" s="24" t="str">
        <f>IF(D1528="","",IF(COUNTIF(离职清单!C:C,D1528)&gt;0,"已离职","在职"))</f>
        <v>在职</v>
      </c>
      <c r="P1528" s="24">
        <f>IF(AND(O1528="在职",J1528="是"),COUNTIF(O$2:O1528,"在职"),"")</f>
        <v>1521</v>
      </c>
    </row>
    <row r="1529" ht="18" spans="1:16">
      <c r="A1529" s="14">
        <f t="shared" si="29"/>
        <v>1528</v>
      </c>
      <c r="B1529" s="31">
        <v>46182</v>
      </c>
      <c r="C1529" s="32" t="s">
        <v>1654</v>
      </c>
      <c r="D1529" s="120" t="s">
        <v>477</v>
      </c>
      <c r="E1529" s="33" t="s">
        <v>43</v>
      </c>
      <c r="F1529" s="18" t="s">
        <v>63</v>
      </c>
      <c r="G1529" s="18" t="s">
        <v>103</v>
      </c>
      <c r="H1529" s="34" t="s">
        <v>85</v>
      </c>
      <c r="I1529" s="18" t="s">
        <v>104</v>
      </c>
      <c r="J1529" s="31" t="s">
        <v>114</v>
      </c>
      <c r="K1529" s="31">
        <v>46184</v>
      </c>
      <c r="N1529" s="13" t="s">
        <v>29</v>
      </c>
      <c r="O1529" s="24" t="str">
        <f>IF(D1529="","",IF(COUNTIF(离职清单!C:C,D1529)&gt;0,"已离职","在职"))</f>
        <v>在职</v>
      </c>
      <c r="P1529" s="24">
        <f>IF(AND(O1529="在职",J1529="是"),COUNTIF(O$2:O1529,"在职"),"")</f>
        <v>1522</v>
      </c>
    </row>
    <row r="1530" ht="18" spans="1:16">
      <c r="A1530" s="10">
        <f t="shared" si="29"/>
        <v>1529</v>
      </c>
      <c r="B1530" s="31">
        <v>46182</v>
      </c>
      <c r="C1530" s="32" t="s">
        <v>1655</v>
      </c>
      <c r="D1530" s="120" t="s">
        <v>478</v>
      </c>
      <c r="E1530" s="33" t="s">
        <v>43</v>
      </c>
      <c r="F1530" s="18" t="s">
        <v>63</v>
      </c>
      <c r="G1530" s="18" t="s">
        <v>103</v>
      </c>
      <c r="H1530" s="34" t="s">
        <v>85</v>
      </c>
      <c r="I1530" s="18" t="s">
        <v>104</v>
      </c>
      <c r="J1530" s="31" t="s">
        <v>114</v>
      </c>
      <c r="K1530" s="31">
        <v>46184</v>
      </c>
      <c r="N1530" s="13" t="s">
        <v>29</v>
      </c>
      <c r="O1530" s="24" t="str">
        <f>IF(D1530="","",IF(COUNTIF(离职清单!C:C,D1530)&gt;0,"已离职","在职"))</f>
        <v>在职</v>
      </c>
      <c r="P1530" s="24">
        <f>IF(AND(O1530="在职",J1530="是"),COUNTIF(O$2:O1530,"在职"),"")</f>
        <v>1523</v>
      </c>
    </row>
    <row r="1531" ht="18" spans="1:16">
      <c r="A1531" s="14">
        <f t="shared" si="29"/>
        <v>1530</v>
      </c>
      <c r="B1531" s="31">
        <v>46182</v>
      </c>
      <c r="C1531" s="32" t="s">
        <v>1656</v>
      </c>
      <c r="D1531" s="120" t="s">
        <v>480</v>
      </c>
      <c r="E1531" s="33" t="s">
        <v>43</v>
      </c>
      <c r="F1531" s="18" t="s">
        <v>63</v>
      </c>
      <c r="G1531" s="18" t="s">
        <v>103</v>
      </c>
      <c r="H1531" s="34" t="s">
        <v>85</v>
      </c>
      <c r="I1531" s="18" t="s">
        <v>104</v>
      </c>
      <c r="J1531" s="31" t="s">
        <v>114</v>
      </c>
      <c r="K1531" s="31">
        <v>46184</v>
      </c>
      <c r="N1531" s="13" t="s">
        <v>29</v>
      </c>
      <c r="O1531" s="24" t="str">
        <f>IF(D1531="","",IF(COUNTIF(离职清单!C:C,D1531)&gt;0,"已离职","在职"))</f>
        <v>在职</v>
      </c>
      <c r="P1531" s="24">
        <f>IF(AND(O1531="在职",J1531="是"),COUNTIF(O$2:O1531,"在职"),"")</f>
        <v>1524</v>
      </c>
    </row>
    <row r="1532" ht="18" spans="1:16">
      <c r="A1532" s="10">
        <f t="shared" si="29"/>
        <v>1531</v>
      </c>
      <c r="B1532" s="31">
        <v>46182</v>
      </c>
      <c r="C1532" s="32" t="s">
        <v>1657</v>
      </c>
      <c r="D1532" s="120" t="s">
        <v>482</v>
      </c>
      <c r="E1532" s="33" t="s">
        <v>43</v>
      </c>
      <c r="F1532" s="18" t="s">
        <v>64</v>
      </c>
      <c r="G1532" s="18" t="s">
        <v>332</v>
      </c>
      <c r="H1532" s="34" t="s">
        <v>85</v>
      </c>
      <c r="I1532" s="18" t="s">
        <v>104</v>
      </c>
      <c r="J1532" s="31" t="s">
        <v>105</v>
      </c>
      <c r="K1532" s="31"/>
      <c r="N1532" s="13" t="s">
        <v>29</v>
      </c>
      <c r="O1532" s="24" t="str">
        <f>IF(D1532="","",IF(COUNTIF(离职清单!C:C,D1532)&gt;0,"已离职","在职"))</f>
        <v>在职</v>
      </c>
      <c r="P1532" s="24" t="str">
        <f>IF(AND(O1532="在职",J1532="是"),COUNTIF(O$2:O1532,"在职"),"")</f>
        <v/>
      </c>
    </row>
    <row r="1533" ht="18" spans="1:16">
      <c r="A1533" s="14">
        <f t="shared" si="29"/>
        <v>1532</v>
      </c>
      <c r="B1533" s="31">
        <v>46182</v>
      </c>
      <c r="C1533" s="32" t="s">
        <v>1658</v>
      </c>
      <c r="D1533" s="120" t="s">
        <v>484</v>
      </c>
      <c r="E1533" s="33" t="s">
        <v>1659</v>
      </c>
      <c r="F1533" s="18" t="s">
        <v>1660</v>
      </c>
      <c r="G1533" s="18" t="s">
        <v>148</v>
      </c>
      <c r="H1533" s="34" t="s">
        <v>85</v>
      </c>
      <c r="I1533" s="18" t="s">
        <v>104</v>
      </c>
      <c r="J1533" s="31" t="s">
        <v>114</v>
      </c>
      <c r="K1533" s="31">
        <v>46183</v>
      </c>
      <c r="N1533" s="13" t="s">
        <v>29</v>
      </c>
      <c r="O1533" s="24" t="str">
        <f>IF(D1533="","",IF(COUNTIF(离职清单!C:C,D1533)&gt;0,"已离职","在职"))</f>
        <v>在职</v>
      </c>
      <c r="P1533" s="24">
        <f>IF(AND(O1533="在职",J1533="是"),COUNTIF(O$2:O1533,"在职"),"")</f>
        <v>1526</v>
      </c>
    </row>
    <row r="1534" ht="18" spans="1:16">
      <c r="A1534" s="10">
        <f t="shared" si="29"/>
        <v>1533</v>
      </c>
      <c r="B1534" s="31">
        <v>46182</v>
      </c>
      <c r="C1534" s="32" t="s">
        <v>1661</v>
      </c>
      <c r="D1534" s="120" t="s">
        <v>486</v>
      </c>
      <c r="E1534" s="33" t="s">
        <v>43</v>
      </c>
      <c r="F1534" s="18" t="s">
        <v>63</v>
      </c>
      <c r="G1534" s="18" t="s">
        <v>246</v>
      </c>
      <c r="H1534" s="34" t="s">
        <v>85</v>
      </c>
      <c r="I1534" s="18" t="s">
        <v>104</v>
      </c>
      <c r="J1534" s="31" t="s">
        <v>105</v>
      </c>
      <c r="K1534" s="31"/>
      <c r="N1534" s="13" t="s">
        <v>29</v>
      </c>
      <c r="O1534" s="24" t="str">
        <f>IF(D1534="","",IF(COUNTIF(离职清单!C:C,D1534)&gt;0,"已离职","在职"))</f>
        <v>在职</v>
      </c>
      <c r="P1534" s="24" t="str">
        <f>IF(AND(O1534="在职",J1534="是"),COUNTIF(O$2:O1534,"在职"),"")</f>
        <v/>
      </c>
    </row>
    <row r="1535" ht="18" spans="1:16">
      <c r="A1535" s="14">
        <f t="shared" si="29"/>
        <v>1534</v>
      </c>
      <c r="B1535" s="31">
        <v>46182</v>
      </c>
      <c r="C1535" s="32" t="s">
        <v>1662</v>
      </c>
      <c r="D1535" s="120" t="s">
        <v>488</v>
      </c>
      <c r="E1535" s="33" t="s">
        <v>43</v>
      </c>
      <c r="F1535" s="18" t="s">
        <v>63</v>
      </c>
      <c r="G1535" s="18" t="s">
        <v>246</v>
      </c>
      <c r="H1535" s="34" t="s">
        <v>85</v>
      </c>
      <c r="I1535" s="18" t="s">
        <v>104</v>
      </c>
      <c r="J1535" s="31" t="s">
        <v>105</v>
      </c>
      <c r="K1535" s="31"/>
      <c r="N1535" s="13" t="s">
        <v>29</v>
      </c>
      <c r="O1535" s="24" t="str">
        <f>IF(D1535="","",IF(COUNTIF(离职清单!C:C,D1535)&gt;0,"已离职","在职"))</f>
        <v>在职</v>
      </c>
      <c r="P1535" s="24" t="str">
        <f>IF(AND(O1535="在职",J1535="是"),COUNTIF(O$2:O1535,"在职"),"")</f>
        <v/>
      </c>
    </row>
    <row r="1536" ht="18" spans="1:16">
      <c r="A1536" s="10">
        <f t="shared" si="29"/>
        <v>1535</v>
      </c>
      <c r="B1536" s="31">
        <v>46182</v>
      </c>
      <c r="C1536" s="32" t="s">
        <v>1663</v>
      </c>
      <c r="D1536" s="120" t="s">
        <v>490</v>
      </c>
      <c r="E1536" s="33" t="s">
        <v>43</v>
      </c>
      <c r="F1536" s="18" t="s">
        <v>63</v>
      </c>
      <c r="G1536" s="18" t="s">
        <v>148</v>
      </c>
      <c r="H1536" s="34" t="s">
        <v>85</v>
      </c>
      <c r="I1536" s="18" t="s">
        <v>104</v>
      </c>
      <c r="J1536" s="31" t="s">
        <v>114</v>
      </c>
      <c r="K1536" s="31">
        <v>46183</v>
      </c>
      <c r="N1536" s="13" t="s">
        <v>29</v>
      </c>
      <c r="O1536" s="24" t="str">
        <f>IF(D1536="","",IF(COUNTIF(离职清单!C:C,D1536)&gt;0,"已离职","在职"))</f>
        <v>在职</v>
      </c>
      <c r="P1536" s="24">
        <f>IF(AND(O1536="在职",J1536="是"),COUNTIF(O$2:O1536,"在职"),"")</f>
        <v>1529</v>
      </c>
    </row>
    <row r="1537" ht="18" spans="1:16">
      <c r="A1537" s="14">
        <f t="shared" si="29"/>
        <v>1536</v>
      </c>
      <c r="B1537" s="31">
        <v>46182</v>
      </c>
      <c r="C1537" s="32" t="s">
        <v>1664</v>
      </c>
      <c r="D1537" s="120" t="s">
        <v>492</v>
      </c>
      <c r="E1537" s="33" t="s">
        <v>43</v>
      </c>
      <c r="F1537" s="18" t="s">
        <v>63</v>
      </c>
      <c r="G1537" s="18" t="s">
        <v>148</v>
      </c>
      <c r="H1537" s="34" t="s">
        <v>85</v>
      </c>
      <c r="I1537" s="18" t="s">
        <v>104</v>
      </c>
      <c r="J1537" s="31" t="s">
        <v>105</v>
      </c>
      <c r="K1537" s="31"/>
      <c r="N1537" s="13" t="s">
        <v>29</v>
      </c>
      <c r="O1537" s="24" t="str">
        <f>IF(D1537="","",IF(COUNTIF(离职清单!C:C,D1537)&gt;0,"已离职","在职"))</f>
        <v>在职</v>
      </c>
      <c r="P1537" s="24" t="str">
        <f>IF(AND(O1537="在职",J1537="是"),COUNTIF(O$2:O1537,"在职"),"")</f>
        <v/>
      </c>
    </row>
    <row r="1538" ht="18" spans="1:16">
      <c r="A1538" s="10">
        <f t="shared" si="29"/>
        <v>1537</v>
      </c>
      <c r="B1538" s="31">
        <v>46182</v>
      </c>
      <c r="C1538" s="32" t="s">
        <v>1665</v>
      </c>
      <c r="D1538" s="120" t="s">
        <v>477</v>
      </c>
      <c r="E1538" s="33" t="s">
        <v>43</v>
      </c>
      <c r="F1538" s="18" t="s">
        <v>62</v>
      </c>
      <c r="G1538" s="18" t="s">
        <v>148</v>
      </c>
      <c r="H1538" s="34" t="s">
        <v>85</v>
      </c>
      <c r="I1538" s="18" t="s">
        <v>104</v>
      </c>
      <c r="J1538" s="31" t="s">
        <v>114</v>
      </c>
      <c r="K1538" s="31">
        <v>46184</v>
      </c>
      <c r="N1538" s="13" t="s">
        <v>29</v>
      </c>
      <c r="O1538" s="24" t="str">
        <f>IF(D1538="","",IF(COUNTIF(离职清单!C:C,D1538)&gt;0,"已离职","在职"))</f>
        <v>在职</v>
      </c>
      <c r="P1538" s="24">
        <f>IF(AND(O1538="在职",J1538="是"),COUNTIF(O$2:O1538,"在职"),"")</f>
        <v>1531</v>
      </c>
    </row>
    <row r="1539" ht="18" spans="1:16">
      <c r="A1539" s="14">
        <f t="shared" si="29"/>
        <v>1538</v>
      </c>
      <c r="B1539" s="31">
        <v>46182</v>
      </c>
      <c r="C1539" s="32" t="s">
        <v>1666</v>
      </c>
      <c r="D1539" s="120" t="s">
        <v>478</v>
      </c>
      <c r="E1539" s="33" t="s">
        <v>43</v>
      </c>
      <c r="F1539" s="18" t="s">
        <v>62</v>
      </c>
      <c r="G1539" s="18" t="s">
        <v>233</v>
      </c>
      <c r="H1539" s="34" t="s">
        <v>85</v>
      </c>
      <c r="I1539" s="18" t="s">
        <v>104</v>
      </c>
      <c r="J1539" s="31" t="s">
        <v>114</v>
      </c>
      <c r="K1539" s="31">
        <v>46184</v>
      </c>
      <c r="N1539" s="13" t="s">
        <v>29</v>
      </c>
      <c r="O1539" s="24" t="str">
        <f>IF(D1539="","",IF(COUNTIF(离职清单!C:C,D1539)&gt;0,"已离职","在职"))</f>
        <v>在职</v>
      </c>
      <c r="P1539" s="24">
        <f>IF(AND(O1539="在职",J1539="是"),COUNTIF(O$2:O1539,"在职"),"")</f>
        <v>1532</v>
      </c>
    </row>
    <row r="1540" ht="18" spans="1:16">
      <c r="A1540" s="10">
        <f t="shared" si="29"/>
        <v>1539</v>
      </c>
      <c r="B1540" s="31">
        <v>46182</v>
      </c>
      <c r="C1540" s="32" t="s">
        <v>1024</v>
      </c>
      <c r="D1540" s="120" t="s">
        <v>480</v>
      </c>
      <c r="E1540" s="33" t="s">
        <v>42</v>
      </c>
      <c r="F1540" s="18" t="s">
        <v>64</v>
      </c>
      <c r="G1540" s="18" t="s">
        <v>631</v>
      </c>
      <c r="H1540" s="34" t="s">
        <v>85</v>
      </c>
      <c r="I1540" s="18" t="s">
        <v>104</v>
      </c>
      <c r="J1540" s="31" t="s">
        <v>105</v>
      </c>
      <c r="K1540" s="31"/>
      <c r="N1540" s="13" t="s">
        <v>29</v>
      </c>
      <c r="O1540" s="24" t="str">
        <f>IF(D1540="","",IF(COUNTIF(离职清单!C:C,D1540)&gt;0,"已离职","在职"))</f>
        <v>在职</v>
      </c>
      <c r="P1540" s="24" t="str">
        <f>IF(AND(O1540="在职",J1540="是"),COUNTIF(O$2:O1540,"在职"),"")</f>
        <v/>
      </c>
    </row>
    <row r="1541" ht="18" spans="1:16">
      <c r="A1541" s="14">
        <f t="shared" si="29"/>
        <v>1540</v>
      </c>
      <c r="B1541" s="31">
        <v>46182</v>
      </c>
      <c r="C1541" s="32" t="s">
        <v>1667</v>
      </c>
      <c r="D1541" s="120" t="s">
        <v>482</v>
      </c>
      <c r="E1541" s="33" t="s">
        <v>42</v>
      </c>
      <c r="F1541" s="18" t="s">
        <v>64</v>
      </c>
      <c r="G1541" s="18" t="s">
        <v>631</v>
      </c>
      <c r="H1541" s="34" t="s">
        <v>85</v>
      </c>
      <c r="I1541" s="18" t="s">
        <v>104</v>
      </c>
      <c r="J1541" s="31" t="s">
        <v>105</v>
      </c>
      <c r="K1541" s="31"/>
      <c r="N1541" s="13" t="s">
        <v>29</v>
      </c>
      <c r="O1541" s="24" t="str">
        <f>IF(D1541="","",IF(COUNTIF(离职清单!C:C,D1541)&gt;0,"已离职","在职"))</f>
        <v>在职</v>
      </c>
      <c r="P1541" s="24" t="str">
        <f>IF(AND(O1541="在职",J1541="是"),COUNTIF(O$2:O1541,"在职"),"")</f>
        <v/>
      </c>
    </row>
    <row r="1542" ht="18" spans="1:16">
      <c r="A1542" s="10">
        <f t="shared" si="29"/>
        <v>1541</v>
      </c>
      <c r="B1542" s="31">
        <v>46182</v>
      </c>
      <c r="C1542" s="32" t="s">
        <v>1668</v>
      </c>
      <c r="D1542" s="120" t="s">
        <v>484</v>
      </c>
      <c r="E1542" s="33" t="s">
        <v>42</v>
      </c>
      <c r="F1542" s="18" t="s">
        <v>63</v>
      </c>
      <c r="G1542" s="18" t="s">
        <v>129</v>
      </c>
      <c r="H1542" s="34" t="s">
        <v>85</v>
      </c>
      <c r="I1542" s="18" t="s">
        <v>104</v>
      </c>
      <c r="J1542" s="31" t="s">
        <v>114</v>
      </c>
      <c r="K1542" s="31">
        <v>46183</v>
      </c>
      <c r="N1542" s="13" t="s">
        <v>29</v>
      </c>
      <c r="O1542" s="24" t="str">
        <f>IF(D1542="","",IF(COUNTIF(离职清单!C:C,D1542)&gt;0,"已离职","在职"))</f>
        <v>在职</v>
      </c>
      <c r="P1542" s="24">
        <f>IF(AND(O1542="在职",J1542="是"),COUNTIF(O$2:O1542,"在职"),"")</f>
        <v>1535</v>
      </c>
    </row>
    <row r="1543" ht="18" spans="1:16">
      <c r="A1543" s="14">
        <f t="shared" si="29"/>
        <v>1542</v>
      </c>
      <c r="B1543" s="31">
        <v>46182</v>
      </c>
      <c r="C1543" s="32" t="s">
        <v>1669</v>
      </c>
      <c r="D1543" s="120" t="s">
        <v>486</v>
      </c>
      <c r="E1543" s="33" t="s">
        <v>42</v>
      </c>
      <c r="F1543" s="18" t="s">
        <v>64</v>
      </c>
      <c r="G1543" s="18" t="s">
        <v>129</v>
      </c>
      <c r="H1543" s="34" t="s">
        <v>85</v>
      </c>
      <c r="I1543" s="18" t="s">
        <v>104</v>
      </c>
      <c r="J1543" s="31" t="s">
        <v>105</v>
      </c>
      <c r="K1543" s="31"/>
      <c r="N1543" s="13" t="s">
        <v>29</v>
      </c>
      <c r="O1543" s="24" t="str">
        <f>IF(D1543="","",IF(COUNTIF(离职清单!C:C,D1543)&gt;0,"已离职","在职"))</f>
        <v>在职</v>
      </c>
      <c r="P1543" s="24" t="str">
        <f>IF(AND(O1543="在职",J1543="是"),COUNTIF(O$2:O1543,"在职"),"")</f>
        <v/>
      </c>
    </row>
    <row r="1544" ht="18" spans="1:16">
      <c r="A1544" s="10">
        <f t="shared" si="29"/>
        <v>1543</v>
      </c>
      <c r="B1544" s="31">
        <v>46182</v>
      </c>
      <c r="C1544" s="32" t="s">
        <v>1670</v>
      </c>
      <c r="D1544" s="120" t="s">
        <v>488</v>
      </c>
      <c r="E1544" s="33" t="s">
        <v>42</v>
      </c>
      <c r="F1544" s="18" t="s">
        <v>63</v>
      </c>
      <c r="G1544" s="18" t="s">
        <v>176</v>
      </c>
      <c r="H1544" s="34" t="s">
        <v>85</v>
      </c>
      <c r="I1544" s="18" t="s">
        <v>104</v>
      </c>
      <c r="J1544" s="31" t="s">
        <v>114</v>
      </c>
      <c r="K1544" s="31">
        <v>46184</v>
      </c>
      <c r="N1544" s="13" t="s">
        <v>29</v>
      </c>
      <c r="O1544" s="24" t="str">
        <f>IF(D1544="","",IF(COUNTIF(离职清单!C:C,D1544)&gt;0,"已离职","在职"))</f>
        <v>在职</v>
      </c>
      <c r="P1544" s="24">
        <f>IF(AND(O1544="在职",J1544="是"),COUNTIF(O$2:O1544,"在职"),"")</f>
        <v>1537</v>
      </c>
    </row>
    <row r="1545" ht="18" spans="1:16">
      <c r="A1545" s="14">
        <f t="shared" si="29"/>
        <v>1544</v>
      </c>
      <c r="B1545" s="31">
        <v>46182</v>
      </c>
      <c r="C1545" s="32" t="s">
        <v>1671</v>
      </c>
      <c r="D1545" s="120" t="s">
        <v>490</v>
      </c>
      <c r="E1545" s="33" t="s">
        <v>42</v>
      </c>
      <c r="F1545" s="18" t="s">
        <v>62</v>
      </c>
      <c r="G1545" s="18" t="s">
        <v>176</v>
      </c>
      <c r="H1545" s="34" t="s">
        <v>85</v>
      </c>
      <c r="I1545" s="18" t="s">
        <v>104</v>
      </c>
      <c r="J1545" s="31" t="s">
        <v>105</v>
      </c>
      <c r="K1545" s="31"/>
      <c r="N1545" s="13" t="s">
        <v>29</v>
      </c>
      <c r="O1545" s="24" t="str">
        <f>IF(D1545="","",IF(COUNTIF(离职清单!C:C,D1545)&gt;0,"已离职","在职"))</f>
        <v>在职</v>
      </c>
      <c r="P1545" s="24" t="str">
        <f>IF(AND(O1545="在职",J1545="是"),COUNTIF(O$2:O1545,"在职"),"")</f>
        <v/>
      </c>
    </row>
    <row r="1546" ht="18" spans="1:16">
      <c r="A1546" s="10">
        <f t="shared" si="29"/>
        <v>1545</v>
      </c>
      <c r="B1546" s="31">
        <v>46182</v>
      </c>
      <c r="C1546" s="32" t="s">
        <v>1161</v>
      </c>
      <c r="D1546" s="120" t="s">
        <v>492</v>
      </c>
      <c r="E1546" s="33" t="s">
        <v>42</v>
      </c>
      <c r="F1546" s="18" t="s">
        <v>63</v>
      </c>
      <c r="G1546" s="18" t="s">
        <v>176</v>
      </c>
      <c r="H1546" s="34" t="s">
        <v>85</v>
      </c>
      <c r="I1546" s="18" t="s">
        <v>104</v>
      </c>
      <c r="J1546" s="31" t="s">
        <v>105</v>
      </c>
      <c r="K1546" s="31">
        <v>46186</v>
      </c>
      <c r="N1546" s="13" t="s">
        <v>29</v>
      </c>
      <c r="O1546" s="24" t="str">
        <f>IF(D1546="","",IF(COUNTIF(离职清单!C:C,D1546)&gt;0,"已离职","在职"))</f>
        <v>在职</v>
      </c>
      <c r="P1546" s="24" t="str">
        <f>IF(AND(O1546="在职",J1546="是"),COUNTIF(O$2:O1546,"在职"),"")</f>
        <v/>
      </c>
    </row>
    <row r="1547" ht="18" spans="1:16">
      <c r="A1547" s="14">
        <f t="shared" si="29"/>
        <v>1546</v>
      </c>
      <c r="B1547" s="31">
        <v>46182</v>
      </c>
      <c r="C1547" s="32" t="s">
        <v>1672</v>
      </c>
      <c r="D1547" s="120" t="s">
        <v>477</v>
      </c>
      <c r="E1547" s="33" t="s">
        <v>42</v>
      </c>
      <c r="F1547" s="18" t="s">
        <v>63</v>
      </c>
      <c r="G1547" s="18" t="s">
        <v>176</v>
      </c>
      <c r="H1547" s="34" t="s">
        <v>85</v>
      </c>
      <c r="I1547" s="18" t="s">
        <v>104</v>
      </c>
      <c r="J1547" s="31" t="s">
        <v>114</v>
      </c>
      <c r="K1547" s="31">
        <v>46183</v>
      </c>
      <c r="N1547" s="13" t="s">
        <v>29</v>
      </c>
      <c r="O1547" s="24" t="str">
        <f>IF(D1547="","",IF(COUNTIF(离职清单!C:C,D1547)&gt;0,"已离职","在职"))</f>
        <v>在职</v>
      </c>
      <c r="P1547" s="24">
        <f>IF(AND(O1547="在职",J1547="是"),COUNTIF(O$2:O1547,"在职"),"")</f>
        <v>1540</v>
      </c>
    </row>
    <row r="1548" ht="18" spans="1:16">
      <c r="A1548" s="10">
        <f t="shared" si="29"/>
        <v>1547</v>
      </c>
      <c r="B1548" s="31">
        <v>46182</v>
      </c>
      <c r="C1548" s="32" t="s">
        <v>1673</v>
      </c>
      <c r="D1548" s="120" t="s">
        <v>478</v>
      </c>
      <c r="E1548" s="33" t="s">
        <v>42</v>
      </c>
      <c r="F1548" s="18" t="s">
        <v>63</v>
      </c>
      <c r="G1548" s="18" t="s">
        <v>176</v>
      </c>
      <c r="H1548" s="34" t="s">
        <v>85</v>
      </c>
      <c r="I1548" s="18" t="s">
        <v>104</v>
      </c>
      <c r="J1548" s="31" t="s">
        <v>114</v>
      </c>
      <c r="K1548" s="31"/>
      <c r="N1548" s="13" t="s">
        <v>29</v>
      </c>
      <c r="O1548" s="24" t="str">
        <f>IF(D1548="","",IF(COUNTIF(离职清单!C:C,D1548)&gt;0,"已离职","在职"))</f>
        <v>在职</v>
      </c>
      <c r="P1548" s="24">
        <f>IF(AND(O1548="在职",J1548="是"),COUNTIF(O$2:O1548,"在职"),"")</f>
        <v>1541</v>
      </c>
    </row>
    <row r="1549" ht="18" spans="1:16">
      <c r="A1549" s="14">
        <f t="shared" si="29"/>
        <v>1548</v>
      </c>
      <c r="B1549" s="31">
        <v>46182</v>
      </c>
      <c r="C1549" s="32" t="s">
        <v>1674</v>
      </c>
      <c r="D1549" s="120" t="s">
        <v>480</v>
      </c>
      <c r="E1549" s="33" t="s">
        <v>42</v>
      </c>
      <c r="F1549" s="18" t="s">
        <v>63</v>
      </c>
      <c r="G1549" s="18" t="s">
        <v>176</v>
      </c>
      <c r="H1549" s="34" t="s">
        <v>85</v>
      </c>
      <c r="I1549" s="18" t="s">
        <v>104</v>
      </c>
      <c r="J1549" s="31" t="s">
        <v>114</v>
      </c>
      <c r="K1549" s="31">
        <v>46183</v>
      </c>
      <c r="N1549" s="13" t="s">
        <v>29</v>
      </c>
      <c r="O1549" s="24" t="str">
        <f>IF(D1549="","",IF(COUNTIF(离职清单!C:C,D1549)&gt;0,"已离职","在职"))</f>
        <v>在职</v>
      </c>
      <c r="P1549" s="24">
        <f>IF(AND(O1549="在职",J1549="是"),COUNTIF(O$2:O1549,"在职"),"")</f>
        <v>1542</v>
      </c>
    </row>
    <row r="1550" ht="18" spans="1:16">
      <c r="A1550" s="10">
        <f t="shared" si="29"/>
        <v>1549</v>
      </c>
      <c r="B1550" s="31">
        <v>46182</v>
      </c>
      <c r="C1550" s="32" t="s">
        <v>1675</v>
      </c>
      <c r="D1550" s="120" t="s">
        <v>482</v>
      </c>
      <c r="E1550" s="33" t="s">
        <v>42</v>
      </c>
      <c r="F1550" s="18" t="s">
        <v>62</v>
      </c>
      <c r="G1550" s="18" t="s">
        <v>505</v>
      </c>
      <c r="H1550" s="34" t="s">
        <v>85</v>
      </c>
      <c r="I1550" s="18" t="s">
        <v>104</v>
      </c>
      <c r="J1550" s="31" t="s">
        <v>105</v>
      </c>
      <c r="K1550" s="31"/>
      <c r="N1550" s="13" t="s">
        <v>29</v>
      </c>
      <c r="O1550" s="24" t="str">
        <f>IF(D1550="","",IF(COUNTIF(离职清单!C:C,D1550)&gt;0,"已离职","在职"))</f>
        <v>在职</v>
      </c>
      <c r="P1550" s="24" t="str">
        <f>IF(AND(O1550="在职",J1550="是"),COUNTIF(O$2:O1550,"在职"),"")</f>
        <v/>
      </c>
    </row>
    <row r="1551" ht="18" spans="1:16">
      <c r="A1551" s="14">
        <f t="shared" si="29"/>
        <v>1550</v>
      </c>
      <c r="B1551" s="31">
        <v>46182</v>
      </c>
      <c r="C1551" s="32" t="s">
        <v>763</v>
      </c>
      <c r="D1551" s="120" t="s">
        <v>484</v>
      </c>
      <c r="E1551" s="33" t="s">
        <v>42</v>
      </c>
      <c r="F1551" s="18" t="s">
        <v>64</v>
      </c>
      <c r="G1551" s="18" t="s">
        <v>509</v>
      </c>
      <c r="H1551" s="34" t="s">
        <v>85</v>
      </c>
      <c r="I1551" s="18" t="s">
        <v>104</v>
      </c>
      <c r="J1551" s="31" t="s">
        <v>105</v>
      </c>
      <c r="K1551" s="31"/>
      <c r="N1551" s="13" t="s">
        <v>29</v>
      </c>
      <c r="O1551" s="24" t="str">
        <f>IF(D1551="","",IF(COUNTIF(离职清单!C:C,D1551)&gt;0,"已离职","在职"))</f>
        <v>在职</v>
      </c>
      <c r="P1551" s="24" t="str">
        <f>IF(AND(O1551="在职",J1551="是"),COUNTIF(O$2:O1551,"在职"),"")</f>
        <v/>
      </c>
    </row>
    <row r="1552" ht="18" spans="1:16">
      <c r="A1552" s="10">
        <f t="shared" si="29"/>
        <v>1551</v>
      </c>
      <c r="B1552" s="31">
        <v>46182</v>
      </c>
      <c r="C1552" s="32" t="s">
        <v>1676</v>
      </c>
      <c r="D1552" s="120" t="s">
        <v>486</v>
      </c>
      <c r="E1552" s="33" t="s">
        <v>42</v>
      </c>
      <c r="F1552" s="18" t="s">
        <v>63</v>
      </c>
      <c r="G1552" s="18" t="s">
        <v>509</v>
      </c>
      <c r="H1552" s="34" t="s">
        <v>85</v>
      </c>
      <c r="I1552" s="18" t="s">
        <v>104</v>
      </c>
      <c r="J1552" s="31" t="s">
        <v>105</v>
      </c>
      <c r="K1552" s="31"/>
      <c r="N1552" s="13" t="s">
        <v>29</v>
      </c>
      <c r="O1552" s="24" t="str">
        <f>IF(D1552="","",IF(COUNTIF(离职清单!C:C,D1552)&gt;0,"已离职","在职"))</f>
        <v>在职</v>
      </c>
      <c r="P1552" s="24" t="str">
        <f>IF(AND(O1552="在职",J1552="是"),COUNTIF(O$2:O1552,"在职"),"")</f>
        <v/>
      </c>
    </row>
    <row r="1553" ht="18" spans="1:16">
      <c r="A1553" s="14">
        <f t="shared" si="29"/>
        <v>1552</v>
      </c>
      <c r="B1553" s="31">
        <v>46182</v>
      </c>
      <c r="C1553" s="32" t="s">
        <v>1677</v>
      </c>
      <c r="D1553" s="120" t="s">
        <v>488</v>
      </c>
      <c r="E1553" s="33" t="s">
        <v>42</v>
      </c>
      <c r="F1553" s="18" t="s">
        <v>63</v>
      </c>
      <c r="G1553" s="18" t="s">
        <v>509</v>
      </c>
      <c r="H1553" s="34" t="s">
        <v>85</v>
      </c>
      <c r="I1553" s="18" t="s">
        <v>104</v>
      </c>
      <c r="J1553" s="31" t="s">
        <v>105</v>
      </c>
      <c r="K1553" s="31">
        <v>46183</v>
      </c>
      <c r="N1553" s="13" t="s">
        <v>29</v>
      </c>
      <c r="O1553" s="24" t="str">
        <f>IF(D1553="","",IF(COUNTIF(离职清单!C:C,D1553)&gt;0,"已离职","在职"))</f>
        <v>在职</v>
      </c>
      <c r="P1553" s="24" t="str">
        <f>IF(AND(O1553="在职",J1553="是"),COUNTIF(O$2:O1553,"在职"),"")</f>
        <v/>
      </c>
    </row>
    <row r="1554" ht="18" spans="1:16">
      <c r="A1554" s="10">
        <f t="shared" si="29"/>
        <v>1553</v>
      </c>
      <c r="B1554" s="31">
        <v>46182</v>
      </c>
      <c r="C1554" s="32" t="s">
        <v>1678</v>
      </c>
      <c r="D1554" s="120" t="s">
        <v>490</v>
      </c>
      <c r="E1554" s="33" t="s">
        <v>42</v>
      </c>
      <c r="F1554" s="18" t="s">
        <v>64</v>
      </c>
      <c r="G1554" s="18" t="s">
        <v>148</v>
      </c>
      <c r="H1554" s="34" t="s">
        <v>85</v>
      </c>
      <c r="I1554" s="18" t="s">
        <v>104</v>
      </c>
      <c r="J1554" s="31" t="s">
        <v>105</v>
      </c>
      <c r="K1554" s="31"/>
      <c r="N1554" s="13" t="s">
        <v>29</v>
      </c>
      <c r="O1554" s="24" t="str">
        <f>IF(D1554="","",IF(COUNTIF(离职清单!C:C,D1554)&gt;0,"已离职","在职"))</f>
        <v>在职</v>
      </c>
      <c r="P1554" s="24" t="str">
        <f>IF(AND(O1554="在职",J1554="是"),COUNTIF(O$2:O1554,"在职"),"")</f>
        <v/>
      </c>
    </row>
    <row r="1555" ht="18" spans="1:16">
      <c r="A1555" s="14">
        <f t="shared" si="29"/>
        <v>1554</v>
      </c>
      <c r="B1555" s="31">
        <v>46182</v>
      </c>
      <c r="C1555" s="32" t="s">
        <v>1679</v>
      </c>
      <c r="D1555" s="120" t="s">
        <v>492</v>
      </c>
      <c r="E1555" s="33" t="s">
        <v>42</v>
      </c>
      <c r="F1555" s="18" t="s">
        <v>64</v>
      </c>
      <c r="G1555" s="18" t="s">
        <v>148</v>
      </c>
      <c r="H1555" s="34" t="s">
        <v>85</v>
      </c>
      <c r="I1555" s="18" t="s">
        <v>104</v>
      </c>
      <c r="J1555" s="31" t="s">
        <v>105</v>
      </c>
      <c r="K1555" s="31"/>
      <c r="N1555" s="13" t="s">
        <v>29</v>
      </c>
      <c r="O1555" s="24" t="str">
        <f>IF(D1555="","",IF(COUNTIF(离职清单!C:C,D1555)&gt;0,"已离职","在职"))</f>
        <v>在职</v>
      </c>
      <c r="P1555" s="24" t="str">
        <f>IF(AND(O1555="在职",J1555="是"),COUNTIF(O$2:O1555,"在职"),"")</f>
        <v/>
      </c>
    </row>
    <row r="1556" ht="18" spans="1:16">
      <c r="A1556" s="10">
        <f t="shared" si="29"/>
        <v>1555</v>
      </c>
      <c r="B1556" s="31">
        <v>46182</v>
      </c>
      <c r="C1556" s="32" t="s">
        <v>1680</v>
      </c>
      <c r="D1556" s="120" t="s">
        <v>477</v>
      </c>
      <c r="E1556" s="33" t="s">
        <v>42</v>
      </c>
      <c r="F1556" s="18" t="s">
        <v>64</v>
      </c>
      <c r="G1556" s="18" t="s">
        <v>148</v>
      </c>
      <c r="H1556" s="34" t="s">
        <v>85</v>
      </c>
      <c r="I1556" s="18" t="s">
        <v>104</v>
      </c>
      <c r="J1556" s="31" t="s">
        <v>105</v>
      </c>
      <c r="K1556" s="31"/>
      <c r="N1556" s="13" t="s">
        <v>29</v>
      </c>
      <c r="O1556" s="24" t="str">
        <f>IF(D1556="","",IF(COUNTIF(离职清单!C:C,D1556)&gt;0,"已离职","在职"))</f>
        <v>在职</v>
      </c>
      <c r="P1556" s="24" t="str">
        <f>IF(AND(O1556="在职",J1556="是"),COUNTIF(O$2:O1556,"在职"),"")</f>
        <v/>
      </c>
    </row>
    <row r="1557" ht="18" spans="1:16">
      <c r="A1557" s="14">
        <f t="shared" si="29"/>
        <v>1556</v>
      </c>
      <c r="B1557" s="31">
        <v>46182</v>
      </c>
      <c r="C1557" s="32" t="s">
        <v>920</v>
      </c>
      <c r="D1557" s="120" t="s">
        <v>477</v>
      </c>
      <c r="E1557" s="33" t="s">
        <v>42</v>
      </c>
      <c r="F1557" s="18" t="s">
        <v>64</v>
      </c>
      <c r="G1557" s="18" t="s">
        <v>148</v>
      </c>
      <c r="H1557" s="34" t="s">
        <v>85</v>
      </c>
      <c r="I1557" s="18" t="s">
        <v>104</v>
      </c>
      <c r="J1557" s="31" t="s">
        <v>105</v>
      </c>
      <c r="K1557" s="31"/>
      <c r="N1557" s="13" t="s">
        <v>29</v>
      </c>
      <c r="O1557" s="24" t="str">
        <f>IF(D1557="","",IF(COUNTIF(离职清单!C:C,D1557)&gt;0,"已离职","在职"))</f>
        <v>在职</v>
      </c>
      <c r="P1557" s="24" t="str">
        <f>IF(AND(O1557="在职",J1557="是"),COUNTIF(O$2:O1557,"在职"),"")</f>
        <v/>
      </c>
    </row>
    <row r="1558" ht="18" spans="1:16">
      <c r="A1558" s="10">
        <f t="shared" si="29"/>
        <v>1557</v>
      </c>
      <c r="B1558" s="31">
        <v>46182</v>
      </c>
      <c r="C1558" s="32" t="s">
        <v>1681</v>
      </c>
      <c r="D1558" s="120" t="s">
        <v>478</v>
      </c>
      <c r="E1558" s="33" t="s">
        <v>42</v>
      </c>
      <c r="F1558" s="18" t="s">
        <v>63</v>
      </c>
      <c r="G1558" s="18" t="s">
        <v>148</v>
      </c>
      <c r="H1558" s="34" t="s">
        <v>85</v>
      </c>
      <c r="I1558" s="18" t="s">
        <v>104</v>
      </c>
      <c r="J1558" s="31" t="s">
        <v>105</v>
      </c>
      <c r="K1558" s="31"/>
      <c r="N1558" s="13" t="s">
        <v>29</v>
      </c>
      <c r="O1558" s="24" t="str">
        <f>IF(D1558="","",IF(COUNTIF(离职清单!C:C,D1558)&gt;0,"已离职","在职"))</f>
        <v>在职</v>
      </c>
      <c r="P1558" s="24" t="str">
        <f>IF(AND(O1558="在职",J1558="是"),COUNTIF(O$2:O1558,"在职"),"")</f>
        <v/>
      </c>
    </row>
    <row r="1559" ht="18" spans="1:16">
      <c r="A1559" s="14">
        <f t="shared" si="29"/>
        <v>1558</v>
      </c>
      <c r="B1559" s="31">
        <v>46182</v>
      </c>
      <c r="C1559" s="32" t="s">
        <v>1682</v>
      </c>
      <c r="D1559" s="120" t="s">
        <v>480</v>
      </c>
      <c r="E1559" s="33" t="s">
        <v>42</v>
      </c>
      <c r="F1559" s="18" t="s">
        <v>64</v>
      </c>
      <c r="G1559" s="18" t="s">
        <v>148</v>
      </c>
      <c r="H1559" s="34" t="s">
        <v>85</v>
      </c>
      <c r="I1559" s="18" t="s">
        <v>104</v>
      </c>
      <c r="J1559" s="31" t="s">
        <v>105</v>
      </c>
      <c r="K1559" s="31"/>
      <c r="N1559" s="13" t="s">
        <v>29</v>
      </c>
      <c r="O1559" s="24" t="str">
        <f>IF(D1559="","",IF(COUNTIF(离职清单!C:C,D1559)&gt;0,"已离职","在职"))</f>
        <v>在职</v>
      </c>
      <c r="P1559" s="24" t="str">
        <f>IF(AND(O1559="在职",J1559="是"),COUNTIF(O$2:O1559,"在职"),"")</f>
        <v/>
      </c>
    </row>
    <row r="1560" ht="18" spans="1:16">
      <c r="A1560" s="10">
        <f t="shared" si="29"/>
        <v>1559</v>
      </c>
      <c r="B1560" s="31">
        <v>46182</v>
      </c>
      <c r="C1560" s="32" t="s">
        <v>1683</v>
      </c>
      <c r="D1560" s="120" t="s">
        <v>482</v>
      </c>
      <c r="E1560" s="33" t="s">
        <v>42</v>
      </c>
      <c r="F1560" s="18" t="s">
        <v>63</v>
      </c>
      <c r="G1560" s="18" t="s">
        <v>148</v>
      </c>
      <c r="H1560" s="34" t="s">
        <v>85</v>
      </c>
      <c r="I1560" s="18" t="s">
        <v>104</v>
      </c>
      <c r="J1560" s="31" t="s">
        <v>114</v>
      </c>
      <c r="K1560" s="31">
        <v>46184</v>
      </c>
      <c r="N1560" s="13" t="s">
        <v>29</v>
      </c>
      <c r="O1560" s="24" t="str">
        <f>IF(D1560="","",IF(COUNTIF(离职清单!C:C,D1560)&gt;0,"已离职","在职"))</f>
        <v>在职</v>
      </c>
      <c r="P1560" s="24">
        <f>IF(AND(O1560="在职",J1560="是"),COUNTIF(O$2:O1560,"在职"),"")</f>
        <v>1553</v>
      </c>
    </row>
    <row r="1561" ht="18" spans="1:16">
      <c r="A1561" s="14">
        <f t="shared" si="29"/>
        <v>1560</v>
      </c>
      <c r="B1561" s="31">
        <v>46182</v>
      </c>
      <c r="C1561" s="32" t="s">
        <v>1684</v>
      </c>
      <c r="D1561" s="120" t="s">
        <v>484</v>
      </c>
      <c r="E1561" s="33" t="s">
        <v>42</v>
      </c>
      <c r="F1561" s="18" t="s">
        <v>63</v>
      </c>
      <c r="G1561" s="18" t="s">
        <v>148</v>
      </c>
      <c r="H1561" s="34" t="s">
        <v>85</v>
      </c>
      <c r="I1561" s="18" t="s">
        <v>104</v>
      </c>
      <c r="J1561" s="31" t="s">
        <v>105</v>
      </c>
      <c r="K1561" s="31"/>
      <c r="N1561" s="13" t="s">
        <v>29</v>
      </c>
      <c r="O1561" s="24" t="str">
        <f>IF(D1561="","",IF(COUNTIF(离职清单!C:C,D1561)&gt;0,"已离职","在职"))</f>
        <v>在职</v>
      </c>
      <c r="P1561" s="24" t="str">
        <f>IF(AND(O1561="在职",J1561="是"),COUNTIF(O$2:O1561,"在职"),"")</f>
        <v/>
      </c>
    </row>
    <row r="1562" ht="18" spans="1:16">
      <c r="A1562" s="10">
        <f t="shared" si="29"/>
        <v>1561</v>
      </c>
      <c r="B1562" s="31">
        <v>46182</v>
      </c>
      <c r="C1562" s="32" t="s">
        <v>1685</v>
      </c>
      <c r="D1562" s="120" t="s">
        <v>486</v>
      </c>
      <c r="E1562" s="33" t="s">
        <v>42</v>
      </c>
      <c r="F1562" s="18" t="s">
        <v>62</v>
      </c>
      <c r="G1562" s="18" t="s">
        <v>148</v>
      </c>
      <c r="H1562" s="34" t="s">
        <v>85</v>
      </c>
      <c r="I1562" s="18" t="s">
        <v>104</v>
      </c>
      <c r="J1562" s="31" t="s">
        <v>114</v>
      </c>
      <c r="K1562" s="31">
        <v>46183</v>
      </c>
      <c r="N1562" s="13" t="s">
        <v>29</v>
      </c>
      <c r="O1562" s="24" t="str">
        <f>IF(D1562="","",IF(COUNTIF(离职清单!C:C,D1562)&gt;0,"已离职","在职"))</f>
        <v>在职</v>
      </c>
      <c r="P1562" s="24">
        <f>IF(AND(O1562="在职",J1562="是"),COUNTIF(O$2:O1562,"在职"),"")</f>
        <v>1555</v>
      </c>
    </row>
    <row r="1563" ht="18" spans="1:16">
      <c r="A1563" s="14">
        <f t="shared" si="29"/>
        <v>1562</v>
      </c>
      <c r="B1563" s="31">
        <v>46182</v>
      </c>
      <c r="C1563" s="32" t="s">
        <v>1686</v>
      </c>
      <c r="D1563" s="120" t="s">
        <v>488</v>
      </c>
      <c r="E1563" s="33" t="s">
        <v>42</v>
      </c>
      <c r="F1563" s="18" t="s">
        <v>62</v>
      </c>
      <c r="G1563" s="18" t="s">
        <v>148</v>
      </c>
      <c r="H1563" s="34" t="s">
        <v>85</v>
      </c>
      <c r="I1563" s="18" t="s">
        <v>104</v>
      </c>
      <c r="J1563" s="31" t="s">
        <v>114</v>
      </c>
      <c r="K1563" s="31">
        <v>46184</v>
      </c>
      <c r="N1563" s="13" t="s">
        <v>29</v>
      </c>
      <c r="O1563" s="24" t="str">
        <f>IF(D1563="","",IF(COUNTIF(离职清单!C:C,D1563)&gt;0,"已离职","在职"))</f>
        <v>在职</v>
      </c>
      <c r="P1563" s="24">
        <f>IF(AND(O1563="在职",J1563="是"),COUNTIF(O$2:O1563,"在职"),"")</f>
        <v>1556</v>
      </c>
    </row>
    <row r="1564" ht="18" spans="1:16">
      <c r="A1564" s="10">
        <f t="shared" si="29"/>
        <v>1563</v>
      </c>
      <c r="B1564" s="31">
        <v>46182</v>
      </c>
      <c r="C1564" s="32" t="s">
        <v>1687</v>
      </c>
      <c r="D1564" s="120" t="s">
        <v>490</v>
      </c>
      <c r="E1564" s="33" t="s">
        <v>42</v>
      </c>
      <c r="F1564" s="18" t="s">
        <v>62</v>
      </c>
      <c r="G1564" s="18" t="s">
        <v>148</v>
      </c>
      <c r="H1564" s="34" t="s">
        <v>85</v>
      </c>
      <c r="I1564" s="18" t="s">
        <v>104</v>
      </c>
      <c r="J1564" s="31" t="s">
        <v>114</v>
      </c>
      <c r="K1564" s="31">
        <v>46184</v>
      </c>
      <c r="N1564" s="13" t="s">
        <v>29</v>
      </c>
      <c r="O1564" s="24" t="str">
        <f>IF(D1564="","",IF(COUNTIF(离职清单!C:C,D1564)&gt;0,"已离职","在职"))</f>
        <v>在职</v>
      </c>
      <c r="P1564" s="24">
        <f>IF(AND(O1564="在职",J1564="是"),COUNTIF(O$2:O1564,"在职"),"")</f>
        <v>1557</v>
      </c>
    </row>
    <row r="1565" ht="18" spans="1:16">
      <c r="A1565" s="14">
        <f t="shared" si="29"/>
        <v>1564</v>
      </c>
      <c r="B1565" s="31">
        <v>46182</v>
      </c>
      <c r="C1565" s="32" t="s">
        <v>1688</v>
      </c>
      <c r="D1565" s="120" t="s">
        <v>492</v>
      </c>
      <c r="E1565" s="33" t="s">
        <v>42</v>
      </c>
      <c r="F1565" s="18" t="s">
        <v>63</v>
      </c>
      <c r="G1565" s="18" t="s">
        <v>124</v>
      </c>
      <c r="H1565" s="34" t="s">
        <v>85</v>
      </c>
      <c r="I1565" s="18" t="s">
        <v>104</v>
      </c>
      <c r="J1565" s="31" t="s">
        <v>114</v>
      </c>
      <c r="K1565" s="31">
        <v>46183</v>
      </c>
      <c r="N1565" s="13" t="s">
        <v>29</v>
      </c>
      <c r="O1565" s="24" t="str">
        <f>IF(D1565="","",IF(COUNTIF(离职清单!C:C,D1565)&gt;0,"已离职","在职"))</f>
        <v>在职</v>
      </c>
      <c r="P1565" s="24">
        <f>IF(AND(O1565="在职",J1565="是"),COUNTIF(O$2:O1565,"在职"),"")</f>
        <v>1558</v>
      </c>
    </row>
    <row r="1566" ht="18" spans="1:16">
      <c r="A1566" s="10">
        <f t="shared" si="29"/>
        <v>1565</v>
      </c>
      <c r="B1566" s="31">
        <v>46182</v>
      </c>
      <c r="C1566" s="32" t="s">
        <v>1689</v>
      </c>
      <c r="D1566" s="120" t="s">
        <v>477</v>
      </c>
      <c r="E1566" s="33" t="s">
        <v>42</v>
      </c>
      <c r="F1566" s="18" t="s">
        <v>64</v>
      </c>
      <c r="G1566" s="18" t="s">
        <v>1513</v>
      </c>
      <c r="H1566" s="34" t="s">
        <v>85</v>
      </c>
      <c r="I1566" s="18" t="s">
        <v>104</v>
      </c>
      <c r="J1566" s="31" t="s">
        <v>105</v>
      </c>
      <c r="K1566" s="31"/>
      <c r="N1566" s="13" t="s">
        <v>29</v>
      </c>
      <c r="O1566" s="24" t="str">
        <f>IF(D1566="","",IF(COUNTIF(离职清单!C:C,D1566)&gt;0,"已离职","在职"))</f>
        <v>在职</v>
      </c>
      <c r="P1566" s="24" t="str">
        <f>IF(AND(O1566="在职",J1566="是"),COUNTIF(O$2:O1566,"在职"),"")</f>
        <v/>
      </c>
    </row>
    <row r="1567" ht="18" spans="1:16">
      <c r="A1567" s="14">
        <f t="shared" si="29"/>
        <v>1566</v>
      </c>
      <c r="B1567" s="31">
        <v>46182</v>
      </c>
      <c r="C1567" s="32" t="s">
        <v>1690</v>
      </c>
      <c r="D1567" s="120" t="s">
        <v>478</v>
      </c>
      <c r="E1567" s="33" t="s">
        <v>42</v>
      </c>
      <c r="F1567" s="18" t="s">
        <v>62</v>
      </c>
      <c r="G1567" s="18" t="s">
        <v>233</v>
      </c>
      <c r="H1567" s="34" t="s">
        <v>85</v>
      </c>
      <c r="I1567" s="18" t="s">
        <v>104</v>
      </c>
      <c r="J1567" s="31" t="s">
        <v>105</v>
      </c>
      <c r="K1567" s="31"/>
      <c r="N1567" s="13" t="s">
        <v>29</v>
      </c>
      <c r="O1567" s="24" t="str">
        <f>IF(D1567="","",IF(COUNTIF(离职清单!C:C,D1567)&gt;0,"已离职","在职"))</f>
        <v>在职</v>
      </c>
      <c r="P1567" s="24" t="str">
        <f>IF(AND(O1567="在职",J1567="是"),COUNTIF(O$2:O1567,"在职"),"")</f>
        <v/>
      </c>
    </row>
    <row r="1568" ht="18" spans="1:16">
      <c r="A1568" s="10">
        <f t="shared" si="29"/>
        <v>1567</v>
      </c>
      <c r="B1568" s="31">
        <v>46182</v>
      </c>
      <c r="C1568" s="32" t="s">
        <v>1691</v>
      </c>
      <c r="D1568" s="120" t="s">
        <v>480</v>
      </c>
      <c r="E1568" s="33" t="s">
        <v>42</v>
      </c>
      <c r="F1568" s="18" t="s">
        <v>62</v>
      </c>
      <c r="G1568" s="18" t="s">
        <v>233</v>
      </c>
      <c r="H1568" s="34" t="s">
        <v>85</v>
      </c>
      <c r="I1568" s="18" t="s">
        <v>104</v>
      </c>
      <c r="J1568" s="31" t="s">
        <v>114</v>
      </c>
      <c r="K1568" s="31">
        <v>46183</v>
      </c>
      <c r="N1568" s="13" t="s">
        <v>29</v>
      </c>
      <c r="O1568" s="24" t="str">
        <f>IF(D1568="","",IF(COUNTIF(离职清单!C:C,D1568)&gt;0,"已离职","在职"))</f>
        <v>在职</v>
      </c>
      <c r="P1568" s="24">
        <f>IF(AND(O1568="在职",J1568="是"),COUNTIF(O$2:O1568,"在职"),"")</f>
        <v>1561</v>
      </c>
    </row>
    <row r="1569" ht="18" spans="1:16">
      <c r="A1569" s="14">
        <f t="shared" si="29"/>
        <v>1568</v>
      </c>
      <c r="B1569" s="31">
        <v>46182</v>
      </c>
      <c r="C1569" s="32" t="s">
        <v>1692</v>
      </c>
      <c r="D1569" s="120" t="s">
        <v>482</v>
      </c>
      <c r="E1569" s="33" t="s">
        <v>42</v>
      </c>
      <c r="F1569" s="18" t="s">
        <v>63</v>
      </c>
      <c r="G1569" s="18" t="s">
        <v>103</v>
      </c>
      <c r="H1569" s="34" t="s">
        <v>85</v>
      </c>
      <c r="I1569" s="18" t="s">
        <v>104</v>
      </c>
      <c r="J1569" s="31" t="s">
        <v>105</v>
      </c>
      <c r="K1569" s="31"/>
      <c r="N1569" s="13" t="s">
        <v>29</v>
      </c>
      <c r="O1569" s="24" t="str">
        <f>IF(D1569="","",IF(COUNTIF(离职清单!C:C,D1569)&gt;0,"已离职","在职"))</f>
        <v>在职</v>
      </c>
      <c r="P1569" s="24" t="str">
        <f>IF(AND(O1569="在职",J1569="是"),COUNTIF(O$2:O1569,"在职"),"")</f>
        <v/>
      </c>
    </row>
    <row r="1570" ht="18" spans="1:16">
      <c r="A1570" s="10">
        <f t="shared" si="29"/>
        <v>1569</v>
      </c>
      <c r="B1570" s="31">
        <v>46182</v>
      </c>
      <c r="C1570" s="32" t="s">
        <v>1693</v>
      </c>
      <c r="D1570" s="120" t="s">
        <v>484</v>
      </c>
      <c r="E1570" s="33" t="s">
        <v>42</v>
      </c>
      <c r="F1570" s="18" t="s">
        <v>63</v>
      </c>
      <c r="G1570" s="18" t="s">
        <v>103</v>
      </c>
      <c r="H1570" s="34" t="s">
        <v>85</v>
      </c>
      <c r="I1570" s="18" t="s">
        <v>104</v>
      </c>
      <c r="J1570" s="31" t="s">
        <v>105</v>
      </c>
      <c r="K1570" s="31">
        <v>46183</v>
      </c>
      <c r="N1570" s="13" t="s">
        <v>29</v>
      </c>
      <c r="O1570" s="24" t="str">
        <f>IF(D1570="","",IF(COUNTIF(离职清单!C:C,D1570)&gt;0,"已离职","在职"))</f>
        <v>在职</v>
      </c>
      <c r="P1570" s="24" t="str">
        <f>IF(AND(O1570="在职",J1570="是"),COUNTIF(O$2:O1570,"在职"),"")</f>
        <v/>
      </c>
    </row>
    <row r="1571" ht="18" spans="1:16">
      <c r="A1571" s="14">
        <f t="shared" si="29"/>
        <v>1570</v>
      </c>
      <c r="B1571" s="31">
        <v>46182</v>
      </c>
      <c r="C1571" s="32" t="s">
        <v>1694</v>
      </c>
      <c r="D1571" s="120" t="s">
        <v>486</v>
      </c>
      <c r="E1571" s="33" t="s">
        <v>42</v>
      </c>
      <c r="F1571" s="18" t="s">
        <v>64</v>
      </c>
      <c r="G1571" s="18" t="s">
        <v>117</v>
      </c>
      <c r="H1571" s="34" t="s">
        <v>85</v>
      </c>
      <c r="I1571" s="18" t="s">
        <v>104</v>
      </c>
      <c r="J1571" s="31" t="s">
        <v>105</v>
      </c>
      <c r="K1571" s="31"/>
      <c r="N1571" s="13" t="s">
        <v>29</v>
      </c>
      <c r="O1571" s="24" t="str">
        <f>IF(D1571="","",IF(COUNTIF(离职清单!C:C,D1571)&gt;0,"已离职","在职"))</f>
        <v>在职</v>
      </c>
      <c r="P1571" s="24" t="str">
        <f>IF(AND(O1571="在职",J1571="是"),COUNTIF(O$2:O1571,"在职"),"")</f>
        <v/>
      </c>
    </row>
    <row r="1572" ht="18" spans="1:16">
      <c r="A1572" s="10">
        <f t="shared" si="29"/>
        <v>1571</v>
      </c>
      <c r="B1572" s="31">
        <v>46182</v>
      </c>
      <c r="C1572" s="32" t="s">
        <v>1695</v>
      </c>
      <c r="D1572" s="120" t="s">
        <v>488</v>
      </c>
      <c r="E1572" s="33" t="s">
        <v>42</v>
      </c>
      <c r="F1572" s="18" t="s">
        <v>64</v>
      </c>
      <c r="G1572" s="18" t="s">
        <v>117</v>
      </c>
      <c r="H1572" s="34" t="s">
        <v>85</v>
      </c>
      <c r="I1572" s="18" t="s">
        <v>104</v>
      </c>
      <c r="J1572" s="31" t="s">
        <v>105</v>
      </c>
      <c r="K1572" s="31"/>
      <c r="N1572" s="13" t="s">
        <v>29</v>
      </c>
      <c r="O1572" s="24" t="str">
        <f>IF(D1572="","",IF(COUNTIF(离职清单!C:C,D1572)&gt;0,"已离职","在职"))</f>
        <v>在职</v>
      </c>
      <c r="P1572" s="24" t="str">
        <f>IF(AND(O1572="在职",J1572="是"),COUNTIF(O$2:O1572,"在职"),"")</f>
        <v/>
      </c>
    </row>
    <row r="1573" ht="18" spans="1:16">
      <c r="A1573" s="14">
        <f t="shared" si="29"/>
        <v>1572</v>
      </c>
      <c r="B1573" s="31">
        <v>46182</v>
      </c>
      <c r="C1573" s="32" t="s">
        <v>1696</v>
      </c>
      <c r="D1573" s="120" t="s">
        <v>490</v>
      </c>
      <c r="E1573" s="33" t="s">
        <v>42</v>
      </c>
      <c r="F1573" s="18" t="s">
        <v>63</v>
      </c>
      <c r="G1573" s="18" t="s">
        <v>117</v>
      </c>
      <c r="H1573" s="34" t="s">
        <v>85</v>
      </c>
      <c r="I1573" s="18" t="s">
        <v>104</v>
      </c>
      <c r="J1573" s="31" t="s">
        <v>114</v>
      </c>
      <c r="K1573" s="31">
        <v>46183</v>
      </c>
      <c r="N1573" s="13" t="s">
        <v>29</v>
      </c>
      <c r="O1573" s="24" t="str">
        <f>IF(D1573="","",IF(COUNTIF(离职清单!C:C,D1573)&gt;0,"已离职","在职"))</f>
        <v>在职</v>
      </c>
      <c r="P1573" s="24">
        <f>IF(AND(O1573="在职",J1573="是"),COUNTIF(O$2:O1573,"在职"),"")</f>
        <v>1566</v>
      </c>
    </row>
    <row r="1574" ht="18" spans="1:16">
      <c r="A1574" s="10">
        <f t="shared" si="29"/>
        <v>1573</v>
      </c>
      <c r="B1574" s="31">
        <v>46182</v>
      </c>
      <c r="C1574" s="32" t="s">
        <v>1697</v>
      </c>
      <c r="D1574" s="120" t="s">
        <v>492</v>
      </c>
      <c r="E1574" s="33" t="s">
        <v>42</v>
      </c>
      <c r="F1574" s="18" t="s">
        <v>64</v>
      </c>
      <c r="G1574" s="18" t="s">
        <v>117</v>
      </c>
      <c r="H1574" s="34" t="s">
        <v>85</v>
      </c>
      <c r="I1574" s="18" t="s">
        <v>104</v>
      </c>
      <c r="J1574" s="31" t="s">
        <v>105</v>
      </c>
      <c r="K1574" s="31"/>
      <c r="N1574" s="13" t="s">
        <v>29</v>
      </c>
      <c r="O1574" s="24" t="str">
        <f>IF(D1574="","",IF(COUNTIF(离职清单!C:C,D1574)&gt;0,"已离职","在职"))</f>
        <v>在职</v>
      </c>
      <c r="P1574" s="24" t="str">
        <f>IF(AND(O1574="在职",J1574="是"),COUNTIF(O$2:O1574,"在职"),"")</f>
        <v/>
      </c>
    </row>
    <row r="1575" ht="18" spans="1:16">
      <c r="A1575" s="14">
        <f t="shared" si="29"/>
        <v>1574</v>
      </c>
      <c r="B1575" s="31">
        <v>46182</v>
      </c>
      <c r="C1575" s="32" t="s">
        <v>1698</v>
      </c>
      <c r="D1575" s="120" t="s">
        <v>477</v>
      </c>
      <c r="E1575" s="33" t="s">
        <v>42</v>
      </c>
      <c r="F1575" s="18" t="s">
        <v>64</v>
      </c>
      <c r="G1575" s="18" t="s">
        <v>117</v>
      </c>
      <c r="H1575" s="34" t="s">
        <v>85</v>
      </c>
      <c r="I1575" s="18" t="s">
        <v>104</v>
      </c>
      <c r="J1575" s="31" t="s">
        <v>105</v>
      </c>
      <c r="K1575" s="31"/>
      <c r="N1575" s="13" t="s">
        <v>29</v>
      </c>
      <c r="O1575" s="24" t="str">
        <f>IF(D1575="","",IF(COUNTIF(离职清单!C:C,D1575)&gt;0,"已离职","在职"))</f>
        <v>在职</v>
      </c>
      <c r="P1575" s="24" t="str">
        <f>IF(AND(O1575="在职",J1575="是"),COUNTIF(O$2:O1575,"在职"),"")</f>
        <v/>
      </c>
    </row>
    <row r="1576" ht="18" spans="1:16">
      <c r="A1576" s="10">
        <f t="shared" si="29"/>
        <v>1575</v>
      </c>
      <c r="B1576" s="31">
        <v>46182</v>
      </c>
      <c r="C1576" s="32" t="s">
        <v>1699</v>
      </c>
      <c r="D1576" s="120" t="s">
        <v>478</v>
      </c>
      <c r="E1576" s="33" t="s">
        <v>42</v>
      </c>
      <c r="F1576" s="18" t="s">
        <v>63</v>
      </c>
      <c r="G1576" s="18" t="s">
        <v>117</v>
      </c>
      <c r="H1576" s="34" t="s">
        <v>85</v>
      </c>
      <c r="I1576" s="18" t="s">
        <v>104</v>
      </c>
      <c r="J1576" s="31" t="s">
        <v>114</v>
      </c>
      <c r="K1576" s="31">
        <v>46183</v>
      </c>
      <c r="N1576" s="13" t="s">
        <v>29</v>
      </c>
      <c r="O1576" s="24" t="str">
        <f>IF(D1576="","",IF(COUNTIF(离职清单!C:C,D1576)&gt;0,"已离职","在职"))</f>
        <v>在职</v>
      </c>
      <c r="P1576" s="24">
        <f>IF(AND(O1576="在职",J1576="是"),COUNTIF(O$2:O1576,"在职"),"")</f>
        <v>1569</v>
      </c>
    </row>
    <row r="1577" ht="18" spans="1:16">
      <c r="A1577" s="14">
        <f t="shared" si="29"/>
        <v>1576</v>
      </c>
      <c r="B1577" s="31">
        <v>46182</v>
      </c>
      <c r="C1577" s="32" t="s">
        <v>1700</v>
      </c>
      <c r="D1577" s="120" t="s">
        <v>480</v>
      </c>
      <c r="E1577" s="33" t="s">
        <v>42</v>
      </c>
      <c r="F1577" s="18" t="s">
        <v>63</v>
      </c>
      <c r="G1577" s="18" t="s">
        <v>117</v>
      </c>
      <c r="H1577" s="34" t="s">
        <v>85</v>
      </c>
      <c r="I1577" s="18" t="s">
        <v>104</v>
      </c>
      <c r="J1577" s="31" t="s">
        <v>114</v>
      </c>
      <c r="K1577" s="31">
        <v>46183</v>
      </c>
      <c r="N1577" s="13" t="s">
        <v>29</v>
      </c>
      <c r="O1577" s="24" t="str">
        <f>IF(D1577="","",IF(COUNTIF(离职清单!C:C,D1577)&gt;0,"已离职","在职"))</f>
        <v>在职</v>
      </c>
      <c r="P1577" s="24">
        <f>IF(AND(O1577="在职",J1577="是"),COUNTIF(O$2:O1577,"在职"),"")</f>
        <v>1570</v>
      </c>
    </row>
    <row r="1578" ht="18" spans="1:16">
      <c r="A1578" s="10">
        <f t="shared" si="29"/>
        <v>1577</v>
      </c>
      <c r="B1578" s="31">
        <v>46182</v>
      </c>
      <c r="C1578" s="32" t="s">
        <v>1701</v>
      </c>
      <c r="D1578" s="120" t="s">
        <v>482</v>
      </c>
      <c r="E1578" s="33" t="s">
        <v>42</v>
      </c>
      <c r="F1578" s="18" t="s">
        <v>63</v>
      </c>
      <c r="G1578" s="18" t="s">
        <v>117</v>
      </c>
      <c r="H1578" s="34" t="s">
        <v>85</v>
      </c>
      <c r="I1578" s="18" t="s">
        <v>104</v>
      </c>
      <c r="J1578" s="31" t="s">
        <v>114</v>
      </c>
      <c r="K1578" s="31">
        <v>46183</v>
      </c>
      <c r="N1578" s="13" t="s">
        <v>29</v>
      </c>
      <c r="O1578" s="24" t="str">
        <f>IF(D1578="","",IF(COUNTIF(离职清单!C:C,D1578)&gt;0,"已离职","在职"))</f>
        <v>在职</v>
      </c>
      <c r="P1578" s="24">
        <f>IF(AND(O1578="在职",J1578="是"),COUNTIF(O$2:O1578,"在职"),"")</f>
        <v>1571</v>
      </c>
    </row>
    <row r="1579" ht="18" spans="1:16">
      <c r="A1579" s="14">
        <f t="shared" si="29"/>
        <v>1578</v>
      </c>
      <c r="B1579" s="31">
        <v>46182</v>
      </c>
      <c r="C1579" s="32" t="s">
        <v>1702</v>
      </c>
      <c r="D1579" s="120" t="s">
        <v>484</v>
      </c>
      <c r="E1579" s="33" t="s">
        <v>42</v>
      </c>
      <c r="F1579" s="18" t="s">
        <v>63</v>
      </c>
      <c r="G1579" s="18" t="s">
        <v>117</v>
      </c>
      <c r="H1579" s="34" t="s">
        <v>85</v>
      </c>
      <c r="I1579" s="18" t="s">
        <v>104</v>
      </c>
      <c r="J1579" s="31" t="s">
        <v>114</v>
      </c>
      <c r="K1579" s="31">
        <v>46183</v>
      </c>
      <c r="N1579" s="13" t="s">
        <v>29</v>
      </c>
      <c r="O1579" s="24" t="str">
        <f>IF(D1579="","",IF(COUNTIF(离职清单!C:C,D1579)&gt;0,"已离职","在职"))</f>
        <v>在职</v>
      </c>
      <c r="P1579" s="24">
        <f>IF(AND(O1579="在职",J1579="是"),COUNTIF(O$2:O1579,"在职"),"")</f>
        <v>1572</v>
      </c>
    </row>
    <row r="1580" ht="18" spans="1:16">
      <c r="A1580" s="10">
        <f t="shared" ref="A1580:A1643" si="30">IF(B1580&lt;&gt;"",ROW()-1,"")</f>
        <v>1579</v>
      </c>
      <c r="B1580" s="31">
        <v>46182</v>
      </c>
      <c r="C1580" s="32" t="s">
        <v>1703</v>
      </c>
      <c r="D1580" s="120" t="s">
        <v>486</v>
      </c>
      <c r="E1580" s="33" t="s">
        <v>42</v>
      </c>
      <c r="F1580" s="18" t="s">
        <v>63</v>
      </c>
      <c r="G1580" s="18" t="s">
        <v>117</v>
      </c>
      <c r="H1580" s="34" t="s">
        <v>85</v>
      </c>
      <c r="I1580" s="18" t="s">
        <v>104</v>
      </c>
      <c r="J1580" s="31" t="s">
        <v>114</v>
      </c>
      <c r="K1580" s="31">
        <v>46183</v>
      </c>
      <c r="N1580" s="13" t="s">
        <v>29</v>
      </c>
      <c r="O1580" s="24" t="str">
        <f>IF(D1580="","",IF(COUNTIF(离职清单!C:C,D1580)&gt;0,"已离职","在职"))</f>
        <v>在职</v>
      </c>
      <c r="P1580" s="24">
        <f>IF(AND(O1580="在职",J1580="是"),COUNTIF(O$2:O1580,"在职"),"")</f>
        <v>1573</v>
      </c>
    </row>
    <row r="1581" ht="18" spans="1:16">
      <c r="A1581" s="14">
        <f t="shared" si="30"/>
        <v>1580</v>
      </c>
      <c r="B1581" s="31">
        <v>46182</v>
      </c>
      <c r="C1581" s="32" t="s">
        <v>1704</v>
      </c>
      <c r="D1581" s="120" t="s">
        <v>488</v>
      </c>
      <c r="E1581" s="33" t="s">
        <v>42</v>
      </c>
      <c r="F1581" s="18" t="s">
        <v>64</v>
      </c>
      <c r="G1581" s="18" t="s">
        <v>117</v>
      </c>
      <c r="H1581" s="34" t="s">
        <v>85</v>
      </c>
      <c r="I1581" s="18" t="s">
        <v>104</v>
      </c>
      <c r="J1581" s="31" t="s">
        <v>105</v>
      </c>
      <c r="K1581" s="31"/>
      <c r="N1581" s="13" t="s">
        <v>29</v>
      </c>
      <c r="O1581" s="24" t="str">
        <f>IF(D1581="","",IF(COUNTIF(离职清单!C:C,D1581)&gt;0,"已离职","在职"))</f>
        <v>在职</v>
      </c>
      <c r="P1581" s="24" t="str">
        <f>IF(AND(O1581="在职",J1581="是"),COUNTIF(O$2:O1581,"在职"),"")</f>
        <v/>
      </c>
    </row>
    <row r="1582" ht="18" spans="1:16">
      <c r="A1582" s="10">
        <f t="shared" si="30"/>
        <v>1581</v>
      </c>
      <c r="B1582" s="31">
        <v>46182</v>
      </c>
      <c r="C1582" s="32" t="s">
        <v>1705</v>
      </c>
      <c r="D1582" s="120" t="s">
        <v>490</v>
      </c>
      <c r="E1582" s="33" t="s">
        <v>42</v>
      </c>
      <c r="F1582" s="18" t="s">
        <v>64</v>
      </c>
      <c r="G1582" s="18" t="s">
        <v>117</v>
      </c>
      <c r="H1582" s="34" t="s">
        <v>85</v>
      </c>
      <c r="I1582" s="18" t="s">
        <v>104</v>
      </c>
      <c r="J1582" s="31" t="s">
        <v>105</v>
      </c>
      <c r="K1582" s="31"/>
      <c r="N1582" s="13" t="s">
        <v>29</v>
      </c>
      <c r="O1582" s="24" t="str">
        <f>IF(D1582="","",IF(COUNTIF(离职清单!C:C,D1582)&gt;0,"已离职","在职"))</f>
        <v>在职</v>
      </c>
      <c r="P1582" s="24" t="str">
        <f>IF(AND(O1582="在职",J1582="是"),COUNTIF(O$2:O1582,"在职"),"")</f>
        <v/>
      </c>
    </row>
    <row r="1583" ht="18" spans="1:16">
      <c r="A1583" s="14">
        <f t="shared" si="30"/>
        <v>1582</v>
      </c>
      <c r="B1583" s="31">
        <v>46182</v>
      </c>
      <c r="C1583" s="32" t="s">
        <v>1706</v>
      </c>
      <c r="D1583" s="120" t="s">
        <v>492</v>
      </c>
      <c r="E1583" s="33" t="s">
        <v>42</v>
      </c>
      <c r="F1583" s="18" t="s">
        <v>64</v>
      </c>
      <c r="G1583" s="18" t="s">
        <v>117</v>
      </c>
      <c r="H1583" s="34" t="s">
        <v>85</v>
      </c>
      <c r="I1583" s="18" t="s">
        <v>104</v>
      </c>
      <c r="J1583" s="31" t="s">
        <v>105</v>
      </c>
      <c r="K1583" s="31"/>
      <c r="N1583" s="13" t="s">
        <v>29</v>
      </c>
      <c r="O1583" s="24" t="str">
        <f>IF(D1583="","",IF(COUNTIF(离职清单!C:C,D1583)&gt;0,"已离职","在职"))</f>
        <v>在职</v>
      </c>
      <c r="P1583" s="24" t="str">
        <f>IF(AND(O1583="在职",J1583="是"),COUNTIF(O$2:O1583,"在职"),"")</f>
        <v/>
      </c>
    </row>
    <row r="1584" ht="18" spans="1:16">
      <c r="A1584" s="10">
        <f t="shared" si="30"/>
        <v>1583</v>
      </c>
      <c r="B1584" s="31">
        <v>46182</v>
      </c>
      <c r="C1584" s="32" t="s">
        <v>1707</v>
      </c>
      <c r="D1584" s="120" t="s">
        <v>477</v>
      </c>
      <c r="E1584" s="33" t="s">
        <v>42</v>
      </c>
      <c r="F1584" s="18" t="s">
        <v>63</v>
      </c>
      <c r="G1584" s="18" t="s">
        <v>117</v>
      </c>
      <c r="H1584" s="34" t="s">
        <v>85</v>
      </c>
      <c r="I1584" s="18" t="s">
        <v>104</v>
      </c>
      <c r="J1584" s="31" t="s">
        <v>114</v>
      </c>
      <c r="K1584" s="31">
        <v>46183</v>
      </c>
      <c r="N1584" s="13" t="s">
        <v>29</v>
      </c>
      <c r="O1584" s="24" t="str">
        <f>IF(D1584="","",IF(COUNTIF(离职清单!C:C,D1584)&gt;0,"已离职","在职"))</f>
        <v>在职</v>
      </c>
      <c r="P1584" s="24">
        <f>IF(AND(O1584="在职",J1584="是"),COUNTIF(O$2:O1584,"在职"),"")</f>
        <v>1577</v>
      </c>
    </row>
    <row r="1585" ht="18" spans="1:16">
      <c r="A1585" s="14">
        <f t="shared" si="30"/>
        <v>1584</v>
      </c>
      <c r="B1585" s="31">
        <v>46182</v>
      </c>
      <c r="C1585" s="32" t="s">
        <v>1708</v>
      </c>
      <c r="D1585" s="120" t="s">
        <v>478</v>
      </c>
      <c r="E1585" s="33" t="s">
        <v>42</v>
      </c>
      <c r="F1585" s="18" t="s">
        <v>63</v>
      </c>
      <c r="G1585" s="18" t="s">
        <v>117</v>
      </c>
      <c r="H1585" s="34" t="s">
        <v>85</v>
      </c>
      <c r="I1585" s="18" t="s">
        <v>104</v>
      </c>
      <c r="J1585" s="31" t="s">
        <v>114</v>
      </c>
      <c r="K1585" s="31">
        <v>46183</v>
      </c>
      <c r="N1585" s="13" t="s">
        <v>29</v>
      </c>
      <c r="O1585" s="24" t="str">
        <f>IF(D1585="","",IF(COUNTIF(离职清单!C:C,D1585)&gt;0,"已离职","在职"))</f>
        <v>在职</v>
      </c>
      <c r="P1585" s="24">
        <f>IF(AND(O1585="在职",J1585="是"),COUNTIF(O$2:O1585,"在职"),"")</f>
        <v>1578</v>
      </c>
    </row>
    <row r="1586" ht="18" spans="1:16">
      <c r="A1586" s="10">
        <f t="shared" si="30"/>
        <v>1585</v>
      </c>
      <c r="B1586" s="31">
        <v>46182</v>
      </c>
      <c r="C1586" s="32" t="s">
        <v>1709</v>
      </c>
      <c r="D1586" s="120" t="s">
        <v>480</v>
      </c>
      <c r="E1586" s="33" t="s">
        <v>42</v>
      </c>
      <c r="F1586" s="18" t="s">
        <v>63</v>
      </c>
      <c r="G1586" s="18" t="s">
        <v>307</v>
      </c>
      <c r="H1586" s="34" t="s">
        <v>85</v>
      </c>
      <c r="I1586" s="18" t="s">
        <v>104</v>
      </c>
      <c r="J1586" s="31" t="s">
        <v>114</v>
      </c>
      <c r="K1586" s="31">
        <v>46185</v>
      </c>
      <c r="N1586" s="13" t="s">
        <v>29</v>
      </c>
      <c r="O1586" s="24" t="str">
        <f>IF(D1586="","",IF(COUNTIF(离职清单!C:C,D1586)&gt;0,"已离职","在职"))</f>
        <v>在职</v>
      </c>
      <c r="P1586" s="24">
        <f>IF(AND(O1586="在职",J1586="是"),COUNTIF(O$2:O1586,"在职"),"")</f>
        <v>1579</v>
      </c>
    </row>
    <row r="1587" ht="18" spans="1:16">
      <c r="A1587" s="14">
        <f t="shared" si="30"/>
        <v>1586</v>
      </c>
      <c r="B1587" s="31">
        <v>46182</v>
      </c>
      <c r="C1587" s="32" t="s">
        <v>1710</v>
      </c>
      <c r="D1587" s="120" t="s">
        <v>482</v>
      </c>
      <c r="E1587" s="33" t="s">
        <v>42</v>
      </c>
      <c r="F1587" s="18" t="s">
        <v>63</v>
      </c>
      <c r="G1587" s="18" t="s">
        <v>307</v>
      </c>
      <c r="H1587" s="34" t="s">
        <v>85</v>
      </c>
      <c r="I1587" s="18" t="s">
        <v>104</v>
      </c>
      <c r="J1587" s="31" t="s">
        <v>114</v>
      </c>
      <c r="K1587" s="31">
        <v>46185</v>
      </c>
      <c r="N1587" s="13" t="s">
        <v>29</v>
      </c>
      <c r="O1587" s="24" t="str">
        <f>IF(D1587="","",IF(COUNTIF(离职清单!C:C,D1587)&gt;0,"已离职","在职"))</f>
        <v>在职</v>
      </c>
      <c r="P1587" s="24">
        <f>IF(AND(O1587="在职",J1587="是"),COUNTIF(O$2:O1587,"在职"),"")</f>
        <v>1580</v>
      </c>
    </row>
    <row r="1588" ht="18" spans="1:16">
      <c r="A1588" s="10">
        <f t="shared" si="30"/>
        <v>1587</v>
      </c>
      <c r="B1588" s="31">
        <v>46182</v>
      </c>
      <c r="C1588" s="32" t="s">
        <v>1711</v>
      </c>
      <c r="D1588" s="120" t="s">
        <v>484</v>
      </c>
      <c r="E1588" s="33" t="s">
        <v>42</v>
      </c>
      <c r="F1588" s="18" t="s">
        <v>63</v>
      </c>
      <c r="G1588" s="18" t="s">
        <v>307</v>
      </c>
      <c r="H1588" s="34" t="s">
        <v>85</v>
      </c>
      <c r="I1588" s="18" t="s">
        <v>104</v>
      </c>
      <c r="J1588" s="31" t="s">
        <v>114</v>
      </c>
      <c r="K1588" s="31">
        <v>46183</v>
      </c>
      <c r="N1588" s="13" t="s">
        <v>29</v>
      </c>
      <c r="O1588" s="24" t="str">
        <f>IF(D1588="","",IF(COUNTIF(离职清单!C:C,D1588)&gt;0,"已离职","在职"))</f>
        <v>在职</v>
      </c>
      <c r="P1588" s="24">
        <f>IF(AND(O1588="在职",J1588="是"),COUNTIF(O$2:O1588,"在职"),"")</f>
        <v>1581</v>
      </c>
    </row>
    <row r="1589" ht="18" spans="1:16">
      <c r="A1589" s="14">
        <f t="shared" si="30"/>
        <v>1588</v>
      </c>
      <c r="B1589" s="31">
        <v>46182</v>
      </c>
      <c r="C1589" s="32" t="s">
        <v>1712</v>
      </c>
      <c r="D1589" s="120" t="s">
        <v>486</v>
      </c>
      <c r="E1589" s="33" t="s">
        <v>42</v>
      </c>
      <c r="F1589" s="18" t="s">
        <v>64</v>
      </c>
      <c r="G1589" s="18" t="s">
        <v>307</v>
      </c>
      <c r="H1589" s="34" t="s">
        <v>85</v>
      </c>
      <c r="I1589" s="18" t="s">
        <v>104</v>
      </c>
      <c r="J1589" s="31" t="s">
        <v>105</v>
      </c>
      <c r="K1589" s="31"/>
      <c r="N1589" s="13" t="s">
        <v>29</v>
      </c>
      <c r="O1589" s="24" t="str">
        <f>IF(D1589="","",IF(COUNTIF(离职清单!C:C,D1589)&gt;0,"已离职","在职"))</f>
        <v>在职</v>
      </c>
      <c r="P1589" s="24" t="str">
        <f>IF(AND(O1589="在职",J1589="是"),COUNTIF(O$2:O1589,"在职"),"")</f>
        <v/>
      </c>
    </row>
    <row r="1590" ht="18" spans="1:16">
      <c r="A1590" s="10">
        <f t="shared" si="30"/>
        <v>1589</v>
      </c>
      <c r="B1590" s="31">
        <v>46182</v>
      </c>
      <c r="C1590" s="32" t="s">
        <v>792</v>
      </c>
      <c r="D1590" s="120" t="s">
        <v>488</v>
      </c>
      <c r="E1590" s="33" t="s">
        <v>42</v>
      </c>
      <c r="F1590" s="18" t="s">
        <v>62</v>
      </c>
      <c r="G1590" s="18" t="s">
        <v>631</v>
      </c>
      <c r="H1590" s="34" t="s">
        <v>85</v>
      </c>
      <c r="I1590" s="18" t="s">
        <v>104</v>
      </c>
      <c r="J1590" s="31" t="s">
        <v>105</v>
      </c>
      <c r="K1590" s="31">
        <v>46186</v>
      </c>
      <c r="N1590" s="13" t="s">
        <v>29</v>
      </c>
      <c r="O1590" s="24" t="str">
        <f>IF(D1590="","",IF(COUNTIF(离职清单!C:C,D1590)&gt;0,"已离职","在职"))</f>
        <v>在职</v>
      </c>
      <c r="P1590" s="24" t="str">
        <f>IF(AND(O1590="在职",J1590="是"),COUNTIF(O$2:O1590,"在职"),"")</f>
        <v/>
      </c>
    </row>
    <row r="1591" ht="18" spans="1:16">
      <c r="A1591" s="14">
        <f t="shared" si="30"/>
        <v>1590</v>
      </c>
      <c r="B1591" s="31">
        <v>46182</v>
      </c>
      <c r="C1591" s="32" t="s">
        <v>1713</v>
      </c>
      <c r="D1591" s="120" t="s">
        <v>490</v>
      </c>
      <c r="E1591" s="33" t="s">
        <v>42</v>
      </c>
      <c r="F1591" s="18" t="s">
        <v>64</v>
      </c>
      <c r="G1591" s="18" t="s">
        <v>631</v>
      </c>
      <c r="H1591" s="34" t="s">
        <v>85</v>
      </c>
      <c r="I1591" s="18" t="s">
        <v>104</v>
      </c>
      <c r="J1591" s="31" t="s">
        <v>105</v>
      </c>
      <c r="K1591" s="31"/>
      <c r="N1591" s="13" t="s">
        <v>29</v>
      </c>
      <c r="O1591" s="24" t="str">
        <f>IF(D1591="","",IF(COUNTIF(离职清单!C:C,D1591)&gt;0,"已离职","在职"))</f>
        <v>在职</v>
      </c>
      <c r="P1591" s="24" t="str">
        <f>IF(AND(O1591="在职",J1591="是"),COUNTIF(O$2:O1591,"在职"),"")</f>
        <v/>
      </c>
    </row>
    <row r="1592" ht="18" spans="1:16">
      <c r="A1592" s="10">
        <f t="shared" si="30"/>
        <v>1591</v>
      </c>
      <c r="B1592" s="31">
        <v>46182</v>
      </c>
      <c r="C1592" s="32" t="s">
        <v>1714</v>
      </c>
      <c r="D1592" s="120" t="s">
        <v>492</v>
      </c>
      <c r="E1592" s="33" t="s">
        <v>42</v>
      </c>
      <c r="F1592" s="18" t="s">
        <v>63</v>
      </c>
      <c r="G1592" s="18" t="s">
        <v>631</v>
      </c>
      <c r="H1592" s="34" t="s">
        <v>85</v>
      </c>
      <c r="I1592" s="18" t="s">
        <v>104</v>
      </c>
      <c r="J1592" s="31" t="s">
        <v>105</v>
      </c>
      <c r="K1592" s="31">
        <v>46185</v>
      </c>
      <c r="N1592" s="13" t="s">
        <v>29</v>
      </c>
      <c r="O1592" s="24" t="str">
        <f>IF(D1592="","",IF(COUNTIF(离职清单!C:C,D1592)&gt;0,"已离职","在职"))</f>
        <v>在职</v>
      </c>
      <c r="P1592" s="24" t="str">
        <f>IF(AND(O1592="在职",J1592="是"),COUNTIF(O$2:O1592,"在职"),"")</f>
        <v/>
      </c>
    </row>
    <row r="1593" ht="18" spans="1:16">
      <c r="A1593" s="14">
        <f t="shared" si="30"/>
        <v>1592</v>
      </c>
      <c r="B1593" s="31">
        <v>46182</v>
      </c>
      <c r="C1593" s="32" t="s">
        <v>1715</v>
      </c>
      <c r="D1593" s="120" t="s">
        <v>477</v>
      </c>
      <c r="E1593" s="33" t="s">
        <v>42</v>
      </c>
      <c r="F1593" s="18" t="s">
        <v>63</v>
      </c>
      <c r="G1593" s="18" t="s">
        <v>1334</v>
      </c>
      <c r="H1593" s="34" t="s">
        <v>85</v>
      </c>
      <c r="I1593" s="18" t="s">
        <v>104</v>
      </c>
      <c r="J1593" s="31" t="s">
        <v>114</v>
      </c>
      <c r="K1593" s="31">
        <v>46186</v>
      </c>
      <c r="N1593" s="13" t="s">
        <v>29</v>
      </c>
      <c r="O1593" s="24" t="str">
        <f>IF(D1593="","",IF(COUNTIF(离职清单!C:C,D1593)&gt;0,"已离职","在职"))</f>
        <v>在职</v>
      </c>
      <c r="P1593" s="24">
        <f>IF(AND(O1593="在职",J1593="是"),COUNTIF(O$2:O1593,"在职"),"")</f>
        <v>1586</v>
      </c>
    </row>
    <row r="1594" ht="18" spans="1:16">
      <c r="A1594" s="10">
        <f t="shared" si="30"/>
        <v>1593</v>
      </c>
      <c r="B1594" s="31">
        <v>46182</v>
      </c>
      <c r="C1594" s="32" t="s">
        <v>1716</v>
      </c>
      <c r="D1594" s="120" t="s">
        <v>478</v>
      </c>
      <c r="E1594" s="33" t="s">
        <v>42</v>
      </c>
      <c r="F1594" s="18" t="s">
        <v>64</v>
      </c>
      <c r="G1594" s="18" t="s">
        <v>1334</v>
      </c>
      <c r="H1594" s="34" t="s">
        <v>85</v>
      </c>
      <c r="I1594" s="18" t="s">
        <v>104</v>
      </c>
      <c r="J1594" s="31" t="s">
        <v>105</v>
      </c>
      <c r="K1594" s="31"/>
      <c r="N1594" s="13" t="s">
        <v>29</v>
      </c>
      <c r="O1594" s="24" t="str">
        <f>IF(D1594="","",IF(COUNTIF(离职清单!C:C,D1594)&gt;0,"已离职","在职"))</f>
        <v>在职</v>
      </c>
      <c r="P1594" s="24" t="str">
        <f>IF(AND(O1594="在职",J1594="是"),COUNTIF(O$2:O1594,"在职"),"")</f>
        <v/>
      </c>
    </row>
    <row r="1595" ht="18" spans="1:16">
      <c r="A1595" s="14">
        <f t="shared" si="30"/>
        <v>1594</v>
      </c>
      <c r="B1595" s="31">
        <v>46182</v>
      </c>
      <c r="C1595" s="32" t="s">
        <v>1717</v>
      </c>
      <c r="D1595" s="120" t="s">
        <v>480</v>
      </c>
      <c r="E1595" s="33" t="s">
        <v>42</v>
      </c>
      <c r="F1595" s="18" t="s">
        <v>64</v>
      </c>
      <c r="G1595" s="18" t="s">
        <v>512</v>
      </c>
      <c r="H1595" s="34" t="s">
        <v>85</v>
      </c>
      <c r="I1595" s="18" t="s">
        <v>104</v>
      </c>
      <c r="J1595" s="31" t="s">
        <v>105</v>
      </c>
      <c r="K1595" s="31"/>
      <c r="N1595" s="13" t="s">
        <v>29</v>
      </c>
      <c r="O1595" s="24" t="str">
        <f>IF(D1595="","",IF(COUNTIF(离职清单!C:C,D1595)&gt;0,"已离职","在职"))</f>
        <v>在职</v>
      </c>
      <c r="P1595" s="24" t="str">
        <f>IF(AND(O1595="在职",J1595="是"),COUNTIF(O$2:O1595,"在职"),"")</f>
        <v/>
      </c>
    </row>
    <row r="1596" ht="18" spans="1:16">
      <c r="A1596" s="10">
        <f t="shared" si="30"/>
        <v>1595</v>
      </c>
      <c r="B1596" s="31">
        <v>46182</v>
      </c>
      <c r="C1596" s="32" t="s">
        <v>1718</v>
      </c>
      <c r="D1596" s="120" t="s">
        <v>482</v>
      </c>
      <c r="E1596" s="33" t="s">
        <v>42</v>
      </c>
      <c r="F1596" s="18" t="s">
        <v>63</v>
      </c>
      <c r="G1596" s="18" t="s">
        <v>578</v>
      </c>
      <c r="H1596" s="34" t="s">
        <v>85</v>
      </c>
      <c r="I1596" s="18" t="s">
        <v>104</v>
      </c>
      <c r="J1596" s="31" t="s">
        <v>114</v>
      </c>
      <c r="K1596" s="31">
        <v>46184</v>
      </c>
      <c r="N1596" s="13" t="s">
        <v>29</v>
      </c>
      <c r="O1596" s="24" t="str">
        <f>IF(D1596="","",IF(COUNTIF(离职清单!C:C,D1596)&gt;0,"已离职","在职"))</f>
        <v>在职</v>
      </c>
      <c r="P1596" s="24">
        <f>IF(AND(O1596="在职",J1596="是"),COUNTIF(O$2:O1596,"在职"),"")</f>
        <v>1589</v>
      </c>
    </row>
    <row r="1597" ht="18" spans="1:16">
      <c r="A1597" s="14">
        <f t="shared" si="30"/>
        <v>1596</v>
      </c>
      <c r="B1597" s="31">
        <v>46182</v>
      </c>
      <c r="C1597" s="32" t="s">
        <v>1719</v>
      </c>
      <c r="D1597" s="120" t="s">
        <v>484</v>
      </c>
      <c r="E1597" s="33" t="s">
        <v>42</v>
      </c>
      <c r="F1597" s="18" t="s">
        <v>63</v>
      </c>
      <c r="G1597" s="18" t="s">
        <v>578</v>
      </c>
      <c r="H1597" s="34" t="s">
        <v>85</v>
      </c>
      <c r="I1597" s="18" t="s">
        <v>104</v>
      </c>
      <c r="J1597" s="31" t="s">
        <v>114</v>
      </c>
      <c r="K1597" s="31">
        <v>46185</v>
      </c>
      <c r="N1597" s="13" t="s">
        <v>29</v>
      </c>
      <c r="O1597" s="24" t="str">
        <f>IF(D1597="","",IF(COUNTIF(离职清单!C:C,D1597)&gt;0,"已离职","在职"))</f>
        <v>在职</v>
      </c>
      <c r="P1597" s="24">
        <f>IF(AND(O1597="在职",J1597="是"),COUNTIF(O$2:O1597,"在职"),"")</f>
        <v>1590</v>
      </c>
    </row>
    <row r="1598" ht="18" spans="1:16">
      <c r="A1598" s="10">
        <f t="shared" si="30"/>
        <v>1597</v>
      </c>
      <c r="B1598" s="31">
        <v>46182</v>
      </c>
      <c r="C1598" s="32" t="s">
        <v>1720</v>
      </c>
      <c r="D1598" s="120" t="s">
        <v>486</v>
      </c>
      <c r="E1598" s="33" t="s">
        <v>42</v>
      </c>
      <c r="F1598" s="18" t="s">
        <v>63</v>
      </c>
      <c r="G1598" s="18" t="s">
        <v>681</v>
      </c>
      <c r="H1598" s="34" t="s">
        <v>85</v>
      </c>
      <c r="I1598" s="18" t="s">
        <v>104</v>
      </c>
      <c r="J1598" s="31" t="s">
        <v>105</v>
      </c>
      <c r="K1598" s="31">
        <v>46183</v>
      </c>
      <c r="N1598" s="13" t="s">
        <v>29</v>
      </c>
      <c r="O1598" s="24" t="str">
        <f>IF(D1598="","",IF(COUNTIF(离职清单!C:C,D1598)&gt;0,"已离职","在职"))</f>
        <v>在职</v>
      </c>
      <c r="P1598" s="24" t="str">
        <f>IF(AND(O1598="在职",J1598="是"),COUNTIF(O$2:O1598,"在职"),"")</f>
        <v/>
      </c>
    </row>
    <row r="1599" ht="18" spans="1:16">
      <c r="A1599" s="14">
        <f t="shared" si="30"/>
        <v>1598</v>
      </c>
      <c r="B1599" s="31">
        <v>46182</v>
      </c>
      <c r="C1599" s="32" t="s">
        <v>1721</v>
      </c>
      <c r="D1599" s="120" t="s">
        <v>488</v>
      </c>
      <c r="E1599" s="33" t="s">
        <v>42</v>
      </c>
      <c r="F1599" s="18" t="s">
        <v>64</v>
      </c>
      <c r="G1599" s="18" t="s">
        <v>173</v>
      </c>
      <c r="H1599" s="34" t="s">
        <v>85</v>
      </c>
      <c r="I1599" s="18" t="s">
        <v>104</v>
      </c>
      <c r="J1599" s="31" t="s">
        <v>105</v>
      </c>
      <c r="K1599" s="31"/>
      <c r="N1599" s="13" t="s">
        <v>29</v>
      </c>
      <c r="O1599" s="24" t="str">
        <f>IF(D1599="","",IF(COUNTIF(离职清单!C:C,D1599)&gt;0,"已离职","在职"))</f>
        <v>在职</v>
      </c>
      <c r="P1599" s="24" t="str">
        <f>IF(AND(O1599="在职",J1599="是"),COUNTIF(O$2:O1599,"在职"),"")</f>
        <v/>
      </c>
    </row>
    <row r="1600" ht="18" spans="1:16">
      <c r="A1600" s="10">
        <f t="shared" si="30"/>
        <v>1599</v>
      </c>
      <c r="B1600" s="31">
        <v>46182</v>
      </c>
      <c r="C1600" s="32" t="s">
        <v>1722</v>
      </c>
      <c r="D1600" s="120" t="s">
        <v>490</v>
      </c>
      <c r="E1600" s="33" t="s">
        <v>42</v>
      </c>
      <c r="F1600" s="18" t="s">
        <v>64</v>
      </c>
      <c r="G1600" s="18" t="s">
        <v>173</v>
      </c>
      <c r="H1600" s="34" t="s">
        <v>85</v>
      </c>
      <c r="I1600" s="18" t="s">
        <v>104</v>
      </c>
      <c r="J1600" s="31" t="s">
        <v>105</v>
      </c>
      <c r="K1600" s="31"/>
      <c r="N1600" s="13" t="s">
        <v>29</v>
      </c>
      <c r="O1600" s="24" t="str">
        <f>IF(D1600="","",IF(COUNTIF(离职清单!C:C,D1600)&gt;0,"已离职","在职"))</f>
        <v>在职</v>
      </c>
      <c r="P1600" s="24" t="str">
        <f>IF(AND(O1600="在职",J1600="是"),COUNTIF(O$2:O1600,"在职"),"")</f>
        <v/>
      </c>
    </row>
    <row r="1601" ht="18" spans="1:16">
      <c r="A1601" s="14">
        <f t="shared" si="30"/>
        <v>1600</v>
      </c>
      <c r="B1601" s="31">
        <v>46182</v>
      </c>
      <c r="C1601" s="32" t="s">
        <v>1723</v>
      </c>
      <c r="D1601" s="120" t="s">
        <v>492</v>
      </c>
      <c r="E1601" s="33" t="s">
        <v>42</v>
      </c>
      <c r="F1601" s="18" t="s">
        <v>64</v>
      </c>
      <c r="G1601" s="18" t="s">
        <v>173</v>
      </c>
      <c r="H1601" s="34" t="s">
        <v>85</v>
      </c>
      <c r="I1601" s="18" t="s">
        <v>104</v>
      </c>
      <c r="J1601" s="31" t="s">
        <v>105</v>
      </c>
      <c r="K1601" s="31"/>
      <c r="N1601" s="13" t="s">
        <v>29</v>
      </c>
      <c r="O1601" s="24" t="str">
        <f>IF(D1601="","",IF(COUNTIF(离职清单!C:C,D1601)&gt;0,"已离职","在职"))</f>
        <v>在职</v>
      </c>
      <c r="P1601" s="24" t="str">
        <f>IF(AND(O1601="在职",J1601="是"),COUNTIF(O$2:O1601,"在职"),"")</f>
        <v/>
      </c>
    </row>
    <row r="1602" ht="18" spans="1:16">
      <c r="A1602" s="10">
        <f t="shared" si="30"/>
        <v>1601</v>
      </c>
      <c r="B1602" s="31">
        <v>46182</v>
      </c>
      <c r="C1602" s="32" t="s">
        <v>1724</v>
      </c>
      <c r="D1602" s="120" t="s">
        <v>477</v>
      </c>
      <c r="E1602" s="33" t="s">
        <v>42</v>
      </c>
      <c r="F1602" s="18" t="s">
        <v>63</v>
      </c>
      <c r="G1602" s="18" t="s">
        <v>173</v>
      </c>
      <c r="H1602" s="34" t="s">
        <v>85</v>
      </c>
      <c r="I1602" s="18" t="s">
        <v>104</v>
      </c>
      <c r="J1602" s="31" t="s">
        <v>114</v>
      </c>
      <c r="K1602" s="31">
        <v>46184</v>
      </c>
      <c r="N1602" s="13" t="s">
        <v>29</v>
      </c>
      <c r="O1602" s="24" t="str">
        <f>IF(D1602="","",IF(COUNTIF(离职清单!C:C,D1602)&gt;0,"已离职","在职"))</f>
        <v>在职</v>
      </c>
      <c r="P1602" s="24">
        <f>IF(AND(O1602="在职",J1602="是"),COUNTIF(O$2:O1602,"在职"),"")</f>
        <v>1595</v>
      </c>
    </row>
    <row r="1603" ht="18" spans="1:16">
      <c r="A1603" s="14">
        <f t="shared" si="30"/>
        <v>1602</v>
      </c>
      <c r="B1603" s="31">
        <v>46182</v>
      </c>
      <c r="C1603" s="32" t="s">
        <v>1725</v>
      </c>
      <c r="D1603" s="120" t="s">
        <v>478</v>
      </c>
      <c r="E1603" s="33" t="s">
        <v>42</v>
      </c>
      <c r="F1603" s="18" t="s">
        <v>64</v>
      </c>
      <c r="G1603" s="18" t="s">
        <v>148</v>
      </c>
      <c r="H1603" s="34" t="s">
        <v>85</v>
      </c>
      <c r="I1603" s="18" t="s">
        <v>104</v>
      </c>
      <c r="J1603" s="31" t="s">
        <v>105</v>
      </c>
      <c r="K1603" s="31"/>
      <c r="N1603" s="13" t="s">
        <v>29</v>
      </c>
      <c r="O1603" s="24" t="str">
        <f>IF(D1603="","",IF(COUNTIF(离职清单!C:C,D1603)&gt;0,"已离职","在职"))</f>
        <v>在职</v>
      </c>
      <c r="P1603" s="24" t="str">
        <f>IF(AND(O1603="在职",J1603="是"),COUNTIF(O$2:O1603,"在职"),"")</f>
        <v/>
      </c>
    </row>
    <row r="1604" ht="18" spans="1:16">
      <c r="A1604" s="10">
        <f t="shared" si="30"/>
        <v>1603</v>
      </c>
      <c r="B1604" s="31">
        <v>46182</v>
      </c>
      <c r="C1604" s="32" t="s">
        <v>1726</v>
      </c>
      <c r="D1604" s="120" t="s">
        <v>480</v>
      </c>
      <c r="E1604" s="33" t="s">
        <v>42</v>
      </c>
      <c r="F1604" s="18" t="s">
        <v>64</v>
      </c>
      <c r="G1604" s="18" t="s">
        <v>148</v>
      </c>
      <c r="H1604" s="34" t="s">
        <v>85</v>
      </c>
      <c r="I1604" s="18" t="s">
        <v>104</v>
      </c>
      <c r="J1604" s="31" t="s">
        <v>105</v>
      </c>
      <c r="K1604" s="31"/>
      <c r="N1604" s="13" t="s">
        <v>29</v>
      </c>
      <c r="O1604" s="24" t="str">
        <f>IF(D1604="","",IF(COUNTIF(离职清单!C:C,D1604)&gt;0,"已离职","在职"))</f>
        <v>在职</v>
      </c>
      <c r="P1604" s="24" t="str">
        <f>IF(AND(O1604="在职",J1604="是"),COUNTIF(O$2:O1604,"在职"),"")</f>
        <v/>
      </c>
    </row>
    <row r="1605" ht="18" spans="1:16">
      <c r="A1605" s="14">
        <f t="shared" si="30"/>
        <v>1604</v>
      </c>
      <c r="B1605" s="31">
        <v>46182</v>
      </c>
      <c r="C1605" s="32" t="s">
        <v>1727</v>
      </c>
      <c r="D1605" s="120" t="s">
        <v>482</v>
      </c>
      <c r="E1605" s="33" t="s">
        <v>42</v>
      </c>
      <c r="F1605" s="18" t="s">
        <v>62</v>
      </c>
      <c r="G1605" s="18" t="s">
        <v>148</v>
      </c>
      <c r="H1605" s="34" t="s">
        <v>85</v>
      </c>
      <c r="I1605" s="18" t="s">
        <v>104</v>
      </c>
      <c r="J1605" s="31" t="s">
        <v>114</v>
      </c>
      <c r="K1605" s="31">
        <v>46187</v>
      </c>
      <c r="N1605" s="13" t="s">
        <v>29</v>
      </c>
      <c r="O1605" s="24" t="str">
        <f>IF(D1605="","",IF(COUNTIF(离职清单!C:C,D1605)&gt;0,"已离职","在职"))</f>
        <v>在职</v>
      </c>
      <c r="P1605" s="24">
        <f>IF(AND(O1605="在职",J1605="是"),COUNTIF(O$2:O1605,"在职"),"")</f>
        <v>1598</v>
      </c>
    </row>
    <row r="1606" ht="18" spans="1:16">
      <c r="A1606" s="10">
        <f t="shared" si="30"/>
        <v>1605</v>
      </c>
      <c r="B1606" s="31">
        <v>46182</v>
      </c>
      <c r="C1606" s="32" t="s">
        <v>1181</v>
      </c>
      <c r="D1606" s="120" t="s">
        <v>484</v>
      </c>
      <c r="E1606" s="33" t="s">
        <v>42</v>
      </c>
      <c r="F1606" s="18" t="s">
        <v>63</v>
      </c>
      <c r="G1606" s="18" t="s">
        <v>148</v>
      </c>
      <c r="H1606" s="34" t="s">
        <v>85</v>
      </c>
      <c r="I1606" s="18" t="s">
        <v>104</v>
      </c>
      <c r="J1606" s="31" t="s">
        <v>114</v>
      </c>
      <c r="K1606" s="31">
        <v>46183</v>
      </c>
      <c r="N1606" s="13" t="s">
        <v>29</v>
      </c>
      <c r="O1606" s="24" t="str">
        <f>IF(D1606="","",IF(COUNTIF(离职清单!C:C,D1606)&gt;0,"已离职","在职"))</f>
        <v>在职</v>
      </c>
      <c r="P1606" s="24">
        <f>IF(AND(O1606="在职",J1606="是"),COUNTIF(O$2:O1606,"在职"),"")</f>
        <v>1599</v>
      </c>
    </row>
    <row r="1607" ht="18" spans="1:16">
      <c r="A1607" s="14">
        <f t="shared" si="30"/>
        <v>1606</v>
      </c>
      <c r="B1607" s="31">
        <v>46182</v>
      </c>
      <c r="C1607" s="32" t="s">
        <v>1728</v>
      </c>
      <c r="D1607" s="120" t="s">
        <v>486</v>
      </c>
      <c r="E1607" s="33" t="s">
        <v>42</v>
      </c>
      <c r="F1607" s="18" t="s">
        <v>63</v>
      </c>
      <c r="G1607" s="18" t="s">
        <v>148</v>
      </c>
      <c r="H1607" s="34" t="s">
        <v>85</v>
      </c>
      <c r="I1607" s="18" t="s">
        <v>104</v>
      </c>
      <c r="J1607" s="31" t="s">
        <v>114</v>
      </c>
      <c r="K1607" s="31">
        <v>46183</v>
      </c>
      <c r="N1607" s="13" t="s">
        <v>29</v>
      </c>
      <c r="O1607" s="24" t="str">
        <f>IF(D1607="","",IF(COUNTIF(离职清单!C:C,D1607)&gt;0,"已离职","在职"))</f>
        <v>在职</v>
      </c>
      <c r="P1607" s="24">
        <f>IF(AND(O1607="在职",J1607="是"),COUNTIF(O$2:O1607,"在职"),"")</f>
        <v>1600</v>
      </c>
    </row>
    <row r="1608" ht="18" spans="1:16">
      <c r="A1608" s="10">
        <f t="shared" si="30"/>
        <v>1607</v>
      </c>
      <c r="B1608" s="31">
        <v>46182</v>
      </c>
      <c r="C1608" s="32" t="s">
        <v>1729</v>
      </c>
      <c r="D1608" s="120" t="s">
        <v>488</v>
      </c>
      <c r="E1608" s="33" t="s">
        <v>42</v>
      </c>
      <c r="F1608" s="18" t="s">
        <v>63</v>
      </c>
      <c r="G1608" s="18" t="s">
        <v>103</v>
      </c>
      <c r="H1608" s="34" t="s">
        <v>85</v>
      </c>
      <c r="I1608" s="18" t="s">
        <v>104</v>
      </c>
      <c r="J1608" s="31" t="s">
        <v>105</v>
      </c>
      <c r="K1608" s="31"/>
      <c r="N1608" s="13" t="s">
        <v>29</v>
      </c>
      <c r="O1608" s="24" t="str">
        <f>IF(D1608="","",IF(COUNTIF(离职清单!C:C,D1608)&gt;0,"已离职","在职"))</f>
        <v>在职</v>
      </c>
      <c r="P1608" s="24" t="str">
        <f>IF(AND(O1608="在职",J1608="是"),COUNTIF(O$2:O1608,"在职"),"")</f>
        <v/>
      </c>
    </row>
    <row r="1609" ht="18" spans="1:16">
      <c r="A1609" s="14">
        <f t="shared" si="30"/>
        <v>1608</v>
      </c>
      <c r="B1609" s="31">
        <v>46183</v>
      </c>
      <c r="C1609" s="32" t="s">
        <v>1730</v>
      </c>
      <c r="D1609" s="120" t="s">
        <v>490</v>
      </c>
      <c r="E1609" s="33" t="s">
        <v>43</v>
      </c>
      <c r="F1609" s="18" t="s">
        <v>62</v>
      </c>
      <c r="G1609" s="18" t="s">
        <v>1006</v>
      </c>
      <c r="H1609" s="34" t="s">
        <v>85</v>
      </c>
      <c r="I1609" s="18" t="s">
        <v>104</v>
      </c>
      <c r="J1609" s="31" t="s">
        <v>105</v>
      </c>
      <c r="K1609" s="31">
        <v>46185</v>
      </c>
      <c r="N1609" s="13" t="s">
        <v>29</v>
      </c>
      <c r="O1609" s="24" t="str">
        <f>IF(D1609="","",IF(COUNTIF(离职清单!C:C,D1609)&gt;0,"已离职","在职"))</f>
        <v>在职</v>
      </c>
      <c r="P1609" s="24" t="str">
        <f>IF(AND(O1609="在职",J1609="是"),COUNTIF(O$2:O1609,"在职"),"")</f>
        <v/>
      </c>
    </row>
    <row r="1610" ht="18" spans="1:16">
      <c r="A1610" s="10">
        <f t="shared" si="30"/>
        <v>1609</v>
      </c>
      <c r="B1610" s="31">
        <v>46183</v>
      </c>
      <c r="C1610" s="32" t="s">
        <v>1731</v>
      </c>
      <c r="D1610" s="120" t="s">
        <v>492</v>
      </c>
      <c r="E1610" s="33" t="s">
        <v>43</v>
      </c>
      <c r="F1610" s="18" t="s">
        <v>64</v>
      </c>
      <c r="G1610" s="18" t="s">
        <v>1006</v>
      </c>
      <c r="H1610" s="34" t="s">
        <v>85</v>
      </c>
      <c r="I1610" s="18" t="s">
        <v>104</v>
      </c>
      <c r="J1610" s="31" t="s">
        <v>105</v>
      </c>
      <c r="K1610" s="31"/>
      <c r="N1610" s="13" t="s">
        <v>29</v>
      </c>
      <c r="O1610" s="24" t="str">
        <f>IF(D1610="","",IF(COUNTIF(离职清单!C:C,D1610)&gt;0,"已离职","在职"))</f>
        <v>在职</v>
      </c>
      <c r="P1610" s="24" t="str">
        <f>IF(AND(O1610="在职",J1610="是"),COUNTIF(O$2:O1610,"在职"),"")</f>
        <v/>
      </c>
    </row>
    <row r="1611" ht="18" spans="1:16">
      <c r="A1611" s="14">
        <f t="shared" si="30"/>
        <v>1610</v>
      </c>
      <c r="B1611" s="31">
        <v>46183</v>
      </c>
      <c r="C1611" s="32" t="s">
        <v>1732</v>
      </c>
      <c r="D1611" s="120" t="s">
        <v>477</v>
      </c>
      <c r="E1611" s="33" t="s">
        <v>43</v>
      </c>
      <c r="F1611" s="18" t="s">
        <v>63</v>
      </c>
      <c r="G1611" s="18" t="s">
        <v>631</v>
      </c>
      <c r="H1611" s="34" t="s">
        <v>85</v>
      </c>
      <c r="I1611" s="18" t="s">
        <v>104</v>
      </c>
      <c r="J1611" s="31" t="s">
        <v>114</v>
      </c>
      <c r="K1611" s="31">
        <v>46184</v>
      </c>
      <c r="N1611" s="13" t="s">
        <v>29</v>
      </c>
      <c r="O1611" s="24" t="str">
        <f>IF(D1611="","",IF(COUNTIF(离职清单!C:C,D1611)&gt;0,"已离职","在职"))</f>
        <v>在职</v>
      </c>
      <c r="P1611" s="24">
        <f>IF(AND(O1611="在职",J1611="是"),COUNTIF(O$2:O1611,"在职"),"")</f>
        <v>1604</v>
      </c>
    </row>
    <row r="1612" ht="18" spans="1:16">
      <c r="A1612" s="10">
        <f t="shared" si="30"/>
        <v>1611</v>
      </c>
      <c r="B1612" s="31">
        <v>46183</v>
      </c>
      <c r="C1612" s="32" t="s">
        <v>1733</v>
      </c>
      <c r="D1612" s="120" t="s">
        <v>477</v>
      </c>
      <c r="E1612" s="33" t="s">
        <v>43</v>
      </c>
      <c r="F1612" s="18" t="s">
        <v>64</v>
      </c>
      <c r="G1612" s="18" t="s">
        <v>129</v>
      </c>
      <c r="H1612" s="34" t="s">
        <v>85</v>
      </c>
      <c r="I1612" s="18" t="s">
        <v>104</v>
      </c>
      <c r="J1612" s="31" t="s">
        <v>105</v>
      </c>
      <c r="K1612" s="31"/>
      <c r="N1612" s="13" t="s">
        <v>29</v>
      </c>
      <c r="O1612" s="24" t="str">
        <f>IF(D1612="","",IF(COUNTIF(离职清单!C:C,D1612)&gt;0,"已离职","在职"))</f>
        <v>在职</v>
      </c>
      <c r="P1612" s="24" t="str">
        <f>IF(AND(O1612="在职",J1612="是"),COUNTIF(O$2:O1612,"在职"),"")</f>
        <v/>
      </c>
    </row>
    <row r="1613" ht="18" spans="1:16">
      <c r="A1613" s="14">
        <f t="shared" si="30"/>
        <v>1612</v>
      </c>
      <c r="B1613" s="31">
        <v>46183</v>
      </c>
      <c r="C1613" s="32" t="s">
        <v>1734</v>
      </c>
      <c r="D1613" s="120" t="s">
        <v>478</v>
      </c>
      <c r="E1613" s="33" t="s">
        <v>43</v>
      </c>
      <c r="F1613" s="18" t="s">
        <v>62</v>
      </c>
      <c r="G1613" s="18" t="s">
        <v>129</v>
      </c>
      <c r="H1613" s="34" t="s">
        <v>85</v>
      </c>
      <c r="I1613" s="18" t="s">
        <v>104</v>
      </c>
      <c r="J1613" s="31" t="s">
        <v>114</v>
      </c>
      <c r="K1613" s="31"/>
      <c r="N1613" s="13" t="s">
        <v>29</v>
      </c>
      <c r="O1613" s="24" t="str">
        <f>IF(D1613="","",IF(COUNTIF(离职清单!C:C,D1613)&gt;0,"已离职","在职"))</f>
        <v>在职</v>
      </c>
      <c r="P1613" s="24">
        <f>IF(AND(O1613="在职",J1613="是"),COUNTIF(O$2:O1613,"在职"),"")</f>
        <v>1606</v>
      </c>
    </row>
    <row r="1614" ht="18" spans="1:16">
      <c r="A1614" s="10">
        <f t="shared" si="30"/>
        <v>1613</v>
      </c>
      <c r="B1614" s="31">
        <v>46183</v>
      </c>
      <c r="C1614" s="32" t="s">
        <v>1735</v>
      </c>
      <c r="D1614" s="120" t="s">
        <v>480</v>
      </c>
      <c r="E1614" s="33" t="s">
        <v>43</v>
      </c>
      <c r="F1614" s="18" t="s">
        <v>63</v>
      </c>
      <c r="G1614" s="18" t="s">
        <v>176</v>
      </c>
      <c r="H1614" s="34" t="s">
        <v>85</v>
      </c>
      <c r="I1614" s="18" t="s">
        <v>104</v>
      </c>
      <c r="J1614" s="31" t="s">
        <v>114</v>
      </c>
      <c r="K1614" s="31">
        <v>46184</v>
      </c>
      <c r="N1614" s="13" t="s">
        <v>29</v>
      </c>
      <c r="O1614" s="24" t="str">
        <f>IF(D1614="","",IF(COUNTIF(离职清单!C:C,D1614)&gt;0,"已离职","在职"))</f>
        <v>在职</v>
      </c>
      <c r="P1614" s="24">
        <f>IF(AND(O1614="在职",J1614="是"),COUNTIF(O$2:O1614,"在职"),"")</f>
        <v>1607</v>
      </c>
    </row>
    <row r="1615" ht="18" spans="1:16">
      <c r="A1615" s="14">
        <f t="shared" si="30"/>
        <v>1614</v>
      </c>
      <c r="B1615" s="31">
        <v>46183</v>
      </c>
      <c r="C1615" s="32" t="s">
        <v>1736</v>
      </c>
      <c r="D1615" s="120" t="s">
        <v>482</v>
      </c>
      <c r="E1615" s="33" t="s">
        <v>43</v>
      </c>
      <c r="F1615" s="18" t="s">
        <v>63</v>
      </c>
      <c r="G1615" s="18" t="s">
        <v>176</v>
      </c>
      <c r="H1615" s="34" t="s">
        <v>85</v>
      </c>
      <c r="I1615" s="18" t="s">
        <v>104</v>
      </c>
      <c r="J1615" s="31" t="s">
        <v>105</v>
      </c>
      <c r="K1615" s="31"/>
      <c r="N1615" s="13" t="s">
        <v>29</v>
      </c>
      <c r="O1615" s="24" t="str">
        <f>IF(D1615="","",IF(COUNTIF(离职清单!C:C,D1615)&gt;0,"已离职","在职"))</f>
        <v>在职</v>
      </c>
      <c r="P1615" s="24" t="str">
        <f>IF(AND(O1615="在职",J1615="是"),COUNTIF(O$2:O1615,"在职"),"")</f>
        <v/>
      </c>
    </row>
    <row r="1616" ht="18" spans="1:16">
      <c r="A1616" s="10">
        <f t="shared" si="30"/>
        <v>1615</v>
      </c>
      <c r="B1616" s="31">
        <v>46183</v>
      </c>
      <c r="C1616" s="32" t="s">
        <v>1737</v>
      </c>
      <c r="D1616" s="120" t="s">
        <v>484</v>
      </c>
      <c r="E1616" s="33" t="s">
        <v>43</v>
      </c>
      <c r="F1616" s="18" t="s">
        <v>64</v>
      </c>
      <c r="G1616" s="18" t="s">
        <v>176</v>
      </c>
      <c r="H1616" s="34" t="s">
        <v>85</v>
      </c>
      <c r="I1616" s="18" t="s">
        <v>104</v>
      </c>
      <c r="J1616" s="31" t="s">
        <v>105</v>
      </c>
      <c r="K1616" s="31"/>
      <c r="N1616" s="13" t="s">
        <v>29</v>
      </c>
      <c r="O1616" s="24" t="str">
        <f>IF(D1616="","",IF(COUNTIF(离职清单!C:C,D1616)&gt;0,"已离职","在职"))</f>
        <v>在职</v>
      </c>
      <c r="P1616" s="24" t="str">
        <f>IF(AND(O1616="在职",J1616="是"),COUNTIF(O$2:O1616,"在职"),"")</f>
        <v/>
      </c>
    </row>
    <row r="1617" ht="18" spans="1:16">
      <c r="A1617" s="14">
        <f t="shared" si="30"/>
        <v>1616</v>
      </c>
      <c r="B1617" s="31">
        <v>46183</v>
      </c>
      <c r="C1617" s="32" t="s">
        <v>1738</v>
      </c>
      <c r="D1617" s="120" t="s">
        <v>486</v>
      </c>
      <c r="E1617" s="33" t="s">
        <v>43</v>
      </c>
      <c r="F1617" s="18" t="s">
        <v>62</v>
      </c>
      <c r="G1617" s="18" t="s">
        <v>176</v>
      </c>
      <c r="H1617" s="34" t="s">
        <v>85</v>
      </c>
      <c r="I1617" s="18" t="s">
        <v>104</v>
      </c>
      <c r="J1617" s="31" t="s">
        <v>105</v>
      </c>
      <c r="K1617" s="31"/>
      <c r="N1617" s="13" t="s">
        <v>29</v>
      </c>
      <c r="O1617" s="24" t="str">
        <f>IF(D1617="","",IF(COUNTIF(离职清单!C:C,D1617)&gt;0,"已离职","在职"))</f>
        <v>在职</v>
      </c>
      <c r="P1617" s="24" t="str">
        <f>IF(AND(O1617="在职",J1617="是"),COUNTIF(O$2:O1617,"在职"),"")</f>
        <v/>
      </c>
    </row>
    <row r="1618" ht="18" spans="1:16">
      <c r="A1618" s="10">
        <f t="shared" si="30"/>
        <v>1617</v>
      </c>
      <c r="B1618" s="31">
        <v>46183</v>
      </c>
      <c r="C1618" s="32" t="s">
        <v>1739</v>
      </c>
      <c r="D1618" s="120" t="s">
        <v>488</v>
      </c>
      <c r="E1618" s="33" t="s">
        <v>43</v>
      </c>
      <c r="F1618" s="18" t="s">
        <v>63</v>
      </c>
      <c r="G1618" s="18" t="s">
        <v>176</v>
      </c>
      <c r="H1618" s="34" t="s">
        <v>85</v>
      </c>
      <c r="I1618" s="18" t="s">
        <v>104</v>
      </c>
      <c r="J1618" s="31" t="s">
        <v>105</v>
      </c>
      <c r="K1618" s="31"/>
      <c r="N1618" s="13" t="s">
        <v>29</v>
      </c>
      <c r="O1618" s="24" t="str">
        <f>IF(D1618="","",IF(COUNTIF(离职清单!C:C,D1618)&gt;0,"已离职","在职"))</f>
        <v>在职</v>
      </c>
      <c r="P1618" s="24" t="str">
        <f>IF(AND(O1618="在职",J1618="是"),COUNTIF(O$2:O1618,"在职"),"")</f>
        <v/>
      </c>
    </row>
    <row r="1619" ht="18" spans="1:16">
      <c r="A1619" s="14">
        <f t="shared" si="30"/>
        <v>1618</v>
      </c>
      <c r="B1619" s="31">
        <v>46183</v>
      </c>
      <c r="C1619" s="32" t="s">
        <v>1740</v>
      </c>
      <c r="D1619" s="120" t="s">
        <v>490</v>
      </c>
      <c r="E1619" s="33" t="s">
        <v>43</v>
      </c>
      <c r="F1619" s="18" t="s">
        <v>63</v>
      </c>
      <c r="G1619" s="18" t="s">
        <v>148</v>
      </c>
      <c r="H1619" s="34" t="s">
        <v>85</v>
      </c>
      <c r="I1619" s="18" t="s">
        <v>104</v>
      </c>
      <c r="J1619" s="31" t="s">
        <v>105</v>
      </c>
      <c r="K1619" s="31"/>
      <c r="N1619" s="13" t="s">
        <v>29</v>
      </c>
      <c r="O1619" s="24" t="str">
        <f>IF(D1619="","",IF(COUNTIF(离职清单!C:C,D1619)&gt;0,"已离职","在职"))</f>
        <v>在职</v>
      </c>
      <c r="P1619" s="24" t="str">
        <f>IF(AND(O1619="在职",J1619="是"),COUNTIF(O$2:O1619,"在职"),"")</f>
        <v/>
      </c>
    </row>
    <row r="1620" ht="18" spans="1:16">
      <c r="A1620" s="10">
        <f t="shared" si="30"/>
        <v>1619</v>
      </c>
      <c r="B1620" s="31">
        <v>46183</v>
      </c>
      <c r="C1620" s="32" t="s">
        <v>1741</v>
      </c>
      <c r="D1620" s="120" t="s">
        <v>492</v>
      </c>
      <c r="E1620" s="33" t="s">
        <v>43</v>
      </c>
      <c r="F1620" s="18" t="s">
        <v>62</v>
      </c>
      <c r="G1620" s="18" t="s">
        <v>148</v>
      </c>
      <c r="H1620" s="34" t="s">
        <v>85</v>
      </c>
      <c r="I1620" s="18" t="s">
        <v>104</v>
      </c>
      <c r="J1620" s="31" t="s">
        <v>114</v>
      </c>
      <c r="K1620" s="31">
        <v>46187</v>
      </c>
      <c r="N1620" s="13" t="s">
        <v>29</v>
      </c>
      <c r="O1620" s="24" t="str">
        <f>IF(D1620="","",IF(COUNTIF(离职清单!C:C,D1620)&gt;0,"已离职","在职"))</f>
        <v>在职</v>
      </c>
      <c r="P1620" s="24">
        <f>IF(AND(O1620="在职",J1620="是"),COUNTIF(O$2:O1620,"在职"),"")</f>
        <v>1613</v>
      </c>
    </row>
    <row r="1621" ht="18" spans="1:16">
      <c r="A1621" s="14">
        <f t="shared" si="30"/>
        <v>1620</v>
      </c>
      <c r="B1621" s="31">
        <v>46183</v>
      </c>
      <c r="C1621" s="32" t="s">
        <v>1742</v>
      </c>
      <c r="D1621" s="120" t="s">
        <v>477</v>
      </c>
      <c r="E1621" s="33" t="s">
        <v>43</v>
      </c>
      <c r="F1621" s="18" t="s">
        <v>64</v>
      </c>
      <c r="G1621" s="18" t="s">
        <v>148</v>
      </c>
      <c r="H1621" s="34" t="s">
        <v>85</v>
      </c>
      <c r="I1621" s="18" t="s">
        <v>104</v>
      </c>
      <c r="J1621" s="31" t="s">
        <v>105</v>
      </c>
      <c r="K1621" s="31"/>
      <c r="N1621" s="13" t="s">
        <v>29</v>
      </c>
      <c r="O1621" s="24" t="str">
        <f>IF(D1621="","",IF(COUNTIF(离职清单!C:C,D1621)&gt;0,"已离职","在职"))</f>
        <v>在职</v>
      </c>
      <c r="P1621" s="24" t="str">
        <f>IF(AND(O1621="在职",J1621="是"),COUNTIF(O$2:O1621,"在职"),"")</f>
        <v/>
      </c>
    </row>
    <row r="1622" ht="18" spans="1:16">
      <c r="A1622" s="10">
        <f t="shared" si="30"/>
        <v>1621</v>
      </c>
      <c r="B1622" s="31">
        <v>46183</v>
      </c>
      <c r="C1622" s="32" t="s">
        <v>1743</v>
      </c>
      <c r="D1622" s="120" t="s">
        <v>478</v>
      </c>
      <c r="E1622" s="33" t="s">
        <v>43</v>
      </c>
      <c r="F1622" s="18" t="s">
        <v>62</v>
      </c>
      <c r="G1622" s="18" t="s">
        <v>148</v>
      </c>
      <c r="H1622" s="34" t="s">
        <v>85</v>
      </c>
      <c r="I1622" s="18" t="s">
        <v>104</v>
      </c>
      <c r="J1622" s="31" t="s">
        <v>114</v>
      </c>
      <c r="K1622" s="31">
        <v>46184</v>
      </c>
      <c r="N1622" s="13" t="s">
        <v>29</v>
      </c>
      <c r="O1622" s="24" t="str">
        <f>IF(D1622="","",IF(COUNTIF(离职清单!C:C,D1622)&gt;0,"已离职","在职"))</f>
        <v>在职</v>
      </c>
      <c r="P1622" s="24">
        <f>IF(AND(O1622="在职",J1622="是"),COUNTIF(O$2:O1622,"在职"),"")</f>
        <v>1615</v>
      </c>
    </row>
    <row r="1623" ht="18" spans="1:16">
      <c r="A1623" s="14">
        <f t="shared" si="30"/>
        <v>1622</v>
      </c>
      <c r="B1623" s="31">
        <v>46183</v>
      </c>
      <c r="C1623" s="32" t="s">
        <v>1744</v>
      </c>
      <c r="D1623" s="120" t="s">
        <v>480</v>
      </c>
      <c r="E1623" s="33" t="s">
        <v>43</v>
      </c>
      <c r="F1623" s="18" t="s">
        <v>62</v>
      </c>
      <c r="G1623" s="18" t="s">
        <v>148</v>
      </c>
      <c r="H1623" s="34" t="s">
        <v>85</v>
      </c>
      <c r="I1623" s="18" t="s">
        <v>104</v>
      </c>
      <c r="J1623" s="31" t="s">
        <v>114</v>
      </c>
      <c r="K1623" s="31">
        <v>46184</v>
      </c>
      <c r="N1623" s="13" t="s">
        <v>29</v>
      </c>
      <c r="O1623" s="24" t="str">
        <f>IF(D1623="","",IF(COUNTIF(离职清单!C:C,D1623)&gt;0,"已离职","在职"))</f>
        <v>在职</v>
      </c>
      <c r="P1623" s="24">
        <f>IF(AND(O1623="在职",J1623="是"),COUNTIF(O$2:O1623,"在职"),"")</f>
        <v>1616</v>
      </c>
    </row>
    <row r="1624" ht="18" spans="1:16">
      <c r="A1624" s="10">
        <f t="shared" si="30"/>
        <v>1623</v>
      </c>
      <c r="B1624" s="31">
        <v>46183</v>
      </c>
      <c r="C1624" s="32" t="s">
        <v>1745</v>
      </c>
      <c r="D1624" s="120" t="s">
        <v>482</v>
      </c>
      <c r="E1624" s="33" t="s">
        <v>43</v>
      </c>
      <c r="F1624" s="18" t="s">
        <v>62</v>
      </c>
      <c r="G1624" s="18" t="s">
        <v>173</v>
      </c>
      <c r="H1624" s="34" t="s">
        <v>85</v>
      </c>
      <c r="I1624" s="18" t="s">
        <v>104</v>
      </c>
      <c r="J1624" s="31" t="s">
        <v>114</v>
      </c>
      <c r="K1624" s="31">
        <v>46184</v>
      </c>
      <c r="N1624" s="13" t="s">
        <v>29</v>
      </c>
      <c r="O1624" s="24" t="str">
        <f>IF(D1624="","",IF(COUNTIF(离职清单!C:C,D1624)&gt;0,"已离职","在职"))</f>
        <v>在职</v>
      </c>
      <c r="P1624" s="24">
        <f>IF(AND(O1624="在职",J1624="是"),COUNTIF(O$2:O1624,"在职"),"")</f>
        <v>1617</v>
      </c>
    </row>
    <row r="1625" ht="18" spans="1:16">
      <c r="A1625" s="14">
        <f t="shared" si="30"/>
        <v>1624</v>
      </c>
      <c r="B1625" s="31">
        <v>46183</v>
      </c>
      <c r="C1625" s="32" t="s">
        <v>1746</v>
      </c>
      <c r="D1625" s="120" t="s">
        <v>484</v>
      </c>
      <c r="E1625" s="33" t="s">
        <v>43</v>
      </c>
      <c r="F1625" s="18" t="s">
        <v>62</v>
      </c>
      <c r="G1625" s="18" t="s">
        <v>173</v>
      </c>
      <c r="H1625" s="34" t="s">
        <v>85</v>
      </c>
      <c r="I1625" s="18" t="s">
        <v>104</v>
      </c>
      <c r="J1625" s="31" t="s">
        <v>114</v>
      </c>
      <c r="K1625" s="31">
        <v>46185</v>
      </c>
      <c r="N1625" s="13" t="s">
        <v>29</v>
      </c>
      <c r="O1625" s="24" t="str">
        <f>IF(D1625="","",IF(COUNTIF(离职清单!C:C,D1625)&gt;0,"已离职","在职"))</f>
        <v>在职</v>
      </c>
      <c r="P1625" s="24">
        <f>IF(AND(O1625="在职",J1625="是"),COUNTIF(O$2:O1625,"在职"),"")</f>
        <v>1618</v>
      </c>
    </row>
    <row r="1626" ht="18" spans="1:16">
      <c r="A1626" s="10">
        <f t="shared" si="30"/>
        <v>1625</v>
      </c>
      <c r="B1626" s="31">
        <v>46183</v>
      </c>
      <c r="C1626" s="32" t="s">
        <v>1747</v>
      </c>
      <c r="D1626" s="120" t="s">
        <v>486</v>
      </c>
      <c r="E1626" s="33" t="s">
        <v>43</v>
      </c>
      <c r="F1626" s="18" t="s">
        <v>63</v>
      </c>
      <c r="G1626" s="18" t="s">
        <v>124</v>
      </c>
      <c r="H1626" s="34" t="s">
        <v>85</v>
      </c>
      <c r="I1626" s="18" t="s">
        <v>104</v>
      </c>
      <c r="J1626" s="31" t="s">
        <v>114</v>
      </c>
      <c r="K1626" s="31">
        <v>46184</v>
      </c>
      <c r="N1626" s="13" t="s">
        <v>29</v>
      </c>
      <c r="O1626" s="24" t="str">
        <f>IF(D1626="","",IF(COUNTIF(离职清单!C:C,D1626)&gt;0,"已离职","在职"))</f>
        <v>在职</v>
      </c>
      <c r="P1626" s="24">
        <f>IF(AND(O1626="在职",J1626="是"),COUNTIF(O$2:O1626,"在职"),"")</f>
        <v>1619</v>
      </c>
    </row>
    <row r="1627" ht="18" spans="1:16">
      <c r="A1627" s="14">
        <f t="shared" si="30"/>
        <v>1626</v>
      </c>
      <c r="B1627" s="31">
        <v>46183</v>
      </c>
      <c r="C1627" s="32" t="s">
        <v>1609</v>
      </c>
      <c r="D1627" s="120" t="s">
        <v>488</v>
      </c>
      <c r="E1627" s="33" t="s">
        <v>43</v>
      </c>
      <c r="F1627" s="18" t="s">
        <v>64</v>
      </c>
      <c r="G1627" s="18" t="s">
        <v>124</v>
      </c>
      <c r="H1627" s="34" t="s">
        <v>85</v>
      </c>
      <c r="I1627" s="18" t="s">
        <v>104</v>
      </c>
      <c r="J1627" s="31" t="s">
        <v>114</v>
      </c>
      <c r="K1627" s="31" t="s">
        <v>1748</v>
      </c>
      <c r="N1627" s="13" t="s">
        <v>29</v>
      </c>
      <c r="O1627" s="24" t="str">
        <f>IF(D1627="","",IF(COUNTIF(离职清单!C:C,D1627)&gt;0,"已离职","在职"))</f>
        <v>在职</v>
      </c>
      <c r="P1627" s="24">
        <f>IF(AND(O1627="在职",J1627="是"),COUNTIF(O$2:O1627,"在职"),"")</f>
        <v>1620</v>
      </c>
    </row>
    <row r="1628" ht="18" spans="1:16">
      <c r="A1628" s="10">
        <f t="shared" si="30"/>
        <v>1627</v>
      </c>
      <c r="B1628" s="31">
        <v>46183</v>
      </c>
      <c r="C1628" s="32" t="s">
        <v>1749</v>
      </c>
      <c r="D1628" s="120" t="s">
        <v>490</v>
      </c>
      <c r="E1628" s="33" t="s">
        <v>43</v>
      </c>
      <c r="F1628" s="18" t="s">
        <v>64</v>
      </c>
      <c r="G1628" s="18" t="s">
        <v>124</v>
      </c>
      <c r="H1628" s="34" t="s">
        <v>85</v>
      </c>
      <c r="I1628" s="18" t="s">
        <v>104</v>
      </c>
      <c r="J1628" s="31" t="s">
        <v>105</v>
      </c>
      <c r="K1628" s="31"/>
      <c r="N1628" s="13" t="s">
        <v>29</v>
      </c>
      <c r="O1628" s="24" t="str">
        <f>IF(D1628="","",IF(COUNTIF(离职清单!C:C,D1628)&gt;0,"已离职","在职"))</f>
        <v>在职</v>
      </c>
      <c r="P1628" s="24" t="str">
        <f>IF(AND(O1628="在职",J1628="是"),COUNTIF(O$2:O1628,"在职"),"")</f>
        <v/>
      </c>
    </row>
    <row r="1629" ht="18" spans="1:16">
      <c r="A1629" s="14">
        <f t="shared" si="30"/>
        <v>1628</v>
      </c>
      <c r="B1629" s="31">
        <v>46183</v>
      </c>
      <c r="C1629" s="32" t="s">
        <v>1750</v>
      </c>
      <c r="D1629" s="120" t="s">
        <v>492</v>
      </c>
      <c r="E1629" s="33" t="s">
        <v>43</v>
      </c>
      <c r="F1629" s="18" t="s">
        <v>62</v>
      </c>
      <c r="G1629" s="18" t="s">
        <v>124</v>
      </c>
      <c r="H1629" s="34" t="s">
        <v>85</v>
      </c>
      <c r="I1629" s="18" t="s">
        <v>104</v>
      </c>
      <c r="J1629" s="31" t="s">
        <v>114</v>
      </c>
      <c r="K1629" s="31">
        <v>46184</v>
      </c>
      <c r="N1629" s="13" t="s">
        <v>29</v>
      </c>
      <c r="O1629" s="24" t="str">
        <f>IF(D1629="","",IF(COUNTIF(离职清单!C:C,D1629)&gt;0,"已离职","在职"))</f>
        <v>在职</v>
      </c>
      <c r="P1629" s="24">
        <f>IF(AND(O1629="在职",J1629="是"),COUNTIF(O$2:O1629,"在职"),"")</f>
        <v>1622</v>
      </c>
    </row>
    <row r="1630" ht="18" spans="1:16">
      <c r="A1630" s="10">
        <f t="shared" si="30"/>
        <v>1629</v>
      </c>
      <c r="B1630" s="31">
        <v>46183</v>
      </c>
      <c r="C1630" s="32" t="s">
        <v>1751</v>
      </c>
      <c r="D1630" s="120" t="s">
        <v>477</v>
      </c>
      <c r="E1630" s="33" t="s">
        <v>43</v>
      </c>
      <c r="F1630" s="18" t="s">
        <v>64</v>
      </c>
      <c r="G1630" s="18" t="s">
        <v>1334</v>
      </c>
      <c r="H1630" s="34" t="s">
        <v>85</v>
      </c>
      <c r="I1630" s="18" t="s">
        <v>104</v>
      </c>
      <c r="J1630" s="31" t="s">
        <v>105</v>
      </c>
      <c r="K1630" s="31"/>
      <c r="N1630" s="13" t="s">
        <v>29</v>
      </c>
      <c r="O1630" s="24" t="str">
        <f>IF(D1630="","",IF(COUNTIF(离职清单!C:C,D1630)&gt;0,"已离职","在职"))</f>
        <v>在职</v>
      </c>
      <c r="P1630" s="24" t="str">
        <f>IF(AND(O1630="在职",J1630="是"),COUNTIF(O$2:O1630,"在职"),"")</f>
        <v/>
      </c>
    </row>
    <row r="1631" ht="18" spans="1:16">
      <c r="A1631" s="14">
        <f t="shared" si="30"/>
        <v>1630</v>
      </c>
      <c r="B1631" s="31">
        <v>46183</v>
      </c>
      <c r="C1631" s="32" t="s">
        <v>1752</v>
      </c>
      <c r="D1631" s="120" t="s">
        <v>478</v>
      </c>
      <c r="E1631" s="33" t="s">
        <v>43</v>
      </c>
      <c r="F1631" s="18" t="s">
        <v>63</v>
      </c>
      <c r="G1631" s="18" t="s">
        <v>1426</v>
      </c>
      <c r="H1631" s="34" t="s">
        <v>85</v>
      </c>
      <c r="I1631" s="18" t="s">
        <v>104</v>
      </c>
      <c r="J1631" s="31" t="s">
        <v>105</v>
      </c>
      <c r="K1631" s="31"/>
      <c r="N1631" s="13" t="s">
        <v>29</v>
      </c>
      <c r="O1631" s="24" t="str">
        <f>IF(D1631="","",IF(COUNTIF(离职清单!C:C,D1631)&gt;0,"已离职","在职"))</f>
        <v>在职</v>
      </c>
      <c r="P1631" s="24" t="str">
        <f>IF(AND(O1631="在职",J1631="是"),COUNTIF(O$2:O1631,"在职"),"")</f>
        <v/>
      </c>
    </row>
    <row r="1632" ht="18" spans="1:16">
      <c r="A1632" s="10">
        <f t="shared" si="30"/>
        <v>1631</v>
      </c>
      <c r="B1632" s="31">
        <v>46183</v>
      </c>
      <c r="C1632" s="32" t="s">
        <v>1753</v>
      </c>
      <c r="D1632" s="120" t="s">
        <v>480</v>
      </c>
      <c r="E1632" s="33" t="s">
        <v>43</v>
      </c>
      <c r="F1632" s="18" t="s">
        <v>64</v>
      </c>
      <c r="G1632" s="18" t="s">
        <v>1426</v>
      </c>
      <c r="H1632" s="34" t="s">
        <v>85</v>
      </c>
      <c r="I1632" s="18" t="s">
        <v>104</v>
      </c>
      <c r="J1632" s="31" t="s">
        <v>105</v>
      </c>
      <c r="K1632" s="31"/>
      <c r="N1632" s="13" t="s">
        <v>29</v>
      </c>
      <c r="O1632" s="24" t="str">
        <f>IF(D1632="","",IF(COUNTIF(离职清单!C:C,D1632)&gt;0,"已离职","在职"))</f>
        <v>在职</v>
      </c>
      <c r="P1632" s="24" t="str">
        <f>IF(AND(O1632="在职",J1632="是"),COUNTIF(O$2:O1632,"在职"),"")</f>
        <v/>
      </c>
    </row>
    <row r="1633" ht="18" spans="1:16">
      <c r="A1633" s="14">
        <f t="shared" si="30"/>
        <v>1632</v>
      </c>
      <c r="B1633" s="31">
        <v>46183</v>
      </c>
      <c r="C1633" s="32" t="s">
        <v>1754</v>
      </c>
      <c r="D1633" s="120" t="s">
        <v>482</v>
      </c>
      <c r="E1633" s="33" t="s">
        <v>43</v>
      </c>
      <c r="F1633" s="18" t="s">
        <v>63</v>
      </c>
      <c r="G1633" s="18" t="s">
        <v>1426</v>
      </c>
      <c r="H1633" s="34" t="s">
        <v>85</v>
      </c>
      <c r="I1633" s="18" t="s">
        <v>104</v>
      </c>
      <c r="J1633" s="31" t="s">
        <v>105</v>
      </c>
      <c r="K1633" s="31"/>
      <c r="N1633" s="13" t="s">
        <v>29</v>
      </c>
      <c r="O1633" s="24" t="str">
        <f>IF(D1633="","",IF(COUNTIF(离职清单!C:C,D1633)&gt;0,"已离职","在职"))</f>
        <v>在职</v>
      </c>
      <c r="P1633" s="24" t="str">
        <f>IF(AND(O1633="在职",J1633="是"),COUNTIF(O$2:O1633,"在职"),"")</f>
        <v/>
      </c>
    </row>
    <row r="1634" ht="18" spans="1:16">
      <c r="A1634" s="10">
        <f t="shared" si="30"/>
        <v>1633</v>
      </c>
      <c r="B1634" s="31">
        <v>46183</v>
      </c>
      <c r="C1634" s="32" t="s">
        <v>1755</v>
      </c>
      <c r="D1634" s="120" t="s">
        <v>484</v>
      </c>
      <c r="E1634" s="33" t="s">
        <v>43</v>
      </c>
      <c r="F1634" s="18" t="s">
        <v>63</v>
      </c>
      <c r="G1634" s="18" t="s">
        <v>246</v>
      </c>
      <c r="H1634" s="34" t="s">
        <v>85</v>
      </c>
      <c r="I1634" s="18" t="s">
        <v>104</v>
      </c>
      <c r="J1634" s="31" t="s">
        <v>114</v>
      </c>
      <c r="K1634" s="31">
        <v>46185</v>
      </c>
      <c r="N1634" s="13" t="s">
        <v>29</v>
      </c>
      <c r="O1634" s="24" t="str">
        <f>IF(D1634="","",IF(COUNTIF(离职清单!C:C,D1634)&gt;0,"已离职","在职"))</f>
        <v>在职</v>
      </c>
      <c r="P1634" s="24">
        <f>IF(AND(O1634="在职",J1634="是"),COUNTIF(O$2:O1634,"在职"),"")</f>
        <v>1627</v>
      </c>
    </row>
    <row r="1635" ht="18" spans="1:16">
      <c r="A1635" s="14">
        <f t="shared" si="30"/>
        <v>1634</v>
      </c>
      <c r="B1635" s="31">
        <v>46183</v>
      </c>
      <c r="C1635" s="32" t="s">
        <v>1756</v>
      </c>
      <c r="D1635" s="120" t="s">
        <v>486</v>
      </c>
      <c r="E1635" s="33" t="s">
        <v>43</v>
      </c>
      <c r="F1635" s="18" t="s">
        <v>62</v>
      </c>
      <c r="G1635" s="18" t="s">
        <v>132</v>
      </c>
      <c r="H1635" s="34" t="s">
        <v>85</v>
      </c>
      <c r="I1635" s="18" t="s">
        <v>104</v>
      </c>
      <c r="J1635" s="31" t="s">
        <v>105</v>
      </c>
      <c r="K1635" s="31">
        <v>46185</v>
      </c>
      <c r="N1635" s="13" t="s">
        <v>29</v>
      </c>
      <c r="O1635" s="24" t="str">
        <f>IF(D1635="","",IF(COUNTIF(离职清单!C:C,D1635)&gt;0,"已离职","在职"))</f>
        <v>在职</v>
      </c>
      <c r="P1635" s="24" t="str">
        <f>IF(AND(O1635="在职",J1635="是"),COUNTIF(O$2:O1635,"在职"),"")</f>
        <v/>
      </c>
    </row>
    <row r="1636" ht="18" spans="1:16">
      <c r="A1636" s="10">
        <f t="shared" si="30"/>
        <v>1635</v>
      </c>
      <c r="B1636" s="31">
        <v>46183</v>
      </c>
      <c r="C1636" s="32" t="s">
        <v>1757</v>
      </c>
      <c r="D1636" s="120" t="s">
        <v>488</v>
      </c>
      <c r="E1636" s="33" t="s">
        <v>42</v>
      </c>
      <c r="F1636" s="18" t="s">
        <v>64</v>
      </c>
      <c r="G1636" s="18" t="s">
        <v>1166</v>
      </c>
      <c r="H1636" s="34" t="s">
        <v>85</v>
      </c>
      <c r="I1636" s="18" t="s">
        <v>104</v>
      </c>
      <c r="J1636" s="31" t="s">
        <v>105</v>
      </c>
      <c r="K1636" s="31"/>
      <c r="N1636" s="13" t="s">
        <v>29</v>
      </c>
      <c r="O1636" s="24" t="str">
        <f>IF(D1636="","",IF(COUNTIF(离职清单!C:C,D1636)&gt;0,"已离职","在职"))</f>
        <v>在职</v>
      </c>
      <c r="P1636" s="24" t="str">
        <f>IF(AND(O1636="在职",J1636="是"),COUNTIF(O$2:O1636,"在职"),"")</f>
        <v/>
      </c>
    </row>
    <row r="1637" ht="18" spans="1:16">
      <c r="A1637" s="14">
        <f t="shared" si="30"/>
        <v>1636</v>
      </c>
      <c r="B1637" s="31">
        <v>46183</v>
      </c>
      <c r="C1637" s="32" t="s">
        <v>1758</v>
      </c>
      <c r="D1637" s="120" t="s">
        <v>490</v>
      </c>
      <c r="E1637" s="33" t="s">
        <v>42</v>
      </c>
      <c r="F1637" s="18" t="s">
        <v>64</v>
      </c>
      <c r="G1637" s="18" t="s">
        <v>1166</v>
      </c>
      <c r="H1637" s="34" t="s">
        <v>85</v>
      </c>
      <c r="I1637" s="18" t="s">
        <v>104</v>
      </c>
      <c r="J1637" s="31" t="s">
        <v>105</v>
      </c>
      <c r="K1637" s="31"/>
      <c r="N1637" s="13" t="s">
        <v>29</v>
      </c>
      <c r="O1637" s="24" t="str">
        <f>IF(D1637="","",IF(COUNTIF(离职清单!C:C,D1637)&gt;0,"已离职","在职"))</f>
        <v>在职</v>
      </c>
      <c r="P1637" s="24" t="str">
        <f>IF(AND(O1637="在职",J1637="是"),COUNTIF(O$2:O1637,"在职"),"")</f>
        <v/>
      </c>
    </row>
    <row r="1638" ht="18" spans="1:16">
      <c r="A1638" s="10">
        <f t="shared" si="30"/>
        <v>1637</v>
      </c>
      <c r="B1638" s="31">
        <v>46183</v>
      </c>
      <c r="C1638" s="32" t="s">
        <v>1759</v>
      </c>
      <c r="D1638" s="120" t="s">
        <v>492</v>
      </c>
      <c r="E1638" s="33" t="s">
        <v>42</v>
      </c>
      <c r="F1638" s="18" t="s">
        <v>64</v>
      </c>
      <c r="G1638" s="18" t="s">
        <v>1166</v>
      </c>
      <c r="H1638" s="34" t="s">
        <v>85</v>
      </c>
      <c r="I1638" s="18" t="s">
        <v>104</v>
      </c>
      <c r="J1638" s="31" t="s">
        <v>114</v>
      </c>
      <c r="K1638" s="31" t="s">
        <v>1162</v>
      </c>
      <c r="N1638" s="13" t="s">
        <v>29</v>
      </c>
      <c r="O1638" s="24" t="str">
        <f>IF(D1638="","",IF(COUNTIF(离职清单!C:C,D1638)&gt;0,"已离职","在职"))</f>
        <v>在职</v>
      </c>
      <c r="P1638" s="24">
        <f>IF(AND(O1638="在职",J1638="是"),COUNTIF(O$2:O1638,"在职"),"")</f>
        <v>1631</v>
      </c>
    </row>
    <row r="1639" ht="18" spans="1:16">
      <c r="A1639" s="14">
        <f t="shared" si="30"/>
        <v>1638</v>
      </c>
      <c r="B1639" s="31">
        <v>46183</v>
      </c>
      <c r="C1639" s="32" t="s">
        <v>1760</v>
      </c>
      <c r="D1639" s="120" t="s">
        <v>477</v>
      </c>
      <c r="E1639" s="33" t="s">
        <v>42</v>
      </c>
      <c r="F1639" s="18" t="s">
        <v>64</v>
      </c>
      <c r="G1639" s="18" t="s">
        <v>1166</v>
      </c>
      <c r="H1639" s="34" t="s">
        <v>85</v>
      </c>
      <c r="I1639" s="18" t="s">
        <v>104</v>
      </c>
      <c r="J1639" s="31" t="s">
        <v>114</v>
      </c>
      <c r="K1639" s="31" t="s">
        <v>1162</v>
      </c>
      <c r="N1639" s="13" t="s">
        <v>29</v>
      </c>
      <c r="O1639" s="24" t="str">
        <f>IF(D1639="","",IF(COUNTIF(离职清单!C:C,D1639)&gt;0,"已离职","在职"))</f>
        <v>在职</v>
      </c>
      <c r="P1639" s="24">
        <f>IF(AND(O1639="在职",J1639="是"),COUNTIF(O$2:O1639,"在职"),"")</f>
        <v>1632</v>
      </c>
    </row>
    <row r="1640" ht="18" spans="1:16">
      <c r="A1640" s="10">
        <f t="shared" si="30"/>
        <v>1639</v>
      </c>
      <c r="B1640" s="31">
        <v>46183</v>
      </c>
      <c r="C1640" s="32" t="s">
        <v>1761</v>
      </c>
      <c r="D1640" s="120" t="s">
        <v>478</v>
      </c>
      <c r="E1640" s="33" t="s">
        <v>42</v>
      </c>
      <c r="F1640" s="18" t="s">
        <v>64</v>
      </c>
      <c r="G1640" s="18" t="s">
        <v>1166</v>
      </c>
      <c r="H1640" s="34" t="s">
        <v>85</v>
      </c>
      <c r="I1640" s="18" t="s">
        <v>104</v>
      </c>
      <c r="J1640" s="31" t="s">
        <v>114</v>
      </c>
      <c r="K1640" s="31" t="s">
        <v>1162</v>
      </c>
      <c r="N1640" s="13" t="s">
        <v>29</v>
      </c>
      <c r="O1640" s="24" t="str">
        <f>IF(D1640="","",IF(COUNTIF(离职清单!C:C,D1640)&gt;0,"已离职","在职"))</f>
        <v>在职</v>
      </c>
      <c r="P1640" s="24">
        <f>IF(AND(O1640="在职",J1640="是"),COUNTIF(O$2:O1640,"在职"),"")</f>
        <v>1633</v>
      </c>
    </row>
    <row r="1641" ht="18" spans="1:16">
      <c r="A1641" s="14">
        <f t="shared" si="30"/>
        <v>1640</v>
      </c>
      <c r="B1641" s="31">
        <v>46183</v>
      </c>
      <c r="C1641" s="32" t="s">
        <v>1762</v>
      </c>
      <c r="D1641" s="120" t="s">
        <v>480</v>
      </c>
      <c r="E1641" s="33" t="s">
        <v>42</v>
      </c>
      <c r="F1641" s="18" t="s">
        <v>64</v>
      </c>
      <c r="G1641" s="18" t="s">
        <v>1166</v>
      </c>
      <c r="H1641" s="34" t="s">
        <v>85</v>
      </c>
      <c r="I1641" s="18" t="s">
        <v>104</v>
      </c>
      <c r="J1641" s="31" t="s">
        <v>114</v>
      </c>
      <c r="K1641" s="31"/>
      <c r="N1641" s="13" t="s">
        <v>29</v>
      </c>
      <c r="O1641" s="24" t="str">
        <f>IF(D1641="","",IF(COUNTIF(离职清单!C:C,D1641)&gt;0,"已离职","在职"))</f>
        <v>在职</v>
      </c>
      <c r="P1641" s="24">
        <f>IF(AND(O1641="在职",J1641="是"),COUNTIF(O$2:O1641,"在职"),"")</f>
        <v>1634</v>
      </c>
    </row>
    <row r="1642" ht="18" spans="1:16">
      <c r="A1642" s="10">
        <f t="shared" si="30"/>
        <v>1641</v>
      </c>
      <c r="B1642" s="31">
        <v>46183</v>
      </c>
      <c r="C1642" s="32" t="s">
        <v>1763</v>
      </c>
      <c r="D1642" s="120" t="s">
        <v>482</v>
      </c>
      <c r="E1642" s="33" t="s">
        <v>42</v>
      </c>
      <c r="F1642" s="18" t="s">
        <v>64</v>
      </c>
      <c r="G1642" s="18" t="s">
        <v>1511</v>
      </c>
      <c r="H1642" s="34" t="s">
        <v>85</v>
      </c>
      <c r="I1642" s="18" t="s">
        <v>104</v>
      </c>
      <c r="J1642" s="31" t="s">
        <v>105</v>
      </c>
      <c r="K1642" s="31"/>
      <c r="N1642" s="13" t="s">
        <v>29</v>
      </c>
      <c r="O1642" s="24" t="str">
        <f>IF(D1642="","",IF(COUNTIF(离职清单!C:C,D1642)&gt;0,"已离职","在职"))</f>
        <v>在职</v>
      </c>
      <c r="P1642" s="24" t="str">
        <f>IF(AND(O1642="在职",J1642="是"),COUNTIF(O$2:O1642,"在职"),"")</f>
        <v/>
      </c>
    </row>
    <row r="1643" ht="18" spans="1:16">
      <c r="A1643" s="14">
        <f t="shared" si="30"/>
        <v>1642</v>
      </c>
      <c r="B1643" s="31">
        <v>46183</v>
      </c>
      <c r="C1643" s="32" t="s">
        <v>1764</v>
      </c>
      <c r="D1643" s="120" t="s">
        <v>484</v>
      </c>
      <c r="E1643" s="33" t="s">
        <v>42</v>
      </c>
      <c r="F1643" s="18" t="s">
        <v>64</v>
      </c>
      <c r="G1643" s="18" t="s">
        <v>631</v>
      </c>
      <c r="H1643" s="34" t="s">
        <v>85</v>
      </c>
      <c r="I1643" s="18" t="s">
        <v>104</v>
      </c>
      <c r="J1643" s="31" t="s">
        <v>105</v>
      </c>
      <c r="K1643" s="31"/>
      <c r="N1643" s="13" t="s">
        <v>29</v>
      </c>
      <c r="O1643" s="24" t="str">
        <f>IF(D1643="","",IF(COUNTIF(离职清单!C:C,D1643)&gt;0,"已离职","在职"))</f>
        <v>在职</v>
      </c>
      <c r="P1643" s="24" t="str">
        <f>IF(AND(O1643="在职",J1643="是"),COUNTIF(O$2:O1643,"在职"),"")</f>
        <v/>
      </c>
    </row>
    <row r="1644" ht="18" spans="1:16">
      <c r="A1644" s="10">
        <f t="shared" ref="A1644:A1707" si="31">IF(B1644&lt;&gt;"",ROW()-1,"")</f>
        <v>1643</v>
      </c>
      <c r="B1644" s="31">
        <v>46183</v>
      </c>
      <c r="C1644" s="32" t="s">
        <v>1071</v>
      </c>
      <c r="D1644" s="120" t="s">
        <v>486</v>
      </c>
      <c r="E1644" s="33" t="s">
        <v>42</v>
      </c>
      <c r="F1644" s="18" t="s">
        <v>64</v>
      </c>
      <c r="G1644" s="18" t="s">
        <v>631</v>
      </c>
      <c r="H1644" s="34" t="s">
        <v>85</v>
      </c>
      <c r="I1644" s="18" t="s">
        <v>104</v>
      </c>
      <c r="J1644" s="31" t="s">
        <v>105</v>
      </c>
      <c r="K1644" s="31"/>
      <c r="N1644" s="13" t="s">
        <v>29</v>
      </c>
      <c r="O1644" s="24" t="str">
        <f>IF(D1644="","",IF(COUNTIF(离职清单!C:C,D1644)&gt;0,"已离职","在职"))</f>
        <v>在职</v>
      </c>
      <c r="P1644" s="24" t="str">
        <f>IF(AND(O1644="在职",J1644="是"),COUNTIF(O$2:O1644,"在职"),"")</f>
        <v/>
      </c>
    </row>
    <row r="1645" ht="18" spans="1:16">
      <c r="A1645" s="14">
        <f t="shared" si="31"/>
        <v>1644</v>
      </c>
      <c r="B1645" s="31">
        <v>46183</v>
      </c>
      <c r="C1645" s="32" t="s">
        <v>917</v>
      </c>
      <c r="D1645" s="120" t="s">
        <v>488</v>
      </c>
      <c r="E1645" s="33" t="s">
        <v>42</v>
      </c>
      <c r="F1645" s="18" t="s">
        <v>63</v>
      </c>
      <c r="G1645" s="18" t="s">
        <v>129</v>
      </c>
      <c r="H1645" s="34" t="s">
        <v>85</v>
      </c>
      <c r="I1645" s="18" t="s">
        <v>104</v>
      </c>
      <c r="J1645" s="31" t="s">
        <v>105</v>
      </c>
      <c r="K1645" s="31"/>
      <c r="N1645" s="13" t="s">
        <v>29</v>
      </c>
      <c r="O1645" s="24" t="str">
        <f>IF(D1645="","",IF(COUNTIF(离职清单!C:C,D1645)&gt;0,"已离职","在职"))</f>
        <v>在职</v>
      </c>
      <c r="P1645" s="24" t="str">
        <f>IF(AND(O1645="在职",J1645="是"),COUNTIF(O$2:O1645,"在职"),"")</f>
        <v/>
      </c>
    </row>
    <row r="1646" ht="18" spans="1:16">
      <c r="A1646" s="10">
        <f t="shared" si="31"/>
        <v>1645</v>
      </c>
      <c r="B1646" s="31">
        <v>46183</v>
      </c>
      <c r="C1646" s="32" t="s">
        <v>1765</v>
      </c>
      <c r="D1646" s="120" t="s">
        <v>490</v>
      </c>
      <c r="E1646" s="33" t="s">
        <v>42</v>
      </c>
      <c r="F1646" s="18" t="s">
        <v>64</v>
      </c>
      <c r="G1646" s="18" t="s">
        <v>129</v>
      </c>
      <c r="H1646" s="34" t="s">
        <v>85</v>
      </c>
      <c r="I1646" s="18" t="s">
        <v>104</v>
      </c>
      <c r="J1646" s="31" t="s">
        <v>105</v>
      </c>
      <c r="K1646" s="31"/>
      <c r="N1646" s="13" t="s">
        <v>29</v>
      </c>
      <c r="O1646" s="24" t="str">
        <f>IF(D1646="","",IF(COUNTIF(离职清单!C:C,D1646)&gt;0,"已离职","在职"))</f>
        <v>在职</v>
      </c>
      <c r="P1646" s="24" t="str">
        <f>IF(AND(O1646="在职",J1646="是"),COUNTIF(O$2:O1646,"在职"),"")</f>
        <v/>
      </c>
    </row>
    <row r="1647" ht="18" spans="1:16">
      <c r="A1647" s="14">
        <f t="shared" si="31"/>
        <v>1646</v>
      </c>
      <c r="B1647" s="31">
        <v>46183</v>
      </c>
      <c r="C1647" s="32" t="s">
        <v>1766</v>
      </c>
      <c r="D1647" s="120" t="s">
        <v>492</v>
      </c>
      <c r="E1647" s="33" t="s">
        <v>42</v>
      </c>
      <c r="F1647" s="18" t="s">
        <v>63</v>
      </c>
      <c r="G1647" s="18" t="s">
        <v>129</v>
      </c>
      <c r="H1647" s="34" t="s">
        <v>85</v>
      </c>
      <c r="I1647" s="18" t="s">
        <v>104</v>
      </c>
      <c r="J1647" s="31" t="s">
        <v>114</v>
      </c>
      <c r="K1647" s="31">
        <v>46186</v>
      </c>
      <c r="N1647" s="13" t="s">
        <v>29</v>
      </c>
      <c r="O1647" s="24" t="str">
        <f>IF(D1647="","",IF(COUNTIF(离职清单!C:C,D1647)&gt;0,"已离职","在职"))</f>
        <v>在职</v>
      </c>
      <c r="P1647" s="24">
        <f>IF(AND(O1647="在职",J1647="是"),COUNTIF(O$2:O1647,"在职"),"")</f>
        <v>1640</v>
      </c>
    </row>
    <row r="1648" ht="18" spans="1:16">
      <c r="A1648" s="10">
        <f t="shared" si="31"/>
        <v>1647</v>
      </c>
      <c r="B1648" s="31">
        <v>46183</v>
      </c>
      <c r="C1648" s="32" t="s">
        <v>1767</v>
      </c>
      <c r="D1648" s="120" t="s">
        <v>477</v>
      </c>
      <c r="E1648" s="33" t="s">
        <v>42</v>
      </c>
      <c r="F1648" s="18" t="s">
        <v>62</v>
      </c>
      <c r="G1648" s="18" t="s">
        <v>129</v>
      </c>
      <c r="H1648" s="34" t="s">
        <v>85</v>
      </c>
      <c r="I1648" s="18" t="s">
        <v>104</v>
      </c>
      <c r="J1648" s="31" t="s">
        <v>114</v>
      </c>
      <c r="K1648" s="31">
        <v>46185</v>
      </c>
      <c r="N1648" s="13" t="s">
        <v>29</v>
      </c>
      <c r="O1648" s="24" t="str">
        <f>IF(D1648="","",IF(COUNTIF(离职清单!C:C,D1648)&gt;0,"已离职","在职"))</f>
        <v>在职</v>
      </c>
      <c r="P1648" s="24">
        <f>IF(AND(O1648="在职",J1648="是"),COUNTIF(O$2:O1648,"在职"),"")</f>
        <v>1641</v>
      </c>
    </row>
    <row r="1649" ht="18" spans="1:16">
      <c r="A1649" s="14">
        <f t="shared" si="31"/>
        <v>1648</v>
      </c>
      <c r="B1649" s="31">
        <v>46183</v>
      </c>
      <c r="C1649" s="32" t="s">
        <v>1768</v>
      </c>
      <c r="D1649" s="120" t="s">
        <v>478</v>
      </c>
      <c r="E1649" s="33" t="s">
        <v>42</v>
      </c>
      <c r="F1649" s="18" t="s">
        <v>64</v>
      </c>
      <c r="G1649" s="18" t="s">
        <v>129</v>
      </c>
      <c r="H1649" s="34" t="s">
        <v>85</v>
      </c>
      <c r="I1649" s="18" t="s">
        <v>104</v>
      </c>
      <c r="J1649" s="31" t="s">
        <v>105</v>
      </c>
      <c r="K1649" s="31"/>
      <c r="N1649" s="13" t="s">
        <v>29</v>
      </c>
      <c r="O1649" s="24" t="str">
        <f>IF(D1649="","",IF(COUNTIF(离职清单!C:C,D1649)&gt;0,"已离职","在职"))</f>
        <v>在职</v>
      </c>
      <c r="P1649" s="24" t="str">
        <f>IF(AND(O1649="在职",J1649="是"),COUNTIF(O$2:O1649,"在职"),"")</f>
        <v/>
      </c>
    </row>
    <row r="1650" ht="18" spans="1:16">
      <c r="A1650" s="10">
        <f t="shared" si="31"/>
        <v>1649</v>
      </c>
      <c r="B1650" s="31">
        <v>46183</v>
      </c>
      <c r="C1650" s="32" t="s">
        <v>1769</v>
      </c>
      <c r="D1650" s="120" t="s">
        <v>480</v>
      </c>
      <c r="E1650" s="33" t="s">
        <v>42</v>
      </c>
      <c r="F1650" s="18" t="s">
        <v>64</v>
      </c>
      <c r="G1650" s="18" t="s">
        <v>129</v>
      </c>
      <c r="H1650" s="34" t="s">
        <v>85</v>
      </c>
      <c r="I1650" s="18" t="s">
        <v>104</v>
      </c>
      <c r="J1650" s="31" t="s">
        <v>105</v>
      </c>
      <c r="K1650" s="31"/>
      <c r="N1650" s="13" t="s">
        <v>29</v>
      </c>
      <c r="O1650" s="24" t="str">
        <f>IF(D1650="","",IF(COUNTIF(离职清单!C:C,D1650)&gt;0,"已离职","在职"))</f>
        <v>在职</v>
      </c>
      <c r="P1650" s="24" t="str">
        <f>IF(AND(O1650="在职",J1650="是"),COUNTIF(O$2:O1650,"在职"),"")</f>
        <v/>
      </c>
    </row>
    <row r="1651" ht="18" spans="1:16">
      <c r="A1651" s="14">
        <f t="shared" si="31"/>
        <v>1650</v>
      </c>
      <c r="B1651" s="31">
        <v>46183</v>
      </c>
      <c r="C1651" s="32" t="s">
        <v>1770</v>
      </c>
      <c r="D1651" s="120" t="s">
        <v>482</v>
      </c>
      <c r="E1651" s="33" t="s">
        <v>42</v>
      </c>
      <c r="F1651" s="18" t="s">
        <v>64</v>
      </c>
      <c r="G1651" s="18" t="s">
        <v>176</v>
      </c>
      <c r="H1651" s="34" t="s">
        <v>85</v>
      </c>
      <c r="I1651" s="18" t="s">
        <v>104</v>
      </c>
      <c r="J1651" s="31" t="s">
        <v>105</v>
      </c>
      <c r="K1651" s="31"/>
      <c r="N1651" s="13" t="s">
        <v>29</v>
      </c>
      <c r="O1651" s="24" t="str">
        <f>IF(D1651="","",IF(COUNTIF(离职清单!C:C,D1651)&gt;0,"已离职","在职"))</f>
        <v>在职</v>
      </c>
      <c r="P1651" s="24" t="str">
        <f>IF(AND(O1651="在职",J1651="是"),COUNTIF(O$2:O1651,"在职"),"")</f>
        <v/>
      </c>
    </row>
    <row r="1652" ht="18" spans="1:16">
      <c r="A1652" s="10">
        <f t="shared" si="31"/>
        <v>1651</v>
      </c>
      <c r="B1652" s="31">
        <v>46183</v>
      </c>
      <c r="C1652" s="32" t="s">
        <v>1771</v>
      </c>
      <c r="D1652" s="120" t="s">
        <v>484</v>
      </c>
      <c r="E1652" s="33" t="s">
        <v>42</v>
      </c>
      <c r="F1652" s="18" t="s">
        <v>63</v>
      </c>
      <c r="G1652" s="18" t="s">
        <v>176</v>
      </c>
      <c r="H1652" s="34" t="s">
        <v>85</v>
      </c>
      <c r="I1652" s="18" t="s">
        <v>104</v>
      </c>
      <c r="J1652" s="31" t="s">
        <v>105</v>
      </c>
      <c r="K1652" s="31"/>
      <c r="N1652" s="13" t="s">
        <v>29</v>
      </c>
      <c r="O1652" s="24" t="str">
        <f>IF(D1652="","",IF(COUNTIF(离职清单!C:C,D1652)&gt;0,"已离职","在职"))</f>
        <v>在职</v>
      </c>
      <c r="P1652" s="24" t="str">
        <f>IF(AND(O1652="在职",J1652="是"),COUNTIF(O$2:O1652,"在职"),"")</f>
        <v/>
      </c>
    </row>
    <row r="1653" ht="18" spans="1:16">
      <c r="A1653" s="14">
        <f t="shared" si="31"/>
        <v>1652</v>
      </c>
      <c r="B1653" s="31">
        <v>46183</v>
      </c>
      <c r="C1653" s="32" t="s">
        <v>1772</v>
      </c>
      <c r="D1653" s="120" t="s">
        <v>486</v>
      </c>
      <c r="E1653" s="33" t="s">
        <v>42</v>
      </c>
      <c r="F1653" s="18" t="s">
        <v>63</v>
      </c>
      <c r="G1653" s="18" t="s">
        <v>176</v>
      </c>
      <c r="H1653" s="34" t="s">
        <v>85</v>
      </c>
      <c r="I1653" s="18" t="s">
        <v>104</v>
      </c>
      <c r="J1653" s="31" t="s">
        <v>105</v>
      </c>
      <c r="K1653" s="31"/>
      <c r="N1653" s="13" t="s">
        <v>29</v>
      </c>
      <c r="O1653" s="24" t="str">
        <f>IF(D1653="","",IF(COUNTIF(离职清单!C:C,D1653)&gt;0,"已离职","在职"))</f>
        <v>在职</v>
      </c>
      <c r="P1653" s="24" t="str">
        <f>IF(AND(O1653="在职",J1653="是"),COUNTIF(O$2:O1653,"在职"),"")</f>
        <v/>
      </c>
    </row>
    <row r="1654" ht="18" spans="1:16">
      <c r="A1654" s="10">
        <f t="shared" si="31"/>
        <v>1653</v>
      </c>
      <c r="B1654" s="31">
        <v>46183</v>
      </c>
      <c r="C1654" s="32" t="s">
        <v>1773</v>
      </c>
      <c r="D1654" s="120" t="s">
        <v>488</v>
      </c>
      <c r="E1654" s="33" t="s">
        <v>42</v>
      </c>
      <c r="F1654" s="18" t="s">
        <v>63</v>
      </c>
      <c r="G1654" s="18" t="s">
        <v>1136</v>
      </c>
      <c r="H1654" s="34" t="s">
        <v>85</v>
      </c>
      <c r="I1654" s="18" t="s">
        <v>104</v>
      </c>
      <c r="J1654" s="31" t="s">
        <v>105</v>
      </c>
      <c r="K1654" s="31"/>
      <c r="N1654" s="13" t="s">
        <v>29</v>
      </c>
      <c r="O1654" s="24" t="str">
        <f>IF(D1654="","",IF(COUNTIF(离职清单!C:C,D1654)&gt;0,"已离职","在职"))</f>
        <v>在职</v>
      </c>
      <c r="P1654" s="24" t="str">
        <f>IF(AND(O1654="在职",J1654="是"),COUNTIF(O$2:O1654,"在职"),"")</f>
        <v/>
      </c>
    </row>
    <row r="1655" ht="18" spans="1:16">
      <c r="A1655" s="14">
        <f t="shared" si="31"/>
        <v>1654</v>
      </c>
      <c r="B1655" s="31">
        <v>46183</v>
      </c>
      <c r="C1655" s="32" t="s">
        <v>1774</v>
      </c>
      <c r="D1655" s="120" t="s">
        <v>490</v>
      </c>
      <c r="E1655" s="33" t="s">
        <v>42</v>
      </c>
      <c r="F1655" s="18" t="s">
        <v>64</v>
      </c>
      <c r="G1655" s="18" t="s">
        <v>135</v>
      </c>
      <c r="H1655" s="34" t="s">
        <v>85</v>
      </c>
      <c r="I1655" s="18" t="s">
        <v>104</v>
      </c>
      <c r="J1655" s="31" t="s">
        <v>105</v>
      </c>
      <c r="K1655" s="31"/>
      <c r="N1655" s="13" t="s">
        <v>29</v>
      </c>
      <c r="O1655" s="24" t="str">
        <f>IF(D1655="","",IF(COUNTIF(离职清单!C:C,D1655)&gt;0,"已离职","在职"))</f>
        <v>在职</v>
      </c>
      <c r="P1655" s="24" t="str">
        <f>IF(AND(O1655="在职",J1655="是"),COUNTIF(O$2:O1655,"在职"),"")</f>
        <v/>
      </c>
    </row>
    <row r="1656" ht="18" spans="1:16">
      <c r="A1656" s="10">
        <f t="shared" si="31"/>
        <v>1655</v>
      </c>
      <c r="B1656" s="31">
        <v>46183</v>
      </c>
      <c r="C1656" s="32" t="s">
        <v>1775</v>
      </c>
      <c r="D1656" s="120" t="s">
        <v>492</v>
      </c>
      <c r="E1656" s="33" t="s">
        <v>42</v>
      </c>
      <c r="F1656" s="18" t="s">
        <v>63</v>
      </c>
      <c r="G1656" s="18" t="s">
        <v>135</v>
      </c>
      <c r="H1656" s="34" t="s">
        <v>85</v>
      </c>
      <c r="I1656" s="18" t="s">
        <v>104</v>
      </c>
      <c r="J1656" s="31" t="s">
        <v>105</v>
      </c>
      <c r="K1656" s="31"/>
      <c r="N1656" s="13" t="s">
        <v>29</v>
      </c>
      <c r="O1656" s="24" t="str">
        <f>IF(D1656="","",IF(COUNTIF(离职清单!C:C,D1656)&gt;0,"已离职","在职"))</f>
        <v>在职</v>
      </c>
      <c r="P1656" s="24" t="str">
        <f>IF(AND(O1656="在职",J1656="是"),COUNTIF(O$2:O1656,"在职"),"")</f>
        <v/>
      </c>
    </row>
    <row r="1657" ht="18" spans="1:16">
      <c r="A1657" s="14">
        <f t="shared" si="31"/>
        <v>1656</v>
      </c>
      <c r="B1657" s="31">
        <v>46183</v>
      </c>
      <c r="C1657" s="32" t="s">
        <v>1776</v>
      </c>
      <c r="D1657" s="120" t="s">
        <v>477</v>
      </c>
      <c r="E1657" s="33" t="s">
        <v>42</v>
      </c>
      <c r="F1657" s="18" t="s">
        <v>62</v>
      </c>
      <c r="G1657" s="18" t="s">
        <v>135</v>
      </c>
      <c r="H1657" s="34" t="s">
        <v>85</v>
      </c>
      <c r="I1657" s="18" t="s">
        <v>104</v>
      </c>
      <c r="J1657" s="31" t="s">
        <v>114</v>
      </c>
      <c r="K1657" s="31">
        <v>46184</v>
      </c>
      <c r="N1657" s="13" t="s">
        <v>29</v>
      </c>
      <c r="O1657" s="24" t="str">
        <f>IF(D1657="","",IF(COUNTIF(离职清单!C:C,D1657)&gt;0,"已离职","在职"))</f>
        <v>在职</v>
      </c>
      <c r="P1657" s="24">
        <f>IF(AND(O1657="在职",J1657="是"),COUNTIF(O$2:O1657,"在职"),"")</f>
        <v>1650</v>
      </c>
    </row>
    <row r="1658" ht="18" spans="1:16">
      <c r="A1658" s="10">
        <f t="shared" si="31"/>
        <v>1657</v>
      </c>
      <c r="B1658" s="31">
        <v>46183</v>
      </c>
      <c r="C1658" s="32" t="s">
        <v>1777</v>
      </c>
      <c r="D1658" s="120" t="s">
        <v>478</v>
      </c>
      <c r="E1658" s="33" t="s">
        <v>42</v>
      </c>
      <c r="F1658" s="18" t="s">
        <v>64</v>
      </c>
      <c r="G1658" s="18" t="s">
        <v>148</v>
      </c>
      <c r="H1658" s="34" t="s">
        <v>85</v>
      </c>
      <c r="I1658" s="18" t="s">
        <v>104</v>
      </c>
      <c r="J1658" s="31" t="s">
        <v>114</v>
      </c>
      <c r="K1658" s="31"/>
      <c r="N1658" s="13" t="s">
        <v>29</v>
      </c>
      <c r="O1658" s="24" t="str">
        <f>IF(D1658="","",IF(COUNTIF(离职清单!C:C,D1658)&gt;0,"已离职","在职"))</f>
        <v>在职</v>
      </c>
      <c r="P1658" s="24">
        <f>IF(AND(O1658="在职",J1658="是"),COUNTIF(O$2:O1658,"在职"),"")</f>
        <v>1651</v>
      </c>
    </row>
    <row r="1659" ht="18" spans="1:16">
      <c r="A1659" s="14">
        <f t="shared" si="31"/>
        <v>1658</v>
      </c>
      <c r="B1659" s="31">
        <v>46183</v>
      </c>
      <c r="C1659" s="32" t="s">
        <v>1778</v>
      </c>
      <c r="D1659" s="120" t="s">
        <v>480</v>
      </c>
      <c r="E1659" s="33" t="s">
        <v>42</v>
      </c>
      <c r="F1659" s="18" t="s">
        <v>63</v>
      </c>
      <c r="G1659" s="18" t="s">
        <v>148</v>
      </c>
      <c r="H1659" s="34" t="s">
        <v>85</v>
      </c>
      <c r="I1659" s="18" t="s">
        <v>104</v>
      </c>
      <c r="J1659" s="31" t="s">
        <v>114</v>
      </c>
      <c r="K1659" s="31">
        <v>46186</v>
      </c>
      <c r="N1659" s="13" t="s">
        <v>29</v>
      </c>
      <c r="O1659" s="24" t="str">
        <f>IF(D1659="","",IF(COUNTIF(离职清单!C:C,D1659)&gt;0,"已离职","在职"))</f>
        <v>在职</v>
      </c>
      <c r="P1659" s="24">
        <f>IF(AND(O1659="在职",J1659="是"),COUNTIF(O$2:O1659,"在职"),"")</f>
        <v>1652</v>
      </c>
    </row>
    <row r="1660" ht="18" spans="1:16">
      <c r="A1660" s="10">
        <f t="shared" si="31"/>
        <v>1659</v>
      </c>
      <c r="B1660" s="31">
        <v>46183</v>
      </c>
      <c r="C1660" s="32" t="s">
        <v>1779</v>
      </c>
      <c r="D1660" s="120" t="s">
        <v>482</v>
      </c>
      <c r="E1660" s="33" t="s">
        <v>42</v>
      </c>
      <c r="F1660" s="18" t="s">
        <v>63</v>
      </c>
      <c r="G1660" s="18" t="s">
        <v>148</v>
      </c>
      <c r="H1660" s="34" t="s">
        <v>85</v>
      </c>
      <c r="I1660" s="18" t="s">
        <v>104</v>
      </c>
      <c r="J1660" s="31" t="s">
        <v>114</v>
      </c>
      <c r="K1660" s="31">
        <v>46186</v>
      </c>
      <c r="N1660" s="13" t="s">
        <v>29</v>
      </c>
      <c r="O1660" s="24" t="str">
        <f>IF(D1660="","",IF(COUNTIF(离职清单!C:C,D1660)&gt;0,"已离职","在职"))</f>
        <v>在职</v>
      </c>
      <c r="P1660" s="24">
        <f>IF(AND(O1660="在职",J1660="是"),COUNTIF(O$2:O1660,"在职"),"")</f>
        <v>1653</v>
      </c>
    </row>
    <row r="1661" ht="18" spans="1:16">
      <c r="A1661" s="14">
        <f t="shared" si="31"/>
        <v>1660</v>
      </c>
      <c r="B1661" s="31">
        <v>46183</v>
      </c>
      <c r="C1661" s="32" t="s">
        <v>956</v>
      </c>
      <c r="D1661" s="120" t="s">
        <v>484</v>
      </c>
      <c r="E1661" s="33" t="s">
        <v>42</v>
      </c>
      <c r="F1661" s="18" t="s">
        <v>64</v>
      </c>
      <c r="G1661" s="18" t="s">
        <v>148</v>
      </c>
      <c r="H1661" s="34" t="s">
        <v>85</v>
      </c>
      <c r="I1661" s="18" t="s">
        <v>104</v>
      </c>
      <c r="J1661" s="31" t="s">
        <v>105</v>
      </c>
      <c r="K1661" s="31"/>
      <c r="N1661" s="13" t="s">
        <v>29</v>
      </c>
      <c r="O1661" s="24" t="str">
        <f>IF(D1661="","",IF(COUNTIF(离职清单!C:C,D1661)&gt;0,"已离职","在职"))</f>
        <v>在职</v>
      </c>
      <c r="P1661" s="24" t="str">
        <f>IF(AND(O1661="在职",J1661="是"),COUNTIF(O$2:O1661,"在职"),"")</f>
        <v/>
      </c>
    </row>
    <row r="1662" ht="18" spans="1:16">
      <c r="A1662" s="10">
        <f t="shared" si="31"/>
        <v>1661</v>
      </c>
      <c r="B1662" s="31">
        <v>46183</v>
      </c>
      <c r="C1662" s="32" t="s">
        <v>1780</v>
      </c>
      <c r="D1662" s="120" t="s">
        <v>486</v>
      </c>
      <c r="E1662" s="33" t="s">
        <v>42</v>
      </c>
      <c r="F1662" s="18" t="s">
        <v>64</v>
      </c>
      <c r="G1662" s="18" t="s">
        <v>148</v>
      </c>
      <c r="H1662" s="34" t="s">
        <v>85</v>
      </c>
      <c r="I1662" s="18" t="s">
        <v>104</v>
      </c>
      <c r="J1662" s="31" t="s">
        <v>105</v>
      </c>
      <c r="K1662" s="31"/>
      <c r="N1662" s="13" t="s">
        <v>29</v>
      </c>
      <c r="O1662" s="24" t="str">
        <f>IF(D1662="","",IF(COUNTIF(离职清单!C:C,D1662)&gt;0,"已离职","在职"))</f>
        <v>在职</v>
      </c>
      <c r="P1662" s="24" t="str">
        <f>IF(AND(O1662="在职",J1662="是"),COUNTIF(O$2:O1662,"在职"),"")</f>
        <v/>
      </c>
    </row>
    <row r="1663" ht="18" spans="1:16">
      <c r="A1663" s="14">
        <f t="shared" si="31"/>
        <v>1662</v>
      </c>
      <c r="B1663" s="31">
        <v>46183</v>
      </c>
      <c r="C1663" s="32" t="s">
        <v>1781</v>
      </c>
      <c r="D1663" s="120" t="s">
        <v>488</v>
      </c>
      <c r="E1663" s="33" t="s">
        <v>42</v>
      </c>
      <c r="F1663" s="18" t="s">
        <v>62</v>
      </c>
      <c r="G1663" s="18" t="s">
        <v>173</v>
      </c>
      <c r="H1663" s="34" t="s">
        <v>85</v>
      </c>
      <c r="I1663" s="18" t="s">
        <v>104</v>
      </c>
      <c r="J1663" s="31" t="s">
        <v>114</v>
      </c>
      <c r="K1663" s="31">
        <v>46184</v>
      </c>
      <c r="N1663" s="13" t="s">
        <v>29</v>
      </c>
      <c r="O1663" s="24" t="str">
        <f>IF(D1663="","",IF(COUNTIF(离职清单!C:C,D1663)&gt;0,"已离职","在职"))</f>
        <v>在职</v>
      </c>
      <c r="P1663" s="24">
        <f>IF(AND(O1663="在职",J1663="是"),COUNTIF(O$2:O1663,"在职"),"")</f>
        <v>1656</v>
      </c>
    </row>
    <row r="1664" ht="18" spans="1:16">
      <c r="A1664" s="10">
        <f t="shared" si="31"/>
        <v>1663</v>
      </c>
      <c r="B1664" s="31">
        <v>46183</v>
      </c>
      <c r="C1664" s="32" t="s">
        <v>1782</v>
      </c>
      <c r="D1664" s="120" t="s">
        <v>490</v>
      </c>
      <c r="E1664" s="33" t="s">
        <v>42</v>
      </c>
      <c r="F1664" s="18" t="s">
        <v>62</v>
      </c>
      <c r="G1664" s="18" t="s">
        <v>173</v>
      </c>
      <c r="H1664" s="34" t="s">
        <v>85</v>
      </c>
      <c r="I1664" s="18" t="s">
        <v>104</v>
      </c>
      <c r="J1664" s="31" t="s">
        <v>105</v>
      </c>
      <c r="K1664" s="31"/>
      <c r="N1664" s="13" t="s">
        <v>29</v>
      </c>
      <c r="O1664" s="24" t="str">
        <f>IF(D1664="","",IF(COUNTIF(离职清单!C:C,D1664)&gt;0,"已离职","在职"))</f>
        <v>在职</v>
      </c>
      <c r="P1664" s="24" t="str">
        <f>IF(AND(O1664="在职",J1664="是"),COUNTIF(O$2:O1664,"在职"),"")</f>
        <v/>
      </c>
    </row>
    <row r="1665" ht="18" spans="1:16">
      <c r="A1665" s="14">
        <f t="shared" si="31"/>
        <v>1664</v>
      </c>
      <c r="B1665" s="31">
        <v>46183</v>
      </c>
      <c r="C1665" s="32" t="s">
        <v>1783</v>
      </c>
      <c r="D1665" s="120" t="s">
        <v>492</v>
      </c>
      <c r="E1665" s="33" t="s">
        <v>42</v>
      </c>
      <c r="F1665" s="18" t="s">
        <v>64</v>
      </c>
      <c r="G1665" s="18" t="s">
        <v>173</v>
      </c>
      <c r="H1665" s="34" t="s">
        <v>85</v>
      </c>
      <c r="I1665" s="18" t="s">
        <v>104</v>
      </c>
      <c r="J1665" s="31" t="s">
        <v>105</v>
      </c>
      <c r="K1665" s="31"/>
      <c r="N1665" s="13" t="s">
        <v>29</v>
      </c>
      <c r="O1665" s="24" t="str">
        <f>IF(D1665="","",IF(COUNTIF(离职清单!C:C,D1665)&gt;0,"已离职","在职"))</f>
        <v>在职</v>
      </c>
      <c r="P1665" s="24" t="str">
        <f>IF(AND(O1665="在职",J1665="是"),COUNTIF(O$2:O1665,"在职"),"")</f>
        <v/>
      </c>
    </row>
    <row r="1666" ht="18" spans="1:16">
      <c r="A1666" s="10">
        <f t="shared" si="31"/>
        <v>1665</v>
      </c>
      <c r="B1666" s="31">
        <v>46183</v>
      </c>
      <c r="C1666" s="32" t="s">
        <v>1784</v>
      </c>
      <c r="D1666" s="120" t="s">
        <v>477</v>
      </c>
      <c r="E1666" s="33" t="s">
        <v>42</v>
      </c>
      <c r="F1666" s="18" t="s">
        <v>63</v>
      </c>
      <c r="G1666" s="18" t="s">
        <v>173</v>
      </c>
      <c r="H1666" s="34" t="s">
        <v>85</v>
      </c>
      <c r="I1666" s="18" t="s">
        <v>104</v>
      </c>
      <c r="J1666" s="31" t="s">
        <v>105</v>
      </c>
      <c r="K1666" s="31"/>
      <c r="N1666" s="13" t="s">
        <v>29</v>
      </c>
      <c r="O1666" s="24" t="str">
        <f>IF(D1666="","",IF(COUNTIF(离职清单!C:C,D1666)&gt;0,"已离职","在职"))</f>
        <v>在职</v>
      </c>
      <c r="P1666" s="24" t="str">
        <f>IF(AND(O1666="在职",J1666="是"),COUNTIF(O$2:O1666,"在职"),"")</f>
        <v/>
      </c>
    </row>
    <row r="1667" ht="18" spans="1:16">
      <c r="A1667" s="14">
        <f t="shared" si="31"/>
        <v>1666</v>
      </c>
      <c r="B1667" s="31">
        <v>46183</v>
      </c>
      <c r="C1667" s="32" t="s">
        <v>1785</v>
      </c>
      <c r="D1667" s="120" t="s">
        <v>477</v>
      </c>
      <c r="E1667" s="33" t="s">
        <v>42</v>
      </c>
      <c r="F1667" s="18" t="s">
        <v>64</v>
      </c>
      <c r="G1667" s="18" t="s">
        <v>124</v>
      </c>
      <c r="H1667" s="34" t="s">
        <v>85</v>
      </c>
      <c r="I1667" s="18" t="s">
        <v>104</v>
      </c>
      <c r="J1667" s="31" t="s">
        <v>105</v>
      </c>
      <c r="K1667" s="31"/>
      <c r="N1667" s="13" t="s">
        <v>29</v>
      </c>
      <c r="O1667" s="24" t="str">
        <f>IF(D1667="","",IF(COUNTIF(离职清单!C:C,D1667)&gt;0,"已离职","在职"))</f>
        <v>在职</v>
      </c>
      <c r="P1667" s="24" t="str">
        <f>IF(AND(O1667="在职",J1667="是"),COUNTIF(O$2:O1667,"在职"),"")</f>
        <v/>
      </c>
    </row>
    <row r="1668" ht="18" spans="1:16">
      <c r="A1668" s="10">
        <f t="shared" si="31"/>
        <v>1667</v>
      </c>
      <c r="B1668" s="31">
        <v>46183</v>
      </c>
      <c r="C1668" s="32" t="s">
        <v>1786</v>
      </c>
      <c r="D1668" s="120" t="s">
        <v>478</v>
      </c>
      <c r="E1668" s="33" t="s">
        <v>42</v>
      </c>
      <c r="F1668" s="18" t="s">
        <v>64</v>
      </c>
      <c r="G1668" s="18" t="s">
        <v>1334</v>
      </c>
      <c r="H1668" s="34" t="s">
        <v>85</v>
      </c>
      <c r="I1668" s="18" t="s">
        <v>104</v>
      </c>
      <c r="J1668" s="31" t="s">
        <v>105</v>
      </c>
      <c r="K1668" s="31"/>
      <c r="N1668" s="13" t="s">
        <v>29</v>
      </c>
      <c r="O1668" s="24" t="str">
        <f>IF(D1668="","",IF(COUNTIF(离职清单!C:C,D1668)&gt;0,"已离职","在职"))</f>
        <v>在职</v>
      </c>
      <c r="P1668" s="24" t="str">
        <f>IF(AND(O1668="在职",J1668="是"),COUNTIF(O$2:O1668,"在职"),"")</f>
        <v/>
      </c>
    </row>
    <row r="1669" ht="18" spans="1:16">
      <c r="A1669" s="14">
        <f t="shared" si="31"/>
        <v>1668</v>
      </c>
      <c r="B1669" s="31">
        <v>46183</v>
      </c>
      <c r="C1669" s="32" t="s">
        <v>1335</v>
      </c>
      <c r="D1669" s="120" t="s">
        <v>480</v>
      </c>
      <c r="E1669" s="33" t="s">
        <v>42</v>
      </c>
      <c r="F1669" s="18" t="s">
        <v>64</v>
      </c>
      <c r="G1669" s="18" t="s">
        <v>1334</v>
      </c>
      <c r="H1669" s="34" t="s">
        <v>85</v>
      </c>
      <c r="I1669" s="18" t="s">
        <v>104</v>
      </c>
      <c r="J1669" s="31" t="s">
        <v>105</v>
      </c>
      <c r="K1669" s="31"/>
      <c r="N1669" s="13" t="s">
        <v>29</v>
      </c>
      <c r="O1669" s="24" t="str">
        <f>IF(D1669="","",IF(COUNTIF(离职清单!C:C,D1669)&gt;0,"已离职","在职"))</f>
        <v>在职</v>
      </c>
      <c r="P1669" s="24" t="str">
        <f>IF(AND(O1669="在职",J1669="是"),COUNTIF(O$2:O1669,"在职"),"")</f>
        <v/>
      </c>
    </row>
    <row r="1670" ht="18" spans="1:16">
      <c r="A1670" s="10">
        <f t="shared" si="31"/>
        <v>1669</v>
      </c>
      <c r="B1670" s="31">
        <v>46183</v>
      </c>
      <c r="C1670" s="32" t="s">
        <v>1787</v>
      </c>
      <c r="D1670" s="120" t="s">
        <v>482</v>
      </c>
      <c r="E1670" s="33" t="s">
        <v>42</v>
      </c>
      <c r="F1670" s="18" t="s">
        <v>63</v>
      </c>
      <c r="G1670" s="18" t="s">
        <v>233</v>
      </c>
      <c r="H1670" s="34" t="s">
        <v>85</v>
      </c>
      <c r="I1670" s="18" t="s">
        <v>104</v>
      </c>
      <c r="J1670" s="31" t="s">
        <v>105</v>
      </c>
      <c r="K1670" s="31"/>
      <c r="N1670" s="13" t="s">
        <v>29</v>
      </c>
      <c r="O1670" s="24" t="str">
        <f>IF(D1670="","",IF(COUNTIF(离职清单!C:C,D1670)&gt;0,"已离职","在职"))</f>
        <v>在职</v>
      </c>
      <c r="P1670" s="24" t="str">
        <f>IF(AND(O1670="在职",J1670="是"),COUNTIF(O$2:O1670,"在职"),"")</f>
        <v/>
      </c>
    </row>
    <row r="1671" ht="18" spans="1:16">
      <c r="A1671" s="14">
        <f t="shared" si="31"/>
        <v>1670</v>
      </c>
      <c r="B1671" s="31">
        <v>46183</v>
      </c>
      <c r="C1671" s="32" t="s">
        <v>1788</v>
      </c>
      <c r="D1671" s="120" t="s">
        <v>484</v>
      </c>
      <c r="E1671" s="33" t="s">
        <v>42</v>
      </c>
      <c r="F1671" s="18" t="s">
        <v>62</v>
      </c>
      <c r="G1671" s="18" t="s">
        <v>233</v>
      </c>
      <c r="H1671" s="34" t="s">
        <v>85</v>
      </c>
      <c r="I1671" s="18" t="s">
        <v>104</v>
      </c>
      <c r="J1671" s="31" t="s">
        <v>114</v>
      </c>
      <c r="K1671" s="31">
        <v>46184</v>
      </c>
      <c r="N1671" s="13" t="s">
        <v>29</v>
      </c>
      <c r="O1671" s="24" t="str">
        <f>IF(D1671="","",IF(COUNTIF(离职清单!C:C,D1671)&gt;0,"已离职","在职"))</f>
        <v>在职</v>
      </c>
      <c r="P1671" s="24">
        <f>IF(AND(O1671="在职",J1671="是"),COUNTIF(O$2:O1671,"在职"),"")</f>
        <v>1664</v>
      </c>
    </row>
    <row r="1672" ht="18" spans="1:16">
      <c r="A1672" s="10">
        <f t="shared" si="31"/>
        <v>1671</v>
      </c>
      <c r="B1672" s="31">
        <v>46183</v>
      </c>
      <c r="C1672" s="32" t="s">
        <v>932</v>
      </c>
      <c r="D1672" s="120" t="s">
        <v>486</v>
      </c>
      <c r="E1672" s="33" t="s">
        <v>42</v>
      </c>
      <c r="F1672" s="18" t="s">
        <v>64</v>
      </c>
      <c r="G1672" s="18" t="s">
        <v>332</v>
      </c>
      <c r="H1672" s="34" t="s">
        <v>85</v>
      </c>
      <c r="I1672" s="18" t="s">
        <v>104</v>
      </c>
      <c r="J1672" s="31" t="s">
        <v>105</v>
      </c>
      <c r="K1672" s="31"/>
      <c r="N1672" s="13" t="s">
        <v>29</v>
      </c>
      <c r="O1672" s="24" t="str">
        <f>IF(D1672="","",IF(COUNTIF(离职清单!C:C,D1672)&gt;0,"已离职","在职"))</f>
        <v>在职</v>
      </c>
      <c r="P1672" s="24" t="str">
        <f>IF(AND(O1672="在职",J1672="是"),COUNTIF(O$2:O1672,"在职"),"")</f>
        <v/>
      </c>
    </row>
    <row r="1673" ht="18" spans="1:16">
      <c r="A1673" s="14">
        <f t="shared" si="31"/>
        <v>1672</v>
      </c>
      <c r="B1673" s="31">
        <v>46183</v>
      </c>
      <c r="C1673" s="32" t="s">
        <v>969</v>
      </c>
      <c r="D1673" s="120" t="s">
        <v>488</v>
      </c>
      <c r="E1673" s="33" t="s">
        <v>42</v>
      </c>
      <c r="F1673" s="18" t="s">
        <v>64</v>
      </c>
      <c r="G1673" s="18" t="s">
        <v>307</v>
      </c>
      <c r="H1673" s="34" t="s">
        <v>85</v>
      </c>
      <c r="I1673" s="18" t="s">
        <v>104</v>
      </c>
      <c r="J1673" s="31" t="s">
        <v>105</v>
      </c>
      <c r="K1673" s="31"/>
      <c r="N1673" s="13" t="s">
        <v>29</v>
      </c>
      <c r="O1673" s="24" t="str">
        <f>IF(D1673="","",IF(COUNTIF(离职清单!C:C,D1673)&gt;0,"已离职","在职"))</f>
        <v>在职</v>
      </c>
      <c r="P1673" s="24" t="str">
        <f>IF(AND(O1673="在职",J1673="是"),COUNTIF(O$2:O1673,"在职"),"")</f>
        <v/>
      </c>
    </row>
    <row r="1674" ht="18" spans="1:16">
      <c r="A1674" s="10">
        <f t="shared" si="31"/>
        <v>1673</v>
      </c>
      <c r="B1674" s="31">
        <v>46183</v>
      </c>
      <c r="C1674" s="32" t="s">
        <v>1789</v>
      </c>
      <c r="D1674" s="120" t="s">
        <v>490</v>
      </c>
      <c r="E1674" s="33" t="s">
        <v>42</v>
      </c>
      <c r="F1674" s="18" t="s">
        <v>64</v>
      </c>
      <c r="G1674" s="18" t="s">
        <v>173</v>
      </c>
      <c r="H1674" s="34" t="s">
        <v>85</v>
      </c>
      <c r="I1674" s="18" t="s">
        <v>104</v>
      </c>
      <c r="J1674" s="31" t="s">
        <v>105</v>
      </c>
      <c r="K1674" s="31"/>
      <c r="N1674" s="13" t="s">
        <v>29</v>
      </c>
      <c r="O1674" s="24" t="str">
        <f>IF(D1674="","",IF(COUNTIF(离职清单!C:C,D1674)&gt;0,"已离职","在职"))</f>
        <v>在职</v>
      </c>
      <c r="P1674" s="24" t="str">
        <f>IF(AND(O1674="在职",J1674="是"),COUNTIF(O$2:O1674,"在职"),"")</f>
        <v/>
      </c>
    </row>
    <row r="1675" ht="18" spans="1:16">
      <c r="A1675" s="14">
        <f t="shared" si="31"/>
        <v>1674</v>
      </c>
      <c r="B1675" s="31">
        <v>46183</v>
      </c>
      <c r="C1675" s="32" t="s">
        <v>1790</v>
      </c>
      <c r="D1675" s="120" t="s">
        <v>492</v>
      </c>
      <c r="E1675" s="33" t="s">
        <v>42</v>
      </c>
      <c r="F1675" s="18" t="s">
        <v>63</v>
      </c>
      <c r="G1675" s="18" t="s">
        <v>744</v>
      </c>
      <c r="H1675" s="34" t="s">
        <v>85</v>
      </c>
      <c r="I1675" s="18" t="s">
        <v>104</v>
      </c>
      <c r="J1675" s="31" t="s">
        <v>105</v>
      </c>
      <c r="K1675" s="31"/>
      <c r="N1675" s="13" t="s">
        <v>29</v>
      </c>
      <c r="O1675" s="24" t="str">
        <f>IF(D1675="","",IF(COUNTIF(离职清单!C:C,D1675)&gt;0,"已离职","在职"))</f>
        <v>在职</v>
      </c>
      <c r="P1675" s="24" t="str">
        <f>IF(AND(O1675="在职",J1675="是"),COUNTIF(O$2:O1675,"在职"),"")</f>
        <v/>
      </c>
    </row>
    <row r="1676" ht="18" spans="1:16">
      <c r="A1676" s="10">
        <f t="shared" si="31"/>
        <v>1675</v>
      </c>
      <c r="B1676" s="31">
        <v>46183</v>
      </c>
      <c r="C1676" s="32" t="s">
        <v>1791</v>
      </c>
      <c r="D1676" s="120" t="s">
        <v>477</v>
      </c>
      <c r="E1676" s="33" t="s">
        <v>42</v>
      </c>
      <c r="F1676" s="18" t="s">
        <v>64</v>
      </c>
      <c r="G1676" s="18" t="s">
        <v>117</v>
      </c>
      <c r="H1676" s="34" t="s">
        <v>85</v>
      </c>
      <c r="I1676" s="18" t="s">
        <v>104</v>
      </c>
      <c r="J1676" s="31" t="s">
        <v>105</v>
      </c>
      <c r="K1676" s="31"/>
      <c r="N1676" s="13" t="s">
        <v>29</v>
      </c>
      <c r="O1676" s="24" t="str">
        <f>IF(D1676="","",IF(COUNTIF(离职清单!C:C,D1676)&gt;0,"已离职","在职"))</f>
        <v>在职</v>
      </c>
      <c r="P1676" s="24" t="str">
        <f>IF(AND(O1676="在职",J1676="是"),COUNTIF(O$2:O1676,"在职"),"")</f>
        <v/>
      </c>
    </row>
    <row r="1677" ht="18" spans="1:16">
      <c r="A1677" s="14">
        <f t="shared" si="31"/>
        <v>1676</v>
      </c>
      <c r="B1677" s="31">
        <v>46183</v>
      </c>
      <c r="C1677" s="32" t="s">
        <v>1792</v>
      </c>
      <c r="D1677" s="120" t="s">
        <v>478</v>
      </c>
      <c r="E1677" s="33" t="s">
        <v>42</v>
      </c>
      <c r="F1677" s="18" t="s">
        <v>64</v>
      </c>
      <c r="G1677" s="18" t="s">
        <v>117</v>
      </c>
      <c r="H1677" s="34" t="s">
        <v>85</v>
      </c>
      <c r="I1677" s="18" t="s">
        <v>104</v>
      </c>
      <c r="J1677" s="31" t="s">
        <v>105</v>
      </c>
      <c r="K1677" s="31"/>
      <c r="N1677" s="13" t="s">
        <v>29</v>
      </c>
      <c r="O1677" s="24" t="str">
        <f>IF(D1677="","",IF(COUNTIF(离职清单!C:C,D1677)&gt;0,"已离职","在职"))</f>
        <v>在职</v>
      </c>
      <c r="P1677" s="24" t="str">
        <f>IF(AND(O1677="在职",J1677="是"),COUNTIF(O$2:O1677,"在职"),"")</f>
        <v/>
      </c>
    </row>
    <row r="1678" ht="18" spans="1:16">
      <c r="A1678" s="10">
        <f t="shared" si="31"/>
        <v>1677</v>
      </c>
      <c r="B1678" s="31">
        <v>46183</v>
      </c>
      <c r="C1678" s="32" t="s">
        <v>1793</v>
      </c>
      <c r="D1678" s="120" t="s">
        <v>480</v>
      </c>
      <c r="E1678" s="33" t="s">
        <v>42</v>
      </c>
      <c r="F1678" s="18" t="s">
        <v>62</v>
      </c>
      <c r="G1678" s="18" t="s">
        <v>103</v>
      </c>
      <c r="H1678" s="34" t="s">
        <v>85</v>
      </c>
      <c r="I1678" s="18" t="s">
        <v>104</v>
      </c>
      <c r="J1678" s="31" t="s">
        <v>105</v>
      </c>
      <c r="K1678" s="31"/>
      <c r="N1678" s="13" t="s">
        <v>29</v>
      </c>
      <c r="O1678" s="24" t="str">
        <f>IF(D1678="","",IF(COUNTIF(离职清单!C:C,D1678)&gt;0,"已离职","在职"))</f>
        <v>在职</v>
      </c>
      <c r="P1678" s="24" t="str">
        <f>IF(AND(O1678="在职",J1678="是"),COUNTIF(O$2:O1678,"在职"),"")</f>
        <v/>
      </c>
    </row>
    <row r="1679" ht="18" spans="1:16">
      <c r="A1679" s="14">
        <f t="shared" si="31"/>
        <v>1678</v>
      </c>
      <c r="B1679" s="31">
        <v>46183</v>
      </c>
      <c r="C1679" s="32" t="s">
        <v>1794</v>
      </c>
      <c r="D1679" s="120" t="s">
        <v>482</v>
      </c>
      <c r="E1679" s="33" t="s">
        <v>42</v>
      </c>
      <c r="F1679" s="18" t="s">
        <v>64</v>
      </c>
      <c r="G1679" s="18" t="s">
        <v>512</v>
      </c>
      <c r="H1679" s="34" t="s">
        <v>85</v>
      </c>
      <c r="I1679" s="18" t="s">
        <v>104</v>
      </c>
      <c r="J1679" s="31" t="s">
        <v>105</v>
      </c>
      <c r="K1679" s="31"/>
      <c r="N1679" s="13" t="s">
        <v>29</v>
      </c>
      <c r="O1679" s="24" t="str">
        <f>IF(D1679="","",IF(COUNTIF(离职清单!C:C,D1679)&gt;0,"已离职","在职"))</f>
        <v>在职</v>
      </c>
      <c r="P1679" s="24" t="str">
        <f>IF(AND(O1679="在职",J1679="是"),COUNTIF(O$2:O1679,"在职"),"")</f>
        <v/>
      </c>
    </row>
    <row r="1680" ht="18" spans="1:16">
      <c r="A1680" s="10">
        <f t="shared" si="31"/>
        <v>1679</v>
      </c>
      <c r="B1680" s="31">
        <v>46183</v>
      </c>
      <c r="C1680" s="32" t="s">
        <v>1410</v>
      </c>
      <c r="D1680" s="120" t="s">
        <v>484</v>
      </c>
      <c r="E1680" s="33" t="s">
        <v>42</v>
      </c>
      <c r="F1680" s="18" t="s">
        <v>64</v>
      </c>
      <c r="G1680" s="18" t="s">
        <v>512</v>
      </c>
      <c r="H1680" s="34" t="s">
        <v>85</v>
      </c>
      <c r="I1680" s="18" t="s">
        <v>104</v>
      </c>
      <c r="J1680" s="31" t="s">
        <v>105</v>
      </c>
      <c r="K1680" s="31"/>
      <c r="N1680" s="13" t="s">
        <v>29</v>
      </c>
      <c r="O1680" s="24" t="str">
        <f>IF(D1680="","",IF(COUNTIF(离职清单!C:C,D1680)&gt;0,"已离职","在职"))</f>
        <v>在职</v>
      </c>
      <c r="P1680" s="24" t="str">
        <f>IF(AND(O1680="在职",J1680="是"),COUNTIF(O$2:O1680,"在职"),"")</f>
        <v/>
      </c>
    </row>
    <row r="1681" ht="18" spans="1:16">
      <c r="A1681" s="14">
        <f t="shared" si="31"/>
        <v>1680</v>
      </c>
      <c r="B1681" s="31">
        <v>46183</v>
      </c>
      <c r="C1681" s="32" t="s">
        <v>1795</v>
      </c>
      <c r="D1681" s="120" t="s">
        <v>486</v>
      </c>
      <c r="E1681" s="33" t="s">
        <v>42</v>
      </c>
      <c r="F1681" s="18" t="s">
        <v>63</v>
      </c>
      <c r="G1681" s="18" t="s">
        <v>512</v>
      </c>
      <c r="H1681" s="34" t="s">
        <v>85</v>
      </c>
      <c r="I1681" s="18" t="s">
        <v>104</v>
      </c>
      <c r="J1681" s="31" t="s">
        <v>105</v>
      </c>
      <c r="K1681" s="31"/>
      <c r="N1681" s="13" t="s">
        <v>29</v>
      </c>
      <c r="O1681" s="24" t="str">
        <f>IF(D1681="","",IF(COUNTIF(离职清单!C:C,D1681)&gt;0,"已离职","在职"))</f>
        <v>在职</v>
      </c>
      <c r="P1681" s="24" t="str">
        <f>IF(AND(O1681="在职",J1681="是"),COUNTIF(O$2:O1681,"在职"),"")</f>
        <v/>
      </c>
    </row>
    <row r="1682" ht="18" spans="1:16">
      <c r="A1682" s="10">
        <f t="shared" si="31"/>
        <v>1681</v>
      </c>
      <c r="B1682" s="31">
        <v>46183</v>
      </c>
      <c r="C1682" s="32" t="s">
        <v>1796</v>
      </c>
      <c r="D1682" s="120" t="s">
        <v>488</v>
      </c>
      <c r="E1682" s="33" t="s">
        <v>42</v>
      </c>
      <c r="F1682" s="18" t="s">
        <v>63</v>
      </c>
      <c r="G1682" s="18" t="s">
        <v>578</v>
      </c>
      <c r="H1682" s="34" t="s">
        <v>85</v>
      </c>
      <c r="I1682" s="18" t="s">
        <v>104</v>
      </c>
      <c r="J1682" s="31" t="s">
        <v>105</v>
      </c>
      <c r="K1682" s="31"/>
      <c r="N1682" s="13" t="s">
        <v>29</v>
      </c>
      <c r="O1682" s="24" t="str">
        <f>IF(D1682="","",IF(COUNTIF(离职清单!C:C,D1682)&gt;0,"已离职","在职"))</f>
        <v>在职</v>
      </c>
      <c r="P1682" s="24" t="str">
        <f>IF(AND(O1682="在职",J1682="是"),COUNTIF(O$2:O1682,"在职"),"")</f>
        <v/>
      </c>
    </row>
    <row r="1683" ht="18" spans="1:16">
      <c r="A1683" s="14">
        <f t="shared" si="31"/>
        <v>1682</v>
      </c>
      <c r="B1683" s="31">
        <v>46183</v>
      </c>
      <c r="C1683" s="32" t="s">
        <v>1797</v>
      </c>
      <c r="D1683" s="120" t="s">
        <v>490</v>
      </c>
      <c r="E1683" s="33" t="s">
        <v>42</v>
      </c>
      <c r="F1683" s="18" t="s">
        <v>64</v>
      </c>
      <c r="G1683" s="18" t="s">
        <v>578</v>
      </c>
      <c r="H1683" s="34" t="s">
        <v>85</v>
      </c>
      <c r="I1683" s="18" t="s">
        <v>104</v>
      </c>
      <c r="J1683" s="31" t="s">
        <v>105</v>
      </c>
      <c r="K1683" s="31"/>
      <c r="N1683" s="13" t="s">
        <v>29</v>
      </c>
      <c r="O1683" s="24" t="str">
        <f>IF(D1683="","",IF(COUNTIF(离职清单!C:C,D1683)&gt;0,"已离职","在职"))</f>
        <v>在职</v>
      </c>
      <c r="P1683" s="24" t="str">
        <f>IF(AND(O1683="在职",J1683="是"),COUNTIF(O$2:O1683,"在职"),"")</f>
        <v/>
      </c>
    </row>
    <row r="1684" ht="18" spans="1:16">
      <c r="A1684" s="10">
        <f t="shared" si="31"/>
        <v>1683</v>
      </c>
      <c r="B1684" s="31">
        <v>46183</v>
      </c>
      <c r="C1684" s="32" t="s">
        <v>1798</v>
      </c>
      <c r="D1684" s="120" t="s">
        <v>492</v>
      </c>
      <c r="E1684" s="33" t="s">
        <v>42</v>
      </c>
      <c r="F1684" s="18" t="s">
        <v>64</v>
      </c>
      <c r="G1684" s="18" t="s">
        <v>578</v>
      </c>
      <c r="H1684" s="34" t="s">
        <v>85</v>
      </c>
      <c r="I1684" s="18" t="s">
        <v>104</v>
      </c>
      <c r="J1684" s="31" t="s">
        <v>105</v>
      </c>
      <c r="K1684" s="31"/>
      <c r="N1684" s="13" t="s">
        <v>29</v>
      </c>
      <c r="O1684" s="24" t="str">
        <f>IF(D1684="","",IF(COUNTIF(离职清单!C:C,D1684)&gt;0,"已离职","在职"))</f>
        <v>在职</v>
      </c>
      <c r="P1684" s="24" t="str">
        <f>IF(AND(O1684="在职",J1684="是"),COUNTIF(O$2:O1684,"在职"),"")</f>
        <v/>
      </c>
    </row>
    <row r="1685" ht="18" spans="1:16">
      <c r="A1685" s="14">
        <f t="shared" si="31"/>
        <v>1684</v>
      </c>
      <c r="B1685" s="31">
        <v>46183</v>
      </c>
      <c r="C1685" s="32" t="s">
        <v>1799</v>
      </c>
      <c r="D1685" s="120" t="s">
        <v>477</v>
      </c>
      <c r="E1685" s="33" t="s">
        <v>42</v>
      </c>
      <c r="F1685" s="18" t="s">
        <v>63</v>
      </c>
      <c r="G1685" s="18" t="s">
        <v>578</v>
      </c>
      <c r="H1685" s="34" t="s">
        <v>85</v>
      </c>
      <c r="I1685" s="18" t="s">
        <v>104</v>
      </c>
      <c r="J1685" s="31" t="s">
        <v>114</v>
      </c>
      <c r="K1685" s="31">
        <v>46184</v>
      </c>
      <c r="N1685" s="13" t="s">
        <v>29</v>
      </c>
      <c r="O1685" s="24" t="str">
        <f>IF(D1685="","",IF(COUNTIF(离职清单!C:C,D1685)&gt;0,"已离职","在职"))</f>
        <v>在职</v>
      </c>
      <c r="P1685" s="24">
        <f>IF(AND(O1685="在职",J1685="是"),COUNTIF(O$2:O1685,"在职"),"")</f>
        <v>1678</v>
      </c>
    </row>
    <row r="1686" ht="18" spans="1:16">
      <c r="A1686" s="10">
        <f t="shared" si="31"/>
        <v>1685</v>
      </c>
      <c r="B1686" s="31">
        <v>46183</v>
      </c>
      <c r="C1686" s="32" t="s">
        <v>1800</v>
      </c>
      <c r="D1686" s="120" t="s">
        <v>478</v>
      </c>
      <c r="E1686" s="33" t="s">
        <v>42</v>
      </c>
      <c r="F1686" s="18" t="s">
        <v>63</v>
      </c>
      <c r="G1686" s="18" t="s">
        <v>578</v>
      </c>
      <c r="H1686" s="34" t="s">
        <v>85</v>
      </c>
      <c r="I1686" s="18" t="s">
        <v>104</v>
      </c>
      <c r="J1686" s="31" t="s">
        <v>114</v>
      </c>
      <c r="K1686" s="31">
        <v>46184</v>
      </c>
      <c r="N1686" s="13" t="s">
        <v>29</v>
      </c>
      <c r="O1686" s="24" t="str">
        <f>IF(D1686="","",IF(COUNTIF(离职清单!C:C,D1686)&gt;0,"已离职","在职"))</f>
        <v>在职</v>
      </c>
      <c r="P1686" s="24">
        <f>IF(AND(O1686="在职",J1686="是"),COUNTIF(O$2:O1686,"在职"),"")</f>
        <v>1679</v>
      </c>
    </row>
    <row r="1687" ht="18" spans="1:16">
      <c r="A1687" s="14">
        <f t="shared" si="31"/>
        <v>1686</v>
      </c>
      <c r="B1687" s="31">
        <v>46183</v>
      </c>
      <c r="C1687" s="32" t="s">
        <v>1801</v>
      </c>
      <c r="D1687" s="120" t="s">
        <v>480</v>
      </c>
      <c r="E1687" s="33" t="s">
        <v>42</v>
      </c>
      <c r="F1687" s="18" t="s">
        <v>63</v>
      </c>
      <c r="G1687" s="18" t="s">
        <v>578</v>
      </c>
      <c r="H1687" s="34" t="s">
        <v>85</v>
      </c>
      <c r="I1687" s="18" t="s">
        <v>104</v>
      </c>
      <c r="J1687" s="31" t="s">
        <v>114</v>
      </c>
      <c r="K1687" s="31">
        <v>46185</v>
      </c>
      <c r="N1687" s="13" t="s">
        <v>29</v>
      </c>
      <c r="O1687" s="24" t="str">
        <f>IF(D1687="","",IF(COUNTIF(离职清单!C:C,D1687)&gt;0,"已离职","在职"))</f>
        <v>在职</v>
      </c>
      <c r="P1687" s="24">
        <f>IF(AND(O1687="在职",J1687="是"),COUNTIF(O$2:O1687,"在职"),"")</f>
        <v>1680</v>
      </c>
    </row>
    <row r="1688" ht="18" spans="1:16">
      <c r="A1688" s="10">
        <f t="shared" si="31"/>
        <v>1687</v>
      </c>
      <c r="B1688" s="31">
        <v>46183</v>
      </c>
      <c r="C1688" s="32" t="s">
        <v>937</v>
      </c>
      <c r="D1688" s="120" t="s">
        <v>482</v>
      </c>
      <c r="E1688" s="33" t="s">
        <v>42</v>
      </c>
      <c r="F1688" s="18" t="s">
        <v>64</v>
      </c>
      <c r="G1688" s="18" t="s">
        <v>578</v>
      </c>
      <c r="H1688" s="34" t="s">
        <v>85</v>
      </c>
      <c r="I1688" s="18" t="s">
        <v>104</v>
      </c>
      <c r="J1688" s="31" t="s">
        <v>105</v>
      </c>
      <c r="K1688" s="31"/>
      <c r="N1688" s="13" t="s">
        <v>29</v>
      </c>
      <c r="O1688" s="24" t="str">
        <f>IF(D1688="","",IF(COUNTIF(离职清单!C:C,D1688)&gt;0,"已离职","在职"))</f>
        <v>在职</v>
      </c>
      <c r="P1688" s="24" t="str">
        <f>IF(AND(O1688="在职",J1688="是"),COUNTIF(O$2:O1688,"在职"),"")</f>
        <v/>
      </c>
    </row>
    <row r="1689" ht="18" spans="1:16">
      <c r="A1689" s="14">
        <f t="shared" si="31"/>
        <v>1688</v>
      </c>
      <c r="B1689" s="31">
        <v>46183</v>
      </c>
      <c r="C1689" s="32" t="s">
        <v>1802</v>
      </c>
      <c r="D1689" s="120" t="s">
        <v>484</v>
      </c>
      <c r="E1689" s="33" t="s">
        <v>42</v>
      </c>
      <c r="F1689" s="18" t="s">
        <v>63</v>
      </c>
      <c r="G1689" s="18" t="s">
        <v>578</v>
      </c>
      <c r="H1689" s="34" t="s">
        <v>85</v>
      </c>
      <c r="I1689" s="18" t="s">
        <v>104</v>
      </c>
      <c r="J1689" s="31" t="s">
        <v>114</v>
      </c>
      <c r="K1689" s="31">
        <v>46185</v>
      </c>
      <c r="N1689" s="13" t="s">
        <v>29</v>
      </c>
      <c r="O1689" s="24" t="str">
        <f>IF(D1689="","",IF(COUNTIF(离职清单!C:C,D1689)&gt;0,"已离职","在职"))</f>
        <v>在职</v>
      </c>
      <c r="P1689" s="24">
        <f>IF(AND(O1689="在职",J1689="是"),COUNTIF(O$2:O1689,"在职"),"")</f>
        <v>1682</v>
      </c>
    </row>
    <row r="1690" ht="18" spans="1:16">
      <c r="A1690" s="10">
        <f t="shared" si="31"/>
        <v>1689</v>
      </c>
      <c r="B1690" s="31">
        <v>46183</v>
      </c>
      <c r="C1690" s="32" t="s">
        <v>1803</v>
      </c>
      <c r="D1690" s="120" t="s">
        <v>486</v>
      </c>
      <c r="E1690" s="33" t="s">
        <v>42</v>
      </c>
      <c r="F1690" s="18" t="s">
        <v>63</v>
      </c>
      <c r="G1690" s="18" t="s">
        <v>578</v>
      </c>
      <c r="H1690" s="34" t="s">
        <v>85</v>
      </c>
      <c r="I1690" s="18" t="s">
        <v>104</v>
      </c>
      <c r="J1690" s="31" t="s">
        <v>114</v>
      </c>
      <c r="K1690" s="31">
        <v>46185</v>
      </c>
      <c r="N1690" s="13" t="s">
        <v>29</v>
      </c>
      <c r="O1690" s="24" t="str">
        <f>IF(D1690="","",IF(COUNTIF(离职清单!C:C,D1690)&gt;0,"已离职","在职"))</f>
        <v>在职</v>
      </c>
      <c r="P1690" s="24">
        <f>IF(AND(O1690="在职",J1690="是"),COUNTIF(O$2:O1690,"在职"),"")</f>
        <v>1683</v>
      </c>
    </row>
    <row r="1691" ht="18" spans="1:16">
      <c r="A1691" s="14">
        <f t="shared" si="31"/>
        <v>1690</v>
      </c>
      <c r="B1691" s="31">
        <v>46183</v>
      </c>
      <c r="C1691" s="32" t="s">
        <v>1195</v>
      </c>
      <c r="D1691" s="120" t="s">
        <v>488</v>
      </c>
      <c r="E1691" s="33" t="s">
        <v>42</v>
      </c>
      <c r="F1691" s="18" t="s">
        <v>64</v>
      </c>
      <c r="G1691" s="18" t="s">
        <v>578</v>
      </c>
      <c r="H1691" s="34" t="s">
        <v>85</v>
      </c>
      <c r="I1691" s="18" t="s">
        <v>104</v>
      </c>
      <c r="J1691" s="31" t="s">
        <v>105</v>
      </c>
      <c r="K1691" s="31"/>
      <c r="N1691" s="13" t="s">
        <v>29</v>
      </c>
      <c r="O1691" s="24" t="str">
        <f>IF(D1691="","",IF(COUNTIF(离职清单!C:C,D1691)&gt;0,"已离职","在职"))</f>
        <v>在职</v>
      </c>
      <c r="P1691" s="24" t="str">
        <f>IF(AND(O1691="在职",J1691="是"),COUNTIF(O$2:O1691,"在职"),"")</f>
        <v/>
      </c>
    </row>
    <row r="1692" ht="18" spans="1:16">
      <c r="A1692" s="10">
        <f t="shared" si="31"/>
        <v>1691</v>
      </c>
      <c r="B1692" s="31">
        <v>46183</v>
      </c>
      <c r="C1692" s="32" t="s">
        <v>1804</v>
      </c>
      <c r="D1692" s="120" t="s">
        <v>490</v>
      </c>
      <c r="E1692" s="33" t="s">
        <v>42</v>
      </c>
      <c r="F1692" s="18" t="s">
        <v>64</v>
      </c>
      <c r="G1692" s="18" t="s">
        <v>631</v>
      </c>
      <c r="H1692" s="34" t="s">
        <v>85</v>
      </c>
      <c r="I1692" s="18" t="s">
        <v>104</v>
      </c>
      <c r="J1692" s="31" t="s">
        <v>105</v>
      </c>
      <c r="K1692" s="31"/>
      <c r="N1692" s="13" t="s">
        <v>29</v>
      </c>
      <c r="O1692" s="24" t="str">
        <f>IF(D1692="","",IF(COUNTIF(离职清单!C:C,D1692)&gt;0,"已离职","在职"))</f>
        <v>在职</v>
      </c>
      <c r="P1692" s="24" t="str">
        <f>IF(AND(O1692="在职",J1692="是"),COUNTIF(O$2:O1692,"在职"),"")</f>
        <v/>
      </c>
    </row>
    <row r="1693" ht="18" spans="1:16">
      <c r="A1693" s="14">
        <f t="shared" si="31"/>
        <v>1692</v>
      </c>
      <c r="B1693" s="31">
        <v>46183</v>
      </c>
      <c r="C1693" s="32" t="s">
        <v>1805</v>
      </c>
      <c r="D1693" s="120" t="s">
        <v>492</v>
      </c>
      <c r="E1693" s="33" t="s">
        <v>42</v>
      </c>
      <c r="F1693" s="18" t="s">
        <v>64</v>
      </c>
      <c r="G1693" s="18" t="s">
        <v>631</v>
      </c>
      <c r="H1693" s="34" t="s">
        <v>85</v>
      </c>
      <c r="I1693" s="18" t="s">
        <v>104</v>
      </c>
      <c r="J1693" s="31" t="s">
        <v>105</v>
      </c>
      <c r="K1693" s="31"/>
      <c r="N1693" s="13" t="s">
        <v>29</v>
      </c>
      <c r="O1693" s="24" t="str">
        <f>IF(D1693="","",IF(COUNTIF(离职清单!C:C,D1693)&gt;0,"已离职","在职"))</f>
        <v>在职</v>
      </c>
      <c r="P1693" s="24" t="str">
        <f>IF(AND(O1693="在职",J1693="是"),COUNTIF(O$2:O1693,"在职"),"")</f>
        <v/>
      </c>
    </row>
    <row r="1694" ht="18" spans="1:16">
      <c r="A1694" s="10">
        <f t="shared" si="31"/>
        <v>1693</v>
      </c>
      <c r="B1694" s="31">
        <v>46183</v>
      </c>
      <c r="C1694" s="32" t="s">
        <v>1806</v>
      </c>
      <c r="D1694" s="120" t="s">
        <v>477</v>
      </c>
      <c r="E1694" s="33" t="s">
        <v>42</v>
      </c>
      <c r="F1694" s="18" t="s">
        <v>64</v>
      </c>
      <c r="G1694" s="18" t="s">
        <v>631</v>
      </c>
      <c r="H1694" s="34" t="s">
        <v>85</v>
      </c>
      <c r="I1694" s="18" t="s">
        <v>104</v>
      </c>
      <c r="J1694" s="31" t="s">
        <v>105</v>
      </c>
      <c r="K1694" s="31"/>
      <c r="N1694" s="13" t="s">
        <v>29</v>
      </c>
      <c r="O1694" s="24" t="str">
        <f>IF(D1694="","",IF(COUNTIF(离职清单!C:C,D1694)&gt;0,"已离职","在职"))</f>
        <v>在职</v>
      </c>
      <c r="P1694" s="24" t="str">
        <f>IF(AND(O1694="在职",J1694="是"),COUNTIF(O$2:O1694,"在职"),"")</f>
        <v/>
      </c>
    </row>
    <row r="1695" ht="18" spans="1:16">
      <c r="A1695" s="14">
        <f t="shared" si="31"/>
        <v>1694</v>
      </c>
      <c r="B1695" s="31">
        <v>46183</v>
      </c>
      <c r="C1695" s="32" t="s">
        <v>1807</v>
      </c>
      <c r="D1695" s="120" t="s">
        <v>478</v>
      </c>
      <c r="E1695" s="33" t="s">
        <v>42</v>
      </c>
      <c r="F1695" s="18" t="s">
        <v>64</v>
      </c>
      <c r="G1695" s="18" t="s">
        <v>179</v>
      </c>
      <c r="H1695" s="34" t="s">
        <v>85</v>
      </c>
      <c r="I1695" s="18" t="s">
        <v>104</v>
      </c>
      <c r="J1695" s="31" t="s">
        <v>105</v>
      </c>
      <c r="K1695" s="31"/>
      <c r="N1695" s="13" t="s">
        <v>29</v>
      </c>
      <c r="O1695" s="24" t="str">
        <f>IF(D1695="","",IF(COUNTIF(离职清单!C:C,D1695)&gt;0,"已离职","在职"))</f>
        <v>在职</v>
      </c>
      <c r="P1695" s="24" t="str">
        <f>IF(AND(O1695="在职",J1695="是"),COUNTIF(O$2:O1695,"在职"),"")</f>
        <v/>
      </c>
    </row>
    <row r="1696" ht="18" spans="1:16">
      <c r="A1696" s="10">
        <f t="shared" si="31"/>
        <v>1695</v>
      </c>
      <c r="B1696" s="31">
        <v>46183</v>
      </c>
      <c r="C1696" s="32" t="s">
        <v>1808</v>
      </c>
      <c r="D1696" s="120" t="s">
        <v>480</v>
      </c>
      <c r="E1696" s="33" t="s">
        <v>42</v>
      </c>
      <c r="F1696" s="18" t="s">
        <v>62</v>
      </c>
      <c r="G1696" s="18" t="s">
        <v>148</v>
      </c>
      <c r="H1696" s="34" t="s">
        <v>85</v>
      </c>
      <c r="I1696" s="18" t="s">
        <v>104</v>
      </c>
      <c r="J1696" s="31" t="s">
        <v>105</v>
      </c>
      <c r="K1696" s="31">
        <v>46184</v>
      </c>
      <c r="N1696" s="13" t="s">
        <v>29</v>
      </c>
      <c r="O1696" s="24" t="str">
        <f>IF(D1696="","",IF(COUNTIF(离职清单!C:C,D1696)&gt;0,"已离职","在职"))</f>
        <v>在职</v>
      </c>
      <c r="P1696" s="24" t="str">
        <f>IF(AND(O1696="在职",J1696="是"),COUNTIF(O$2:O1696,"在职"),"")</f>
        <v/>
      </c>
    </row>
    <row r="1697" ht="18" spans="1:16">
      <c r="A1697" s="14">
        <f t="shared" si="31"/>
        <v>1696</v>
      </c>
      <c r="B1697" s="31">
        <v>46183</v>
      </c>
      <c r="C1697" s="32" t="s">
        <v>1809</v>
      </c>
      <c r="D1697" s="120" t="s">
        <v>482</v>
      </c>
      <c r="E1697" s="33" t="s">
        <v>42</v>
      </c>
      <c r="F1697" s="18" t="s">
        <v>64</v>
      </c>
      <c r="G1697" s="18" t="s">
        <v>148</v>
      </c>
      <c r="H1697" s="34" t="s">
        <v>85</v>
      </c>
      <c r="I1697" s="18" t="s">
        <v>104</v>
      </c>
      <c r="J1697" s="31" t="s">
        <v>105</v>
      </c>
      <c r="K1697" s="31"/>
      <c r="N1697" s="13" t="s">
        <v>29</v>
      </c>
      <c r="O1697" s="24" t="str">
        <f>IF(D1697="","",IF(COUNTIF(离职清单!C:C,D1697)&gt;0,"已离职","在职"))</f>
        <v>在职</v>
      </c>
      <c r="P1697" s="24" t="str">
        <f>IF(AND(O1697="在职",J1697="是"),COUNTIF(O$2:O1697,"在职"),"")</f>
        <v/>
      </c>
    </row>
    <row r="1698" ht="18" spans="1:16">
      <c r="A1698" s="10">
        <f t="shared" si="31"/>
        <v>1697</v>
      </c>
      <c r="B1698" s="31">
        <v>46183</v>
      </c>
      <c r="C1698" s="32" t="s">
        <v>1810</v>
      </c>
      <c r="D1698" s="120" t="s">
        <v>484</v>
      </c>
      <c r="E1698" s="33" t="s">
        <v>42</v>
      </c>
      <c r="F1698" s="18" t="s">
        <v>62</v>
      </c>
      <c r="G1698" s="18" t="s">
        <v>148</v>
      </c>
      <c r="H1698" s="34" t="s">
        <v>85</v>
      </c>
      <c r="I1698" s="18" t="s">
        <v>104</v>
      </c>
      <c r="J1698" s="31" t="s">
        <v>105</v>
      </c>
      <c r="K1698" s="31"/>
      <c r="N1698" s="13" t="s">
        <v>29</v>
      </c>
      <c r="O1698" s="24" t="str">
        <f>IF(D1698="","",IF(COUNTIF(离职清单!C:C,D1698)&gt;0,"已离职","在职"))</f>
        <v>在职</v>
      </c>
      <c r="P1698" s="24" t="str">
        <f>IF(AND(O1698="在职",J1698="是"),COUNTIF(O$2:O1698,"在职"),"")</f>
        <v/>
      </c>
    </row>
    <row r="1699" ht="18" spans="1:16">
      <c r="A1699" s="14">
        <f t="shared" si="31"/>
        <v>1698</v>
      </c>
      <c r="B1699" s="31">
        <v>46183</v>
      </c>
      <c r="C1699" s="32" t="s">
        <v>1811</v>
      </c>
      <c r="D1699" s="120" t="s">
        <v>486</v>
      </c>
      <c r="E1699" s="33" t="s">
        <v>42</v>
      </c>
      <c r="F1699" s="18" t="s">
        <v>63</v>
      </c>
      <c r="G1699" s="18" t="s">
        <v>148</v>
      </c>
      <c r="H1699" s="34" t="s">
        <v>85</v>
      </c>
      <c r="I1699" s="18" t="s">
        <v>104</v>
      </c>
      <c r="J1699" s="31" t="s">
        <v>105</v>
      </c>
      <c r="K1699" s="31"/>
      <c r="N1699" s="13" t="s">
        <v>29</v>
      </c>
      <c r="O1699" s="24" t="str">
        <f>IF(D1699="","",IF(COUNTIF(离职清单!C:C,D1699)&gt;0,"已离职","在职"))</f>
        <v>在职</v>
      </c>
      <c r="P1699" s="24" t="str">
        <f>IF(AND(O1699="在职",J1699="是"),COUNTIF(O$2:O1699,"在职"),"")</f>
        <v/>
      </c>
    </row>
    <row r="1700" ht="18" spans="1:16">
      <c r="A1700" s="10">
        <f t="shared" si="31"/>
        <v>1699</v>
      </c>
      <c r="B1700" s="31">
        <v>46183</v>
      </c>
      <c r="C1700" s="32" t="s">
        <v>1812</v>
      </c>
      <c r="D1700" s="120" t="s">
        <v>488</v>
      </c>
      <c r="E1700" s="33" t="s">
        <v>42</v>
      </c>
      <c r="F1700" s="18" t="s">
        <v>64</v>
      </c>
      <c r="G1700" s="18" t="s">
        <v>148</v>
      </c>
      <c r="H1700" s="34" t="s">
        <v>85</v>
      </c>
      <c r="I1700" s="18" t="s">
        <v>104</v>
      </c>
      <c r="J1700" s="31" t="s">
        <v>105</v>
      </c>
      <c r="K1700" s="31"/>
      <c r="N1700" s="13" t="s">
        <v>29</v>
      </c>
      <c r="O1700" s="24" t="str">
        <f>IF(D1700="","",IF(COUNTIF(离职清单!C:C,D1700)&gt;0,"已离职","在职"))</f>
        <v>在职</v>
      </c>
      <c r="P1700" s="24" t="str">
        <f>IF(AND(O1700="在职",J1700="是"),COUNTIF(O$2:O1700,"在职"),"")</f>
        <v/>
      </c>
    </row>
    <row r="1701" ht="18" spans="1:16">
      <c r="A1701" s="14">
        <f t="shared" si="31"/>
        <v>1700</v>
      </c>
      <c r="B1701" s="31">
        <v>46183</v>
      </c>
      <c r="C1701" s="32" t="s">
        <v>1813</v>
      </c>
      <c r="D1701" s="120" t="s">
        <v>490</v>
      </c>
      <c r="E1701" s="33" t="s">
        <v>42</v>
      </c>
      <c r="F1701" s="18" t="s">
        <v>62</v>
      </c>
      <c r="G1701" s="18" t="s">
        <v>173</v>
      </c>
      <c r="H1701" s="34" t="s">
        <v>85</v>
      </c>
      <c r="I1701" s="18" t="s">
        <v>104</v>
      </c>
      <c r="J1701" s="31" t="s">
        <v>114</v>
      </c>
      <c r="K1701" s="31">
        <v>46184</v>
      </c>
      <c r="N1701" s="13" t="s">
        <v>29</v>
      </c>
      <c r="O1701" s="24" t="str">
        <f>IF(D1701="","",IF(COUNTIF(离职清单!C:C,D1701)&gt;0,"已离职","在职"))</f>
        <v>在职</v>
      </c>
      <c r="P1701" s="24">
        <f>IF(AND(O1701="在职",J1701="是"),COUNTIF(O$2:O1701,"在职"),"")</f>
        <v>1694</v>
      </c>
    </row>
    <row r="1702" ht="18" spans="1:16">
      <c r="A1702" s="10">
        <f t="shared" si="31"/>
        <v>1701</v>
      </c>
      <c r="B1702" s="31">
        <v>46184</v>
      </c>
      <c r="C1702" s="32" t="s">
        <v>1814</v>
      </c>
      <c r="D1702" s="120" t="s">
        <v>492</v>
      </c>
      <c r="E1702" s="33" t="s">
        <v>43</v>
      </c>
      <c r="F1702" s="18" t="s">
        <v>63</v>
      </c>
      <c r="G1702" s="18" t="s">
        <v>1056</v>
      </c>
      <c r="H1702" s="34" t="s">
        <v>85</v>
      </c>
      <c r="I1702" s="18" t="s">
        <v>104</v>
      </c>
      <c r="J1702" s="31" t="s">
        <v>114</v>
      </c>
      <c r="K1702" s="31"/>
      <c r="N1702" s="13" t="s">
        <v>29</v>
      </c>
      <c r="O1702" s="24" t="str">
        <f>IF(D1702="","",IF(COUNTIF(离职清单!C:C,D1702)&gt;0,"已离职","在职"))</f>
        <v>在职</v>
      </c>
      <c r="P1702" s="24">
        <f>IF(AND(O1702="在职",J1702="是"),COUNTIF(O$2:O1702,"在职"),"")</f>
        <v>1695</v>
      </c>
    </row>
    <row r="1703" ht="18" spans="1:16">
      <c r="A1703" s="14">
        <f t="shared" si="31"/>
        <v>1702</v>
      </c>
      <c r="B1703" s="31">
        <v>46184</v>
      </c>
      <c r="C1703" s="32" t="s">
        <v>543</v>
      </c>
      <c r="D1703" s="120" t="s">
        <v>477</v>
      </c>
      <c r="E1703" s="33" t="s">
        <v>43</v>
      </c>
      <c r="F1703" s="18" t="s">
        <v>64</v>
      </c>
      <c r="G1703" s="18" t="s">
        <v>426</v>
      </c>
      <c r="H1703" s="34" t="s">
        <v>85</v>
      </c>
      <c r="I1703" s="18" t="s">
        <v>104</v>
      </c>
      <c r="J1703" s="31" t="s">
        <v>105</v>
      </c>
      <c r="K1703" s="31"/>
      <c r="N1703" s="13" t="s">
        <v>29</v>
      </c>
      <c r="O1703" s="24" t="str">
        <f>IF(D1703="","",IF(COUNTIF(离职清单!C:C,D1703)&gt;0,"已离职","在职"))</f>
        <v>在职</v>
      </c>
      <c r="P1703" s="24" t="str">
        <f>IF(AND(O1703="在职",J1703="是"),COUNTIF(O$2:O1703,"在职"),"")</f>
        <v/>
      </c>
    </row>
    <row r="1704" ht="18" spans="1:16">
      <c r="A1704" s="10">
        <f t="shared" si="31"/>
        <v>1703</v>
      </c>
      <c r="B1704" s="31">
        <v>46184</v>
      </c>
      <c r="C1704" s="32" t="s">
        <v>1815</v>
      </c>
      <c r="D1704" s="120" t="s">
        <v>478</v>
      </c>
      <c r="E1704" s="33" t="s">
        <v>43</v>
      </c>
      <c r="F1704" s="18" t="s">
        <v>62</v>
      </c>
      <c r="G1704" s="18" t="s">
        <v>690</v>
      </c>
      <c r="H1704" s="34" t="s">
        <v>85</v>
      </c>
      <c r="I1704" s="18" t="s">
        <v>104</v>
      </c>
      <c r="J1704" s="31" t="s">
        <v>105</v>
      </c>
      <c r="K1704" s="31"/>
      <c r="N1704" s="13" t="s">
        <v>29</v>
      </c>
      <c r="O1704" s="24" t="str">
        <f>IF(D1704="","",IF(COUNTIF(离职清单!C:C,D1704)&gt;0,"已离职","在职"))</f>
        <v>在职</v>
      </c>
      <c r="P1704" s="24" t="str">
        <f>IF(AND(O1704="在职",J1704="是"),COUNTIF(O$2:O1704,"在职"),"")</f>
        <v/>
      </c>
    </row>
    <row r="1705" ht="18" spans="1:16">
      <c r="A1705" s="14">
        <f t="shared" si="31"/>
        <v>1704</v>
      </c>
      <c r="B1705" s="31">
        <v>46184</v>
      </c>
      <c r="C1705" s="32" t="s">
        <v>1007</v>
      </c>
      <c r="D1705" s="120" t="s">
        <v>480</v>
      </c>
      <c r="E1705" s="33" t="s">
        <v>43</v>
      </c>
      <c r="F1705" s="18" t="s">
        <v>64</v>
      </c>
      <c r="G1705" s="18" t="s">
        <v>690</v>
      </c>
      <c r="H1705" s="34" t="s">
        <v>85</v>
      </c>
      <c r="I1705" s="18" t="s">
        <v>104</v>
      </c>
      <c r="J1705" s="31" t="s">
        <v>105</v>
      </c>
      <c r="K1705" s="31">
        <v>46185</v>
      </c>
      <c r="N1705" s="13" t="s">
        <v>29</v>
      </c>
      <c r="O1705" s="24" t="str">
        <f>IF(D1705="","",IF(COUNTIF(离职清单!C:C,D1705)&gt;0,"已离职","在职"))</f>
        <v>在职</v>
      </c>
      <c r="P1705" s="24" t="str">
        <f>IF(AND(O1705="在职",J1705="是"),COUNTIF(O$2:O1705,"在职"),"")</f>
        <v/>
      </c>
    </row>
    <row r="1706" ht="18" spans="1:16">
      <c r="A1706" s="10">
        <f t="shared" si="31"/>
        <v>1705</v>
      </c>
      <c r="B1706" s="31">
        <v>46184</v>
      </c>
      <c r="C1706" s="32" t="s">
        <v>1074</v>
      </c>
      <c r="D1706" s="120" t="s">
        <v>482</v>
      </c>
      <c r="E1706" s="33" t="s">
        <v>43</v>
      </c>
      <c r="F1706" s="18" t="s">
        <v>63</v>
      </c>
      <c r="G1706" s="18" t="s">
        <v>148</v>
      </c>
      <c r="H1706" s="34" t="s">
        <v>85</v>
      </c>
      <c r="I1706" s="18" t="s">
        <v>104</v>
      </c>
      <c r="J1706" s="31" t="s">
        <v>114</v>
      </c>
      <c r="K1706" s="31"/>
      <c r="N1706" s="13" t="s">
        <v>29</v>
      </c>
      <c r="O1706" s="24" t="str">
        <f>IF(D1706="","",IF(COUNTIF(离职清单!C:C,D1706)&gt;0,"已离职","在职"))</f>
        <v>在职</v>
      </c>
      <c r="P1706" s="24">
        <f>IF(AND(O1706="在职",J1706="是"),COUNTIF(O$2:O1706,"在职"),"")</f>
        <v>1699</v>
      </c>
    </row>
    <row r="1707" ht="18" spans="1:16">
      <c r="A1707" s="14">
        <f t="shared" si="31"/>
        <v>1706</v>
      </c>
      <c r="B1707" s="31">
        <v>46184</v>
      </c>
      <c r="C1707" s="32" t="s">
        <v>1816</v>
      </c>
      <c r="D1707" s="120" t="s">
        <v>484</v>
      </c>
      <c r="E1707" s="33" t="s">
        <v>43</v>
      </c>
      <c r="F1707" s="18" t="s">
        <v>63</v>
      </c>
      <c r="G1707" s="18" t="s">
        <v>148</v>
      </c>
      <c r="H1707" s="34" t="s">
        <v>85</v>
      </c>
      <c r="I1707" s="18" t="s">
        <v>104</v>
      </c>
      <c r="J1707" s="31" t="s">
        <v>114</v>
      </c>
      <c r="K1707" s="31">
        <v>46186</v>
      </c>
      <c r="N1707" s="13" t="s">
        <v>29</v>
      </c>
      <c r="O1707" s="24" t="str">
        <f>IF(D1707="","",IF(COUNTIF(离职清单!C:C,D1707)&gt;0,"已离职","在职"))</f>
        <v>在职</v>
      </c>
      <c r="P1707" s="24">
        <f>IF(AND(O1707="在职",J1707="是"),COUNTIF(O$2:O1707,"在职"),"")</f>
        <v>1700</v>
      </c>
    </row>
    <row r="1708" ht="18" spans="1:16">
      <c r="A1708" s="10">
        <f t="shared" ref="A1708:A1771" si="32">IF(B1708&lt;&gt;"",ROW()-1,"")</f>
        <v>1707</v>
      </c>
      <c r="B1708" s="31">
        <v>46184</v>
      </c>
      <c r="C1708" s="32" t="s">
        <v>1226</v>
      </c>
      <c r="D1708" s="120" t="s">
        <v>486</v>
      </c>
      <c r="E1708" s="33" t="s">
        <v>43</v>
      </c>
      <c r="F1708" s="18" t="s">
        <v>63</v>
      </c>
      <c r="G1708" s="18" t="s">
        <v>148</v>
      </c>
      <c r="H1708" s="34" t="s">
        <v>85</v>
      </c>
      <c r="I1708" s="18" t="s">
        <v>104</v>
      </c>
      <c r="J1708" s="31" t="s">
        <v>114</v>
      </c>
      <c r="K1708" s="31">
        <v>46184</v>
      </c>
      <c r="N1708" s="13" t="s">
        <v>29</v>
      </c>
      <c r="O1708" s="24" t="str">
        <f>IF(D1708="","",IF(COUNTIF(离职清单!C:C,D1708)&gt;0,"已离职","在职"))</f>
        <v>在职</v>
      </c>
      <c r="P1708" s="24">
        <f>IF(AND(O1708="在职",J1708="是"),COUNTIF(O$2:O1708,"在职"),"")</f>
        <v>1701</v>
      </c>
    </row>
    <row r="1709" ht="18" spans="1:16">
      <c r="A1709" s="14">
        <f t="shared" si="32"/>
        <v>1708</v>
      </c>
      <c r="B1709" s="31">
        <v>46184</v>
      </c>
      <c r="C1709" s="32" t="s">
        <v>1817</v>
      </c>
      <c r="D1709" s="120" t="s">
        <v>488</v>
      </c>
      <c r="E1709" s="33" t="s">
        <v>43</v>
      </c>
      <c r="F1709" s="18" t="s">
        <v>62</v>
      </c>
      <c r="G1709" s="18" t="s">
        <v>733</v>
      </c>
      <c r="H1709" s="34" t="s">
        <v>85</v>
      </c>
      <c r="I1709" s="18" t="s">
        <v>104</v>
      </c>
      <c r="J1709" s="31" t="s">
        <v>114</v>
      </c>
      <c r="K1709" s="31">
        <v>46184</v>
      </c>
      <c r="N1709" s="13" t="s">
        <v>29</v>
      </c>
      <c r="O1709" s="24" t="str">
        <f>IF(D1709="","",IF(COUNTIF(离职清单!C:C,D1709)&gt;0,"已离职","在职"))</f>
        <v>在职</v>
      </c>
      <c r="P1709" s="24">
        <f>IF(AND(O1709="在职",J1709="是"),COUNTIF(O$2:O1709,"在职"),"")</f>
        <v>1702</v>
      </c>
    </row>
    <row r="1710" ht="18" spans="1:16">
      <c r="A1710" s="10">
        <f t="shared" si="32"/>
        <v>1709</v>
      </c>
      <c r="B1710" s="31">
        <v>46184</v>
      </c>
      <c r="C1710" s="32" t="s">
        <v>1818</v>
      </c>
      <c r="D1710" s="120" t="s">
        <v>490</v>
      </c>
      <c r="E1710" s="33" t="s">
        <v>43</v>
      </c>
      <c r="F1710" s="18" t="s">
        <v>63</v>
      </c>
      <c r="G1710" s="18" t="s">
        <v>733</v>
      </c>
      <c r="H1710" s="34" t="s">
        <v>85</v>
      </c>
      <c r="I1710" s="18" t="s">
        <v>104</v>
      </c>
      <c r="J1710" s="31" t="s">
        <v>105</v>
      </c>
      <c r="K1710" s="31"/>
      <c r="N1710" s="13" t="s">
        <v>29</v>
      </c>
      <c r="O1710" s="24" t="str">
        <f>IF(D1710="","",IF(COUNTIF(离职清单!C:C,D1710)&gt;0,"已离职","在职"))</f>
        <v>在职</v>
      </c>
      <c r="P1710" s="24" t="str">
        <f>IF(AND(O1710="在职",J1710="是"),COUNTIF(O$2:O1710,"在职"),"")</f>
        <v/>
      </c>
    </row>
    <row r="1711" ht="18" spans="1:16">
      <c r="A1711" s="14">
        <f t="shared" si="32"/>
        <v>1710</v>
      </c>
      <c r="B1711" s="31">
        <v>46184</v>
      </c>
      <c r="C1711" s="32" t="s">
        <v>1819</v>
      </c>
      <c r="D1711" s="120" t="s">
        <v>492</v>
      </c>
      <c r="E1711" s="33" t="s">
        <v>43</v>
      </c>
      <c r="F1711" s="18" t="s">
        <v>62</v>
      </c>
      <c r="G1711" s="18" t="s">
        <v>117</v>
      </c>
      <c r="H1711" s="34" t="s">
        <v>85</v>
      </c>
      <c r="I1711" s="18" t="s">
        <v>104</v>
      </c>
      <c r="J1711" s="31" t="s">
        <v>105</v>
      </c>
      <c r="K1711" s="31"/>
      <c r="N1711" s="13" t="s">
        <v>29</v>
      </c>
      <c r="O1711" s="24" t="str">
        <f>IF(D1711="","",IF(COUNTIF(离职清单!C:C,D1711)&gt;0,"已离职","在职"))</f>
        <v>在职</v>
      </c>
      <c r="P1711" s="24" t="str">
        <f>IF(AND(O1711="在职",J1711="是"),COUNTIF(O$2:O1711,"在职"),"")</f>
        <v/>
      </c>
    </row>
    <row r="1712" ht="18" spans="1:16">
      <c r="A1712" s="10">
        <f t="shared" si="32"/>
        <v>1711</v>
      </c>
      <c r="B1712" s="31">
        <v>46184</v>
      </c>
      <c r="C1712" s="32" t="s">
        <v>1820</v>
      </c>
      <c r="D1712" s="120" t="s">
        <v>477</v>
      </c>
      <c r="E1712" s="33" t="s">
        <v>43</v>
      </c>
      <c r="F1712" s="18" t="s">
        <v>62</v>
      </c>
      <c r="G1712" s="18" t="s">
        <v>135</v>
      </c>
      <c r="H1712" s="34" t="s">
        <v>85</v>
      </c>
      <c r="I1712" s="18" t="s">
        <v>104</v>
      </c>
      <c r="J1712" s="31" t="s">
        <v>114</v>
      </c>
      <c r="K1712" s="31">
        <v>46186</v>
      </c>
      <c r="N1712" s="13" t="s">
        <v>29</v>
      </c>
      <c r="O1712" s="24" t="str">
        <f>IF(D1712="","",IF(COUNTIF(离职清单!C:C,D1712)&gt;0,"已离职","在职"))</f>
        <v>在职</v>
      </c>
      <c r="P1712" s="24">
        <f>IF(AND(O1712="在职",J1712="是"),COUNTIF(O$2:O1712,"在职"),"")</f>
        <v>1705</v>
      </c>
    </row>
    <row r="1713" ht="18" spans="1:16">
      <c r="A1713" s="14">
        <f t="shared" si="32"/>
        <v>1712</v>
      </c>
      <c r="B1713" s="31">
        <v>46184</v>
      </c>
      <c r="C1713" s="32" t="s">
        <v>1821</v>
      </c>
      <c r="D1713" s="120" t="s">
        <v>478</v>
      </c>
      <c r="E1713" s="33" t="s">
        <v>43</v>
      </c>
      <c r="F1713" s="18" t="s">
        <v>63</v>
      </c>
      <c r="G1713" s="18" t="s">
        <v>135</v>
      </c>
      <c r="H1713" s="34" t="s">
        <v>85</v>
      </c>
      <c r="I1713" s="18" t="s">
        <v>104</v>
      </c>
      <c r="J1713" s="31" t="s">
        <v>114</v>
      </c>
      <c r="K1713" s="31" t="s">
        <v>1822</v>
      </c>
      <c r="N1713" s="13" t="s">
        <v>29</v>
      </c>
      <c r="O1713" s="24" t="str">
        <f>IF(D1713="","",IF(COUNTIF(离职清单!C:C,D1713)&gt;0,"已离职","在职"))</f>
        <v>在职</v>
      </c>
      <c r="P1713" s="24">
        <f>IF(AND(O1713="在职",J1713="是"),COUNTIF(O$2:O1713,"在职"),"")</f>
        <v>1706</v>
      </c>
    </row>
    <row r="1714" ht="18" spans="1:16">
      <c r="A1714" s="10">
        <f t="shared" si="32"/>
        <v>1713</v>
      </c>
      <c r="B1714" s="31">
        <v>46184</v>
      </c>
      <c r="C1714" s="32" t="s">
        <v>1823</v>
      </c>
      <c r="D1714" s="120" t="s">
        <v>480</v>
      </c>
      <c r="E1714" s="33" t="s">
        <v>43</v>
      </c>
      <c r="F1714" s="18" t="s">
        <v>64</v>
      </c>
      <c r="G1714" s="18" t="s">
        <v>124</v>
      </c>
      <c r="H1714" s="34" t="s">
        <v>85</v>
      </c>
      <c r="I1714" s="18" t="s">
        <v>104</v>
      </c>
      <c r="J1714" s="31" t="s">
        <v>105</v>
      </c>
      <c r="K1714" s="31"/>
      <c r="N1714" s="13" t="s">
        <v>29</v>
      </c>
      <c r="O1714" s="24" t="str">
        <f>IF(D1714="","",IF(COUNTIF(离职清单!C:C,D1714)&gt;0,"已离职","在职"))</f>
        <v>在职</v>
      </c>
      <c r="P1714" s="24" t="str">
        <f>IF(AND(O1714="在职",J1714="是"),COUNTIF(O$2:O1714,"在职"),"")</f>
        <v/>
      </c>
    </row>
    <row r="1715" ht="18" spans="1:16">
      <c r="A1715" s="14">
        <f t="shared" si="32"/>
        <v>1714</v>
      </c>
      <c r="B1715" s="31">
        <v>46184</v>
      </c>
      <c r="C1715" s="32" t="s">
        <v>1824</v>
      </c>
      <c r="D1715" s="120" t="s">
        <v>482</v>
      </c>
      <c r="E1715" s="33" t="s">
        <v>43</v>
      </c>
      <c r="F1715" s="18" t="s">
        <v>62</v>
      </c>
      <c r="G1715" s="18" t="s">
        <v>124</v>
      </c>
      <c r="H1715" s="34" t="s">
        <v>85</v>
      </c>
      <c r="I1715" s="18" t="s">
        <v>104</v>
      </c>
      <c r="J1715" s="31" t="s">
        <v>114</v>
      </c>
      <c r="K1715" s="31">
        <v>46185</v>
      </c>
      <c r="N1715" s="13" t="s">
        <v>29</v>
      </c>
      <c r="O1715" s="24" t="str">
        <f>IF(D1715="","",IF(COUNTIF(离职清单!C:C,D1715)&gt;0,"已离职","在职"))</f>
        <v>在职</v>
      </c>
      <c r="P1715" s="24">
        <f>IF(AND(O1715="在职",J1715="是"),COUNTIF(O$2:O1715,"在职"),"")</f>
        <v>1708</v>
      </c>
    </row>
    <row r="1716" ht="18" spans="1:16">
      <c r="A1716" s="10">
        <f t="shared" si="32"/>
        <v>1715</v>
      </c>
      <c r="B1716" s="31">
        <v>46184</v>
      </c>
      <c r="C1716" s="32" t="s">
        <v>1825</v>
      </c>
      <c r="D1716" s="120" t="s">
        <v>484</v>
      </c>
      <c r="E1716" s="33" t="s">
        <v>43</v>
      </c>
      <c r="F1716" s="18" t="s">
        <v>63</v>
      </c>
      <c r="G1716" s="18" t="s">
        <v>744</v>
      </c>
      <c r="H1716" s="34" t="s">
        <v>85</v>
      </c>
      <c r="I1716" s="18" t="s">
        <v>104</v>
      </c>
      <c r="J1716" s="31" t="s">
        <v>105</v>
      </c>
      <c r="K1716" s="31"/>
      <c r="N1716" s="13" t="s">
        <v>29</v>
      </c>
      <c r="O1716" s="24" t="str">
        <f>IF(D1716="","",IF(COUNTIF(离职清单!C:C,D1716)&gt;0,"已离职","在职"))</f>
        <v>在职</v>
      </c>
      <c r="P1716" s="24" t="str">
        <f>IF(AND(O1716="在职",J1716="是"),COUNTIF(O$2:O1716,"在职"),"")</f>
        <v/>
      </c>
    </row>
    <row r="1717" ht="18" spans="1:16">
      <c r="A1717" s="14">
        <f t="shared" si="32"/>
        <v>1716</v>
      </c>
      <c r="B1717" s="31">
        <v>46184</v>
      </c>
      <c r="C1717" s="32" t="s">
        <v>1826</v>
      </c>
      <c r="D1717" s="120" t="s">
        <v>486</v>
      </c>
      <c r="E1717" s="33" t="s">
        <v>43</v>
      </c>
      <c r="F1717" s="18" t="s">
        <v>64</v>
      </c>
      <c r="G1717" s="18" t="s">
        <v>233</v>
      </c>
      <c r="H1717" s="34" t="s">
        <v>85</v>
      </c>
      <c r="I1717" s="18" t="s">
        <v>104</v>
      </c>
      <c r="J1717" s="31" t="s">
        <v>105</v>
      </c>
      <c r="K1717" s="31"/>
      <c r="N1717" s="13" t="s">
        <v>29</v>
      </c>
      <c r="O1717" s="24" t="str">
        <f>IF(D1717="","",IF(COUNTIF(离职清单!C:C,D1717)&gt;0,"已离职","在职"))</f>
        <v>在职</v>
      </c>
      <c r="P1717" s="24" t="str">
        <f>IF(AND(O1717="在职",J1717="是"),COUNTIF(O$2:O1717,"在职"),"")</f>
        <v/>
      </c>
    </row>
    <row r="1718" ht="18" spans="1:16">
      <c r="A1718" s="10">
        <f t="shared" si="32"/>
        <v>1717</v>
      </c>
      <c r="B1718" s="31">
        <v>46184</v>
      </c>
      <c r="C1718" s="32" t="s">
        <v>1827</v>
      </c>
      <c r="D1718" s="120" t="s">
        <v>488</v>
      </c>
      <c r="E1718" s="33" t="s">
        <v>43</v>
      </c>
      <c r="F1718" s="18" t="s">
        <v>63</v>
      </c>
      <c r="G1718" s="18" t="s">
        <v>505</v>
      </c>
      <c r="H1718" s="34" t="s">
        <v>85</v>
      </c>
      <c r="I1718" s="18" t="s">
        <v>104</v>
      </c>
      <c r="J1718" s="31" t="s">
        <v>114</v>
      </c>
      <c r="K1718" s="31"/>
      <c r="N1718" s="13" t="s">
        <v>29</v>
      </c>
      <c r="O1718" s="24" t="str">
        <f>IF(D1718="","",IF(COUNTIF(离职清单!C:C,D1718)&gt;0,"已离职","在职"))</f>
        <v>在职</v>
      </c>
      <c r="P1718" s="24">
        <f>IF(AND(O1718="在职",J1718="是"),COUNTIF(O$2:O1718,"在职"),"")</f>
        <v>1711</v>
      </c>
    </row>
    <row r="1719" ht="18" spans="1:16">
      <c r="A1719" s="14">
        <f t="shared" si="32"/>
        <v>1718</v>
      </c>
      <c r="B1719" s="31">
        <v>46184</v>
      </c>
      <c r="C1719" s="32" t="s">
        <v>1828</v>
      </c>
      <c r="D1719" s="120" t="s">
        <v>490</v>
      </c>
      <c r="E1719" s="33" t="s">
        <v>43</v>
      </c>
      <c r="F1719" s="18" t="s">
        <v>63</v>
      </c>
      <c r="G1719" s="18" t="s">
        <v>103</v>
      </c>
      <c r="H1719" s="34" t="s">
        <v>85</v>
      </c>
      <c r="I1719" s="18" t="s">
        <v>104</v>
      </c>
      <c r="J1719" s="31" t="s">
        <v>114</v>
      </c>
      <c r="K1719" s="31"/>
      <c r="N1719" s="13" t="s">
        <v>29</v>
      </c>
      <c r="O1719" s="24" t="str">
        <f>IF(D1719="","",IF(COUNTIF(离职清单!C:C,D1719)&gt;0,"已离职","在职"))</f>
        <v>在职</v>
      </c>
      <c r="P1719" s="24">
        <f>IF(AND(O1719="在职",J1719="是"),COUNTIF(O$2:O1719,"在职"),"")</f>
        <v>1712</v>
      </c>
    </row>
    <row r="1720" ht="18" spans="1:16">
      <c r="A1720" s="10">
        <f t="shared" si="32"/>
        <v>1719</v>
      </c>
      <c r="B1720" s="31">
        <v>46184</v>
      </c>
      <c r="C1720" s="32" t="s">
        <v>1829</v>
      </c>
      <c r="D1720" s="120" t="s">
        <v>492</v>
      </c>
      <c r="E1720" s="33" t="s">
        <v>43</v>
      </c>
      <c r="F1720" s="18" t="s">
        <v>62</v>
      </c>
      <c r="G1720" s="18" t="s">
        <v>132</v>
      </c>
      <c r="H1720" s="34" t="s">
        <v>85</v>
      </c>
      <c r="I1720" s="18" t="s">
        <v>104</v>
      </c>
      <c r="J1720" s="31" t="s">
        <v>105</v>
      </c>
      <c r="K1720" s="31">
        <v>46186</v>
      </c>
      <c r="N1720" s="13" t="s">
        <v>29</v>
      </c>
      <c r="O1720" s="24" t="str">
        <f>IF(D1720="","",IF(COUNTIF(离职清单!C:C,D1720)&gt;0,"已离职","在职"))</f>
        <v>在职</v>
      </c>
      <c r="P1720" s="24" t="str">
        <f>IF(AND(O1720="在职",J1720="是"),COUNTIF(O$2:O1720,"在职"),"")</f>
        <v/>
      </c>
    </row>
    <row r="1721" ht="18" spans="1:16">
      <c r="A1721" s="14">
        <f t="shared" si="32"/>
        <v>1720</v>
      </c>
      <c r="B1721" s="31">
        <v>46184</v>
      </c>
      <c r="C1721" s="32" t="s">
        <v>1830</v>
      </c>
      <c r="D1721" s="120" t="s">
        <v>477</v>
      </c>
      <c r="E1721" s="33" t="s">
        <v>43</v>
      </c>
      <c r="F1721" s="18" t="s">
        <v>63</v>
      </c>
      <c r="G1721" s="18" t="s">
        <v>509</v>
      </c>
      <c r="H1721" s="34" t="s">
        <v>85</v>
      </c>
      <c r="I1721" s="18" t="s">
        <v>104</v>
      </c>
      <c r="J1721" s="31" t="s">
        <v>105</v>
      </c>
      <c r="K1721" s="31">
        <v>46185</v>
      </c>
      <c r="N1721" s="13" t="s">
        <v>29</v>
      </c>
      <c r="O1721" s="24" t="str">
        <f>IF(D1721="","",IF(COUNTIF(离职清单!C:C,D1721)&gt;0,"已离职","在职"))</f>
        <v>在职</v>
      </c>
      <c r="P1721" s="24" t="str">
        <f>IF(AND(O1721="在职",J1721="是"),COUNTIF(O$2:O1721,"在职"),"")</f>
        <v/>
      </c>
    </row>
    <row r="1722" ht="18" spans="1:16">
      <c r="A1722" s="10">
        <f t="shared" si="32"/>
        <v>1721</v>
      </c>
      <c r="B1722" s="31">
        <v>46184</v>
      </c>
      <c r="C1722" s="32" t="s">
        <v>1831</v>
      </c>
      <c r="D1722" s="120" t="s">
        <v>477</v>
      </c>
      <c r="E1722" s="33" t="s">
        <v>43</v>
      </c>
      <c r="F1722" s="18" t="s">
        <v>63</v>
      </c>
      <c r="G1722" s="18" t="s">
        <v>1334</v>
      </c>
      <c r="H1722" s="34" t="s">
        <v>85</v>
      </c>
      <c r="I1722" s="18" t="s">
        <v>104</v>
      </c>
      <c r="J1722" s="31" t="s">
        <v>105</v>
      </c>
      <c r="K1722" s="31"/>
      <c r="N1722" s="13" t="s">
        <v>29</v>
      </c>
      <c r="O1722" s="24" t="str">
        <f>IF(D1722="","",IF(COUNTIF(离职清单!C:C,D1722)&gt;0,"已离职","在职"))</f>
        <v>在职</v>
      </c>
      <c r="P1722" s="24" t="str">
        <f>IF(AND(O1722="在职",J1722="是"),COUNTIF(O$2:O1722,"在职"),"")</f>
        <v/>
      </c>
    </row>
    <row r="1723" ht="18" spans="1:16">
      <c r="A1723" s="14">
        <f t="shared" si="32"/>
        <v>1722</v>
      </c>
      <c r="B1723" s="31">
        <v>46184</v>
      </c>
      <c r="C1723" s="32" t="s">
        <v>1832</v>
      </c>
      <c r="D1723" s="120" t="s">
        <v>478</v>
      </c>
      <c r="E1723" s="33" t="s">
        <v>43</v>
      </c>
      <c r="F1723" s="18" t="s">
        <v>63</v>
      </c>
      <c r="G1723" s="18" t="s">
        <v>148</v>
      </c>
      <c r="H1723" s="34" t="s">
        <v>85</v>
      </c>
      <c r="I1723" s="18" t="s">
        <v>104</v>
      </c>
      <c r="J1723" s="31" t="s">
        <v>105</v>
      </c>
      <c r="K1723" s="31"/>
      <c r="N1723" s="13" t="s">
        <v>29</v>
      </c>
      <c r="O1723" s="24" t="str">
        <f>IF(D1723="","",IF(COUNTIF(离职清单!C:C,D1723)&gt;0,"已离职","在职"))</f>
        <v>在职</v>
      </c>
      <c r="P1723" s="24" t="str">
        <f>IF(AND(O1723="在职",J1723="是"),COUNTIF(O$2:O1723,"在职"),"")</f>
        <v/>
      </c>
    </row>
    <row r="1724" ht="18" spans="1:16">
      <c r="A1724" s="10">
        <f t="shared" si="32"/>
        <v>1723</v>
      </c>
      <c r="B1724" s="31">
        <v>46184</v>
      </c>
      <c r="C1724" s="32" t="s">
        <v>1833</v>
      </c>
      <c r="D1724" s="120" t="s">
        <v>480</v>
      </c>
      <c r="E1724" s="33" t="s">
        <v>43</v>
      </c>
      <c r="F1724" s="18" t="s">
        <v>62</v>
      </c>
      <c r="G1724" s="18" t="s">
        <v>148</v>
      </c>
      <c r="H1724" s="34" t="s">
        <v>85</v>
      </c>
      <c r="I1724" s="18" t="s">
        <v>104</v>
      </c>
      <c r="J1724" s="31" t="s">
        <v>114</v>
      </c>
      <c r="K1724" s="31">
        <v>46185</v>
      </c>
      <c r="N1724" s="13" t="s">
        <v>29</v>
      </c>
      <c r="O1724" s="24" t="str">
        <f>IF(D1724="","",IF(COUNTIF(离职清单!C:C,D1724)&gt;0,"已离职","在职"))</f>
        <v>在职</v>
      </c>
      <c r="P1724" s="24">
        <f>IF(AND(O1724="在职",J1724="是"),COUNTIF(O$2:O1724,"在职"),"")</f>
        <v>1717</v>
      </c>
    </row>
    <row r="1725" ht="18" spans="1:16">
      <c r="A1725" s="14">
        <f t="shared" si="32"/>
        <v>1724</v>
      </c>
      <c r="B1725" s="31">
        <v>46184</v>
      </c>
      <c r="C1725" s="32" t="s">
        <v>1834</v>
      </c>
      <c r="D1725" s="120" t="s">
        <v>482</v>
      </c>
      <c r="E1725" s="33" t="s">
        <v>43</v>
      </c>
      <c r="F1725" s="18" t="s">
        <v>62</v>
      </c>
      <c r="G1725" s="18" t="s">
        <v>148</v>
      </c>
      <c r="H1725" s="34" t="s">
        <v>85</v>
      </c>
      <c r="I1725" s="18" t="s">
        <v>104</v>
      </c>
      <c r="J1725" s="31" t="s">
        <v>114</v>
      </c>
      <c r="K1725" s="31">
        <v>46185</v>
      </c>
      <c r="N1725" s="13" t="s">
        <v>29</v>
      </c>
      <c r="O1725" s="24" t="str">
        <f>IF(D1725="","",IF(COUNTIF(离职清单!C:C,D1725)&gt;0,"已离职","在职"))</f>
        <v>在职</v>
      </c>
      <c r="P1725" s="24">
        <f>IF(AND(O1725="在职",J1725="是"),COUNTIF(O$2:O1725,"在职"),"")</f>
        <v>1718</v>
      </c>
    </row>
    <row r="1726" ht="18" spans="1:16">
      <c r="A1726" s="10">
        <f t="shared" si="32"/>
        <v>1725</v>
      </c>
      <c r="B1726" s="31">
        <v>46184</v>
      </c>
      <c r="C1726" s="32" t="s">
        <v>1835</v>
      </c>
      <c r="D1726" s="120" t="s">
        <v>484</v>
      </c>
      <c r="E1726" s="33" t="s">
        <v>43</v>
      </c>
      <c r="F1726" s="18" t="s">
        <v>62</v>
      </c>
      <c r="G1726" s="18" t="s">
        <v>148</v>
      </c>
      <c r="H1726" s="34" t="s">
        <v>85</v>
      </c>
      <c r="I1726" s="18" t="s">
        <v>104</v>
      </c>
      <c r="J1726" s="31" t="s">
        <v>114</v>
      </c>
      <c r="K1726" s="31">
        <v>46185</v>
      </c>
      <c r="N1726" s="13" t="s">
        <v>29</v>
      </c>
      <c r="O1726" s="24" t="str">
        <f>IF(D1726="","",IF(COUNTIF(离职清单!C:C,D1726)&gt;0,"已离职","在职"))</f>
        <v>在职</v>
      </c>
      <c r="P1726" s="24">
        <f>IF(AND(O1726="在职",J1726="是"),COUNTIF(O$2:O1726,"在职"),"")</f>
        <v>1719</v>
      </c>
    </row>
    <row r="1727" ht="18" spans="1:16">
      <c r="A1727" s="14">
        <f t="shared" si="32"/>
        <v>1726</v>
      </c>
      <c r="B1727" s="31">
        <v>46184</v>
      </c>
      <c r="C1727" s="32" t="s">
        <v>1836</v>
      </c>
      <c r="D1727" s="120" t="s">
        <v>486</v>
      </c>
      <c r="E1727" s="33" t="s">
        <v>43</v>
      </c>
      <c r="F1727" s="18" t="s">
        <v>62</v>
      </c>
      <c r="G1727" s="18" t="s">
        <v>173</v>
      </c>
      <c r="H1727" s="34" t="s">
        <v>85</v>
      </c>
      <c r="I1727" s="18" t="s">
        <v>104</v>
      </c>
      <c r="J1727" s="31" t="s">
        <v>105</v>
      </c>
      <c r="K1727" s="31"/>
      <c r="N1727" s="13" t="s">
        <v>29</v>
      </c>
      <c r="O1727" s="24" t="str">
        <f>IF(D1727="","",IF(COUNTIF(离职清单!C:C,D1727)&gt;0,"已离职","在职"))</f>
        <v>在职</v>
      </c>
      <c r="P1727" s="24" t="str">
        <f>IF(AND(O1727="在职",J1727="是"),COUNTIF(O$2:O1727,"在职"),"")</f>
        <v/>
      </c>
    </row>
    <row r="1728" ht="18" spans="1:16">
      <c r="A1728" s="10">
        <f t="shared" si="32"/>
        <v>1727</v>
      </c>
      <c r="B1728" s="31">
        <v>46184</v>
      </c>
      <c r="C1728" s="32" t="s">
        <v>1837</v>
      </c>
      <c r="D1728" s="120" t="s">
        <v>488</v>
      </c>
      <c r="E1728" s="33" t="s">
        <v>43</v>
      </c>
      <c r="F1728" s="18" t="s">
        <v>64</v>
      </c>
      <c r="G1728" s="18" t="s">
        <v>426</v>
      </c>
      <c r="H1728" s="34" t="s">
        <v>85</v>
      </c>
      <c r="I1728" s="18" t="s">
        <v>104</v>
      </c>
      <c r="J1728" s="31" t="s">
        <v>105</v>
      </c>
      <c r="K1728" s="31"/>
      <c r="N1728" s="13" t="s">
        <v>29</v>
      </c>
      <c r="O1728" s="24" t="str">
        <f>IF(D1728="","",IF(COUNTIF(离职清单!C:C,D1728)&gt;0,"已离职","在职"))</f>
        <v>在职</v>
      </c>
      <c r="P1728" s="24" t="str">
        <f>IF(AND(O1728="在职",J1728="是"),COUNTIF(O$2:O1728,"在职"),"")</f>
        <v/>
      </c>
    </row>
    <row r="1729" ht="18" spans="1:16">
      <c r="A1729" s="14">
        <f t="shared" si="32"/>
        <v>1728</v>
      </c>
      <c r="B1729" s="31">
        <v>46184</v>
      </c>
      <c r="C1729" s="32" t="s">
        <v>1838</v>
      </c>
      <c r="D1729" s="120" t="s">
        <v>490</v>
      </c>
      <c r="E1729" s="33" t="s">
        <v>43</v>
      </c>
      <c r="F1729" s="18" t="s">
        <v>63</v>
      </c>
      <c r="G1729" s="18" t="s">
        <v>233</v>
      </c>
      <c r="H1729" s="34" t="s">
        <v>85</v>
      </c>
      <c r="I1729" s="18" t="s">
        <v>104</v>
      </c>
      <c r="J1729" s="31" t="s">
        <v>114</v>
      </c>
      <c r="K1729" s="31">
        <v>46185</v>
      </c>
      <c r="N1729" s="13" t="s">
        <v>29</v>
      </c>
      <c r="O1729" s="24" t="str">
        <f>IF(D1729="","",IF(COUNTIF(离职清单!C:C,D1729)&gt;0,"已离职","在职"))</f>
        <v>在职</v>
      </c>
      <c r="P1729" s="24">
        <f>IF(AND(O1729="在职",J1729="是"),COUNTIF(O$2:O1729,"在职"),"")</f>
        <v>1722</v>
      </c>
    </row>
    <row r="1730" ht="18" spans="1:16">
      <c r="A1730" s="10">
        <f t="shared" si="32"/>
        <v>1729</v>
      </c>
      <c r="B1730" s="31">
        <v>46184</v>
      </c>
      <c r="C1730" s="32" t="s">
        <v>1839</v>
      </c>
      <c r="D1730" s="120" t="s">
        <v>492</v>
      </c>
      <c r="E1730" s="33" t="s">
        <v>43</v>
      </c>
      <c r="F1730" s="18" t="s">
        <v>63</v>
      </c>
      <c r="G1730" s="18" t="s">
        <v>233</v>
      </c>
      <c r="H1730" s="34" t="s">
        <v>85</v>
      </c>
      <c r="I1730" s="18" t="s">
        <v>104</v>
      </c>
      <c r="J1730" s="31" t="s">
        <v>114</v>
      </c>
      <c r="K1730" s="31">
        <v>46185</v>
      </c>
      <c r="N1730" s="13" t="s">
        <v>29</v>
      </c>
      <c r="O1730" s="24" t="str">
        <f>IF(D1730="","",IF(COUNTIF(离职清单!C:C,D1730)&gt;0,"已离职","在职"))</f>
        <v>在职</v>
      </c>
      <c r="P1730" s="24">
        <f>IF(AND(O1730="在职",J1730="是"),COUNTIF(O$2:O1730,"在职"),"")</f>
        <v>1723</v>
      </c>
    </row>
    <row r="1731" ht="18" spans="1:16">
      <c r="A1731" s="14">
        <f t="shared" si="32"/>
        <v>1730</v>
      </c>
      <c r="B1731" s="31">
        <v>46184</v>
      </c>
      <c r="C1731" s="32" t="s">
        <v>1840</v>
      </c>
      <c r="D1731" s="120" t="s">
        <v>477</v>
      </c>
      <c r="E1731" s="33" t="s">
        <v>42</v>
      </c>
      <c r="F1731" s="18" t="s">
        <v>63</v>
      </c>
      <c r="G1731" s="18" t="s">
        <v>1562</v>
      </c>
      <c r="H1731" s="34" t="s">
        <v>85</v>
      </c>
      <c r="I1731" s="18" t="s">
        <v>104</v>
      </c>
      <c r="J1731" s="31" t="s">
        <v>105</v>
      </c>
      <c r="K1731" s="31"/>
      <c r="N1731" s="13" t="s">
        <v>29</v>
      </c>
      <c r="O1731" s="24" t="str">
        <f>IF(D1731="","",IF(COUNTIF(离职清单!C:C,D1731)&gt;0,"已离职","在职"))</f>
        <v>在职</v>
      </c>
      <c r="P1731" s="24" t="str">
        <f>IF(AND(O1731="在职",J1731="是"),COUNTIF(O$2:O1731,"在职"),"")</f>
        <v/>
      </c>
    </row>
    <row r="1732" ht="18" spans="1:16">
      <c r="A1732" s="10">
        <f t="shared" si="32"/>
        <v>1731</v>
      </c>
      <c r="B1732" s="31">
        <v>46184</v>
      </c>
      <c r="C1732" s="32" t="s">
        <v>1841</v>
      </c>
      <c r="D1732" s="120" t="s">
        <v>478</v>
      </c>
      <c r="E1732" s="33" t="s">
        <v>42</v>
      </c>
      <c r="F1732" s="18" t="s">
        <v>64</v>
      </c>
      <c r="G1732" s="18" t="s">
        <v>631</v>
      </c>
      <c r="H1732" s="34" t="s">
        <v>85</v>
      </c>
      <c r="I1732" s="18" t="s">
        <v>104</v>
      </c>
      <c r="J1732" s="31" t="s">
        <v>105</v>
      </c>
      <c r="K1732" s="31"/>
      <c r="N1732" s="13" t="s">
        <v>29</v>
      </c>
      <c r="O1732" s="24" t="str">
        <f>IF(D1732="","",IF(COUNTIF(离职清单!C:C,D1732)&gt;0,"已离职","在职"))</f>
        <v>在职</v>
      </c>
      <c r="P1732" s="24" t="str">
        <f>IF(AND(O1732="在职",J1732="是"),COUNTIF(O$2:O1732,"在职"),"")</f>
        <v/>
      </c>
    </row>
    <row r="1733" ht="18" spans="1:16">
      <c r="A1733" s="14">
        <f t="shared" si="32"/>
        <v>1732</v>
      </c>
      <c r="B1733" s="31">
        <v>46184</v>
      </c>
      <c r="C1733" s="32" t="s">
        <v>1842</v>
      </c>
      <c r="D1733" s="120" t="s">
        <v>480</v>
      </c>
      <c r="E1733" s="33" t="s">
        <v>42</v>
      </c>
      <c r="F1733" s="18" t="s">
        <v>63</v>
      </c>
      <c r="G1733" s="18" t="s">
        <v>468</v>
      </c>
      <c r="H1733" s="34" t="s">
        <v>85</v>
      </c>
      <c r="I1733" s="18" t="s">
        <v>104</v>
      </c>
      <c r="J1733" s="31" t="s">
        <v>114</v>
      </c>
      <c r="K1733" s="31"/>
      <c r="N1733" s="13" t="s">
        <v>29</v>
      </c>
      <c r="O1733" s="24" t="str">
        <f>IF(D1733="","",IF(COUNTIF(离职清单!C:C,D1733)&gt;0,"已离职","在职"))</f>
        <v>在职</v>
      </c>
      <c r="P1733" s="24">
        <f>IF(AND(O1733="在职",J1733="是"),COUNTIF(O$2:O1733,"在职"),"")</f>
        <v>1726</v>
      </c>
    </row>
    <row r="1734" ht="18" spans="1:16">
      <c r="A1734" s="10">
        <f t="shared" si="32"/>
        <v>1733</v>
      </c>
      <c r="B1734" s="31">
        <v>46184</v>
      </c>
      <c r="C1734" s="32" t="s">
        <v>1843</v>
      </c>
      <c r="D1734" s="120" t="s">
        <v>482</v>
      </c>
      <c r="E1734" s="33" t="s">
        <v>42</v>
      </c>
      <c r="F1734" s="18" t="s">
        <v>64</v>
      </c>
      <c r="G1734" s="18" t="s">
        <v>509</v>
      </c>
      <c r="H1734" s="34" t="s">
        <v>85</v>
      </c>
      <c r="I1734" s="18" t="s">
        <v>104</v>
      </c>
      <c r="J1734" s="31" t="s">
        <v>105</v>
      </c>
      <c r="K1734" s="31"/>
      <c r="N1734" s="13" t="s">
        <v>29</v>
      </c>
      <c r="O1734" s="24" t="str">
        <f>IF(D1734="","",IF(COUNTIF(离职清单!C:C,D1734)&gt;0,"已离职","在职"))</f>
        <v>在职</v>
      </c>
      <c r="P1734" s="24" t="str">
        <f>IF(AND(O1734="在职",J1734="是"),COUNTIF(O$2:O1734,"在职"),"")</f>
        <v/>
      </c>
    </row>
    <row r="1735" ht="18" spans="1:16">
      <c r="A1735" s="14">
        <f t="shared" si="32"/>
        <v>1734</v>
      </c>
      <c r="B1735" s="31">
        <v>46184</v>
      </c>
      <c r="C1735" s="32" t="s">
        <v>1844</v>
      </c>
      <c r="D1735" s="120" t="s">
        <v>484</v>
      </c>
      <c r="E1735" s="33" t="s">
        <v>42</v>
      </c>
      <c r="F1735" s="18" t="s">
        <v>63</v>
      </c>
      <c r="G1735" s="18" t="s">
        <v>148</v>
      </c>
      <c r="H1735" s="34" t="s">
        <v>85</v>
      </c>
      <c r="I1735" s="18" t="s">
        <v>104</v>
      </c>
      <c r="J1735" s="31" t="s">
        <v>114</v>
      </c>
      <c r="K1735" s="31">
        <v>46185</v>
      </c>
      <c r="N1735" s="13" t="s">
        <v>29</v>
      </c>
      <c r="O1735" s="24" t="str">
        <f>IF(D1735="","",IF(COUNTIF(离职清单!C:C,D1735)&gt;0,"已离职","在职"))</f>
        <v>在职</v>
      </c>
      <c r="P1735" s="24">
        <f>IF(AND(O1735="在职",J1735="是"),COUNTIF(O$2:O1735,"在职"),"")</f>
        <v>1728</v>
      </c>
    </row>
    <row r="1736" ht="18" spans="1:16">
      <c r="A1736" s="10">
        <f t="shared" si="32"/>
        <v>1735</v>
      </c>
      <c r="B1736" s="31">
        <v>46184</v>
      </c>
      <c r="C1736" s="32" t="s">
        <v>1845</v>
      </c>
      <c r="D1736" s="120" t="s">
        <v>486</v>
      </c>
      <c r="E1736" s="33" t="s">
        <v>42</v>
      </c>
      <c r="F1736" s="18" t="s">
        <v>64</v>
      </c>
      <c r="G1736" s="18" t="s">
        <v>148</v>
      </c>
      <c r="H1736" s="34" t="s">
        <v>85</v>
      </c>
      <c r="I1736" s="18" t="s">
        <v>104</v>
      </c>
      <c r="J1736" s="31" t="s">
        <v>105</v>
      </c>
      <c r="K1736" s="31"/>
      <c r="N1736" s="13" t="s">
        <v>29</v>
      </c>
      <c r="O1736" s="24" t="str">
        <f>IF(D1736="","",IF(COUNTIF(离职清单!C:C,D1736)&gt;0,"已离职","在职"))</f>
        <v>在职</v>
      </c>
      <c r="P1736" s="24" t="str">
        <f>IF(AND(O1736="在职",J1736="是"),COUNTIF(O$2:O1736,"在职"),"")</f>
        <v/>
      </c>
    </row>
    <row r="1737" ht="18" spans="1:16">
      <c r="A1737" s="14">
        <f t="shared" si="32"/>
        <v>1736</v>
      </c>
      <c r="B1737" s="31">
        <v>46184</v>
      </c>
      <c r="C1737" s="32" t="s">
        <v>1157</v>
      </c>
      <c r="D1737" s="120" t="s">
        <v>488</v>
      </c>
      <c r="E1737" s="33" t="s">
        <v>42</v>
      </c>
      <c r="F1737" s="18" t="s">
        <v>63</v>
      </c>
      <c r="G1737" s="18" t="s">
        <v>148</v>
      </c>
      <c r="H1737" s="34" t="s">
        <v>85</v>
      </c>
      <c r="I1737" s="18" t="s">
        <v>104</v>
      </c>
      <c r="J1737" s="31" t="s">
        <v>114</v>
      </c>
      <c r="K1737" s="31">
        <v>46185</v>
      </c>
      <c r="N1737" s="13" t="s">
        <v>29</v>
      </c>
      <c r="O1737" s="24" t="str">
        <f>IF(D1737="","",IF(COUNTIF(离职清单!C:C,D1737)&gt;0,"已离职","在职"))</f>
        <v>在职</v>
      </c>
      <c r="P1737" s="24">
        <f>IF(AND(O1737="在职",J1737="是"),COUNTIF(O$2:O1737,"在职"),"")</f>
        <v>1730</v>
      </c>
    </row>
    <row r="1738" ht="18" spans="1:16">
      <c r="A1738" s="10">
        <f t="shared" si="32"/>
        <v>1737</v>
      </c>
      <c r="B1738" s="31">
        <v>46184</v>
      </c>
      <c r="C1738" s="32" t="s">
        <v>1846</v>
      </c>
      <c r="D1738" s="120" t="s">
        <v>490</v>
      </c>
      <c r="E1738" s="33" t="s">
        <v>42</v>
      </c>
      <c r="F1738" s="18" t="s">
        <v>64</v>
      </c>
      <c r="G1738" s="18" t="s">
        <v>148</v>
      </c>
      <c r="H1738" s="34" t="s">
        <v>85</v>
      </c>
      <c r="I1738" s="18" t="s">
        <v>104</v>
      </c>
      <c r="J1738" s="31" t="s">
        <v>105</v>
      </c>
      <c r="K1738" s="31"/>
      <c r="N1738" s="13" t="s">
        <v>29</v>
      </c>
      <c r="O1738" s="24" t="str">
        <f>IF(D1738="","",IF(COUNTIF(离职清单!C:C,D1738)&gt;0,"已离职","在职"))</f>
        <v>在职</v>
      </c>
      <c r="P1738" s="24" t="str">
        <f>IF(AND(O1738="在职",J1738="是"),COUNTIF(O$2:O1738,"在职"),"")</f>
        <v/>
      </c>
    </row>
    <row r="1739" ht="18" spans="1:16">
      <c r="A1739" s="14">
        <f t="shared" si="32"/>
        <v>1738</v>
      </c>
      <c r="B1739" s="31">
        <v>46184</v>
      </c>
      <c r="C1739" s="32" t="s">
        <v>1847</v>
      </c>
      <c r="D1739" s="120" t="s">
        <v>492</v>
      </c>
      <c r="E1739" s="33" t="s">
        <v>42</v>
      </c>
      <c r="F1739" s="18" t="s">
        <v>64</v>
      </c>
      <c r="G1739" s="18" t="s">
        <v>148</v>
      </c>
      <c r="H1739" s="34" t="s">
        <v>85</v>
      </c>
      <c r="I1739" s="18" t="s">
        <v>104</v>
      </c>
      <c r="J1739" s="31" t="s">
        <v>105</v>
      </c>
      <c r="K1739" s="31"/>
      <c r="N1739" s="13" t="s">
        <v>29</v>
      </c>
      <c r="O1739" s="24" t="str">
        <f>IF(D1739="","",IF(COUNTIF(离职清单!C:C,D1739)&gt;0,"已离职","在职"))</f>
        <v>在职</v>
      </c>
      <c r="P1739" s="24" t="str">
        <f>IF(AND(O1739="在职",J1739="是"),COUNTIF(O$2:O1739,"在职"),"")</f>
        <v/>
      </c>
    </row>
    <row r="1740" ht="18" spans="1:16">
      <c r="A1740" s="10">
        <f t="shared" si="32"/>
        <v>1739</v>
      </c>
      <c r="B1740" s="31">
        <v>46184</v>
      </c>
      <c r="C1740" s="32" t="s">
        <v>1758</v>
      </c>
      <c r="D1740" s="120" t="s">
        <v>477</v>
      </c>
      <c r="E1740" s="33" t="s">
        <v>42</v>
      </c>
      <c r="F1740" s="18" t="s">
        <v>64</v>
      </c>
      <c r="G1740" s="18" t="s">
        <v>1166</v>
      </c>
      <c r="H1740" s="34" t="s">
        <v>85</v>
      </c>
      <c r="I1740" s="18" t="s">
        <v>104</v>
      </c>
      <c r="J1740" s="31" t="s">
        <v>105</v>
      </c>
      <c r="K1740" s="31"/>
      <c r="N1740" s="13" t="s">
        <v>29</v>
      </c>
      <c r="O1740" s="24" t="str">
        <f>IF(D1740="","",IF(COUNTIF(离职清单!C:C,D1740)&gt;0,"已离职","在职"))</f>
        <v>在职</v>
      </c>
      <c r="P1740" s="24" t="str">
        <f>IF(AND(O1740="在职",J1740="是"),COUNTIF(O$2:O1740,"在职"),"")</f>
        <v/>
      </c>
    </row>
    <row r="1741" ht="18" spans="1:16">
      <c r="A1741" s="14">
        <f t="shared" si="32"/>
        <v>1740</v>
      </c>
      <c r="B1741" s="31">
        <v>46184</v>
      </c>
      <c r="C1741" s="32" t="s">
        <v>1759</v>
      </c>
      <c r="D1741" s="120" t="s">
        <v>478</v>
      </c>
      <c r="E1741" s="33" t="s">
        <v>42</v>
      </c>
      <c r="F1741" s="18" t="s">
        <v>63</v>
      </c>
      <c r="G1741" s="18" t="s">
        <v>1166</v>
      </c>
      <c r="H1741" s="34" t="s">
        <v>85</v>
      </c>
      <c r="I1741" s="18" t="s">
        <v>104</v>
      </c>
      <c r="J1741" s="31" t="s">
        <v>114</v>
      </c>
      <c r="K1741" s="31">
        <v>46186</v>
      </c>
      <c r="N1741" s="13" t="s">
        <v>29</v>
      </c>
      <c r="O1741" s="24" t="str">
        <f>IF(D1741="","",IF(COUNTIF(离职清单!C:C,D1741)&gt;0,"已离职","在职"))</f>
        <v>在职</v>
      </c>
      <c r="P1741" s="24">
        <f>IF(AND(O1741="在职",J1741="是"),COUNTIF(O$2:O1741,"在职"),"")</f>
        <v>1734</v>
      </c>
    </row>
    <row r="1742" ht="18" spans="1:16">
      <c r="A1742" s="10">
        <f t="shared" si="32"/>
        <v>1741</v>
      </c>
      <c r="B1742" s="31">
        <v>46184</v>
      </c>
      <c r="C1742" s="32" t="s">
        <v>1760</v>
      </c>
      <c r="D1742" s="120" t="s">
        <v>480</v>
      </c>
      <c r="E1742" s="33" t="s">
        <v>42</v>
      </c>
      <c r="F1742" s="18" t="s">
        <v>62</v>
      </c>
      <c r="G1742" s="18" t="s">
        <v>1166</v>
      </c>
      <c r="H1742" s="34" t="s">
        <v>85</v>
      </c>
      <c r="I1742" s="18" t="s">
        <v>104</v>
      </c>
      <c r="J1742" s="31" t="s">
        <v>114</v>
      </c>
      <c r="K1742" s="31">
        <v>46186</v>
      </c>
      <c r="N1742" s="13" t="s">
        <v>29</v>
      </c>
      <c r="O1742" s="24" t="str">
        <f>IF(D1742="","",IF(COUNTIF(离职清单!C:C,D1742)&gt;0,"已离职","在职"))</f>
        <v>在职</v>
      </c>
      <c r="P1742" s="24">
        <f>IF(AND(O1742="在职",J1742="是"),COUNTIF(O$2:O1742,"在职"),"")</f>
        <v>1735</v>
      </c>
    </row>
    <row r="1743" ht="18" spans="1:16">
      <c r="A1743" s="14">
        <f t="shared" si="32"/>
        <v>1742</v>
      </c>
      <c r="B1743" s="31">
        <v>46184</v>
      </c>
      <c r="C1743" s="32" t="s">
        <v>1761</v>
      </c>
      <c r="D1743" s="120" t="s">
        <v>482</v>
      </c>
      <c r="E1743" s="33" t="s">
        <v>42</v>
      </c>
      <c r="F1743" s="18" t="s">
        <v>62</v>
      </c>
      <c r="G1743" s="18" t="s">
        <v>1166</v>
      </c>
      <c r="H1743" s="34" t="s">
        <v>85</v>
      </c>
      <c r="I1743" s="18" t="s">
        <v>104</v>
      </c>
      <c r="J1743" s="31" t="s">
        <v>114</v>
      </c>
      <c r="K1743" s="31">
        <v>46186</v>
      </c>
      <c r="N1743" s="13" t="s">
        <v>29</v>
      </c>
      <c r="O1743" s="24" t="str">
        <f>IF(D1743="","",IF(COUNTIF(离职清单!C:C,D1743)&gt;0,"已离职","在职"))</f>
        <v>在职</v>
      </c>
      <c r="P1743" s="24">
        <f>IF(AND(O1743="在职",J1743="是"),COUNTIF(O$2:O1743,"在职"),"")</f>
        <v>1736</v>
      </c>
    </row>
    <row r="1744" ht="18" spans="1:16">
      <c r="A1744" s="10">
        <f t="shared" si="32"/>
        <v>1743</v>
      </c>
      <c r="B1744" s="31">
        <v>46184</v>
      </c>
      <c r="C1744" s="32" t="s">
        <v>1762</v>
      </c>
      <c r="D1744" s="120" t="s">
        <v>484</v>
      </c>
      <c r="E1744" s="33" t="s">
        <v>42</v>
      </c>
      <c r="F1744" s="18" t="s">
        <v>62</v>
      </c>
      <c r="G1744" s="18" t="s">
        <v>1166</v>
      </c>
      <c r="H1744" s="34" t="s">
        <v>85</v>
      </c>
      <c r="I1744" s="18" t="s">
        <v>104</v>
      </c>
      <c r="J1744" s="31" t="s">
        <v>114</v>
      </c>
      <c r="K1744" s="31"/>
      <c r="N1744" s="13" t="s">
        <v>29</v>
      </c>
      <c r="O1744" s="24" t="str">
        <f>IF(D1744="","",IF(COUNTIF(离职清单!C:C,D1744)&gt;0,"已离职","在职"))</f>
        <v>在职</v>
      </c>
      <c r="P1744" s="24">
        <f>IF(AND(O1744="在职",J1744="是"),COUNTIF(O$2:O1744,"在职"),"")</f>
        <v>1737</v>
      </c>
    </row>
    <row r="1745" ht="18" spans="1:16">
      <c r="A1745" s="14">
        <f t="shared" si="32"/>
        <v>1744</v>
      </c>
      <c r="B1745" s="31">
        <v>46184</v>
      </c>
      <c r="C1745" s="32" t="s">
        <v>1848</v>
      </c>
      <c r="D1745" s="120" t="s">
        <v>486</v>
      </c>
      <c r="E1745" s="33" t="s">
        <v>42</v>
      </c>
      <c r="F1745" s="18" t="s">
        <v>62</v>
      </c>
      <c r="G1745" s="18" t="s">
        <v>1166</v>
      </c>
      <c r="H1745" s="34" t="s">
        <v>85</v>
      </c>
      <c r="I1745" s="18" t="s">
        <v>104</v>
      </c>
      <c r="J1745" s="31" t="s">
        <v>105</v>
      </c>
      <c r="K1745" s="31"/>
      <c r="N1745" s="13" t="s">
        <v>29</v>
      </c>
      <c r="O1745" s="24" t="str">
        <f>IF(D1745="","",IF(COUNTIF(离职清单!C:C,D1745)&gt;0,"已离职","在职"))</f>
        <v>在职</v>
      </c>
      <c r="P1745" s="24" t="str">
        <f>IF(AND(O1745="在职",J1745="是"),COUNTIF(O$2:O1745,"在职"),"")</f>
        <v/>
      </c>
    </row>
    <row r="1746" ht="18" spans="1:16">
      <c r="A1746" s="10">
        <f t="shared" si="32"/>
        <v>1745</v>
      </c>
      <c r="B1746" s="31">
        <v>46184</v>
      </c>
      <c r="C1746" s="32" t="s">
        <v>1849</v>
      </c>
      <c r="D1746" s="120" t="s">
        <v>488</v>
      </c>
      <c r="E1746" s="33" t="s">
        <v>42</v>
      </c>
      <c r="F1746" s="18" t="s">
        <v>64</v>
      </c>
      <c r="G1746" s="18" t="s">
        <v>117</v>
      </c>
      <c r="H1746" s="34" t="s">
        <v>85</v>
      </c>
      <c r="I1746" s="18" t="s">
        <v>104</v>
      </c>
      <c r="J1746" s="31" t="s">
        <v>105</v>
      </c>
      <c r="K1746" s="31"/>
      <c r="N1746" s="13" t="s">
        <v>29</v>
      </c>
      <c r="O1746" s="24" t="str">
        <f>IF(D1746="","",IF(COUNTIF(离职清单!C:C,D1746)&gt;0,"已离职","在职"))</f>
        <v>在职</v>
      </c>
      <c r="P1746" s="24" t="str">
        <f>IF(AND(O1746="在职",J1746="是"),COUNTIF(O$2:O1746,"在职"),"")</f>
        <v/>
      </c>
    </row>
    <row r="1747" ht="18" spans="1:16">
      <c r="A1747" s="14">
        <f t="shared" si="32"/>
        <v>1746</v>
      </c>
      <c r="B1747" s="31">
        <v>46184</v>
      </c>
      <c r="C1747" s="32" t="s">
        <v>1850</v>
      </c>
      <c r="D1747" s="120" t="s">
        <v>490</v>
      </c>
      <c r="E1747" s="33" t="s">
        <v>42</v>
      </c>
      <c r="F1747" s="18" t="s">
        <v>63</v>
      </c>
      <c r="G1747" s="18" t="s">
        <v>117</v>
      </c>
      <c r="H1747" s="34" t="s">
        <v>85</v>
      </c>
      <c r="I1747" s="18" t="s">
        <v>104</v>
      </c>
      <c r="J1747" s="31" t="s">
        <v>114</v>
      </c>
      <c r="K1747" s="31">
        <v>46187</v>
      </c>
      <c r="N1747" s="13" t="s">
        <v>29</v>
      </c>
      <c r="O1747" s="24" t="str">
        <f>IF(D1747="","",IF(COUNTIF(离职清单!C:C,D1747)&gt;0,"已离职","在职"))</f>
        <v>在职</v>
      </c>
      <c r="P1747" s="24">
        <f>IF(AND(O1747="在职",J1747="是"),COUNTIF(O$2:O1747,"在职"),"")</f>
        <v>1740</v>
      </c>
    </row>
    <row r="1748" ht="18" spans="1:16">
      <c r="A1748" s="10">
        <f t="shared" si="32"/>
        <v>1747</v>
      </c>
      <c r="B1748" s="31">
        <v>46184</v>
      </c>
      <c r="C1748" s="32" t="s">
        <v>1851</v>
      </c>
      <c r="D1748" s="120" t="s">
        <v>492</v>
      </c>
      <c r="E1748" s="33" t="s">
        <v>42</v>
      </c>
      <c r="F1748" s="18" t="s">
        <v>64</v>
      </c>
      <c r="G1748" s="18" t="s">
        <v>744</v>
      </c>
      <c r="H1748" s="34" t="s">
        <v>85</v>
      </c>
      <c r="I1748" s="18" t="s">
        <v>104</v>
      </c>
      <c r="J1748" s="31" t="s">
        <v>105</v>
      </c>
      <c r="K1748" s="31"/>
      <c r="N1748" s="13" t="s">
        <v>29</v>
      </c>
      <c r="O1748" s="24" t="str">
        <f>IF(D1748="","",IF(COUNTIF(离职清单!C:C,D1748)&gt;0,"已离职","在职"))</f>
        <v>在职</v>
      </c>
      <c r="P1748" s="24" t="str">
        <f>IF(AND(O1748="在职",J1748="是"),COUNTIF(O$2:O1748,"在职"),"")</f>
        <v/>
      </c>
    </row>
    <row r="1749" ht="18" spans="1:16">
      <c r="A1749" s="14">
        <f t="shared" si="32"/>
        <v>1748</v>
      </c>
      <c r="B1749" s="31">
        <v>46184</v>
      </c>
      <c r="C1749" s="32" t="s">
        <v>1002</v>
      </c>
      <c r="D1749" s="120" t="s">
        <v>477</v>
      </c>
      <c r="E1749" s="33" t="s">
        <v>42</v>
      </c>
      <c r="F1749" s="18" t="s">
        <v>64</v>
      </c>
      <c r="G1749" s="18" t="s">
        <v>129</v>
      </c>
      <c r="H1749" s="34" t="s">
        <v>85</v>
      </c>
      <c r="I1749" s="18" t="s">
        <v>104</v>
      </c>
      <c r="J1749" s="31" t="s">
        <v>105</v>
      </c>
      <c r="K1749" s="31"/>
      <c r="N1749" s="13" t="s">
        <v>29</v>
      </c>
      <c r="O1749" s="24" t="str">
        <f>IF(D1749="","",IF(COUNTIF(离职清单!C:C,D1749)&gt;0,"已离职","在职"))</f>
        <v>在职</v>
      </c>
      <c r="P1749" s="24" t="str">
        <f>IF(AND(O1749="在职",J1749="是"),COUNTIF(O$2:O1749,"在职"),"")</f>
        <v/>
      </c>
    </row>
    <row r="1750" ht="18" spans="1:16">
      <c r="A1750" s="10">
        <f t="shared" si="32"/>
        <v>1749</v>
      </c>
      <c r="B1750" s="31">
        <v>46184</v>
      </c>
      <c r="C1750" s="32" t="s">
        <v>1003</v>
      </c>
      <c r="D1750" s="120" t="s">
        <v>478</v>
      </c>
      <c r="E1750" s="33" t="s">
        <v>42</v>
      </c>
      <c r="F1750" s="18" t="s">
        <v>64</v>
      </c>
      <c r="G1750" s="18" t="s">
        <v>129</v>
      </c>
      <c r="H1750" s="34" t="s">
        <v>85</v>
      </c>
      <c r="I1750" s="18" t="s">
        <v>104</v>
      </c>
      <c r="J1750" s="31" t="s">
        <v>114</v>
      </c>
      <c r="K1750" s="31"/>
      <c r="N1750" s="13" t="s">
        <v>29</v>
      </c>
      <c r="O1750" s="24" t="str">
        <f>IF(D1750="","",IF(COUNTIF(离职清单!C:C,D1750)&gt;0,"已离职","在职"))</f>
        <v>在职</v>
      </c>
      <c r="P1750" s="24">
        <f>IF(AND(O1750="在职",J1750="是"),COUNTIF(O$2:O1750,"在职"),"")</f>
        <v>1743</v>
      </c>
    </row>
    <row r="1751" ht="18" spans="1:16">
      <c r="A1751" s="14">
        <f t="shared" si="32"/>
        <v>1750</v>
      </c>
      <c r="B1751" s="31">
        <v>46184</v>
      </c>
      <c r="C1751" s="32" t="s">
        <v>1852</v>
      </c>
      <c r="D1751" s="120" t="s">
        <v>480</v>
      </c>
      <c r="E1751" s="33" t="s">
        <v>42</v>
      </c>
      <c r="F1751" s="18" t="s">
        <v>64</v>
      </c>
      <c r="G1751" s="18" t="s">
        <v>129</v>
      </c>
      <c r="H1751" s="34" t="s">
        <v>85</v>
      </c>
      <c r="I1751" s="18" t="s">
        <v>104</v>
      </c>
      <c r="J1751" s="31" t="s">
        <v>105</v>
      </c>
      <c r="K1751" s="31"/>
      <c r="N1751" s="13" t="s">
        <v>29</v>
      </c>
      <c r="O1751" s="24" t="str">
        <f>IF(D1751="","",IF(COUNTIF(离职清单!C:C,D1751)&gt;0,"已离职","在职"))</f>
        <v>在职</v>
      </c>
      <c r="P1751" s="24" t="str">
        <f>IF(AND(O1751="在职",J1751="是"),COUNTIF(O$2:O1751,"在职"),"")</f>
        <v/>
      </c>
    </row>
    <row r="1752" ht="18" spans="1:16">
      <c r="A1752" s="10">
        <f t="shared" si="32"/>
        <v>1751</v>
      </c>
      <c r="B1752" s="31">
        <v>46184</v>
      </c>
      <c r="C1752" s="32" t="s">
        <v>1853</v>
      </c>
      <c r="D1752" s="120" t="s">
        <v>482</v>
      </c>
      <c r="E1752" s="33" t="s">
        <v>42</v>
      </c>
      <c r="F1752" s="18" t="s">
        <v>63</v>
      </c>
      <c r="G1752" s="18" t="s">
        <v>176</v>
      </c>
      <c r="H1752" s="34" t="s">
        <v>85</v>
      </c>
      <c r="I1752" s="18" t="s">
        <v>104</v>
      </c>
      <c r="J1752" s="31" t="s">
        <v>114</v>
      </c>
      <c r="K1752" s="31">
        <v>46186</v>
      </c>
      <c r="N1752" s="13" t="s">
        <v>29</v>
      </c>
      <c r="O1752" s="24" t="str">
        <f>IF(D1752="","",IF(COUNTIF(离职清单!C:C,D1752)&gt;0,"已离职","在职"))</f>
        <v>在职</v>
      </c>
      <c r="P1752" s="24">
        <f>IF(AND(O1752="在职",J1752="是"),COUNTIF(O$2:O1752,"在职"),"")</f>
        <v>1745</v>
      </c>
    </row>
    <row r="1753" ht="18" spans="1:16">
      <c r="A1753" s="14">
        <f t="shared" si="32"/>
        <v>1752</v>
      </c>
      <c r="B1753" s="31">
        <v>46184</v>
      </c>
      <c r="C1753" s="32" t="s">
        <v>1023</v>
      </c>
      <c r="D1753" s="120" t="s">
        <v>484</v>
      </c>
      <c r="E1753" s="33" t="s">
        <v>42</v>
      </c>
      <c r="F1753" s="18" t="s">
        <v>64</v>
      </c>
      <c r="G1753" s="18" t="s">
        <v>631</v>
      </c>
      <c r="H1753" s="34" t="s">
        <v>85</v>
      </c>
      <c r="I1753" s="18" t="s">
        <v>104</v>
      </c>
      <c r="J1753" s="31" t="s">
        <v>114</v>
      </c>
      <c r="K1753" s="31"/>
      <c r="N1753" s="13" t="s">
        <v>29</v>
      </c>
      <c r="O1753" s="24" t="str">
        <f>IF(D1753="","",IF(COUNTIF(离职清单!C:C,D1753)&gt;0,"已离职","在职"))</f>
        <v>在职</v>
      </c>
      <c r="P1753" s="24">
        <f>IF(AND(O1753="在职",J1753="是"),COUNTIF(O$2:O1753,"在职"),"")</f>
        <v>1746</v>
      </c>
    </row>
    <row r="1754" ht="18" spans="1:16">
      <c r="A1754" s="10">
        <f t="shared" si="32"/>
        <v>1753</v>
      </c>
      <c r="B1754" s="31">
        <v>46184</v>
      </c>
      <c r="C1754" s="32" t="s">
        <v>1854</v>
      </c>
      <c r="D1754" s="120" t="s">
        <v>486</v>
      </c>
      <c r="E1754" s="33" t="s">
        <v>42</v>
      </c>
      <c r="F1754" s="18" t="s">
        <v>64</v>
      </c>
      <c r="G1754" s="18" t="s">
        <v>631</v>
      </c>
      <c r="H1754" s="34" t="s">
        <v>85</v>
      </c>
      <c r="I1754" s="18" t="s">
        <v>104</v>
      </c>
      <c r="J1754" s="31" t="s">
        <v>105</v>
      </c>
      <c r="K1754" s="31"/>
      <c r="N1754" s="13" t="s">
        <v>29</v>
      </c>
      <c r="O1754" s="24" t="str">
        <f>IF(D1754="","",IF(COUNTIF(离职清单!C:C,D1754)&gt;0,"已离职","在职"))</f>
        <v>在职</v>
      </c>
      <c r="P1754" s="24" t="str">
        <f>IF(AND(O1754="在职",J1754="是"),COUNTIF(O$2:O1754,"在职"),"")</f>
        <v/>
      </c>
    </row>
    <row r="1755" ht="18" spans="1:16">
      <c r="A1755" s="14">
        <f t="shared" si="32"/>
        <v>1754</v>
      </c>
      <c r="B1755" s="31">
        <v>46184</v>
      </c>
      <c r="C1755" s="32" t="s">
        <v>1855</v>
      </c>
      <c r="D1755" s="120" t="s">
        <v>488</v>
      </c>
      <c r="E1755" s="33" t="s">
        <v>42</v>
      </c>
      <c r="F1755" s="18" t="s">
        <v>63</v>
      </c>
      <c r="G1755" s="18" t="s">
        <v>307</v>
      </c>
      <c r="H1755" s="34" t="s">
        <v>85</v>
      </c>
      <c r="I1755" s="18" t="s">
        <v>104</v>
      </c>
      <c r="J1755" s="31" t="s">
        <v>105</v>
      </c>
      <c r="K1755" s="31"/>
      <c r="N1755" s="13" t="s">
        <v>29</v>
      </c>
      <c r="O1755" s="24" t="str">
        <f>IF(D1755="","",IF(COUNTIF(离职清单!C:C,D1755)&gt;0,"已离职","在职"))</f>
        <v>在职</v>
      </c>
      <c r="P1755" s="24" t="str">
        <f>IF(AND(O1755="在职",J1755="是"),COUNTIF(O$2:O1755,"在职"),"")</f>
        <v/>
      </c>
    </row>
    <row r="1756" ht="18" spans="1:16">
      <c r="A1756" s="10">
        <f t="shared" si="32"/>
        <v>1755</v>
      </c>
      <c r="B1756" s="31">
        <v>46184</v>
      </c>
      <c r="C1756" s="32" t="s">
        <v>1856</v>
      </c>
      <c r="D1756" s="120" t="s">
        <v>490</v>
      </c>
      <c r="E1756" s="33" t="s">
        <v>42</v>
      </c>
      <c r="F1756" s="18" t="s">
        <v>62</v>
      </c>
      <c r="G1756" s="18" t="s">
        <v>733</v>
      </c>
      <c r="H1756" s="34" t="s">
        <v>85</v>
      </c>
      <c r="I1756" s="18" t="s">
        <v>104</v>
      </c>
      <c r="J1756" s="31" t="s">
        <v>114</v>
      </c>
      <c r="K1756" s="31">
        <v>46186</v>
      </c>
      <c r="N1756" s="13" t="s">
        <v>29</v>
      </c>
      <c r="O1756" s="24" t="str">
        <f>IF(D1756="","",IF(COUNTIF(离职清单!C:C,D1756)&gt;0,"已离职","在职"))</f>
        <v>在职</v>
      </c>
      <c r="P1756" s="24">
        <f>IF(AND(O1756="在职",J1756="是"),COUNTIF(O$2:O1756,"在职"),"")</f>
        <v>1749</v>
      </c>
    </row>
    <row r="1757" ht="18" spans="1:16">
      <c r="A1757" s="14">
        <f t="shared" si="32"/>
        <v>1756</v>
      </c>
      <c r="B1757" s="31">
        <v>46184</v>
      </c>
      <c r="C1757" s="32" t="s">
        <v>1857</v>
      </c>
      <c r="D1757" s="120" t="s">
        <v>492</v>
      </c>
      <c r="E1757" s="33" t="s">
        <v>42</v>
      </c>
      <c r="F1757" s="18" t="s">
        <v>62</v>
      </c>
      <c r="G1757" s="18" t="s">
        <v>173</v>
      </c>
      <c r="H1757" s="34" t="s">
        <v>85</v>
      </c>
      <c r="I1757" s="18" t="s">
        <v>104</v>
      </c>
      <c r="J1757" s="31" t="s">
        <v>114</v>
      </c>
      <c r="K1757" s="31">
        <v>46185</v>
      </c>
      <c r="N1757" s="13" t="s">
        <v>29</v>
      </c>
      <c r="O1757" s="24" t="str">
        <f>IF(D1757="","",IF(COUNTIF(离职清单!C:C,D1757)&gt;0,"已离职","在职"))</f>
        <v>在职</v>
      </c>
      <c r="P1757" s="24">
        <f>IF(AND(O1757="在职",J1757="是"),COUNTIF(O$2:O1757,"在职"),"")</f>
        <v>1750</v>
      </c>
    </row>
    <row r="1758" ht="18" spans="1:16">
      <c r="A1758" s="10">
        <f t="shared" si="32"/>
        <v>1757</v>
      </c>
      <c r="B1758" s="31">
        <v>46184</v>
      </c>
      <c r="C1758" s="32" t="s">
        <v>1858</v>
      </c>
      <c r="D1758" s="120" t="s">
        <v>477</v>
      </c>
      <c r="E1758" s="33" t="s">
        <v>42</v>
      </c>
      <c r="F1758" s="18" t="s">
        <v>64</v>
      </c>
      <c r="G1758" s="18" t="s">
        <v>173</v>
      </c>
      <c r="H1758" s="34" t="s">
        <v>85</v>
      </c>
      <c r="I1758" s="18" t="s">
        <v>104</v>
      </c>
      <c r="J1758" s="31" t="s">
        <v>105</v>
      </c>
      <c r="K1758" s="31"/>
      <c r="N1758" s="13" t="s">
        <v>29</v>
      </c>
      <c r="O1758" s="24" t="str">
        <f>IF(D1758="","",IF(COUNTIF(离职清单!C:C,D1758)&gt;0,"已离职","在职"))</f>
        <v>在职</v>
      </c>
      <c r="P1758" s="24" t="str">
        <f>IF(AND(O1758="在职",J1758="是"),COUNTIF(O$2:O1758,"在职"),"")</f>
        <v/>
      </c>
    </row>
    <row r="1759" ht="18" spans="1:16">
      <c r="A1759" s="14">
        <f t="shared" si="32"/>
        <v>1758</v>
      </c>
      <c r="B1759" s="31">
        <v>46184</v>
      </c>
      <c r="C1759" s="32" t="s">
        <v>1329</v>
      </c>
      <c r="D1759" s="120" t="s">
        <v>478</v>
      </c>
      <c r="E1759" s="33" t="s">
        <v>42</v>
      </c>
      <c r="F1759" s="18" t="s">
        <v>62</v>
      </c>
      <c r="G1759" s="18" t="s">
        <v>173</v>
      </c>
      <c r="H1759" s="34" t="s">
        <v>85</v>
      </c>
      <c r="I1759" s="18" t="s">
        <v>104</v>
      </c>
      <c r="J1759" s="31" t="s">
        <v>105</v>
      </c>
      <c r="K1759" s="31">
        <v>46185</v>
      </c>
      <c r="N1759" s="13" t="s">
        <v>29</v>
      </c>
      <c r="O1759" s="24" t="str">
        <f>IF(D1759="","",IF(COUNTIF(离职清单!C:C,D1759)&gt;0,"已离职","在职"))</f>
        <v>在职</v>
      </c>
      <c r="P1759" s="24" t="str">
        <f>IF(AND(O1759="在职",J1759="是"),COUNTIF(O$2:O1759,"在职"),"")</f>
        <v/>
      </c>
    </row>
    <row r="1760" ht="18" spans="1:16">
      <c r="A1760" s="10">
        <f t="shared" si="32"/>
        <v>1759</v>
      </c>
      <c r="B1760" s="31">
        <v>46184</v>
      </c>
      <c r="C1760" s="32" t="s">
        <v>1859</v>
      </c>
      <c r="D1760" s="120" t="s">
        <v>480</v>
      </c>
      <c r="E1760" s="33" t="s">
        <v>42</v>
      </c>
      <c r="F1760" s="18" t="s">
        <v>63</v>
      </c>
      <c r="G1760" s="18" t="s">
        <v>173</v>
      </c>
      <c r="H1760" s="34" t="s">
        <v>85</v>
      </c>
      <c r="I1760" s="18" t="s">
        <v>104</v>
      </c>
      <c r="J1760" s="31" t="s">
        <v>114</v>
      </c>
      <c r="K1760" s="31">
        <v>46186</v>
      </c>
      <c r="N1760" s="13" t="s">
        <v>29</v>
      </c>
      <c r="O1760" s="24" t="str">
        <f>IF(D1760="","",IF(COUNTIF(离职清单!C:C,D1760)&gt;0,"已离职","在职"))</f>
        <v>在职</v>
      </c>
      <c r="P1760" s="24">
        <f>IF(AND(O1760="在职",J1760="是"),COUNTIF(O$2:O1760,"在职"),"")</f>
        <v>1753</v>
      </c>
    </row>
    <row r="1761" ht="18" spans="1:16">
      <c r="A1761" s="14">
        <f t="shared" si="32"/>
        <v>1760</v>
      </c>
      <c r="B1761" s="31">
        <v>46184</v>
      </c>
      <c r="C1761" s="32" t="s">
        <v>972</v>
      </c>
      <c r="D1761" s="120" t="s">
        <v>482</v>
      </c>
      <c r="E1761" s="33" t="s">
        <v>42</v>
      </c>
      <c r="F1761" s="18" t="s">
        <v>64</v>
      </c>
      <c r="G1761" s="18" t="s">
        <v>332</v>
      </c>
      <c r="H1761" s="34" t="s">
        <v>85</v>
      </c>
      <c r="I1761" s="18" t="s">
        <v>104</v>
      </c>
      <c r="J1761" s="31" t="s">
        <v>105</v>
      </c>
      <c r="K1761" s="31"/>
      <c r="N1761" s="13" t="s">
        <v>29</v>
      </c>
      <c r="O1761" s="24" t="str">
        <f>IF(D1761="","",IF(COUNTIF(离职清单!C:C,D1761)&gt;0,"已离职","在职"))</f>
        <v>在职</v>
      </c>
      <c r="P1761" s="24" t="str">
        <f>IF(AND(O1761="在职",J1761="是"),COUNTIF(O$2:O1761,"在职"),"")</f>
        <v/>
      </c>
    </row>
    <row r="1762" ht="18" spans="1:16">
      <c r="A1762" s="10">
        <f t="shared" si="32"/>
        <v>1761</v>
      </c>
      <c r="B1762" s="31">
        <v>46184</v>
      </c>
      <c r="C1762" s="32" t="s">
        <v>1089</v>
      </c>
      <c r="D1762" s="120" t="s">
        <v>484</v>
      </c>
      <c r="E1762" s="33" t="s">
        <v>42</v>
      </c>
      <c r="F1762" s="18" t="s">
        <v>64</v>
      </c>
      <c r="G1762" s="18" t="s">
        <v>578</v>
      </c>
      <c r="H1762" s="34" t="s">
        <v>85</v>
      </c>
      <c r="I1762" s="18" t="s">
        <v>104</v>
      </c>
      <c r="J1762" s="31" t="s">
        <v>105</v>
      </c>
      <c r="K1762" s="31"/>
      <c r="N1762" s="13" t="s">
        <v>29</v>
      </c>
      <c r="O1762" s="24" t="str">
        <f>IF(D1762="","",IF(COUNTIF(离职清单!C:C,D1762)&gt;0,"已离职","在职"))</f>
        <v>在职</v>
      </c>
      <c r="P1762" s="24" t="str">
        <f>IF(AND(O1762="在职",J1762="是"),COUNTIF(O$2:O1762,"在职"),"")</f>
        <v/>
      </c>
    </row>
    <row r="1763" ht="18" spans="1:16">
      <c r="A1763" s="14">
        <f t="shared" si="32"/>
        <v>1762</v>
      </c>
      <c r="B1763" s="31">
        <v>46184</v>
      </c>
      <c r="C1763" s="32" t="s">
        <v>1860</v>
      </c>
      <c r="D1763" s="120" t="s">
        <v>486</v>
      </c>
      <c r="E1763" s="33" t="s">
        <v>42</v>
      </c>
      <c r="F1763" s="18" t="s">
        <v>64</v>
      </c>
      <c r="G1763" s="18" t="s">
        <v>578</v>
      </c>
      <c r="H1763" s="34" t="s">
        <v>85</v>
      </c>
      <c r="I1763" s="18" t="s">
        <v>104</v>
      </c>
      <c r="J1763" s="31" t="s">
        <v>105</v>
      </c>
      <c r="K1763" s="31"/>
      <c r="N1763" s="13" t="s">
        <v>29</v>
      </c>
      <c r="O1763" s="24" t="str">
        <f>IF(D1763="","",IF(COUNTIF(离职清单!C:C,D1763)&gt;0,"已离职","在职"))</f>
        <v>在职</v>
      </c>
      <c r="P1763" s="24" t="str">
        <f>IF(AND(O1763="在职",J1763="是"),COUNTIF(O$2:O1763,"在职"),"")</f>
        <v/>
      </c>
    </row>
    <row r="1764" ht="18" spans="1:16">
      <c r="A1764" s="10">
        <f t="shared" si="32"/>
        <v>1763</v>
      </c>
      <c r="B1764" s="31">
        <v>46184</v>
      </c>
      <c r="C1764" s="32" t="s">
        <v>1861</v>
      </c>
      <c r="D1764" s="120" t="s">
        <v>488</v>
      </c>
      <c r="E1764" s="33" t="s">
        <v>42</v>
      </c>
      <c r="F1764" s="18" t="s">
        <v>64</v>
      </c>
      <c r="G1764" s="18" t="s">
        <v>246</v>
      </c>
      <c r="H1764" s="34" t="s">
        <v>85</v>
      </c>
      <c r="I1764" s="18" t="s">
        <v>104</v>
      </c>
      <c r="J1764" s="31" t="s">
        <v>105</v>
      </c>
      <c r="K1764" s="31"/>
      <c r="N1764" s="13" t="s">
        <v>29</v>
      </c>
      <c r="O1764" s="24" t="str">
        <f>IF(D1764="","",IF(COUNTIF(离职清单!C:C,D1764)&gt;0,"已离职","在职"))</f>
        <v>在职</v>
      </c>
      <c r="P1764" s="24" t="str">
        <f>IF(AND(O1764="在职",J1764="是"),COUNTIF(O$2:O1764,"在职"),"")</f>
        <v/>
      </c>
    </row>
    <row r="1765" ht="18" spans="1:16">
      <c r="A1765" s="14">
        <f t="shared" si="32"/>
        <v>1764</v>
      </c>
      <c r="B1765" s="31">
        <v>46184</v>
      </c>
      <c r="C1765" s="32" t="s">
        <v>1862</v>
      </c>
      <c r="D1765" s="120" t="s">
        <v>490</v>
      </c>
      <c r="E1765" s="33" t="s">
        <v>42</v>
      </c>
      <c r="F1765" s="18" t="s">
        <v>64</v>
      </c>
      <c r="G1765" s="18" t="s">
        <v>512</v>
      </c>
      <c r="H1765" s="34" t="s">
        <v>85</v>
      </c>
      <c r="I1765" s="18" t="s">
        <v>104</v>
      </c>
      <c r="J1765" s="31" t="s">
        <v>105</v>
      </c>
      <c r="K1765" s="31"/>
      <c r="N1765" s="13" t="s">
        <v>29</v>
      </c>
      <c r="O1765" s="24" t="str">
        <f>IF(D1765="","",IF(COUNTIF(离职清单!C:C,D1765)&gt;0,"已离职","在职"))</f>
        <v>在职</v>
      </c>
      <c r="P1765" s="24" t="str">
        <f>IF(AND(O1765="在职",J1765="是"),COUNTIF(O$2:O1765,"在职"),"")</f>
        <v/>
      </c>
    </row>
    <row r="1766" ht="18" spans="1:16">
      <c r="A1766" s="10">
        <f t="shared" si="32"/>
        <v>1765</v>
      </c>
      <c r="B1766" s="31">
        <v>46184</v>
      </c>
      <c r="C1766" s="32" t="s">
        <v>1863</v>
      </c>
      <c r="D1766" s="120" t="s">
        <v>492</v>
      </c>
      <c r="E1766" s="33" t="s">
        <v>42</v>
      </c>
      <c r="F1766" s="18" t="s">
        <v>64</v>
      </c>
      <c r="G1766" s="18" t="s">
        <v>512</v>
      </c>
      <c r="H1766" s="34" t="s">
        <v>85</v>
      </c>
      <c r="I1766" s="18" t="s">
        <v>104</v>
      </c>
      <c r="J1766" s="31" t="s">
        <v>105</v>
      </c>
      <c r="K1766" s="31"/>
      <c r="N1766" s="13" t="s">
        <v>29</v>
      </c>
      <c r="O1766" s="24" t="str">
        <f>IF(D1766="","",IF(COUNTIF(离职清单!C:C,D1766)&gt;0,"已离职","在职"))</f>
        <v>在职</v>
      </c>
      <c r="P1766" s="24" t="str">
        <f>IF(AND(O1766="在职",J1766="是"),COUNTIF(O$2:O1766,"在职"),"")</f>
        <v/>
      </c>
    </row>
    <row r="1767" ht="18" spans="1:16">
      <c r="A1767" s="14">
        <f t="shared" si="32"/>
        <v>1766</v>
      </c>
      <c r="B1767" s="31">
        <v>46184</v>
      </c>
      <c r="C1767" s="32" t="s">
        <v>1864</v>
      </c>
      <c r="D1767" s="120" t="s">
        <v>477</v>
      </c>
      <c r="E1767" s="33" t="s">
        <v>42</v>
      </c>
      <c r="F1767" s="18" t="s">
        <v>64</v>
      </c>
      <c r="G1767" s="18" t="s">
        <v>512</v>
      </c>
      <c r="H1767" s="34" t="s">
        <v>85</v>
      </c>
      <c r="I1767" s="18" t="s">
        <v>104</v>
      </c>
      <c r="J1767" s="31" t="s">
        <v>105</v>
      </c>
      <c r="K1767" s="31"/>
      <c r="N1767" s="13" t="s">
        <v>29</v>
      </c>
      <c r="O1767" s="24" t="str">
        <f>IF(D1767="","",IF(COUNTIF(离职清单!C:C,D1767)&gt;0,"已离职","在职"))</f>
        <v>在职</v>
      </c>
      <c r="P1767" s="24" t="str">
        <f>IF(AND(O1767="在职",J1767="是"),COUNTIF(O$2:O1767,"在职"),"")</f>
        <v/>
      </c>
    </row>
    <row r="1768" ht="18" spans="1:16">
      <c r="A1768" s="10">
        <f t="shared" si="32"/>
        <v>1767</v>
      </c>
      <c r="B1768" s="31">
        <v>46184</v>
      </c>
      <c r="C1768" s="32" t="s">
        <v>1865</v>
      </c>
      <c r="D1768" s="120" t="s">
        <v>478</v>
      </c>
      <c r="E1768" s="33" t="s">
        <v>42</v>
      </c>
      <c r="F1768" s="18" t="s">
        <v>64</v>
      </c>
      <c r="G1768" s="18" t="s">
        <v>179</v>
      </c>
      <c r="H1768" s="34" t="s">
        <v>85</v>
      </c>
      <c r="I1768" s="18" t="s">
        <v>104</v>
      </c>
      <c r="J1768" s="31" t="s">
        <v>105</v>
      </c>
      <c r="K1768" s="31"/>
      <c r="N1768" s="13" t="s">
        <v>29</v>
      </c>
      <c r="O1768" s="24" t="str">
        <f>IF(D1768="","",IF(COUNTIF(离职清单!C:C,D1768)&gt;0,"已离职","在职"))</f>
        <v>在职</v>
      </c>
      <c r="P1768" s="24" t="str">
        <f>IF(AND(O1768="在职",J1768="是"),COUNTIF(O$2:O1768,"在职"),"")</f>
        <v/>
      </c>
    </row>
    <row r="1769" ht="18" spans="1:16">
      <c r="A1769" s="14">
        <f t="shared" si="32"/>
        <v>1768</v>
      </c>
      <c r="B1769" s="31">
        <v>46184</v>
      </c>
      <c r="C1769" s="32" t="s">
        <v>1866</v>
      </c>
      <c r="D1769" s="120" t="s">
        <v>480</v>
      </c>
      <c r="E1769" s="33" t="s">
        <v>73</v>
      </c>
      <c r="F1769" s="18" t="s">
        <v>63</v>
      </c>
      <c r="G1769" s="18" t="s">
        <v>124</v>
      </c>
      <c r="H1769" s="34" t="s">
        <v>85</v>
      </c>
      <c r="I1769" s="18" t="s">
        <v>104</v>
      </c>
      <c r="J1769" s="31" t="s">
        <v>105</v>
      </c>
      <c r="K1769" s="31"/>
      <c r="N1769" s="13" t="s">
        <v>29</v>
      </c>
      <c r="O1769" s="24" t="str">
        <f>IF(D1769="","",IF(COUNTIF(离职清单!C:C,D1769)&gt;0,"已离职","在职"))</f>
        <v>在职</v>
      </c>
      <c r="P1769" s="24" t="str">
        <f>IF(AND(O1769="在职",J1769="是"),COUNTIF(O$2:O1769,"在职"),"")</f>
        <v/>
      </c>
    </row>
    <row r="1770" ht="18" spans="1:16">
      <c r="A1770" s="10">
        <f t="shared" si="32"/>
        <v>1769</v>
      </c>
      <c r="B1770" s="31">
        <v>46184</v>
      </c>
      <c r="C1770" s="32" t="s">
        <v>1867</v>
      </c>
      <c r="D1770" s="120" t="s">
        <v>482</v>
      </c>
      <c r="E1770" s="33" t="s">
        <v>73</v>
      </c>
      <c r="F1770" s="18" t="s">
        <v>64</v>
      </c>
      <c r="G1770" s="18" t="s">
        <v>129</v>
      </c>
      <c r="H1770" s="34" t="s">
        <v>85</v>
      </c>
      <c r="I1770" s="18" t="s">
        <v>104</v>
      </c>
      <c r="J1770" s="31" t="s">
        <v>105</v>
      </c>
      <c r="K1770" s="31"/>
      <c r="N1770" s="13" t="s">
        <v>29</v>
      </c>
      <c r="O1770" s="24" t="str">
        <f>IF(D1770="","",IF(COUNTIF(离职清单!C:C,D1770)&gt;0,"已离职","在职"))</f>
        <v>在职</v>
      </c>
      <c r="P1770" s="24" t="str">
        <f>IF(AND(O1770="在职",J1770="是"),COUNTIF(O$2:O1770,"在职"),"")</f>
        <v/>
      </c>
    </row>
    <row r="1771" ht="18" spans="1:16">
      <c r="A1771" s="14">
        <f t="shared" si="32"/>
        <v>1770</v>
      </c>
      <c r="B1771" s="31">
        <v>46185</v>
      </c>
      <c r="C1771" s="32" t="s">
        <v>1868</v>
      </c>
      <c r="D1771" s="120" t="s">
        <v>484</v>
      </c>
      <c r="E1771" s="33" t="s">
        <v>42</v>
      </c>
      <c r="F1771" s="18" t="s">
        <v>64</v>
      </c>
      <c r="G1771" s="18" t="s">
        <v>1056</v>
      </c>
      <c r="H1771" s="34" t="s">
        <v>85</v>
      </c>
      <c r="I1771" s="18" t="s">
        <v>104</v>
      </c>
      <c r="J1771" s="31" t="s">
        <v>105</v>
      </c>
      <c r="K1771" s="31"/>
      <c r="N1771" s="13" t="s">
        <v>29</v>
      </c>
      <c r="O1771" s="24" t="str">
        <f>IF(D1771="","",IF(COUNTIF(离职清单!C:C,D1771)&gt;0,"已离职","在职"))</f>
        <v>在职</v>
      </c>
      <c r="P1771" s="24" t="str">
        <f>IF(AND(O1771="在职",J1771="是"),COUNTIF(O$2:O1771,"在职"),"")</f>
        <v/>
      </c>
    </row>
    <row r="1772" ht="18" spans="1:16">
      <c r="A1772" s="10">
        <f t="shared" ref="A1772:A1835" si="33">IF(B1772&lt;&gt;"",ROW()-1,"")</f>
        <v>1771</v>
      </c>
      <c r="B1772" s="31">
        <v>46185</v>
      </c>
      <c r="C1772" s="32" t="s">
        <v>1869</v>
      </c>
      <c r="D1772" s="120" t="s">
        <v>486</v>
      </c>
      <c r="E1772" s="33" t="s">
        <v>42</v>
      </c>
      <c r="F1772" s="18" t="s">
        <v>63</v>
      </c>
      <c r="G1772" s="18" t="s">
        <v>1056</v>
      </c>
      <c r="H1772" s="34" t="s">
        <v>85</v>
      </c>
      <c r="I1772" s="18" t="s">
        <v>104</v>
      </c>
      <c r="J1772" s="31" t="s">
        <v>114</v>
      </c>
      <c r="K1772" s="31"/>
      <c r="N1772" s="13" t="s">
        <v>29</v>
      </c>
      <c r="O1772" s="24" t="str">
        <f>IF(D1772="","",IF(COUNTIF(离职清单!C:C,D1772)&gt;0,"已离职","在职"))</f>
        <v>在职</v>
      </c>
      <c r="P1772" s="24">
        <f>IF(AND(O1772="在职",J1772="是"),COUNTIF(O$2:O1772,"在职"),"")</f>
        <v>1765</v>
      </c>
    </row>
    <row r="1773" ht="18" spans="1:16">
      <c r="A1773" s="14">
        <f t="shared" si="33"/>
        <v>1772</v>
      </c>
      <c r="B1773" s="31">
        <v>46185</v>
      </c>
      <c r="C1773" s="32" t="s">
        <v>1870</v>
      </c>
      <c r="D1773" s="120" t="s">
        <v>488</v>
      </c>
      <c r="E1773" s="33" t="s">
        <v>42</v>
      </c>
      <c r="F1773" s="18" t="s">
        <v>64</v>
      </c>
      <c r="G1773" s="18" t="s">
        <v>129</v>
      </c>
      <c r="H1773" s="34" t="s">
        <v>85</v>
      </c>
      <c r="I1773" s="18" t="s">
        <v>104</v>
      </c>
      <c r="J1773" s="31" t="s">
        <v>105</v>
      </c>
      <c r="K1773" s="31"/>
      <c r="N1773" s="13" t="s">
        <v>29</v>
      </c>
      <c r="O1773" s="24" t="str">
        <f>IF(D1773="","",IF(COUNTIF(离职清单!C:C,D1773)&gt;0,"已离职","在职"))</f>
        <v>在职</v>
      </c>
      <c r="P1773" s="24" t="str">
        <f>IF(AND(O1773="在职",J1773="是"),COUNTIF(O$2:O1773,"在职"),"")</f>
        <v/>
      </c>
    </row>
    <row r="1774" ht="18" spans="1:16">
      <c r="A1774" s="10">
        <f t="shared" si="33"/>
        <v>1773</v>
      </c>
      <c r="B1774" s="31">
        <v>46185</v>
      </c>
      <c r="C1774" s="32" t="s">
        <v>1871</v>
      </c>
      <c r="D1774" s="120" t="s">
        <v>490</v>
      </c>
      <c r="E1774" s="33" t="s">
        <v>42</v>
      </c>
      <c r="F1774" s="18" t="s">
        <v>64</v>
      </c>
      <c r="G1774" s="18" t="s">
        <v>129</v>
      </c>
      <c r="H1774" s="34" t="s">
        <v>85</v>
      </c>
      <c r="I1774" s="18" t="s">
        <v>104</v>
      </c>
      <c r="J1774" s="31" t="s">
        <v>105</v>
      </c>
      <c r="K1774" s="31"/>
      <c r="N1774" s="13" t="s">
        <v>29</v>
      </c>
      <c r="O1774" s="24" t="str">
        <f>IF(D1774="","",IF(COUNTIF(离职清单!C:C,D1774)&gt;0,"已离职","在职"))</f>
        <v>在职</v>
      </c>
      <c r="P1774" s="24" t="str">
        <f>IF(AND(O1774="在职",J1774="是"),COUNTIF(O$2:O1774,"在职"),"")</f>
        <v/>
      </c>
    </row>
    <row r="1775" ht="18" spans="1:16">
      <c r="A1775" s="14">
        <f t="shared" si="33"/>
        <v>1774</v>
      </c>
      <c r="B1775" s="31">
        <v>46185</v>
      </c>
      <c r="C1775" s="32" t="s">
        <v>1872</v>
      </c>
      <c r="D1775" s="120" t="s">
        <v>492</v>
      </c>
      <c r="E1775" s="33" t="s">
        <v>42</v>
      </c>
      <c r="F1775" s="18" t="s">
        <v>64</v>
      </c>
      <c r="G1775" s="18" t="s">
        <v>129</v>
      </c>
      <c r="H1775" s="34" t="s">
        <v>85</v>
      </c>
      <c r="I1775" s="18" t="s">
        <v>104</v>
      </c>
      <c r="J1775" s="31" t="s">
        <v>105</v>
      </c>
      <c r="K1775" s="31"/>
      <c r="N1775" s="13" t="s">
        <v>29</v>
      </c>
      <c r="O1775" s="24" t="str">
        <f>IF(D1775="","",IF(COUNTIF(离职清单!C:C,D1775)&gt;0,"已离职","在职"))</f>
        <v>在职</v>
      </c>
      <c r="P1775" s="24" t="str">
        <f>IF(AND(O1775="在职",J1775="是"),COUNTIF(O$2:O1775,"在职"),"")</f>
        <v/>
      </c>
    </row>
    <row r="1776" ht="18" spans="1:16">
      <c r="A1776" s="10">
        <f t="shared" si="33"/>
        <v>1775</v>
      </c>
      <c r="B1776" s="31">
        <v>46185</v>
      </c>
      <c r="C1776" s="32" t="s">
        <v>1873</v>
      </c>
      <c r="D1776" s="120" t="s">
        <v>477</v>
      </c>
      <c r="E1776" s="33" t="s">
        <v>42</v>
      </c>
      <c r="F1776" s="18" t="s">
        <v>63</v>
      </c>
      <c r="G1776" s="18" t="s">
        <v>129</v>
      </c>
      <c r="H1776" s="34" t="s">
        <v>85</v>
      </c>
      <c r="I1776" s="18" t="s">
        <v>104</v>
      </c>
      <c r="J1776" s="31" t="s">
        <v>105</v>
      </c>
      <c r="K1776" s="31"/>
      <c r="N1776" s="13" t="s">
        <v>29</v>
      </c>
      <c r="O1776" s="24" t="str">
        <f>IF(D1776="","",IF(COUNTIF(离职清单!C:C,D1776)&gt;0,"已离职","在职"))</f>
        <v>在职</v>
      </c>
      <c r="P1776" s="24" t="str">
        <f>IF(AND(O1776="在职",J1776="是"),COUNTIF(O$2:O1776,"在职"),"")</f>
        <v/>
      </c>
    </row>
    <row r="1777" ht="18" spans="1:16">
      <c r="A1777" s="14">
        <f t="shared" si="33"/>
        <v>1776</v>
      </c>
      <c r="B1777" s="31">
        <v>46185</v>
      </c>
      <c r="C1777" s="32" t="s">
        <v>1874</v>
      </c>
      <c r="D1777" s="120" t="s">
        <v>477</v>
      </c>
      <c r="E1777" s="33" t="s">
        <v>42</v>
      </c>
      <c r="F1777" s="18" t="s">
        <v>62</v>
      </c>
      <c r="G1777" s="18" t="s">
        <v>129</v>
      </c>
      <c r="H1777" s="34" t="s">
        <v>85</v>
      </c>
      <c r="I1777" s="18" t="s">
        <v>104</v>
      </c>
      <c r="J1777" s="31" t="s">
        <v>105</v>
      </c>
      <c r="K1777" s="31"/>
      <c r="N1777" s="13" t="s">
        <v>29</v>
      </c>
      <c r="O1777" s="24" t="str">
        <f>IF(D1777="","",IF(COUNTIF(离职清单!C:C,D1777)&gt;0,"已离职","在职"))</f>
        <v>在职</v>
      </c>
      <c r="P1777" s="24" t="str">
        <f>IF(AND(O1777="在职",J1777="是"),COUNTIF(O$2:O1777,"在职"),"")</f>
        <v/>
      </c>
    </row>
    <row r="1778" ht="18" spans="1:16">
      <c r="A1778" s="10">
        <f t="shared" si="33"/>
        <v>1777</v>
      </c>
      <c r="B1778" s="31">
        <v>46185</v>
      </c>
      <c r="C1778" s="32" t="s">
        <v>1875</v>
      </c>
      <c r="D1778" s="120" t="s">
        <v>478</v>
      </c>
      <c r="E1778" s="33" t="s">
        <v>42</v>
      </c>
      <c r="F1778" s="18" t="s">
        <v>63</v>
      </c>
      <c r="G1778" s="18" t="s">
        <v>129</v>
      </c>
      <c r="H1778" s="34" t="s">
        <v>85</v>
      </c>
      <c r="I1778" s="18" t="s">
        <v>104</v>
      </c>
      <c r="J1778" s="31" t="s">
        <v>105</v>
      </c>
      <c r="K1778" s="31"/>
      <c r="N1778" s="13" t="s">
        <v>29</v>
      </c>
      <c r="O1778" s="24" t="str">
        <f>IF(D1778="","",IF(COUNTIF(离职清单!C:C,D1778)&gt;0,"已离职","在职"))</f>
        <v>在职</v>
      </c>
      <c r="P1778" s="24" t="str">
        <f>IF(AND(O1778="在职",J1778="是"),COUNTIF(O$2:O1778,"在职"),"")</f>
        <v/>
      </c>
    </row>
    <row r="1779" ht="18" spans="1:16">
      <c r="A1779" s="14">
        <f t="shared" si="33"/>
        <v>1778</v>
      </c>
      <c r="B1779" s="31">
        <v>46185</v>
      </c>
      <c r="C1779" s="32" t="s">
        <v>1876</v>
      </c>
      <c r="D1779" s="120" t="s">
        <v>480</v>
      </c>
      <c r="E1779" s="33" t="s">
        <v>42</v>
      </c>
      <c r="F1779" s="18" t="s">
        <v>64</v>
      </c>
      <c r="G1779" s="18" t="s">
        <v>631</v>
      </c>
      <c r="H1779" s="34" t="s">
        <v>85</v>
      </c>
      <c r="I1779" s="18" t="s">
        <v>104</v>
      </c>
      <c r="J1779" s="31" t="s">
        <v>105</v>
      </c>
      <c r="K1779" s="31"/>
      <c r="N1779" s="13" t="s">
        <v>29</v>
      </c>
      <c r="O1779" s="24" t="str">
        <f>IF(D1779="","",IF(COUNTIF(离职清单!C:C,D1779)&gt;0,"已离职","在职"))</f>
        <v>在职</v>
      </c>
      <c r="P1779" s="24" t="str">
        <f>IF(AND(O1779="在职",J1779="是"),COUNTIF(O$2:O1779,"在职"),"")</f>
        <v/>
      </c>
    </row>
    <row r="1780" ht="18" spans="1:16">
      <c r="A1780" s="10">
        <f t="shared" si="33"/>
        <v>1779</v>
      </c>
      <c r="B1780" s="31">
        <v>46185</v>
      </c>
      <c r="C1780" s="32" t="s">
        <v>1877</v>
      </c>
      <c r="D1780" s="120" t="s">
        <v>482</v>
      </c>
      <c r="E1780" s="33" t="s">
        <v>42</v>
      </c>
      <c r="F1780" s="18" t="s">
        <v>63</v>
      </c>
      <c r="G1780" s="18" t="s">
        <v>509</v>
      </c>
      <c r="H1780" s="34" t="s">
        <v>85</v>
      </c>
      <c r="I1780" s="18" t="s">
        <v>104</v>
      </c>
      <c r="J1780" s="31" t="s">
        <v>105</v>
      </c>
      <c r="K1780" s="31"/>
      <c r="N1780" s="13" t="s">
        <v>29</v>
      </c>
      <c r="O1780" s="24" t="str">
        <f>IF(D1780="","",IF(COUNTIF(离职清单!C:C,D1780)&gt;0,"已离职","在职"))</f>
        <v>在职</v>
      </c>
      <c r="P1780" s="24" t="str">
        <f>IF(AND(O1780="在职",J1780="是"),COUNTIF(O$2:O1780,"在职"),"")</f>
        <v/>
      </c>
    </row>
    <row r="1781" ht="18" spans="1:16">
      <c r="A1781" s="14">
        <f t="shared" si="33"/>
        <v>1780</v>
      </c>
      <c r="B1781" s="31">
        <v>46185</v>
      </c>
      <c r="C1781" s="32" t="s">
        <v>1878</v>
      </c>
      <c r="D1781" s="120" t="s">
        <v>484</v>
      </c>
      <c r="E1781" s="33" t="s">
        <v>42</v>
      </c>
      <c r="F1781" s="18" t="s">
        <v>64</v>
      </c>
      <c r="G1781" s="18" t="s">
        <v>148</v>
      </c>
      <c r="H1781" s="34" t="s">
        <v>85</v>
      </c>
      <c r="I1781" s="18" t="s">
        <v>104</v>
      </c>
      <c r="J1781" s="31" t="s">
        <v>105</v>
      </c>
      <c r="K1781" s="31"/>
      <c r="N1781" s="13" t="s">
        <v>29</v>
      </c>
      <c r="O1781" s="24" t="str">
        <f>IF(D1781="","",IF(COUNTIF(离职清单!C:C,D1781)&gt;0,"已离职","在职"))</f>
        <v>在职</v>
      </c>
      <c r="P1781" s="24" t="str">
        <f>IF(AND(O1781="在职",J1781="是"),COUNTIF(O$2:O1781,"在职"),"")</f>
        <v/>
      </c>
    </row>
    <row r="1782" ht="18" spans="1:16">
      <c r="A1782" s="10">
        <f t="shared" si="33"/>
        <v>1781</v>
      </c>
      <c r="B1782" s="31">
        <v>46185</v>
      </c>
      <c r="C1782" s="32" t="s">
        <v>1879</v>
      </c>
      <c r="D1782" s="120" t="s">
        <v>486</v>
      </c>
      <c r="E1782" s="33" t="s">
        <v>42</v>
      </c>
      <c r="F1782" s="18" t="s">
        <v>64</v>
      </c>
      <c r="G1782" s="18" t="s">
        <v>148</v>
      </c>
      <c r="H1782" s="34" t="s">
        <v>85</v>
      </c>
      <c r="I1782" s="18" t="s">
        <v>104</v>
      </c>
      <c r="J1782" s="31" t="s">
        <v>105</v>
      </c>
      <c r="K1782" s="31"/>
      <c r="N1782" s="13" t="s">
        <v>29</v>
      </c>
      <c r="O1782" s="24" t="str">
        <f>IF(D1782="","",IF(COUNTIF(离职清单!C:C,D1782)&gt;0,"已离职","在职"))</f>
        <v>在职</v>
      </c>
      <c r="P1782" s="24" t="str">
        <f>IF(AND(O1782="在职",J1782="是"),COUNTIF(O$2:O1782,"在职"),"")</f>
        <v/>
      </c>
    </row>
    <row r="1783" ht="18" spans="1:16">
      <c r="A1783" s="14">
        <f t="shared" si="33"/>
        <v>1782</v>
      </c>
      <c r="B1783" s="31">
        <v>46185</v>
      </c>
      <c r="C1783" s="32" t="s">
        <v>1880</v>
      </c>
      <c r="D1783" s="120" t="s">
        <v>488</v>
      </c>
      <c r="E1783" s="33" t="s">
        <v>42</v>
      </c>
      <c r="F1783" s="18" t="s">
        <v>63</v>
      </c>
      <c r="G1783" s="18" t="s">
        <v>148</v>
      </c>
      <c r="H1783" s="34" t="s">
        <v>85</v>
      </c>
      <c r="I1783" s="18" t="s">
        <v>104</v>
      </c>
      <c r="J1783" s="31" t="s">
        <v>105</v>
      </c>
      <c r="K1783" s="31"/>
      <c r="N1783" s="13" t="s">
        <v>29</v>
      </c>
      <c r="O1783" s="24" t="str">
        <f>IF(D1783="","",IF(COUNTIF(离职清单!C:C,D1783)&gt;0,"已离职","在职"))</f>
        <v>在职</v>
      </c>
      <c r="P1783" s="24" t="str">
        <f>IF(AND(O1783="在职",J1783="是"),COUNTIF(O$2:O1783,"在职"),"")</f>
        <v/>
      </c>
    </row>
    <row r="1784" ht="18" spans="1:16">
      <c r="A1784" s="10">
        <f t="shared" si="33"/>
        <v>1783</v>
      </c>
      <c r="B1784" s="31">
        <v>46185</v>
      </c>
      <c r="C1784" s="32" t="s">
        <v>1240</v>
      </c>
      <c r="D1784" s="120" t="s">
        <v>490</v>
      </c>
      <c r="E1784" s="33" t="s">
        <v>42</v>
      </c>
      <c r="F1784" s="18" t="s">
        <v>63</v>
      </c>
      <c r="G1784" s="18" t="s">
        <v>148</v>
      </c>
      <c r="H1784" s="34" t="s">
        <v>85</v>
      </c>
      <c r="I1784" s="18" t="s">
        <v>104</v>
      </c>
      <c r="J1784" s="31" t="s">
        <v>105</v>
      </c>
      <c r="K1784" s="31"/>
      <c r="N1784" s="13" t="s">
        <v>29</v>
      </c>
      <c r="O1784" s="24" t="str">
        <f>IF(D1784="","",IF(COUNTIF(离职清单!C:C,D1784)&gt;0,"已离职","在职"))</f>
        <v>在职</v>
      </c>
      <c r="P1784" s="24" t="str">
        <f>IF(AND(O1784="在职",J1784="是"),COUNTIF(O$2:O1784,"在职"),"")</f>
        <v/>
      </c>
    </row>
    <row r="1785" ht="18" spans="1:16">
      <c r="A1785" s="14">
        <f t="shared" si="33"/>
        <v>1784</v>
      </c>
      <c r="B1785" s="31">
        <v>46185</v>
      </c>
      <c r="C1785" s="32" t="s">
        <v>1881</v>
      </c>
      <c r="D1785" s="120" t="s">
        <v>492</v>
      </c>
      <c r="E1785" s="33" t="s">
        <v>42</v>
      </c>
      <c r="F1785" s="18" t="s">
        <v>64</v>
      </c>
      <c r="G1785" s="18" t="s">
        <v>148</v>
      </c>
      <c r="H1785" s="34" t="s">
        <v>85</v>
      </c>
      <c r="I1785" s="18" t="s">
        <v>104</v>
      </c>
      <c r="J1785" s="31" t="s">
        <v>105</v>
      </c>
      <c r="K1785" s="31"/>
      <c r="N1785" s="13" t="s">
        <v>29</v>
      </c>
      <c r="O1785" s="24" t="str">
        <f>IF(D1785="","",IF(COUNTIF(离职清单!C:C,D1785)&gt;0,"已离职","在职"))</f>
        <v>在职</v>
      </c>
      <c r="P1785" s="24" t="str">
        <f>IF(AND(O1785="在职",J1785="是"),COUNTIF(O$2:O1785,"在职"),"")</f>
        <v/>
      </c>
    </row>
    <row r="1786" ht="18" spans="1:16">
      <c r="A1786" s="10">
        <f t="shared" si="33"/>
        <v>1785</v>
      </c>
      <c r="B1786" s="31">
        <v>46185</v>
      </c>
      <c r="C1786" s="32" t="s">
        <v>1882</v>
      </c>
      <c r="D1786" s="120" t="s">
        <v>477</v>
      </c>
      <c r="E1786" s="33" t="s">
        <v>42</v>
      </c>
      <c r="F1786" s="18" t="s">
        <v>64</v>
      </c>
      <c r="G1786" s="18" t="s">
        <v>148</v>
      </c>
      <c r="H1786" s="34" t="s">
        <v>85</v>
      </c>
      <c r="I1786" s="18" t="s">
        <v>104</v>
      </c>
      <c r="J1786" s="31" t="s">
        <v>105</v>
      </c>
      <c r="K1786" s="31"/>
      <c r="N1786" s="13" t="s">
        <v>29</v>
      </c>
      <c r="O1786" s="24" t="str">
        <f>IF(D1786="","",IF(COUNTIF(离职清单!C:C,D1786)&gt;0,"已离职","在职"))</f>
        <v>在职</v>
      </c>
      <c r="P1786" s="24" t="str">
        <f>IF(AND(O1786="在职",J1786="是"),COUNTIF(O$2:O1786,"在职"),"")</f>
        <v/>
      </c>
    </row>
    <row r="1787" ht="18" spans="1:16">
      <c r="A1787" s="14">
        <f t="shared" si="33"/>
        <v>1786</v>
      </c>
      <c r="B1787" s="31">
        <v>46185</v>
      </c>
      <c r="C1787" s="32" t="s">
        <v>1883</v>
      </c>
      <c r="D1787" s="120" t="s">
        <v>478</v>
      </c>
      <c r="E1787" s="33" t="s">
        <v>42</v>
      </c>
      <c r="F1787" s="18" t="s">
        <v>64</v>
      </c>
      <c r="G1787" s="18" t="s">
        <v>173</v>
      </c>
      <c r="H1787" s="34" t="s">
        <v>85</v>
      </c>
      <c r="I1787" s="18" t="s">
        <v>104</v>
      </c>
      <c r="J1787" s="31" t="s">
        <v>105</v>
      </c>
      <c r="K1787" s="31"/>
      <c r="N1787" s="13" t="s">
        <v>29</v>
      </c>
      <c r="O1787" s="24" t="str">
        <f>IF(D1787="","",IF(COUNTIF(离职清单!C:C,D1787)&gt;0,"已离职","在职"))</f>
        <v>在职</v>
      </c>
      <c r="P1787" s="24" t="str">
        <f>IF(AND(O1787="在职",J1787="是"),COUNTIF(O$2:O1787,"在职"),"")</f>
        <v/>
      </c>
    </row>
    <row r="1788" ht="18" spans="1:16">
      <c r="A1788" s="10">
        <f t="shared" si="33"/>
        <v>1787</v>
      </c>
      <c r="B1788" s="31">
        <v>46185</v>
      </c>
      <c r="C1788" s="32" t="s">
        <v>269</v>
      </c>
      <c r="D1788" s="120" t="s">
        <v>480</v>
      </c>
      <c r="E1788" s="33" t="s">
        <v>42</v>
      </c>
      <c r="F1788" s="18" t="s">
        <v>63</v>
      </c>
      <c r="G1788" s="18" t="s">
        <v>124</v>
      </c>
      <c r="H1788" s="34" t="s">
        <v>85</v>
      </c>
      <c r="I1788" s="18" t="s">
        <v>104</v>
      </c>
      <c r="J1788" s="31" t="s">
        <v>114</v>
      </c>
      <c r="K1788" s="31">
        <v>46186</v>
      </c>
      <c r="N1788" s="13" t="s">
        <v>29</v>
      </c>
      <c r="O1788" s="24" t="str">
        <f>IF(D1788="","",IF(COUNTIF(离职清单!C:C,D1788)&gt;0,"已离职","在职"))</f>
        <v>在职</v>
      </c>
      <c r="P1788" s="24">
        <f>IF(AND(O1788="在职",J1788="是"),COUNTIF(O$2:O1788,"在职"),"")</f>
        <v>1781</v>
      </c>
    </row>
    <row r="1789" ht="18" spans="1:16">
      <c r="A1789" s="14">
        <f t="shared" si="33"/>
        <v>1788</v>
      </c>
      <c r="B1789" s="31">
        <v>46185</v>
      </c>
      <c r="C1789" s="32" t="s">
        <v>1884</v>
      </c>
      <c r="D1789" s="120" t="s">
        <v>482</v>
      </c>
      <c r="E1789" s="33" t="s">
        <v>42</v>
      </c>
      <c r="F1789" s="18" t="s">
        <v>63</v>
      </c>
      <c r="G1789" s="18" t="s">
        <v>103</v>
      </c>
      <c r="H1789" s="34" t="s">
        <v>85</v>
      </c>
      <c r="I1789" s="18" t="s">
        <v>104</v>
      </c>
      <c r="J1789" s="31" t="s">
        <v>114</v>
      </c>
      <c r="K1789" s="31">
        <v>46186</v>
      </c>
      <c r="N1789" s="13" t="s">
        <v>29</v>
      </c>
      <c r="O1789" s="24" t="str">
        <f>IF(D1789="","",IF(COUNTIF(离职清单!C:C,D1789)&gt;0,"已离职","在职"))</f>
        <v>在职</v>
      </c>
      <c r="P1789" s="24">
        <f>IF(AND(O1789="在职",J1789="是"),COUNTIF(O$2:O1789,"在职"),"")</f>
        <v>1782</v>
      </c>
    </row>
    <row r="1790" ht="18" spans="1:16">
      <c r="A1790" s="10">
        <f t="shared" si="33"/>
        <v>1789</v>
      </c>
      <c r="B1790" s="31">
        <v>46185</v>
      </c>
      <c r="C1790" s="32" t="s">
        <v>1052</v>
      </c>
      <c r="D1790" s="120" t="s">
        <v>484</v>
      </c>
      <c r="E1790" s="33" t="s">
        <v>42</v>
      </c>
      <c r="F1790" s="18" t="s">
        <v>64</v>
      </c>
      <c r="G1790" s="18" t="s">
        <v>103</v>
      </c>
      <c r="H1790" s="34" t="s">
        <v>85</v>
      </c>
      <c r="I1790" s="18" t="s">
        <v>104</v>
      </c>
      <c r="J1790" s="31" t="s">
        <v>105</v>
      </c>
      <c r="K1790" s="31"/>
      <c r="N1790" s="13" t="s">
        <v>29</v>
      </c>
      <c r="O1790" s="24" t="str">
        <f>IF(D1790="","",IF(COUNTIF(离职清单!C:C,D1790)&gt;0,"已离职","在职"))</f>
        <v>在职</v>
      </c>
      <c r="P1790" s="24" t="str">
        <f>IF(AND(O1790="在职",J1790="是"),COUNTIF(O$2:O1790,"在职"),"")</f>
        <v/>
      </c>
    </row>
    <row r="1791" ht="18" spans="1:16">
      <c r="A1791" s="14">
        <f t="shared" si="33"/>
        <v>1790</v>
      </c>
      <c r="B1791" s="31">
        <v>46185</v>
      </c>
      <c r="C1791" s="32" t="s">
        <v>1885</v>
      </c>
      <c r="D1791" s="120" t="s">
        <v>486</v>
      </c>
      <c r="E1791" s="33" t="s">
        <v>42</v>
      </c>
      <c r="F1791" s="18" t="s">
        <v>63</v>
      </c>
      <c r="G1791" s="18" t="s">
        <v>176</v>
      </c>
      <c r="H1791" s="34" t="s">
        <v>85</v>
      </c>
      <c r="I1791" s="18" t="s">
        <v>104</v>
      </c>
      <c r="J1791" s="31" t="s">
        <v>114</v>
      </c>
      <c r="K1791" s="31">
        <v>46187</v>
      </c>
      <c r="N1791" s="13" t="s">
        <v>29</v>
      </c>
      <c r="O1791" s="24" t="str">
        <f>IF(D1791="","",IF(COUNTIF(离职清单!C:C,D1791)&gt;0,"已离职","在职"))</f>
        <v>在职</v>
      </c>
      <c r="P1791" s="24">
        <f>IF(AND(O1791="在职",J1791="是"),COUNTIF(O$2:O1791,"在职"),"")</f>
        <v>1784</v>
      </c>
    </row>
    <row r="1792" ht="18" spans="1:16">
      <c r="A1792" s="10">
        <f t="shared" si="33"/>
        <v>1791</v>
      </c>
      <c r="B1792" s="31">
        <v>46185</v>
      </c>
      <c r="C1792" s="32" t="s">
        <v>1886</v>
      </c>
      <c r="D1792" s="120" t="s">
        <v>488</v>
      </c>
      <c r="E1792" s="33" t="s">
        <v>42</v>
      </c>
      <c r="F1792" s="18" t="s">
        <v>64</v>
      </c>
      <c r="G1792" s="18" t="s">
        <v>117</v>
      </c>
      <c r="H1792" s="34" t="s">
        <v>85</v>
      </c>
      <c r="I1792" s="18" t="s">
        <v>104</v>
      </c>
      <c r="J1792" s="31" t="s">
        <v>105</v>
      </c>
      <c r="K1792" s="31"/>
      <c r="N1792" s="13" t="s">
        <v>29</v>
      </c>
      <c r="O1792" s="24" t="str">
        <f>IF(D1792="","",IF(COUNTIF(离职清单!C:C,D1792)&gt;0,"已离职","在职"))</f>
        <v>在职</v>
      </c>
      <c r="P1792" s="24" t="str">
        <f>IF(AND(O1792="在职",J1792="是"),COUNTIF(O$2:O1792,"在职"),"")</f>
        <v/>
      </c>
    </row>
    <row r="1793" ht="18" spans="1:16">
      <c r="A1793" s="14">
        <f t="shared" si="33"/>
        <v>1792</v>
      </c>
      <c r="B1793" s="31">
        <v>46185</v>
      </c>
      <c r="C1793" s="32" t="s">
        <v>1887</v>
      </c>
      <c r="D1793" s="120" t="s">
        <v>490</v>
      </c>
      <c r="E1793" s="33" t="s">
        <v>42</v>
      </c>
      <c r="F1793" s="18" t="s">
        <v>63</v>
      </c>
      <c r="G1793" s="18" t="s">
        <v>117</v>
      </c>
      <c r="H1793" s="34" t="s">
        <v>85</v>
      </c>
      <c r="I1793" s="18" t="s">
        <v>104</v>
      </c>
      <c r="J1793" s="31" t="s">
        <v>105</v>
      </c>
      <c r="K1793" s="31"/>
      <c r="N1793" s="13" t="s">
        <v>29</v>
      </c>
      <c r="O1793" s="24" t="str">
        <f>IF(D1793="","",IF(COUNTIF(离职清单!C:C,D1793)&gt;0,"已离职","在职"))</f>
        <v>在职</v>
      </c>
      <c r="P1793" s="24" t="str">
        <f>IF(AND(O1793="在职",J1793="是"),COUNTIF(O$2:O1793,"在职"),"")</f>
        <v/>
      </c>
    </row>
    <row r="1794" ht="18" spans="1:16">
      <c r="A1794" s="10">
        <f t="shared" si="33"/>
        <v>1793</v>
      </c>
      <c r="B1794" s="31">
        <v>46185</v>
      </c>
      <c r="C1794" s="32" t="s">
        <v>1888</v>
      </c>
      <c r="D1794" s="120" t="s">
        <v>492</v>
      </c>
      <c r="E1794" s="33" t="s">
        <v>42</v>
      </c>
      <c r="F1794" s="18" t="s">
        <v>63</v>
      </c>
      <c r="G1794" s="18" t="s">
        <v>117</v>
      </c>
      <c r="H1794" s="34" t="s">
        <v>85</v>
      </c>
      <c r="I1794" s="18" t="s">
        <v>104</v>
      </c>
      <c r="J1794" s="31" t="s">
        <v>105</v>
      </c>
      <c r="K1794" s="31"/>
      <c r="N1794" s="13" t="s">
        <v>29</v>
      </c>
      <c r="O1794" s="24" t="str">
        <f>IF(D1794="","",IF(COUNTIF(离职清单!C:C,D1794)&gt;0,"已离职","在职"))</f>
        <v>在职</v>
      </c>
      <c r="P1794" s="24" t="str">
        <f>IF(AND(O1794="在职",J1794="是"),COUNTIF(O$2:O1794,"在职"),"")</f>
        <v/>
      </c>
    </row>
    <row r="1795" ht="18" spans="1:16">
      <c r="A1795" s="14">
        <f t="shared" si="33"/>
        <v>1794</v>
      </c>
      <c r="B1795" s="31">
        <v>46185</v>
      </c>
      <c r="C1795" s="32" t="s">
        <v>1889</v>
      </c>
      <c r="D1795" s="120" t="s">
        <v>477</v>
      </c>
      <c r="E1795" s="33" t="s">
        <v>42</v>
      </c>
      <c r="F1795" s="18" t="s">
        <v>64</v>
      </c>
      <c r="G1795" s="18" t="s">
        <v>117</v>
      </c>
      <c r="H1795" s="34" t="s">
        <v>85</v>
      </c>
      <c r="I1795" s="18" t="s">
        <v>104</v>
      </c>
      <c r="J1795" s="31" t="s">
        <v>105</v>
      </c>
      <c r="K1795" s="31"/>
      <c r="N1795" s="13" t="s">
        <v>29</v>
      </c>
      <c r="O1795" s="24" t="str">
        <f>IF(D1795="","",IF(COUNTIF(离职清单!C:C,D1795)&gt;0,"已离职","在职"))</f>
        <v>在职</v>
      </c>
      <c r="P1795" s="24" t="str">
        <f>IF(AND(O1795="在职",J1795="是"),COUNTIF(O$2:O1795,"在职"),"")</f>
        <v/>
      </c>
    </row>
    <row r="1796" ht="18" spans="1:16">
      <c r="A1796" s="10">
        <f t="shared" si="33"/>
        <v>1795</v>
      </c>
      <c r="B1796" s="31">
        <v>46185</v>
      </c>
      <c r="C1796" s="32" t="s">
        <v>1890</v>
      </c>
      <c r="D1796" s="120" t="s">
        <v>478</v>
      </c>
      <c r="E1796" s="33" t="s">
        <v>42</v>
      </c>
      <c r="F1796" s="18" t="s">
        <v>63</v>
      </c>
      <c r="G1796" s="18" t="s">
        <v>505</v>
      </c>
      <c r="H1796" s="34" t="s">
        <v>85</v>
      </c>
      <c r="I1796" s="18" t="s">
        <v>104</v>
      </c>
      <c r="J1796" s="31" t="s">
        <v>114</v>
      </c>
      <c r="K1796" s="31">
        <v>46187</v>
      </c>
      <c r="N1796" s="13" t="s">
        <v>29</v>
      </c>
      <c r="O1796" s="24" t="str">
        <f>IF(D1796="","",IF(COUNTIF(离职清单!C:C,D1796)&gt;0,"已离职","在职"))</f>
        <v>在职</v>
      </c>
      <c r="P1796" s="24">
        <f>IF(AND(O1796="在职",J1796="是"),COUNTIF(O$2:O1796,"在职"),"")</f>
        <v>1789</v>
      </c>
    </row>
    <row r="1797" ht="18" spans="1:16">
      <c r="A1797" s="14">
        <f t="shared" si="33"/>
        <v>1796</v>
      </c>
      <c r="B1797" s="31">
        <v>46185</v>
      </c>
      <c r="C1797" s="32" t="s">
        <v>1891</v>
      </c>
      <c r="D1797" s="120" t="s">
        <v>480</v>
      </c>
      <c r="E1797" s="33" t="s">
        <v>42</v>
      </c>
      <c r="F1797" s="18" t="s">
        <v>63</v>
      </c>
      <c r="G1797" s="18" t="s">
        <v>129</v>
      </c>
      <c r="H1797" s="34" t="s">
        <v>85</v>
      </c>
      <c r="I1797" s="18" t="s">
        <v>104</v>
      </c>
      <c r="J1797" s="31" t="s">
        <v>114</v>
      </c>
      <c r="K1797" s="31"/>
      <c r="N1797" s="13" t="s">
        <v>29</v>
      </c>
      <c r="O1797" s="24" t="str">
        <f>IF(D1797="","",IF(COUNTIF(离职清单!C:C,D1797)&gt;0,"已离职","在职"))</f>
        <v>在职</v>
      </c>
      <c r="P1797" s="24">
        <f>IF(AND(O1797="在职",J1797="是"),COUNTIF(O$2:O1797,"在职"),"")</f>
        <v>1790</v>
      </c>
    </row>
    <row r="1798" ht="18" spans="1:16">
      <c r="A1798" s="10">
        <f t="shared" si="33"/>
        <v>1797</v>
      </c>
      <c r="B1798" s="31">
        <v>46185</v>
      </c>
      <c r="C1798" s="32" t="s">
        <v>1892</v>
      </c>
      <c r="D1798" s="120" t="s">
        <v>482</v>
      </c>
      <c r="E1798" s="33" t="s">
        <v>42</v>
      </c>
      <c r="F1798" s="18" t="s">
        <v>64</v>
      </c>
      <c r="G1798" s="18" t="s">
        <v>631</v>
      </c>
      <c r="H1798" s="34" t="s">
        <v>85</v>
      </c>
      <c r="I1798" s="18" t="s">
        <v>104</v>
      </c>
      <c r="J1798" s="31" t="s">
        <v>105</v>
      </c>
      <c r="K1798" s="31"/>
      <c r="N1798" s="13" t="s">
        <v>29</v>
      </c>
      <c r="O1798" s="24" t="str">
        <f>IF(D1798="","",IF(COUNTIF(离职清单!C:C,D1798)&gt;0,"已离职","在职"))</f>
        <v>在职</v>
      </c>
      <c r="P1798" s="24" t="str">
        <f>IF(AND(O1798="在职",J1798="是"),COUNTIF(O$2:O1798,"在职"),"")</f>
        <v/>
      </c>
    </row>
    <row r="1799" ht="18" spans="1:16">
      <c r="A1799" s="14">
        <f t="shared" si="33"/>
        <v>1798</v>
      </c>
      <c r="B1799" s="31">
        <v>46185</v>
      </c>
      <c r="C1799" s="32" t="s">
        <v>1893</v>
      </c>
      <c r="D1799" s="120" t="s">
        <v>484</v>
      </c>
      <c r="E1799" s="33" t="s">
        <v>42</v>
      </c>
      <c r="F1799" s="18" t="s">
        <v>64</v>
      </c>
      <c r="G1799" s="18" t="s">
        <v>173</v>
      </c>
      <c r="H1799" s="34" t="s">
        <v>85</v>
      </c>
      <c r="I1799" s="18" t="s">
        <v>104</v>
      </c>
      <c r="J1799" s="31" t="s">
        <v>105</v>
      </c>
      <c r="K1799" s="31"/>
      <c r="N1799" s="13" t="s">
        <v>29</v>
      </c>
      <c r="O1799" s="24" t="str">
        <f>IF(D1799="","",IF(COUNTIF(离职清单!C:C,D1799)&gt;0,"已离职","在职"))</f>
        <v>在职</v>
      </c>
      <c r="P1799" s="24" t="str">
        <f>IF(AND(O1799="在职",J1799="是"),COUNTIF(O$2:O1799,"在职"),"")</f>
        <v/>
      </c>
    </row>
    <row r="1800" ht="18" spans="1:16">
      <c r="A1800" s="10">
        <f t="shared" si="33"/>
        <v>1799</v>
      </c>
      <c r="B1800" s="31">
        <v>46185</v>
      </c>
      <c r="C1800" s="32" t="s">
        <v>1894</v>
      </c>
      <c r="D1800" s="120" t="s">
        <v>486</v>
      </c>
      <c r="E1800" s="33" t="s">
        <v>42</v>
      </c>
      <c r="F1800" s="18" t="s">
        <v>64</v>
      </c>
      <c r="G1800" s="18" t="s">
        <v>135</v>
      </c>
      <c r="H1800" s="34" t="s">
        <v>85</v>
      </c>
      <c r="I1800" s="18" t="s">
        <v>104</v>
      </c>
      <c r="J1800" s="31" t="s">
        <v>105</v>
      </c>
      <c r="K1800" s="31"/>
      <c r="N1800" s="13" t="s">
        <v>29</v>
      </c>
      <c r="O1800" s="24" t="str">
        <f>IF(D1800="","",IF(COUNTIF(离职清单!C:C,D1800)&gt;0,"已离职","在职"))</f>
        <v>在职</v>
      </c>
      <c r="P1800" s="24" t="str">
        <f>IF(AND(O1800="在职",J1800="是"),COUNTIF(O$2:O1800,"在职"),"")</f>
        <v/>
      </c>
    </row>
    <row r="1801" ht="18" spans="1:16">
      <c r="A1801" s="14">
        <f t="shared" si="33"/>
        <v>1800</v>
      </c>
      <c r="B1801" s="31">
        <v>46185</v>
      </c>
      <c r="C1801" s="32" t="s">
        <v>1895</v>
      </c>
      <c r="D1801" s="120" t="s">
        <v>488</v>
      </c>
      <c r="E1801" s="33" t="s">
        <v>42</v>
      </c>
      <c r="F1801" s="18" t="s">
        <v>64</v>
      </c>
      <c r="G1801" s="18" t="s">
        <v>307</v>
      </c>
      <c r="H1801" s="34" t="s">
        <v>85</v>
      </c>
      <c r="I1801" s="18" t="s">
        <v>104</v>
      </c>
      <c r="J1801" s="31" t="s">
        <v>105</v>
      </c>
      <c r="K1801" s="31"/>
      <c r="N1801" s="13" t="s">
        <v>29</v>
      </c>
      <c r="O1801" s="24" t="str">
        <f>IF(D1801="","",IF(COUNTIF(离职清单!C:C,D1801)&gt;0,"已离职","在职"))</f>
        <v>在职</v>
      </c>
      <c r="P1801" s="24" t="str">
        <f>IF(AND(O1801="在职",J1801="是"),COUNTIF(O$2:O1801,"在职"),"")</f>
        <v/>
      </c>
    </row>
    <row r="1802" ht="18" spans="1:16">
      <c r="A1802" s="10">
        <f t="shared" si="33"/>
        <v>1801</v>
      </c>
      <c r="B1802" s="31">
        <v>46185</v>
      </c>
      <c r="C1802" s="32" t="s">
        <v>1896</v>
      </c>
      <c r="D1802" s="120" t="s">
        <v>490</v>
      </c>
      <c r="E1802" s="33" t="s">
        <v>42</v>
      </c>
      <c r="F1802" s="18" t="s">
        <v>64</v>
      </c>
      <c r="G1802" s="18" t="s">
        <v>307</v>
      </c>
      <c r="H1802" s="34" t="s">
        <v>85</v>
      </c>
      <c r="I1802" s="18" t="s">
        <v>104</v>
      </c>
      <c r="J1802" s="31" t="s">
        <v>105</v>
      </c>
      <c r="K1802" s="31"/>
      <c r="N1802" s="13" t="s">
        <v>29</v>
      </c>
      <c r="O1802" s="24" t="str">
        <f>IF(D1802="","",IF(COUNTIF(离职清单!C:C,D1802)&gt;0,"已离职","在职"))</f>
        <v>在职</v>
      </c>
      <c r="P1802" s="24" t="str">
        <f>IF(AND(O1802="在职",J1802="是"),COUNTIF(O$2:O1802,"在职"),"")</f>
        <v/>
      </c>
    </row>
    <row r="1803" ht="18" spans="1:16">
      <c r="A1803" s="14">
        <f t="shared" si="33"/>
        <v>1802</v>
      </c>
      <c r="B1803" s="31">
        <v>46185</v>
      </c>
      <c r="C1803" s="32" t="s">
        <v>1897</v>
      </c>
      <c r="D1803" s="120" t="s">
        <v>492</v>
      </c>
      <c r="E1803" s="33" t="s">
        <v>42</v>
      </c>
      <c r="F1803" s="18" t="s">
        <v>64</v>
      </c>
      <c r="G1803" s="18" t="s">
        <v>1334</v>
      </c>
      <c r="H1803" s="34" t="s">
        <v>85</v>
      </c>
      <c r="I1803" s="18" t="s">
        <v>104</v>
      </c>
      <c r="J1803" s="31" t="s">
        <v>105</v>
      </c>
      <c r="K1803" s="31"/>
      <c r="N1803" s="13" t="s">
        <v>29</v>
      </c>
      <c r="O1803" s="24" t="str">
        <f>IF(D1803="","",IF(COUNTIF(离职清单!C:C,D1803)&gt;0,"已离职","在职"))</f>
        <v>在职</v>
      </c>
      <c r="P1803" s="24" t="str">
        <f>IF(AND(O1803="在职",J1803="是"),COUNTIF(O$2:O1803,"在职"),"")</f>
        <v/>
      </c>
    </row>
    <row r="1804" ht="18" spans="1:16">
      <c r="A1804" s="10">
        <f t="shared" si="33"/>
        <v>1803</v>
      </c>
      <c r="B1804" s="31">
        <v>46185</v>
      </c>
      <c r="C1804" s="32" t="s">
        <v>1898</v>
      </c>
      <c r="D1804" s="120" t="s">
        <v>477</v>
      </c>
      <c r="E1804" s="33" t="s">
        <v>42</v>
      </c>
      <c r="F1804" s="18" t="s">
        <v>64</v>
      </c>
      <c r="G1804" s="18" t="s">
        <v>578</v>
      </c>
      <c r="H1804" s="34" t="s">
        <v>85</v>
      </c>
      <c r="I1804" s="18" t="s">
        <v>104</v>
      </c>
      <c r="J1804" s="31" t="s">
        <v>105</v>
      </c>
      <c r="K1804" s="31"/>
      <c r="N1804" s="13" t="s">
        <v>29</v>
      </c>
      <c r="O1804" s="24" t="str">
        <f>IF(D1804="","",IF(COUNTIF(离职清单!C:C,D1804)&gt;0,"已离职","在职"))</f>
        <v>在职</v>
      </c>
      <c r="P1804" s="24" t="str">
        <f>IF(AND(O1804="在职",J1804="是"),COUNTIF(O$2:O1804,"在职"),"")</f>
        <v/>
      </c>
    </row>
    <row r="1805" ht="18" spans="1:16">
      <c r="A1805" s="14">
        <f t="shared" si="33"/>
        <v>1804</v>
      </c>
      <c r="B1805" s="31">
        <v>46185</v>
      </c>
      <c r="C1805" s="32" t="s">
        <v>1899</v>
      </c>
      <c r="D1805" s="120" t="s">
        <v>478</v>
      </c>
      <c r="E1805" s="33" t="s">
        <v>42</v>
      </c>
      <c r="F1805" s="18" t="s">
        <v>63</v>
      </c>
      <c r="G1805" s="18" t="s">
        <v>578</v>
      </c>
      <c r="H1805" s="34" t="s">
        <v>85</v>
      </c>
      <c r="I1805" s="18" t="s">
        <v>104</v>
      </c>
      <c r="J1805" s="31" t="s">
        <v>114</v>
      </c>
      <c r="K1805" s="31">
        <v>46187</v>
      </c>
      <c r="N1805" s="13" t="s">
        <v>29</v>
      </c>
      <c r="O1805" s="24" t="str">
        <f>IF(D1805="","",IF(COUNTIF(离职清单!C:C,D1805)&gt;0,"已离职","在职"))</f>
        <v>在职</v>
      </c>
      <c r="P1805" s="24">
        <f>IF(AND(O1805="在职",J1805="是"),COUNTIF(O$2:O1805,"在职"),"")</f>
        <v>1798</v>
      </c>
    </row>
    <row r="1806" ht="18" spans="1:16">
      <c r="A1806" s="10">
        <f t="shared" si="33"/>
        <v>1805</v>
      </c>
      <c r="B1806" s="31">
        <v>46185</v>
      </c>
      <c r="C1806" s="32" t="s">
        <v>1400</v>
      </c>
      <c r="D1806" s="120" t="s">
        <v>480</v>
      </c>
      <c r="E1806" s="33" t="s">
        <v>42</v>
      </c>
      <c r="F1806" s="18" t="s">
        <v>63</v>
      </c>
      <c r="G1806" s="18" t="s">
        <v>578</v>
      </c>
      <c r="H1806" s="34" t="s">
        <v>85</v>
      </c>
      <c r="I1806" s="18" t="s">
        <v>104</v>
      </c>
      <c r="J1806" s="31" t="s">
        <v>114</v>
      </c>
      <c r="K1806" s="31">
        <v>46187</v>
      </c>
      <c r="N1806" s="13" t="s">
        <v>29</v>
      </c>
      <c r="O1806" s="24" t="str">
        <f>IF(D1806="","",IF(COUNTIF(离职清单!C:C,D1806)&gt;0,"已离职","在职"))</f>
        <v>在职</v>
      </c>
      <c r="P1806" s="24">
        <f>IF(AND(O1806="在职",J1806="是"),COUNTIF(O$2:O1806,"在职"),"")</f>
        <v>1799</v>
      </c>
    </row>
    <row r="1807" ht="18" spans="1:16">
      <c r="A1807" s="14">
        <f t="shared" si="33"/>
        <v>1806</v>
      </c>
      <c r="B1807" s="31">
        <v>46185</v>
      </c>
      <c r="C1807" s="32" t="s">
        <v>1397</v>
      </c>
      <c r="D1807" s="120" t="s">
        <v>482</v>
      </c>
      <c r="E1807" s="33" t="s">
        <v>42</v>
      </c>
      <c r="F1807" s="18" t="s">
        <v>63</v>
      </c>
      <c r="G1807" s="18" t="s">
        <v>578</v>
      </c>
      <c r="H1807" s="34" t="s">
        <v>85</v>
      </c>
      <c r="I1807" s="18" t="s">
        <v>104</v>
      </c>
      <c r="J1807" s="31" t="s">
        <v>114</v>
      </c>
      <c r="K1807" s="31">
        <v>46187</v>
      </c>
      <c r="N1807" s="13" t="s">
        <v>29</v>
      </c>
      <c r="O1807" s="24" t="str">
        <f>IF(D1807="","",IF(COUNTIF(离职清单!C:C,D1807)&gt;0,"已离职","在职"))</f>
        <v>在职</v>
      </c>
      <c r="P1807" s="24">
        <f>IF(AND(O1807="在职",J1807="是"),COUNTIF(O$2:O1807,"在职"),"")</f>
        <v>1800</v>
      </c>
    </row>
    <row r="1808" ht="18" spans="1:16">
      <c r="A1808" s="10">
        <f t="shared" si="33"/>
        <v>1807</v>
      </c>
      <c r="B1808" s="31">
        <v>46185</v>
      </c>
      <c r="C1808" s="32" t="s">
        <v>1900</v>
      </c>
      <c r="D1808" s="120" t="s">
        <v>484</v>
      </c>
      <c r="E1808" s="33" t="s">
        <v>42</v>
      </c>
      <c r="F1808" s="18" t="s">
        <v>63</v>
      </c>
      <c r="G1808" s="18" t="s">
        <v>148</v>
      </c>
      <c r="H1808" s="34" t="s">
        <v>85</v>
      </c>
      <c r="I1808" s="18" t="s">
        <v>104</v>
      </c>
      <c r="J1808" s="31" t="s">
        <v>105</v>
      </c>
      <c r="K1808" s="31"/>
      <c r="N1808" s="13" t="s">
        <v>29</v>
      </c>
      <c r="O1808" s="24" t="str">
        <f>IF(D1808="","",IF(COUNTIF(离职清单!C:C,D1808)&gt;0,"已离职","在职"))</f>
        <v>在职</v>
      </c>
      <c r="P1808" s="24" t="str">
        <f>IF(AND(O1808="在职",J1808="是"),COUNTIF(O$2:O1808,"在职"),"")</f>
        <v/>
      </c>
    </row>
    <row r="1809" ht="18" spans="1:16">
      <c r="A1809" s="14">
        <f t="shared" si="33"/>
        <v>1808</v>
      </c>
      <c r="B1809" s="31">
        <v>46185</v>
      </c>
      <c r="C1809" s="32" t="s">
        <v>1063</v>
      </c>
      <c r="D1809" s="120" t="s">
        <v>486</v>
      </c>
      <c r="E1809" s="33" t="s">
        <v>42</v>
      </c>
      <c r="F1809" s="18" t="s">
        <v>64</v>
      </c>
      <c r="G1809" s="18" t="s">
        <v>117</v>
      </c>
      <c r="H1809" s="34" t="s">
        <v>85</v>
      </c>
      <c r="I1809" s="18" t="s">
        <v>104</v>
      </c>
      <c r="J1809" s="31" t="s">
        <v>114</v>
      </c>
      <c r="K1809" s="31"/>
      <c r="N1809" s="13" t="s">
        <v>29</v>
      </c>
      <c r="O1809" s="24" t="str">
        <f>IF(D1809="","",IF(COUNTIF(离职清单!C:C,D1809)&gt;0,"已离职","在职"))</f>
        <v>在职</v>
      </c>
      <c r="P1809" s="24">
        <f>IF(AND(O1809="在职",J1809="是"),COUNTIF(O$2:O1809,"在职"),"")</f>
        <v>1802</v>
      </c>
    </row>
    <row r="1810" ht="18" spans="1:16">
      <c r="A1810" s="10">
        <f t="shared" si="33"/>
        <v>1809</v>
      </c>
      <c r="B1810" s="31">
        <v>46185</v>
      </c>
      <c r="C1810" s="32" t="s">
        <v>1901</v>
      </c>
      <c r="D1810" s="120" t="s">
        <v>488</v>
      </c>
      <c r="E1810" s="33" t="s">
        <v>43</v>
      </c>
      <c r="F1810" s="18" t="s">
        <v>64</v>
      </c>
      <c r="G1810" s="18" t="s">
        <v>129</v>
      </c>
      <c r="H1810" s="34" t="s">
        <v>85</v>
      </c>
      <c r="I1810" s="18" t="s">
        <v>104</v>
      </c>
      <c r="J1810" s="31" t="s">
        <v>105</v>
      </c>
      <c r="K1810" s="31"/>
      <c r="N1810" s="13" t="s">
        <v>29</v>
      </c>
      <c r="O1810" s="24" t="str">
        <f>IF(D1810="","",IF(COUNTIF(离职清单!C:C,D1810)&gt;0,"已离职","在职"))</f>
        <v>在职</v>
      </c>
      <c r="P1810" s="24" t="str">
        <f>IF(AND(O1810="在职",J1810="是"),COUNTIF(O$2:O1810,"在职"),"")</f>
        <v/>
      </c>
    </row>
    <row r="1811" ht="18" spans="1:16">
      <c r="A1811" s="14">
        <f t="shared" si="33"/>
        <v>1810</v>
      </c>
      <c r="B1811" s="31">
        <v>46185</v>
      </c>
      <c r="C1811" s="32" t="s">
        <v>1902</v>
      </c>
      <c r="D1811" s="120" t="s">
        <v>490</v>
      </c>
      <c r="E1811" s="33" t="s">
        <v>43</v>
      </c>
      <c r="F1811" s="18" t="s">
        <v>63</v>
      </c>
      <c r="G1811" s="18" t="s">
        <v>129</v>
      </c>
      <c r="H1811" s="34" t="s">
        <v>85</v>
      </c>
      <c r="I1811" s="18" t="s">
        <v>104</v>
      </c>
      <c r="J1811" s="31" t="s">
        <v>114</v>
      </c>
      <c r="K1811" s="31"/>
      <c r="N1811" s="13" t="s">
        <v>29</v>
      </c>
      <c r="O1811" s="24" t="str">
        <f>IF(D1811="","",IF(COUNTIF(离职清单!C:C,D1811)&gt;0,"已离职","在职"))</f>
        <v>在职</v>
      </c>
      <c r="P1811" s="24">
        <f>IF(AND(O1811="在职",J1811="是"),COUNTIF(O$2:O1811,"在职"),"")</f>
        <v>1804</v>
      </c>
    </row>
    <row r="1812" ht="18" spans="1:16">
      <c r="A1812" s="10">
        <f t="shared" si="33"/>
        <v>1811</v>
      </c>
      <c r="B1812" s="31">
        <v>46185</v>
      </c>
      <c r="C1812" s="32" t="s">
        <v>1903</v>
      </c>
      <c r="D1812" s="120" t="s">
        <v>492</v>
      </c>
      <c r="E1812" s="33" t="s">
        <v>43</v>
      </c>
      <c r="F1812" s="18" t="s">
        <v>62</v>
      </c>
      <c r="G1812" s="18" t="s">
        <v>129</v>
      </c>
      <c r="H1812" s="34" t="s">
        <v>85</v>
      </c>
      <c r="I1812" s="18" t="s">
        <v>104</v>
      </c>
      <c r="J1812" s="31" t="s">
        <v>105</v>
      </c>
      <c r="K1812" s="31"/>
      <c r="N1812" s="13" t="s">
        <v>29</v>
      </c>
      <c r="O1812" s="24" t="str">
        <f>IF(D1812="","",IF(COUNTIF(离职清单!C:C,D1812)&gt;0,"已离职","在职"))</f>
        <v>在职</v>
      </c>
      <c r="P1812" s="24" t="str">
        <f>IF(AND(O1812="在职",J1812="是"),COUNTIF(O$2:O1812,"在职"),"")</f>
        <v/>
      </c>
    </row>
    <row r="1813" ht="18" spans="1:16">
      <c r="A1813" s="14">
        <f t="shared" si="33"/>
        <v>1812</v>
      </c>
      <c r="B1813" s="31">
        <v>46185</v>
      </c>
      <c r="C1813" s="32" t="s">
        <v>1904</v>
      </c>
      <c r="D1813" s="120" t="s">
        <v>477</v>
      </c>
      <c r="E1813" s="33" t="s">
        <v>43</v>
      </c>
      <c r="F1813" s="18" t="s">
        <v>63</v>
      </c>
      <c r="G1813" s="18" t="s">
        <v>129</v>
      </c>
      <c r="H1813" s="34" t="s">
        <v>85</v>
      </c>
      <c r="I1813" s="18" t="s">
        <v>104</v>
      </c>
      <c r="J1813" s="31" t="s">
        <v>105</v>
      </c>
      <c r="K1813" s="31"/>
      <c r="N1813" s="13" t="s">
        <v>29</v>
      </c>
      <c r="O1813" s="24" t="str">
        <f>IF(D1813="","",IF(COUNTIF(离职清单!C:C,D1813)&gt;0,"已离职","在职"))</f>
        <v>在职</v>
      </c>
      <c r="P1813" s="24" t="str">
        <f>IF(AND(O1813="在职",J1813="是"),COUNTIF(O$2:O1813,"在职"),"")</f>
        <v/>
      </c>
    </row>
    <row r="1814" ht="18" spans="1:16">
      <c r="A1814" s="10">
        <f t="shared" si="33"/>
        <v>1813</v>
      </c>
      <c r="B1814" s="31">
        <v>46185</v>
      </c>
      <c r="C1814" s="32" t="s">
        <v>1905</v>
      </c>
      <c r="D1814" s="120" t="s">
        <v>478</v>
      </c>
      <c r="E1814" s="33" t="s">
        <v>43</v>
      </c>
      <c r="F1814" s="18" t="s">
        <v>63</v>
      </c>
      <c r="G1814" s="18" t="s">
        <v>129</v>
      </c>
      <c r="H1814" s="34" t="s">
        <v>85</v>
      </c>
      <c r="I1814" s="18" t="s">
        <v>104</v>
      </c>
      <c r="J1814" s="31" t="s">
        <v>105</v>
      </c>
      <c r="K1814" s="31"/>
      <c r="N1814" s="13" t="s">
        <v>29</v>
      </c>
      <c r="O1814" s="24" t="str">
        <f>IF(D1814="","",IF(COUNTIF(离职清单!C:C,D1814)&gt;0,"已离职","在职"))</f>
        <v>在职</v>
      </c>
      <c r="P1814" s="24" t="str">
        <f>IF(AND(O1814="在职",J1814="是"),COUNTIF(O$2:O1814,"在职"),"")</f>
        <v/>
      </c>
    </row>
    <row r="1815" ht="18" spans="1:16">
      <c r="A1815" s="14">
        <f t="shared" si="33"/>
        <v>1814</v>
      </c>
      <c r="B1815" s="31">
        <v>46185</v>
      </c>
      <c r="C1815" s="32" t="s">
        <v>1906</v>
      </c>
      <c r="D1815" s="120" t="s">
        <v>480</v>
      </c>
      <c r="E1815" s="33" t="s">
        <v>43</v>
      </c>
      <c r="F1815" s="18" t="s">
        <v>62</v>
      </c>
      <c r="G1815" s="18" t="s">
        <v>631</v>
      </c>
      <c r="H1815" s="34" t="s">
        <v>85</v>
      </c>
      <c r="I1815" s="18" t="s">
        <v>104</v>
      </c>
      <c r="J1815" s="31" t="s">
        <v>105</v>
      </c>
      <c r="K1815" s="31">
        <v>46186</v>
      </c>
      <c r="N1815" s="13" t="s">
        <v>29</v>
      </c>
      <c r="O1815" s="24" t="str">
        <f>IF(D1815="","",IF(COUNTIF(离职清单!C:C,D1815)&gt;0,"已离职","在职"))</f>
        <v>在职</v>
      </c>
      <c r="P1815" s="24" t="str">
        <f>IF(AND(O1815="在职",J1815="是"),COUNTIF(O$2:O1815,"在职"),"")</f>
        <v/>
      </c>
    </row>
    <row r="1816" ht="18" spans="1:16">
      <c r="A1816" s="10">
        <f t="shared" si="33"/>
        <v>1815</v>
      </c>
      <c r="B1816" s="31">
        <v>46185</v>
      </c>
      <c r="C1816" s="32" t="s">
        <v>1907</v>
      </c>
      <c r="D1816" s="120" t="s">
        <v>482</v>
      </c>
      <c r="E1816" s="33" t="s">
        <v>43</v>
      </c>
      <c r="F1816" s="18" t="s">
        <v>63</v>
      </c>
      <c r="G1816" s="18" t="s">
        <v>631</v>
      </c>
      <c r="H1816" s="34" t="s">
        <v>85</v>
      </c>
      <c r="I1816" s="18" t="s">
        <v>104</v>
      </c>
      <c r="J1816" s="31" t="s">
        <v>105</v>
      </c>
      <c r="K1816" s="31"/>
      <c r="N1816" s="13" t="s">
        <v>29</v>
      </c>
      <c r="O1816" s="24" t="str">
        <f>IF(D1816="","",IF(COUNTIF(离职清单!C:C,D1816)&gt;0,"已离职","在职"))</f>
        <v>在职</v>
      </c>
      <c r="P1816" s="24" t="str">
        <f>IF(AND(O1816="在职",J1816="是"),COUNTIF(O$2:O1816,"在职"),"")</f>
        <v/>
      </c>
    </row>
    <row r="1817" ht="18" spans="1:16">
      <c r="A1817" s="14">
        <f t="shared" si="33"/>
        <v>1816</v>
      </c>
      <c r="B1817" s="31">
        <v>46185</v>
      </c>
      <c r="C1817" s="32" t="s">
        <v>1908</v>
      </c>
      <c r="D1817" s="120" t="s">
        <v>484</v>
      </c>
      <c r="E1817" s="33" t="s">
        <v>43</v>
      </c>
      <c r="F1817" s="18" t="s">
        <v>63</v>
      </c>
      <c r="G1817" s="18" t="s">
        <v>176</v>
      </c>
      <c r="H1817" s="34" t="s">
        <v>85</v>
      </c>
      <c r="I1817" s="18" t="s">
        <v>104</v>
      </c>
      <c r="J1817" s="31" t="s">
        <v>114</v>
      </c>
      <c r="K1817" s="31">
        <v>46186</v>
      </c>
      <c r="N1817" s="13" t="s">
        <v>29</v>
      </c>
      <c r="O1817" s="24" t="str">
        <f>IF(D1817="","",IF(COUNTIF(离职清单!C:C,D1817)&gt;0,"已离职","在职"))</f>
        <v>在职</v>
      </c>
      <c r="P1817" s="24">
        <f>IF(AND(O1817="在职",J1817="是"),COUNTIF(O$2:O1817,"在职"),"")</f>
        <v>1810</v>
      </c>
    </row>
    <row r="1818" ht="18" spans="1:16">
      <c r="A1818" s="10">
        <f t="shared" si="33"/>
        <v>1817</v>
      </c>
      <c r="B1818" s="31">
        <v>46185</v>
      </c>
      <c r="C1818" s="32" t="s">
        <v>1909</v>
      </c>
      <c r="D1818" s="120" t="s">
        <v>486</v>
      </c>
      <c r="E1818" s="33" t="s">
        <v>43</v>
      </c>
      <c r="F1818" s="18" t="s">
        <v>64</v>
      </c>
      <c r="G1818" s="18" t="s">
        <v>176</v>
      </c>
      <c r="H1818" s="34" t="s">
        <v>85</v>
      </c>
      <c r="I1818" s="18" t="s">
        <v>104</v>
      </c>
      <c r="J1818" s="31" t="s">
        <v>105</v>
      </c>
      <c r="K1818" s="31"/>
      <c r="N1818" s="13" t="s">
        <v>29</v>
      </c>
      <c r="O1818" s="24" t="str">
        <f>IF(D1818="","",IF(COUNTIF(离职清单!C:C,D1818)&gt;0,"已离职","在职"))</f>
        <v>在职</v>
      </c>
      <c r="P1818" s="24" t="str">
        <f>IF(AND(O1818="在职",J1818="是"),COUNTIF(O$2:O1818,"在职"),"")</f>
        <v/>
      </c>
    </row>
    <row r="1819" ht="18" spans="1:16">
      <c r="A1819" s="14">
        <f t="shared" si="33"/>
        <v>1818</v>
      </c>
      <c r="B1819" s="31">
        <v>46185</v>
      </c>
      <c r="C1819" s="32" t="s">
        <v>1910</v>
      </c>
      <c r="D1819" s="120" t="s">
        <v>488</v>
      </c>
      <c r="E1819" s="33" t="s">
        <v>43</v>
      </c>
      <c r="F1819" s="18" t="s">
        <v>63</v>
      </c>
      <c r="G1819" s="18" t="s">
        <v>176</v>
      </c>
      <c r="H1819" s="34" t="s">
        <v>85</v>
      </c>
      <c r="I1819" s="18" t="s">
        <v>104</v>
      </c>
      <c r="J1819" s="31" t="s">
        <v>114</v>
      </c>
      <c r="K1819" s="31">
        <v>46186</v>
      </c>
      <c r="N1819" s="13" t="s">
        <v>29</v>
      </c>
      <c r="O1819" s="24" t="str">
        <f>IF(D1819="","",IF(COUNTIF(离职清单!C:C,D1819)&gt;0,"已离职","在职"))</f>
        <v>在职</v>
      </c>
      <c r="P1819" s="24">
        <f>IF(AND(O1819="在职",J1819="是"),COUNTIF(O$2:O1819,"在职"),"")</f>
        <v>1812</v>
      </c>
    </row>
    <row r="1820" ht="18" spans="1:16">
      <c r="A1820" s="10">
        <f t="shared" si="33"/>
        <v>1819</v>
      </c>
      <c r="B1820" s="31">
        <v>46185</v>
      </c>
      <c r="C1820" s="32" t="s">
        <v>1911</v>
      </c>
      <c r="D1820" s="120" t="s">
        <v>490</v>
      </c>
      <c r="E1820" s="33" t="s">
        <v>43</v>
      </c>
      <c r="F1820" s="18" t="s">
        <v>63</v>
      </c>
      <c r="G1820" s="18" t="s">
        <v>1562</v>
      </c>
      <c r="H1820" s="34" t="s">
        <v>85</v>
      </c>
      <c r="I1820" s="18" t="s">
        <v>104</v>
      </c>
      <c r="J1820" s="31" t="s">
        <v>114</v>
      </c>
      <c r="K1820" s="31"/>
      <c r="N1820" s="13" t="s">
        <v>29</v>
      </c>
      <c r="O1820" s="24" t="str">
        <f>IF(D1820="","",IF(COUNTIF(离职清单!C:C,D1820)&gt;0,"已离职","在职"))</f>
        <v>在职</v>
      </c>
      <c r="P1820" s="24">
        <f>IF(AND(O1820="在职",J1820="是"),COUNTIF(O$2:O1820,"在职"),"")</f>
        <v>1813</v>
      </c>
    </row>
    <row r="1821" ht="18" spans="1:16">
      <c r="A1821" s="14">
        <f t="shared" si="33"/>
        <v>1820</v>
      </c>
      <c r="B1821" s="31">
        <v>46185</v>
      </c>
      <c r="C1821" s="32" t="s">
        <v>1912</v>
      </c>
      <c r="D1821" s="120" t="s">
        <v>492</v>
      </c>
      <c r="E1821" s="33" t="s">
        <v>43</v>
      </c>
      <c r="F1821" s="18" t="s">
        <v>63</v>
      </c>
      <c r="G1821" s="18" t="s">
        <v>681</v>
      </c>
      <c r="H1821" s="34" t="s">
        <v>85</v>
      </c>
      <c r="I1821" s="18" t="s">
        <v>104</v>
      </c>
      <c r="J1821" s="31" t="s">
        <v>114</v>
      </c>
      <c r="K1821" s="31">
        <v>46186</v>
      </c>
      <c r="N1821" s="13" t="s">
        <v>29</v>
      </c>
      <c r="O1821" s="24" t="str">
        <f>IF(D1821="","",IF(COUNTIF(离职清单!C:C,D1821)&gt;0,"已离职","在职"))</f>
        <v>在职</v>
      </c>
      <c r="P1821" s="24">
        <f>IF(AND(O1821="在职",J1821="是"),COUNTIF(O$2:O1821,"在职"),"")</f>
        <v>1814</v>
      </c>
    </row>
    <row r="1822" ht="18" spans="1:16">
      <c r="A1822" s="10">
        <f t="shared" si="33"/>
        <v>1821</v>
      </c>
      <c r="B1822" s="31">
        <v>46185</v>
      </c>
      <c r="C1822" s="32" t="s">
        <v>1913</v>
      </c>
      <c r="D1822" s="120" t="s">
        <v>477</v>
      </c>
      <c r="E1822" s="33" t="s">
        <v>43</v>
      </c>
      <c r="F1822" s="18" t="s">
        <v>62</v>
      </c>
      <c r="G1822" s="18" t="s">
        <v>468</v>
      </c>
      <c r="H1822" s="34" t="s">
        <v>85</v>
      </c>
      <c r="I1822" s="18" t="s">
        <v>104</v>
      </c>
      <c r="J1822" s="31" t="s">
        <v>105</v>
      </c>
      <c r="K1822" s="31"/>
      <c r="N1822" s="13" t="s">
        <v>29</v>
      </c>
      <c r="O1822" s="24" t="str">
        <f>IF(D1822="","",IF(COUNTIF(离职清单!C:C,D1822)&gt;0,"已离职","在职"))</f>
        <v>在职</v>
      </c>
      <c r="P1822" s="24" t="str">
        <f>IF(AND(O1822="在职",J1822="是"),COUNTIF(O$2:O1822,"在职"),"")</f>
        <v/>
      </c>
    </row>
    <row r="1823" ht="18" spans="1:16">
      <c r="A1823" s="14">
        <f t="shared" si="33"/>
        <v>1822</v>
      </c>
      <c r="B1823" s="31">
        <v>46185</v>
      </c>
      <c r="C1823" s="32" t="s">
        <v>1914</v>
      </c>
      <c r="D1823" s="120" t="s">
        <v>478</v>
      </c>
      <c r="E1823" s="33" t="s">
        <v>43</v>
      </c>
      <c r="F1823" s="18" t="s">
        <v>62</v>
      </c>
      <c r="G1823" s="18" t="s">
        <v>468</v>
      </c>
      <c r="H1823" s="34" t="s">
        <v>85</v>
      </c>
      <c r="I1823" s="18" t="s">
        <v>104</v>
      </c>
      <c r="J1823" s="31" t="s">
        <v>114</v>
      </c>
      <c r="K1823" s="31">
        <v>46186</v>
      </c>
      <c r="N1823" s="13" t="s">
        <v>29</v>
      </c>
      <c r="O1823" s="24" t="str">
        <f>IF(D1823="","",IF(COUNTIF(离职清单!C:C,D1823)&gt;0,"已离职","在职"))</f>
        <v>在职</v>
      </c>
      <c r="P1823" s="24">
        <f>IF(AND(O1823="在职",J1823="是"),COUNTIF(O$2:O1823,"在职"),"")</f>
        <v>1816</v>
      </c>
    </row>
    <row r="1824" ht="18" spans="1:16">
      <c r="A1824" s="10">
        <f t="shared" si="33"/>
        <v>1823</v>
      </c>
      <c r="B1824" s="31">
        <v>46185</v>
      </c>
      <c r="C1824" s="32" t="s">
        <v>1915</v>
      </c>
      <c r="D1824" s="120" t="s">
        <v>480</v>
      </c>
      <c r="E1824" s="33" t="s">
        <v>43</v>
      </c>
      <c r="F1824" s="18" t="s">
        <v>63</v>
      </c>
      <c r="G1824" s="18" t="s">
        <v>468</v>
      </c>
      <c r="H1824" s="34" t="s">
        <v>85</v>
      </c>
      <c r="I1824" s="18" t="s">
        <v>104</v>
      </c>
      <c r="J1824" s="31" t="s">
        <v>114</v>
      </c>
      <c r="K1824" s="31">
        <v>46186</v>
      </c>
      <c r="N1824" s="13" t="s">
        <v>29</v>
      </c>
      <c r="O1824" s="24" t="str">
        <f>IF(D1824="","",IF(COUNTIF(离职清单!C:C,D1824)&gt;0,"已离职","在职"))</f>
        <v>在职</v>
      </c>
      <c r="P1824" s="24">
        <f>IF(AND(O1824="在职",J1824="是"),COUNTIF(O$2:O1824,"在职"),"")</f>
        <v>1817</v>
      </c>
    </row>
    <row r="1825" ht="18" spans="1:16">
      <c r="A1825" s="14">
        <f t="shared" si="33"/>
        <v>1824</v>
      </c>
      <c r="B1825" s="31">
        <v>46185</v>
      </c>
      <c r="C1825" s="32" t="s">
        <v>1916</v>
      </c>
      <c r="D1825" s="120" t="s">
        <v>482</v>
      </c>
      <c r="E1825" s="33" t="s">
        <v>43</v>
      </c>
      <c r="F1825" s="18" t="s">
        <v>64</v>
      </c>
      <c r="G1825" s="18" t="s">
        <v>509</v>
      </c>
      <c r="H1825" s="34" t="s">
        <v>85</v>
      </c>
      <c r="I1825" s="18" t="s">
        <v>104</v>
      </c>
      <c r="J1825" s="31" t="s">
        <v>105</v>
      </c>
      <c r="K1825" s="31"/>
      <c r="N1825" s="13" t="s">
        <v>29</v>
      </c>
      <c r="O1825" s="24" t="str">
        <f>IF(D1825="","",IF(COUNTIF(离职清单!C:C,D1825)&gt;0,"已离职","在职"))</f>
        <v>在职</v>
      </c>
      <c r="P1825" s="24" t="str">
        <f>IF(AND(O1825="在职",J1825="是"),COUNTIF(O$2:O1825,"在职"),"")</f>
        <v/>
      </c>
    </row>
    <row r="1826" ht="18" spans="1:16">
      <c r="A1826" s="10">
        <f t="shared" si="33"/>
        <v>1825</v>
      </c>
      <c r="B1826" s="31">
        <v>46185</v>
      </c>
      <c r="C1826" s="32" t="s">
        <v>1917</v>
      </c>
      <c r="D1826" s="120" t="s">
        <v>484</v>
      </c>
      <c r="E1826" s="33" t="s">
        <v>43</v>
      </c>
      <c r="F1826" s="18" t="s">
        <v>63</v>
      </c>
      <c r="G1826" s="18" t="s">
        <v>148</v>
      </c>
      <c r="H1826" s="34" t="s">
        <v>85</v>
      </c>
      <c r="I1826" s="18" t="s">
        <v>104</v>
      </c>
      <c r="J1826" s="31" t="s">
        <v>105</v>
      </c>
      <c r="K1826" s="31"/>
      <c r="N1826" s="13" t="s">
        <v>29</v>
      </c>
      <c r="O1826" s="24" t="str">
        <f>IF(D1826="","",IF(COUNTIF(离职清单!C:C,D1826)&gt;0,"已离职","在职"))</f>
        <v>在职</v>
      </c>
      <c r="P1826" s="24" t="str">
        <f>IF(AND(O1826="在职",J1826="是"),COUNTIF(O$2:O1826,"在职"),"")</f>
        <v/>
      </c>
    </row>
    <row r="1827" ht="18" spans="1:16">
      <c r="A1827" s="14">
        <f t="shared" si="33"/>
        <v>1826</v>
      </c>
      <c r="B1827" s="31">
        <v>46185</v>
      </c>
      <c r="C1827" s="32" t="s">
        <v>1918</v>
      </c>
      <c r="D1827" s="120" t="s">
        <v>486</v>
      </c>
      <c r="E1827" s="33" t="s">
        <v>43</v>
      </c>
      <c r="F1827" s="18" t="s">
        <v>62</v>
      </c>
      <c r="G1827" s="18" t="s">
        <v>148</v>
      </c>
      <c r="H1827" s="34" t="s">
        <v>85</v>
      </c>
      <c r="I1827" s="18" t="s">
        <v>104</v>
      </c>
      <c r="J1827" s="31" t="s">
        <v>114</v>
      </c>
      <c r="K1827" s="31"/>
      <c r="N1827" s="13" t="s">
        <v>29</v>
      </c>
      <c r="O1827" s="24" t="str">
        <f>IF(D1827="","",IF(COUNTIF(离职清单!C:C,D1827)&gt;0,"已离职","在职"))</f>
        <v>在职</v>
      </c>
      <c r="P1827" s="24">
        <f>IF(AND(O1827="在职",J1827="是"),COUNTIF(O$2:O1827,"在职"),"")</f>
        <v>1820</v>
      </c>
    </row>
    <row r="1828" ht="18" spans="1:16">
      <c r="A1828" s="10">
        <f t="shared" si="33"/>
        <v>1827</v>
      </c>
      <c r="B1828" s="31">
        <v>46185</v>
      </c>
      <c r="C1828" s="32" t="s">
        <v>1919</v>
      </c>
      <c r="D1828" s="120" t="s">
        <v>488</v>
      </c>
      <c r="E1828" s="33" t="s">
        <v>43</v>
      </c>
      <c r="F1828" s="18" t="s">
        <v>63</v>
      </c>
      <c r="G1828" s="18" t="s">
        <v>148</v>
      </c>
      <c r="H1828" s="34" t="s">
        <v>85</v>
      </c>
      <c r="I1828" s="18" t="s">
        <v>104</v>
      </c>
      <c r="J1828" s="31" t="s">
        <v>114</v>
      </c>
      <c r="K1828" s="31">
        <v>46186</v>
      </c>
      <c r="N1828" s="13" t="s">
        <v>29</v>
      </c>
      <c r="O1828" s="24" t="str">
        <f>IF(D1828="","",IF(COUNTIF(离职清单!C:C,D1828)&gt;0,"已离职","在职"))</f>
        <v>在职</v>
      </c>
      <c r="P1828" s="24">
        <f>IF(AND(O1828="在职",J1828="是"),COUNTIF(O$2:O1828,"在职"),"")</f>
        <v>1821</v>
      </c>
    </row>
    <row r="1829" ht="18" spans="1:16">
      <c r="A1829" s="14">
        <f t="shared" si="33"/>
        <v>1828</v>
      </c>
      <c r="B1829" s="31">
        <v>46185</v>
      </c>
      <c r="C1829" s="32" t="s">
        <v>1920</v>
      </c>
      <c r="D1829" s="120" t="s">
        <v>490</v>
      </c>
      <c r="E1829" s="33" t="s">
        <v>43</v>
      </c>
      <c r="F1829" s="18" t="s">
        <v>63</v>
      </c>
      <c r="G1829" s="18" t="s">
        <v>148</v>
      </c>
      <c r="H1829" s="34" t="s">
        <v>85</v>
      </c>
      <c r="I1829" s="18" t="s">
        <v>104</v>
      </c>
      <c r="J1829" s="31" t="s">
        <v>114</v>
      </c>
      <c r="K1829" s="31">
        <v>46186</v>
      </c>
      <c r="N1829" s="13" t="s">
        <v>29</v>
      </c>
      <c r="O1829" s="24" t="str">
        <f>IF(D1829="","",IF(COUNTIF(离职清单!C:C,D1829)&gt;0,"已离职","在职"))</f>
        <v>在职</v>
      </c>
      <c r="P1829" s="24">
        <f>IF(AND(O1829="在职",J1829="是"),COUNTIF(O$2:O1829,"在职"),"")</f>
        <v>1822</v>
      </c>
    </row>
    <row r="1830" ht="18" spans="1:16">
      <c r="A1830" s="10">
        <f t="shared" si="33"/>
        <v>1829</v>
      </c>
      <c r="B1830" s="31">
        <v>46185</v>
      </c>
      <c r="C1830" s="32" t="s">
        <v>1921</v>
      </c>
      <c r="D1830" s="120" t="s">
        <v>492</v>
      </c>
      <c r="E1830" s="33" t="s">
        <v>43</v>
      </c>
      <c r="F1830" s="18" t="s">
        <v>62</v>
      </c>
      <c r="G1830" s="18" t="s">
        <v>173</v>
      </c>
      <c r="H1830" s="34" t="s">
        <v>85</v>
      </c>
      <c r="I1830" s="18" t="s">
        <v>104</v>
      </c>
      <c r="J1830" s="31" t="s">
        <v>114</v>
      </c>
      <c r="K1830" s="31">
        <v>46186</v>
      </c>
      <c r="N1830" s="13" t="s">
        <v>29</v>
      </c>
      <c r="O1830" s="24" t="str">
        <f>IF(D1830="","",IF(COUNTIF(离职清单!C:C,D1830)&gt;0,"已离职","在职"))</f>
        <v>在职</v>
      </c>
      <c r="P1830" s="24">
        <f>IF(AND(O1830="在职",J1830="是"),COUNTIF(O$2:O1830,"在职"),"")</f>
        <v>1823</v>
      </c>
    </row>
    <row r="1831" ht="18" spans="1:16">
      <c r="A1831" s="14">
        <f t="shared" si="33"/>
        <v>1830</v>
      </c>
      <c r="B1831" s="31">
        <v>46185</v>
      </c>
      <c r="C1831" s="32" t="s">
        <v>1922</v>
      </c>
      <c r="D1831" s="120" t="s">
        <v>477</v>
      </c>
      <c r="E1831" s="33" t="s">
        <v>43</v>
      </c>
      <c r="F1831" s="18" t="s">
        <v>63</v>
      </c>
      <c r="G1831" s="18" t="s">
        <v>173</v>
      </c>
      <c r="H1831" s="34" t="s">
        <v>85</v>
      </c>
      <c r="I1831" s="18" t="s">
        <v>104</v>
      </c>
      <c r="J1831" s="31" t="s">
        <v>114</v>
      </c>
      <c r="K1831" s="31">
        <v>46187</v>
      </c>
      <c r="N1831" s="13" t="s">
        <v>29</v>
      </c>
      <c r="O1831" s="24" t="str">
        <f>IF(D1831="","",IF(COUNTIF(离职清单!C:C,D1831)&gt;0,"已离职","在职"))</f>
        <v>在职</v>
      </c>
      <c r="P1831" s="24">
        <f>IF(AND(O1831="在职",J1831="是"),COUNTIF(O$2:O1831,"在职"),"")</f>
        <v>1824</v>
      </c>
    </row>
    <row r="1832" ht="18" spans="1:16">
      <c r="A1832" s="10">
        <f t="shared" si="33"/>
        <v>1831</v>
      </c>
      <c r="B1832" s="31">
        <v>46185</v>
      </c>
      <c r="C1832" s="32" t="s">
        <v>811</v>
      </c>
      <c r="D1832" s="120" t="s">
        <v>477</v>
      </c>
      <c r="E1832" s="33" t="s">
        <v>43</v>
      </c>
      <c r="F1832" s="18" t="s">
        <v>63</v>
      </c>
      <c r="G1832" s="18" t="s">
        <v>124</v>
      </c>
      <c r="H1832" s="34" t="s">
        <v>85</v>
      </c>
      <c r="I1832" s="18" t="s">
        <v>104</v>
      </c>
      <c r="J1832" s="31" t="s">
        <v>114</v>
      </c>
      <c r="K1832" s="31">
        <v>46187</v>
      </c>
      <c r="N1832" s="13" t="s">
        <v>29</v>
      </c>
      <c r="O1832" s="24" t="str">
        <f>IF(D1832="","",IF(COUNTIF(离职清单!C:C,D1832)&gt;0,"已离职","在职"))</f>
        <v>在职</v>
      </c>
      <c r="P1832" s="24">
        <f>IF(AND(O1832="在职",J1832="是"),COUNTIF(O$2:O1832,"在职"),"")</f>
        <v>1825</v>
      </c>
    </row>
    <row r="1833" ht="18" spans="1:16">
      <c r="A1833" s="14">
        <f t="shared" si="33"/>
        <v>1832</v>
      </c>
      <c r="B1833" s="31">
        <v>46185</v>
      </c>
      <c r="C1833" s="32" t="s">
        <v>1923</v>
      </c>
      <c r="D1833" s="120" t="s">
        <v>478</v>
      </c>
      <c r="E1833" s="33" t="s">
        <v>43</v>
      </c>
      <c r="F1833" s="18" t="s">
        <v>64</v>
      </c>
      <c r="G1833" s="18" t="s">
        <v>124</v>
      </c>
      <c r="H1833" s="34" t="s">
        <v>85</v>
      </c>
      <c r="I1833" s="18" t="s">
        <v>104</v>
      </c>
      <c r="J1833" s="31" t="s">
        <v>105</v>
      </c>
      <c r="K1833" s="31"/>
      <c r="N1833" s="13" t="s">
        <v>29</v>
      </c>
      <c r="O1833" s="24" t="str">
        <f>IF(D1833="","",IF(COUNTIF(离职清单!C:C,D1833)&gt;0,"已离职","在职"))</f>
        <v>在职</v>
      </c>
      <c r="P1833" s="24" t="str">
        <f>IF(AND(O1833="在职",J1833="是"),COUNTIF(O$2:O1833,"在职"),"")</f>
        <v/>
      </c>
    </row>
    <row r="1834" ht="18" spans="1:16">
      <c r="A1834" s="10">
        <f t="shared" si="33"/>
        <v>1833</v>
      </c>
      <c r="B1834" s="31">
        <v>46185</v>
      </c>
      <c r="C1834" s="32" t="s">
        <v>1924</v>
      </c>
      <c r="D1834" s="120" t="s">
        <v>480</v>
      </c>
      <c r="E1834" s="33" t="s">
        <v>43</v>
      </c>
      <c r="F1834" s="18" t="s">
        <v>62</v>
      </c>
      <c r="G1834" s="18" t="s">
        <v>796</v>
      </c>
      <c r="H1834" s="34" t="s">
        <v>85</v>
      </c>
      <c r="I1834" s="18" t="s">
        <v>104</v>
      </c>
      <c r="J1834" s="31" t="s">
        <v>105</v>
      </c>
      <c r="K1834" s="31"/>
      <c r="N1834" s="13" t="s">
        <v>29</v>
      </c>
      <c r="O1834" s="24" t="str">
        <f>IF(D1834="","",IF(COUNTIF(离职清单!C:C,D1834)&gt;0,"已离职","在职"))</f>
        <v>在职</v>
      </c>
      <c r="P1834" s="24" t="str">
        <f>IF(AND(O1834="在职",J1834="是"),COUNTIF(O$2:O1834,"在职"),"")</f>
        <v/>
      </c>
    </row>
    <row r="1835" ht="18" spans="1:16">
      <c r="A1835" s="14">
        <f t="shared" si="33"/>
        <v>1834</v>
      </c>
      <c r="B1835" s="31">
        <v>46185</v>
      </c>
      <c r="C1835" s="32" t="s">
        <v>1925</v>
      </c>
      <c r="D1835" s="120" t="s">
        <v>482</v>
      </c>
      <c r="E1835" s="33" t="s">
        <v>43</v>
      </c>
      <c r="F1835" s="18" t="s">
        <v>63</v>
      </c>
      <c r="G1835" s="18" t="s">
        <v>179</v>
      </c>
      <c r="H1835" s="34" t="s">
        <v>85</v>
      </c>
      <c r="I1835" s="18" t="s">
        <v>104</v>
      </c>
      <c r="J1835" s="31" t="s">
        <v>114</v>
      </c>
      <c r="K1835" s="31">
        <v>46186</v>
      </c>
      <c r="N1835" s="13" t="s">
        <v>29</v>
      </c>
      <c r="O1835" s="24" t="str">
        <f>IF(D1835="","",IF(COUNTIF(离职清单!C:C,D1835)&gt;0,"已离职","在职"))</f>
        <v>在职</v>
      </c>
      <c r="P1835" s="24">
        <f>IF(AND(O1835="在职",J1835="是"),COUNTIF(O$2:O1835,"在职"),"")</f>
        <v>1828</v>
      </c>
    </row>
    <row r="1836" ht="18" spans="1:16">
      <c r="A1836" s="10">
        <f t="shared" ref="A1836:A1899" si="34">IF(B1836&lt;&gt;"",ROW()-1,"")</f>
        <v>1835</v>
      </c>
      <c r="B1836" s="31">
        <v>46185</v>
      </c>
      <c r="C1836" s="32" t="s">
        <v>1926</v>
      </c>
      <c r="D1836" s="120" t="s">
        <v>484</v>
      </c>
      <c r="E1836" s="33" t="s">
        <v>43</v>
      </c>
      <c r="F1836" s="18" t="s">
        <v>63</v>
      </c>
      <c r="G1836" s="18" t="s">
        <v>132</v>
      </c>
      <c r="H1836" s="34" t="s">
        <v>85</v>
      </c>
      <c r="I1836" s="18" t="s">
        <v>104</v>
      </c>
      <c r="J1836" s="31" t="s">
        <v>105</v>
      </c>
      <c r="K1836" s="31"/>
      <c r="N1836" s="13" t="s">
        <v>29</v>
      </c>
      <c r="O1836" s="24" t="str">
        <f>IF(D1836="","",IF(COUNTIF(离职清单!C:C,D1836)&gt;0,"已离职","在职"))</f>
        <v>在职</v>
      </c>
      <c r="P1836" s="24" t="str">
        <f>IF(AND(O1836="在职",J1836="是"),COUNTIF(O$2:O1836,"在职"),"")</f>
        <v/>
      </c>
    </row>
    <row r="1837" ht="18" spans="1:16">
      <c r="A1837" s="14">
        <f t="shared" si="34"/>
        <v>1836</v>
      </c>
      <c r="B1837" s="31">
        <v>46185</v>
      </c>
      <c r="C1837" s="32" t="s">
        <v>1927</v>
      </c>
      <c r="D1837" s="120" t="s">
        <v>486</v>
      </c>
      <c r="E1837" s="33" t="s">
        <v>43</v>
      </c>
      <c r="F1837" s="18" t="s">
        <v>64</v>
      </c>
      <c r="G1837" s="18" t="s">
        <v>246</v>
      </c>
      <c r="H1837" s="34" t="s">
        <v>85</v>
      </c>
      <c r="I1837" s="18" t="s">
        <v>104</v>
      </c>
      <c r="J1837" s="31" t="s">
        <v>105</v>
      </c>
      <c r="K1837" s="31"/>
      <c r="N1837" s="13" t="s">
        <v>29</v>
      </c>
      <c r="O1837" s="24" t="str">
        <f>IF(D1837="","",IF(COUNTIF(离职清单!C:C,D1837)&gt;0,"已离职","在职"))</f>
        <v>在职</v>
      </c>
      <c r="P1837" s="24" t="str">
        <f>IF(AND(O1837="在职",J1837="是"),COUNTIF(O$2:O1837,"在职"),"")</f>
        <v/>
      </c>
    </row>
    <row r="1838" ht="18" spans="1:16">
      <c r="A1838" s="10">
        <f t="shared" si="34"/>
        <v>1837</v>
      </c>
      <c r="B1838" s="31">
        <v>46185</v>
      </c>
      <c r="C1838" s="32" t="s">
        <v>1928</v>
      </c>
      <c r="D1838" s="120" t="s">
        <v>488</v>
      </c>
      <c r="E1838" s="33" t="s">
        <v>43</v>
      </c>
      <c r="F1838" s="18" t="s">
        <v>62</v>
      </c>
      <c r="G1838" s="18" t="s">
        <v>307</v>
      </c>
      <c r="H1838" s="34" t="s">
        <v>85</v>
      </c>
      <c r="I1838" s="18" t="s">
        <v>104</v>
      </c>
      <c r="J1838" s="31" t="s">
        <v>105</v>
      </c>
      <c r="K1838" s="31"/>
      <c r="N1838" s="13" t="s">
        <v>29</v>
      </c>
      <c r="O1838" s="24" t="str">
        <f>IF(D1838="","",IF(COUNTIF(离职清单!C:C,D1838)&gt;0,"已离职","在职"))</f>
        <v>在职</v>
      </c>
      <c r="P1838" s="24" t="str">
        <f>IF(AND(O1838="在职",J1838="是"),COUNTIF(O$2:O1838,"在职"),"")</f>
        <v/>
      </c>
    </row>
    <row r="1839" ht="18" spans="1:16">
      <c r="A1839" s="14">
        <f t="shared" si="34"/>
        <v>1838</v>
      </c>
      <c r="B1839" s="31">
        <v>46185</v>
      </c>
      <c r="C1839" s="32" t="s">
        <v>1929</v>
      </c>
      <c r="D1839" s="120" t="s">
        <v>490</v>
      </c>
      <c r="E1839" s="33" t="s">
        <v>43</v>
      </c>
      <c r="F1839" s="18" t="s">
        <v>64</v>
      </c>
      <c r="G1839" s="18" t="s">
        <v>307</v>
      </c>
      <c r="H1839" s="34" t="s">
        <v>85</v>
      </c>
      <c r="I1839" s="18" t="s">
        <v>104</v>
      </c>
      <c r="J1839" s="31" t="s">
        <v>105</v>
      </c>
      <c r="K1839" s="31"/>
      <c r="N1839" s="13" t="s">
        <v>29</v>
      </c>
      <c r="O1839" s="24" t="str">
        <f>IF(D1839="","",IF(COUNTIF(离职清单!C:C,D1839)&gt;0,"已离职","在职"))</f>
        <v>在职</v>
      </c>
      <c r="P1839" s="24" t="str">
        <f>IF(AND(O1839="在职",J1839="是"),COUNTIF(O$2:O1839,"在职"),"")</f>
        <v/>
      </c>
    </row>
    <row r="1840" ht="18" spans="1:16">
      <c r="A1840" s="10">
        <f t="shared" si="34"/>
        <v>1839</v>
      </c>
      <c r="B1840" s="31">
        <v>46185</v>
      </c>
      <c r="C1840" s="32" t="s">
        <v>1930</v>
      </c>
      <c r="D1840" s="120" t="s">
        <v>492</v>
      </c>
      <c r="E1840" s="33" t="s">
        <v>43</v>
      </c>
      <c r="F1840" s="18" t="s">
        <v>63</v>
      </c>
      <c r="G1840" s="18" t="s">
        <v>148</v>
      </c>
      <c r="H1840" s="34" t="s">
        <v>85</v>
      </c>
      <c r="I1840" s="18" t="s">
        <v>104</v>
      </c>
      <c r="J1840" s="31" t="s">
        <v>105</v>
      </c>
      <c r="K1840" s="31"/>
      <c r="N1840" s="13" t="s">
        <v>29</v>
      </c>
      <c r="O1840" s="24" t="str">
        <f>IF(D1840="","",IF(COUNTIF(离职清单!C:C,D1840)&gt;0,"已离职","在职"))</f>
        <v>在职</v>
      </c>
      <c r="P1840" s="24" t="str">
        <f>IF(AND(O1840="在职",J1840="是"),COUNTIF(O$2:O1840,"在职"),"")</f>
        <v/>
      </c>
    </row>
    <row r="1841" ht="18" spans="1:16">
      <c r="A1841" s="14">
        <f t="shared" si="34"/>
        <v>1840</v>
      </c>
      <c r="B1841" s="31">
        <v>46185</v>
      </c>
      <c r="C1841" s="32" t="s">
        <v>574</v>
      </c>
      <c r="D1841" s="120" t="s">
        <v>477</v>
      </c>
      <c r="E1841" s="33" t="s">
        <v>43</v>
      </c>
      <c r="F1841" s="18" t="s">
        <v>62</v>
      </c>
      <c r="G1841" s="18" t="s">
        <v>148</v>
      </c>
      <c r="H1841" s="34" t="s">
        <v>85</v>
      </c>
      <c r="I1841" s="18" t="s">
        <v>104</v>
      </c>
      <c r="J1841" s="31" t="s">
        <v>114</v>
      </c>
      <c r="K1841" s="31">
        <v>46186</v>
      </c>
      <c r="N1841" s="13" t="s">
        <v>29</v>
      </c>
      <c r="O1841" s="24" t="str">
        <f>IF(D1841="","",IF(COUNTIF(离职清单!C:C,D1841)&gt;0,"已离职","在职"))</f>
        <v>在职</v>
      </c>
      <c r="P1841" s="24">
        <f>IF(AND(O1841="在职",J1841="是"),COUNTIF(O$2:O1841,"在职"),"")</f>
        <v>1834</v>
      </c>
    </row>
    <row r="1842" ht="18" spans="1:16">
      <c r="A1842" s="10">
        <f t="shared" si="34"/>
        <v>1841</v>
      </c>
      <c r="B1842" s="31">
        <v>46185</v>
      </c>
      <c r="C1842" s="32" t="s">
        <v>1931</v>
      </c>
      <c r="D1842" s="120" t="s">
        <v>478</v>
      </c>
      <c r="E1842" s="33" t="s">
        <v>43</v>
      </c>
      <c r="F1842" s="18" t="s">
        <v>63</v>
      </c>
      <c r="G1842" s="18" t="s">
        <v>148</v>
      </c>
      <c r="H1842" s="34" t="s">
        <v>85</v>
      </c>
      <c r="I1842" s="18" t="s">
        <v>104</v>
      </c>
      <c r="J1842" s="31" t="s">
        <v>114</v>
      </c>
      <c r="K1842" s="31">
        <v>46186</v>
      </c>
      <c r="N1842" s="13" t="s">
        <v>29</v>
      </c>
      <c r="O1842" s="24" t="str">
        <f>IF(D1842="","",IF(COUNTIF(离职清单!C:C,D1842)&gt;0,"已离职","在职"))</f>
        <v>在职</v>
      </c>
      <c r="P1842" s="24">
        <f>IF(AND(O1842="在职",J1842="是"),COUNTIF(O$2:O1842,"在职"),"")</f>
        <v>1835</v>
      </c>
    </row>
    <row r="1843" ht="18" spans="1:16">
      <c r="A1843" s="14">
        <f t="shared" si="34"/>
        <v>1842</v>
      </c>
      <c r="B1843" s="31">
        <v>46185</v>
      </c>
      <c r="C1843" s="32" t="s">
        <v>1932</v>
      </c>
      <c r="D1843" s="120" t="s">
        <v>480</v>
      </c>
      <c r="E1843" s="33" t="s">
        <v>43</v>
      </c>
      <c r="F1843" s="18" t="s">
        <v>62</v>
      </c>
      <c r="G1843" s="18" t="s">
        <v>148</v>
      </c>
      <c r="H1843" s="34" t="s">
        <v>85</v>
      </c>
      <c r="I1843" s="18" t="s">
        <v>104</v>
      </c>
      <c r="J1843" s="31" t="s">
        <v>114</v>
      </c>
      <c r="K1843" s="31">
        <v>46186</v>
      </c>
      <c r="N1843" s="13" t="s">
        <v>29</v>
      </c>
      <c r="O1843" s="24" t="str">
        <f>IF(D1843="","",IF(COUNTIF(离职清单!C:C,D1843)&gt;0,"已离职","在职"))</f>
        <v>在职</v>
      </c>
      <c r="P1843" s="24">
        <f>IF(AND(O1843="在职",J1843="是"),COUNTIF(O$2:O1843,"在职"),"")</f>
        <v>1836</v>
      </c>
    </row>
    <row r="1844" ht="18" spans="1:16">
      <c r="A1844" s="10">
        <f t="shared" si="34"/>
        <v>1843</v>
      </c>
      <c r="B1844" s="31">
        <v>46185</v>
      </c>
      <c r="C1844" s="32" t="s">
        <v>1065</v>
      </c>
      <c r="D1844" s="120" t="s">
        <v>482</v>
      </c>
      <c r="E1844" s="33" t="s">
        <v>43</v>
      </c>
      <c r="F1844" s="18" t="s">
        <v>63</v>
      </c>
      <c r="G1844" s="18" t="s">
        <v>1933</v>
      </c>
      <c r="H1844" s="34" t="s">
        <v>85</v>
      </c>
      <c r="I1844" s="18" t="s">
        <v>104</v>
      </c>
      <c r="J1844" s="31" t="s">
        <v>114</v>
      </c>
      <c r="K1844" s="31"/>
      <c r="N1844" s="13" t="s">
        <v>29</v>
      </c>
      <c r="O1844" s="24" t="str">
        <f>IF(D1844="","",IF(COUNTIF(离职清单!C:C,D1844)&gt;0,"已离职","在职"))</f>
        <v>在职</v>
      </c>
      <c r="P1844" s="24">
        <f>IF(AND(O1844="在职",J1844="是"),COUNTIF(O$2:O1844,"在职"),"")</f>
        <v>1837</v>
      </c>
    </row>
    <row r="1845" ht="18" spans="1:16">
      <c r="A1845" s="14">
        <f t="shared" si="34"/>
        <v>1844</v>
      </c>
      <c r="B1845" s="31">
        <v>46185</v>
      </c>
      <c r="C1845" s="32" t="s">
        <v>1066</v>
      </c>
      <c r="D1845" s="120" t="s">
        <v>484</v>
      </c>
      <c r="E1845" s="33" t="s">
        <v>43</v>
      </c>
      <c r="F1845" s="18" t="s">
        <v>64</v>
      </c>
      <c r="G1845" s="18" t="s">
        <v>1933</v>
      </c>
      <c r="H1845" s="34" t="s">
        <v>85</v>
      </c>
      <c r="I1845" s="18" t="s">
        <v>104</v>
      </c>
      <c r="J1845" s="31" t="s">
        <v>105</v>
      </c>
      <c r="K1845" s="31"/>
      <c r="N1845" s="13" t="s">
        <v>29</v>
      </c>
      <c r="O1845" s="24" t="str">
        <f>IF(D1845="","",IF(COUNTIF(离职清单!C:C,D1845)&gt;0,"已离职","在职"))</f>
        <v>在职</v>
      </c>
      <c r="P1845" s="24" t="str">
        <f>IF(AND(O1845="在职",J1845="是"),COUNTIF(O$2:O1845,"在职"),"")</f>
        <v/>
      </c>
    </row>
    <row r="1846" ht="18" spans="1:16">
      <c r="A1846" s="10">
        <f t="shared" si="34"/>
        <v>1845</v>
      </c>
      <c r="B1846" s="31">
        <v>46185</v>
      </c>
      <c r="C1846" s="32" t="s">
        <v>1934</v>
      </c>
      <c r="D1846" s="120" t="s">
        <v>486</v>
      </c>
      <c r="E1846" s="33" t="s">
        <v>73</v>
      </c>
      <c r="F1846" s="18" t="s">
        <v>63</v>
      </c>
      <c r="G1846" s="18" t="s">
        <v>1056</v>
      </c>
      <c r="H1846" s="34" t="s">
        <v>85</v>
      </c>
      <c r="I1846" s="18" t="s">
        <v>104</v>
      </c>
      <c r="J1846" s="31" t="s">
        <v>105</v>
      </c>
      <c r="K1846" s="31"/>
      <c r="N1846" s="13" t="s">
        <v>29</v>
      </c>
      <c r="O1846" s="24" t="str">
        <f>IF(D1846="","",IF(COUNTIF(离职清单!C:C,D1846)&gt;0,"已离职","在职"))</f>
        <v>在职</v>
      </c>
      <c r="P1846" s="24" t="str">
        <f>IF(AND(O1846="在职",J1846="是"),COUNTIF(O$2:O1846,"在职"),"")</f>
        <v/>
      </c>
    </row>
    <row r="1847" ht="18" spans="1:16">
      <c r="A1847" s="14">
        <f t="shared" si="34"/>
        <v>1846</v>
      </c>
      <c r="B1847" s="31">
        <v>46185</v>
      </c>
      <c r="C1847" s="32" t="s">
        <v>1935</v>
      </c>
      <c r="D1847" s="120" t="s">
        <v>488</v>
      </c>
      <c r="E1847" s="33" t="s">
        <v>73</v>
      </c>
      <c r="F1847" s="18" t="s">
        <v>63</v>
      </c>
      <c r="G1847" s="18" t="s">
        <v>129</v>
      </c>
      <c r="H1847" s="34" t="s">
        <v>85</v>
      </c>
      <c r="I1847" s="18" t="s">
        <v>104</v>
      </c>
      <c r="J1847" s="31" t="s">
        <v>105</v>
      </c>
      <c r="K1847" s="31"/>
      <c r="N1847" s="13" t="s">
        <v>29</v>
      </c>
      <c r="O1847" s="24" t="str">
        <f>IF(D1847="","",IF(COUNTIF(离职清单!C:C,D1847)&gt;0,"已离职","在职"))</f>
        <v>在职</v>
      </c>
      <c r="P1847" s="24" t="str">
        <f>IF(AND(O1847="在职",J1847="是"),COUNTIF(O$2:O1847,"在职"),"")</f>
        <v/>
      </c>
    </row>
    <row r="1848" ht="18" spans="1:16">
      <c r="A1848" s="10">
        <f t="shared" si="34"/>
        <v>1847</v>
      </c>
      <c r="B1848" s="31">
        <v>46185</v>
      </c>
      <c r="C1848" s="32" t="s">
        <v>1936</v>
      </c>
      <c r="D1848" s="120" t="s">
        <v>490</v>
      </c>
      <c r="E1848" s="33" t="s">
        <v>73</v>
      </c>
      <c r="F1848" s="18" t="s">
        <v>62</v>
      </c>
      <c r="G1848" s="18" t="s">
        <v>124</v>
      </c>
      <c r="H1848" s="34" t="s">
        <v>85</v>
      </c>
      <c r="I1848" s="18" t="s">
        <v>104</v>
      </c>
      <c r="J1848" s="31" t="s">
        <v>105</v>
      </c>
      <c r="K1848" s="31"/>
      <c r="N1848" s="13" t="s">
        <v>29</v>
      </c>
      <c r="O1848" s="24" t="str">
        <f>IF(D1848="","",IF(COUNTIF(离职清单!C:C,D1848)&gt;0,"已离职","在职"))</f>
        <v>在职</v>
      </c>
      <c r="P1848" s="24" t="str">
        <f>IF(AND(O1848="在职",J1848="是"),COUNTIF(O$2:O1848,"在职"),"")</f>
        <v/>
      </c>
    </row>
    <row r="1849" ht="18" spans="1:16">
      <c r="A1849" s="14">
        <f t="shared" si="34"/>
        <v>1848</v>
      </c>
      <c r="B1849" s="31">
        <v>46185</v>
      </c>
      <c r="C1849" s="32" t="s">
        <v>1937</v>
      </c>
      <c r="D1849" s="120" t="s">
        <v>492</v>
      </c>
      <c r="E1849" s="33" t="s">
        <v>73</v>
      </c>
      <c r="F1849" s="18" t="s">
        <v>63</v>
      </c>
      <c r="G1849" s="18" t="s">
        <v>132</v>
      </c>
      <c r="H1849" s="34" t="s">
        <v>85</v>
      </c>
      <c r="I1849" s="18" t="s">
        <v>104</v>
      </c>
      <c r="J1849" s="31" t="s">
        <v>105</v>
      </c>
      <c r="K1849" s="31"/>
      <c r="N1849" s="13" t="s">
        <v>29</v>
      </c>
      <c r="O1849" s="24" t="str">
        <f>IF(D1849="","",IF(COUNTIF(离职清单!C:C,D1849)&gt;0,"已离职","在职"))</f>
        <v>在职</v>
      </c>
      <c r="P1849" s="24" t="str">
        <f>IF(AND(O1849="在职",J1849="是"),COUNTIF(O$2:O1849,"在职"),"")</f>
        <v/>
      </c>
    </row>
    <row r="1850" ht="18" spans="1:16">
      <c r="A1850" s="10">
        <f t="shared" si="34"/>
        <v>1849</v>
      </c>
      <c r="B1850" s="31">
        <v>46186</v>
      </c>
      <c r="C1850" s="32" t="s">
        <v>1938</v>
      </c>
      <c r="D1850" s="120" t="s">
        <v>477</v>
      </c>
      <c r="E1850" s="33" t="s">
        <v>43</v>
      </c>
      <c r="F1850" s="18" t="s">
        <v>62</v>
      </c>
      <c r="G1850" s="18" t="s">
        <v>129</v>
      </c>
      <c r="H1850" s="34" t="s">
        <v>85</v>
      </c>
      <c r="I1850" s="18" t="s">
        <v>104</v>
      </c>
      <c r="J1850" s="31" t="s">
        <v>114</v>
      </c>
      <c r="K1850" s="31">
        <v>46187</v>
      </c>
      <c r="N1850" s="13" t="s">
        <v>29</v>
      </c>
      <c r="O1850" s="24" t="str">
        <f>IF(D1850="","",IF(COUNTIF(离职清单!C:C,D1850)&gt;0,"已离职","在职"))</f>
        <v>在职</v>
      </c>
      <c r="P1850" s="24">
        <f>IF(AND(O1850="在职",J1850="是"),COUNTIF(O$2:O1850,"在职"),"")</f>
        <v>1843</v>
      </c>
    </row>
    <row r="1851" ht="18" spans="1:16">
      <c r="A1851" s="14">
        <f t="shared" si="34"/>
        <v>1850</v>
      </c>
      <c r="B1851" s="31">
        <v>46186</v>
      </c>
      <c r="C1851" s="32" t="s">
        <v>1821</v>
      </c>
      <c r="D1851" s="120" t="s">
        <v>478</v>
      </c>
      <c r="E1851" s="33" t="s">
        <v>43</v>
      </c>
      <c r="F1851" s="18" t="s">
        <v>63</v>
      </c>
      <c r="G1851" s="18" t="s">
        <v>129</v>
      </c>
      <c r="H1851" s="34" t="s">
        <v>85</v>
      </c>
      <c r="I1851" s="18" t="s">
        <v>104</v>
      </c>
      <c r="J1851" s="31" t="s">
        <v>114</v>
      </c>
      <c r="K1851" s="31">
        <v>46187</v>
      </c>
      <c r="N1851" s="13" t="s">
        <v>29</v>
      </c>
      <c r="O1851" s="24" t="str">
        <f>IF(D1851="","",IF(COUNTIF(离职清单!C:C,D1851)&gt;0,"已离职","在职"))</f>
        <v>在职</v>
      </c>
      <c r="P1851" s="24">
        <f>IF(AND(O1851="在职",J1851="是"),COUNTIF(O$2:O1851,"在职"),"")</f>
        <v>1844</v>
      </c>
    </row>
    <row r="1852" ht="18" spans="1:16">
      <c r="A1852" s="10">
        <f t="shared" si="34"/>
        <v>1851</v>
      </c>
      <c r="B1852" s="31">
        <v>46186</v>
      </c>
      <c r="C1852" s="32" t="s">
        <v>1939</v>
      </c>
      <c r="D1852" s="120" t="s">
        <v>480</v>
      </c>
      <c r="E1852" s="33" t="s">
        <v>43</v>
      </c>
      <c r="F1852" s="18" t="s">
        <v>63</v>
      </c>
      <c r="G1852" s="18" t="s">
        <v>129</v>
      </c>
      <c r="H1852" s="34" t="s">
        <v>85</v>
      </c>
      <c r="I1852" s="18" t="s">
        <v>104</v>
      </c>
      <c r="J1852" s="31" t="s">
        <v>114</v>
      </c>
      <c r="K1852" s="31">
        <v>46187</v>
      </c>
      <c r="N1852" s="13" t="s">
        <v>29</v>
      </c>
      <c r="O1852" s="24" t="str">
        <f>IF(D1852="","",IF(COUNTIF(离职清单!C:C,D1852)&gt;0,"已离职","在职"))</f>
        <v>在职</v>
      </c>
      <c r="P1852" s="24">
        <f>IF(AND(O1852="在职",J1852="是"),COUNTIF(O$2:O1852,"在职"),"")</f>
        <v>1845</v>
      </c>
    </row>
    <row r="1853" ht="18" spans="1:16">
      <c r="A1853" s="14">
        <f t="shared" si="34"/>
        <v>1852</v>
      </c>
      <c r="B1853" s="31">
        <v>46186</v>
      </c>
      <c r="C1853" s="32" t="s">
        <v>1940</v>
      </c>
      <c r="D1853" s="120" t="s">
        <v>482</v>
      </c>
      <c r="E1853" s="33" t="s">
        <v>43</v>
      </c>
      <c r="F1853" s="18" t="s">
        <v>63</v>
      </c>
      <c r="G1853" s="18" t="s">
        <v>129</v>
      </c>
      <c r="H1853" s="34" t="s">
        <v>85</v>
      </c>
      <c r="I1853" s="18" t="s">
        <v>104</v>
      </c>
      <c r="J1853" s="31" t="s">
        <v>114</v>
      </c>
      <c r="K1853" s="31">
        <v>46187</v>
      </c>
      <c r="N1853" s="13" t="s">
        <v>29</v>
      </c>
      <c r="O1853" s="24" t="str">
        <f>IF(D1853="","",IF(COUNTIF(离职清单!C:C,D1853)&gt;0,"已离职","在职"))</f>
        <v>在职</v>
      </c>
      <c r="P1853" s="24">
        <f>IF(AND(O1853="在职",J1853="是"),COUNTIF(O$2:O1853,"在职"),"")</f>
        <v>1846</v>
      </c>
    </row>
    <row r="1854" ht="18" spans="1:16">
      <c r="A1854" s="10">
        <f t="shared" si="34"/>
        <v>1853</v>
      </c>
      <c r="B1854" s="31">
        <v>46186</v>
      </c>
      <c r="C1854" s="32" t="s">
        <v>1941</v>
      </c>
      <c r="D1854" s="120" t="s">
        <v>484</v>
      </c>
      <c r="E1854" s="33" t="s">
        <v>43</v>
      </c>
      <c r="F1854" s="18" t="s">
        <v>63</v>
      </c>
      <c r="G1854" s="18" t="s">
        <v>129</v>
      </c>
      <c r="H1854" s="34" t="s">
        <v>85</v>
      </c>
      <c r="I1854" s="18" t="s">
        <v>104</v>
      </c>
      <c r="J1854" s="31" t="s">
        <v>114</v>
      </c>
      <c r="K1854" s="31">
        <v>46187</v>
      </c>
      <c r="N1854" s="13" t="s">
        <v>29</v>
      </c>
      <c r="O1854" s="24" t="str">
        <f>IF(D1854="","",IF(COUNTIF(离职清单!C:C,D1854)&gt;0,"已离职","在职"))</f>
        <v>在职</v>
      </c>
      <c r="P1854" s="24">
        <f>IF(AND(O1854="在职",J1854="是"),COUNTIF(O$2:O1854,"在职"),"")</f>
        <v>1847</v>
      </c>
    </row>
    <row r="1855" ht="18" spans="1:16">
      <c r="A1855" s="14">
        <f t="shared" si="34"/>
        <v>1854</v>
      </c>
      <c r="B1855" s="31">
        <v>46186</v>
      </c>
      <c r="C1855" s="32" t="s">
        <v>1942</v>
      </c>
      <c r="D1855" s="120" t="s">
        <v>486</v>
      </c>
      <c r="E1855" s="33" t="s">
        <v>42</v>
      </c>
      <c r="F1855" s="18" t="s">
        <v>62</v>
      </c>
      <c r="G1855" s="18" t="s">
        <v>129</v>
      </c>
      <c r="H1855" s="34" t="s">
        <v>85</v>
      </c>
      <c r="I1855" s="18" t="s">
        <v>104</v>
      </c>
      <c r="J1855" s="31" t="s">
        <v>105</v>
      </c>
      <c r="K1855" s="31"/>
      <c r="N1855" s="13" t="s">
        <v>29</v>
      </c>
      <c r="O1855" s="24" t="str">
        <f>IF(D1855="","",IF(COUNTIF(离职清单!C:C,D1855)&gt;0,"已离职","在职"))</f>
        <v>在职</v>
      </c>
      <c r="P1855" s="24" t="str">
        <f>IF(AND(O1855="在职",J1855="是"),COUNTIF(O$2:O1855,"在职"),"")</f>
        <v/>
      </c>
    </row>
    <row r="1856" ht="18" spans="1:16">
      <c r="A1856" s="10">
        <f t="shared" si="34"/>
        <v>1855</v>
      </c>
      <c r="B1856" s="31">
        <v>46186</v>
      </c>
      <c r="C1856" s="32" t="s">
        <v>1943</v>
      </c>
      <c r="D1856" s="120" t="s">
        <v>488</v>
      </c>
      <c r="E1856" s="33" t="s">
        <v>43</v>
      </c>
      <c r="F1856" s="18" t="s">
        <v>62</v>
      </c>
      <c r="G1856" s="18" t="s">
        <v>129</v>
      </c>
      <c r="H1856" s="34" t="s">
        <v>85</v>
      </c>
      <c r="I1856" s="18" t="s">
        <v>104</v>
      </c>
      <c r="J1856" s="31" t="s">
        <v>114</v>
      </c>
      <c r="K1856" s="31">
        <v>46187</v>
      </c>
      <c r="N1856" s="13" t="s">
        <v>29</v>
      </c>
      <c r="O1856" s="24" t="str">
        <f>IF(D1856="","",IF(COUNTIF(离职清单!C:C,D1856)&gt;0,"已离职","在职"))</f>
        <v>在职</v>
      </c>
      <c r="P1856" s="24">
        <f>IF(AND(O1856="在职",J1856="是"),COUNTIF(O$2:O1856,"在职"),"")</f>
        <v>1849</v>
      </c>
    </row>
    <row r="1857" ht="18" spans="1:16">
      <c r="A1857" s="14">
        <f t="shared" si="34"/>
        <v>1856</v>
      </c>
      <c r="B1857" s="31">
        <v>46186</v>
      </c>
      <c r="C1857" s="32" t="s">
        <v>1944</v>
      </c>
      <c r="D1857" s="120" t="s">
        <v>490</v>
      </c>
      <c r="E1857" s="33" t="s">
        <v>42</v>
      </c>
      <c r="F1857" s="18" t="s">
        <v>63</v>
      </c>
      <c r="G1857" s="18" t="s">
        <v>129</v>
      </c>
      <c r="H1857" s="34" t="s">
        <v>85</v>
      </c>
      <c r="I1857" s="18" t="s">
        <v>104</v>
      </c>
      <c r="J1857" s="31" t="s">
        <v>114</v>
      </c>
      <c r="K1857" s="31">
        <v>46187</v>
      </c>
      <c r="N1857" s="13" t="s">
        <v>29</v>
      </c>
      <c r="O1857" s="24" t="str">
        <f>IF(D1857="","",IF(COUNTIF(离职清单!C:C,D1857)&gt;0,"已离职","在职"))</f>
        <v>在职</v>
      </c>
      <c r="P1857" s="24">
        <f>IF(AND(O1857="在职",J1857="是"),COUNTIF(O$2:O1857,"在职"),"")</f>
        <v>1850</v>
      </c>
    </row>
    <row r="1858" ht="18" spans="1:16">
      <c r="A1858" s="10">
        <f t="shared" si="34"/>
        <v>1857</v>
      </c>
      <c r="B1858" s="31">
        <v>46186</v>
      </c>
      <c r="C1858" s="32" t="s">
        <v>1945</v>
      </c>
      <c r="D1858" s="120" t="s">
        <v>492</v>
      </c>
      <c r="E1858" s="33" t="s">
        <v>43</v>
      </c>
      <c r="F1858" s="18" t="s">
        <v>62</v>
      </c>
      <c r="G1858" s="18" t="s">
        <v>129</v>
      </c>
      <c r="H1858" s="34" t="s">
        <v>85</v>
      </c>
      <c r="I1858" s="18" t="s">
        <v>104</v>
      </c>
      <c r="J1858" s="31" t="s">
        <v>114</v>
      </c>
      <c r="K1858" s="31">
        <v>46187</v>
      </c>
      <c r="N1858" s="13" t="s">
        <v>29</v>
      </c>
      <c r="O1858" s="24" t="str">
        <f>IF(D1858="","",IF(COUNTIF(离职清单!C:C,D1858)&gt;0,"已离职","在职"))</f>
        <v>在职</v>
      </c>
      <c r="P1858" s="24">
        <f>IF(AND(O1858="在职",J1858="是"),COUNTIF(O$2:O1858,"在职"),"")</f>
        <v>1851</v>
      </c>
    </row>
    <row r="1859" ht="18" spans="1:16">
      <c r="A1859" s="14">
        <f t="shared" si="34"/>
        <v>1858</v>
      </c>
      <c r="B1859" s="31">
        <v>46186</v>
      </c>
      <c r="C1859" s="32" t="s">
        <v>1946</v>
      </c>
      <c r="D1859" s="120" t="s">
        <v>477</v>
      </c>
      <c r="E1859" s="33" t="s">
        <v>43</v>
      </c>
      <c r="F1859" s="18" t="s">
        <v>62</v>
      </c>
      <c r="G1859" s="18" t="s">
        <v>129</v>
      </c>
      <c r="H1859" s="34" t="s">
        <v>85</v>
      </c>
      <c r="I1859" s="18" t="s">
        <v>104</v>
      </c>
      <c r="J1859" s="31" t="s">
        <v>114</v>
      </c>
      <c r="K1859" s="31">
        <v>46187</v>
      </c>
      <c r="N1859" s="13" t="s">
        <v>29</v>
      </c>
      <c r="O1859" s="24" t="str">
        <f>IF(D1859="","",IF(COUNTIF(离职清单!C:C,D1859)&gt;0,"已离职","在职"))</f>
        <v>在职</v>
      </c>
      <c r="P1859" s="24">
        <f>IF(AND(O1859="在职",J1859="是"),COUNTIF(O$2:O1859,"在职"),"")</f>
        <v>1852</v>
      </c>
    </row>
    <row r="1860" ht="18" spans="1:16">
      <c r="A1860" s="10">
        <f t="shared" si="34"/>
        <v>1859</v>
      </c>
      <c r="B1860" s="31">
        <v>46186</v>
      </c>
      <c r="C1860" s="32" t="s">
        <v>1947</v>
      </c>
      <c r="D1860" s="120" t="s">
        <v>478</v>
      </c>
      <c r="E1860" s="33" t="s">
        <v>43</v>
      </c>
      <c r="F1860" s="18" t="s">
        <v>62</v>
      </c>
      <c r="G1860" s="18" t="s">
        <v>129</v>
      </c>
      <c r="H1860" s="34" t="s">
        <v>85</v>
      </c>
      <c r="I1860" s="18" t="s">
        <v>104</v>
      </c>
      <c r="J1860" s="31" t="s">
        <v>114</v>
      </c>
      <c r="K1860" s="31">
        <v>46187</v>
      </c>
      <c r="N1860" s="13" t="s">
        <v>29</v>
      </c>
      <c r="O1860" s="24" t="str">
        <f>IF(D1860="","",IF(COUNTIF(离职清单!C:C,D1860)&gt;0,"已离职","在职"))</f>
        <v>在职</v>
      </c>
      <c r="P1860" s="24">
        <f>IF(AND(O1860="在职",J1860="是"),COUNTIF(O$2:O1860,"在职"),"")</f>
        <v>1853</v>
      </c>
    </row>
    <row r="1861" ht="18" spans="1:16">
      <c r="A1861" s="14">
        <f t="shared" si="34"/>
        <v>1860</v>
      </c>
      <c r="B1861" s="31">
        <v>46186</v>
      </c>
      <c r="C1861" s="32" t="s">
        <v>1948</v>
      </c>
      <c r="D1861" s="120" t="s">
        <v>480</v>
      </c>
      <c r="E1861" s="33" t="s">
        <v>43</v>
      </c>
      <c r="F1861" s="18" t="s">
        <v>62</v>
      </c>
      <c r="G1861" s="18" t="s">
        <v>129</v>
      </c>
      <c r="H1861" s="34" t="s">
        <v>85</v>
      </c>
      <c r="I1861" s="18" t="s">
        <v>104</v>
      </c>
      <c r="J1861" s="31" t="s">
        <v>114</v>
      </c>
      <c r="K1861" s="31">
        <v>46187</v>
      </c>
      <c r="N1861" s="13" t="s">
        <v>29</v>
      </c>
      <c r="O1861" s="24" t="str">
        <f>IF(D1861="","",IF(COUNTIF(离职清单!C:C,D1861)&gt;0,"已离职","在职"))</f>
        <v>在职</v>
      </c>
      <c r="P1861" s="24">
        <f>IF(AND(O1861="在职",J1861="是"),COUNTIF(O$2:O1861,"在职"),"")</f>
        <v>1854</v>
      </c>
    </row>
    <row r="1862" ht="18" spans="1:16">
      <c r="A1862" s="10">
        <f t="shared" si="34"/>
        <v>1861</v>
      </c>
      <c r="B1862" s="31">
        <v>46186</v>
      </c>
      <c r="C1862" s="32" t="s">
        <v>1949</v>
      </c>
      <c r="D1862" s="120" t="s">
        <v>482</v>
      </c>
      <c r="E1862" s="33" t="s">
        <v>43</v>
      </c>
      <c r="F1862" s="18" t="s">
        <v>62</v>
      </c>
      <c r="G1862" s="18" t="s">
        <v>129</v>
      </c>
      <c r="H1862" s="34" t="s">
        <v>85</v>
      </c>
      <c r="I1862" s="18" t="s">
        <v>104</v>
      </c>
      <c r="J1862" s="31" t="s">
        <v>114</v>
      </c>
      <c r="K1862" s="31">
        <v>46187</v>
      </c>
      <c r="N1862" s="13" t="s">
        <v>29</v>
      </c>
      <c r="O1862" s="24" t="str">
        <f>IF(D1862="","",IF(COUNTIF(离职清单!C:C,D1862)&gt;0,"已离职","在职"))</f>
        <v>在职</v>
      </c>
      <c r="P1862" s="24">
        <f>IF(AND(O1862="在职",J1862="是"),COUNTIF(O$2:O1862,"在职"),"")</f>
        <v>1855</v>
      </c>
    </row>
    <row r="1863" ht="18" spans="1:16">
      <c r="A1863" s="14">
        <f t="shared" si="34"/>
        <v>1862</v>
      </c>
      <c r="B1863" s="31">
        <v>46186</v>
      </c>
      <c r="C1863" s="32" t="s">
        <v>1950</v>
      </c>
      <c r="D1863" s="120" t="s">
        <v>484</v>
      </c>
      <c r="E1863" s="33" t="s">
        <v>43</v>
      </c>
      <c r="F1863" s="18" t="s">
        <v>62</v>
      </c>
      <c r="G1863" s="18" t="s">
        <v>129</v>
      </c>
      <c r="H1863" s="34" t="s">
        <v>85</v>
      </c>
      <c r="I1863" s="18" t="s">
        <v>104</v>
      </c>
      <c r="J1863" s="31" t="s">
        <v>114</v>
      </c>
      <c r="K1863" s="31"/>
      <c r="N1863" s="13" t="s">
        <v>29</v>
      </c>
      <c r="O1863" s="24" t="str">
        <f>IF(D1863="","",IF(COUNTIF(离职清单!C:C,D1863)&gt;0,"已离职","在职"))</f>
        <v>在职</v>
      </c>
      <c r="P1863" s="24">
        <f>IF(AND(O1863="在职",J1863="是"),COUNTIF(O$2:O1863,"在职"),"")</f>
        <v>1856</v>
      </c>
    </row>
    <row r="1864" ht="18" spans="1:16">
      <c r="A1864" s="10">
        <f t="shared" si="34"/>
        <v>1863</v>
      </c>
      <c r="B1864" s="31">
        <v>46186</v>
      </c>
      <c r="C1864" s="32" t="s">
        <v>1951</v>
      </c>
      <c r="D1864" s="120" t="s">
        <v>486</v>
      </c>
      <c r="E1864" s="33" t="s">
        <v>43</v>
      </c>
      <c r="F1864" s="18" t="s">
        <v>63</v>
      </c>
      <c r="G1864" s="18" t="s">
        <v>1056</v>
      </c>
      <c r="H1864" s="34" t="s">
        <v>85</v>
      </c>
      <c r="I1864" s="18" t="s">
        <v>104</v>
      </c>
      <c r="J1864" s="31" t="s">
        <v>105</v>
      </c>
      <c r="K1864" s="31"/>
      <c r="N1864" s="13" t="s">
        <v>29</v>
      </c>
      <c r="O1864" s="24" t="str">
        <f>IF(D1864="","",IF(COUNTIF(离职清单!C:C,D1864)&gt;0,"已离职","在职"))</f>
        <v>在职</v>
      </c>
      <c r="P1864" s="24" t="str">
        <f>IF(AND(O1864="在职",J1864="是"),COUNTIF(O$2:O1864,"在职"),"")</f>
        <v/>
      </c>
    </row>
    <row r="1865" ht="18" spans="1:16">
      <c r="A1865" s="14">
        <f t="shared" si="34"/>
        <v>1864</v>
      </c>
      <c r="B1865" s="31">
        <v>46186</v>
      </c>
      <c r="C1865" s="32" t="s">
        <v>1952</v>
      </c>
      <c r="D1865" s="120" t="s">
        <v>488</v>
      </c>
      <c r="E1865" s="33" t="s">
        <v>43</v>
      </c>
      <c r="F1865" s="18" t="s">
        <v>64</v>
      </c>
      <c r="G1865" s="18" t="s">
        <v>1056</v>
      </c>
      <c r="H1865" s="34" t="s">
        <v>85</v>
      </c>
      <c r="I1865" s="18" t="s">
        <v>104</v>
      </c>
      <c r="J1865" s="31" t="s">
        <v>105</v>
      </c>
      <c r="K1865" s="31"/>
      <c r="N1865" s="13" t="s">
        <v>29</v>
      </c>
      <c r="O1865" s="24" t="str">
        <f>IF(D1865="","",IF(COUNTIF(离职清单!C:C,D1865)&gt;0,"已离职","在职"))</f>
        <v>在职</v>
      </c>
      <c r="P1865" s="24" t="str">
        <f>IF(AND(O1865="在职",J1865="是"),COUNTIF(O$2:O1865,"在职"),"")</f>
        <v/>
      </c>
    </row>
    <row r="1866" ht="18" spans="1:16">
      <c r="A1866" s="10">
        <f t="shared" si="34"/>
        <v>1865</v>
      </c>
      <c r="B1866" s="31">
        <v>46186</v>
      </c>
      <c r="C1866" s="32" t="s">
        <v>1953</v>
      </c>
      <c r="D1866" s="120" t="s">
        <v>490</v>
      </c>
      <c r="E1866" s="33" t="s">
        <v>43</v>
      </c>
      <c r="F1866" s="18" t="s">
        <v>62</v>
      </c>
      <c r="G1866" s="18" t="s">
        <v>176</v>
      </c>
      <c r="H1866" s="34" t="s">
        <v>85</v>
      </c>
      <c r="I1866" s="18" t="s">
        <v>104</v>
      </c>
      <c r="J1866" s="31" t="s">
        <v>114</v>
      </c>
      <c r="K1866" s="31"/>
      <c r="N1866" s="13" t="s">
        <v>29</v>
      </c>
      <c r="O1866" s="24" t="str">
        <f>IF(D1866="","",IF(COUNTIF(离职清单!C:C,D1866)&gt;0,"已离职","在职"))</f>
        <v>在职</v>
      </c>
      <c r="P1866" s="24">
        <f>IF(AND(O1866="在职",J1866="是"),COUNTIF(O$2:O1866,"在职"),"")</f>
        <v>1859</v>
      </c>
    </row>
    <row r="1867" ht="18" spans="1:16">
      <c r="A1867" s="14">
        <f t="shared" si="34"/>
        <v>1866</v>
      </c>
      <c r="B1867" s="31">
        <v>46186</v>
      </c>
      <c r="C1867" s="32" t="s">
        <v>1954</v>
      </c>
      <c r="D1867" s="120" t="s">
        <v>492</v>
      </c>
      <c r="E1867" s="33" t="s">
        <v>43</v>
      </c>
      <c r="F1867" s="18" t="s">
        <v>62</v>
      </c>
      <c r="G1867" s="18" t="s">
        <v>1426</v>
      </c>
      <c r="H1867" s="34" t="s">
        <v>85</v>
      </c>
      <c r="I1867" s="18" t="s">
        <v>104</v>
      </c>
      <c r="J1867" s="31" t="s">
        <v>114</v>
      </c>
      <c r="K1867" s="31"/>
      <c r="N1867" s="13" t="s">
        <v>29</v>
      </c>
      <c r="O1867" s="24" t="str">
        <f>IF(D1867="","",IF(COUNTIF(离职清单!C:C,D1867)&gt;0,"已离职","在职"))</f>
        <v>在职</v>
      </c>
      <c r="P1867" s="24">
        <f>IF(AND(O1867="在职",J1867="是"),COUNTIF(O$2:O1867,"在职"),"")</f>
        <v>1860</v>
      </c>
    </row>
    <row r="1868" ht="18" spans="1:16">
      <c r="A1868" s="10">
        <f t="shared" si="34"/>
        <v>1867</v>
      </c>
      <c r="B1868" s="31">
        <v>46186</v>
      </c>
      <c r="C1868" s="32" t="s">
        <v>1955</v>
      </c>
      <c r="D1868" s="120" t="s">
        <v>477</v>
      </c>
      <c r="E1868" s="33" t="s">
        <v>43</v>
      </c>
      <c r="F1868" s="18" t="s">
        <v>64</v>
      </c>
      <c r="G1868" s="18" t="s">
        <v>1956</v>
      </c>
      <c r="H1868" s="34" t="s">
        <v>85</v>
      </c>
      <c r="I1868" s="18" t="s">
        <v>104</v>
      </c>
      <c r="J1868" s="31" t="s">
        <v>105</v>
      </c>
      <c r="K1868" s="31"/>
      <c r="N1868" s="13" t="s">
        <v>29</v>
      </c>
      <c r="O1868" s="24" t="str">
        <f>IF(D1868="","",IF(COUNTIF(离职清单!C:C,D1868)&gt;0,"已离职","在职"))</f>
        <v>在职</v>
      </c>
      <c r="P1868" s="24" t="str">
        <f>IF(AND(O1868="在职",J1868="是"),COUNTIF(O$2:O1868,"在职"),"")</f>
        <v/>
      </c>
    </row>
    <row r="1869" ht="18" spans="1:16">
      <c r="A1869" s="14">
        <f t="shared" si="34"/>
        <v>1868</v>
      </c>
      <c r="B1869" s="31">
        <v>46186</v>
      </c>
      <c r="C1869" s="32" t="s">
        <v>1957</v>
      </c>
      <c r="D1869" s="120" t="s">
        <v>478</v>
      </c>
      <c r="E1869" s="33" t="s">
        <v>43</v>
      </c>
      <c r="F1869" s="18" t="s">
        <v>63</v>
      </c>
      <c r="G1869" s="18" t="s">
        <v>1136</v>
      </c>
      <c r="H1869" s="34" t="s">
        <v>85</v>
      </c>
      <c r="I1869" s="18" t="s">
        <v>104</v>
      </c>
      <c r="J1869" s="31" t="s">
        <v>114</v>
      </c>
      <c r="K1869" s="31">
        <v>46187</v>
      </c>
      <c r="N1869" s="13" t="s">
        <v>29</v>
      </c>
      <c r="O1869" s="24" t="str">
        <f>IF(D1869="","",IF(COUNTIF(离职清单!C:C,D1869)&gt;0,"已离职","在职"))</f>
        <v>在职</v>
      </c>
      <c r="P1869" s="24">
        <f>IF(AND(O1869="在职",J1869="是"),COUNTIF(O$2:O1869,"在职"),"")</f>
        <v>1862</v>
      </c>
    </row>
    <row r="1870" ht="18" spans="1:16">
      <c r="A1870" s="10">
        <f t="shared" si="34"/>
        <v>1869</v>
      </c>
      <c r="B1870" s="31">
        <v>46186</v>
      </c>
      <c r="C1870" s="32" t="s">
        <v>1958</v>
      </c>
      <c r="D1870" s="120" t="s">
        <v>480</v>
      </c>
      <c r="E1870" s="33" t="s">
        <v>43</v>
      </c>
      <c r="F1870" s="18" t="s">
        <v>63</v>
      </c>
      <c r="G1870" s="18" t="s">
        <v>124</v>
      </c>
      <c r="H1870" s="34" t="s">
        <v>85</v>
      </c>
      <c r="I1870" s="18" t="s">
        <v>104</v>
      </c>
      <c r="J1870" s="31" t="s">
        <v>105</v>
      </c>
      <c r="K1870" s="31"/>
      <c r="N1870" s="13" t="s">
        <v>29</v>
      </c>
      <c r="O1870" s="24" t="str">
        <f>IF(D1870="","",IF(COUNTIF(离职清单!C:C,D1870)&gt;0,"已离职","在职"))</f>
        <v>在职</v>
      </c>
      <c r="P1870" s="24" t="str">
        <f>IF(AND(O1870="在职",J1870="是"),COUNTIF(O$2:O1870,"在职"),"")</f>
        <v/>
      </c>
    </row>
    <row r="1871" ht="18" spans="1:16">
      <c r="A1871" s="14">
        <f t="shared" si="34"/>
        <v>1870</v>
      </c>
      <c r="B1871" s="31">
        <v>46186</v>
      </c>
      <c r="C1871" s="32" t="s">
        <v>1959</v>
      </c>
      <c r="D1871" s="120" t="s">
        <v>482</v>
      </c>
      <c r="E1871" s="33" t="s">
        <v>43</v>
      </c>
      <c r="F1871" s="18" t="s">
        <v>64</v>
      </c>
      <c r="G1871" s="18" t="s">
        <v>124</v>
      </c>
      <c r="H1871" s="34" t="s">
        <v>85</v>
      </c>
      <c r="I1871" s="18" t="s">
        <v>104</v>
      </c>
      <c r="J1871" s="31" t="s">
        <v>105</v>
      </c>
      <c r="K1871" s="31"/>
      <c r="N1871" s="13" t="s">
        <v>29</v>
      </c>
      <c r="O1871" s="24" t="str">
        <f>IF(D1871="","",IF(COUNTIF(离职清单!C:C,D1871)&gt;0,"已离职","在职"))</f>
        <v>在职</v>
      </c>
      <c r="P1871" s="24" t="str">
        <f>IF(AND(O1871="在职",J1871="是"),COUNTIF(O$2:O1871,"在职"),"")</f>
        <v/>
      </c>
    </row>
    <row r="1872" ht="18" spans="1:16">
      <c r="A1872" s="10">
        <f t="shared" si="34"/>
        <v>1871</v>
      </c>
      <c r="B1872" s="31">
        <v>46186</v>
      </c>
      <c r="C1872" s="32" t="s">
        <v>1960</v>
      </c>
      <c r="D1872" s="120" t="s">
        <v>484</v>
      </c>
      <c r="E1872" s="33" t="s">
        <v>43</v>
      </c>
      <c r="F1872" s="18" t="s">
        <v>63</v>
      </c>
      <c r="G1872" s="18" t="s">
        <v>148</v>
      </c>
      <c r="H1872" s="34" t="s">
        <v>85</v>
      </c>
      <c r="I1872" s="18" t="s">
        <v>104</v>
      </c>
      <c r="J1872" s="31" t="s">
        <v>105</v>
      </c>
      <c r="K1872" s="31"/>
      <c r="N1872" s="13" t="s">
        <v>29</v>
      </c>
      <c r="O1872" s="24" t="str">
        <f>IF(D1872="","",IF(COUNTIF(离职清单!C:C,D1872)&gt;0,"已离职","在职"))</f>
        <v>在职</v>
      </c>
      <c r="P1872" s="24" t="str">
        <f>IF(AND(O1872="在职",J1872="是"),COUNTIF(O$2:O1872,"在职"),"")</f>
        <v/>
      </c>
    </row>
    <row r="1873" ht="18" spans="1:16">
      <c r="A1873" s="14">
        <f t="shared" si="34"/>
        <v>1872</v>
      </c>
      <c r="B1873" s="31">
        <v>46186</v>
      </c>
      <c r="C1873" s="32" t="s">
        <v>1961</v>
      </c>
      <c r="D1873" s="120" t="s">
        <v>486</v>
      </c>
      <c r="E1873" s="33" t="s">
        <v>43</v>
      </c>
      <c r="F1873" s="18" t="s">
        <v>63</v>
      </c>
      <c r="G1873" s="18" t="s">
        <v>148</v>
      </c>
      <c r="H1873" s="34" t="s">
        <v>85</v>
      </c>
      <c r="I1873" s="18" t="s">
        <v>104</v>
      </c>
      <c r="J1873" s="31" t="s">
        <v>105</v>
      </c>
      <c r="K1873" s="31"/>
      <c r="N1873" s="13" t="s">
        <v>29</v>
      </c>
      <c r="O1873" s="24" t="str">
        <f>IF(D1873="","",IF(COUNTIF(离职清单!C:C,D1873)&gt;0,"已离职","在职"))</f>
        <v>在职</v>
      </c>
      <c r="P1873" s="24" t="str">
        <f>IF(AND(O1873="在职",J1873="是"),COUNTIF(O$2:O1873,"在职"),"")</f>
        <v/>
      </c>
    </row>
    <row r="1874" ht="18" spans="1:16">
      <c r="A1874" s="10">
        <f t="shared" si="34"/>
        <v>1873</v>
      </c>
      <c r="B1874" s="31">
        <v>46186</v>
      </c>
      <c r="C1874" s="32" t="s">
        <v>1962</v>
      </c>
      <c r="D1874" s="120" t="s">
        <v>488</v>
      </c>
      <c r="E1874" s="33" t="s">
        <v>43</v>
      </c>
      <c r="F1874" s="18" t="s">
        <v>63</v>
      </c>
      <c r="G1874" s="18" t="s">
        <v>148</v>
      </c>
      <c r="H1874" s="34" t="s">
        <v>85</v>
      </c>
      <c r="I1874" s="18" t="s">
        <v>104</v>
      </c>
      <c r="J1874" s="31" t="s">
        <v>105</v>
      </c>
      <c r="K1874" s="31"/>
      <c r="N1874" s="13" t="s">
        <v>29</v>
      </c>
      <c r="O1874" s="24" t="str">
        <f>IF(D1874="","",IF(COUNTIF(离职清单!C:C,D1874)&gt;0,"已离职","在职"))</f>
        <v>在职</v>
      </c>
      <c r="P1874" s="24" t="str">
        <f>IF(AND(O1874="在职",J1874="是"),COUNTIF(O$2:O1874,"在职"),"")</f>
        <v/>
      </c>
    </row>
    <row r="1875" ht="18" spans="1:16">
      <c r="A1875" s="14">
        <f t="shared" si="34"/>
        <v>1874</v>
      </c>
      <c r="B1875" s="31">
        <v>46186</v>
      </c>
      <c r="C1875" s="32" t="s">
        <v>1963</v>
      </c>
      <c r="D1875" s="120" t="s">
        <v>490</v>
      </c>
      <c r="E1875" s="33" t="s">
        <v>43</v>
      </c>
      <c r="F1875" s="18" t="s">
        <v>63</v>
      </c>
      <c r="G1875" s="18" t="s">
        <v>148</v>
      </c>
      <c r="H1875" s="34" t="s">
        <v>85</v>
      </c>
      <c r="I1875" s="18" t="s">
        <v>104</v>
      </c>
      <c r="J1875" s="31" t="s">
        <v>105</v>
      </c>
      <c r="K1875" s="31"/>
      <c r="N1875" s="13" t="s">
        <v>29</v>
      </c>
      <c r="O1875" s="24" t="str">
        <f>IF(D1875="","",IF(COUNTIF(离职清单!C:C,D1875)&gt;0,"已离职","在职"))</f>
        <v>在职</v>
      </c>
      <c r="P1875" s="24" t="str">
        <f>IF(AND(O1875="在职",J1875="是"),COUNTIF(O$2:O1875,"在职"),"")</f>
        <v/>
      </c>
    </row>
    <row r="1876" ht="18" spans="1:16">
      <c r="A1876" s="10">
        <f t="shared" si="34"/>
        <v>1875</v>
      </c>
      <c r="B1876" s="31">
        <v>46186</v>
      </c>
      <c r="C1876" s="32" t="s">
        <v>1964</v>
      </c>
      <c r="D1876" s="120" t="s">
        <v>492</v>
      </c>
      <c r="E1876" s="33" t="s">
        <v>43</v>
      </c>
      <c r="F1876" s="18" t="s">
        <v>64</v>
      </c>
      <c r="G1876" s="18" t="s">
        <v>233</v>
      </c>
      <c r="H1876" s="34" t="s">
        <v>85</v>
      </c>
      <c r="I1876" s="18" t="s">
        <v>104</v>
      </c>
      <c r="J1876" s="31" t="s">
        <v>105</v>
      </c>
      <c r="K1876" s="31"/>
      <c r="N1876" s="13" t="s">
        <v>29</v>
      </c>
      <c r="O1876" s="24" t="str">
        <f>IF(D1876="","",IF(COUNTIF(离职清单!C:C,D1876)&gt;0,"已离职","在职"))</f>
        <v>在职</v>
      </c>
      <c r="P1876" s="24" t="str">
        <f>IF(AND(O1876="在职",J1876="是"),COUNTIF(O$2:O1876,"在职"),"")</f>
        <v/>
      </c>
    </row>
    <row r="1877" ht="18" spans="1:16">
      <c r="A1877" s="14">
        <f t="shared" si="34"/>
        <v>1876</v>
      </c>
      <c r="B1877" s="31">
        <v>46186</v>
      </c>
      <c r="C1877" s="32" t="s">
        <v>1789</v>
      </c>
      <c r="D1877" s="120" t="s">
        <v>477</v>
      </c>
      <c r="E1877" s="33" t="s">
        <v>43</v>
      </c>
      <c r="F1877" s="18" t="s">
        <v>62</v>
      </c>
      <c r="G1877" s="18" t="s">
        <v>233</v>
      </c>
      <c r="H1877" s="34" t="s">
        <v>85</v>
      </c>
      <c r="I1877" s="18" t="s">
        <v>104</v>
      </c>
      <c r="J1877" s="31" t="s">
        <v>105</v>
      </c>
      <c r="K1877" s="31"/>
      <c r="N1877" s="13" t="s">
        <v>29</v>
      </c>
      <c r="O1877" s="24" t="str">
        <f>IF(D1877="","",IF(COUNTIF(离职清单!C:C,D1877)&gt;0,"已离职","在职"))</f>
        <v>在职</v>
      </c>
      <c r="P1877" s="24" t="str">
        <f>IF(AND(O1877="在职",J1877="是"),COUNTIF(O$2:O1877,"在职"),"")</f>
        <v/>
      </c>
    </row>
    <row r="1878" ht="18" spans="1:16">
      <c r="A1878" s="10">
        <f t="shared" si="34"/>
        <v>1877</v>
      </c>
      <c r="B1878" s="31">
        <v>46186</v>
      </c>
      <c r="C1878" s="32" t="s">
        <v>1965</v>
      </c>
      <c r="D1878" s="120" t="s">
        <v>478</v>
      </c>
      <c r="E1878" s="33" t="s">
        <v>43</v>
      </c>
      <c r="F1878" s="18" t="s">
        <v>63</v>
      </c>
      <c r="G1878" s="18" t="s">
        <v>233</v>
      </c>
      <c r="H1878" s="34" t="s">
        <v>85</v>
      </c>
      <c r="I1878" s="18" t="s">
        <v>104</v>
      </c>
      <c r="J1878" s="31" t="s">
        <v>105</v>
      </c>
      <c r="K1878" s="31"/>
      <c r="N1878" s="13" t="s">
        <v>29</v>
      </c>
      <c r="O1878" s="24" t="str">
        <f>IF(D1878="","",IF(COUNTIF(离职清单!C:C,D1878)&gt;0,"已离职","在职"))</f>
        <v>在职</v>
      </c>
      <c r="P1878" s="24" t="str">
        <f>IF(AND(O1878="在职",J1878="是"),COUNTIF(O$2:O1878,"在职"),"")</f>
        <v/>
      </c>
    </row>
    <row r="1879" ht="18" spans="1:16">
      <c r="A1879" s="14">
        <f t="shared" si="34"/>
        <v>1878</v>
      </c>
      <c r="B1879" s="31">
        <v>46186</v>
      </c>
      <c r="C1879" s="32" t="s">
        <v>1966</v>
      </c>
      <c r="D1879" s="120" t="s">
        <v>480</v>
      </c>
      <c r="E1879" s="33" t="s">
        <v>43</v>
      </c>
      <c r="F1879" s="18" t="s">
        <v>62</v>
      </c>
      <c r="G1879" s="18" t="s">
        <v>103</v>
      </c>
      <c r="H1879" s="34" t="s">
        <v>85</v>
      </c>
      <c r="I1879" s="18" t="s">
        <v>104</v>
      </c>
      <c r="J1879" s="31" t="s">
        <v>114</v>
      </c>
      <c r="K1879" s="31">
        <v>46187</v>
      </c>
      <c r="N1879" s="13" t="s">
        <v>29</v>
      </c>
      <c r="O1879" s="24" t="str">
        <f>IF(D1879="","",IF(COUNTIF(离职清单!C:C,D1879)&gt;0,"已离职","在职"))</f>
        <v>在职</v>
      </c>
      <c r="P1879" s="24">
        <f>IF(AND(O1879="在职",J1879="是"),COUNTIF(O$2:O1879,"在职"),"")</f>
        <v>1872</v>
      </c>
    </row>
    <row r="1880" ht="18" spans="1:16">
      <c r="A1880" s="10">
        <f t="shared" si="34"/>
        <v>1879</v>
      </c>
      <c r="B1880" s="31">
        <v>46186</v>
      </c>
      <c r="C1880" s="32" t="s">
        <v>1967</v>
      </c>
      <c r="D1880" s="120" t="s">
        <v>482</v>
      </c>
      <c r="E1880" s="33" t="s">
        <v>43</v>
      </c>
      <c r="F1880" s="18" t="s">
        <v>63</v>
      </c>
      <c r="G1880" s="18" t="s">
        <v>103</v>
      </c>
      <c r="H1880" s="34" t="s">
        <v>85</v>
      </c>
      <c r="I1880" s="18" t="s">
        <v>104</v>
      </c>
      <c r="J1880" s="31" t="s">
        <v>114</v>
      </c>
      <c r="K1880" s="31">
        <v>46187</v>
      </c>
      <c r="N1880" s="13" t="s">
        <v>29</v>
      </c>
      <c r="O1880" s="24" t="str">
        <f>IF(D1880="","",IF(COUNTIF(离职清单!C:C,D1880)&gt;0,"已离职","在职"))</f>
        <v>在职</v>
      </c>
      <c r="P1880" s="24">
        <f>IF(AND(O1880="在职",J1880="是"),COUNTIF(O$2:O1880,"在职"),"")</f>
        <v>1873</v>
      </c>
    </row>
    <row r="1881" ht="18" spans="1:16">
      <c r="A1881" s="14">
        <f t="shared" si="34"/>
        <v>1880</v>
      </c>
      <c r="B1881" s="31">
        <v>46186</v>
      </c>
      <c r="C1881" s="32" t="s">
        <v>1968</v>
      </c>
      <c r="D1881" s="120" t="s">
        <v>484</v>
      </c>
      <c r="E1881" s="33" t="s">
        <v>43</v>
      </c>
      <c r="F1881" s="18" t="s">
        <v>62</v>
      </c>
      <c r="G1881" s="18" t="s">
        <v>307</v>
      </c>
      <c r="H1881" s="34" t="s">
        <v>85</v>
      </c>
      <c r="I1881" s="18" t="s">
        <v>104</v>
      </c>
      <c r="J1881" s="31" t="s">
        <v>114</v>
      </c>
      <c r="K1881" s="31">
        <v>46187</v>
      </c>
      <c r="N1881" s="13" t="s">
        <v>29</v>
      </c>
      <c r="O1881" s="24" t="str">
        <f>IF(D1881="","",IF(COUNTIF(离职清单!C:C,D1881)&gt;0,"已离职","在职"))</f>
        <v>在职</v>
      </c>
      <c r="P1881" s="24">
        <f>IF(AND(O1881="在职",J1881="是"),COUNTIF(O$2:O1881,"在职"),"")</f>
        <v>1874</v>
      </c>
    </row>
    <row r="1882" ht="18" spans="1:16">
      <c r="A1882" s="10">
        <f t="shared" si="34"/>
        <v>1881</v>
      </c>
      <c r="B1882" s="31">
        <v>46186</v>
      </c>
      <c r="C1882" s="32" t="s">
        <v>1969</v>
      </c>
      <c r="D1882" s="120" t="s">
        <v>486</v>
      </c>
      <c r="E1882" s="33" t="s">
        <v>43</v>
      </c>
      <c r="F1882" s="18" t="s">
        <v>64</v>
      </c>
      <c r="G1882" s="18" t="s">
        <v>332</v>
      </c>
      <c r="H1882" s="34" t="s">
        <v>85</v>
      </c>
      <c r="I1882" s="18" t="s">
        <v>104</v>
      </c>
      <c r="J1882" s="31" t="s">
        <v>105</v>
      </c>
      <c r="K1882" s="31"/>
      <c r="N1882" s="13" t="s">
        <v>29</v>
      </c>
      <c r="O1882" s="24" t="str">
        <f>IF(D1882="","",IF(COUNTIF(离职清单!C:C,D1882)&gt;0,"已离职","在职"))</f>
        <v>在职</v>
      </c>
      <c r="P1882" s="24" t="str">
        <f>IF(AND(O1882="在职",J1882="是"),COUNTIF(O$2:O1882,"在职"),"")</f>
        <v/>
      </c>
    </row>
    <row r="1883" ht="18" spans="1:16">
      <c r="A1883" s="14">
        <f t="shared" si="34"/>
        <v>1882</v>
      </c>
      <c r="B1883" s="31">
        <v>46186</v>
      </c>
      <c r="C1883" s="32" t="s">
        <v>1970</v>
      </c>
      <c r="D1883" s="120" t="s">
        <v>488</v>
      </c>
      <c r="E1883" s="33" t="s">
        <v>43</v>
      </c>
      <c r="F1883" s="18" t="s">
        <v>64</v>
      </c>
      <c r="G1883" s="18" t="s">
        <v>631</v>
      </c>
      <c r="H1883" s="34" t="s">
        <v>85</v>
      </c>
      <c r="I1883" s="18" t="s">
        <v>104</v>
      </c>
      <c r="J1883" s="31" t="s">
        <v>105</v>
      </c>
      <c r="K1883" s="31"/>
      <c r="N1883" s="13" t="s">
        <v>29</v>
      </c>
      <c r="O1883" s="24" t="str">
        <f>IF(D1883="","",IF(COUNTIF(离职清单!C:C,D1883)&gt;0,"已离职","在职"))</f>
        <v>在职</v>
      </c>
      <c r="P1883" s="24" t="str">
        <f>IF(AND(O1883="在职",J1883="是"),COUNTIF(O$2:O1883,"在职"),"")</f>
        <v/>
      </c>
    </row>
    <row r="1884" ht="18" spans="1:16">
      <c r="A1884" s="10">
        <f t="shared" si="34"/>
        <v>1883</v>
      </c>
      <c r="B1884" s="31">
        <v>46186</v>
      </c>
      <c r="C1884" s="32" t="s">
        <v>1971</v>
      </c>
      <c r="D1884" s="120" t="s">
        <v>490</v>
      </c>
      <c r="E1884" s="33" t="s">
        <v>43</v>
      </c>
      <c r="F1884" s="18" t="s">
        <v>63</v>
      </c>
      <c r="G1884" s="18" t="s">
        <v>631</v>
      </c>
      <c r="H1884" s="34" t="s">
        <v>85</v>
      </c>
      <c r="I1884" s="18" t="s">
        <v>104</v>
      </c>
      <c r="J1884" s="31" t="s">
        <v>105</v>
      </c>
      <c r="K1884" s="31"/>
      <c r="N1884" s="13" t="s">
        <v>29</v>
      </c>
      <c r="O1884" s="24" t="str">
        <f>IF(D1884="","",IF(COUNTIF(离职清单!C:C,D1884)&gt;0,"已离职","在职"))</f>
        <v>在职</v>
      </c>
      <c r="P1884" s="24" t="str">
        <f>IF(AND(O1884="在职",J1884="是"),COUNTIF(O$2:O1884,"在职"),"")</f>
        <v/>
      </c>
    </row>
    <row r="1885" ht="18" spans="1:16">
      <c r="A1885" s="14">
        <f t="shared" si="34"/>
        <v>1884</v>
      </c>
      <c r="B1885" s="31">
        <v>46186</v>
      </c>
      <c r="C1885" s="32" t="s">
        <v>1972</v>
      </c>
      <c r="D1885" s="120" t="s">
        <v>492</v>
      </c>
      <c r="E1885" s="33" t="s">
        <v>43</v>
      </c>
      <c r="F1885" s="18" t="s">
        <v>63</v>
      </c>
      <c r="G1885" s="18" t="s">
        <v>631</v>
      </c>
      <c r="H1885" s="34" t="s">
        <v>85</v>
      </c>
      <c r="I1885" s="18" t="s">
        <v>104</v>
      </c>
      <c r="J1885" s="31" t="s">
        <v>105</v>
      </c>
      <c r="K1885" s="31"/>
      <c r="N1885" s="13" t="s">
        <v>29</v>
      </c>
      <c r="O1885" s="24" t="str">
        <f>IF(D1885="","",IF(COUNTIF(离职清单!C:C,D1885)&gt;0,"已离职","在职"))</f>
        <v>在职</v>
      </c>
      <c r="P1885" s="24" t="str">
        <f>IF(AND(O1885="在职",J1885="是"),COUNTIF(O$2:O1885,"在职"),"")</f>
        <v/>
      </c>
    </row>
    <row r="1886" ht="18" spans="1:16">
      <c r="A1886" s="10">
        <f t="shared" si="34"/>
        <v>1885</v>
      </c>
      <c r="B1886" s="31">
        <v>46186</v>
      </c>
      <c r="C1886" s="32" t="s">
        <v>1973</v>
      </c>
      <c r="D1886" s="120" t="s">
        <v>477</v>
      </c>
      <c r="E1886" s="33" t="s">
        <v>43</v>
      </c>
      <c r="F1886" s="18" t="s">
        <v>62</v>
      </c>
      <c r="G1886" s="18" t="s">
        <v>148</v>
      </c>
      <c r="H1886" s="34" t="s">
        <v>85</v>
      </c>
      <c r="I1886" s="18" t="s">
        <v>104</v>
      </c>
      <c r="J1886" s="31" t="s">
        <v>105</v>
      </c>
      <c r="K1886" s="31"/>
      <c r="N1886" s="13" t="s">
        <v>29</v>
      </c>
      <c r="O1886" s="24" t="str">
        <f>IF(D1886="","",IF(COUNTIF(离职清单!C:C,D1886)&gt;0,"已离职","在职"))</f>
        <v>在职</v>
      </c>
      <c r="P1886" s="24" t="str">
        <f>IF(AND(O1886="在职",J1886="是"),COUNTIF(O$2:O1886,"在职"),"")</f>
        <v/>
      </c>
    </row>
    <row r="1887" ht="18" spans="1:16">
      <c r="A1887" s="14">
        <f t="shared" si="34"/>
        <v>1886</v>
      </c>
      <c r="B1887" s="31">
        <v>46186</v>
      </c>
      <c r="C1887" s="32" t="s">
        <v>1974</v>
      </c>
      <c r="D1887" s="120" t="s">
        <v>477</v>
      </c>
      <c r="E1887" s="33" t="s">
        <v>43</v>
      </c>
      <c r="F1887" s="18" t="s">
        <v>62</v>
      </c>
      <c r="G1887" s="18" t="s">
        <v>148</v>
      </c>
      <c r="H1887" s="34" t="s">
        <v>85</v>
      </c>
      <c r="I1887" s="18" t="s">
        <v>104</v>
      </c>
      <c r="J1887" s="31" t="s">
        <v>114</v>
      </c>
      <c r="K1887" s="31"/>
      <c r="N1887" s="13" t="s">
        <v>29</v>
      </c>
      <c r="O1887" s="24" t="str">
        <f>IF(D1887="","",IF(COUNTIF(离职清单!C:C,D1887)&gt;0,"已离职","在职"))</f>
        <v>在职</v>
      </c>
      <c r="P1887" s="24">
        <f>IF(AND(O1887="在职",J1887="是"),COUNTIF(O$2:O1887,"在职"),"")</f>
        <v>1880</v>
      </c>
    </row>
    <row r="1888" ht="18" spans="1:16">
      <c r="A1888" s="10">
        <f t="shared" si="34"/>
        <v>1887</v>
      </c>
      <c r="B1888" s="31">
        <v>46186</v>
      </c>
      <c r="C1888" s="32" t="s">
        <v>1975</v>
      </c>
      <c r="D1888" s="120" t="s">
        <v>478</v>
      </c>
      <c r="E1888" s="33" t="s">
        <v>43</v>
      </c>
      <c r="F1888" s="18" t="s">
        <v>62</v>
      </c>
      <c r="G1888" s="18" t="s">
        <v>148</v>
      </c>
      <c r="H1888" s="34" t="s">
        <v>85</v>
      </c>
      <c r="I1888" s="18" t="s">
        <v>104</v>
      </c>
      <c r="J1888" s="31" t="s">
        <v>114</v>
      </c>
      <c r="K1888" s="31"/>
      <c r="N1888" s="13" t="s">
        <v>29</v>
      </c>
      <c r="O1888" s="24" t="str">
        <f>IF(D1888="","",IF(COUNTIF(离职清单!C:C,D1888)&gt;0,"已离职","在职"))</f>
        <v>在职</v>
      </c>
      <c r="P1888" s="24">
        <f>IF(AND(O1888="在职",J1888="是"),COUNTIF(O$2:O1888,"在职"),"")</f>
        <v>1881</v>
      </c>
    </row>
    <row r="1889" ht="18" spans="1:16">
      <c r="A1889" s="14">
        <f t="shared" si="34"/>
        <v>1888</v>
      </c>
      <c r="B1889" s="31">
        <v>46186</v>
      </c>
      <c r="C1889" s="32" t="s">
        <v>1976</v>
      </c>
      <c r="D1889" s="120" t="s">
        <v>480</v>
      </c>
      <c r="E1889" s="33" t="s">
        <v>43</v>
      </c>
      <c r="F1889" s="18" t="s">
        <v>62</v>
      </c>
      <c r="G1889" s="18" t="s">
        <v>148</v>
      </c>
      <c r="H1889" s="34" t="s">
        <v>85</v>
      </c>
      <c r="I1889" s="18" t="s">
        <v>104</v>
      </c>
      <c r="J1889" s="31" t="s">
        <v>114</v>
      </c>
      <c r="K1889" s="31"/>
      <c r="N1889" s="13" t="s">
        <v>29</v>
      </c>
      <c r="O1889" s="24" t="str">
        <f>IF(D1889="","",IF(COUNTIF(离职清单!C:C,D1889)&gt;0,"已离职","在职"))</f>
        <v>在职</v>
      </c>
      <c r="P1889" s="24">
        <f>IF(AND(O1889="在职",J1889="是"),COUNTIF(O$2:O1889,"在职"),"")</f>
        <v>1882</v>
      </c>
    </row>
    <row r="1890" ht="18" spans="1:16">
      <c r="A1890" s="10">
        <f t="shared" si="34"/>
        <v>1889</v>
      </c>
      <c r="B1890" s="31">
        <v>46186</v>
      </c>
      <c r="C1890" s="32" t="s">
        <v>1977</v>
      </c>
      <c r="D1890" s="120" t="s">
        <v>482</v>
      </c>
      <c r="E1890" s="33" t="s">
        <v>43</v>
      </c>
      <c r="F1890" s="18" t="s">
        <v>63</v>
      </c>
      <c r="G1890" s="18" t="s">
        <v>246</v>
      </c>
      <c r="H1890" s="34" t="s">
        <v>85</v>
      </c>
      <c r="I1890" s="18" t="s">
        <v>104</v>
      </c>
      <c r="J1890" s="31" t="s">
        <v>105</v>
      </c>
      <c r="K1890" s="31"/>
      <c r="N1890" s="13" t="s">
        <v>29</v>
      </c>
      <c r="O1890" s="24" t="str">
        <f>IF(D1890="","",IF(COUNTIF(离职清单!C:C,D1890)&gt;0,"已离职","在职"))</f>
        <v>在职</v>
      </c>
      <c r="P1890" s="24" t="str">
        <f>IF(AND(O1890="在职",J1890="是"),COUNTIF(O$2:O1890,"在职"),"")</f>
        <v/>
      </c>
    </row>
    <row r="1891" ht="18" spans="1:16">
      <c r="A1891" s="14">
        <f t="shared" si="34"/>
        <v>1890</v>
      </c>
      <c r="B1891" s="31">
        <v>46186</v>
      </c>
      <c r="C1891" s="32" t="s">
        <v>1978</v>
      </c>
      <c r="D1891" s="120" t="s">
        <v>484</v>
      </c>
      <c r="E1891" s="33" t="s">
        <v>43</v>
      </c>
      <c r="F1891" s="18" t="s">
        <v>63</v>
      </c>
      <c r="G1891" s="18" t="s">
        <v>246</v>
      </c>
      <c r="H1891" s="34" t="s">
        <v>85</v>
      </c>
      <c r="I1891" s="18" t="s">
        <v>104</v>
      </c>
      <c r="J1891" s="31" t="s">
        <v>105</v>
      </c>
      <c r="K1891" s="31"/>
      <c r="N1891" s="13" t="s">
        <v>29</v>
      </c>
      <c r="O1891" s="24" t="str">
        <f>IF(D1891="","",IF(COUNTIF(离职清单!C:C,D1891)&gt;0,"已离职","在职"))</f>
        <v>在职</v>
      </c>
      <c r="P1891" s="24" t="str">
        <f>IF(AND(O1891="在职",J1891="是"),COUNTIF(O$2:O1891,"在职"),"")</f>
        <v/>
      </c>
    </row>
    <row r="1892" ht="18" spans="1:16">
      <c r="A1892" s="10">
        <f t="shared" si="34"/>
        <v>1891</v>
      </c>
      <c r="B1892" s="31">
        <v>46186</v>
      </c>
      <c r="C1892" s="32" t="s">
        <v>1979</v>
      </c>
      <c r="D1892" s="120" t="s">
        <v>486</v>
      </c>
      <c r="E1892" s="33" t="s">
        <v>43</v>
      </c>
      <c r="F1892" s="18" t="s">
        <v>64</v>
      </c>
      <c r="G1892" s="18" t="s">
        <v>1933</v>
      </c>
      <c r="H1892" s="34" t="s">
        <v>85</v>
      </c>
      <c r="I1892" s="18" t="s">
        <v>104</v>
      </c>
      <c r="J1892" s="31" t="s">
        <v>105</v>
      </c>
      <c r="K1892" s="31"/>
      <c r="N1892" s="13" t="s">
        <v>29</v>
      </c>
      <c r="O1892" s="24" t="str">
        <f>IF(D1892="","",IF(COUNTIF(离职清单!C:C,D1892)&gt;0,"已离职","在职"))</f>
        <v>在职</v>
      </c>
      <c r="P1892" s="24" t="str">
        <f>IF(AND(O1892="在职",J1892="是"),COUNTIF(O$2:O1892,"在职"),"")</f>
        <v/>
      </c>
    </row>
    <row r="1893" ht="18" spans="1:16">
      <c r="A1893" s="14">
        <f t="shared" si="34"/>
        <v>1892</v>
      </c>
      <c r="B1893" s="31">
        <v>46186</v>
      </c>
      <c r="C1893" s="32" t="s">
        <v>1980</v>
      </c>
      <c r="D1893" s="120" t="s">
        <v>488</v>
      </c>
      <c r="E1893" s="33" t="s">
        <v>42</v>
      </c>
      <c r="F1893" s="18" t="s">
        <v>63</v>
      </c>
      <c r="G1893" s="18" t="s">
        <v>129</v>
      </c>
      <c r="H1893" s="34" t="s">
        <v>85</v>
      </c>
      <c r="I1893" s="18" t="s">
        <v>104</v>
      </c>
      <c r="J1893" s="31" t="s">
        <v>105</v>
      </c>
      <c r="K1893" s="31"/>
      <c r="N1893" s="13" t="s">
        <v>29</v>
      </c>
      <c r="O1893" s="24" t="str">
        <f>IF(D1893="","",IF(COUNTIF(离职清单!C:C,D1893)&gt;0,"已离职","在职"))</f>
        <v>在职</v>
      </c>
      <c r="P1893" s="24" t="str">
        <f>IF(AND(O1893="在职",J1893="是"),COUNTIF(O$2:O1893,"在职"),"")</f>
        <v/>
      </c>
    </row>
    <row r="1894" ht="18" spans="1:16">
      <c r="A1894" s="10">
        <f t="shared" si="34"/>
        <v>1893</v>
      </c>
      <c r="B1894" s="31">
        <v>46186</v>
      </c>
      <c r="C1894" s="32" t="s">
        <v>1981</v>
      </c>
      <c r="D1894" s="120" t="s">
        <v>490</v>
      </c>
      <c r="E1894" s="33" t="s">
        <v>42</v>
      </c>
      <c r="F1894" s="18" t="s">
        <v>64</v>
      </c>
      <c r="G1894" s="18" t="s">
        <v>129</v>
      </c>
      <c r="H1894" s="34" t="s">
        <v>85</v>
      </c>
      <c r="I1894" s="18" t="s">
        <v>104</v>
      </c>
      <c r="J1894" s="31" t="s">
        <v>105</v>
      </c>
      <c r="K1894" s="31"/>
      <c r="N1894" s="13" t="s">
        <v>29</v>
      </c>
      <c r="O1894" s="24" t="str">
        <f>IF(D1894="","",IF(COUNTIF(离职清单!C:C,D1894)&gt;0,"已离职","在职"))</f>
        <v>在职</v>
      </c>
      <c r="P1894" s="24" t="str">
        <f>IF(AND(O1894="在职",J1894="是"),COUNTIF(O$2:O1894,"在职"),"")</f>
        <v/>
      </c>
    </row>
    <row r="1895" ht="18" spans="1:16">
      <c r="A1895" s="14">
        <f t="shared" si="34"/>
        <v>1894</v>
      </c>
      <c r="B1895" s="31">
        <v>46186</v>
      </c>
      <c r="C1895" s="32" t="s">
        <v>756</v>
      </c>
      <c r="D1895" s="120" t="s">
        <v>492</v>
      </c>
      <c r="E1895" s="33" t="s">
        <v>42</v>
      </c>
      <c r="F1895" s="18" t="s">
        <v>64</v>
      </c>
      <c r="G1895" s="18" t="s">
        <v>129</v>
      </c>
      <c r="H1895" s="34" t="s">
        <v>85</v>
      </c>
      <c r="I1895" s="18" t="s">
        <v>104</v>
      </c>
      <c r="J1895" s="31" t="s">
        <v>105</v>
      </c>
      <c r="K1895" s="31"/>
      <c r="N1895" s="13" t="s">
        <v>29</v>
      </c>
      <c r="O1895" s="24" t="str">
        <f>IF(D1895="","",IF(COUNTIF(离职清单!C:C,D1895)&gt;0,"已离职","在职"))</f>
        <v>在职</v>
      </c>
      <c r="P1895" s="24" t="str">
        <f>IF(AND(O1895="在职",J1895="是"),COUNTIF(O$2:O1895,"在职"),"")</f>
        <v/>
      </c>
    </row>
    <row r="1896" ht="18" spans="1:16">
      <c r="A1896" s="10">
        <f t="shared" si="34"/>
        <v>1895</v>
      </c>
      <c r="B1896" s="31">
        <v>46186</v>
      </c>
      <c r="C1896" s="32" t="s">
        <v>1736</v>
      </c>
      <c r="D1896" s="120" t="s">
        <v>477</v>
      </c>
      <c r="E1896" s="33" t="s">
        <v>42</v>
      </c>
      <c r="F1896" s="18" t="s">
        <v>64</v>
      </c>
      <c r="G1896" s="18" t="s">
        <v>129</v>
      </c>
      <c r="H1896" s="34" t="s">
        <v>85</v>
      </c>
      <c r="I1896" s="18" t="s">
        <v>104</v>
      </c>
      <c r="J1896" s="31" t="s">
        <v>105</v>
      </c>
      <c r="K1896" s="31"/>
      <c r="N1896" s="13" t="s">
        <v>29</v>
      </c>
      <c r="O1896" s="24" t="str">
        <f>IF(D1896="","",IF(COUNTIF(离职清单!C:C,D1896)&gt;0,"已离职","在职"))</f>
        <v>在职</v>
      </c>
      <c r="P1896" s="24" t="str">
        <f>IF(AND(O1896="在职",J1896="是"),COUNTIF(O$2:O1896,"在职"),"")</f>
        <v/>
      </c>
    </row>
    <row r="1897" ht="18" spans="1:16">
      <c r="A1897" s="14">
        <f t="shared" si="34"/>
        <v>1896</v>
      </c>
      <c r="B1897" s="31">
        <v>46186</v>
      </c>
      <c r="C1897" s="32" t="s">
        <v>1982</v>
      </c>
      <c r="D1897" s="120" t="s">
        <v>478</v>
      </c>
      <c r="E1897" s="33" t="s">
        <v>42</v>
      </c>
      <c r="F1897" s="18" t="s">
        <v>64</v>
      </c>
      <c r="G1897" s="18" t="s">
        <v>1056</v>
      </c>
      <c r="H1897" s="34" t="s">
        <v>85</v>
      </c>
      <c r="I1897" s="18" t="s">
        <v>104</v>
      </c>
      <c r="J1897" s="31" t="s">
        <v>105</v>
      </c>
      <c r="K1897" s="31"/>
      <c r="N1897" s="13" t="s">
        <v>29</v>
      </c>
      <c r="O1897" s="24" t="str">
        <f>IF(D1897="","",IF(COUNTIF(离职清单!C:C,D1897)&gt;0,"已离职","在职"))</f>
        <v>在职</v>
      </c>
      <c r="P1897" s="24" t="str">
        <f>IF(AND(O1897="在职",J1897="是"),COUNTIF(O$2:O1897,"在职"),"")</f>
        <v/>
      </c>
    </row>
    <row r="1898" ht="18" spans="1:16">
      <c r="A1898" s="10">
        <f t="shared" si="34"/>
        <v>1897</v>
      </c>
      <c r="B1898" s="31">
        <v>46186</v>
      </c>
      <c r="C1898" s="32" t="s">
        <v>1983</v>
      </c>
      <c r="D1898" s="120" t="s">
        <v>480</v>
      </c>
      <c r="E1898" s="33" t="s">
        <v>42</v>
      </c>
      <c r="F1898" s="18" t="s">
        <v>64</v>
      </c>
      <c r="G1898" s="18" t="s">
        <v>117</v>
      </c>
      <c r="H1898" s="34" t="s">
        <v>85</v>
      </c>
      <c r="I1898" s="18" t="s">
        <v>104</v>
      </c>
      <c r="J1898" s="31" t="s">
        <v>105</v>
      </c>
      <c r="K1898" s="31"/>
      <c r="N1898" s="13" t="s">
        <v>29</v>
      </c>
      <c r="O1898" s="24" t="str">
        <f>IF(D1898="","",IF(COUNTIF(离职清单!C:C,D1898)&gt;0,"已离职","在职"))</f>
        <v>在职</v>
      </c>
      <c r="P1898" s="24" t="str">
        <f>IF(AND(O1898="在职",J1898="是"),COUNTIF(O$2:O1898,"在职"),"")</f>
        <v/>
      </c>
    </row>
    <row r="1899" ht="18" spans="1:16">
      <c r="A1899" s="14">
        <f t="shared" si="34"/>
        <v>1898</v>
      </c>
      <c r="B1899" s="31">
        <v>46186</v>
      </c>
      <c r="C1899" s="32" t="s">
        <v>1984</v>
      </c>
      <c r="D1899" s="120" t="s">
        <v>482</v>
      </c>
      <c r="E1899" s="33" t="s">
        <v>42</v>
      </c>
      <c r="F1899" s="18" t="s">
        <v>63</v>
      </c>
      <c r="G1899" s="18" t="s">
        <v>117</v>
      </c>
      <c r="H1899" s="34" t="s">
        <v>85</v>
      </c>
      <c r="I1899" s="18" t="s">
        <v>104</v>
      </c>
      <c r="J1899" s="31" t="s">
        <v>105</v>
      </c>
      <c r="K1899" s="31"/>
      <c r="N1899" s="13" t="s">
        <v>29</v>
      </c>
      <c r="O1899" s="24" t="str">
        <f>IF(D1899="","",IF(COUNTIF(离职清单!C:C,D1899)&gt;0,"已离职","在职"))</f>
        <v>在职</v>
      </c>
      <c r="P1899" s="24" t="str">
        <f>IF(AND(O1899="在职",J1899="是"),COUNTIF(O$2:O1899,"在职"),"")</f>
        <v/>
      </c>
    </row>
    <row r="1900" ht="18" spans="1:16">
      <c r="A1900" s="10">
        <f t="shared" ref="A1900:A1963" si="35">IF(B1900&lt;&gt;"",ROW()-1,"")</f>
        <v>1899</v>
      </c>
      <c r="B1900" s="31">
        <v>46186</v>
      </c>
      <c r="C1900" s="32" t="s">
        <v>683</v>
      </c>
      <c r="D1900" s="120" t="s">
        <v>484</v>
      </c>
      <c r="E1900" s="33" t="s">
        <v>42</v>
      </c>
      <c r="F1900" s="18" t="s">
        <v>63</v>
      </c>
      <c r="G1900" s="18" t="s">
        <v>148</v>
      </c>
      <c r="H1900" s="34" t="s">
        <v>85</v>
      </c>
      <c r="I1900" s="18" t="s">
        <v>104</v>
      </c>
      <c r="J1900" s="31" t="s">
        <v>114</v>
      </c>
      <c r="K1900" s="31">
        <v>46187</v>
      </c>
      <c r="N1900" s="13" t="s">
        <v>29</v>
      </c>
      <c r="O1900" s="24" t="str">
        <f>IF(D1900="","",IF(COUNTIF(离职清单!C:C,D1900)&gt;0,"已离职","在职"))</f>
        <v>在职</v>
      </c>
      <c r="P1900" s="24">
        <f>IF(AND(O1900="在职",J1900="是"),COUNTIF(O$2:O1900,"在职"),"")</f>
        <v>1893</v>
      </c>
    </row>
    <row r="1901" ht="18" spans="1:16">
      <c r="A1901" s="14">
        <f t="shared" si="35"/>
        <v>1900</v>
      </c>
      <c r="B1901" s="31">
        <v>46186</v>
      </c>
      <c r="C1901" s="32" t="s">
        <v>1985</v>
      </c>
      <c r="D1901" s="120" t="s">
        <v>486</v>
      </c>
      <c r="E1901" s="33" t="s">
        <v>42</v>
      </c>
      <c r="F1901" s="18" t="s">
        <v>63</v>
      </c>
      <c r="G1901" s="18" t="s">
        <v>148</v>
      </c>
      <c r="H1901" s="34" t="s">
        <v>85</v>
      </c>
      <c r="I1901" s="18" t="s">
        <v>104</v>
      </c>
      <c r="J1901" s="31" t="s">
        <v>105</v>
      </c>
      <c r="K1901" s="31"/>
      <c r="N1901" s="13" t="s">
        <v>29</v>
      </c>
      <c r="O1901" s="24" t="str">
        <f>IF(D1901="","",IF(COUNTIF(离职清单!C:C,D1901)&gt;0,"已离职","在职"))</f>
        <v>在职</v>
      </c>
      <c r="P1901" s="24" t="str">
        <f>IF(AND(O1901="在职",J1901="是"),COUNTIF(O$2:O1901,"在职"),"")</f>
        <v/>
      </c>
    </row>
    <row r="1902" ht="18" spans="1:16">
      <c r="A1902" s="10">
        <f t="shared" si="35"/>
        <v>1901</v>
      </c>
      <c r="B1902" s="31">
        <v>46186</v>
      </c>
      <c r="C1902" s="32" t="s">
        <v>1986</v>
      </c>
      <c r="D1902" s="120" t="s">
        <v>488</v>
      </c>
      <c r="E1902" s="33" t="s">
        <v>42</v>
      </c>
      <c r="F1902" s="18" t="s">
        <v>64</v>
      </c>
      <c r="G1902" s="18" t="s">
        <v>148</v>
      </c>
      <c r="H1902" s="34" t="s">
        <v>85</v>
      </c>
      <c r="I1902" s="18" t="s">
        <v>104</v>
      </c>
      <c r="J1902" s="31" t="s">
        <v>105</v>
      </c>
      <c r="K1902" s="31"/>
      <c r="N1902" s="13" t="s">
        <v>29</v>
      </c>
      <c r="O1902" s="24" t="str">
        <f>IF(D1902="","",IF(COUNTIF(离职清单!C:C,D1902)&gt;0,"已离职","在职"))</f>
        <v>在职</v>
      </c>
      <c r="P1902" s="24" t="str">
        <f>IF(AND(O1902="在职",J1902="是"),COUNTIF(O$2:O1902,"在职"),"")</f>
        <v/>
      </c>
    </row>
    <row r="1903" ht="18" spans="1:16">
      <c r="A1903" s="14">
        <f t="shared" si="35"/>
        <v>1902</v>
      </c>
      <c r="B1903" s="31">
        <v>46186</v>
      </c>
      <c r="C1903" s="32" t="s">
        <v>1987</v>
      </c>
      <c r="D1903" s="120" t="s">
        <v>490</v>
      </c>
      <c r="E1903" s="33" t="s">
        <v>42</v>
      </c>
      <c r="F1903" s="18" t="s">
        <v>64</v>
      </c>
      <c r="G1903" s="18" t="s">
        <v>148</v>
      </c>
      <c r="H1903" s="34" t="s">
        <v>85</v>
      </c>
      <c r="I1903" s="18" t="s">
        <v>104</v>
      </c>
      <c r="J1903" s="31" t="s">
        <v>105</v>
      </c>
      <c r="K1903" s="31"/>
      <c r="N1903" s="13" t="s">
        <v>29</v>
      </c>
      <c r="O1903" s="24" t="str">
        <f>IF(D1903="","",IF(COUNTIF(离职清单!C:C,D1903)&gt;0,"已离职","在职"))</f>
        <v>在职</v>
      </c>
      <c r="P1903" s="24" t="str">
        <f>IF(AND(O1903="在职",J1903="是"),COUNTIF(O$2:O1903,"在职"),"")</f>
        <v/>
      </c>
    </row>
    <row r="1904" ht="18" spans="1:16">
      <c r="A1904" s="10">
        <f t="shared" si="35"/>
        <v>1903</v>
      </c>
      <c r="B1904" s="31">
        <v>46186</v>
      </c>
      <c r="C1904" s="32" t="s">
        <v>1988</v>
      </c>
      <c r="D1904" s="120" t="s">
        <v>492</v>
      </c>
      <c r="E1904" s="33" t="s">
        <v>42</v>
      </c>
      <c r="F1904" s="18" t="s">
        <v>64</v>
      </c>
      <c r="G1904" s="18" t="s">
        <v>148</v>
      </c>
      <c r="H1904" s="34" t="s">
        <v>85</v>
      </c>
      <c r="I1904" s="18" t="s">
        <v>104</v>
      </c>
      <c r="J1904" s="31" t="s">
        <v>105</v>
      </c>
      <c r="K1904" s="31"/>
      <c r="N1904" s="13" t="s">
        <v>29</v>
      </c>
      <c r="O1904" s="24" t="str">
        <f>IF(D1904="","",IF(COUNTIF(离职清单!C:C,D1904)&gt;0,"已离职","在职"))</f>
        <v>在职</v>
      </c>
      <c r="P1904" s="24" t="str">
        <f>IF(AND(O1904="在职",J1904="是"),COUNTIF(O$2:O1904,"在职"),"")</f>
        <v/>
      </c>
    </row>
    <row r="1905" ht="18" spans="1:16">
      <c r="A1905" s="14">
        <f t="shared" si="35"/>
        <v>1904</v>
      </c>
      <c r="B1905" s="31">
        <v>46186</v>
      </c>
      <c r="C1905" s="32" t="s">
        <v>1989</v>
      </c>
      <c r="D1905" s="120" t="s">
        <v>477</v>
      </c>
      <c r="E1905" s="33" t="s">
        <v>42</v>
      </c>
      <c r="F1905" s="18" t="s">
        <v>63</v>
      </c>
      <c r="G1905" s="18" t="s">
        <v>1542</v>
      </c>
      <c r="H1905" s="34" t="s">
        <v>85</v>
      </c>
      <c r="I1905" s="18" t="s">
        <v>104</v>
      </c>
      <c r="J1905" s="31" t="s">
        <v>105</v>
      </c>
      <c r="K1905" s="31"/>
      <c r="N1905" s="13" t="s">
        <v>29</v>
      </c>
      <c r="O1905" s="24" t="str">
        <f>IF(D1905="","",IF(COUNTIF(离职清单!C:C,D1905)&gt;0,"已离职","在职"))</f>
        <v>在职</v>
      </c>
      <c r="P1905" s="24" t="str">
        <f>IF(AND(O1905="在职",J1905="是"),COUNTIF(O$2:O1905,"在职"),"")</f>
        <v/>
      </c>
    </row>
    <row r="1906" ht="18" spans="1:16">
      <c r="A1906" s="10">
        <f t="shared" si="35"/>
        <v>1905</v>
      </c>
      <c r="B1906" s="31">
        <v>46186</v>
      </c>
      <c r="C1906" s="32" t="s">
        <v>1990</v>
      </c>
      <c r="D1906" s="120" t="s">
        <v>478</v>
      </c>
      <c r="E1906" s="33" t="s">
        <v>42</v>
      </c>
      <c r="F1906" s="18" t="s">
        <v>64</v>
      </c>
      <c r="G1906" s="18" t="s">
        <v>1542</v>
      </c>
      <c r="H1906" s="34" t="s">
        <v>85</v>
      </c>
      <c r="I1906" s="18" t="s">
        <v>104</v>
      </c>
      <c r="J1906" s="31" t="s">
        <v>105</v>
      </c>
      <c r="K1906" s="31"/>
      <c r="N1906" s="13" t="s">
        <v>29</v>
      </c>
      <c r="O1906" s="24" t="str">
        <f>IF(D1906="","",IF(COUNTIF(离职清单!C:C,D1906)&gt;0,"已离职","在职"))</f>
        <v>在职</v>
      </c>
      <c r="P1906" s="24" t="str">
        <f>IF(AND(O1906="在职",J1906="是"),COUNTIF(O$2:O1906,"在职"),"")</f>
        <v/>
      </c>
    </row>
    <row r="1907" ht="18" spans="1:16">
      <c r="A1907" s="14">
        <f t="shared" si="35"/>
        <v>1906</v>
      </c>
      <c r="B1907" s="31">
        <v>46186</v>
      </c>
      <c r="C1907" s="32" t="s">
        <v>1991</v>
      </c>
      <c r="D1907" s="120" t="s">
        <v>480</v>
      </c>
      <c r="E1907" s="33" t="s">
        <v>42</v>
      </c>
      <c r="F1907" s="18" t="s">
        <v>63</v>
      </c>
      <c r="G1907" s="18" t="s">
        <v>1542</v>
      </c>
      <c r="H1907" s="34" t="s">
        <v>85</v>
      </c>
      <c r="I1907" s="18" t="s">
        <v>104</v>
      </c>
      <c r="J1907" s="31" t="s">
        <v>114</v>
      </c>
      <c r="K1907" s="31"/>
      <c r="N1907" s="13" t="s">
        <v>29</v>
      </c>
      <c r="O1907" s="24" t="str">
        <f>IF(D1907="","",IF(COUNTIF(离职清单!C:C,D1907)&gt;0,"已离职","在职"))</f>
        <v>在职</v>
      </c>
      <c r="P1907" s="24">
        <f>IF(AND(O1907="在职",J1907="是"),COUNTIF(O$2:O1907,"在职"),"")</f>
        <v>1900</v>
      </c>
    </row>
    <row r="1908" ht="18" spans="1:16">
      <c r="A1908" s="10">
        <f t="shared" si="35"/>
        <v>1907</v>
      </c>
      <c r="B1908" s="31">
        <v>46186</v>
      </c>
      <c r="C1908" s="32" t="s">
        <v>1992</v>
      </c>
      <c r="D1908" s="120" t="s">
        <v>482</v>
      </c>
      <c r="E1908" s="33" t="s">
        <v>42</v>
      </c>
      <c r="F1908" s="18" t="s">
        <v>62</v>
      </c>
      <c r="G1908" s="18" t="s">
        <v>173</v>
      </c>
      <c r="H1908" s="34" t="s">
        <v>85</v>
      </c>
      <c r="I1908" s="18" t="s">
        <v>104</v>
      </c>
      <c r="J1908" s="31" t="s">
        <v>105</v>
      </c>
      <c r="K1908" s="31"/>
      <c r="N1908" s="13" t="s">
        <v>29</v>
      </c>
      <c r="O1908" s="24" t="str">
        <f>IF(D1908="","",IF(COUNTIF(离职清单!C:C,D1908)&gt;0,"已离职","在职"))</f>
        <v>在职</v>
      </c>
      <c r="P1908" s="24" t="str">
        <f>IF(AND(O1908="在职",J1908="是"),COUNTIF(O$2:O1908,"在职"),"")</f>
        <v/>
      </c>
    </row>
    <row r="1909" ht="18" spans="1:16">
      <c r="A1909" s="14">
        <f t="shared" si="35"/>
        <v>1908</v>
      </c>
      <c r="B1909" s="31">
        <v>46186</v>
      </c>
      <c r="C1909" s="32" t="s">
        <v>1993</v>
      </c>
      <c r="D1909" s="120" t="s">
        <v>484</v>
      </c>
      <c r="E1909" s="33" t="s">
        <v>42</v>
      </c>
      <c r="F1909" s="18" t="s">
        <v>63</v>
      </c>
      <c r="G1909" s="18" t="s">
        <v>1562</v>
      </c>
      <c r="H1909" s="34" t="s">
        <v>85</v>
      </c>
      <c r="I1909" s="18" t="s">
        <v>104</v>
      </c>
      <c r="J1909" s="31" t="s">
        <v>105</v>
      </c>
      <c r="K1909" s="31"/>
      <c r="N1909" s="13" t="s">
        <v>29</v>
      </c>
      <c r="O1909" s="24" t="str">
        <f>IF(D1909="","",IF(COUNTIF(离职清单!C:C,D1909)&gt;0,"已离职","在职"))</f>
        <v>在职</v>
      </c>
      <c r="P1909" s="24" t="str">
        <f>IF(AND(O1909="在职",J1909="是"),COUNTIF(O$2:O1909,"在职"),"")</f>
        <v/>
      </c>
    </row>
    <row r="1910" ht="18" spans="1:16">
      <c r="A1910" s="10">
        <f t="shared" si="35"/>
        <v>1909</v>
      </c>
      <c r="B1910" s="31">
        <v>46186</v>
      </c>
      <c r="C1910" s="32" t="s">
        <v>1994</v>
      </c>
      <c r="D1910" s="120" t="s">
        <v>486</v>
      </c>
      <c r="E1910" s="33" t="s">
        <v>42</v>
      </c>
      <c r="F1910" s="18" t="s">
        <v>63</v>
      </c>
      <c r="G1910" s="18" t="s">
        <v>1562</v>
      </c>
      <c r="H1910" s="34" t="s">
        <v>85</v>
      </c>
      <c r="I1910" s="18" t="s">
        <v>104</v>
      </c>
      <c r="J1910" s="31" t="s">
        <v>105</v>
      </c>
      <c r="K1910" s="31"/>
      <c r="N1910" s="13" t="s">
        <v>29</v>
      </c>
      <c r="O1910" s="24" t="str">
        <f>IF(D1910="","",IF(COUNTIF(离职清单!C:C,D1910)&gt;0,"已离职","在职"))</f>
        <v>在职</v>
      </c>
      <c r="P1910" s="24" t="str">
        <f>IF(AND(O1910="在职",J1910="是"),COUNTIF(O$2:O1910,"在职"),"")</f>
        <v/>
      </c>
    </row>
    <row r="1911" ht="18" spans="1:16">
      <c r="A1911" s="14">
        <f t="shared" si="35"/>
        <v>1910</v>
      </c>
      <c r="B1911" s="31">
        <v>46186</v>
      </c>
      <c r="C1911" s="32" t="s">
        <v>1995</v>
      </c>
      <c r="D1911" s="120" t="s">
        <v>488</v>
      </c>
      <c r="E1911" s="33" t="s">
        <v>42</v>
      </c>
      <c r="F1911" s="18" t="s">
        <v>64</v>
      </c>
      <c r="G1911" s="18" t="s">
        <v>1562</v>
      </c>
      <c r="H1911" s="34" t="s">
        <v>85</v>
      </c>
      <c r="I1911" s="18" t="s">
        <v>104</v>
      </c>
      <c r="J1911" s="31" t="s">
        <v>105</v>
      </c>
      <c r="K1911" s="31"/>
      <c r="N1911" s="13" t="s">
        <v>29</v>
      </c>
      <c r="O1911" s="24" t="str">
        <f>IF(D1911="","",IF(COUNTIF(离职清单!C:C,D1911)&gt;0,"已离职","在职"))</f>
        <v>在职</v>
      </c>
      <c r="P1911" s="24" t="str">
        <f>IF(AND(O1911="在职",J1911="是"),COUNTIF(O$2:O1911,"在职"),"")</f>
        <v/>
      </c>
    </row>
    <row r="1912" ht="18" spans="1:16">
      <c r="A1912" s="10">
        <f t="shared" si="35"/>
        <v>1911</v>
      </c>
      <c r="B1912" s="31">
        <v>46186</v>
      </c>
      <c r="C1912" s="32" t="s">
        <v>1996</v>
      </c>
      <c r="D1912" s="120" t="s">
        <v>490</v>
      </c>
      <c r="E1912" s="33" t="s">
        <v>42</v>
      </c>
      <c r="F1912" s="18" t="s">
        <v>62</v>
      </c>
      <c r="G1912" s="18" t="s">
        <v>233</v>
      </c>
      <c r="H1912" s="34" t="s">
        <v>85</v>
      </c>
      <c r="I1912" s="18" t="s">
        <v>104</v>
      </c>
      <c r="J1912" s="31" t="s">
        <v>105</v>
      </c>
      <c r="K1912" s="31"/>
      <c r="N1912" s="13" t="s">
        <v>29</v>
      </c>
      <c r="O1912" s="24" t="str">
        <f>IF(D1912="","",IF(COUNTIF(离职清单!C:C,D1912)&gt;0,"已离职","在职"))</f>
        <v>在职</v>
      </c>
      <c r="P1912" s="24" t="str">
        <f>IF(AND(O1912="在职",J1912="是"),COUNTIF(O$2:O1912,"在职"),"")</f>
        <v/>
      </c>
    </row>
    <row r="1913" ht="18" spans="1:16">
      <c r="A1913" s="14">
        <f t="shared" si="35"/>
        <v>1912</v>
      </c>
      <c r="B1913" s="31">
        <v>46186</v>
      </c>
      <c r="C1913" s="32" t="s">
        <v>1997</v>
      </c>
      <c r="D1913" s="120" t="s">
        <v>492</v>
      </c>
      <c r="E1913" s="33" t="s">
        <v>42</v>
      </c>
      <c r="F1913" s="18" t="s">
        <v>62</v>
      </c>
      <c r="G1913" s="18" t="s">
        <v>233</v>
      </c>
      <c r="H1913" s="34" t="s">
        <v>85</v>
      </c>
      <c r="I1913" s="18" t="s">
        <v>104</v>
      </c>
      <c r="J1913" s="31" t="s">
        <v>114</v>
      </c>
      <c r="K1913" s="31">
        <v>46187</v>
      </c>
      <c r="N1913" s="13" t="s">
        <v>29</v>
      </c>
      <c r="O1913" s="24" t="str">
        <f>IF(D1913="","",IF(COUNTIF(离职清单!C:C,D1913)&gt;0,"已离职","在职"))</f>
        <v>在职</v>
      </c>
      <c r="P1913" s="24">
        <f>IF(AND(O1913="在职",J1913="是"),COUNTIF(O$2:O1913,"在职"),"")</f>
        <v>1906</v>
      </c>
    </row>
    <row r="1914" ht="18" spans="1:16">
      <c r="A1914" s="10">
        <f t="shared" si="35"/>
        <v>1913</v>
      </c>
      <c r="B1914" s="31">
        <v>46186</v>
      </c>
      <c r="C1914" s="32" t="s">
        <v>1998</v>
      </c>
      <c r="D1914" s="120" t="s">
        <v>477</v>
      </c>
      <c r="E1914" s="33" t="s">
        <v>42</v>
      </c>
      <c r="F1914" s="18" t="s">
        <v>63</v>
      </c>
      <c r="G1914" s="18" t="s">
        <v>233</v>
      </c>
      <c r="H1914" s="34" t="s">
        <v>85</v>
      </c>
      <c r="I1914" s="18" t="s">
        <v>104</v>
      </c>
      <c r="J1914" s="31" t="s">
        <v>114</v>
      </c>
      <c r="K1914" s="31">
        <v>46187</v>
      </c>
      <c r="N1914" s="13" t="s">
        <v>29</v>
      </c>
      <c r="O1914" s="24" t="str">
        <f>IF(D1914="","",IF(COUNTIF(离职清单!C:C,D1914)&gt;0,"已离职","在职"))</f>
        <v>在职</v>
      </c>
      <c r="P1914" s="24">
        <f>IF(AND(O1914="在职",J1914="是"),COUNTIF(O$2:O1914,"在职"),"")</f>
        <v>1907</v>
      </c>
    </row>
    <row r="1915" ht="18" spans="1:16">
      <c r="A1915" s="14">
        <f t="shared" si="35"/>
        <v>1914</v>
      </c>
      <c r="B1915" s="31">
        <v>46186</v>
      </c>
      <c r="C1915" s="32" t="s">
        <v>1999</v>
      </c>
      <c r="D1915" s="120" t="s">
        <v>478</v>
      </c>
      <c r="E1915" s="33" t="s">
        <v>42</v>
      </c>
      <c r="F1915" s="18" t="s">
        <v>62</v>
      </c>
      <c r="G1915" s="18" t="s">
        <v>233</v>
      </c>
      <c r="H1915" s="34" t="s">
        <v>85</v>
      </c>
      <c r="I1915" s="18" t="s">
        <v>104</v>
      </c>
      <c r="J1915" s="31" t="s">
        <v>114</v>
      </c>
      <c r="K1915" s="31">
        <v>46187</v>
      </c>
      <c r="N1915" s="13" t="s">
        <v>29</v>
      </c>
      <c r="O1915" s="24" t="str">
        <f>IF(D1915="","",IF(COUNTIF(离职清单!C:C,D1915)&gt;0,"已离职","在职"))</f>
        <v>在职</v>
      </c>
      <c r="P1915" s="24">
        <f>IF(AND(O1915="在职",J1915="是"),COUNTIF(O$2:O1915,"在职"),"")</f>
        <v>1908</v>
      </c>
    </row>
    <row r="1916" ht="18" spans="1:16">
      <c r="A1916" s="10">
        <f t="shared" si="35"/>
        <v>1915</v>
      </c>
      <c r="B1916" s="31">
        <v>46186</v>
      </c>
      <c r="C1916" s="32" t="s">
        <v>2000</v>
      </c>
      <c r="D1916" s="120" t="s">
        <v>480</v>
      </c>
      <c r="E1916" s="33" t="s">
        <v>42</v>
      </c>
      <c r="F1916" s="18" t="s">
        <v>64</v>
      </c>
      <c r="G1916" s="18" t="s">
        <v>233</v>
      </c>
      <c r="H1916" s="34" t="s">
        <v>85</v>
      </c>
      <c r="I1916" s="18" t="s">
        <v>104</v>
      </c>
      <c r="J1916" s="31" t="s">
        <v>105</v>
      </c>
      <c r="K1916" s="31"/>
      <c r="N1916" s="13" t="s">
        <v>29</v>
      </c>
      <c r="O1916" s="24" t="str">
        <f>IF(D1916="","",IF(COUNTIF(离职清单!C:C,D1916)&gt;0,"已离职","在职"))</f>
        <v>在职</v>
      </c>
      <c r="P1916" s="24" t="str">
        <f>IF(AND(O1916="在职",J1916="是"),COUNTIF(O$2:O1916,"在职"),"")</f>
        <v/>
      </c>
    </row>
    <row r="1917" ht="18" spans="1:16">
      <c r="A1917" s="14">
        <f t="shared" si="35"/>
        <v>1916</v>
      </c>
      <c r="B1917" s="31">
        <v>46186</v>
      </c>
      <c r="C1917" s="32" t="s">
        <v>2001</v>
      </c>
      <c r="D1917" s="120" t="s">
        <v>482</v>
      </c>
      <c r="E1917" s="33" t="s">
        <v>42</v>
      </c>
      <c r="F1917" s="18" t="s">
        <v>63</v>
      </c>
      <c r="G1917" s="18" t="s">
        <v>578</v>
      </c>
      <c r="H1917" s="34" t="s">
        <v>85</v>
      </c>
      <c r="I1917" s="18" t="s">
        <v>104</v>
      </c>
      <c r="J1917" s="31" t="s">
        <v>114</v>
      </c>
      <c r="K1917" s="31">
        <v>46187</v>
      </c>
      <c r="N1917" s="13" t="s">
        <v>29</v>
      </c>
      <c r="O1917" s="24" t="str">
        <f>IF(D1917="","",IF(COUNTIF(离职清单!C:C,D1917)&gt;0,"已离职","在职"))</f>
        <v>在职</v>
      </c>
      <c r="P1917" s="24">
        <f>IF(AND(O1917="在职",J1917="是"),COUNTIF(O$2:O1917,"在职"),"")</f>
        <v>1910</v>
      </c>
    </row>
    <row r="1918" ht="18" spans="1:16">
      <c r="A1918" s="10">
        <f t="shared" si="35"/>
        <v>1917</v>
      </c>
      <c r="B1918" s="31">
        <v>46186</v>
      </c>
      <c r="C1918" s="32" t="s">
        <v>2002</v>
      </c>
      <c r="D1918" s="120" t="s">
        <v>484</v>
      </c>
      <c r="E1918" s="33" t="s">
        <v>42</v>
      </c>
      <c r="F1918" s="18" t="s">
        <v>64</v>
      </c>
      <c r="G1918" s="18" t="s">
        <v>631</v>
      </c>
      <c r="H1918" s="34" t="s">
        <v>85</v>
      </c>
      <c r="I1918" s="18" t="s">
        <v>104</v>
      </c>
      <c r="J1918" s="31" t="s">
        <v>105</v>
      </c>
      <c r="K1918" s="31"/>
      <c r="N1918" s="13" t="s">
        <v>29</v>
      </c>
      <c r="O1918" s="24" t="str">
        <f>IF(D1918="","",IF(COUNTIF(离职清单!C:C,D1918)&gt;0,"已离职","在职"))</f>
        <v>在职</v>
      </c>
      <c r="P1918" s="24" t="str">
        <f>IF(AND(O1918="在职",J1918="是"),COUNTIF(O$2:O1918,"在职"),"")</f>
        <v/>
      </c>
    </row>
    <row r="1919" ht="18" spans="1:16">
      <c r="A1919" s="14">
        <f t="shared" si="35"/>
        <v>1918</v>
      </c>
      <c r="B1919" s="31">
        <v>46186</v>
      </c>
      <c r="C1919" s="32" t="s">
        <v>2003</v>
      </c>
      <c r="D1919" s="120" t="s">
        <v>486</v>
      </c>
      <c r="E1919" s="33" t="s">
        <v>42</v>
      </c>
      <c r="F1919" s="18" t="s">
        <v>64</v>
      </c>
      <c r="G1919" s="18" t="s">
        <v>631</v>
      </c>
      <c r="H1919" s="34" t="s">
        <v>85</v>
      </c>
      <c r="I1919" s="18" t="s">
        <v>104</v>
      </c>
      <c r="J1919" s="31" t="s">
        <v>105</v>
      </c>
      <c r="K1919" s="31"/>
      <c r="N1919" s="13" t="s">
        <v>29</v>
      </c>
      <c r="O1919" s="24" t="str">
        <f>IF(D1919="","",IF(COUNTIF(离职清单!C:C,D1919)&gt;0,"已离职","在职"))</f>
        <v>在职</v>
      </c>
      <c r="P1919" s="24" t="str">
        <f>IF(AND(O1919="在职",J1919="是"),COUNTIF(O$2:O1919,"在职"),"")</f>
        <v/>
      </c>
    </row>
    <row r="1920" ht="18" spans="1:16">
      <c r="A1920" s="10">
        <f t="shared" si="35"/>
        <v>1919</v>
      </c>
      <c r="B1920" s="31">
        <v>46186</v>
      </c>
      <c r="C1920" s="32" t="s">
        <v>2004</v>
      </c>
      <c r="D1920" s="120" t="s">
        <v>488</v>
      </c>
      <c r="E1920" s="33" t="s">
        <v>42</v>
      </c>
      <c r="F1920" s="18" t="s">
        <v>64</v>
      </c>
      <c r="G1920" s="18" t="s">
        <v>631</v>
      </c>
      <c r="H1920" s="34" t="s">
        <v>85</v>
      </c>
      <c r="I1920" s="18" t="s">
        <v>104</v>
      </c>
      <c r="J1920" s="31" t="s">
        <v>105</v>
      </c>
      <c r="K1920" s="31"/>
      <c r="N1920" s="13" t="s">
        <v>29</v>
      </c>
      <c r="O1920" s="24" t="str">
        <f>IF(D1920="","",IF(COUNTIF(离职清单!C:C,D1920)&gt;0,"已离职","在职"))</f>
        <v>在职</v>
      </c>
      <c r="P1920" s="24" t="str">
        <f>IF(AND(O1920="在职",J1920="是"),COUNTIF(O$2:O1920,"在职"),"")</f>
        <v/>
      </c>
    </row>
    <row r="1921" ht="18" spans="1:16">
      <c r="A1921" s="14">
        <f t="shared" si="35"/>
        <v>1920</v>
      </c>
      <c r="B1921" s="31">
        <v>46186</v>
      </c>
      <c r="C1921" s="32" t="s">
        <v>2005</v>
      </c>
      <c r="D1921" s="120" t="s">
        <v>490</v>
      </c>
      <c r="E1921" s="33" t="s">
        <v>42</v>
      </c>
      <c r="F1921" s="18" t="s">
        <v>64</v>
      </c>
      <c r="G1921" s="18" t="s">
        <v>631</v>
      </c>
      <c r="H1921" s="34" t="s">
        <v>85</v>
      </c>
      <c r="I1921" s="18" t="s">
        <v>104</v>
      </c>
      <c r="J1921" s="31" t="s">
        <v>105</v>
      </c>
      <c r="K1921" s="31"/>
      <c r="N1921" s="13" t="s">
        <v>29</v>
      </c>
      <c r="O1921" s="24" t="str">
        <f>IF(D1921="","",IF(COUNTIF(离职清单!C:C,D1921)&gt;0,"已离职","在职"))</f>
        <v>在职</v>
      </c>
      <c r="P1921" s="24" t="str">
        <f>IF(AND(O1921="在职",J1921="是"),COUNTIF(O$2:O1921,"在职"),"")</f>
        <v/>
      </c>
    </row>
    <row r="1922" ht="18" spans="1:16">
      <c r="A1922" s="10">
        <f t="shared" si="35"/>
        <v>1921</v>
      </c>
      <c r="B1922" s="31">
        <v>46186</v>
      </c>
      <c r="C1922" s="32" t="s">
        <v>2006</v>
      </c>
      <c r="D1922" s="120" t="s">
        <v>492</v>
      </c>
      <c r="E1922" s="33" t="s">
        <v>42</v>
      </c>
      <c r="F1922" s="18" t="s">
        <v>64</v>
      </c>
      <c r="G1922" s="18" t="s">
        <v>631</v>
      </c>
      <c r="H1922" s="34" t="s">
        <v>85</v>
      </c>
      <c r="I1922" s="18" t="s">
        <v>104</v>
      </c>
      <c r="J1922" s="31" t="s">
        <v>105</v>
      </c>
      <c r="K1922" s="31"/>
      <c r="N1922" s="13" t="s">
        <v>29</v>
      </c>
      <c r="O1922" s="24" t="str">
        <f>IF(D1922="","",IF(COUNTIF(离职清单!C:C,D1922)&gt;0,"已离职","在职"))</f>
        <v>在职</v>
      </c>
      <c r="P1922" s="24" t="str">
        <f>IF(AND(O1922="在职",J1922="是"),COUNTIF(O$2:O1922,"在职"),"")</f>
        <v/>
      </c>
    </row>
    <row r="1923" ht="18" spans="1:16">
      <c r="A1923" s="14">
        <f t="shared" si="35"/>
        <v>1922</v>
      </c>
      <c r="B1923" s="31">
        <v>46186</v>
      </c>
      <c r="C1923" s="32" t="s">
        <v>2007</v>
      </c>
      <c r="D1923" s="120" t="s">
        <v>477</v>
      </c>
      <c r="E1923" s="33" t="s">
        <v>42</v>
      </c>
      <c r="F1923" s="18" t="s">
        <v>63</v>
      </c>
      <c r="G1923" s="18" t="s">
        <v>246</v>
      </c>
      <c r="H1923" s="34" t="s">
        <v>85</v>
      </c>
      <c r="I1923" s="18" t="s">
        <v>104</v>
      </c>
      <c r="J1923" s="31" t="s">
        <v>105</v>
      </c>
      <c r="K1923" s="31"/>
      <c r="N1923" s="13" t="s">
        <v>29</v>
      </c>
      <c r="O1923" s="24" t="str">
        <f>IF(D1923="","",IF(COUNTIF(离职清单!C:C,D1923)&gt;0,"已离职","在职"))</f>
        <v>在职</v>
      </c>
      <c r="P1923" s="24" t="str">
        <f>IF(AND(O1923="在职",J1923="是"),COUNTIF(O$2:O1923,"在职"),"")</f>
        <v/>
      </c>
    </row>
    <row r="1924" ht="18" spans="1:16">
      <c r="A1924" s="10">
        <f t="shared" si="35"/>
        <v>1923</v>
      </c>
      <c r="B1924" s="31">
        <v>46186</v>
      </c>
      <c r="C1924" s="32" t="s">
        <v>2008</v>
      </c>
      <c r="D1924" s="120" t="s">
        <v>478</v>
      </c>
      <c r="E1924" s="33" t="s">
        <v>73</v>
      </c>
      <c r="F1924" s="18" t="s">
        <v>62</v>
      </c>
      <c r="G1924" s="18" t="s">
        <v>1056</v>
      </c>
      <c r="H1924" s="34" t="s">
        <v>85</v>
      </c>
      <c r="I1924" s="18" t="s">
        <v>104</v>
      </c>
      <c r="J1924" s="31" t="s">
        <v>105</v>
      </c>
      <c r="K1924" s="31"/>
      <c r="N1924" s="13" t="s">
        <v>29</v>
      </c>
      <c r="O1924" s="24" t="str">
        <f>IF(D1924="","",IF(COUNTIF(离职清单!C:C,D1924)&gt;0,"已离职","在职"))</f>
        <v>在职</v>
      </c>
      <c r="P1924" s="24" t="str">
        <f>IF(AND(O1924="在职",J1924="是"),COUNTIF(O$2:O1924,"在职"),"")</f>
        <v/>
      </c>
    </row>
    <row r="1925" ht="18" spans="1:16">
      <c r="A1925" s="14">
        <f t="shared" si="35"/>
        <v>1924</v>
      </c>
      <c r="B1925" s="31">
        <v>46186</v>
      </c>
      <c r="C1925" s="32" t="s">
        <v>2009</v>
      </c>
      <c r="D1925" s="120" t="s">
        <v>480</v>
      </c>
      <c r="E1925" s="33" t="s">
        <v>73</v>
      </c>
      <c r="F1925" s="18" t="s">
        <v>63</v>
      </c>
      <c r="G1925" s="18" t="s">
        <v>148</v>
      </c>
      <c r="H1925" s="34" t="s">
        <v>85</v>
      </c>
      <c r="I1925" s="18" t="s">
        <v>104</v>
      </c>
      <c r="J1925" s="31" t="s">
        <v>105</v>
      </c>
      <c r="K1925" s="31"/>
      <c r="N1925" s="13" t="s">
        <v>29</v>
      </c>
      <c r="O1925" s="24" t="str">
        <f>IF(D1925="","",IF(COUNTIF(离职清单!C:C,D1925)&gt;0,"已离职","在职"))</f>
        <v>在职</v>
      </c>
      <c r="P1925" s="24" t="str">
        <f>IF(AND(O1925="在职",J1925="是"),COUNTIF(O$2:O1925,"在职"),"")</f>
        <v/>
      </c>
    </row>
    <row r="1926" ht="18" spans="1:16">
      <c r="A1926" s="10">
        <f t="shared" si="35"/>
        <v>1925</v>
      </c>
      <c r="B1926" s="31">
        <v>46187</v>
      </c>
      <c r="C1926" s="32" t="s">
        <v>2010</v>
      </c>
      <c r="D1926" s="120" t="s">
        <v>482</v>
      </c>
      <c r="E1926" s="33" t="s">
        <v>42</v>
      </c>
      <c r="F1926" s="18" t="s">
        <v>63</v>
      </c>
      <c r="G1926" s="18" t="s">
        <v>426</v>
      </c>
      <c r="H1926" s="34" t="s">
        <v>85</v>
      </c>
      <c r="I1926" s="18" t="s">
        <v>104</v>
      </c>
      <c r="J1926" s="31" t="s">
        <v>105</v>
      </c>
      <c r="K1926" s="31"/>
      <c r="N1926" s="13" t="s">
        <v>29</v>
      </c>
      <c r="O1926" s="24" t="str">
        <f>IF(D1926="","",IF(COUNTIF(离职清单!C:C,D1926)&gt;0,"已离职","在职"))</f>
        <v>在职</v>
      </c>
      <c r="P1926" s="24" t="str">
        <f>IF(AND(O1926="在职",J1926="是"),COUNTIF(O$2:O1926,"在职"),"")</f>
        <v/>
      </c>
    </row>
    <row r="1927" ht="18" spans="1:16">
      <c r="A1927" s="14">
        <f t="shared" si="35"/>
        <v>1926</v>
      </c>
      <c r="B1927" s="31">
        <v>46187</v>
      </c>
      <c r="C1927" s="32" t="s">
        <v>2011</v>
      </c>
      <c r="D1927" s="120" t="s">
        <v>484</v>
      </c>
      <c r="E1927" s="33" t="s">
        <v>42</v>
      </c>
      <c r="F1927" s="18" t="s">
        <v>64</v>
      </c>
      <c r="G1927" s="18" t="s">
        <v>173</v>
      </c>
      <c r="H1927" s="34" t="s">
        <v>85</v>
      </c>
      <c r="I1927" s="18" t="s">
        <v>104</v>
      </c>
      <c r="J1927" s="31" t="s">
        <v>105</v>
      </c>
      <c r="K1927" s="31"/>
      <c r="N1927" s="13" t="s">
        <v>29</v>
      </c>
      <c r="O1927" s="24" t="str">
        <f>IF(D1927="","",IF(COUNTIF(离职清单!C:C,D1927)&gt;0,"已离职","在职"))</f>
        <v>在职</v>
      </c>
      <c r="P1927" s="24" t="str">
        <f>IF(AND(O1927="在职",J1927="是"),COUNTIF(O$2:O1927,"在职"),"")</f>
        <v/>
      </c>
    </row>
    <row r="1928" ht="18" spans="1:16">
      <c r="A1928" s="10">
        <f t="shared" si="35"/>
        <v>1927</v>
      </c>
      <c r="B1928" s="31">
        <v>46187</v>
      </c>
      <c r="C1928" s="32" t="s">
        <v>2012</v>
      </c>
      <c r="D1928" s="120" t="s">
        <v>486</v>
      </c>
      <c r="E1928" s="33" t="s">
        <v>42</v>
      </c>
      <c r="F1928" s="18" t="s">
        <v>63</v>
      </c>
      <c r="G1928" s="18" t="s">
        <v>1334</v>
      </c>
      <c r="H1928" s="34" t="s">
        <v>85</v>
      </c>
      <c r="I1928" s="18" t="s">
        <v>104</v>
      </c>
      <c r="J1928" s="31" t="s">
        <v>105</v>
      </c>
      <c r="K1928" s="31"/>
      <c r="N1928" s="13" t="s">
        <v>29</v>
      </c>
      <c r="O1928" s="24" t="str">
        <f>IF(D1928="","",IF(COUNTIF(离职清单!C:C,D1928)&gt;0,"已离职","在职"))</f>
        <v>在职</v>
      </c>
      <c r="P1928" s="24" t="str">
        <f>IF(AND(O1928="在职",J1928="是"),COUNTIF(O$2:O1928,"在职"),"")</f>
        <v/>
      </c>
    </row>
    <row r="1929" ht="18" spans="1:16">
      <c r="A1929" s="14">
        <f t="shared" si="35"/>
        <v>1928</v>
      </c>
      <c r="B1929" s="31">
        <v>46187</v>
      </c>
      <c r="C1929" s="32" t="s">
        <v>2013</v>
      </c>
      <c r="D1929" s="120" t="s">
        <v>488</v>
      </c>
      <c r="E1929" s="33" t="s">
        <v>42</v>
      </c>
      <c r="F1929" s="18" t="s">
        <v>64</v>
      </c>
      <c r="G1929" s="18" t="s">
        <v>148</v>
      </c>
      <c r="H1929" s="34" t="s">
        <v>85</v>
      </c>
      <c r="I1929" s="18" t="s">
        <v>104</v>
      </c>
      <c r="J1929" s="31" t="s">
        <v>105</v>
      </c>
      <c r="K1929" s="31"/>
      <c r="N1929" s="13" t="s">
        <v>29</v>
      </c>
      <c r="O1929" s="24" t="str">
        <f>IF(D1929="","",IF(COUNTIF(离职清单!C:C,D1929)&gt;0,"已离职","在职"))</f>
        <v>在职</v>
      </c>
      <c r="P1929" s="24" t="str">
        <f>IF(AND(O1929="在职",J1929="是"),COUNTIF(O$2:O1929,"在职"),"")</f>
        <v/>
      </c>
    </row>
    <row r="1930" ht="18" spans="1:16">
      <c r="A1930" s="10">
        <f t="shared" si="35"/>
        <v>1929</v>
      </c>
      <c r="B1930" s="31">
        <v>46187</v>
      </c>
      <c r="C1930" s="32" t="s">
        <v>2014</v>
      </c>
      <c r="D1930" s="120" t="s">
        <v>490</v>
      </c>
      <c r="E1930" s="33" t="s">
        <v>42</v>
      </c>
      <c r="F1930" s="18" t="s">
        <v>64</v>
      </c>
      <c r="G1930" s="18" t="s">
        <v>148</v>
      </c>
      <c r="H1930" s="34" t="s">
        <v>85</v>
      </c>
      <c r="I1930" s="18" t="s">
        <v>104</v>
      </c>
      <c r="J1930" s="31" t="s">
        <v>105</v>
      </c>
      <c r="K1930" s="31"/>
      <c r="N1930" s="13" t="s">
        <v>29</v>
      </c>
      <c r="O1930" s="24" t="str">
        <f>IF(D1930="","",IF(COUNTIF(离职清单!C:C,D1930)&gt;0,"已离职","在职"))</f>
        <v>在职</v>
      </c>
      <c r="P1930" s="24" t="str">
        <f>IF(AND(O1930="在职",J1930="是"),COUNTIF(O$2:O1930,"在职"),"")</f>
        <v/>
      </c>
    </row>
    <row r="1931" ht="18" spans="1:16">
      <c r="A1931" s="14">
        <f t="shared" si="35"/>
        <v>1930</v>
      </c>
      <c r="B1931" s="31">
        <v>46187</v>
      </c>
      <c r="C1931" s="32" t="s">
        <v>2015</v>
      </c>
      <c r="D1931" s="120" t="s">
        <v>492</v>
      </c>
      <c r="E1931" s="33" t="s">
        <v>42</v>
      </c>
      <c r="F1931" s="18" t="s">
        <v>63</v>
      </c>
      <c r="G1931" s="18" t="s">
        <v>148</v>
      </c>
      <c r="H1931" s="34" t="s">
        <v>85</v>
      </c>
      <c r="I1931" s="18" t="s">
        <v>104</v>
      </c>
      <c r="J1931" s="31" t="s">
        <v>105</v>
      </c>
      <c r="K1931" s="31"/>
      <c r="N1931" s="13" t="s">
        <v>29</v>
      </c>
      <c r="O1931" s="24" t="str">
        <f>IF(D1931="","",IF(COUNTIF(离职清单!C:C,D1931)&gt;0,"已离职","在职"))</f>
        <v>在职</v>
      </c>
      <c r="P1931" s="24" t="str">
        <f>IF(AND(O1931="在职",J1931="是"),COUNTIF(O$2:O1931,"在职"),"")</f>
        <v/>
      </c>
    </row>
    <row r="1932" ht="18" spans="1:16">
      <c r="A1932" s="10">
        <f t="shared" si="35"/>
        <v>1931</v>
      </c>
      <c r="B1932" s="31">
        <v>46187</v>
      </c>
      <c r="C1932" s="32" t="s">
        <v>2016</v>
      </c>
      <c r="D1932" s="120" t="s">
        <v>477</v>
      </c>
      <c r="E1932" s="33" t="s">
        <v>42</v>
      </c>
      <c r="F1932" s="18" t="s">
        <v>64</v>
      </c>
      <c r="G1932" s="18" t="s">
        <v>148</v>
      </c>
      <c r="H1932" s="34" t="s">
        <v>85</v>
      </c>
      <c r="I1932" s="18" t="s">
        <v>104</v>
      </c>
      <c r="J1932" s="31" t="s">
        <v>105</v>
      </c>
      <c r="K1932" s="31"/>
      <c r="N1932" s="13" t="s">
        <v>29</v>
      </c>
      <c r="O1932" s="24" t="str">
        <f>IF(D1932="","",IF(COUNTIF(离职清单!C:C,D1932)&gt;0,"已离职","在职"))</f>
        <v>在职</v>
      </c>
      <c r="P1932" s="24" t="str">
        <f>IF(AND(O1932="在职",J1932="是"),COUNTIF(O$2:O1932,"在职"),"")</f>
        <v/>
      </c>
    </row>
    <row r="1933" ht="18" spans="1:16">
      <c r="A1933" s="14">
        <f t="shared" si="35"/>
        <v>1932</v>
      </c>
      <c r="B1933" s="31">
        <v>46187</v>
      </c>
      <c r="C1933" s="32" t="s">
        <v>2017</v>
      </c>
      <c r="D1933" s="120" t="s">
        <v>478</v>
      </c>
      <c r="E1933" s="33" t="s">
        <v>42</v>
      </c>
      <c r="F1933" s="18" t="s">
        <v>63</v>
      </c>
      <c r="G1933" s="18" t="s">
        <v>148</v>
      </c>
      <c r="H1933" s="34" t="s">
        <v>85</v>
      </c>
      <c r="I1933" s="18" t="s">
        <v>104</v>
      </c>
      <c r="J1933" s="31" t="s">
        <v>114</v>
      </c>
      <c r="K1933" s="31"/>
      <c r="N1933" s="13" t="s">
        <v>29</v>
      </c>
      <c r="O1933" s="24" t="str">
        <f>IF(D1933="","",IF(COUNTIF(离职清单!C:C,D1933)&gt;0,"已离职","在职"))</f>
        <v>在职</v>
      </c>
      <c r="P1933" s="24">
        <f>IF(AND(O1933="在职",J1933="是"),COUNTIF(O$2:O1933,"在职"),"")</f>
        <v>1926</v>
      </c>
    </row>
    <row r="1934" ht="18" spans="1:16">
      <c r="A1934" s="10">
        <f t="shared" si="35"/>
        <v>1933</v>
      </c>
      <c r="B1934" s="31">
        <v>46187</v>
      </c>
      <c r="C1934" s="32" t="s">
        <v>2018</v>
      </c>
      <c r="D1934" s="120" t="s">
        <v>480</v>
      </c>
      <c r="E1934" s="33" t="s">
        <v>42</v>
      </c>
      <c r="F1934" s="18" t="s">
        <v>64</v>
      </c>
      <c r="G1934" s="18" t="s">
        <v>1056</v>
      </c>
      <c r="H1934" s="34" t="s">
        <v>85</v>
      </c>
      <c r="I1934" s="18" t="s">
        <v>104</v>
      </c>
      <c r="J1934" s="31" t="s">
        <v>105</v>
      </c>
      <c r="K1934" s="31"/>
      <c r="N1934" s="13" t="s">
        <v>29</v>
      </c>
      <c r="O1934" s="24" t="str">
        <f>IF(D1934="","",IF(COUNTIF(离职清单!C:C,D1934)&gt;0,"已离职","在职"))</f>
        <v>在职</v>
      </c>
      <c r="P1934" s="24" t="str">
        <f>IF(AND(O1934="在职",J1934="是"),COUNTIF(O$2:O1934,"在职"),"")</f>
        <v/>
      </c>
    </row>
    <row r="1935" ht="18" spans="1:16">
      <c r="A1935" s="14">
        <f t="shared" si="35"/>
        <v>1934</v>
      </c>
      <c r="B1935" s="31">
        <v>46187</v>
      </c>
      <c r="C1935" s="32" t="s">
        <v>2019</v>
      </c>
      <c r="D1935" s="120" t="s">
        <v>482</v>
      </c>
      <c r="E1935" s="33" t="s">
        <v>42</v>
      </c>
      <c r="F1935" s="18" t="s">
        <v>63</v>
      </c>
      <c r="G1935" s="18" t="s">
        <v>129</v>
      </c>
      <c r="H1935" s="34" t="s">
        <v>85</v>
      </c>
      <c r="I1935" s="18" t="s">
        <v>104</v>
      </c>
      <c r="J1935" s="31" t="s">
        <v>105</v>
      </c>
      <c r="K1935" s="31"/>
      <c r="N1935" s="13" t="s">
        <v>29</v>
      </c>
      <c r="O1935" s="24" t="str">
        <f>IF(D1935="","",IF(COUNTIF(离职清单!C:C,D1935)&gt;0,"已离职","在职"))</f>
        <v>在职</v>
      </c>
      <c r="P1935" s="24" t="str">
        <f>IF(AND(O1935="在职",J1935="是"),COUNTIF(O$2:O1935,"在职"),"")</f>
        <v/>
      </c>
    </row>
    <row r="1936" ht="18" spans="1:16">
      <c r="A1936" s="10">
        <f t="shared" si="35"/>
        <v>1935</v>
      </c>
      <c r="B1936" s="31">
        <v>46187</v>
      </c>
      <c r="C1936" s="32" t="s">
        <v>2020</v>
      </c>
      <c r="D1936" s="120" t="s">
        <v>484</v>
      </c>
      <c r="E1936" s="33" t="s">
        <v>42</v>
      </c>
      <c r="F1936" s="18" t="s">
        <v>62</v>
      </c>
      <c r="G1936" s="18" t="s">
        <v>129</v>
      </c>
      <c r="H1936" s="34" t="s">
        <v>85</v>
      </c>
      <c r="I1936" s="18" t="s">
        <v>104</v>
      </c>
      <c r="J1936" s="31" t="s">
        <v>105</v>
      </c>
      <c r="K1936" s="31"/>
      <c r="N1936" s="13" t="s">
        <v>29</v>
      </c>
      <c r="O1936" s="24" t="str">
        <f>IF(D1936="","",IF(COUNTIF(离职清单!C:C,D1936)&gt;0,"已离职","在职"))</f>
        <v>在职</v>
      </c>
      <c r="P1936" s="24" t="str">
        <f>IF(AND(O1936="在职",J1936="是"),COUNTIF(O$2:O1936,"在职"),"")</f>
        <v/>
      </c>
    </row>
    <row r="1937" ht="18" spans="1:16">
      <c r="A1937" s="14">
        <f t="shared" si="35"/>
        <v>1936</v>
      </c>
      <c r="B1937" s="31">
        <v>46187</v>
      </c>
      <c r="C1937" s="32" t="s">
        <v>2021</v>
      </c>
      <c r="D1937" s="120" t="s">
        <v>486</v>
      </c>
      <c r="E1937" s="33" t="s">
        <v>42</v>
      </c>
      <c r="F1937" s="18" t="s">
        <v>64</v>
      </c>
      <c r="G1937" s="18" t="s">
        <v>176</v>
      </c>
      <c r="H1937" s="34" t="s">
        <v>85</v>
      </c>
      <c r="I1937" s="18" t="s">
        <v>104</v>
      </c>
      <c r="J1937" s="31" t="s">
        <v>105</v>
      </c>
      <c r="K1937" s="31"/>
      <c r="N1937" s="13" t="s">
        <v>29</v>
      </c>
      <c r="O1937" s="24" t="str">
        <f>IF(D1937="","",IF(COUNTIF(离职清单!C:C,D1937)&gt;0,"已离职","在职"))</f>
        <v>在职</v>
      </c>
      <c r="P1937" s="24" t="str">
        <f>IF(AND(O1937="在职",J1937="是"),COUNTIF(O$2:O1937,"在职"),"")</f>
        <v/>
      </c>
    </row>
    <row r="1938" ht="18" spans="1:16">
      <c r="A1938" s="10">
        <f t="shared" si="35"/>
        <v>1937</v>
      </c>
      <c r="B1938" s="31">
        <v>46187</v>
      </c>
      <c r="C1938" s="32" t="s">
        <v>2022</v>
      </c>
      <c r="D1938" s="120" t="s">
        <v>488</v>
      </c>
      <c r="E1938" s="33" t="s">
        <v>42</v>
      </c>
      <c r="F1938" s="18" t="s">
        <v>64</v>
      </c>
      <c r="G1938" s="18" t="s">
        <v>307</v>
      </c>
      <c r="H1938" s="34" t="s">
        <v>85</v>
      </c>
      <c r="I1938" s="18" t="s">
        <v>104</v>
      </c>
      <c r="J1938" s="31" t="s">
        <v>105</v>
      </c>
      <c r="K1938" s="31"/>
      <c r="N1938" s="13" t="s">
        <v>29</v>
      </c>
      <c r="O1938" s="24" t="str">
        <f>IF(D1938="","",IF(COUNTIF(离职清单!C:C,D1938)&gt;0,"已离职","在职"))</f>
        <v>在职</v>
      </c>
      <c r="P1938" s="24" t="str">
        <f>IF(AND(O1938="在职",J1938="是"),COUNTIF(O$2:O1938,"在职"),"")</f>
        <v/>
      </c>
    </row>
    <row r="1939" ht="18" spans="1:16">
      <c r="A1939" s="14">
        <f t="shared" si="35"/>
        <v>1938</v>
      </c>
      <c r="B1939" s="31">
        <v>46187</v>
      </c>
      <c r="C1939" s="32" t="s">
        <v>2023</v>
      </c>
      <c r="D1939" s="120" t="s">
        <v>490</v>
      </c>
      <c r="E1939" s="33" t="s">
        <v>42</v>
      </c>
      <c r="F1939" s="18" t="s">
        <v>64</v>
      </c>
      <c r="G1939" s="18" t="s">
        <v>681</v>
      </c>
      <c r="H1939" s="34" t="s">
        <v>85</v>
      </c>
      <c r="I1939" s="18" t="s">
        <v>104</v>
      </c>
      <c r="J1939" s="31" t="s">
        <v>105</v>
      </c>
      <c r="K1939" s="31"/>
      <c r="N1939" s="13" t="s">
        <v>29</v>
      </c>
      <c r="O1939" s="24" t="str">
        <f>IF(D1939="","",IF(COUNTIF(离职清单!C:C,D1939)&gt;0,"已离职","在职"))</f>
        <v>在职</v>
      </c>
      <c r="P1939" s="24" t="str">
        <f>IF(AND(O1939="在职",J1939="是"),COUNTIF(O$2:O1939,"在职"),"")</f>
        <v/>
      </c>
    </row>
    <row r="1940" ht="18" spans="1:16">
      <c r="A1940" s="10">
        <f t="shared" si="35"/>
        <v>1939</v>
      </c>
      <c r="B1940" s="31">
        <v>46187</v>
      </c>
      <c r="C1940" s="32" t="s">
        <v>2024</v>
      </c>
      <c r="D1940" s="120" t="s">
        <v>492</v>
      </c>
      <c r="E1940" s="33" t="s">
        <v>42</v>
      </c>
      <c r="F1940" s="18" t="s">
        <v>64</v>
      </c>
      <c r="G1940" s="18" t="s">
        <v>681</v>
      </c>
      <c r="H1940" s="34" t="s">
        <v>85</v>
      </c>
      <c r="I1940" s="18" t="s">
        <v>104</v>
      </c>
      <c r="J1940" s="31" t="s">
        <v>105</v>
      </c>
      <c r="K1940" s="31"/>
      <c r="N1940" s="13" t="s">
        <v>29</v>
      </c>
      <c r="O1940" s="24" t="str">
        <f>IF(D1940="","",IF(COUNTIF(离职清单!C:C,D1940)&gt;0,"已离职","在职"))</f>
        <v>在职</v>
      </c>
      <c r="P1940" s="24" t="str">
        <f>IF(AND(O1940="在职",J1940="是"),COUNTIF(O$2:O1940,"在职"),"")</f>
        <v/>
      </c>
    </row>
    <row r="1941" ht="18" spans="1:16">
      <c r="A1941" s="14">
        <f t="shared" si="35"/>
        <v>1940</v>
      </c>
      <c r="B1941" s="31">
        <v>46187</v>
      </c>
      <c r="C1941" s="32" t="s">
        <v>1192</v>
      </c>
      <c r="D1941" s="120" t="s">
        <v>477</v>
      </c>
      <c r="E1941" s="33" t="s">
        <v>42</v>
      </c>
      <c r="F1941" s="18" t="s">
        <v>64</v>
      </c>
      <c r="G1941" s="18" t="s">
        <v>509</v>
      </c>
      <c r="H1941" s="34" t="s">
        <v>85</v>
      </c>
      <c r="I1941" s="18" t="s">
        <v>104</v>
      </c>
      <c r="J1941" s="31" t="s">
        <v>105</v>
      </c>
      <c r="K1941" s="31"/>
      <c r="N1941" s="13" t="s">
        <v>29</v>
      </c>
      <c r="O1941" s="24" t="str">
        <f>IF(D1941="","",IF(COUNTIF(离职清单!C:C,D1941)&gt;0,"已离职","在职"))</f>
        <v>在职</v>
      </c>
      <c r="P1941" s="24" t="str">
        <f>IF(AND(O1941="在职",J1941="是"),COUNTIF(O$2:O1941,"在职"),"")</f>
        <v/>
      </c>
    </row>
    <row r="1942" ht="18" spans="1:16">
      <c r="A1942" s="10">
        <f t="shared" si="35"/>
        <v>1941</v>
      </c>
      <c r="B1942" s="31">
        <v>46187</v>
      </c>
      <c r="C1942" s="32" t="s">
        <v>2025</v>
      </c>
      <c r="D1942" s="120" t="s">
        <v>477</v>
      </c>
      <c r="E1942" s="33" t="s">
        <v>42</v>
      </c>
      <c r="F1942" s="18" t="s">
        <v>63</v>
      </c>
      <c r="G1942" s="18" t="s">
        <v>124</v>
      </c>
      <c r="H1942" s="34" t="s">
        <v>85</v>
      </c>
      <c r="I1942" s="18" t="s">
        <v>104</v>
      </c>
      <c r="J1942" s="31" t="s">
        <v>105</v>
      </c>
      <c r="K1942" s="31"/>
      <c r="N1942" s="13" t="s">
        <v>29</v>
      </c>
      <c r="O1942" s="24" t="str">
        <f>IF(D1942="","",IF(COUNTIF(离职清单!C:C,D1942)&gt;0,"已离职","在职"))</f>
        <v>在职</v>
      </c>
      <c r="P1942" s="24" t="str">
        <f>IF(AND(O1942="在职",J1942="是"),COUNTIF(O$2:O1942,"在职"),"")</f>
        <v/>
      </c>
    </row>
    <row r="1943" ht="18" spans="1:16">
      <c r="A1943" s="14">
        <f t="shared" si="35"/>
        <v>1942</v>
      </c>
      <c r="B1943" s="31">
        <v>46187</v>
      </c>
      <c r="C1943" s="32" t="s">
        <v>2026</v>
      </c>
      <c r="D1943" s="120" t="s">
        <v>478</v>
      </c>
      <c r="E1943" s="33" t="s">
        <v>42</v>
      </c>
      <c r="F1943" s="18" t="s">
        <v>64</v>
      </c>
      <c r="G1943" s="18" t="s">
        <v>124</v>
      </c>
      <c r="H1943" s="34" t="s">
        <v>85</v>
      </c>
      <c r="I1943" s="18" t="s">
        <v>104</v>
      </c>
      <c r="J1943" s="31" t="s">
        <v>105</v>
      </c>
      <c r="K1943" s="31"/>
      <c r="N1943" s="13" t="s">
        <v>29</v>
      </c>
      <c r="O1943" s="24" t="str">
        <f>IF(D1943="","",IF(COUNTIF(离职清单!C:C,D1943)&gt;0,"已离职","在职"))</f>
        <v>在职</v>
      </c>
      <c r="P1943" s="24" t="str">
        <f>IF(AND(O1943="在职",J1943="是"),COUNTIF(O$2:O1943,"在职"),"")</f>
        <v/>
      </c>
    </row>
    <row r="1944" ht="18" spans="1:16">
      <c r="A1944" s="10">
        <f t="shared" si="35"/>
        <v>1943</v>
      </c>
      <c r="B1944" s="31">
        <v>46187</v>
      </c>
      <c r="C1944" s="32" t="s">
        <v>2027</v>
      </c>
      <c r="D1944" s="120" t="s">
        <v>480</v>
      </c>
      <c r="E1944" s="33" t="s">
        <v>42</v>
      </c>
      <c r="F1944" s="18" t="s">
        <v>63</v>
      </c>
      <c r="G1944" s="18" t="s">
        <v>233</v>
      </c>
      <c r="H1944" s="34" t="s">
        <v>85</v>
      </c>
      <c r="I1944" s="18" t="s">
        <v>104</v>
      </c>
      <c r="J1944" s="31" t="s">
        <v>105</v>
      </c>
      <c r="K1944" s="31"/>
      <c r="N1944" s="13" t="s">
        <v>29</v>
      </c>
      <c r="O1944" s="24" t="str">
        <f>IF(D1944="","",IF(COUNTIF(离职清单!C:C,D1944)&gt;0,"已离职","在职"))</f>
        <v>在职</v>
      </c>
      <c r="P1944" s="24" t="str">
        <f>IF(AND(O1944="在职",J1944="是"),COUNTIF(O$2:O1944,"在职"),"")</f>
        <v/>
      </c>
    </row>
    <row r="1945" ht="18" spans="1:16">
      <c r="A1945" s="14">
        <f t="shared" si="35"/>
        <v>1944</v>
      </c>
      <c r="B1945" s="31">
        <v>46187</v>
      </c>
      <c r="C1945" s="32" t="s">
        <v>2028</v>
      </c>
      <c r="D1945" s="120" t="s">
        <v>482</v>
      </c>
      <c r="E1945" s="33" t="s">
        <v>42</v>
      </c>
      <c r="F1945" s="18" t="s">
        <v>62</v>
      </c>
      <c r="G1945" s="18" t="s">
        <v>233</v>
      </c>
      <c r="H1945" s="34" t="s">
        <v>85</v>
      </c>
      <c r="I1945" s="18" t="s">
        <v>104</v>
      </c>
      <c r="J1945" s="31" t="s">
        <v>105</v>
      </c>
      <c r="K1945" s="31"/>
      <c r="N1945" s="13" t="s">
        <v>29</v>
      </c>
      <c r="O1945" s="24" t="str">
        <f>IF(D1945="","",IF(COUNTIF(离职清单!C:C,D1945)&gt;0,"已离职","在职"))</f>
        <v>在职</v>
      </c>
      <c r="P1945" s="24" t="str">
        <f>IF(AND(O1945="在职",J1945="是"),COUNTIF(O$2:O1945,"在职"),"")</f>
        <v/>
      </c>
    </row>
    <row r="1946" ht="18" spans="1:16">
      <c r="A1946" s="10">
        <f t="shared" si="35"/>
        <v>1945</v>
      </c>
      <c r="B1946" s="31">
        <v>46187</v>
      </c>
      <c r="C1946" s="32" t="s">
        <v>2029</v>
      </c>
      <c r="D1946" s="120" t="s">
        <v>484</v>
      </c>
      <c r="E1946" s="33" t="s">
        <v>42</v>
      </c>
      <c r="F1946" s="18" t="s">
        <v>62</v>
      </c>
      <c r="G1946" s="18" t="s">
        <v>233</v>
      </c>
      <c r="H1946" s="34" t="s">
        <v>85</v>
      </c>
      <c r="I1946" s="18" t="s">
        <v>104</v>
      </c>
      <c r="J1946" s="31" t="s">
        <v>105</v>
      </c>
      <c r="K1946" s="31"/>
      <c r="N1946" s="13" t="s">
        <v>29</v>
      </c>
      <c r="O1946" s="24" t="str">
        <f>IF(D1946="","",IF(COUNTIF(离职清单!C:C,D1946)&gt;0,"已离职","在职"))</f>
        <v>在职</v>
      </c>
      <c r="P1946" s="24" t="str">
        <f>IF(AND(O1946="在职",J1946="是"),COUNTIF(O$2:O1946,"在职"),"")</f>
        <v/>
      </c>
    </row>
    <row r="1947" ht="18" spans="1:16">
      <c r="A1947" s="14">
        <f t="shared" si="35"/>
        <v>1946</v>
      </c>
      <c r="B1947" s="31">
        <v>46187</v>
      </c>
      <c r="C1947" s="32" t="s">
        <v>2030</v>
      </c>
      <c r="D1947" s="120" t="s">
        <v>486</v>
      </c>
      <c r="E1947" s="33" t="s">
        <v>42</v>
      </c>
      <c r="F1947" s="18" t="s">
        <v>64</v>
      </c>
      <c r="G1947" s="18" t="s">
        <v>578</v>
      </c>
      <c r="H1947" s="34" t="s">
        <v>85</v>
      </c>
      <c r="I1947" s="18" t="s">
        <v>104</v>
      </c>
      <c r="J1947" s="31" t="s">
        <v>105</v>
      </c>
      <c r="K1947" s="31"/>
      <c r="N1947" s="13" t="s">
        <v>29</v>
      </c>
      <c r="O1947" s="24" t="str">
        <f>IF(D1947="","",IF(COUNTIF(离职清单!C:C,D1947)&gt;0,"已离职","在职"))</f>
        <v>在职</v>
      </c>
      <c r="P1947" s="24" t="str">
        <f>IF(AND(O1947="在职",J1947="是"),COUNTIF(O$2:O1947,"在职"),"")</f>
        <v/>
      </c>
    </row>
    <row r="1948" ht="18" spans="1:16">
      <c r="A1948" s="10">
        <f t="shared" si="35"/>
        <v>1947</v>
      </c>
      <c r="B1948" s="31">
        <v>46187</v>
      </c>
      <c r="C1948" s="32" t="s">
        <v>2031</v>
      </c>
      <c r="D1948" s="120" t="s">
        <v>488</v>
      </c>
      <c r="E1948" s="33" t="s">
        <v>42</v>
      </c>
      <c r="F1948" s="18" t="s">
        <v>64</v>
      </c>
      <c r="G1948" s="18" t="s">
        <v>631</v>
      </c>
      <c r="H1948" s="34" t="s">
        <v>85</v>
      </c>
      <c r="I1948" s="18" t="s">
        <v>104</v>
      </c>
      <c r="J1948" s="31" t="s">
        <v>105</v>
      </c>
      <c r="K1948" s="31"/>
      <c r="N1948" s="13" t="s">
        <v>29</v>
      </c>
      <c r="O1948" s="24" t="str">
        <f>IF(D1948="","",IF(COUNTIF(离职清单!C:C,D1948)&gt;0,"已离职","在职"))</f>
        <v>在职</v>
      </c>
      <c r="P1948" s="24" t="str">
        <f>IF(AND(O1948="在职",J1948="是"),COUNTIF(O$2:O1948,"在职"),"")</f>
        <v/>
      </c>
    </row>
    <row r="1949" ht="18" spans="1:16">
      <c r="A1949" s="14">
        <f t="shared" si="35"/>
        <v>1948</v>
      </c>
      <c r="B1949" s="31">
        <v>46187</v>
      </c>
      <c r="C1949" s="32" t="s">
        <v>2032</v>
      </c>
      <c r="D1949" s="120" t="s">
        <v>490</v>
      </c>
      <c r="E1949" s="33" t="s">
        <v>42</v>
      </c>
      <c r="F1949" s="18" t="s">
        <v>63</v>
      </c>
      <c r="G1949" s="18" t="s">
        <v>631</v>
      </c>
      <c r="H1949" s="34" t="s">
        <v>85</v>
      </c>
      <c r="I1949" s="18" t="s">
        <v>104</v>
      </c>
      <c r="J1949" s="31" t="s">
        <v>105</v>
      </c>
      <c r="K1949" s="31"/>
      <c r="N1949" s="13" t="s">
        <v>29</v>
      </c>
      <c r="O1949" s="24" t="str">
        <f>IF(D1949="","",IF(COUNTIF(离职清单!C:C,D1949)&gt;0,"已离职","在职"))</f>
        <v>在职</v>
      </c>
      <c r="P1949" s="24" t="str">
        <f>IF(AND(O1949="在职",J1949="是"),COUNTIF(O$2:O1949,"在职"),"")</f>
        <v/>
      </c>
    </row>
    <row r="1950" ht="18" spans="1:16">
      <c r="A1950" s="10">
        <f t="shared" si="35"/>
        <v>1949</v>
      </c>
      <c r="B1950" s="31">
        <v>46187</v>
      </c>
      <c r="C1950" s="32" t="s">
        <v>2033</v>
      </c>
      <c r="D1950" s="120" t="s">
        <v>492</v>
      </c>
      <c r="E1950" s="33" t="s">
        <v>42</v>
      </c>
      <c r="F1950" s="18" t="s">
        <v>64</v>
      </c>
      <c r="G1950" s="18" t="s">
        <v>631</v>
      </c>
      <c r="H1950" s="34" t="s">
        <v>85</v>
      </c>
      <c r="I1950" s="18" t="s">
        <v>104</v>
      </c>
      <c r="J1950" s="31" t="s">
        <v>105</v>
      </c>
      <c r="K1950" s="31"/>
      <c r="N1950" s="13" t="s">
        <v>29</v>
      </c>
      <c r="O1950" s="24" t="str">
        <f>IF(D1950="","",IF(COUNTIF(离职清单!C:C,D1950)&gt;0,"已离职","在职"))</f>
        <v>在职</v>
      </c>
      <c r="P1950" s="24" t="str">
        <f>IF(AND(O1950="在职",J1950="是"),COUNTIF(O$2:O1950,"在职"),"")</f>
        <v/>
      </c>
    </row>
    <row r="1951" ht="18" spans="1:16">
      <c r="A1951" s="14">
        <f t="shared" si="35"/>
        <v>1950</v>
      </c>
      <c r="B1951" s="31">
        <v>46187</v>
      </c>
      <c r="C1951" s="32" t="s">
        <v>2034</v>
      </c>
      <c r="D1951" s="120" t="s">
        <v>477</v>
      </c>
      <c r="E1951" s="33" t="s">
        <v>42</v>
      </c>
      <c r="F1951" s="18" t="s">
        <v>64</v>
      </c>
      <c r="G1951" s="18" t="s">
        <v>103</v>
      </c>
      <c r="H1951" s="34" t="s">
        <v>85</v>
      </c>
      <c r="I1951" s="18" t="s">
        <v>104</v>
      </c>
      <c r="J1951" s="31" t="s">
        <v>105</v>
      </c>
      <c r="K1951" s="31"/>
      <c r="N1951" s="13" t="s">
        <v>29</v>
      </c>
      <c r="O1951" s="24" t="str">
        <f>IF(D1951="","",IF(COUNTIF(离职清单!C:C,D1951)&gt;0,"已离职","在职"))</f>
        <v>在职</v>
      </c>
      <c r="P1951" s="24" t="str">
        <f>IF(AND(O1951="在职",J1951="是"),COUNTIF(O$2:O1951,"在职"),"")</f>
        <v/>
      </c>
    </row>
    <row r="1952" ht="18" spans="1:16">
      <c r="A1952" s="10">
        <f t="shared" si="35"/>
        <v>1951</v>
      </c>
      <c r="B1952" s="31">
        <v>46187</v>
      </c>
      <c r="C1952" s="32" t="s">
        <v>2035</v>
      </c>
      <c r="D1952" s="120" t="s">
        <v>478</v>
      </c>
      <c r="E1952" s="33" t="s">
        <v>42</v>
      </c>
      <c r="F1952" s="18" t="s">
        <v>64</v>
      </c>
      <c r="G1952" s="18" t="s">
        <v>103</v>
      </c>
      <c r="H1952" s="34" t="s">
        <v>85</v>
      </c>
      <c r="I1952" s="18" t="s">
        <v>104</v>
      </c>
      <c r="J1952" s="31" t="s">
        <v>105</v>
      </c>
      <c r="K1952" s="31"/>
      <c r="N1952" s="13" t="s">
        <v>29</v>
      </c>
      <c r="O1952" s="24" t="str">
        <f>IF(D1952="","",IF(COUNTIF(离职清单!C:C,D1952)&gt;0,"已离职","在职"))</f>
        <v>在职</v>
      </c>
      <c r="P1952" s="24" t="str">
        <f>IF(AND(O1952="在职",J1952="是"),COUNTIF(O$2:O1952,"在职"),"")</f>
        <v/>
      </c>
    </row>
    <row r="1953" ht="18" spans="1:16">
      <c r="A1953" s="14">
        <f t="shared" si="35"/>
        <v>1952</v>
      </c>
      <c r="B1953" s="31">
        <v>46187</v>
      </c>
      <c r="C1953" s="32" t="s">
        <v>2036</v>
      </c>
      <c r="D1953" s="120" t="s">
        <v>480</v>
      </c>
      <c r="E1953" s="33" t="s">
        <v>42</v>
      </c>
      <c r="F1953" s="18" t="s">
        <v>64</v>
      </c>
      <c r="G1953" s="18" t="s">
        <v>148</v>
      </c>
      <c r="H1953" s="34" t="s">
        <v>85</v>
      </c>
      <c r="I1953" s="18" t="s">
        <v>104</v>
      </c>
      <c r="J1953" s="31" t="s">
        <v>105</v>
      </c>
      <c r="K1953" s="31"/>
      <c r="N1953" s="13" t="s">
        <v>29</v>
      </c>
      <c r="O1953" s="24" t="str">
        <f>IF(D1953="","",IF(COUNTIF(离职清单!C:C,D1953)&gt;0,"已离职","在职"))</f>
        <v>在职</v>
      </c>
      <c r="P1953" s="24" t="str">
        <f>IF(AND(O1953="在职",J1953="是"),COUNTIF(O$2:O1953,"在职"),"")</f>
        <v/>
      </c>
    </row>
    <row r="1954" ht="18" spans="1:16">
      <c r="A1954" s="10">
        <f t="shared" si="35"/>
        <v>1953</v>
      </c>
      <c r="B1954" s="31">
        <v>46187</v>
      </c>
      <c r="C1954" s="32" t="s">
        <v>2037</v>
      </c>
      <c r="D1954" s="120" t="s">
        <v>482</v>
      </c>
      <c r="E1954" s="33" t="s">
        <v>42</v>
      </c>
      <c r="F1954" s="18" t="s">
        <v>63</v>
      </c>
      <c r="G1954" s="18" t="s">
        <v>332</v>
      </c>
      <c r="H1954" s="34" t="s">
        <v>85</v>
      </c>
      <c r="I1954" s="18" t="s">
        <v>104</v>
      </c>
      <c r="J1954" s="31" t="s">
        <v>105</v>
      </c>
      <c r="K1954" s="31"/>
      <c r="N1954" s="13" t="s">
        <v>29</v>
      </c>
      <c r="O1954" s="24" t="str">
        <f>IF(D1954="","",IF(COUNTIF(离职清单!C:C,D1954)&gt;0,"已离职","在职"))</f>
        <v>在职</v>
      </c>
      <c r="P1954" s="24" t="str">
        <f>IF(AND(O1954="在职",J1954="是"),COUNTIF(O$2:O1954,"在职"),"")</f>
        <v/>
      </c>
    </row>
    <row r="1955" ht="18" spans="1:16">
      <c r="A1955" s="14">
        <f t="shared" si="35"/>
        <v>1954</v>
      </c>
      <c r="B1955" s="31">
        <v>46187</v>
      </c>
      <c r="C1955" s="32" t="s">
        <v>2038</v>
      </c>
      <c r="D1955" s="120" t="s">
        <v>484</v>
      </c>
      <c r="E1955" s="33" t="s">
        <v>42</v>
      </c>
      <c r="F1955" s="18" t="s">
        <v>64</v>
      </c>
      <c r="G1955" s="18" t="s">
        <v>505</v>
      </c>
      <c r="H1955" s="34" t="s">
        <v>85</v>
      </c>
      <c r="I1955" s="18" t="s">
        <v>104</v>
      </c>
      <c r="J1955" s="31" t="s">
        <v>105</v>
      </c>
      <c r="K1955" s="31"/>
      <c r="N1955" s="13" t="s">
        <v>29</v>
      </c>
      <c r="O1955" s="24" t="str">
        <f>IF(D1955="","",IF(COUNTIF(离职清单!C:C,D1955)&gt;0,"已离职","在职"))</f>
        <v>在职</v>
      </c>
      <c r="P1955" s="24" t="str">
        <f>IF(AND(O1955="在职",J1955="是"),COUNTIF(O$2:O1955,"在职"),"")</f>
        <v/>
      </c>
    </row>
    <row r="1956" ht="18" spans="1:16">
      <c r="A1956" s="10">
        <f t="shared" si="35"/>
        <v>1955</v>
      </c>
      <c r="B1956" s="31">
        <v>46187</v>
      </c>
      <c r="C1956" s="32" t="s">
        <v>2039</v>
      </c>
      <c r="D1956" s="120" t="s">
        <v>486</v>
      </c>
      <c r="E1956" s="33" t="s">
        <v>73</v>
      </c>
      <c r="F1956" s="18" t="s">
        <v>63</v>
      </c>
      <c r="G1956" s="18" t="s">
        <v>1056</v>
      </c>
      <c r="H1956" s="34" t="s">
        <v>85</v>
      </c>
      <c r="I1956" s="18" t="s">
        <v>104</v>
      </c>
      <c r="J1956" s="31" t="s">
        <v>105</v>
      </c>
      <c r="K1956" s="31"/>
      <c r="N1956" s="13" t="s">
        <v>29</v>
      </c>
      <c r="O1956" s="24" t="str">
        <f>IF(D1956="","",IF(COUNTIF(离职清单!C:C,D1956)&gt;0,"已离职","在职"))</f>
        <v>在职</v>
      </c>
      <c r="P1956" s="24" t="str">
        <f>IF(AND(O1956="在职",J1956="是"),COUNTIF(O$2:O1956,"在职"),"")</f>
        <v/>
      </c>
    </row>
    <row r="1957" ht="18" spans="1:16">
      <c r="A1957" s="14">
        <f t="shared" si="35"/>
        <v>1956</v>
      </c>
      <c r="B1957" s="31">
        <v>46187</v>
      </c>
      <c r="C1957" s="32" t="s">
        <v>2040</v>
      </c>
      <c r="D1957" s="120" t="s">
        <v>488</v>
      </c>
      <c r="E1957" s="33" t="s">
        <v>73</v>
      </c>
      <c r="F1957" s="18" t="s">
        <v>64</v>
      </c>
      <c r="G1957" s="18" t="s">
        <v>1056</v>
      </c>
      <c r="H1957" s="34" t="s">
        <v>85</v>
      </c>
      <c r="I1957" s="18" t="s">
        <v>104</v>
      </c>
      <c r="J1957" s="31" t="s">
        <v>105</v>
      </c>
      <c r="K1957" s="31"/>
      <c r="N1957" s="13" t="s">
        <v>29</v>
      </c>
      <c r="O1957" s="24" t="str">
        <f>IF(D1957="","",IF(COUNTIF(离职清单!C:C,D1957)&gt;0,"已离职","在职"))</f>
        <v>在职</v>
      </c>
      <c r="P1957" s="24" t="str">
        <f>IF(AND(O1957="在职",J1957="是"),COUNTIF(O$2:O1957,"在职"),"")</f>
        <v/>
      </c>
    </row>
    <row r="1958" ht="18" spans="1:16">
      <c r="A1958" s="10">
        <f t="shared" si="35"/>
        <v>1957</v>
      </c>
      <c r="B1958" s="31">
        <v>46187</v>
      </c>
      <c r="C1958" s="32" t="s">
        <v>2041</v>
      </c>
      <c r="D1958" s="120" t="s">
        <v>490</v>
      </c>
      <c r="E1958" s="33" t="s">
        <v>73</v>
      </c>
      <c r="F1958" s="18" t="s">
        <v>63</v>
      </c>
      <c r="G1958" s="18" t="s">
        <v>1056</v>
      </c>
      <c r="H1958" s="34" t="s">
        <v>85</v>
      </c>
      <c r="I1958" s="18" t="s">
        <v>104</v>
      </c>
      <c r="J1958" s="31" t="s">
        <v>105</v>
      </c>
      <c r="K1958" s="31"/>
      <c r="N1958" s="13" t="s">
        <v>29</v>
      </c>
      <c r="O1958" s="24" t="str">
        <f>IF(D1958="","",IF(COUNTIF(离职清单!C:C,D1958)&gt;0,"已离职","在职"))</f>
        <v>在职</v>
      </c>
      <c r="P1958" s="24" t="str">
        <f>IF(AND(O1958="在职",J1958="是"),COUNTIF(O$2:O1958,"在职"),"")</f>
        <v/>
      </c>
    </row>
    <row r="1959" ht="18" spans="1:16">
      <c r="A1959" s="14">
        <f t="shared" si="35"/>
        <v>1958</v>
      </c>
      <c r="B1959" s="31">
        <v>46187</v>
      </c>
      <c r="C1959" s="32" t="s">
        <v>2042</v>
      </c>
      <c r="D1959" s="120" t="s">
        <v>492</v>
      </c>
      <c r="E1959" s="33" t="s">
        <v>73</v>
      </c>
      <c r="F1959" s="18" t="s">
        <v>63</v>
      </c>
      <c r="G1959" s="18" t="s">
        <v>129</v>
      </c>
      <c r="H1959" s="34" t="s">
        <v>85</v>
      </c>
      <c r="I1959" s="18" t="s">
        <v>104</v>
      </c>
      <c r="J1959" s="31" t="s">
        <v>105</v>
      </c>
      <c r="K1959" s="31"/>
      <c r="N1959" s="13" t="s">
        <v>29</v>
      </c>
      <c r="O1959" s="24" t="str">
        <f>IF(D1959="","",IF(COUNTIF(离职清单!C:C,D1959)&gt;0,"已离职","在职"))</f>
        <v>在职</v>
      </c>
      <c r="P1959" s="24" t="str">
        <f>IF(AND(O1959="在职",J1959="是"),COUNTIF(O$2:O1959,"在职"),"")</f>
        <v/>
      </c>
    </row>
    <row r="1960" ht="18" spans="1:16">
      <c r="A1960" s="10">
        <f t="shared" si="35"/>
        <v>1959</v>
      </c>
      <c r="B1960" s="31">
        <v>46187</v>
      </c>
      <c r="C1960" s="32" t="s">
        <v>2043</v>
      </c>
      <c r="D1960" s="120" t="s">
        <v>477</v>
      </c>
      <c r="E1960" s="33" t="s">
        <v>73</v>
      </c>
      <c r="F1960" s="18" t="s">
        <v>62</v>
      </c>
      <c r="G1960" s="18" t="s">
        <v>129</v>
      </c>
      <c r="H1960" s="34" t="s">
        <v>85</v>
      </c>
      <c r="I1960" s="18" t="s">
        <v>104</v>
      </c>
      <c r="J1960" s="31" t="s">
        <v>105</v>
      </c>
      <c r="K1960" s="31"/>
      <c r="N1960" s="13" t="s">
        <v>29</v>
      </c>
      <c r="O1960" s="24" t="str">
        <f>IF(D1960="","",IF(COUNTIF(离职清单!C:C,D1960)&gt;0,"已离职","在职"))</f>
        <v>在职</v>
      </c>
      <c r="P1960" s="24" t="str">
        <f>IF(AND(O1960="在职",J1960="是"),COUNTIF(O$2:O1960,"在职"),"")</f>
        <v/>
      </c>
    </row>
    <row r="1961" ht="18" spans="1:16">
      <c r="A1961" s="14">
        <f t="shared" si="35"/>
        <v>1960</v>
      </c>
      <c r="B1961" s="31">
        <v>46187</v>
      </c>
      <c r="C1961" s="32" t="s">
        <v>2044</v>
      </c>
      <c r="D1961" s="120" t="s">
        <v>478</v>
      </c>
      <c r="E1961" s="33" t="s">
        <v>73</v>
      </c>
      <c r="F1961" s="18" t="s">
        <v>62</v>
      </c>
      <c r="G1961" s="18" t="s">
        <v>233</v>
      </c>
      <c r="H1961" s="34" t="s">
        <v>85</v>
      </c>
      <c r="I1961" s="18" t="s">
        <v>104</v>
      </c>
      <c r="J1961" s="31" t="s">
        <v>105</v>
      </c>
      <c r="K1961" s="31"/>
      <c r="N1961" s="13" t="s">
        <v>29</v>
      </c>
      <c r="O1961" s="24" t="str">
        <f>IF(D1961="","",IF(COUNTIF(离职清单!C:C,D1961)&gt;0,"已离职","在职"))</f>
        <v>在职</v>
      </c>
      <c r="P1961" s="24" t="str">
        <f>IF(AND(O1961="在职",J1961="是"),COUNTIF(O$2:O1961,"在职"),"")</f>
        <v/>
      </c>
    </row>
    <row r="1962" ht="18" spans="1:16">
      <c r="A1962" s="10">
        <f t="shared" si="35"/>
        <v>1961</v>
      </c>
      <c r="B1962" s="31">
        <v>46187</v>
      </c>
      <c r="C1962" s="32" t="s">
        <v>2045</v>
      </c>
      <c r="D1962" s="120" t="s">
        <v>480</v>
      </c>
      <c r="E1962" s="33" t="s">
        <v>1659</v>
      </c>
      <c r="F1962" s="18" t="s">
        <v>1660</v>
      </c>
      <c r="G1962" s="18" t="s">
        <v>148</v>
      </c>
      <c r="H1962" s="34" t="s">
        <v>85</v>
      </c>
      <c r="I1962" s="18" t="s">
        <v>104</v>
      </c>
      <c r="J1962" s="31" t="s">
        <v>105</v>
      </c>
      <c r="K1962" s="31"/>
      <c r="N1962" s="13" t="s">
        <v>29</v>
      </c>
      <c r="O1962" s="24" t="str">
        <f>IF(D1962="","",IF(COUNTIF(离职清单!C:C,D1962)&gt;0,"已离职","在职"))</f>
        <v>在职</v>
      </c>
      <c r="P1962" s="24" t="str">
        <f>IF(AND(O1962="在职",J1962="是"),COUNTIF(O$2:O1962,"在职"),"")</f>
        <v/>
      </c>
    </row>
    <row r="1963" ht="18" spans="1:16">
      <c r="A1963" s="14">
        <f t="shared" si="35"/>
        <v>1962</v>
      </c>
      <c r="B1963" s="31">
        <v>46187</v>
      </c>
      <c r="C1963" s="32" t="s">
        <v>2046</v>
      </c>
      <c r="D1963" s="120" t="s">
        <v>482</v>
      </c>
      <c r="E1963" s="33" t="s">
        <v>43</v>
      </c>
      <c r="F1963" s="18" t="s">
        <v>63</v>
      </c>
      <c r="G1963" s="18" t="s">
        <v>173</v>
      </c>
      <c r="H1963" s="34" t="s">
        <v>85</v>
      </c>
      <c r="I1963" s="18" t="s">
        <v>104</v>
      </c>
      <c r="J1963" s="31" t="s">
        <v>105</v>
      </c>
      <c r="K1963" s="31"/>
      <c r="N1963" s="13" t="s">
        <v>29</v>
      </c>
      <c r="O1963" s="24" t="str">
        <f>IF(D1963="","",IF(COUNTIF(离职清单!C:C,D1963)&gt;0,"已离职","在职"))</f>
        <v>在职</v>
      </c>
      <c r="P1963" s="24" t="str">
        <f>IF(AND(O1963="在职",J1963="是"),COUNTIF(O$2:O1963,"在职"),"")</f>
        <v/>
      </c>
    </row>
    <row r="1964" ht="18" spans="1:16">
      <c r="A1964" s="10">
        <f t="shared" ref="A1964:A2027" si="36">IF(B1964&lt;&gt;"",ROW()-1,"")</f>
        <v>1963</v>
      </c>
      <c r="B1964" s="31">
        <v>46187</v>
      </c>
      <c r="C1964" s="32" t="s">
        <v>2047</v>
      </c>
      <c r="D1964" s="120" t="s">
        <v>484</v>
      </c>
      <c r="E1964" s="33" t="s">
        <v>43</v>
      </c>
      <c r="F1964" s="18" t="s">
        <v>63</v>
      </c>
      <c r="G1964" s="18" t="s">
        <v>173</v>
      </c>
      <c r="H1964" s="34" t="s">
        <v>85</v>
      </c>
      <c r="I1964" s="18" t="s">
        <v>104</v>
      </c>
      <c r="J1964" s="31" t="s">
        <v>105</v>
      </c>
      <c r="K1964" s="31"/>
      <c r="N1964" s="13" t="s">
        <v>29</v>
      </c>
      <c r="O1964" s="24" t="str">
        <f>IF(D1964="","",IF(COUNTIF(离职清单!C:C,D1964)&gt;0,"已离职","在职"))</f>
        <v>在职</v>
      </c>
      <c r="P1964" s="24" t="str">
        <f>IF(AND(O1964="在职",J1964="是"),COUNTIF(O$2:O1964,"在职"),"")</f>
        <v/>
      </c>
    </row>
    <row r="1965" ht="18" spans="1:16">
      <c r="A1965" s="14">
        <f t="shared" si="36"/>
        <v>1964</v>
      </c>
      <c r="B1965" s="31">
        <v>46187</v>
      </c>
      <c r="C1965" s="32" t="s">
        <v>2048</v>
      </c>
      <c r="D1965" s="120" t="s">
        <v>486</v>
      </c>
      <c r="E1965" s="33" t="s">
        <v>43</v>
      </c>
      <c r="F1965" s="18" t="s">
        <v>63</v>
      </c>
      <c r="G1965" s="18" t="s">
        <v>173</v>
      </c>
      <c r="H1965" s="34" t="s">
        <v>85</v>
      </c>
      <c r="I1965" s="18" t="s">
        <v>104</v>
      </c>
      <c r="J1965" s="31" t="s">
        <v>105</v>
      </c>
      <c r="K1965" s="31"/>
      <c r="N1965" s="13" t="s">
        <v>29</v>
      </c>
      <c r="O1965" s="24" t="str">
        <f>IF(D1965="","",IF(COUNTIF(离职清单!C:C,D1965)&gt;0,"已离职","在职"))</f>
        <v>在职</v>
      </c>
      <c r="P1965" s="24" t="str">
        <f>IF(AND(O1965="在职",J1965="是"),COUNTIF(O$2:O1965,"在职"),"")</f>
        <v/>
      </c>
    </row>
    <row r="1966" ht="18" spans="1:16">
      <c r="A1966" s="10">
        <f t="shared" si="36"/>
        <v>1965</v>
      </c>
      <c r="B1966" s="31">
        <v>46187</v>
      </c>
      <c r="C1966" s="32" t="s">
        <v>2049</v>
      </c>
      <c r="D1966" s="120" t="s">
        <v>488</v>
      </c>
      <c r="E1966" s="33" t="s">
        <v>43</v>
      </c>
      <c r="F1966" s="18" t="s">
        <v>64</v>
      </c>
      <c r="G1966" s="18" t="s">
        <v>512</v>
      </c>
      <c r="H1966" s="34" t="s">
        <v>85</v>
      </c>
      <c r="I1966" s="18" t="s">
        <v>104</v>
      </c>
      <c r="J1966" s="31" t="s">
        <v>105</v>
      </c>
      <c r="K1966" s="31"/>
      <c r="N1966" s="13" t="s">
        <v>29</v>
      </c>
      <c r="O1966" s="24" t="str">
        <f>IF(D1966="","",IF(COUNTIF(离职清单!C:C,D1966)&gt;0,"已离职","在职"))</f>
        <v>在职</v>
      </c>
      <c r="P1966" s="24" t="str">
        <f>IF(AND(O1966="在职",J1966="是"),COUNTIF(O$2:O1966,"在职"),"")</f>
        <v/>
      </c>
    </row>
    <row r="1967" ht="18" spans="1:16">
      <c r="A1967" s="14">
        <f t="shared" si="36"/>
        <v>1966</v>
      </c>
      <c r="B1967" s="31">
        <v>46187</v>
      </c>
      <c r="C1967" s="32" t="s">
        <v>2050</v>
      </c>
      <c r="D1967" s="120" t="s">
        <v>490</v>
      </c>
      <c r="E1967" s="33" t="s">
        <v>43</v>
      </c>
      <c r="F1967" s="18" t="s">
        <v>62</v>
      </c>
      <c r="G1967" s="18" t="s">
        <v>148</v>
      </c>
      <c r="H1967" s="34" t="s">
        <v>85</v>
      </c>
      <c r="I1967" s="18" t="s">
        <v>104</v>
      </c>
      <c r="J1967" s="31" t="s">
        <v>105</v>
      </c>
      <c r="K1967" s="31"/>
      <c r="N1967" s="13" t="s">
        <v>29</v>
      </c>
      <c r="O1967" s="24" t="str">
        <f>IF(D1967="","",IF(COUNTIF(离职清单!C:C,D1967)&gt;0,"已离职","在职"))</f>
        <v>在职</v>
      </c>
      <c r="P1967" s="24" t="str">
        <f>IF(AND(O1967="在职",J1967="是"),COUNTIF(O$2:O1967,"在职"),"")</f>
        <v/>
      </c>
    </row>
    <row r="1968" ht="18" spans="1:16">
      <c r="A1968" s="10">
        <f t="shared" si="36"/>
        <v>1967</v>
      </c>
      <c r="B1968" s="31">
        <v>46187</v>
      </c>
      <c r="C1968" s="32" t="s">
        <v>2051</v>
      </c>
      <c r="D1968" s="120" t="s">
        <v>492</v>
      </c>
      <c r="E1968" s="33" t="s">
        <v>43</v>
      </c>
      <c r="F1968" s="18" t="s">
        <v>64</v>
      </c>
      <c r="G1968" s="18" t="s">
        <v>148</v>
      </c>
      <c r="H1968" s="34" t="s">
        <v>85</v>
      </c>
      <c r="I1968" s="18" t="s">
        <v>104</v>
      </c>
      <c r="J1968" s="31" t="s">
        <v>105</v>
      </c>
      <c r="K1968" s="31"/>
      <c r="N1968" s="13" t="s">
        <v>29</v>
      </c>
      <c r="O1968" s="24" t="str">
        <f>IF(D1968="","",IF(COUNTIF(离职清单!C:C,D1968)&gt;0,"已离职","在职"))</f>
        <v>在职</v>
      </c>
      <c r="P1968" s="24" t="str">
        <f>IF(AND(O1968="在职",J1968="是"),COUNTIF(O$2:O1968,"在职"),"")</f>
        <v/>
      </c>
    </row>
    <row r="1969" ht="18" spans="1:16">
      <c r="A1969" s="14">
        <f t="shared" si="36"/>
        <v>1968</v>
      </c>
      <c r="B1969" s="31">
        <v>46187</v>
      </c>
      <c r="C1969" s="32" t="s">
        <v>1445</v>
      </c>
      <c r="D1969" s="120" t="s">
        <v>477</v>
      </c>
      <c r="E1969" s="33" t="s">
        <v>43</v>
      </c>
      <c r="F1969" s="18" t="s">
        <v>63</v>
      </c>
      <c r="G1969" s="18" t="s">
        <v>1056</v>
      </c>
      <c r="H1969" s="34" t="s">
        <v>85</v>
      </c>
      <c r="I1969" s="18" t="s">
        <v>104</v>
      </c>
      <c r="J1969" s="31" t="s">
        <v>105</v>
      </c>
      <c r="K1969" s="31"/>
      <c r="N1969" s="13" t="s">
        <v>29</v>
      </c>
      <c r="O1969" s="24" t="str">
        <f>IF(D1969="","",IF(COUNTIF(离职清单!C:C,D1969)&gt;0,"已离职","在职"))</f>
        <v>在职</v>
      </c>
      <c r="P1969" s="24" t="str">
        <f>IF(AND(O1969="在职",J1969="是"),COUNTIF(O$2:O1969,"在职"),"")</f>
        <v/>
      </c>
    </row>
    <row r="1970" ht="18" spans="1:16">
      <c r="A1970" s="10">
        <f t="shared" si="36"/>
        <v>1969</v>
      </c>
      <c r="B1970" s="31">
        <v>46187</v>
      </c>
      <c r="C1970" s="32" t="s">
        <v>2052</v>
      </c>
      <c r="D1970" s="120" t="s">
        <v>478</v>
      </c>
      <c r="E1970" s="33" t="s">
        <v>43</v>
      </c>
      <c r="F1970" s="18" t="s">
        <v>63</v>
      </c>
      <c r="G1970" s="18" t="s">
        <v>1136</v>
      </c>
      <c r="H1970" s="34" t="s">
        <v>85</v>
      </c>
      <c r="I1970" s="18" t="s">
        <v>104</v>
      </c>
      <c r="J1970" s="31" t="s">
        <v>105</v>
      </c>
      <c r="K1970" s="31"/>
      <c r="N1970" s="13" t="s">
        <v>29</v>
      </c>
      <c r="O1970" s="24" t="str">
        <f>IF(D1970="","",IF(COUNTIF(离职清单!C:C,D1970)&gt;0,"已离职","在职"))</f>
        <v>在职</v>
      </c>
      <c r="P1970" s="24" t="str">
        <f>IF(AND(O1970="在职",J1970="是"),COUNTIF(O$2:O1970,"在职"),"")</f>
        <v/>
      </c>
    </row>
    <row r="1971" ht="18" spans="1:16">
      <c r="A1971" s="14">
        <f t="shared" si="36"/>
        <v>1970</v>
      </c>
      <c r="B1971" s="31">
        <v>46187</v>
      </c>
      <c r="C1971" s="32" t="s">
        <v>2053</v>
      </c>
      <c r="D1971" s="120" t="s">
        <v>480</v>
      </c>
      <c r="E1971" s="33" t="s">
        <v>43</v>
      </c>
      <c r="F1971" s="18" t="s">
        <v>62</v>
      </c>
      <c r="G1971" s="18" t="s">
        <v>176</v>
      </c>
      <c r="H1971" s="34" t="s">
        <v>85</v>
      </c>
      <c r="I1971" s="18" t="s">
        <v>104</v>
      </c>
      <c r="J1971" s="31" t="s">
        <v>105</v>
      </c>
      <c r="K1971" s="31"/>
      <c r="N1971" s="13" t="s">
        <v>29</v>
      </c>
      <c r="O1971" s="24" t="str">
        <f>IF(D1971="","",IF(COUNTIF(离职清单!C:C,D1971)&gt;0,"已离职","在职"))</f>
        <v>在职</v>
      </c>
      <c r="P1971" s="24" t="str">
        <f>IF(AND(O1971="在职",J1971="是"),COUNTIF(O$2:O1971,"在职"),"")</f>
        <v/>
      </c>
    </row>
    <row r="1972" ht="18" spans="1:16">
      <c r="A1972" s="10">
        <f t="shared" si="36"/>
        <v>1971</v>
      </c>
      <c r="B1972" s="31">
        <v>46187</v>
      </c>
      <c r="C1972" s="32" t="s">
        <v>2054</v>
      </c>
      <c r="D1972" s="120" t="s">
        <v>482</v>
      </c>
      <c r="E1972" s="33" t="s">
        <v>43</v>
      </c>
      <c r="F1972" s="18" t="s">
        <v>63</v>
      </c>
      <c r="G1972" s="18" t="s">
        <v>468</v>
      </c>
      <c r="H1972" s="34" t="s">
        <v>85</v>
      </c>
      <c r="I1972" s="18" t="s">
        <v>104</v>
      </c>
      <c r="J1972" s="31" t="s">
        <v>105</v>
      </c>
      <c r="K1972" s="31"/>
      <c r="N1972" s="13" t="s">
        <v>29</v>
      </c>
      <c r="O1972" s="24" t="str">
        <f>IF(D1972="","",IF(COUNTIF(离职清单!C:C,D1972)&gt;0,"已离职","在职"))</f>
        <v>在职</v>
      </c>
      <c r="P1972" s="24" t="str">
        <f>IF(AND(O1972="在职",J1972="是"),COUNTIF(O$2:O1972,"在职"),"")</f>
        <v/>
      </c>
    </row>
    <row r="1973" ht="18" spans="1:16">
      <c r="A1973" s="14">
        <f t="shared" si="36"/>
        <v>1972</v>
      </c>
      <c r="B1973" s="31">
        <v>46187</v>
      </c>
      <c r="C1973" s="32" t="s">
        <v>2055</v>
      </c>
      <c r="D1973" s="120" t="s">
        <v>484</v>
      </c>
      <c r="E1973" s="33" t="s">
        <v>43</v>
      </c>
      <c r="F1973" s="18" t="s">
        <v>63</v>
      </c>
      <c r="G1973" s="18" t="s">
        <v>1426</v>
      </c>
      <c r="H1973" s="34" t="s">
        <v>85</v>
      </c>
      <c r="I1973" s="18" t="s">
        <v>104</v>
      </c>
      <c r="J1973" s="31" t="s">
        <v>105</v>
      </c>
      <c r="K1973" s="31"/>
      <c r="N1973" s="13" t="s">
        <v>29</v>
      </c>
      <c r="O1973" s="24" t="str">
        <f>IF(D1973="","",IF(COUNTIF(离职清单!C:C,D1973)&gt;0,"已离职","在职"))</f>
        <v>在职</v>
      </c>
      <c r="P1973" s="24" t="str">
        <f>IF(AND(O1973="在职",J1973="是"),COUNTIF(O$2:O1973,"在职"),"")</f>
        <v/>
      </c>
    </row>
    <row r="1974" ht="18" spans="1:16">
      <c r="A1974" s="10">
        <f t="shared" si="36"/>
        <v>1973</v>
      </c>
      <c r="B1974" s="31">
        <v>46187</v>
      </c>
      <c r="C1974" s="32" t="s">
        <v>2056</v>
      </c>
      <c r="D1974" s="120" t="s">
        <v>486</v>
      </c>
      <c r="E1974" s="33" t="s">
        <v>43</v>
      </c>
      <c r="F1974" s="18" t="s">
        <v>63</v>
      </c>
      <c r="G1974" s="18" t="s">
        <v>135</v>
      </c>
      <c r="H1974" s="34" t="s">
        <v>85</v>
      </c>
      <c r="I1974" s="18" t="s">
        <v>104</v>
      </c>
      <c r="J1974" s="31" t="s">
        <v>105</v>
      </c>
      <c r="K1974" s="31"/>
      <c r="N1974" s="13" t="s">
        <v>29</v>
      </c>
      <c r="O1974" s="24" t="str">
        <f>IF(D1974="","",IF(COUNTIF(离职清单!C:C,D1974)&gt;0,"已离职","在职"))</f>
        <v>在职</v>
      </c>
      <c r="P1974" s="24" t="str">
        <f>IF(AND(O1974="在职",J1974="是"),COUNTIF(O$2:O1974,"在职"),"")</f>
        <v/>
      </c>
    </row>
    <row r="1975" ht="18" spans="1:16">
      <c r="A1975" s="14">
        <f t="shared" si="36"/>
        <v>1974</v>
      </c>
      <c r="B1975" s="31">
        <v>46187</v>
      </c>
      <c r="C1975" s="32" t="s">
        <v>2057</v>
      </c>
      <c r="D1975" s="120" t="s">
        <v>488</v>
      </c>
      <c r="E1975" s="33" t="s">
        <v>43</v>
      </c>
      <c r="F1975" s="18" t="s">
        <v>62</v>
      </c>
      <c r="G1975" s="18" t="s">
        <v>124</v>
      </c>
      <c r="H1975" s="34" t="s">
        <v>85</v>
      </c>
      <c r="I1975" s="18" t="s">
        <v>104</v>
      </c>
      <c r="J1975" s="31" t="s">
        <v>114</v>
      </c>
      <c r="K1975" s="31"/>
      <c r="N1975" s="13" t="s">
        <v>29</v>
      </c>
      <c r="O1975" s="24" t="str">
        <f>IF(D1975="","",IF(COUNTIF(离职清单!C:C,D1975)&gt;0,"已离职","在职"))</f>
        <v>在职</v>
      </c>
      <c r="P1975" s="24">
        <f>IF(AND(O1975="在职",J1975="是"),COUNTIF(O$2:O1975,"在职"),"")</f>
        <v>1968</v>
      </c>
    </row>
    <row r="1976" ht="18" spans="1:16">
      <c r="A1976" s="10">
        <f t="shared" si="36"/>
        <v>1975</v>
      </c>
      <c r="B1976" s="31">
        <v>46187</v>
      </c>
      <c r="C1976" s="32" t="s">
        <v>2058</v>
      </c>
      <c r="D1976" s="120" t="s">
        <v>490</v>
      </c>
      <c r="E1976" s="33" t="s">
        <v>43</v>
      </c>
      <c r="F1976" s="18" t="s">
        <v>62</v>
      </c>
      <c r="G1976" s="18" t="s">
        <v>132</v>
      </c>
      <c r="H1976" s="34" t="s">
        <v>85</v>
      </c>
      <c r="I1976" s="18" t="s">
        <v>104</v>
      </c>
      <c r="J1976" s="31" t="s">
        <v>105</v>
      </c>
      <c r="K1976" s="31"/>
      <c r="N1976" s="13" t="s">
        <v>29</v>
      </c>
      <c r="O1976" s="24" t="str">
        <f>IF(D1976="","",IF(COUNTIF(离职清单!C:C,D1976)&gt;0,"已离职","在职"))</f>
        <v>在职</v>
      </c>
      <c r="P1976" s="24" t="str">
        <f>IF(AND(O1976="在职",J1976="是"),COUNTIF(O$2:O1976,"在职"),"")</f>
        <v/>
      </c>
    </row>
    <row r="1977" ht="18" spans="1:16">
      <c r="A1977" s="14">
        <f t="shared" si="36"/>
        <v>1976</v>
      </c>
      <c r="B1977" s="31">
        <v>46187</v>
      </c>
      <c r="C1977" s="32" t="s">
        <v>2059</v>
      </c>
      <c r="D1977" s="120" t="s">
        <v>492</v>
      </c>
      <c r="E1977" s="33" t="s">
        <v>43</v>
      </c>
      <c r="F1977" s="18" t="s">
        <v>63</v>
      </c>
      <c r="G1977" s="18" t="s">
        <v>690</v>
      </c>
      <c r="H1977" s="34" t="s">
        <v>85</v>
      </c>
      <c r="I1977" s="18" t="s">
        <v>104</v>
      </c>
      <c r="J1977" s="31" t="s">
        <v>105</v>
      </c>
      <c r="K1977" s="31"/>
      <c r="N1977" s="13" t="s">
        <v>29</v>
      </c>
      <c r="O1977" s="24" t="str">
        <f>IF(D1977="","",IF(COUNTIF(离职清单!C:C,D1977)&gt;0,"已离职","在职"))</f>
        <v>在职</v>
      </c>
      <c r="P1977" s="24" t="str">
        <f>IF(AND(O1977="在职",J1977="是"),COUNTIF(O$2:O1977,"在职"),"")</f>
        <v/>
      </c>
    </row>
    <row r="1978" ht="18" spans="1:16">
      <c r="A1978" s="10">
        <f t="shared" si="36"/>
        <v>1977</v>
      </c>
      <c r="B1978" s="31">
        <v>46187</v>
      </c>
      <c r="C1978" s="32" t="s">
        <v>2060</v>
      </c>
      <c r="D1978" s="120" t="s">
        <v>477</v>
      </c>
      <c r="E1978" s="33" t="s">
        <v>43</v>
      </c>
      <c r="F1978" s="18" t="s">
        <v>62</v>
      </c>
      <c r="G1978" s="18" t="s">
        <v>796</v>
      </c>
      <c r="H1978" s="34" t="s">
        <v>85</v>
      </c>
      <c r="I1978" s="18" t="s">
        <v>104</v>
      </c>
      <c r="J1978" s="31" t="s">
        <v>105</v>
      </c>
      <c r="K1978" s="31"/>
      <c r="N1978" s="13" t="s">
        <v>29</v>
      </c>
      <c r="O1978" s="24" t="str">
        <f>IF(D1978="","",IF(COUNTIF(离职清单!C:C,D1978)&gt;0,"已离职","在职"))</f>
        <v>在职</v>
      </c>
      <c r="P1978" s="24" t="str">
        <f>IF(AND(O1978="在职",J1978="是"),COUNTIF(O$2:O1978,"在职"),"")</f>
        <v/>
      </c>
    </row>
    <row r="1979" ht="18" spans="1:16">
      <c r="A1979" s="14">
        <f t="shared" si="36"/>
        <v>1978</v>
      </c>
      <c r="B1979" s="31">
        <v>46187</v>
      </c>
      <c r="C1979" s="32" t="s">
        <v>2061</v>
      </c>
      <c r="D1979" s="120" t="s">
        <v>478</v>
      </c>
      <c r="E1979" s="33" t="s">
        <v>43</v>
      </c>
      <c r="F1979" s="18" t="s">
        <v>63</v>
      </c>
      <c r="G1979" s="18" t="s">
        <v>631</v>
      </c>
      <c r="H1979" s="34" t="s">
        <v>85</v>
      </c>
      <c r="I1979" s="18" t="s">
        <v>104</v>
      </c>
      <c r="J1979" s="31" t="s">
        <v>114</v>
      </c>
      <c r="K1979" s="31"/>
      <c r="N1979" s="13" t="s">
        <v>29</v>
      </c>
      <c r="O1979" s="24" t="str">
        <f>IF(D1979="","",IF(COUNTIF(离职清单!C:C,D1979)&gt;0,"已离职","在职"))</f>
        <v>在职</v>
      </c>
      <c r="P1979" s="24">
        <f>IF(AND(O1979="在职",J1979="是"),COUNTIF(O$2:O1979,"在职"),"")</f>
        <v>1972</v>
      </c>
    </row>
    <row r="1980" ht="18" spans="1:16">
      <c r="A1980" s="10">
        <f t="shared" si="36"/>
        <v>1979</v>
      </c>
      <c r="B1980" s="31">
        <v>46187</v>
      </c>
      <c r="C1980" s="32" t="s">
        <v>2062</v>
      </c>
      <c r="D1980" s="120" t="s">
        <v>480</v>
      </c>
      <c r="E1980" s="33" t="s">
        <v>43</v>
      </c>
      <c r="F1980" s="18" t="s">
        <v>64</v>
      </c>
      <c r="G1980" s="18" t="s">
        <v>631</v>
      </c>
      <c r="H1980" s="34" t="s">
        <v>85</v>
      </c>
      <c r="I1980" s="18" t="s">
        <v>104</v>
      </c>
      <c r="J1980" s="31" t="s">
        <v>105</v>
      </c>
      <c r="K1980" s="31"/>
      <c r="N1980" s="13" t="s">
        <v>29</v>
      </c>
      <c r="O1980" s="24" t="str">
        <f>IF(D1980="","",IF(COUNTIF(离职清单!C:C,D1980)&gt;0,"已离职","在职"))</f>
        <v>在职</v>
      </c>
      <c r="P1980" s="24" t="str">
        <f>IF(AND(O1980="在职",J1980="是"),COUNTIF(O$2:O1980,"在职"),"")</f>
        <v/>
      </c>
    </row>
    <row r="1981" ht="18" spans="1:16">
      <c r="A1981" s="14">
        <f t="shared" si="36"/>
        <v>1980</v>
      </c>
      <c r="B1981" s="31">
        <v>46187</v>
      </c>
      <c r="C1981" s="32" t="s">
        <v>2063</v>
      </c>
      <c r="D1981" s="120" t="s">
        <v>482</v>
      </c>
      <c r="E1981" s="33" t="s">
        <v>43</v>
      </c>
      <c r="F1981" s="18" t="s">
        <v>62</v>
      </c>
      <c r="G1981" s="18" t="s">
        <v>103</v>
      </c>
      <c r="H1981" s="34" t="s">
        <v>85</v>
      </c>
      <c r="I1981" s="18" t="s">
        <v>104</v>
      </c>
      <c r="J1981" s="31" t="s">
        <v>114</v>
      </c>
      <c r="K1981" s="31"/>
      <c r="N1981" s="13" t="s">
        <v>29</v>
      </c>
      <c r="O1981" s="24" t="str">
        <f>IF(D1981="","",IF(COUNTIF(离职清单!C:C,D1981)&gt;0,"已离职","在职"))</f>
        <v>在职</v>
      </c>
      <c r="P1981" s="24">
        <f>IF(AND(O1981="在职",J1981="是"),COUNTIF(O$2:O1981,"在职"),"")</f>
        <v>1974</v>
      </c>
    </row>
    <row r="1982" ht="18" spans="1:16">
      <c r="A1982" s="10">
        <f t="shared" si="36"/>
        <v>1981</v>
      </c>
      <c r="B1982" s="31">
        <v>46187</v>
      </c>
      <c r="C1982" s="32" t="s">
        <v>2064</v>
      </c>
      <c r="D1982" s="120" t="s">
        <v>484</v>
      </c>
      <c r="E1982" s="33" t="s">
        <v>43</v>
      </c>
      <c r="F1982" s="18" t="s">
        <v>62</v>
      </c>
      <c r="G1982" s="18" t="s">
        <v>103</v>
      </c>
      <c r="H1982" s="34" t="s">
        <v>85</v>
      </c>
      <c r="I1982" s="18" t="s">
        <v>104</v>
      </c>
      <c r="J1982" s="31" t="s">
        <v>114</v>
      </c>
      <c r="K1982" s="31"/>
      <c r="N1982" s="13" t="s">
        <v>29</v>
      </c>
      <c r="O1982" s="24" t="str">
        <f>IF(D1982="","",IF(COUNTIF(离职清单!C:C,D1982)&gt;0,"已离职","在职"))</f>
        <v>在职</v>
      </c>
      <c r="P1982" s="24">
        <f>IF(AND(O1982="在职",J1982="是"),COUNTIF(O$2:O1982,"在职"),"")</f>
        <v>1975</v>
      </c>
    </row>
    <row r="1983" ht="18" spans="1:16">
      <c r="A1983" s="14">
        <f t="shared" si="36"/>
        <v>1982</v>
      </c>
      <c r="B1983" s="31">
        <v>46187</v>
      </c>
      <c r="C1983" s="32" t="s">
        <v>2065</v>
      </c>
      <c r="D1983" s="120" t="s">
        <v>486</v>
      </c>
      <c r="E1983" s="33" t="s">
        <v>43</v>
      </c>
      <c r="F1983" s="18" t="s">
        <v>63</v>
      </c>
      <c r="G1983" s="18" t="s">
        <v>148</v>
      </c>
      <c r="H1983" s="34" t="s">
        <v>85</v>
      </c>
      <c r="I1983" s="18" t="s">
        <v>104</v>
      </c>
      <c r="J1983" s="31" t="s">
        <v>105</v>
      </c>
      <c r="K1983" s="31"/>
      <c r="N1983" s="13" t="s">
        <v>29</v>
      </c>
      <c r="O1983" s="24" t="str">
        <f>IF(D1983="","",IF(COUNTIF(离职清单!C:C,D1983)&gt;0,"已离职","在职"))</f>
        <v>在职</v>
      </c>
      <c r="P1983" s="24" t="str">
        <f>IF(AND(O1983="在职",J1983="是"),COUNTIF(O$2:O1983,"在职"),"")</f>
        <v/>
      </c>
    </row>
    <row r="1984" ht="18" spans="1:16">
      <c r="A1984" s="10">
        <f t="shared" si="36"/>
        <v>1983</v>
      </c>
      <c r="B1984" s="31">
        <v>46187</v>
      </c>
      <c r="C1984" s="32" t="s">
        <v>2066</v>
      </c>
      <c r="D1984" s="120" t="s">
        <v>488</v>
      </c>
      <c r="E1984" s="33" t="s">
        <v>43</v>
      </c>
      <c r="F1984" s="18" t="s">
        <v>62</v>
      </c>
      <c r="G1984" s="18" t="s">
        <v>148</v>
      </c>
      <c r="H1984" s="34" t="s">
        <v>85</v>
      </c>
      <c r="I1984" s="18" t="s">
        <v>104</v>
      </c>
      <c r="J1984" s="31" t="s">
        <v>105</v>
      </c>
      <c r="K1984" s="31"/>
      <c r="N1984" s="13" t="s">
        <v>29</v>
      </c>
      <c r="O1984" s="24" t="str">
        <f>IF(D1984="","",IF(COUNTIF(离职清单!C:C,D1984)&gt;0,"已离职","在职"))</f>
        <v>在职</v>
      </c>
      <c r="P1984" s="24" t="str">
        <f>IF(AND(O1984="在职",J1984="是"),COUNTIF(O$2:O1984,"在职"),"")</f>
        <v/>
      </c>
    </row>
    <row r="1985" ht="18" spans="1:16">
      <c r="A1985" s="14">
        <f t="shared" si="36"/>
        <v>1984</v>
      </c>
      <c r="B1985" s="31">
        <v>46187</v>
      </c>
      <c r="C1985" s="32" t="s">
        <v>2067</v>
      </c>
      <c r="D1985" s="120" t="s">
        <v>490</v>
      </c>
      <c r="E1985" s="33" t="s">
        <v>43</v>
      </c>
      <c r="F1985" s="18" t="s">
        <v>63</v>
      </c>
      <c r="G1985" s="18" t="s">
        <v>332</v>
      </c>
      <c r="H1985" s="34" t="s">
        <v>85</v>
      </c>
      <c r="I1985" s="18" t="s">
        <v>104</v>
      </c>
      <c r="J1985" s="31" t="s">
        <v>105</v>
      </c>
      <c r="K1985" s="31"/>
      <c r="N1985" s="13" t="s">
        <v>29</v>
      </c>
      <c r="O1985" s="24" t="str">
        <f>IF(D1985="","",IF(COUNTIF(离职清单!C:C,D1985)&gt;0,"已离职","在职"))</f>
        <v>在职</v>
      </c>
      <c r="P1985" s="24" t="str">
        <f>IF(AND(O1985="在职",J1985="是"),COUNTIF(O$2:O1985,"在职"),"")</f>
        <v/>
      </c>
    </row>
    <row r="1986" ht="18" spans="1:16">
      <c r="A1986" s="10">
        <f t="shared" si="36"/>
        <v>1985</v>
      </c>
      <c r="B1986" s="31">
        <v>46187</v>
      </c>
      <c r="C1986" s="32" t="s">
        <v>2068</v>
      </c>
      <c r="D1986" s="120" t="s">
        <v>492</v>
      </c>
      <c r="E1986" s="33" t="s">
        <v>43</v>
      </c>
      <c r="F1986" s="18" t="s">
        <v>63</v>
      </c>
      <c r="G1986" s="18" t="s">
        <v>332</v>
      </c>
      <c r="H1986" s="34" t="s">
        <v>85</v>
      </c>
      <c r="I1986" s="18" t="s">
        <v>104</v>
      </c>
      <c r="J1986" s="31" t="s">
        <v>105</v>
      </c>
      <c r="K1986" s="31"/>
      <c r="N1986" s="13" t="s">
        <v>29</v>
      </c>
      <c r="O1986" s="24" t="str">
        <f>IF(D1986="","",IF(COUNTIF(离职清单!C:C,D1986)&gt;0,"已离职","在职"))</f>
        <v>在职</v>
      </c>
      <c r="P1986" s="24" t="str">
        <f>IF(AND(O1986="在职",J1986="是"),COUNTIF(O$2:O1986,"在职"),"")</f>
        <v/>
      </c>
    </row>
    <row r="1987" ht="18" spans="1:16">
      <c r="A1987" s="14">
        <f t="shared" si="36"/>
        <v>1986</v>
      </c>
      <c r="B1987" s="31">
        <v>46187</v>
      </c>
      <c r="C1987" s="32" t="s">
        <v>2069</v>
      </c>
      <c r="D1987" s="120" t="s">
        <v>477</v>
      </c>
      <c r="E1987" s="33" t="s">
        <v>43</v>
      </c>
      <c r="F1987" s="18" t="s">
        <v>62</v>
      </c>
      <c r="G1987" s="18" t="s">
        <v>246</v>
      </c>
      <c r="H1987" s="34" t="s">
        <v>85</v>
      </c>
      <c r="I1987" s="18" t="s">
        <v>104</v>
      </c>
      <c r="J1987" s="31" t="s">
        <v>105</v>
      </c>
      <c r="K1987" s="31"/>
      <c r="N1987" s="13" t="s">
        <v>29</v>
      </c>
      <c r="O1987" s="24" t="str">
        <f>IF(D1987="","",IF(COUNTIF(离职清单!C:C,D1987)&gt;0,"已离职","在职"))</f>
        <v>在职</v>
      </c>
      <c r="P1987" s="24" t="str">
        <f>IF(AND(O1987="在职",J1987="是"),COUNTIF(O$2:O1987,"在职"),"")</f>
        <v/>
      </c>
    </row>
    <row r="1988" ht="18" spans="1:16">
      <c r="A1988" s="10">
        <f t="shared" si="36"/>
        <v>1987</v>
      </c>
      <c r="B1988" s="31">
        <v>46186</v>
      </c>
      <c r="C1988" s="32" t="s">
        <v>2070</v>
      </c>
      <c r="D1988" s="120" t="s">
        <v>478</v>
      </c>
      <c r="E1988" s="33" t="s">
        <v>1659</v>
      </c>
      <c r="F1988" s="18" t="s">
        <v>73</v>
      </c>
      <c r="G1988" s="18" t="s">
        <v>148</v>
      </c>
      <c r="H1988" s="34" t="s">
        <v>85</v>
      </c>
      <c r="I1988" s="18" t="s">
        <v>104</v>
      </c>
      <c r="J1988" s="31" t="s">
        <v>105</v>
      </c>
      <c r="K1988" s="31"/>
      <c r="N1988" s="13" t="s">
        <v>29</v>
      </c>
      <c r="O1988" s="24" t="str">
        <f>IF(D1988="","",IF(COUNTIF(离职清单!C:C,D1988)&gt;0,"已离职","在职"))</f>
        <v>在职</v>
      </c>
      <c r="P1988" s="24" t="str">
        <f>IF(AND(O1988="在职",J1988="是"),COUNTIF(O$2:O1988,"在职"),"")</f>
        <v/>
      </c>
    </row>
    <row r="1989" ht="18" spans="1:16">
      <c r="A1989" s="14">
        <f t="shared" si="36"/>
        <v>1988</v>
      </c>
      <c r="B1989" s="31">
        <v>46174</v>
      </c>
      <c r="C1989" s="32" t="s">
        <v>2071</v>
      </c>
      <c r="D1989" s="120" t="s">
        <v>480</v>
      </c>
      <c r="E1989" s="33" t="s">
        <v>42</v>
      </c>
      <c r="F1989" s="18" t="s">
        <v>63</v>
      </c>
      <c r="G1989" s="18" t="s">
        <v>631</v>
      </c>
      <c r="H1989" s="34" t="s">
        <v>85</v>
      </c>
      <c r="I1989" s="18" t="s">
        <v>111</v>
      </c>
      <c r="J1989" s="31" t="s">
        <v>105</v>
      </c>
      <c r="K1989" s="31"/>
      <c r="N1989" s="13" t="s">
        <v>29</v>
      </c>
      <c r="O1989" s="24" t="str">
        <f>IF(D1989="","",IF(COUNTIF(离职清单!C:C,D1989)&gt;0,"已离职","在职"))</f>
        <v>在职</v>
      </c>
      <c r="P1989" s="24" t="str">
        <f>IF(AND(O1989="在职",J1989="是"),COUNTIF(O$2:O1989,"在职"),"")</f>
        <v/>
      </c>
    </row>
    <row r="1990" ht="18" spans="1:16">
      <c r="A1990" s="10">
        <f t="shared" si="36"/>
        <v>1989</v>
      </c>
      <c r="B1990" s="31">
        <v>46174</v>
      </c>
      <c r="C1990" s="32" t="s">
        <v>244</v>
      </c>
      <c r="D1990" s="120" t="s">
        <v>482</v>
      </c>
      <c r="E1990" s="33" t="s">
        <v>42</v>
      </c>
      <c r="F1990" s="18" t="s">
        <v>62</v>
      </c>
      <c r="G1990" s="18" t="s">
        <v>246</v>
      </c>
      <c r="H1990" s="34" t="s">
        <v>85</v>
      </c>
      <c r="I1990" s="18" t="s">
        <v>104</v>
      </c>
      <c r="J1990" s="31" t="s">
        <v>114</v>
      </c>
      <c r="K1990" s="31"/>
      <c r="N1990" s="13" t="s">
        <v>29</v>
      </c>
      <c r="O1990" s="24" t="str">
        <f>IF(D1990="","",IF(COUNTIF(离职清单!C:C,D1990)&gt;0,"已离职","在职"))</f>
        <v>在职</v>
      </c>
      <c r="P1990" s="24">
        <f>IF(AND(O1990="在职",J1990="是"),COUNTIF(O$2:O1990,"在职"),"")</f>
        <v>1983</v>
      </c>
    </row>
    <row r="1991" ht="18" spans="1:16">
      <c r="A1991" s="14">
        <f t="shared" si="36"/>
        <v>1990</v>
      </c>
      <c r="B1991" s="31">
        <v>46174</v>
      </c>
      <c r="C1991" s="32" t="s">
        <v>2072</v>
      </c>
      <c r="D1991" s="120" t="s">
        <v>484</v>
      </c>
      <c r="E1991" s="33" t="s">
        <v>42</v>
      </c>
      <c r="F1991" s="18" t="s">
        <v>62</v>
      </c>
      <c r="G1991" s="18" t="s">
        <v>512</v>
      </c>
      <c r="H1991" s="34" t="s">
        <v>85</v>
      </c>
      <c r="I1991" s="18" t="s">
        <v>111</v>
      </c>
      <c r="J1991" s="31" t="s">
        <v>105</v>
      </c>
      <c r="K1991" s="31"/>
      <c r="N1991" s="13" t="s">
        <v>29</v>
      </c>
      <c r="O1991" s="24" t="str">
        <f>IF(D1991="","",IF(COUNTIF(离职清单!C:C,D1991)&gt;0,"已离职","在职"))</f>
        <v>在职</v>
      </c>
      <c r="P1991" s="24" t="str">
        <f>IF(AND(O1991="在职",J1991="是"),COUNTIF(O$2:O1991,"在职"),"")</f>
        <v/>
      </c>
    </row>
    <row r="1992" ht="18" spans="1:16">
      <c r="A1992" s="10">
        <f t="shared" si="36"/>
        <v>1991</v>
      </c>
      <c r="B1992" s="31">
        <v>46174</v>
      </c>
      <c r="C1992" s="32" t="s">
        <v>2073</v>
      </c>
      <c r="D1992" s="120" t="s">
        <v>486</v>
      </c>
      <c r="E1992" s="33" t="s">
        <v>42</v>
      </c>
      <c r="F1992" s="18" t="s">
        <v>63</v>
      </c>
      <c r="G1992" s="18" t="s">
        <v>512</v>
      </c>
      <c r="H1992" s="34" t="s">
        <v>85</v>
      </c>
      <c r="I1992" s="18" t="s">
        <v>111</v>
      </c>
      <c r="J1992" s="31" t="s">
        <v>105</v>
      </c>
      <c r="K1992" s="31"/>
      <c r="N1992" s="13" t="s">
        <v>29</v>
      </c>
      <c r="O1992" s="24" t="str">
        <f>IF(D1992="","",IF(COUNTIF(离职清单!C:C,D1992)&gt;0,"已离职","在职"))</f>
        <v>在职</v>
      </c>
      <c r="P1992" s="24" t="str">
        <f>IF(AND(O1992="在职",J1992="是"),COUNTIF(O$2:O1992,"在职"),"")</f>
        <v/>
      </c>
    </row>
    <row r="1993" ht="18" spans="1:16">
      <c r="A1993" s="14">
        <f t="shared" si="36"/>
        <v>1992</v>
      </c>
      <c r="B1993" s="31">
        <v>46175</v>
      </c>
      <c r="C1993" s="32" t="s">
        <v>1277</v>
      </c>
      <c r="D1993" s="120" t="s">
        <v>488</v>
      </c>
      <c r="E1993" s="33" t="s">
        <v>43</v>
      </c>
      <c r="F1993" s="18" t="s">
        <v>62</v>
      </c>
      <c r="G1993" s="18" t="s">
        <v>631</v>
      </c>
      <c r="H1993" s="34" t="s">
        <v>85</v>
      </c>
      <c r="I1993" s="18" t="s">
        <v>111</v>
      </c>
      <c r="J1993" s="31" t="s">
        <v>105</v>
      </c>
      <c r="K1993" s="31"/>
      <c r="N1993" s="13" t="s">
        <v>29</v>
      </c>
      <c r="O1993" s="24" t="str">
        <f>IF(D1993="","",IF(COUNTIF(离职清单!C:C,D1993)&gt;0,"已离职","在职"))</f>
        <v>在职</v>
      </c>
      <c r="P1993" s="24" t="str">
        <f>IF(AND(O1993="在职",J1993="是"),COUNTIF(O$2:O1993,"在职"),"")</f>
        <v/>
      </c>
    </row>
    <row r="1994" ht="18" spans="1:16">
      <c r="A1994" s="10">
        <f t="shared" si="36"/>
        <v>1993</v>
      </c>
      <c r="B1994" s="31">
        <v>46176</v>
      </c>
      <c r="C1994" s="32" t="s">
        <v>2074</v>
      </c>
      <c r="D1994" s="120" t="s">
        <v>490</v>
      </c>
      <c r="E1994" s="33" t="s">
        <v>42</v>
      </c>
      <c r="F1994" s="18" t="s">
        <v>63</v>
      </c>
      <c r="G1994" s="18" t="s">
        <v>173</v>
      </c>
      <c r="H1994" s="34" t="s">
        <v>85</v>
      </c>
      <c r="I1994" s="18" t="s">
        <v>111</v>
      </c>
      <c r="J1994" s="31" t="s">
        <v>105</v>
      </c>
      <c r="K1994" s="31"/>
      <c r="N1994" s="13" t="s">
        <v>29</v>
      </c>
      <c r="O1994" s="24" t="str">
        <f>IF(D1994="","",IF(COUNTIF(离职清单!C:C,D1994)&gt;0,"已离职","在职"))</f>
        <v>在职</v>
      </c>
      <c r="P1994" s="24" t="str">
        <f>IF(AND(O1994="在职",J1994="是"),COUNTIF(O$2:O1994,"在职"),"")</f>
        <v/>
      </c>
    </row>
    <row r="1995" ht="18" spans="1:16">
      <c r="A1995" s="14">
        <f t="shared" si="36"/>
        <v>1994</v>
      </c>
      <c r="B1995" s="31">
        <v>46176</v>
      </c>
      <c r="C1995" s="32" t="s">
        <v>2075</v>
      </c>
      <c r="D1995" s="120" t="s">
        <v>492</v>
      </c>
      <c r="E1995" s="33" t="s">
        <v>42</v>
      </c>
      <c r="F1995" s="18" t="s">
        <v>63</v>
      </c>
      <c r="G1995" s="18" t="s">
        <v>631</v>
      </c>
      <c r="H1995" s="34" t="s">
        <v>85</v>
      </c>
      <c r="I1995" s="18" t="s">
        <v>111</v>
      </c>
      <c r="J1995" s="31" t="s">
        <v>105</v>
      </c>
      <c r="K1995" s="31"/>
      <c r="N1995" s="13" t="s">
        <v>29</v>
      </c>
      <c r="O1995" s="24" t="str">
        <f>IF(D1995="","",IF(COUNTIF(离职清单!C:C,D1995)&gt;0,"已离职","在职"))</f>
        <v>在职</v>
      </c>
      <c r="P1995" s="24" t="str">
        <f>IF(AND(O1995="在职",J1995="是"),COUNTIF(O$2:O1995,"在职"),"")</f>
        <v/>
      </c>
    </row>
    <row r="1996" ht="18" spans="1:16">
      <c r="A1996" s="10">
        <f t="shared" si="36"/>
        <v>1995</v>
      </c>
      <c r="B1996" s="31">
        <v>46176</v>
      </c>
      <c r="C1996" s="32" t="s">
        <v>519</v>
      </c>
      <c r="D1996" s="120" t="s">
        <v>477</v>
      </c>
      <c r="E1996" s="33" t="s">
        <v>43</v>
      </c>
      <c r="F1996" s="18" t="s">
        <v>62</v>
      </c>
      <c r="G1996" s="18" t="s">
        <v>246</v>
      </c>
      <c r="H1996" s="34" t="s">
        <v>85</v>
      </c>
      <c r="I1996" s="18" t="s">
        <v>111</v>
      </c>
      <c r="J1996" s="31" t="s">
        <v>105</v>
      </c>
      <c r="K1996" s="31"/>
      <c r="N1996" s="13" t="s">
        <v>29</v>
      </c>
      <c r="O1996" s="24" t="str">
        <f>IF(D1996="","",IF(COUNTIF(离职清单!C:C,D1996)&gt;0,"已离职","在职"))</f>
        <v>在职</v>
      </c>
      <c r="P1996" s="24" t="str">
        <f>IF(AND(O1996="在职",J1996="是"),COUNTIF(O$2:O1996,"在职"),"")</f>
        <v/>
      </c>
    </row>
    <row r="1997" ht="18" spans="1:16">
      <c r="A1997" s="14">
        <f t="shared" si="36"/>
        <v>1996</v>
      </c>
      <c r="B1997" s="31">
        <v>46177</v>
      </c>
      <c r="C1997" s="32" t="s">
        <v>2076</v>
      </c>
      <c r="D1997" s="120" t="s">
        <v>477</v>
      </c>
      <c r="E1997" s="33" t="s">
        <v>42</v>
      </c>
      <c r="F1997" s="18" t="s">
        <v>62</v>
      </c>
      <c r="G1997" s="18" t="s">
        <v>117</v>
      </c>
      <c r="H1997" s="34" t="s">
        <v>85</v>
      </c>
      <c r="I1997" s="18" t="s">
        <v>111</v>
      </c>
      <c r="J1997" s="31" t="s">
        <v>105</v>
      </c>
      <c r="K1997" s="31"/>
      <c r="N1997" s="13" t="s">
        <v>29</v>
      </c>
      <c r="O1997" s="24" t="str">
        <f>IF(D1997="","",IF(COUNTIF(离职清单!C:C,D1997)&gt;0,"已离职","在职"))</f>
        <v>在职</v>
      </c>
      <c r="P1997" s="24" t="str">
        <f>IF(AND(O1997="在职",J1997="是"),COUNTIF(O$2:O1997,"在职"),"")</f>
        <v/>
      </c>
    </row>
    <row r="1998" ht="18" spans="1:16">
      <c r="A1998" s="10">
        <f t="shared" si="36"/>
        <v>1997</v>
      </c>
      <c r="B1998" s="31">
        <v>46178</v>
      </c>
      <c r="C1998" s="32" t="s">
        <v>2077</v>
      </c>
      <c r="D1998" s="120" t="s">
        <v>478</v>
      </c>
      <c r="E1998" s="33" t="s">
        <v>42</v>
      </c>
      <c r="F1998" s="18" t="s">
        <v>63</v>
      </c>
      <c r="G1998" s="18" t="s">
        <v>695</v>
      </c>
      <c r="H1998" s="34" t="s">
        <v>85</v>
      </c>
      <c r="I1998" s="18" t="s">
        <v>111</v>
      </c>
      <c r="J1998" s="31" t="s">
        <v>105</v>
      </c>
      <c r="K1998" s="31"/>
      <c r="N1998" s="13" t="s">
        <v>29</v>
      </c>
      <c r="O1998" s="24" t="str">
        <f>IF(D1998="","",IF(COUNTIF(离职清单!C:C,D1998)&gt;0,"已离职","在职"))</f>
        <v>在职</v>
      </c>
      <c r="P1998" s="24" t="str">
        <f>IF(AND(O1998="在职",J1998="是"),COUNTIF(O$2:O1998,"在职"),"")</f>
        <v/>
      </c>
    </row>
    <row r="1999" ht="18" spans="1:16">
      <c r="A1999" s="14">
        <f t="shared" si="36"/>
        <v>1998</v>
      </c>
      <c r="B1999" s="31">
        <v>46178</v>
      </c>
      <c r="C1999" s="32" t="s">
        <v>2078</v>
      </c>
      <c r="D1999" s="120" t="s">
        <v>480</v>
      </c>
      <c r="E1999" s="33" t="s">
        <v>42</v>
      </c>
      <c r="F1999" s="18" t="s">
        <v>63</v>
      </c>
      <c r="G1999" s="18" t="s">
        <v>695</v>
      </c>
      <c r="H1999" s="34" t="s">
        <v>85</v>
      </c>
      <c r="I1999" s="18" t="s">
        <v>111</v>
      </c>
      <c r="J1999" s="31" t="s">
        <v>105</v>
      </c>
      <c r="K1999" s="31"/>
      <c r="N1999" s="13" t="s">
        <v>29</v>
      </c>
      <c r="O1999" s="24" t="str">
        <f>IF(D1999="","",IF(COUNTIF(离职清单!C:C,D1999)&gt;0,"已离职","在职"))</f>
        <v>在职</v>
      </c>
      <c r="P1999" s="24" t="str">
        <f>IF(AND(O1999="在职",J1999="是"),COUNTIF(O$2:O1999,"在职"),"")</f>
        <v/>
      </c>
    </row>
    <row r="2000" ht="18" spans="1:16">
      <c r="A2000" s="10">
        <f t="shared" si="36"/>
        <v>1999</v>
      </c>
      <c r="B2000" s="31">
        <v>46178</v>
      </c>
      <c r="C2000" s="32" t="s">
        <v>2079</v>
      </c>
      <c r="D2000" s="120" t="s">
        <v>482</v>
      </c>
      <c r="E2000" s="33" t="s">
        <v>42</v>
      </c>
      <c r="F2000" s="18" t="s">
        <v>63</v>
      </c>
      <c r="G2000" s="18" t="s">
        <v>631</v>
      </c>
      <c r="H2000" s="34" t="s">
        <v>85</v>
      </c>
      <c r="I2000" s="18" t="s">
        <v>111</v>
      </c>
      <c r="J2000" s="31" t="s">
        <v>105</v>
      </c>
      <c r="K2000" s="31"/>
      <c r="N2000" s="13" t="s">
        <v>29</v>
      </c>
      <c r="O2000" s="24" t="str">
        <f>IF(D2000="","",IF(COUNTIF(离职清单!C:C,D2000)&gt;0,"已离职","在职"))</f>
        <v>在职</v>
      </c>
      <c r="P2000" s="24" t="str">
        <f>IF(AND(O2000="在职",J2000="是"),COUNTIF(O$2:O2000,"在职"),"")</f>
        <v/>
      </c>
    </row>
    <row r="2001" ht="18" spans="1:16">
      <c r="A2001" s="14">
        <f t="shared" si="36"/>
        <v>2000</v>
      </c>
      <c r="B2001" s="31">
        <v>46178</v>
      </c>
      <c r="C2001" s="32" t="s">
        <v>2080</v>
      </c>
      <c r="D2001" s="120" t="s">
        <v>484</v>
      </c>
      <c r="E2001" s="33" t="s">
        <v>42</v>
      </c>
      <c r="F2001" s="18" t="s">
        <v>63</v>
      </c>
      <c r="G2001" s="18" t="s">
        <v>176</v>
      </c>
      <c r="H2001" s="34" t="s">
        <v>85</v>
      </c>
      <c r="I2001" s="18" t="s">
        <v>111</v>
      </c>
      <c r="J2001" s="31" t="s">
        <v>105</v>
      </c>
      <c r="K2001" s="31"/>
      <c r="N2001" s="13" t="s">
        <v>29</v>
      </c>
      <c r="O2001" s="24" t="str">
        <f>IF(D2001="","",IF(COUNTIF(离职清单!C:C,D2001)&gt;0,"已离职","在职"))</f>
        <v>在职</v>
      </c>
      <c r="P2001" s="24" t="str">
        <f>IF(AND(O2001="在职",J2001="是"),COUNTIF(O$2:O2001,"在职"),"")</f>
        <v/>
      </c>
    </row>
    <row r="2002" ht="18" spans="1:16">
      <c r="A2002" s="10">
        <f t="shared" si="36"/>
        <v>2001</v>
      </c>
      <c r="B2002" s="31">
        <v>46178</v>
      </c>
      <c r="C2002" s="32" t="s">
        <v>2081</v>
      </c>
      <c r="D2002" s="120" t="s">
        <v>486</v>
      </c>
      <c r="E2002" s="33" t="s">
        <v>42</v>
      </c>
      <c r="F2002" s="18" t="s">
        <v>63</v>
      </c>
      <c r="G2002" s="18" t="s">
        <v>148</v>
      </c>
      <c r="H2002" s="34" t="s">
        <v>85</v>
      </c>
      <c r="I2002" s="18" t="s">
        <v>111</v>
      </c>
      <c r="J2002" s="31" t="s">
        <v>105</v>
      </c>
      <c r="K2002" s="31"/>
      <c r="N2002" s="13" t="s">
        <v>29</v>
      </c>
      <c r="O2002" s="24" t="str">
        <f>IF(D2002="","",IF(COUNTIF(离职清单!C:C,D2002)&gt;0,"已离职","在职"))</f>
        <v>在职</v>
      </c>
      <c r="P2002" s="24" t="str">
        <f>IF(AND(O2002="在职",J2002="是"),COUNTIF(O$2:O2002,"在职"),"")</f>
        <v/>
      </c>
    </row>
    <row r="2003" ht="18" spans="1:16">
      <c r="A2003" s="14">
        <f t="shared" si="36"/>
        <v>2002</v>
      </c>
      <c r="B2003" s="31">
        <v>46178</v>
      </c>
      <c r="C2003" s="32" t="s">
        <v>755</v>
      </c>
      <c r="D2003" s="120" t="s">
        <v>488</v>
      </c>
      <c r="E2003" s="33" t="s">
        <v>42</v>
      </c>
      <c r="F2003" s="18" t="s">
        <v>63</v>
      </c>
      <c r="G2003" s="18" t="s">
        <v>117</v>
      </c>
      <c r="H2003" s="34" t="s">
        <v>85</v>
      </c>
      <c r="I2003" s="18" t="s">
        <v>104</v>
      </c>
      <c r="J2003" s="31" t="s">
        <v>114</v>
      </c>
      <c r="K2003" s="31"/>
      <c r="N2003" s="13" t="s">
        <v>29</v>
      </c>
      <c r="O2003" s="24" t="str">
        <f>IF(D2003="","",IF(COUNTIF(离职清单!C:C,D2003)&gt;0,"已离职","在职"))</f>
        <v>在职</v>
      </c>
      <c r="P2003" s="24">
        <f>IF(AND(O2003="在职",J2003="是"),COUNTIF(O$2:O2003,"在职"),"")</f>
        <v>1996</v>
      </c>
    </row>
    <row r="2004" ht="18" spans="1:16">
      <c r="A2004" s="10">
        <f t="shared" si="36"/>
        <v>2003</v>
      </c>
      <c r="B2004" s="31">
        <v>46178</v>
      </c>
      <c r="C2004" s="32" t="s">
        <v>1895</v>
      </c>
      <c r="D2004" s="120" t="s">
        <v>490</v>
      </c>
      <c r="E2004" s="33" t="s">
        <v>42</v>
      </c>
      <c r="F2004" s="18" t="s">
        <v>63</v>
      </c>
      <c r="G2004" s="18" t="s">
        <v>307</v>
      </c>
      <c r="H2004" s="34" t="s">
        <v>85</v>
      </c>
      <c r="I2004" s="18" t="s">
        <v>111</v>
      </c>
      <c r="J2004" s="31" t="s">
        <v>105</v>
      </c>
      <c r="K2004" s="31"/>
      <c r="N2004" s="13" t="s">
        <v>29</v>
      </c>
      <c r="O2004" s="24" t="str">
        <f>IF(D2004="","",IF(COUNTIF(离职清单!C:C,D2004)&gt;0,"已离职","在职"))</f>
        <v>在职</v>
      </c>
      <c r="P2004" s="24" t="str">
        <f>IF(AND(O2004="在职",J2004="是"),COUNTIF(O$2:O2004,"在职"),"")</f>
        <v/>
      </c>
    </row>
    <row r="2005" ht="18" spans="1:16">
      <c r="A2005" s="14">
        <f t="shared" si="36"/>
        <v>2004</v>
      </c>
      <c r="B2005" s="31">
        <v>46178</v>
      </c>
      <c r="C2005" s="32" t="s">
        <v>2082</v>
      </c>
      <c r="D2005" s="120" t="s">
        <v>492</v>
      </c>
      <c r="E2005" s="33" t="s">
        <v>42</v>
      </c>
      <c r="F2005" s="18" t="s">
        <v>63</v>
      </c>
      <c r="G2005" s="18" t="s">
        <v>631</v>
      </c>
      <c r="H2005" s="34" t="s">
        <v>85</v>
      </c>
      <c r="I2005" s="18" t="s">
        <v>111</v>
      </c>
      <c r="J2005" s="31" t="s">
        <v>105</v>
      </c>
      <c r="K2005" s="31"/>
      <c r="N2005" s="13" t="s">
        <v>29</v>
      </c>
      <c r="O2005" s="24" t="str">
        <f>IF(D2005="","",IF(COUNTIF(离职清单!C:C,D2005)&gt;0,"已离职","在职"))</f>
        <v>在职</v>
      </c>
      <c r="P2005" s="24" t="str">
        <f>IF(AND(O2005="在职",J2005="是"),COUNTIF(O$2:O2005,"在职"),"")</f>
        <v/>
      </c>
    </row>
    <row r="2006" ht="18" spans="1:16">
      <c r="A2006" s="10">
        <f t="shared" si="36"/>
        <v>2005</v>
      </c>
      <c r="B2006" s="31">
        <v>46178</v>
      </c>
      <c r="C2006" s="32" t="s">
        <v>2083</v>
      </c>
      <c r="D2006" s="120" t="s">
        <v>477</v>
      </c>
      <c r="E2006" s="33" t="s">
        <v>43</v>
      </c>
      <c r="F2006" s="18" t="s">
        <v>62</v>
      </c>
      <c r="G2006" s="18" t="s">
        <v>173</v>
      </c>
      <c r="H2006" s="34" t="s">
        <v>85</v>
      </c>
      <c r="I2006" s="18" t="s">
        <v>111</v>
      </c>
      <c r="J2006" s="31" t="s">
        <v>105</v>
      </c>
      <c r="K2006" s="31"/>
      <c r="N2006" s="13" t="s">
        <v>29</v>
      </c>
      <c r="O2006" s="24" t="str">
        <f>IF(D2006="","",IF(COUNTIF(离职清单!C:C,D2006)&gt;0,"已离职","在职"))</f>
        <v>在职</v>
      </c>
      <c r="P2006" s="24" t="str">
        <f>IF(AND(O2006="在职",J2006="是"),COUNTIF(O$2:O2006,"在职"),"")</f>
        <v/>
      </c>
    </row>
    <row r="2007" ht="18" spans="1:16">
      <c r="A2007" s="14">
        <f t="shared" si="36"/>
        <v>2006</v>
      </c>
      <c r="B2007" s="31">
        <v>46178</v>
      </c>
      <c r="C2007" s="32" t="s">
        <v>2084</v>
      </c>
      <c r="D2007" s="120" t="s">
        <v>478</v>
      </c>
      <c r="E2007" s="33" t="s">
        <v>43</v>
      </c>
      <c r="F2007" s="18" t="s">
        <v>62</v>
      </c>
      <c r="G2007" s="18" t="s">
        <v>179</v>
      </c>
      <c r="H2007" s="34" t="s">
        <v>85</v>
      </c>
      <c r="I2007" s="18" t="s">
        <v>111</v>
      </c>
      <c r="J2007" s="31" t="s">
        <v>105</v>
      </c>
      <c r="K2007" s="31"/>
      <c r="N2007" s="13" t="s">
        <v>29</v>
      </c>
      <c r="O2007" s="24" t="str">
        <f>IF(D2007="","",IF(COUNTIF(离职清单!C:C,D2007)&gt;0,"已离职","在职"))</f>
        <v>在职</v>
      </c>
      <c r="P2007" s="24" t="str">
        <f>IF(AND(O2007="在职",J2007="是"),COUNTIF(O$2:O2007,"在职"),"")</f>
        <v/>
      </c>
    </row>
    <row r="2008" ht="18" spans="1:16">
      <c r="A2008" s="10">
        <f t="shared" si="36"/>
        <v>2007</v>
      </c>
      <c r="B2008" s="31">
        <v>46178</v>
      </c>
      <c r="C2008" s="32" t="s">
        <v>2085</v>
      </c>
      <c r="D2008" s="120" t="s">
        <v>480</v>
      </c>
      <c r="E2008" s="33" t="s">
        <v>43</v>
      </c>
      <c r="F2008" s="18" t="s">
        <v>63</v>
      </c>
      <c r="G2008" s="18" t="s">
        <v>631</v>
      </c>
      <c r="H2008" s="34" t="s">
        <v>85</v>
      </c>
      <c r="I2008" s="18" t="s">
        <v>111</v>
      </c>
      <c r="J2008" s="31" t="s">
        <v>105</v>
      </c>
      <c r="K2008" s="31"/>
      <c r="N2008" s="13" t="s">
        <v>29</v>
      </c>
      <c r="O2008" s="24" t="str">
        <f>IF(D2008="","",IF(COUNTIF(离职清单!C:C,D2008)&gt;0,"已离职","在职"))</f>
        <v>在职</v>
      </c>
      <c r="P2008" s="24" t="str">
        <f>IF(AND(O2008="在职",J2008="是"),COUNTIF(O$2:O2008,"在职"),"")</f>
        <v/>
      </c>
    </row>
    <row r="2009" ht="18" spans="1:16">
      <c r="A2009" s="14">
        <f t="shared" si="36"/>
        <v>2008</v>
      </c>
      <c r="B2009" s="31">
        <v>46179</v>
      </c>
      <c r="C2009" s="32" t="s">
        <v>2086</v>
      </c>
      <c r="D2009" s="120" t="s">
        <v>482</v>
      </c>
      <c r="E2009" s="33" t="s">
        <v>42</v>
      </c>
      <c r="F2009" s="18" t="s">
        <v>62</v>
      </c>
      <c r="G2009" s="18" t="s">
        <v>148</v>
      </c>
      <c r="H2009" s="34" t="s">
        <v>85</v>
      </c>
      <c r="I2009" s="18" t="s">
        <v>111</v>
      </c>
      <c r="J2009" s="31" t="s">
        <v>105</v>
      </c>
      <c r="K2009" s="31"/>
      <c r="N2009" s="13" t="s">
        <v>29</v>
      </c>
      <c r="O2009" s="24" t="str">
        <f>IF(D2009="","",IF(COUNTIF(离职清单!C:C,D2009)&gt;0,"已离职","在职"))</f>
        <v>在职</v>
      </c>
      <c r="P2009" s="24" t="str">
        <f>IF(AND(O2009="在职",J2009="是"),COUNTIF(O$2:O2009,"在职"),"")</f>
        <v/>
      </c>
    </row>
    <row r="2010" ht="18" spans="1:16">
      <c r="A2010" s="10">
        <f t="shared" si="36"/>
        <v>2009</v>
      </c>
      <c r="B2010" s="31">
        <v>46180</v>
      </c>
      <c r="C2010" s="32" t="s">
        <v>2087</v>
      </c>
      <c r="D2010" s="120" t="s">
        <v>484</v>
      </c>
      <c r="E2010" s="33" t="s">
        <v>42</v>
      </c>
      <c r="F2010" s="18" t="s">
        <v>63</v>
      </c>
      <c r="G2010" s="18" t="s">
        <v>1513</v>
      </c>
      <c r="H2010" s="34" t="s">
        <v>85</v>
      </c>
      <c r="I2010" s="18" t="s">
        <v>111</v>
      </c>
      <c r="J2010" s="31" t="s">
        <v>105</v>
      </c>
      <c r="K2010" s="31"/>
      <c r="N2010" s="13" t="s">
        <v>29</v>
      </c>
      <c r="O2010" s="24" t="str">
        <f>IF(D2010="","",IF(COUNTIF(离职清单!C:C,D2010)&gt;0,"已离职","在职"))</f>
        <v>在职</v>
      </c>
      <c r="P2010" s="24" t="str">
        <f>IF(AND(O2010="在职",J2010="是"),COUNTIF(O$2:O2010,"在职"),"")</f>
        <v/>
      </c>
    </row>
    <row r="2011" ht="18" spans="1:16">
      <c r="A2011" s="14">
        <f t="shared" si="36"/>
        <v>2010</v>
      </c>
      <c r="B2011" s="31">
        <v>46180</v>
      </c>
      <c r="C2011" s="32" t="s">
        <v>2088</v>
      </c>
      <c r="D2011" s="120" t="s">
        <v>486</v>
      </c>
      <c r="E2011" s="33" t="s">
        <v>42</v>
      </c>
      <c r="F2011" s="18" t="s">
        <v>63</v>
      </c>
      <c r="G2011" s="18" t="s">
        <v>631</v>
      </c>
      <c r="H2011" s="34" t="s">
        <v>85</v>
      </c>
      <c r="I2011" s="18" t="s">
        <v>111</v>
      </c>
      <c r="J2011" s="31" t="s">
        <v>105</v>
      </c>
      <c r="K2011" s="31"/>
      <c r="N2011" s="13" t="s">
        <v>29</v>
      </c>
      <c r="O2011" s="24" t="str">
        <f>IF(D2011="","",IF(COUNTIF(离职清单!C:C,D2011)&gt;0,"已离职","在职"))</f>
        <v>在职</v>
      </c>
      <c r="P2011" s="24" t="str">
        <f>IF(AND(O2011="在职",J2011="是"),COUNTIF(O$2:O2011,"在职"),"")</f>
        <v/>
      </c>
    </row>
    <row r="2012" ht="18" spans="1:16">
      <c r="A2012" s="10">
        <f t="shared" si="36"/>
        <v>2011</v>
      </c>
      <c r="B2012" s="31">
        <v>46180</v>
      </c>
      <c r="C2012" s="32" t="s">
        <v>2089</v>
      </c>
      <c r="D2012" s="120" t="s">
        <v>488</v>
      </c>
      <c r="E2012" s="33" t="s">
        <v>42</v>
      </c>
      <c r="F2012" s="18" t="s">
        <v>63</v>
      </c>
      <c r="G2012" s="18" t="s">
        <v>631</v>
      </c>
      <c r="H2012" s="34" t="s">
        <v>85</v>
      </c>
      <c r="I2012" s="18" t="s">
        <v>111</v>
      </c>
      <c r="J2012" s="31" t="s">
        <v>105</v>
      </c>
      <c r="K2012" s="31"/>
      <c r="N2012" s="13" t="s">
        <v>29</v>
      </c>
      <c r="O2012" s="24" t="str">
        <f>IF(D2012="","",IF(COUNTIF(离职清单!C:C,D2012)&gt;0,"已离职","在职"))</f>
        <v>在职</v>
      </c>
      <c r="P2012" s="24" t="str">
        <f>IF(AND(O2012="在职",J2012="是"),COUNTIF(O$2:O2012,"在职"),"")</f>
        <v/>
      </c>
    </row>
    <row r="2013" ht="18" spans="1:16">
      <c r="A2013" s="14">
        <f t="shared" si="36"/>
        <v>2012</v>
      </c>
      <c r="B2013" s="31">
        <v>46180</v>
      </c>
      <c r="C2013" s="32" t="s">
        <v>2090</v>
      </c>
      <c r="D2013" s="120" t="s">
        <v>490</v>
      </c>
      <c r="E2013" s="33" t="s">
        <v>42</v>
      </c>
      <c r="F2013" s="18" t="s">
        <v>62</v>
      </c>
      <c r="G2013" s="18" t="s">
        <v>148</v>
      </c>
      <c r="H2013" s="34" t="s">
        <v>85</v>
      </c>
      <c r="I2013" s="18" t="s">
        <v>111</v>
      </c>
      <c r="J2013" s="31" t="s">
        <v>105</v>
      </c>
      <c r="K2013" s="31"/>
      <c r="N2013" s="13" t="s">
        <v>29</v>
      </c>
      <c r="O2013" s="24" t="str">
        <f>IF(D2013="","",IF(COUNTIF(离职清单!C:C,D2013)&gt;0,"已离职","在职"))</f>
        <v>在职</v>
      </c>
      <c r="P2013" s="24" t="str">
        <f>IF(AND(O2013="在职",J2013="是"),COUNTIF(O$2:O2013,"在职"),"")</f>
        <v/>
      </c>
    </row>
    <row r="2014" ht="18" spans="1:16">
      <c r="A2014" s="10">
        <f t="shared" si="36"/>
        <v>2013</v>
      </c>
      <c r="B2014" s="31">
        <v>46180</v>
      </c>
      <c r="C2014" s="32" t="s">
        <v>2091</v>
      </c>
      <c r="D2014" s="120" t="s">
        <v>492</v>
      </c>
      <c r="E2014" s="33" t="s">
        <v>42</v>
      </c>
      <c r="F2014" s="18" t="s">
        <v>62</v>
      </c>
      <c r="G2014" s="18" t="s">
        <v>117</v>
      </c>
      <c r="H2014" s="34" t="s">
        <v>85</v>
      </c>
      <c r="I2014" s="18" t="s">
        <v>111</v>
      </c>
      <c r="J2014" s="31" t="s">
        <v>105</v>
      </c>
      <c r="K2014" s="31"/>
      <c r="N2014" s="13" t="s">
        <v>29</v>
      </c>
      <c r="O2014" s="24" t="str">
        <f>IF(D2014="","",IF(COUNTIF(离职清单!C:C,D2014)&gt;0,"已离职","在职"))</f>
        <v>在职</v>
      </c>
      <c r="P2014" s="24" t="str">
        <f>IF(AND(O2014="在职",J2014="是"),COUNTIF(O$2:O2014,"在职"),"")</f>
        <v/>
      </c>
    </row>
    <row r="2015" ht="18" spans="1:16">
      <c r="A2015" s="14">
        <f t="shared" si="36"/>
        <v>2014</v>
      </c>
      <c r="B2015" s="31">
        <v>46180</v>
      </c>
      <c r="C2015" s="32" t="s">
        <v>1605</v>
      </c>
      <c r="D2015" s="120" t="s">
        <v>477</v>
      </c>
      <c r="E2015" s="33" t="s">
        <v>42</v>
      </c>
      <c r="F2015" s="18" t="s">
        <v>62</v>
      </c>
      <c r="G2015" s="18" t="s">
        <v>246</v>
      </c>
      <c r="H2015" s="34" t="s">
        <v>85</v>
      </c>
      <c r="I2015" s="18" t="s">
        <v>111</v>
      </c>
      <c r="J2015" s="31" t="s">
        <v>105</v>
      </c>
      <c r="K2015" s="31"/>
      <c r="N2015" s="13" t="s">
        <v>29</v>
      </c>
      <c r="O2015" s="24" t="str">
        <f>IF(D2015="","",IF(COUNTIF(离职清单!C:C,D2015)&gt;0,"已离职","在职"))</f>
        <v>在职</v>
      </c>
      <c r="P2015" s="24" t="str">
        <f>IF(AND(O2015="在职",J2015="是"),COUNTIF(O$2:O2015,"在职"),"")</f>
        <v/>
      </c>
    </row>
    <row r="2016" ht="18" spans="1:16">
      <c r="A2016" s="10">
        <f t="shared" si="36"/>
        <v>2015</v>
      </c>
      <c r="B2016" s="31">
        <v>46180</v>
      </c>
      <c r="C2016" s="32" t="s">
        <v>1894</v>
      </c>
      <c r="D2016" s="120" t="s">
        <v>478</v>
      </c>
      <c r="E2016" s="33" t="s">
        <v>42</v>
      </c>
      <c r="F2016" s="18" t="s">
        <v>62</v>
      </c>
      <c r="G2016" s="18" t="s">
        <v>135</v>
      </c>
      <c r="H2016" s="34" t="s">
        <v>85</v>
      </c>
      <c r="I2016" s="18" t="s">
        <v>111</v>
      </c>
      <c r="J2016" s="31" t="s">
        <v>105</v>
      </c>
      <c r="K2016" s="31"/>
      <c r="N2016" s="13" t="s">
        <v>29</v>
      </c>
      <c r="O2016" s="24" t="str">
        <f>IF(D2016="","",IF(COUNTIF(离职清单!C:C,D2016)&gt;0,"已离职","在职"))</f>
        <v>在职</v>
      </c>
      <c r="P2016" s="24" t="str">
        <f>IF(AND(O2016="在职",J2016="是"),COUNTIF(O$2:O2016,"在职"),"")</f>
        <v/>
      </c>
    </row>
    <row r="2017" ht="18" spans="1:16">
      <c r="A2017" s="14">
        <f t="shared" si="36"/>
        <v>2016</v>
      </c>
      <c r="B2017" s="31">
        <v>46180</v>
      </c>
      <c r="C2017" s="32" t="s">
        <v>2092</v>
      </c>
      <c r="D2017" s="120" t="s">
        <v>480</v>
      </c>
      <c r="E2017" s="33" t="s">
        <v>42</v>
      </c>
      <c r="F2017" s="18" t="s">
        <v>63</v>
      </c>
      <c r="G2017" s="18" t="s">
        <v>631</v>
      </c>
      <c r="H2017" s="34" t="s">
        <v>85</v>
      </c>
      <c r="I2017" s="18" t="s">
        <v>111</v>
      </c>
      <c r="J2017" s="31" t="s">
        <v>105</v>
      </c>
      <c r="K2017" s="31"/>
      <c r="N2017" s="13" t="s">
        <v>29</v>
      </c>
      <c r="O2017" s="24" t="str">
        <f>IF(D2017="","",IF(COUNTIF(离职清单!C:C,D2017)&gt;0,"已离职","在职"))</f>
        <v>在职</v>
      </c>
      <c r="P2017" s="24" t="str">
        <f>IF(AND(O2017="在职",J2017="是"),COUNTIF(O$2:O2017,"在职"),"")</f>
        <v/>
      </c>
    </row>
    <row r="2018" ht="18" spans="1:16">
      <c r="A2018" s="10">
        <f t="shared" si="36"/>
        <v>2017</v>
      </c>
      <c r="B2018" s="31">
        <v>46180</v>
      </c>
      <c r="C2018" s="32" t="s">
        <v>2093</v>
      </c>
      <c r="D2018" s="120" t="s">
        <v>482</v>
      </c>
      <c r="E2018" s="33" t="s">
        <v>43</v>
      </c>
      <c r="F2018" s="18" t="s">
        <v>63</v>
      </c>
      <c r="G2018" s="18" t="s">
        <v>148</v>
      </c>
      <c r="H2018" s="34" t="s">
        <v>85</v>
      </c>
      <c r="I2018" s="18" t="s">
        <v>111</v>
      </c>
      <c r="J2018" s="31" t="s">
        <v>105</v>
      </c>
      <c r="K2018" s="31"/>
      <c r="N2018" s="13" t="s">
        <v>29</v>
      </c>
      <c r="O2018" s="24" t="str">
        <f>IF(D2018="","",IF(COUNTIF(离职清单!C:C,D2018)&gt;0,"已离职","在职"))</f>
        <v>在职</v>
      </c>
      <c r="P2018" s="24" t="str">
        <f>IF(AND(O2018="在职",J2018="是"),COUNTIF(O$2:O2018,"在职"),"")</f>
        <v/>
      </c>
    </row>
    <row r="2019" ht="18" spans="1:16">
      <c r="A2019" s="14">
        <f t="shared" si="36"/>
        <v>2018</v>
      </c>
      <c r="B2019" s="31">
        <v>46182</v>
      </c>
      <c r="C2019" s="32" t="s">
        <v>900</v>
      </c>
      <c r="D2019" s="120" t="s">
        <v>484</v>
      </c>
      <c r="E2019" s="33" t="s">
        <v>43</v>
      </c>
      <c r="F2019" s="18" t="s">
        <v>62</v>
      </c>
      <c r="G2019" s="18" t="s">
        <v>690</v>
      </c>
      <c r="H2019" s="34" t="s">
        <v>85</v>
      </c>
      <c r="I2019" s="18" t="s">
        <v>104</v>
      </c>
      <c r="J2019" s="31" t="s">
        <v>114</v>
      </c>
      <c r="K2019" s="31"/>
      <c r="N2019" s="13" t="s">
        <v>29</v>
      </c>
      <c r="O2019" s="24" t="str">
        <f>IF(D2019="","",IF(COUNTIF(离职清单!C:C,D2019)&gt;0,"已离职","在职"))</f>
        <v>在职</v>
      </c>
      <c r="P2019" s="24">
        <f>IF(AND(O2019="在职",J2019="是"),COUNTIF(O$2:O2019,"在职"),"")</f>
        <v>2012</v>
      </c>
    </row>
    <row r="2020" ht="18" spans="1:16">
      <c r="A2020" s="10">
        <f t="shared" si="36"/>
        <v>2019</v>
      </c>
      <c r="B2020" s="31">
        <v>46182</v>
      </c>
      <c r="C2020" s="32" t="s">
        <v>2094</v>
      </c>
      <c r="D2020" s="120" t="s">
        <v>486</v>
      </c>
      <c r="E2020" s="33" t="s">
        <v>42</v>
      </c>
      <c r="F2020" s="18" t="s">
        <v>63</v>
      </c>
      <c r="G2020" s="18" t="s">
        <v>117</v>
      </c>
      <c r="H2020" s="34" t="s">
        <v>85</v>
      </c>
      <c r="I2020" s="18" t="s">
        <v>111</v>
      </c>
      <c r="J2020" s="31" t="s">
        <v>105</v>
      </c>
      <c r="K2020" s="31"/>
      <c r="N2020" s="13" t="s">
        <v>29</v>
      </c>
      <c r="O2020" s="24" t="str">
        <f>IF(D2020="","",IF(COUNTIF(离职清单!C:C,D2020)&gt;0,"已离职","在职"))</f>
        <v>在职</v>
      </c>
      <c r="P2020" s="24" t="str">
        <f>IF(AND(O2020="在职",J2020="是"),COUNTIF(O$2:O2020,"在职"),"")</f>
        <v/>
      </c>
    </row>
    <row r="2021" ht="18" spans="1:16">
      <c r="A2021" s="14">
        <f t="shared" si="36"/>
        <v>2020</v>
      </c>
      <c r="B2021" s="31">
        <v>46182</v>
      </c>
      <c r="C2021" s="32" t="s">
        <v>2095</v>
      </c>
      <c r="D2021" s="120" t="s">
        <v>488</v>
      </c>
      <c r="E2021" s="33" t="s">
        <v>42</v>
      </c>
      <c r="F2021" s="18" t="s">
        <v>63</v>
      </c>
      <c r="G2021" s="18" t="s">
        <v>117</v>
      </c>
      <c r="H2021" s="34" t="s">
        <v>85</v>
      </c>
      <c r="I2021" s="18" t="s">
        <v>111</v>
      </c>
      <c r="J2021" s="31" t="s">
        <v>105</v>
      </c>
      <c r="K2021" s="31"/>
      <c r="N2021" s="13" t="s">
        <v>29</v>
      </c>
      <c r="O2021" s="24" t="str">
        <f>IF(D2021="","",IF(COUNTIF(离职清单!C:C,D2021)&gt;0,"已离职","在职"))</f>
        <v>在职</v>
      </c>
      <c r="P2021" s="24" t="str">
        <f>IF(AND(O2021="在职",J2021="是"),COUNTIF(O$2:O2021,"在职"),"")</f>
        <v/>
      </c>
    </row>
    <row r="2022" ht="18" spans="1:16">
      <c r="A2022" s="10">
        <f t="shared" si="36"/>
        <v>2021</v>
      </c>
      <c r="B2022" s="31">
        <v>46182</v>
      </c>
      <c r="C2022" s="32" t="s">
        <v>2096</v>
      </c>
      <c r="D2022" s="120" t="s">
        <v>490</v>
      </c>
      <c r="E2022" s="33" t="s">
        <v>42</v>
      </c>
      <c r="F2022" s="18" t="s">
        <v>63</v>
      </c>
      <c r="G2022" s="18" t="s">
        <v>744</v>
      </c>
      <c r="H2022" s="34" t="s">
        <v>85</v>
      </c>
      <c r="I2022" s="18" t="s">
        <v>111</v>
      </c>
      <c r="J2022" s="31" t="s">
        <v>105</v>
      </c>
      <c r="K2022" s="31"/>
      <c r="N2022" s="13" t="s">
        <v>29</v>
      </c>
      <c r="O2022" s="24" t="str">
        <f>IF(D2022="","",IF(COUNTIF(离职清单!C:C,D2022)&gt;0,"已离职","在职"))</f>
        <v>在职</v>
      </c>
      <c r="P2022" s="24" t="str">
        <f>IF(AND(O2022="在职",J2022="是"),COUNTIF(O$2:O2022,"在职"),"")</f>
        <v/>
      </c>
    </row>
    <row r="2023" ht="18" spans="1:16">
      <c r="A2023" s="14">
        <f t="shared" si="36"/>
        <v>2022</v>
      </c>
      <c r="B2023" s="31">
        <v>46182</v>
      </c>
      <c r="C2023" s="32" t="s">
        <v>2097</v>
      </c>
      <c r="D2023" s="120" t="s">
        <v>492</v>
      </c>
      <c r="E2023" s="33" t="s">
        <v>42</v>
      </c>
      <c r="F2023" s="18" t="s">
        <v>63</v>
      </c>
      <c r="G2023" s="18" t="s">
        <v>744</v>
      </c>
      <c r="H2023" s="34" t="s">
        <v>85</v>
      </c>
      <c r="I2023" s="18" t="s">
        <v>111</v>
      </c>
      <c r="J2023" s="31" t="s">
        <v>105</v>
      </c>
      <c r="K2023" s="31"/>
      <c r="N2023" s="13" t="s">
        <v>29</v>
      </c>
      <c r="O2023" s="24" t="str">
        <f>IF(D2023="","",IF(COUNTIF(离职清单!C:C,D2023)&gt;0,"已离职","在职"))</f>
        <v>在职</v>
      </c>
      <c r="P2023" s="24" t="str">
        <f>IF(AND(O2023="在职",J2023="是"),COUNTIF(O$2:O2023,"在职"),"")</f>
        <v/>
      </c>
    </row>
    <row r="2024" ht="18" spans="1:16">
      <c r="A2024" s="10">
        <f t="shared" si="36"/>
        <v>2023</v>
      </c>
      <c r="B2024" s="31">
        <v>46183</v>
      </c>
      <c r="C2024" s="32" t="s">
        <v>2098</v>
      </c>
      <c r="D2024" s="120" t="s">
        <v>477</v>
      </c>
      <c r="E2024" s="33" t="s">
        <v>43</v>
      </c>
      <c r="F2024" s="18" t="s">
        <v>62</v>
      </c>
      <c r="G2024" s="18" t="s">
        <v>176</v>
      </c>
      <c r="H2024" s="34" t="s">
        <v>85</v>
      </c>
      <c r="I2024" s="18" t="s">
        <v>111</v>
      </c>
      <c r="J2024" s="31" t="s">
        <v>105</v>
      </c>
      <c r="K2024" s="31"/>
      <c r="N2024" s="13" t="s">
        <v>29</v>
      </c>
      <c r="O2024" s="24" t="str">
        <f>IF(D2024="","",IF(COUNTIF(离职清单!C:C,D2024)&gt;0,"已离职","在职"))</f>
        <v>在职</v>
      </c>
      <c r="P2024" s="24" t="str">
        <f>IF(AND(O2024="在职",J2024="是"),COUNTIF(O$2:O2024,"在职"),"")</f>
        <v/>
      </c>
    </row>
    <row r="2025" ht="18" spans="1:16">
      <c r="A2025" s="14">
        <f t="shared" si="36"/>
        <v>2024</v>
      </c>
      <c r="B2025" s="31">
        <v>46183</v>
      </c>
      <c r="C2025" s="32" t="s">
        <v>2099</v>
      </c>
      <c r="D2025" s="120" t="s">
        <v>478</v>
      </c>
      <c r="E2025" s="33" t="s">
        <v>43</v>
      </c>
      <c r="F2025" s="18" t="s">
        <v>63</v>
      </c>
      <c r="G2025" s="18" t="s">
        <v>176</v>
      </c>
      <c r="H2025" s="34" t="s">
        <v>85</v>
      </c>
      <c r="I2025" s="18" t="s">
        <v>111</v>
      </c>
      <c r="J2025" s="31" t="s">
        <v>105</v>
      </c>
      <c r="K2025" s="31"/>
      <c r="N2025" s="13" t="s">
        <v>29</v>
      </c>
      <c r="O2025" s="24" t="str">
        <f>IF(D2025="","",IF(COUNTIF(离职清单!C:C,D2025)&gt;0,"已离职","在职"))</f>
        <v>在职</v>
      </c>
      <c r="P2025" s="24" t="str">
        <f>IF(AND(O2025="在职",J2025="是"),COUNTIF(O$2:O2025,"在职"),"")</f>
        <v/>
      </c>
    </row>
    <row r="2026" ht="18" spans="1:16">
      <c r="A2026" s="10">
        <f t="shared" si="36"/>
        <v>2025</v>
      </c>
      <c r="B2026" s="31">
        <v>46183</v>
      </c>
      <c r="C2026" s="32" t="s">
        <v>2100</v>
      </c>
      <c r="D2026" s="120" t="s">
        <v>480</v>
      </c>
      <c r="E2026" s="33" t="s">
        <v>43</v>
      </c>
      <c r="F2026" s="18" t="s">
        <v>63</v>
      </c>
      <c r="G2026" s="18" t="s">
        <v>681</v>
      </c>
      <c r="H2026" s="34" t="s">
        <v>85</v>
      </c>
      <c r="I2026" s="18" t="s">
        <v>111</v>
      </c>
      <c r="J2026" s="31" t="s">
        <v>105</v>
      </c>
      <c r="K2026" s="31"/>
      <c r="N2026" s="13" t="s">
        <v>29</v>
      </c>
      <c r="O2026" s="24" t="str">
        <f>IF(D2026="","",IF(COUNTIF(离职清单!C:C,D2026)&gt;0,"已离职","在职"))</f>
        <v>在职</v>
      </c>
      <c r="P2026" s="24" t="str">
        <f>IF(AND(O2026="在职",J2026="是"),COUNTIF(O$2:O2026,"在职"),"")</f>
        <v/>
      </c>
    </row>
    <row r="2027" ht="18" spans="1:16">
      <c r="A2027" s="14">
        <f t="shared" si="36"/>
        <v>2026</v>
      </c>
      <c r="B2027" s="31">
        <v>46183</v>
      </c>
      <c r="C2027" s="32" t="s">
        <v>2101</v>
      </c>
      <c r="D2027" s="120" t="s">
        <v>482</v>
      </c>
      <c r="E2027" s="33" t="s">
        <v>43</v>
      </c>
      <c r="F2027" s="18" t="s">
        <v>63</v>
      </c>
      <c r="G2027" s="18" t="s">
        <v>148</v>
      </c>
      <c r="H2027" s="34" t="s">
        <v>85</v>
      </c>
      <c r="I2027" s="18" t="s">
        <v>111</v>
      </c>
      <c r="J2027" s="31" t="s">
        <v>105</v>
      </c>
      <c r="K2027" s="31"/>
      <c r="N2027" s="13" t="s">
        <v>29</v>
      </c>
      <c r="O2027" s="24" t="str">
        <f>IF(D2027="","",IF(COUNTIF(离职清单!C:C,D2027)&gt;0,"已离职","在职"))</f>
        <v>在职</v>
      </c>
      <c r="P2027" s="24" t="str">
        <f>IF(AND(O2027="在职",J2027="是"),COUNTIF(O$2:O2027,"在职"),"")</f>
        <v/>
      </c>
    </row>
    <row r="2028" ht="18" spans="1:16">
      <c r="A2028" s="10">
        <f t="shared" ref="A2028:A2091" si="37">IF(B2028&lt;&gt;"",ROW()-1,"")</f>
        <v>2027</v>
      </c>
      <c r="B2028" s="31">
        <v>46183</v>
      </c>
      <c r="C2028" s="32" t="s">
        <v>2102</v>
      </c>
      <c r="D2028" s="120" t="s">
        <v>484</v>
      </c>
      <c r="E2028" s="33" t="s">
        <v>43</v>
      </c>
      <c r="F2028" s="18" t="s">
        <v>62</v>
      </c>
      <c r="G2028" s="18" t="s">
        <v>148</v>
      </c>
      <c r="H2028" s="34" t="s">
        <v>85</v>
      </c>
      <c r="I2028" s="18" t="s">
        <v>111</v>
      </c>
      <c r="J2028" s="31" t="s">
        <v>105</v>
      </c>
      <c r="K2028" s="31"/>
      <c r="N2028" s="13" t="s">
        <v>29</v>
      </c>
      <c r="O2028" s="24" t="str">
        <f>IF(D2028="","",IF(COUNTIF(离职清单!C:C,D2028)&gt;0,"已离职","在职"))</f>
        <v>在职</v>
      </c>
      <c r="P2028" s="24" t="str">
        <f>IF(AND(O2028="在职",J2028="是"),COUNTIF(O$2:O2028,"在职"),"")</f>
        <v/>
      </c>
    </row>
    <row r="2029" ht="18" spans="1:16">
      <c r="A2029" s="14">
        <f t="shared" si="37"/>
        <v>2028</v>
      </c>
      <c r="B2029" s="31">
        <v>46183</v>
      </c>
      <c r="C2029" s="32" t="s">
        <v>2103</v>
      </c>
      <c r="D2029" s="120" t="s">
        <v>486</v>
      </c>
      <c r="E2029" s="33" t="s">
        <v>43</v>
      </c>
      <c r="F2029" s="18" t="s">
        <v>62</v>
      </c>
      <c r="G2029" s="18" t="s">
        <v>426</v>
      </c>
      <c r="H2029" s="34" t="s">
        <v>85</v>
      </c>
      <c r="I2029" s="18" t="s">
        <v>111</v>
      </c>
      <c r="J2029" s="31" t="s">
        <v>105</v>
      </c>
      <c r="K2029" s="31"/>
      <c r="N2029" s="13" t="s">
        <v>29</v>
      </c>
      <c r="O2029" s="24" t="str">
        <f>IF(D2029="","",IF(COUNTIF(离职清单!C:C,D2029)&gt;0,"已离职","在职"))</f>
        <v>在职</v>
      </c>
      <c r="P2029" s="24" t="str">
        <f>IF(AND(O2029="在职",J2029="是"),COUNTIF(O$2:O2029,"在职"),"")</f>
        <v/>
      </c>
    </row>
    <row r="2030" ht="18" spans="1:16">
      <c r="A2030" s="10">
        <f t="shared" si="37"/>
        <v>2029</v>
      </c>
      <c r="B2030" s="31">
        <v>46183</v>
      </c>
      <c r="C2030" s="32" t="s">
        <v>2104</v>
      </c>
      <c r="D2030" s="120" t="s">
        <v>488</v>
      </c>
      <c r="E2030" s="33" t="s">
        <v>43</v>
      </c>
      <c r="F2030" s="18" t="s">
        <v>63</v>
      </c>
      <c r="G2030" s="18" t="s">
        <v>103</v>
      </c>
      <c r="H2030" s="34" t="s">
        <v>85</v>
      </c>
      <c r="I2030" s="18" t="s">
        <v>111</v>
      </c>
      <c r="J2030" s="31" t="s">
        <v>105</v>
      </c>
      <c r="K2030" s="31"/>
      <c r="N2030" s="13" t="s">
        <v>29</v>
      </c>
      <c r="O2030" s="24" t="str">
        <f>IF(D2030="","",IF(COUNTIF(离职清单!C:C,D2030)&gt;0,"已离职","在职"))</f>
        <v>在职</v>
      </c>
      <c r="P2030" s="24" t="str">
        <f>IF(AND(O2030="在职",J2030="是"),COUNTIF(O$2:O2030,"在职"),"")</f>
        <v/>
      </c>
    </row>
    <row r="2031" ht="18" spans="1:16">
      <c r="A2031" s="14">
        <f t="shared" si="37"/>
        <v>2030</v>
      </c>
      <c r="B2031" s="31">
        <v>46183</v>
      </c>
      <c r="C2031" s="32" t="s">
        <v>2105</v>
      </c>
      <c r="D2031" s="120" t="s">
        <v>490</v>
      </c>
      <c r="E2031" s="33" t="s">
        <v>43</v>
      </c>
      <c r="F2031" s="18" t="s">
        <v>63</v>
      </c>
      <c r="G2031" s="18" t="s">
        <v>681</v>
      </c>
      <c r="H2031" s="34" t="s">
        <v>85</v>
      </c>
      <c r="I2031" s="18" t="s">
        <v>111</v>
      </c>
      <c r="J2031" s="31" t="s">
        <v>105</v>
      </c>
      <c r="K2031" s="31"/>
      <c r="N2031" s="13" t="s">
        <v>29</v>
      </c>
      <c r="O2031" s="24" t="str">
        <f>IF(D2031="","",IF(COUNTIF(离职清单!C:C,D2031)&gt;0,"已离职","在职"))</f>
        <v>在职</v>
      </c>
      <c r="P2031" s="24" t="str">
        <f>IF(AND(O2031="在职",J2031="是"),COUNTIF(O$2:O2031,"在职"),"")</f>
        <v/>
      </c>
    </row>
    <row r="2032" ht="18" spans="1:16">
      <c r="A2032" s="10">
        <f t="shared" si="37"/>
        <v>2031</v>
      </c>
      <c r="B2032" s="31">
        <v>46183</v>
      </c>
      <c r="C2032" s="32" t="s">
        <v>2106</v>
      </c>
      <c r="D2032" s="120" t="s">
        <v>492</v>
      </c>
      <c r="E2032" s="33" t="s">
        <v>42</v>
      </c>
      <c r="F2032" s="18" t="s">
        <v>63</v>
      </c>
      <c r="G2032" s="18" t="s">
        <v>148</v>
      </c>
      <c r="H2032" s="34" t="s">
        <v>85</v>
      </c>
      <c r="I2032" s="18" t="s">
        <v>111</v>
      </c>
      <c r="J2032" s="31" t="s">
        <v>105</v>
      </c>
      <c r="K2032" s="31"/>
      <c r="N2032" s="13" t="s">
        <v>29</v>
      </c>
      <c r="O2032" s="24" t="str">
        <f>IF(D2032="","",IF(COUNTIF(离职清单!C:C,D2032)&gt;0,"已离职","在职"))</f>
        <v>在职</v>
      </c>
      <c r="P2032" s="24" t="str">
        <f>IF(AND(O2032="在职",J2032="是"),COUNTIF(O$2:O2032,"在职"),"")</f>
        <v/>
      </c>
    </row>
    <row r="2033" ht="18" spans="1:16">
      <c r="A2033" s="14">
        <f t="shared" si="37"/>
        <v>2032</v>
      </c>
      <c r="B2033" s="31">
        <v>46183</v>
      </c>
      <c r="C2033" s="32" t="s">
        <v>2107</v>
      </c>
      <c r="D2033" s="120" t="s">
        <v>477</v>
      </c>
      <c r="E2033" s="33" t="s">
        <v>42</v>
      </c>
      <c r="F2033" s="18" t="s">
        <v>63</v>
      </c>
      <c r="G2033" s="18" t="s">
        <v>148</v>
      </c>
      <c r="H2033" s="34" t="s">
        <v>85</v>
      </c>
      <c r="I2033" s="18" t="s">
        <v>111</v>
      </c>
      <c r="J2033" s="31" t="s">
        <v>105</v>
      </c>
      <c r="K2033" s="31"/>
      <c r="N2033" s="13" t="s">
        <v>29</v>
      </c>
      <c r="O2033" s="24" t="str">
        <f>IF(D2033="","",IF(COUNTIF(离职清单!C:C,D2033)&gt;0,"已离职","在职"))</f>
        <v>在职</v>
      </c>
      <c r="P2033" s="24" t="str">
        <f>IF(AND(O2033="在职",J2033="是"),COUNTIF(O$2:O2033,"在职"),"")</f>
        <v/>
      </c>
    </row>
    <row r="2034" ht="18" spans="1:16">
      <c r="A2034" s="10">
        <f t="shared" si="37"/>
        <v>2033</v>
      </c>
      <c r="B2034" s="31">
        <v>46183</v>
      </c>
      <c r="C2034" s="32" t="s">
        <v>1846</v>
      </c>
      <c r="D2034" s="120" t="s">
        <v>478</v>
      </c>
      <c r="E2034" s="33" t="s">
        <v>42</v>
      </c>
      <c r="F2034" s="18" t="s">
        <v>62</v>
      </c>
      <c r="G2034" s="18" t="s">
        <v>233</v>
      </c>
      <c r="H2034" s="34" t="s">
        <v>85</v>
      </c>
      <c r="I2034" s="18" t="s">
        <v>111</v>
      </c>
      <c r="J2034" s="31" t="s">
        <v>105</v>
      </c>
      <c r="K2034" s="31"/>
      <c r="N2034" s="13" t="s">
        <v>29</v>
      </c>
      <c r="O2034" s="24" t="str">
        <f>IF(D2034="","",IF(COUNTIF(离职清单!C:C,D2034)&gt;0,"已离职","在职"))</f>
        <v>在职</v>
      </c>
      <c r="P2034" s="24" t="str">
        <f>IF(AND(O2034="在职",J2034="是"),COUNTIF(O$2:O2034,"在职"),"")</f>
        <v/>
      </c>
    </row>
    <row r="2035" ht="18" spans="1:16">
      <c r="A2035" s="14">
        <f t="shared" si="37"/>
        <v>2034</v>
      </c>
      <c r="B2035" s="31">
        <v>46183</v>
      </c>
      <c r="C2035" s="32" t="s">
        <v>2108</v>
      </c>
      <c r="D2035" s="120" t="s">
        <v>480</v>
      </c>
      <c r="E2035" s="33" t="s">
        <v>42</v>
      </c>
      <c r="F2035" s="18" t="s">
        <v>63</v>
      </c>
      <c r="G2035" s="18" t="s">
        <v>578</v>
      </c>
      <c r="H2035" s="34" t="s">
        <v>85</v>
      </c>
      <c r="I2035" s="18" t="s">
        <v>111</v>
      </c>
      <c r="J2035" s="31" t="s">
        <v>105</v>
      </c>
      <c r="K2035" s="31"/>
      <c r="N2035" s="13" t="s">
        <v>29</v>
      </c>
      <c r="O2035" s="24" t="str">
        <f>IF(D2035="","",IF(COUNTIF(离职清单!C:C,D2035)&gt;0,"已离职","在职"))</f>
        <v>在职</v>
      </c>
      <c r="P2035" s="24" t="str">
        <f>IF(AND(O2035="在职",J2035="是"),COUNTIF(O$2:O2035,"在职"),"")</f>
        <v/>
      </c>
    </row>
    <row r="2036" ht="18" spans="1:16">
      <c r="A2036" s="10">
        <f t="shared" si="37"/>
        <v>2035</v>
      </c>
      <c r="B2036" s="31">
        <v>46183</v>
      </c>
      <c r="C2036" s="32" t="s">
        <v>2109</v>
      </c>
      <c r="D2036" s="120" t="s">
        <v>482</v>
      </c>
      <c r="E2036" s="33" t="s">
        <v>42</v>
      </c>
      <c r="F2036" s="18" t="s">
        <v>63</v>
      </c>
      <c r="G2036" s="18" t="s">
        <v>631</v>
      </c>
      <c r="H2036" s="34" t="s">
        <v>85</v>
      </c>
      <c r="I2036" s="18" t="s">
        <v>111</v>
      </c>
      <c r="J2036" s="31" t="s">
        <v>105</v>
      </c>
      <c r="K2036" s="31"/>
      <c r="N2036" s="13" t="s">
        <v>29</v>
      </c>
      <c r="O2036" s="24" t="str">
        <f>IF(D2036="","",IF(COUNTIF(离职清单!C:C,D2036)&gt;0,"已离职","在职"))</f>
        <v>在职</v>
      </c>
      <c r="P2036" s="24" t="str">
        <f>IF(AND(O2036="在职",J2036="是"),COUNTIF(O$2:O2036,"在职"),"")</f>
        <v/>
      </c>
    </row>
    <row r="2037" ht="18" spans="1:16">
      <c r="A2037" s="14">
        <f t="shared" si="37"/>
        <v>2036</v>
      </c>
      <c r="B2037" s="31">
        <v>46184</v>
      </c>
      <c r="C2037" s="32" t="s">
        <v>2110</v>
      </c>
      <c r="D2037" s="120" t="s">
        <v>484</v>
      </c>
      <c r="E2037" s="33" t="s">
        <v>43</v>
      </c>
      <c r="F2037" s="18" t="s">
        <v>63</v>
      </c>
      <c r="G2037" s="18" t="s">
        <v>954</v>
      </c>
      <c r="H2037" s="34" t="s">
        <v>85</v>
      </c>
      <c r="I2037" s="18" t="s">
        <v>111</v>
      </c>
      <c r="J2037" s="31" t="s">
        <v>105</v>
      </c>
      <c r="K2037" s="31"/>
      <c r="N2037" s="13" t="s">
        <v>29</v>
      </c>
      <c r="O2037" s="24" t="str">
        <f>IF(D2037="","",IF(COUNTIF(离职清单!C:C,D2037)&gt;0,"已离职","在职"))</f>
        <v>在职</v>
      </c>
      <c r="P2037" s="24" t="str">
        <f>IF(AND(O2037="在职",J2037="是"),COUNTIF(O$2:O2037,"在职"),"")</f>
        <v/>
      </c>
    </row>
    <row r="2038" ht="18" spans="1:16">
      <c r="A2038" s="10">
        <f t="shared" si="37"/>
        <v>2037</v>
      </c>
      <c r="B2038" s="31">
        <v>46184</v>
      </c>
      <c r="C2038" s="32" t="s">
        <v>2111</v>
      </c>
      <c r="D2038" s="120" t="s">
        <v>486</v>
      </c>
      <c r="E2038" s="33" t="s">
        <v>42</v>
      </c>
      <c r="F2038" s="18" t="s">
        <v>62</v>
      </c>
      <c r="G2038" s="18" t="s">
        <v>468</v>
      </c>
      <c r="H2038" s="34" t="s">
        <v>85</v>
      </c>
      <c r="I2038" s="18" t="s">
        <v>111</v>
      </c>
      <c r="J2038" s="31" t="s">
        <v>105</v>
      </c>
      <c r="K2038" s="31"/>
      <c r="N2038" s="13" t="s">
        <v>29</v>
      </c>
      <c r="O2038" s="24" t="str">
        <f>IF(D2038="","",IF(COUNTIF(离职清单!C:C,D2038)&gt;0,"已离职","在职"))</f>
        <v>在职</v>
      </c>
      <c r="P2038" s="24" t="str">
        <f>IF(AND(O2038="在职",J2038="是"),COUNTIF(O$2:O2038,"在职"),"")</f>
        <v/>
      </c>
    </row>
    <row r="2039" ht="18" spans="1:16">
      <c r="A2039" s="14">
        <f t="shared" si="37"/>
        <v>2038</v>
      </c>
      <c r="B2039" s="31">
        <v>46184</v>
      </c>
      <c r="C2039" s="32" t="s">
        <v>2112</v>
      </c>
      <c r="D2039" s="120" t="s">
        <v>488</v>
      </c>
      <c r="E2039" s="33" t="s">
        <v>42</v>
      </c>
      <c r="F2039" s="18" t="s">
        <v>63</v>
      </c>
      <c r="G2039" s="18" t="s">
        <v>954</v>
      </c>
      <c r="H2039" s="34" t="s">
        <v>85</v>
      </c>
      <c r="I2039" s="18" t="s">
        <v>111</v>
      </c>
      <c r="J2039" s="31" t="s">
        <v>105</v>
      </c>
      <c r="K2039" s="31"/>
      <c r="N2039" s="13" t="s">
        <v>29</v>
      </c>
      <c r="O2039" s="24" t="str">
        <f>IF(D2039="","",IF(COUNTIF(离职清单!C:C,D2039)&gt;0,"已离职","在职"))</f>
        <v>在职</v>
      </c>
      <c r="P2039" s="24" t="str">
        <f>IF(AND(O2039="在职",J2039="是"),COUNTIF(O$2:O2039,"在职"),"")</f>
        <v/>
      </c>
    </row>
    <row r="2040" ht="18" spans="1:16">
      <c r="A2040" s="10">
        <f t="shared" si="37"/>
        <v>2039</v>
      </c>
      <c r="B2040" s="31">
        <v>46184</v>
      </c>
      <c r="C2040" s="32" t="s">
        <v>2113</v>
      </c>
      <c r="D2040" s="120" t="s">
        <v>490</v>
      </c>
      <c r="E2040" s="33" t="s">
        <v>42</v>
      </c>
      <c r="F2040" s="18" t="s">
        <v>63</v>
      </c>
      <c r="G2040" s="18" t="s">
        <v>148</v>
      </c>
      <c r="H2040" s="34" t="s">
        <v>85</v>
      </c>
      <c r="I2040" s="18" t="s">
        <v>111</v>
      </c>
      <c r="J2040" s="31" t="s">
        <v>105</v>
      </c>
      <c r="K2040" s="31"/>
      <c r="N2040" s="13" t="s">
        <v>29</v>
      </c>
      <c r="O2040" s="24" t="str">
        <f>IF(D2040="","",IF(COUNTIF(离职清单!C:C,D2040)&gt;0,"已离职","在职"))</f>
        <v>在职</v>
      </c>
      <c r="P2040" s="24" t="str">
        <f>IF(AND(O2040="在职",J2040="是"),COUNTIF(O$2:O2040,"在职"),"")</f>
        <v/>
      </c>
    </row>
    <row r="2041" ht="18" spans="1:16">
      <c r="A2041" s="14">
        <f t="shared" si="37"/>
        <v>2040</v>
      </c>
      <c r="B2041" s="31">
        <v>46184</v>
      </c>
      <c r="C2041" s="32" t="s">
        <v>2114</v>
      </c>
      <c r="D2041" s="120" t="s">
        <v>492</v>
      </c>
      <c r="E2041" s="33" t="s">
        <v>42</v>
      </c>
      <c r="F2041" s="18" t="s">
        <v>63</v>
      </c>
      <c r="G2041" s="18" t="s">
        <v>148</v>
      </c>
      <c r="H2041" s="34" t="s">
        <v>85</v>
      </c>
      <c r="I2041" s="18" t="s">
        <v>111</v>
      </c>
      <c r="J2041" s="31" t="s">
        <v>105</v>
      </c>
      <c r="K2041" s="31"/>
      <c r="N2041" s="13" t="s">
        <v>29</v>
      </c>
      <c r="O2041" s="24" t="str">
        <f>IF(D2041="","",IF(COUNTIF(离职清单!C:C,D2041)&gt;0,"已离职","在职"))</f>
        <v>在职</v>
      </c>
      <c r="P2041" s="24" t="str">
        <f>IF(AND(O2041="在职",J2041="是"),COUNTIF(O$2:O2041,"在职"),"")</f>
        <v/>
      </c>
    </row>
    <row r="2042" ht="18" spans="1:16">
      <c r="A2042" s="10">
        <f t="shared" si="37"/>
        <v>2041</v>
      </c>
      <c r="B2042" s="31">
        <v>46184</v>
      </c>
      <c r="C2042" s="32" t="s">
        <v>2115</v>
      </c>
      <c r="D2042" s="120" t="s">
        <v>477</v>
      </c>
      <c r="E2042" s="33" t="s">
        <v>42</v>
      </c>
      <c r="F2042" s="18" t="s">
        <v>62</v>
      </c>
      <c r="G2042" s="18" t="s">
        <v>148</v>
      </c>
      <c r="H2042" s="34" t="s">
        <v>85</v>
      </c>
      <c r="I2042" s="18" t="s">
        <v>111</v>
      </c>
      <c r="J2042" s="31" t="s">
        <v>105</v>
      </c>
      <c r="K2042" s="31"/>
      <c r="N2042" s="13" t="s">
        <v>29</v>
      </c>
      <c r="O2042" s="24" t="str">
        <f>IF(D2042="","",IF(COUNTIF(离职清单!C:C,D2042)&gt;0,"已离职","在职"))</f>
        <v>在职</v>
      </c>
      <c r="P2042" s="24" t="str">
        <f>IF(AND(O2042="在职",J2042="是"),COUNTIF(O$2:O2042,"在职"),"")</f>
        <v/>
      </c>
    </row>
    <row r="2043" ht="18" spans="1:16">
      <c r="A2043" s="14">
        <f t="shared" si="37"/>
        <v>2042</v>
      </c>
      <c r="B2043" s="31">
        <v>46184</v>
      </c>
      <c r="C2043" s="32" t="s">
        <v>1757</v>
      </c>
      <c r="D2043" s="120" t="s">
        <v>478</v>
      </c>
      <c r="E2043" s="33" t="s">
        <v>42</v>
      </c>
      <c r="F2043" s="18" t="s">
        <v>62</v>
      </c>
      <c r="G2043" s="18" t="s">
        <v>1166</v>
      </c>
      <c r="H2043" s="34" t="s">
        <v>85</v>
      </c>
      <c r="I2043" s="18" t="s">
        <v>111</v>
      </c>
      <c r="J2043" s="31" t="s">
        <v>105</v>
      </c>
      <c r="K2043" s="31"/>
      <c r="N2043" s="13" t="s">
        <v>29</v>
      </c>
      <c r="O2043" s="24" t="str">
        <f>IF(D2043="","",IF(COUNTIF(离职清单!C:C,D2043)&gt;0,"已离职","在职"))</f>
        <v>在职</v>
      </c>
      <c r="P2043" s="24" t="str">
        <f>IF(AND(O2043="在职",J2043="是"),COUNTIF(O$2:O2043,"在职"),"")</f>
        <v/>
      </c>
    </row>
    <row r="2044" ht="18" spans="1:16">
      <c r="A2044" s="10">
        <f t="shared" si="37"/>
        <v>2043</v>
      </c>
      <c r="B2044" s="31">
        <v>46184</v>
      </c>
      <c r="C2044" s="32" t="s">
        <v>2116</v>
      </c>
      <c r="D2044" s="120" t="s">
        <v>480</v>
      </c>
      <c r="E2044" s="33" t="s">
        <v>42</v>
      </c>
      <c r="F2044" s="18" t="s">
        <v>62</v>
      </c>
      <c r="G2044" s="18" t="s">
        <v>117</v>
      </c>
      <c r="H2044" s="34" t="s">
        <v>85</v>
      </c>
      <c r="I2044" s="18" t="s">
        <v>111</v>
      </c>
      <c r="J2044" s="31" t="s">
        <v>105</v>
      </c>
      <c r="K2044" s="31"/>
      <c r="N2044" s="13" t="s">
        <v>29</v>
      </c>
      <c r="O2044" s="24" t="str">
        <f>IF(D2044="","",IF(COUNTIF(离职清单!C:C,D2044)&gt;0,"已离职","在职"))</f>
        <v>在职</v>
      </c>
      <c r="P2044" s="24" t="str">
        <f>IF(AND(O2044="在职",J2044="是"),COUNTIF(O$2:O2044,"在职"),"")</f>
        <v/>
      </c>
    </row>
    <row r="2045" ht="18" spans="1:16">
      <c r="A2045" s="14">
        <f t="shared" si="37"/>
        <v>2044</v>
      </c>
      <c r="B2045" s="31">
        <v>46184</v>
      </c>
      <c r="C2045" s="32" t="s">
        <v>2117</v>
      </c>
      <c r="D2045" s="120" t="s">
        <v>482</v>
      </c>
      <c r="E2045" s="33" t="s">
        <v>42</v>
      </c>
      <c r="F2045" s="18" t="s">
        <v>63</v>
      </c>
      <c r="G2045" s="18" t="s">
        <v>512</v>
      </c>
      <c r="H2045" s="34" t="s">
        <v>85</v>
      </c>
      <c r="I2045" s="18" t="s">
        <v>111</v>
      </c>
      <c r="J2045" s="31" t="s">
        <v>105</v>
      </c>
      <c r="K2045" s="31"/>
      <c r="N2045" s="13" t="s">
        <v>29</v>
      </c>
      <c r="O2045" s="24" t="str">
        <f>IF(D2045="","",IF(COUNTIF(离职清单!C:C,D2045)&gt;0,"已离职","在职"))</f>
        <v>在职</v>
      </c>
      <c r="P2045" s="24" t="str">
        <f>IF(AND(O2045="在职",J2045="是"),COUNTIF(O$2:O2045,"在职"),"")</f>
        <v/>
      </c>
    </row>
    <row r="2046" ht="18" spans="1:16">
      <c r="A2046" s="10">
        <f t="shared" si="37"/>
        <v>2045</v>
      </c>
      <c r="B2046" s="31">
        <v>46184</v>
      </c>
      <c r="C2046" s="32" t="s">
        <v>2118</v>
      </c>
      <c r="D2046" s="120" t="s">
        <v>484</v>
      </c>
      <c r="E2046" s="33" t="s">
        <v>73</v>
      </c>
      <c r="F2046" s="18" t="s">
        <v>63</v>
      </c>
      <c r="G2046" s="18" t="s">
        <v>690</v>
      </c>
      <c r="H2046" s="34" t="s">
        <v>85</v>
      </c>
      <c r="I2046" s="18" t="s">
        <v>104</v>
      </c>
      <c r="J2046" s="31" t="s">
        <v>114</v>
      </c>
      <c r="K2046" s="31"/>
      <c r="N2046" s="13" t="s">
        <v>29</v>
      </c>
      <c r="O2046" s="24" t="str">
        <f>IF(D2046="","",IF(COUNTIF(离职清单!C:C,D2046)&gt;0,"已离职","在职"))</f>
        <v>在职</v>
      </c>
      <c r="P2046" s="24">
        <f>IF(AND(O2046="在职",J2046="是"),COUNTIF(O$2:O2046,"在职"),"")</f>
        <v>2039</v>
      </c>
    </row>
    <row r="2047" ht="18" spans="1:16">
      <c r="A2047" s="14">
        <f t="shared" si="37"/>
        <v>2046</v>
      </c>
      <c r="B2047" s="31">
        <v>46184</v>
      </c>
      <c r="C2047" s="32" t="s">
        <v>2119</v>
      </c>
      <c r="D2047" s="120" t="s">
        <v>486</v>
      </c>
      <c r="E2047" s="33" t="s">
        <v>73</v>
      </c>
      <c r="F2047" s="18" t="s">
        <v>62</v>
      </c>
      <c r="G2047" s="18" t="s">
        <v>124</v>
      </c>
      <c r="H2047" s="34" t="s">
        <v>85</v>
      </c>
      <c r="I2047" s="18" t="s">
        <v>111</v>
      </c>
      <c r="J2047" s="31" t="s">
        <v>105</v>
      </c>
      <c r="K2047" s="31"/>
      <c r="N2047" s="13" t="s">
        <v>29</v>
      </c>
      <c r="O2047" s="24" t="str">
        <f>IF(D2047="","",IF(COUNTIF(离职清单!C:C,D2047)&gt;0,"已离职","在职"))</f>
        <v>在职</v>
      </c>
      <c r="P2047" s="24" t="str">
        <f>IF(AND(O2047="在职",J2047="是"),COUNTIF(O$2:O2047,"在职"),"")</f>
        <v/>
      </c>
    </row>
    <row r="2048" ht="18" spans="1:16">
      <c r="A2048" s="10">
        <f t="shared" si="37"/>
        <v>2047</v>
      </c>
      <c r="B2048" s="31">
        <v>46184</v>
      </c>
      <c r="C2048" s="32" t="s">
        <v>2120</v>
      </c>
      <c r="D2048" s="120" t="s">
        <v>488</v>
      </c>
      <c r="E2048" s="33" t="s">
        <v>73</v>
      </c>
      <c r="F2048" s="18" t="s">
        <v>63</v>
      </c>
      <c r="G2048" s="18" t="s">
        <v>129</v>
      </c>
      <c r="H2048" s="34" t="s">
        <v>85</v>
      </c>
      <c r="I2048" s="18" t="s">
        <v>111</v>
      </c>
      <c r="J2048" s="31" t="s">
        <v>105</v>
      </c>
      <c r="K2048" s="31"/>
      <c r="N2048" s="13" t="s">
        <v>29</v>
      </c>
      <c r="O2048" s="24" t="str">
        <f>IF(D2048="","",IF(COUNTIF(离职清单!C:C,D2048)&gt;0,"已离职","在职"))</f>
        <v>在职</v>
      </c>
      <c r="P2048" s="24" t="str">
        <f>IF(AND(O2048="在职",J2048="是"),COUNTIF(O$2:O2048,"在职"),"")</f>
        <v/>
      </c>
    </row>
    <row r="2049" ht="18" spans="1:16">
      <c r="A2049" s="14">
        <f t="shared" si="37"/>
        <v>2048</v>
      </c>
      <c r="B2049" s="31">
        <v>46184</v>
      </c>
      <c r="C2049" s="32" t="s">
        <v>2121</v>
      </c>
      <c r="D2049" s="120" t="s">
        <v>490</v>
      </c>
      <c r="E2049" s="33" t="s">
        <v>73</v>
      </c>
      <c r="F2049" s="18" t="s">
        <v>63</v>
      </c>
      <c r="G2049" s="18" t="s">
        <v>578</v>
      </c>
      <c r="H2049" s="34" t="s">
        <v>85</v>
      </c>
      <c r="I2049" s="18" t="s">
        <v>111</v>
      </c>
      <c r="J2049" s="31" t="s">
        <v>105</v>
      </c>
      <c r="K2049" s="31"/>
      <c r="N2049" s="13" t="s">
        <v>29</v>
      </c>
      <c r="O2049" s="24" t="str">
        <f>IF(D2049="","",IF(COUNTIF(离职清单!C:C,D2049)&gt;0,"已离职","在职"))</f>
        <v>在职</v>
      </c>
      <c r="P2049" s="24" t="str">
        <f>IF(AND(O2049="在职",J2049="是"),COUNTIF(O$2:O2049,"在职"),"")</f>
        <v/>
      </c>
    </row>
    <row r="2050" ht="18" spans="1:16">
      <c r="A2050" s="10">
        <f t="shared" si="37"/>
        <v>2049</v>
      </c>
      <c r="B2050" s="31">
        <v>46185</v>
      </c>
      <c r="C2050" s="32" t="s">
        <v>2122</v>
      </c>
      <c r="D2050" s="120" t="s">
        <v>492</v>
      </c>
      <c r="E2050" s="33" t="s">
        <v>42</v>
      </c>
      <c r="F2050" s="18" t="s">
        <v>63</v>
      </c>
      <c r="G2050" s="18" t="s">
        <v>631</v>
      </c>
      <c r="H2050" s="34" t="s">
        <v>85</v>
      </c>
      <c r="I2050" s="18" t="s">
        <v>111</v>
      </c>
      <c r="J2050" s="31" t="s">
        <v>105</v>
      </c>
      <c r="K2050" s="31"/>
      <c r="N2050" s="13" t="s">
        <v>29</v>
      </c>
      <c r="O2050" s="24" t="str">
        <f>IF(D2050="","",IF(COUNTIF(离职清单!C:C,D2050)&gt;0,"已离职","在职"))</f>
        <v>在职</v>
      </c>
      <c r="P2050" s="24" t="str">
        <f>IF(AND(O2050="在职",J2050="是"),COUNTIF(O$2:O2050,"在职"),"")</f>
        <v/>
      </c>
    </row>
    <row r="2051" ht="18" spans="1:16">
      <c r="A2051" s="14">
        <f t="shared" si="37"/>
        <v>2050</v>
      </c>
      <c r="B2051" s="31">
        <v>46185</v>
      </c>
      <c r="C2051" s="32" t="s">
        <v>2123</v>
      </c>
      <c r="D2051" s="120" t="s">
        <v>477</v>
      </c>
      <c r="E2051" s="33" t="s">
        <v>42</v>
      </c>
      <c r="F2051" s="18" t="s">
        <v>63</v>
      </c>
      <c r="G2051" s="18" t="s">
        <v>578</v>
      </c>
      <c r="H2051" s="34" t="s">
        <v>85</v>
      </c>
      <c r="I2051" s="18" t="s">
        <v>111</v>
      </c>
      <c r="J2051" s="31" t="s">
        <v>105</v>
      </c>
      <c r="K2051" s="31"/>
      <c r="N2051" s="13" t="s">
        <v>29</v>
      </c>
      <c r="O2051" s="24" t="str">
        <f>IF(D2051="","",IF(COUNTIF(离职清单!C:C,D2051)&gt;0,"已离职","在职"))</f>
        <v>在职</v>
      </c>
      <c r="P2051" s="24" t="str">
        <f>IF(AND(O2051="在职",J2051="是"),COUNTIF(O$2:O2051,"在职"),"")</f>
        <v/>
      </c>
    </row>
    <row r="2052" ht="18" spans="1:16">
      <c r="A2052" s="10">
        <f t="shared" si="37"/>
        <v>2051</v>
      </c>
      <c r="B2052" s="31">
        <v>46185</v>
      </c>
      <c r="C2052" s="32" t="s">
        <v>2124</v>
      </c>
      <c r="D2052" s="120" t="s">
        <v>477</v>
      </c>
      <c r="E2052" s="33" t="s">
        <v>42</v>
      </c>
      <c r="F2052" s="18" t="s">
        <v>63</v>
      </c>
      <c r="G2052" s="18" t="s">
        <v>148</v>
      </c>
      <c r="H2052" s="34" t="s">
        <v>85</v>
      </c>
      <c r="I2052" s="18" t="s">
        <v>111</v>
      </c>
      <c r="J2052" s="31" t="s">
        <v>105</v>
      </c>
      <c r="K2052" s="31"/>
      <c r="N2052" s="13" t="s">
        <v>29</v>
      </c>
      <c r="O2052" s="24" t="str">
        <f>IF(D2052="","",IF(COUNTIF(离职清单!C:C,D2052)&gt;0,"已离职","在职"))</f>
        <v>在职</v>
      </c>
      <c r="P2052" s="24" t="str">
        <f>IF(AND(O2052="在职",J2052="是"),COUNTIF(O$2:O2052,"在职"),"")</f>
        <v/>
      </c>
    </row>
    <row r="2053" ht="18" spans="1:16">
      <c r="A2053" s="14">
        <f t="shared" si="37"/>
        <v>2052</v>
      </c>
      <c r="B2053" s="31">
        <v>46185</v>
      </c>
      <c r="C2053" s="32" t="s">
        <v>2125</v>
      </c>
      <c r="D2053" s="120" t="s">
        <v>478</v>
      </c>
      <c r="E2053" s="33" t="s">
        <v>42</v>
      </c>
      <c r="F2053" s="18" t="s">
        <v>62</v>
      </c>
      <c r="G2053" s="18" t="s">
        <v>1933</v>
      </c>
      <c r="H2053" s="34" t="s">
        <v>85</v>
      </c>
      <c r="I2053" s="18" t="s">
        <v>111</v>
      </c>
      <c r="J2053" s="31" t="s">
        <v>105</v>
      </c>
      <c r="K2053" s="31"/>
      <c r="N2053" s="13" t="s">
        <v>29</v>
      </c>
      <c r="O2053" s="24" t="str">
        <f>IF(D2053="","",IF(COUNTIF(离职清单!C:C,D2053)&gt;0,"已离职","在职"))</f>
        <v>在职</v>
      </c>
      <c r="P2053" s="24" t="str">
        <f>IF(AND(O2053="在职",J2053="是"),COUNTIF(O$2:O2053,"在职"),"")</f>
        <v/>
      </c>
    </row>
    <row r="2054" ht="18" spans="1:16">
      <c r="A2054" s="10">
        <f t="shared" si="37"/>
        <v>2053</v>
      </c>
      <c r="B2054" s="31">
        <v>46185</v>
      </c>
      <c r="C2054" s="32" t="s">
        <v>2126</v>
      </c>
      <c r="D2054" s="120" t="s">
        <v>480</v>
      </c>
      <c r="E2054" s="33" t="s">
        <v>42</v>
      </c>
      <c r="F2054" s="18" t="s">
        <v>62</v>
      </c>
      <c r="G2054" s="18" t="s">
        <v>505</v>
      </c>
      <c r="H2054" s="34" t="s">
        <v>85</v>
      </c>
      <c r="I2054" s="18" t="s">
        <v>111</v>
      </c>
      <c r="J2054" s="31" t="s">
        <v>105</v>
      </c>
      <c r="K2054" s="31"/>
      <c r="N2054" s="13" t="s">
        <v>29</v>
      </c>
      <c r="O2054" s="24" t="str">
        <f>IF(D2054="","",IF(COUNTIF(离职清单!C:C,D2054)&gt;0,"已离职","在职"))</f>
        <v>在职</v>
      </c>
      <c r="P2054" s="24" t="str">
        <f>IF(AND(O2054="在职",J2054="是"),COUNTIF(O$2:O2054,"在职"),"")</f>
        <v/>
      </c>
    </row>
    <row r="2055" ht="18" spans="1:16">
      <c r="A2055" s="14">
        <f t="shared" si="37"/>
        <v>2054</v>
      </c>
      <c r="B2055" s="31">
        <v>46185</v>
      </c>
      <c r="C2055" s="32" t="s">
        <v>1652</v>
      </c>
      <c r="D2055" s="120" t="s">
        <v>482</v>
      </c>
      <c r="E2055" s="33" t="s">
        <v>73</v>
      </c>
      <c r="F2055" s="18" t="s">
        <v>62</v>
      </c>
      <c r="G2055" s="18" t="s">
        <v>1056</v>
      </c>
      <c r="H2055" s="34" t="s">
        <v>85</v>
      </c>
      <c r="I2055" s="18" t="s">
        <v>111</v>
      </c>
      <c r="J2055" s="31" t="s">
        <v>105</v>
      </c>
      <c r="K2055" s="31"/>
      <c r="N2055" s="13" t="s">
        <v>29</v>
      </c>
      <c r="O2055" s="24" t="str">
        <f>IF(D2055="","",IF(COUNTIF(离职清单!C:C,D2055)&gt;0,"已离职","在职"))</f>
        <v>在职</v>
      </c>
      <c r="P2055" s="24" t="str">
        <f>IF(AND(O2055="在职",J2055="是"),COUNTIF(O$2:O2055,"在职"),"")</f>
        <v/>
      </c>
    </row>
    <row r="2056" ht="18" spans="1:16">
      <c r="A2056" s="10">
        <f t="shared" si="37"/>
        <v>2055</v>
      </c>
      <c r="B2056" s="31">
        <v>46186</v>
      </c>
      <c r="C2056" s="32" t="s">
        <v>2127</v>
      </c>
      <c r="D2056" s="120" t="s">
        <v>484</v>
      </c>
      <c r="E2056" s="33" t="s">
        <v>43</v>
      </c>
      <c r="F2056" s="18" t="s">
        <v>62</v>
      </c>
      <c r="G2056" s="18" t="s">
        <v>129</v>
      </c>
      <c r="H2056" s="34" t="s">
        <v>85</v>
      </c>
      <c r="I2056" s="18" t="s">
        <v>111</v>
      </c>
      <c r="J2056" s="31" t="s">
        <v>105</v>
      </c>
      <c r="K2056" s="31"/>
      <c r="N2056" s="13" t="s">
        <v>29</v>
      </c>
      <c r="O2056" s="24" t="str">
        <f>IF(D2056="","",IF(COUNTIF(离职清单!C:C,D2056)&gt;0,"已离职","在职"))</f>
        <v>在职</v>
      </c>
      <c r="P2056" s="24" t="str">
        <f>IF(AND(O2056="在职",J2056="是"),COUNTIF(O$2:O2056,"在职"),"")</f>
        <v/>
      </c>
    </row>
    <row r="2057" ht="18" spans="1:16">
      <c r="A2057" s="14">
        <f t="shared" si="37"/>
        <v>2056</v>
      </c>
      <c r="B2057" s="31">
        <v>46186</v>
      </c>
      <c r="C2057" s="32" t="s">
        <v>2128</v>
      </c>
      <c r="D2057" s="120" t="s">
        <v>486</v>
      </c>
      <c r="E2057" s="33" t="s">
        <v>43</v>
      </c>
      <c r="F2057" s="18" t="s">
        <v>62</v>
      </c>
      <c r="G2057" s="18" t="s">
        <v>132</v>
      </c>
      <c r="H2057" s="34" t="s">
        <v>85</v>
      </c>
      <c r="I2057" s="18" t="s">
        <v>111</v>
      </c>
      <c r="J2057" s="31" t="s">
        <v>105</v>
      </c>
      <c r="K2057" s="31"/>
      <c r="N2057" s="13" t="s">
        <v>29</v>
      </c>
      <c r="O2057" s="24" t="str">
        <f>IF(D2057="","",IF(COUNTIF(离职清单!C:C,D2057)&gt;0,"已离职","在职"))</f>
        <v>在职</v>
      </c>
      <c r="P2057" s="24" t="str">
        <f>IF(AND(O2057="在职",J2057="是"),COUNTIF(O$2:O2057,"在职"),"")</f>
        <v/>
      </c>
    </row>
    <row r="2058" ht="18" spans="1:16">
      <c r="A2058" s="10">
        <f t="shared" si="37"/>
        <v>2057</v>
      </c>
      <c r="B2058" s="31">
        <v>46186</v>
      </c>
      <c r="C2058" s="32" t="s">
        <v>2129</v>
      </c>
      <c r="D2058" s="120" t="s">
        <v>488</v>
      </c>
      <c r="E2058" s="33" t="s">
        <v>43</v>
      </c>
      <c r="F2058" s="18" t="s">
        <v>63</v>
      </c>
      <c r="G2058" s="18" t="s">
        <v>744</v>
      </c>
      <c r="H2058" s="34" t="s">
        <v>85</v>
      </c>
      <c r="I2058" s="18" t="s">
        <v>111</v>
      </c>
      <c r="J2058" s="31" t="s">
        <v>105</v>
      </c>
      <c r="K2058" s="31"/>
      <c r="N2058" s="13" t="s">
        <v>29</v>
      </c>
      <c r="O2058" s="24" t="str">
        <f>IF(D2058="","",IF(COUNTIF(离职清单!C:C,D2058)&gt;0,"已离职","在职"))</f>
        <v>在职</v>
      </c>
      <c r="P2058" s="24" t="str">
        <f>IF(AND(O2058="在职",J2058="是"),COUNTIF(O$2:O2058,"在职"),"")</f>
        <v/>
      </c>
    </row>
    <row r="2059" ht="18" spans="1:16">
      <c r="A2059" s="14">
        <f t="shared" si="37"/>
        <v>2058</v>
      </c>
      <c r="B2059" s="31">
        <v>46186</v>
      </c>
      <c r="C2059" s="32" t="s">
        <v>2130</v>
      </c>
      <c r="D2059" s="120" t="s">
        <v>490</v>
      </c>
      <c r="E2059" s="33" t="s">
        <v>42</v>
      </c>
      <c r="F2059" s="18" t="s">
        <v>63</v>
      </c>
      <c r="G2059" s="18" t="s">
        <v>124</v>
      </c>
      <c r="H2059" s="34" t="s">
        <v>85</v>
      </c>
      <c r="I2059" s="18" t="s">
        <v>111</v>
      </c>
      <c r="J2059" s="31" t="s">
        <v>105</v>
      </c>
      <c r="K2059" s="31"/>
      <c r="N2059" s="13" t="s">
        <v>29</v>
      </c>
      <c r="O2059" s="24" t="str">
        <f>IF(D2059="","",IF(COUNTIF(离职清单!C:C,D2059)&gt;0,"已离职","在职"))</f>
        <v>在职</v>
      </c>
      <c r="P2059" s="24" t="str">
        <f>IF(AND(O2059="在职",J2059="是"),COUNTIF(O$2:O2059,"在职"),"")</f>
        <v/>
      </c>
    </row>
    <row r="2060" ht="18" spans="1:16">
      <c r="A2060" s="10">
        <f t="shared" si="37"/>
        <v>2059</v>
      </c>
      <c r="B2060" s="31">
        <v>46186</v>
      </c>
      <c r="C2060" s="32" t="s">
        <v>2131</v>
      </c>
      <c r="D2060" s="120" t="s">
        <v>492</v>
      </c>
      <c r="E2060" s="33" t="s">
        <v>42</v>
      </c>
      <c r="F2060" s="18" t="s">
        <v>63</v>
      </c>
      <c r="G2060" s="18" t="s">
        <v>148</v>
      </c>
      <c r="H2060" s="34" t="s">
        <v>85</v>
      </c>
      <c r="I2060" s="18" t="s">
        <v>111</v>
      </c>
      <c r="J2060" s="31" t="s">
        <v>105</v>
      </c>
      <c r="K2060" s="31"/>
      <c r="N2060" s="13" t="s">
        <v>29</v>
      </c>
      <c r="O2060" s="24" t="str">
        <f>IF(D2060="","",IF(COUNTIF(离职清单!C:C,D2060)&gt;0,"已离职","在职"))</f>
        <v>在职</v>
      </c>
      <c r="P2060" s="24" t="str">
        <f>IF(AND(O2060="在职",J2060="是"),COUNTIF(O$2:O2060,"在职"),"")</f>
        <v/>
      </c>
    </row>
    <row r="2061" ht="18" spans="1:16">
      <c r="A2061" s="14">
        <f t="shared" si="37"/>
        <v>2060</v>
      </c>
      <c r="B2061" s="31">
        <v>46186</v>
      </c>
      <c r="C2061" s="32" t="s">
        <v>2132</v>
      </c>
      <c r="D2061" s="120" t="s">
        <v>477</v>
      </c>
      <c r="E2061" s="33" t="s">
        <v>42</v>
      </c>
      <c r="F2061" s="18" t="s">
        <v>63</v>
      </c>
      <c r="G2061" s="18" t="s">
        <v>148</v>
      </c>
      <c r="H2061" s="34" t="s">
        <v>85</v>
      </c>
      <c r="I2061" s="18" t="s">
        <v>111</v>
      </c>
      <c r="J2061" s="31" t="s">
        <v>105</v>
      </c>
      <c r="K2061" s="31"/>
      <c r="N2061" s="13" t="s">
        <v>29</v>
      </c>
      <c r="O2061" s="24" t="str">
        <f>IF(D2061="","",IF(COUNTIF(离职清单!C:C,D2061)&gt;0,"已离职","在职"))</f>
        <v>在职</v>
      </c>
      <c r="P2061" s="24" t="str">
        <f>IF(AND(O2061="在职",J2061="是"),COUNTIF(O$2:O2061,"在职"),"")</f>
        <v/>
      </c>
    </row>
    <row r="2062" ht="18" spans="1:16">
      <c r="A2062" s="10">
        <f t="shared" si="37"/>
        <v>2061</v>
      </c>
      <c r="B2062" s="31">
        <v>46186</v>
      </c>
      <c r="C2062" s="32" t="s">
        <v>2133</v>
      </c>
      <c r="D2062" s="120" t="s">
        <v>478</v>
      </c>
      <c r="E2062" s="33" t="s">
        <v>42</v>
      </c>
      <c r="F2062" s="18" t="s">
        <v>62</v>
      </c>
      <c r="G2062" s="18" t="s">
        <v>148</v>
      </c>
      <c r="H2062" s="34" t="s">
        <v>85</v>
      </c>
      <c r="I2062" s="18" t="s">
        <v>111</v>
      </c>
      <c r="J2062" s="31" t="s">
        <v>105</v>
      </c>
      <c r="K2062" s="31"/>
      <c r="N2062" s="13" t="s">
        <v>29</v>
      </c>
      <c r="O2062" s="24" t="str">
        <f>IF(D2062="","",IF(COUNTIF(离职清单!C:C,D2062)&gt;0,"已离职","在职"))</f>
        <v>在职</v>
      </c>
      <c r="P2062" s="24" t="str">
        <f>IF(AND(O2062="在职",J2062="是"),COUNTIF(O$2:O2062,"在职"),"")</f>
        <v/>
      </c>
    </row>
    <row r="2063" ht="18" spans="1:16">
      <c r="A2063" s="14">
        <f t="shared" si="37"/>
        <v>2062</v>
      </c>
      <c r="B2063" s="31">
        <v>46186</v>
      </c>
      <c r="C2063" s="32" t="s">
        <v>2134</v>
      </c>
      <c r="D2063" s="120" t="s">
        <v>480</v>
      </c>
      <c r="E2063" s="33" t="s">
        <v>42</v>
      </c>
      <c r="F2063" s="18" t="s">
        <v>63</v>
      </c>
      <c r="G2063" s="18" t="s">
        <v>1562</v>
      </c>
      <c r="H2063" s="34" t="s">
        <v>85</v>
      </c>
      <c r="I2063" s="18" t="s">
        <v>111</v>
      </c>
      <c r="J2063" s="31" t="s">
        <v>105</v>
      </c>
      <c r="K2063" s="31"/>
      <c r="N2063" s="13" t="s">
        <v>29</v>
      </c>
      <c r="O2063" s="24" t="str">
        <f>IF(D2063="","",IF(COUNTIF(离职清单!C:C,D2063)&gt;0,"已离职","在职"))</f>
        <v>在职</v>
      </c>
      <c r="P2063" s="24" t="str">
        <f>IF(AND(O2063="在职",J2063="是"),COUNTIF(O$2:O2063,"在职"),"")</f>
        <v/>
      </c>
    </row>
    <row r="2064" ht="18" spans="1:16">
      <c r="A2064" s="10">
        <f t="shared" si="37"/>
        <v>2063</v>
      </c>
      <c r="B2064" s="31">
        <v>46186</v>
      </c>
      <c r="C2064" s="32" t="s">
        <v>1502</v>
      </c>
      <c r="D2064" s="120" t="s">
        <v>482</v>
      </c>
      <c r="E2064" s="33" t="s">
        <v>42</v>
      </c>
      <c r="F2064" s="18" t="s">
        <v>63</v>
      </c>
      <c r="G2064" s="18" t="s">
        <v>578</v>
      </c>
      <c r="H2064" s="34" t="s">
        <v>85</v>
      </c>
      <c r="I2064" s="18" t="s">
        <v>111</v>
      </c>
      <c r="J2064" s="31" t="s">
        <v>105</v>
      </c>
      <c r="K2064" s="31"/>
      <c r="N2064" s="13" t="s">
        <v>29</v>
      </c>
      <c r="O2064" s="24" t="str">
        <f>IF(D2064="","",IF(COUNTIF(离职清单!C:C,D2064)&gt;0,"已离职","在职"))</f>
        <v>在职</v>
      </c>
      <c r="P2064" s="24" t="str">
        <f>IF(AND(O2064="在职",J2064="是"),COUNTIF(O$2:O2064,"在职"),"")</f>
        <v/>
      </c>
    </row>
    <row r="2065" ht="18" spans="1:16">
      <c r="A2065" s="14">
        <f t="shared" si="37"/>
        <v>2064</v>
      </c>
      <c r="B2065" s="31">
        <v>46186</v>
      </c>
      <c r="C2065" s="32" t="s">
        <v>2135</v>
      </c>
      <c r="D2065" s="120" t="s">
        <v>484</v>
      </c>
      <c r="E2065" s="33" t="s">
        <v>42</v>
      </c>
      <c r="F2065" s="18" t="s">
        <v>63</v>
      </c>
      <c r="G2065" s="18" t="s">
        <v>631</v>
      </c>
      <c r="H2065" s="34" t="s">
        <v>85</v>
      </c>
      <c r="I2065" s="18" t="s">
        <v>111</v>
      </c>
      <c r="J2065" s="31" t="s">
        <v>105</v>
      </c>
      <c r="K2065" s="31"/>
      <c r="N2065" s="13" t="s">
        <v>29</v>
      </c>
      <c r="O2065" s="24" t="str">
        <f>IF(D2065="","",IF(COUNTIF(离职清单!C:C,D2065)&gt;0,"已离职","在职"))</f>
        <v>在职</v>
      </c>
      <c r="P2065" s="24" t="str">
        <f>IF(AND(O2065="在职",J2065="是"),COUNTIF(O$2:O2065,"在职"),"")</f>
        <v/>
      </c>
    </row>
    <row r="2066" ht="18" spans="1:16">
      <c r="A2066" s="10">
        <f t="shared" si="37"/>
        <v>2065</v>
      </c>
      <c r="B2066" s="31">
        <v>46186</v>
      </c>
      <c r="C2066" s="32" t="s">
        <v>2136</v>
      </c>
      <c r="D2066" s="120" t="s">
        <v>486</v>
      </c>
      <c r="E2066" s="33" t="s">
        <v>73</v>
      </c>
      <c r="F2066" s="18" t="s">
        <v>63</v>
      </c>
      <c r="G2066" s="18" t="s">
        <v>129</v>
      </c>
      <c r="H2066" s="34" t="s">
        <v>85</v>
      </c>
      <c r="I2066" s="18" t="s">
        <v>111</v>
      </c>
      <c r="J2066" s="31" t="s">
        <v>105</v>
      </c>
      <c r="K2066" s="31"/>
      <c r="N2066" s="13" t="s">
        <v>29</v>
      </c>
      <c r="O2066" s="24" t="str">
        <f>IF(D2066="","",IF(COUNTIF(离职清单!C:C,D2066)&gt;0,"已离职","在职"))</f>
        <v>在职</v>
      </c>
      <c r="P2066" s="24" t="str">
        <f>IF(AND(O2066="在职",J2066="是"),COUNTIF(O$2:O2066,"在职"),"")</f>
        <v/>
      </c>
    </row>
    <row r="2067" ht="18" spans="1:16">
      <c r="A2067" s="14">
        <f t="shared" si="37"/>
        <v>2066</v>
      </c>
      <c r="B2067" s="31">
        <v>46186</v>
      </c>
      <c r="C2067" s="32" t="s">
        <v>2137</v>
      </c>
      <c r="D2067" s="120" t="s">
        <v>488</v>
      </c>
      <c r="E2067" s="33" t="s">
        <v>73</v>
      </c>
      <c r="F2067" s="18" t="s">
        <v>62</v>
      </c>
      <c r="G2067" s="18" t="s">
        <v>1056</v>
      </c>
      <c r="H2067" s="34" t="s">
        <v>85</v>
      </c>
      <c r="I2067" s="18" t="s">
        <v>111</v>
      </c>
      <c r="J2067" s="31" t="s">
        <v>105</v>
      </c>
      <c r="K2067" s="31"/>
      <c r="N2067" s="13" t="s">
        <v>29</v>
      </c>
      <c r="O2067" s="24" t="str">
        <f>IF(D2067="","",IF(COUNTIF(离职清单!C:C,D2067)&gt;0,"已离职","在职"))</f>
        <v>在职</v>
      </c>
      <c r="P2067" s="24" t="str">
        <f>IF(AND(O2067="在职",J2067="是"),COUNTIF(O$2:O2067,"在职"),"")</f>
        <v/>
      </c>
    </row>
    <row r="2068" ht="18" spans="1:16">
      <c r="A2068" s="10">
        <f t="shared" si="37"/>
        <v>2067</v>
      </c>
      <c r="B2068" s="31">
        <v>46186</v>
      </c>
      <c r="C2068" s="32" t="s">
        <v>2138</v>
      </c>
      <c r="D2068" s="120" t="s">
        <v>490</v>
      </c>
      <c r="E2068" s="33" t="s">
        <v>73</v>
      </c>
      <c r="F2068" s="18" t="s">
        <v>62</v>
      </c>
      <c r="G2068" s="18" t="s">
        <v>1056</v>
      </c>
      <c r="H2068" s="34" t="s">
        <v>85</v>
      </c>
      <c r="I2068" s="18" t="s">
        <v>111</v>
      </c>
      <c r="J2068" s="31" t="s">
        <v>105</v>
      </c>
      <c r="K2068" s="31"/>
      <c r="N2068" s="13" t="s">
        <v>29</v>
      </c>
      <c r="O2068" s="24" t="str">
        <f>IF(D2068="","",IF(COUNTIF(离职清单!C:C,D2068)&gt;0,"已离职","在职"))</f>
        <v>在职</v>
      </c>
      <c r="P2068" s="24" t="str">
        <f>IF(AND(O2068="在职",J2068="是"),COUNTIF(O$2:O2068,"在职"),"")</f>
        <v/>
      </c>
    </row>
    <row r="2069" ht="18" spans="1:16">
      <c r="A2069" s="14">
        <f t="shared" si="37"/>
        <v>2068</v>
      </c>
      <c r="B2069" s="31">
        <v>46186</v>
      </c>
      <c r="C2069" s="32" t="s">
        <v>2139</v>
      </c>
      <c r="D2069" s="120" t="s">
        <v>492</v>
      </c>
      <c r="E2069" s="33" t="s">
        <v>73</v>
      </c>
      <c r="F2069" s="18" t="s">
        <v>62</v>
      </c>
      <c r="G2069" s="18" t="s">
        <v>124</v>
      </c>
      <c r="H2069" s="34" t="s">
        <v>85</v>
      </c>
      <c r="I2069" s="18" t="s">
        <v>111</v>
      </c>
      <c r="J2069" s="31" t="s">
        <v>105</v>
      </c>
      <c r="K2069" s="31"/>
      <c r="N2069" s="13" t="s">
        <v>29</v>
      </c>
      <c r="O2069" s="24" t="str">
        <f>IF(D2069="","",IF(COUNTIF(离职清单!C:C,D2069)&gt;0,"已离职","在职"))</f>
        <v>在职</v>
      </c>
      <c r="P2069" s="24" t="str">
        <f>IF(AND(O2069="在职",J2069="是"),COUNTIF(O$2:O2069,"在职"),"")</f>
        <v/>
      </c>
    </row>
    <row r="2070" ht="18" spans="1:16">
      <c r="A2070" s="10">
        <f t="shared" si="37"/>
        <v>2069</v>
      </c>
      <c r="B2070" s="31">
        <v>46186</v>
      </c>
      <c r="C2070" s="32" t="s">
        <v>2140</v>
      </c>
      <c r="D2070" s="120" t="s">
        <v>477</v>
      </c>
      <c r="E2070" s="33" t="s">
        <v>73</v>
      </c>
      <c r="F2070" s="18" t="s">
        <v>63</v>
      </c>
      <c r="G2070" s="18" t="s">
        <v>148</v>
      </c>
      <c r="H2070" s="34" t="s">
        <v>85</v>
      </c>
      <c r="I2070" s="18" t="s">
        <v>111</v>
      </c>
      <c r="J2070" s="31" t="s">
        <v>105</v>
      </c>
      <c r="K2070" s="31"/>
      <c r="N2070" s="13" t="s">
        <v>29</v>
      </c>
      <c r="O2070" s="24" t="str">
        <f>IF(D2070="","",IF(COUNTIF(离职清单!C:C,D2070)&gt;0,"已离职","在职"))</f>
        <v>在职</v>
      </c>
      <c r="P2070" s="24" t="str">
        <f>IF(AND(O2070="在职",J2070="是"),COUNTIF(O$2:O2070,"在职"),"")</f>
        <v/>
      </c>
    </row>
    <row r="2071" ht="18" spans="1:16">
      <c r="A2071" s="14">
        <f t="shared" si="37"/>
        <v>2070</v>
      </c>
      <c r="B2071" s="31">
        <v>46187</v>
      </c>
      <c r="C2071" s="32" t="s">
        <v>2141</v>
      </c>
      <c r="D2071" s="120" t="s">
        <v>478</v>
      </c>
      <c r="E2071" s="33" t="s">
        <v>42</v>
      </c>
      <c r="F2071" s="18" t="s">
        <v>63</v>
      </c>
      <c r="G2071" s="18" t="s">
        <v>173</v>
      </c>
      <c r="H2071" s="34" t="s">
        <v>85</v>
      </c>
      <c r="I2071" s="18" t="s">
        <v>111</v>
      </c>
      <c r="J2071" s="31" t="s">
        <v>105</v>
      </c>
      <c r="K2071" s="31"/>
      <c r="N2071" s="13" t="s">
        <v>29</v>
      </c>
      <c r="O2071" s="24" t="str">
        <f>IF(D2071="","",IF(COUNTIF(离职清单!C:C,D2071)&gt;0,"已离职","在职"))</f>
        <v>在职</v>
      </c>
      <c r="P2071" s="24" t="str">
        <f>IF(AND(O2071="在职",J2071="是"),COUNTIF(O$2:O2071,"在职"),"")</f>
        <v/>
      </c>
    </row>
    <row r="2072" ht="18" spans="1:16">
      <c r="A2072" s="10">
        <f t="shared" si="37"/>
        <v>2071</v>
      </c>
      <c r="B2072" s="31">
        <v>46187</v>
      </c>
      <c r="C2072" s="32" t="s">
        <v>2142</v>
      </c>
      <c r="D2072" s="120" t="s">
        <v>480</v>
      </c>
      <c r="E2072" s="33" t="s">
        <v>42</v>
      </c>
      <c r="F2072" s="18" t="s">
        <v>63</v>
      </c>
      <c r="G2072" s="18" t="s">
        <v>1511</v>
      </c>
      <c r="H2072" s="34" t="s">
        <v>85</v>
      </c>
      <c r="I2072" s="18" t="s">
        <v>111</v>
      </c>
      <c r="J2072" s="31" t="s">
        <v>105</v>
      </c>
      <c r="K2072" s="31"/>
      <c r="N2072" s="13" t="s">
        <v>29</v>
      </c>
      <c r="O2072" s="24" t="str">
        <f>IF(D2072="","",IF(COUNTIF(离职清单!C:C,D2072)&gt;0,"已离职","在职"))</f>
        <v>在职</v>
      </c>
      <c r="P2072" s="24" t="str">
        <f>IF(AND(O2072="在职",J2072="是"),COUNTIF(O$2:O2072,"在职"),"")</f>
        <v/>
      </c>
    </row>
    <row r="2073" ht="18" spans="1:16">
      <c r="A2073" s="14">
        <f t="shared" si="37"/>
        <v>2072</v>
      </c>
      <c r="B2073" s="31">
        <v>46187</v>
      </c>
      <c r="C2073" s="32" t="s">
        <v>2143</v>
      </c>
      <c r="D2073" s="120" t="s">
        <v>482</v>
      </c>
      <c r="E2073" s="33" t="s">
        <v>42</v>
      </c>
      <c r="F2073" s="18" t="s">
        <v>62</v>
      </c>
      <c r="G2073" s="18" t="s">
        <v>129</v>
      </c>
      <c r="H2073" s="34" t="s">
        <v>85</v>
      </c>
      <c r="I2073" s="18" t="s">
        <v>111</v>
      </c>
      <c r="J2073" s="31" t="s">
        <v>105</v>
      </c>
      <c r="K2073" s="31"/>
      <c r="N2073" s="13" t="s">
        <v>29</v>
      </c>
      <c r="O2073" s="24" t="str">
        <f>IF(D2073="","",IF(COUNTIF(离职清单!C:C,D2073)&gt;0,"已离职","在职"))</f>
        <v>在职</v>
      </c>
      <c r="P2073" s="24" t="str">
        <f>IF(AND(O2073="在职",J2073="是"),COUNTIF(O$2:O2073,"在职"),"")</f>
        <v/>
      </c>
    </row>
    <row r="2074" ht="18" spans="1:16">
      <c r="A2074" s="10">
        <f t="shared" si="37"/>
        <v>2073</v>
      </c>
      <c r="B2074" s="31">
        <v>46187</v>
      </c>
      <c r="C2074" s="32" t="s">
        <v>2144</v>
      </c>
      <c r="D2074" s="120" t="s">
        <v>484</v>
      </c>
      <c r="E2074" s="33" t="s">
        <v>42</v>
      </c>
      <c r="F2074" s="18" t="s">
        <v>63</v>
      </c>
      <c r="G2074" s="18" t="s">
        <v>578</v>
      </c>
      <c r="H2074" s="34" t="s">
        <v>85</v>
      </c>
      <c r="I2074" s="18" t="s">
        <v>111</v>
      </c>
      <c r="J2074" s="31" t="s">
        <v>105</v>
      </c>
      <c r="K2074" s="31"/>
      <c r="N2074" s="13" t="s">
        <v>29</v>
      </c>
      <c r="O2074" s="24" t="str">
        <f>IF(D2074="","",IF(COUNTIF(离职清单!C:C,D2074)&gt;0,"已离职","在职"))</f>
        <v>在职</v>
      </c>
      <c r="P2074" s="24" t="str">
        <f>IF(AND(O2074="在职",J2074="是"),COUNTIF(O$2:O2074,"在职"),"")</f>
        <v/>
      </c>
    </row>
    <row r="2075" ht="18" spans="1:16">
      <c r="A2075" s="14">
        <f t="shared" si="37"/>
        <v>2074</v>
      </c>
      <c r="B2075" s="31">
        <v>46187</v>
      </c>
      <c r="C2075" s="32" t="s">
        <v>2145</v>
      </c>
      <c r="D2075" s="120" t="s">
        <v>486</v>
      </c>
      <c r="E2075" s="33" t="s">
        <v>42</v>
      </c>
      <c r="F2075" s="18" t="s">
        <v>63</v>
      </c>
      <c r="G2075" s="18" t="s">
        <v>631</v>
      </c>
      <c r="H2075" s="34" t="s">
        <v>85</v>
      </c>
      <c r="I2075" s="18" t="s">
        <v>111</v>
      </c>
      <c r="J2075" s="31" t="s">
        <v>105</v>
      </c>
      <c r="K2075" s="31"/>
      <c r="N2075" s="13" t="s">
        <v>29</v>
      </c>
      <c r="O2075" s="24" t="str">
        <f>IF(D2075="","",IF(COUNTIF(离职清单!C:C,D2075)&gt;0,"已离职","在职"))</f>
        <v>在职</v>
      </c>
      <c r="P2075" s="24" t="str">
        <f>IF(AND(O2075="在职",J2075="是"),COUNTIF(O$2:O2075,"在职"),"")</f>
        <v/>
      </c>
    </row>
    <row r="2076" ht="18" spans="1:16">
      <c r="A2076" s="10">
        <f t="shared" si="37"/>
        <v>2075</v>
      </c>
      <c r="B2076" s="31">
        <v>46187</v>
      </c>
      <c r="C2076" s="32" t="s">
        <v>2146</v>
      </c>
      <c r="D2076" s="120" t="s">
        <v>488</v>
      </c>
      <c r="E2076" s="33" t="s">
        <v>42</v>
      </c>
      <c r="F2076" s="18" t="s">
        <v>63</v>
      </c>
      <c r="G2076" s="18" t="s">
        <v>246</v>
      </c>
      <c r="H2076" s="34" t="s">
        <v>85</v>
      </c>
      <c r="I2076" s="18" t="s">
        <v>111</v>
      </c>
      <c r="J2076" s="31" t="s">
        <v>105</v>
      </c>
      <c r="K2076" s="31"/>
      <c r="N2076" s="13" t="s">
        <v>29</v>
      </c>
      <c r="O2076" s="24" t="str">
        <f>IF(D2076="","",IF(COUNTIF(离职清单!C:C,D2076)&gt;0,"已离职","在职"))</f>
        <v>在职</v>
      </c>
      <c r="P2076" s="24" t="str">
        <f>IF(AND(O2076="在职",J2076="是"),COUNTIF(O$2:O2076,"在职"),"")</f>
        <v/>
      </c>
    </row>
    <row r="2077" ht="18" spans="1:16">
      <c r="A2077" s="14">
        <f t="shared" si="37"/>
        <v>2076</v>
      </c>
      <c r="B2077" s="31">
        <v>46187</v>
      </c>
      <c r="C2077" s="32" t="s">
        <v>2147</v>
      </c>
      <c r="D2077" s="120" t="s">
        <v>490</v>
      </c>
      <c r="E2077" s="33" t="s">
        <v>73</v>
      </c>
      <c r="F2077" s="18" t="s">
        <v>63</v>
      </c>
      <c r="G2077" s="18" t="s">
        <v>1056</v>
      </c>
      <c r="H2077" s="34" t="s">
        <v>85</v>
      </c>
      <c r="I2077" s="18" t="s">
        <v>111</v>
      </c>
      <c r="J2077" s="31" t="s">
        <v>105</v>
      </c>
      <c r="K2077" s="31"/>
      <c r="N2077" s="13" t="s">
        <v>29</v>
      </c>
      <c r="O2077" s="24" t="str">
        <f>IF(D2077="","",IF(COUNTIF(离职清单!C:C,D2077)&gt;0,"已离职","在职"))</f>
        <v>在职</v>
      </c>
      <c r="P2077" s="24" t="str">
        <f>IF(AND(O2077="在职",J2077="是"),COUNTIF(O$2:O2077,"在职"),"")</f>
        <v/>
      </c>
    </row>
    <row r="2078" ht="18" spans="1:16">
      <c r="A2078" s="10">
        <f t="shared" si="37"/>
        <v>2077</v>
      </c>
      <c r="B2078" s="31">
        <v>46187</v>
      </c>
      <c r="C2078" s="32" t="s">
        <v>2148</v>
      </c>
      <c r="D2078" s="120" t="s">
        <v>492</v>
      </c>
      <c r="E2078" s="33" t="s">
        <v>73</v>
      </c>
      <c r="F2078" s="18" t="s">
        <v>63</v>
      </c>
      <c r="G2078" s="18" t="s">
        <v>129</v>
      </c>
      <c r="H2078" s="34" t="s">
        <v>85</v>
      </c>
      <c r="I2078" s="18" t="s">
        <v>111</v>
      </c>
      <c r="J2078" s="31" t="s">
        <v>105</v>
      </c>
      <c r="K2078" s="31"/>
      <c r="N2078" s="13" t="s">
        <v>29</v>
      </c>
      <c r="O2078" s="24" t="str">
        <f>IF(D2078="","",IF(COUNTIF(离职清单!C:C,D2078)&gt;0,"已离职","在职"))</f>
        <v>在职</v>
      </c>
      <c r="P2078" s="24" t="str">
        <f>IF(AND(O2078="在职",J2078="是"),COUNTIF(O$2:O2078,"在职"),"")</f>
        <v/>
      </c>
    </row>
    <row r="2079" ht="18" spans="1:16">
      <c r="A2079" s="14">
        <f t="shared" si="37"/>
        <v>2078</v>
      </c>
      <c r="B2079" s="31">
        <v>46187</v>
      </c>
      <c r="C2079" s="32" t="s">
        <v>2149</v>
      </c>
      <c r="D2079" s="120" t="s">
        <v>477</v>
      </c>
      <c r="E2079" s="33" t="s">
        <v>1659</v>
      </c>
      <c r="F2079" s="18" t="s">
        <v>2150</v>
      </c>
      <c r="G2079" s="18" t="s">
        <v>148</v>
      </c>
      <c r="H2079" s="34" t="s">
        <v>85</v>
      </c>
      <c r="I2079" s="18" t="s">
        <v>111</v>
      </c>
      <c r="J2079" s="31" t="s">
        <v>105</v>
      </c>
      <c r="K2079" s="31"/>
      <c r="N2079" s="13" t="s">
        <v>29</v>
      </c>
      <c r="O2079" s="24" t="str">
        <f>IF(D2079="","",IF(COUNTIF(离职清单!C:C,D2079)&gt;0,"已离职","在职"))</f>
        <v>在职</v>
      </c>
      <c r="P2079" s="24" t="str">
        <f>IF(AND(O2079="在职",J2079="是"),COUNTIF(O$2:O2079,"在职"),"")</f>
        <v/>
      </c>
    </row>
    <row r="2080" ht="18" spans="1:16">
      <c r="A2080" s="10">
        <f t="shared" si="37"/>
        <v>2079</v>
      </c>
      <c r="B2080" s="31">
        <v>46187</v>
      </c>
      <c r="C2080" s="32" t="s">
        <v>2151</v>
      </c>
      <c r="D2080" s="120" t="s">
        <v>478</v>
      </c>
      <c r="E2080" s="33" t="s">
        <v>43</v>
      </c>
      <c r="F2080" s="18" t="s">
        <v>63</v>
      </c>
      <c r="G2080" s="18" t="s">
        <v>179</v>
      </c>
      <c r="H2080" s="34" t="s">
        <v>85</v>
      </c>
      <c r="I2080" s="18" t="s">
        <v>111</v>
      </c>
      <c r="J2080" s="31" t="s">
        <v>105</v>
      </c>
      <c r="K2080" s="31"/>
      <c r="N2080" s="13" t="s">
        <v>29</v>
      </c>
      <c r="O2080" s="24" t="str">
        <f>IF(D2080="","",IF(COUNTIF(离职清单!C:C,D2080)&gt;0,"已离职","在职"))</f>
        <v>在职</v>
      </c>
      <c r="P2080" s="24" t="str">
        <f>IF(AND(O2080="在职",J2080="是"),COUNTIF(O$2:O2080,"在职"),"")</f>
        <v/>
      </c>
    </row>
    <row r="2081" ht="18" spans="1:16">
      <c r="A2081" s="14">
        <f t="shared" si="37"/>
        <v>2080</v>
      </c>
      <c r="B2081" s="31">
        <v>46174</v>
      </c>
      <c r="C2081" s="32" t="s">
        <v>2152</v>
      </c>
      <c r="D2081" s="120" t="s">
        <v>480</v>
      </c>
      <c r="E2081" s="33" t="s">
        <v>43</v>
      </c>
      <c r="F2081" s="18" t="s">
        <v>63</v>
      </c>
      <c r="G2081" s="18" t="s">
        <v>2153</v>
      </c>
      <c r="H2081" s="34" t="s">
        <v>85</v>
      </c>
      <c r="I2081" s="18" t="s">
        <v>2154</v>
      </c>
      <c r="J2081" s="31" t="s">
        <v>105</v>
      </c>
      <c r="K2081" s="31"/>
      <c r="N2081" s="13" t="s">
        <v>30</v>
      </c>
      <c r="O2081" s="24" t="str">
        <f>IF(D2081="","",IF(COUNTIF(离职清单!C:C,D2081)&gt;0,"已离职","在职"))</f>
        <v>在职</v>
      </c>
      <c r="P2081" s="24" t="str">
        <f>IF(AND(O2081="在职",J2081="是"),COUNTIF(O$2:O2081,"在职"),"")</f>
        <v/>
      </c>
    </row>
    <row r="2082" ht="18" spans="1:16">
      <c r="A2082" s="10">
        <f t="shared" si="37"/>
        <v>2081</v>
      </c>
      <c r="B2082" s="31">
        <v>46174</v>
      </c>
      <c r="C2082" s="32" t="s">
        <v>2155</v>
      </c>
      <c r="D2082" s="120" t="s">
        <v>482</v>
      </c>
      <c r="E2082" s="33" t="s">
        <v>43</v>
      </c>
      <c r="F2082" s="18" t="s">
        <v>62</v>
      </c>
      <c r="G2082" s="18" t="s">
        <v>2156</v>
      </c>
      <c r="H2082" s="34" t="s">
        <v>85</v>
      </c>
      <c r="I2082" s="18" t="s">
        <v>105</v>
      </c>
      <c r="J2082" s="31" t="s">
        <v>105</v>
      </c>
      <c r="K2082" s="31"/>
      <c r="N2082" s="13" t="s">
        <v>30</v>
      </c>
      <c r="O2082" s="24" t="str">
        <f>IF(D2082="","",IF(COUNTIF(离职清单!C:C,D2082)&gt;0,"已离职","在职"))</f>
        <v>在职</v>
      </c>
      <c r="P2082" s="24" t="str">
        <f>IF(AND(O2082="在职",J2082="是"),COUNTIF(O$2:O2082,"在职"),"")</f>
        <v/>
      </c>
    </row>
    <row r="2083" ht="18" spans="1:16">
      <c r="A2083" s="14">
        <f t="shared" si="37"/>
        <v>2082</v>
      </c>
      <c r="B2083" s="31">
        <v>46174</v>
      </c>
      <c r="C2083" s="32" t="s">
        <v>2157</v>
      </c>
      <c r="D2083" s="120" t="s">
        <v>484</v>
      </c>
      <c r="E2083" s="33" t="s">
        <v>43</v>
      </c>
      <c r="F2083" s="18" t="s">
        <v>62</v>
      </c>
      <c r="G2083" s="18" t="s">
        <v>179</v>
      </c>
      <c r="H2083" s="34" t="s">
        <v>85</v>
      </c>
      <c r="I2083" s="18" t="s">
        <v>2154</v>
      </c>
      <c r="J2083" s="31" t="s">
        <v>105</v>
      </c>
      <c r="K2083" s="31"/>
      <c r="N2083" s="13" t="s">
        <v>30</v>
      </c>
      <c r="O2083" s="24" t="str">
        <f>IF(D2083="","",IF(COUNTIF(离职清单!C:C,D2083)&gt;0,"已离职","在职"))</f>
        <v>在职</v>
      </c>
      <c r="P2083" s="24" t="str">
        <f>IF(AND(O2083="在职",J2083="是"),COUNTIF(O$2:O2083,"在职"),"")</f>
        <v/>
      </c>
    </row>
    <row r="2084" ht="18" spans="1:16">
      <c r="A2084" s="10">
        <f t="shared" si="37"/>
        <v>2083</v>
      </c>
      <c r="B2084" s="31">
        <v>46174</v>
      </c>
      <c r="C2084" s="32" t="s">
        <v>2158</v>
      </c>
      <c r="D2084" s="120" t="s">
        <v>486</v>
      </c>
      <c r="E2084" s="33" t="s">
        <v>43</v>
      </c>
      <c r="F2084" s="18" t="s">
        <v>62</v>
      </c>
      <c r="G2084" s="18" t="s">
        <v>179</v>
      </c>
      <c r="H2084" s="34" t="s">
        <v>85</v>
      </c>
      <c r="I2084" s="18" t="s">
        <v>2154</v>
      </c>
      <c r="J2084" s="31" t="s">
        <v>105</v>
      </c>
      <c r="K2084" s="31"/>
      <c r="N2084" s="13" t="s">
        <v>30</v>
      </c>
      <c r="O2084" s="24" t="str">
        <f>IF(D2084="","",IF(COUNTIF(离职清单!C:C,D2084)&gt;0,"已离职","在职"))</f>
        <v>在职</v>
      </c>
      <c r="P2084" s="24" t="str">
        <f>IF(AND(O2084="在职",J2084="是"),COUNTIF(O$2:O2084,"在职"),"")</f>
        <v/>
      </c>
    </row>
    <row r="2085" ht="18" spans="1:16">
      <c r="A2085" s="14">
        <f t="shared" si="37"/>
        <v>2084</v>
      </c>
      <c r="B2085" s="31">
        <v>46174</v>
      </c>
      <c r="C2085" s="32" t="s">
        <v>2159</v>
      </c>
      <c r="D2085" s="120" t="s">
        <v>488</v>
      </c>
      <c r="E2085" s="33" t="s">
        <v>43</v>
      </c>
      <c r="F2085" s="18" t="s">
        <v>63</v>
      </c>
      <c r="G2085" s="18" t="s">
        <v>148</v>
      </c>
      <c r="H2085" s="34" t="s">
        <v>85</v>
      </c>
      <c r="I2085" s="18" t="s">
        <v>114</v>
      </c>
      <c r="J2085" s="31" t="s">
        <v>114</v>
      </c>
      <c r="K2085" s="31">
        <v>46177</v>
      </c>
      <c r="N2085" s="13" t="s">
        <v>30</v>
      </c>
      <c r="O2085" s="24" t="str">
        <f>IF(D2085="","",IF(COUNTIF(离职清单!C:C,D2085)&gt;0,"已离职","在职"))</f>
        <v>在职</v>
      </c>
      <c r="P2085" s="24">
        <f>IF(AND(O2085="在职",J2085="是"),COUNTIF(O$2:O2085,"在职"),"")</f>
        <v>2078</v>
      </c>
    </row>
    <row r="2086" ht="18" spans="1:16">
      <c r="A2086" s="10">
        <f t="shared" si="37"/>
        <v>2085</v>
      </c>
      <c r="B2086" s="31">
        <v>46174</v>
      </c>
      <c r="C2086" s="32" t="s">
        <v>2160</v>
      </c>
      <c r="D2086" s="120" t="s">
        <v>490</v>
      </c>
      <c r="E2086" s="33" t="s">
        <v>43</v>
      </c>
      <c r="F2086" s="18" t="s">
        <v>64</v>
      </c>
      <c r="G2086" s="18" t="s">
        <v>148</v>
      </c>
      <c r="H2086" s="34" t="s">
        <v>85</v>
      </c>
      <c r="I2086" s="18" t="s">
        <v>2154</v>
      </c>
      <c r="J2086" s="31" t="s">
        <v>105</v>
      </c>
      <c r="K2086" s="31"/>
      <c r="N2086" s="13" t="s">
        <v>30</v>
      </c>
      <c r="O2086" s="24" t="str">
        <f>IF(D2086="","",IF(COUNTIF(离职清单!C:C,D2086)&gt;0,"已离职","在职"))</f>
        <v>在职</v>
      </c>
      <c r="P2086" s="24" t="str">
        <f>IF(AND(O2086="在职",J2086="是"),COUNTIF(O$2:O2086,"在职"),"")</f>
        <v/>
      </c>
    </row>
    <row r="2087" ht="18" spans="1:16">
      <c r="A2087" s="14">
        <f t="shared" si="37"/>
        <v>2086</v>
      </c>
      <c r="B2087" s="31">
        <v>46174</v>
      </c>
      <c r="C2087" s="32" t="s">
        <v>1103</v>
      </c>
      <c r="D2087" s="120" t="s">
        <v>492</v>
      </c>
      <c r="E2087" s="33" t="s">
        <v>43</v>
      </c>
      <c r="F2087" s="18" t="s">
        <v>62</v>
      </c>
      <c r="G2087" s="18" t="s">
        <v>124</v>
      </c>
      <c r="H2087" s="34" t="s">
        <v>85</v>
      </c>
      <c r="I2087" s="18" t="s">
        <v>2154</v>
      </c>
      <c r="J2087" s="31" t="s">
        <v>105</v>
      </c>
      <c r="K2087" s="31"/>
      <c r="N2087" s="13" t="s">
        <v>30</v>
      </c>
      <c r="O2087" s="24" t="str">
        <f>IF(D2087="","",IF(COUNTIF(离职清单!C:C,D2087)&gt;0,"已离职","在职"))</f>
        <v>在职</v>
      </c>
      <c r="P2087" s="24" t="str">
        <f>IF(AND(O2087="在职",J2087="是"),COUNTIF(O$2:O2087,"在职"),"")</f>
        <v/>
      </c>
    </row>
    <row r="2088" ht="18" spans="1:16">
      <c r="A2088" s="10">
        <f t="shared" si="37"/>
        <v>2087</v>
      </c>
      <c r="B2088" s="31">
        <v>46174</v>
      </c>
      <c r="C2088" s="32" t="s">
        <v>454</v>
      </c>
      <c r="D2088" s="120" t="s">
        <v>477</v>
      </c>
      <c r="E2088" s="33" t="s">
        <v>43</v>
      </c>
      <c r="F2088" s="18" t="s">
        <v>64</v>
      </c>
      <c r="G2088" s="18" t="s">
        <v>124</v>
      </c>
      <c r="H2088" s="34" t="s">
        <v>85</v>
      </c>
      <c r="I2088" s="18" t="s">
        <v>2154</v>
      </c>
      <c r="J2088" s="31" t="s">
        <v>105</v>
      </c>
      <c r="K2088" s="31"/>
      <c r="N2088" s="13" t="s">
        <v>30</v>
      </c>
      <c r="O2088" s="24" t="str">
        <f>IF(D2088="","",IF(COUNTIF(离职清单!C:C,D2088)&gt;0,"已离职","在职"))</f>
        <v>在职</v>
      </c>
      <c r="P2088" s="24" t="str">
        <f>IF(AND(O2088="在职",J2088="是"),COUNTIF(O$2:O2088,"在职"),"")</f>
        <v/>
      </c>
    </row>
    <row r="2089" ht="18" spans="1:16">
      <c r="A2089" s="14">
        <f t="shared" si="37"/>
        <v>2088</v>
      </c>
      <c r="B2089" s="31">
        <v>46174</v>
      </c>
      <c r="C2089" s="32" t="s">
        <v>2161</v>
      </c>
      <c r="D2089" s="120" t="s">
        <v>478</v>
      </c>
      <c r="E2089" s="33" t="s">
        <v>43</v>
      </c>
      <c r="F2089" s="18" t="s">
        <v>64</v>
      </c>
      <c r="G2089" s="18" t="s">
        <v>124</v>
      </c>
      <c r="H2089" s="34" t="s">
        <v>85</v>
      </c>
      <c r="I2089" s="18" t="s">
        <v>105</v>
      </c>
      <c r="J2089" s="31" t="s">
        <v>105</v>
      </c>
      <c r="K2089" s="31"/>
      <c r="N2089" s="13" t="s">
        <v>30</v>
      </c>
      <c r="O2089" s="24" t="str">
        <f>IF(D2089="","",IF(COUNTIF(离职清单!C:C,D2089)&gt;0,"已离职","在职"))</f>
        <v>在职</v>
      </c>
      <c r="P2089" s="24" t="str">
        <f>IF(AND(O2089="在职",J2089="是"),COUNTIF(O$2:O2089,"在职"),"")</f>
        <v/>
      </c>
    </row>
    <row r="2090" ht="18" spans="1:16">
      <c r="A2090" s="10">
        <f t="shared" si="37"/>
        <v>2089</v>
      </c>
      <c r="B2090" s="31">
        <v>46174</v>
      </c>
      <c r="C2090" s="32" t="s">
        <v>1668</v>
      </c>
      <c r="D2090" s="120" t="s">
        <v>480</v>
      </c>
      <c r="E2090" s="33" t="s">
        <v>43</v>
      </c>
      <c r="F2090" s="18" t="s">
        <v>62</v>
      </c>
      <c r="G2090" s="18" t="s">
        <v>124</v>
      </c>
      <c r="H2090" s="34" t="s">
        <v>85</v>
      </c>
      <c r="I2090" s="18" t="s">
        <v>2154</v>
      </c>
      <c r="J2090" s="31" t="s">
        <v>105</v>
      </c>
      <c r="K2090" s="31"/>
      <c r="N2090" s="13" t="s">
        <v>30</v>
      </c>
      <c r="O2090" s="24" t="str">
        <f>IF(D2090="","",IF(COUNTIF(离职清单!C:C,D2090)&gt;0,"已离职","在职"))</f>
        <v>在职</v>
      </c>
      <c r="P2090" s="24" t="str">
        <f>IF(AND(O2090="在职",J2090="是"),COUNTIF(O$2:O2090,"在职"),"")</f>
        <v/>
      </c>
    </row>
    <row r="2091" ht="18" spans="1:16">
      <c r="A2091" s="14">
        <f t="shared" si="37"/>
        <v>2090</v>
      </c>
      <c r="B2091" s="31">
        <v>46174</v>
      </c>
      <c r="C2091" s="32" t="s">
        <v>2162</v>
      </c>
      <c r="D2091" s="120" t="s">
        <v>482</v>
      </c>
      <c r="E2091" s="33" t="s">
        <v>43</v>
      </c>
      <c r="F2091" s="18" t="s">
        <v>63</v>
      </c>
      <c r="G2091" s="18" t="s">
        <v>2153</v>
      </c>
      <c r="H2091" s="34" t="s">
        <v>85</v>
      </c>
      <c r="I2091" s="18" t="s">
        <v>105</v>
      </c>
      <c r="J2091" s="31" t="s">
        <v>105</v>
      </c>
      <c r="K2091" s="31"/>
      <c r="N2091" s="13" t="s">
        <v>30</v>
      </c>
      <c r="O2091" s="24" t="str">
        <f>IF(D2091="","",IF(COUNTIF(离职清单!C:C,D2091)&gt;0,"已离职","在职"))</f>
        <v>在职</v>
      </c>
      <c r="P2091" s="24" t="str">
        <f>IF(AND(O2091="在职",J2091="是"),COUNTIF(O$2:O2091,"在职"),"")</f>
        <v/>
      </c>
    </row>
    <row r="2092" ht="18" spans="1:16">
      <c r="A2092" s="10">
        <f t="shared" ref="A2092:A2155" si="38">IF(B2092&lt;&gt;"",ROW()-1,"")</f>
        <v>2091</v>
      </c>
      <c r="B2092" s="31">
        <v>46174</v>
      </c>
      <c r="C2092" s="32" t="s">
        <v>2163</v>
      </c>
      <c r="D2092" s="120" t="s">
        <v>484</v>
      </c>
      <c r="E2092" s="33" t="s">
        <v>42</v>
      </c>
      <c r="F2092" s="18" t="s">
        <v>62</v>
      </c>
      <c r="G2092" s="18" t="s">
        <v>2164</v>
      </c>
      <c r="H2092" s="34" t="s">
        <v>86</v>
      </c>
      <c r="I2092" s="18" t="s">
        <v>114</v>
      </c>
      <c r="J2092" s="31" t="s">
        <v>114</v>
      </c>
      <c r="K2092" s="31">
        <v>46174</v>
      </c>
      <c r="N2092" s="13" t="s">
        <v>30</v>
      </c>
      <c r="O2092" s="24" t="str">
        <f>IF(D2092="","",IF(COUNTIF(离职清单!C:C,D2092)&gt;0,"已离职","在职"))</f>
        <v>在职</v>
      </c>
      <c r="P2092" s="24">
        <f>IF(AND(O2092="在职",J2092="是"),COUNTIF(O$2:O2092,"在职"),"")</f>
        <v>2085</v>
      </c>
    </row>
    <row r="2093" ht="18" spans="1:16">
      <c r="A2093" s="14">
        <f t="shared" si="38"/>
        <v>2092</v>
      </c>
      <c r="B2093" s="31">
        <v>46174</v>
      </c>
      <c r="C2093" s="32" t="s">
        <v>2165</v>
      </c>
      <c r="D2093" s="120" t="s">
        <v>486</v>
      </c>
      <c r="E2093" s="33" t="s">
        <v>42</v>
      </c>
      <c r="F2093" s="18" t="s">
        <v>62</v>
      </c>
      <c r="G2093" s="18" t="s">
        <v>2166</v>
      </c>
      <c r="H2093" s="34" t="s">
        <v>86</v>
      </c>
      <c r="I2093" s="18" t="s">
        <v>114</v>
      </c>
      <c r="J2093" s="31" t="s">
        <v>114</v>
      </c>
      <c r="K2093" s="31">
        <v>46174</v>
      </c>
      <c r="N2093" s="13" t="s">
        <v>30</v>
      </c>
      <c r="O2093" s="24" t="str">
        <f>IF(D2093="","",IF(COUNTIF(离职清单!C:C,D2093)&gt;0,"已离职","在职"))</f>
        <v>在职</v>
      </c>
      <c r="P2093" s="24">
        <f>IF(AND(O2093="在职",J2093="是"),COUNTIF(O$2:O2093,"在职"),"")</f>
        <v>2086</v>
      </c>
    </row>
    <row r="2094" ht="18" spans="1:16">
      <c r="A2094" s="10">
        <f t="shared" si="38"/>
        <v>2093</v>
      </c>
      <c r="B2094" s="31">
        <v>46174</v>
      </c>
      <c r="C2094" s="32" t="s">
        <v>2167</v>
      </c>
      <c r="D2094" s="120" t="s">
        <v>488</v>
      </c>
      <c r="E2094" s="33" t="s">
        <v>42</v>
      </c>
      <c r="F2094" s="18" t="s">
        <v>62</v>
      </c>
      <c r="G2094" s="18" t="s">
        <v>2166</v>
      </c>
      <c r="H2094" s="34" t="s">
        <v>86</v>
      </c>
      <c r="I2094" s="18" t="s">
        <v>114</v>
      </c>
      <c r="J2094" s="31" t="s">
        <v>114</v>
      </c>
      <c r="K2094" s="31">
        <v>46174</v>
      </c>
      <c r="N2094" s="13" t="s">
        <v>30</v>
      </c>
      <c r="O2094" s="24" t="str">
        <f>IF(D2094="","",IF(COUNTIF(离职清单!C:C,D2094)&gt;0,"已离职","在职"))</f>
        <v>在职</v>
      </c>
      <c r="P2094" s="24">
        <f>IF(AND(O2094="在职",J2094="是"),COUNTIF(O$2:O2094,"在职"),"")</f>
        <v>2087</v>
      </c>
    </row>
    <row r="2095" ht="18" spans="1:16">
      <c r="A2095" s="14">
        <f t="shared" si="38"/>
        <v>2094</v>
      </c>
      <c r="B2095" s="31">
        <v>46174</v>
      </c>
      <c r="C2095" s="32" t="s">
        <v>2168</v>
      </c>
      <c r="D2095" s="120" t="s">
        <v>490</v>
      </c>
      <c r="E2095" s="33" t="s">
        <v>42</v>
      </c>
      <c r="F2095" s="18" t="s">
        <v>63</v>
      </c>
      <c r="G2095" s="18" t="s">
        <v>2166</v>
      </c>
      <c r="H2095" s="34" t="s">
        <v>86</v>
      </c>
      <c r="I2095" s="18" t="s">
        <v>114</v>
      </c>
      <c r="J2095" s="31" t="s">
        <v>114</v>
      </c>
      <c r="K2095" s="31">
        <v>46177</v>
      </c>
      <c r="N2095" s="13" t="s">
        <v>30</v>
      </c>
      <c r="O2095" s="24" t="str">
        <f>IF(D2095="","",IF(COUNTIF(离职清单!C:C,D2095)&gt;0,"已离职","在职"))</f>
        <v>在职</v>
      </c>
      <c r="P2095" s="24">
        <f>IF(AND(O2095="在职",J2095="是"),COUNTIF(O$2:O2095,"在职"),"")</f>
        <v>2088</v>
      </c>
    </row>
    <row r="2096" ht="18" spans="1:16">
      <c r="A2096" s="10">
        <f t="shared" si="38"/>
        <v>2095</v>
      </c>
      <c r="B2096" s="31">
        <v>46174</v>
      </c>
      <c r="C2096" s="32" t="s">
        <v>2169</v>
      </c>
      <c r="D2096" s="120" t="s">
        <v>492</v>
      </c>
      <c r="E2096" s="33" t="s">
        <v>42</v>
      </c>
      <c r="F2096" s="18" t="s">
        <v>63</v>
      </c>
      <c r="G2096" s="18" t="s">
        <v>2166</v>
      </c>
      <c r="H2096" s="34" t="s">
        <v>86</v>
      </c>
      <c r="I2096" s="18" t="s">
        <v>114</v>
      </c>
      <c r="J2096" s="31" t="s">
        <v>114</v>
      </c>
      <c r="K2096" s="31">
        <v>46177</v>
      </c>
      <c r="N2096" s="13" t="s">
        <v>30</v>
      </c>
      <c r="O2096" s="24" t="str">
        <f>IF(D2096="","",IF(COUNTIF(离职清单!C:C,D2096)&gt;0,"已离职","在职"))</f>
        <v>在职</v>
      </c>
      <c r="P2096" s="24">
        <f>IF(AND(O2096="在职",J2096="是"),COUNTIF(O$2:O2096,"在职"),"")</f>
        <v>2089</v>
      </c>
    </row>
    <row r="2097" ht="18" spans="1:16">
      <c r="A2097" s="14">
        <f t="shared" si="38"/>
        <v>2096</v>
      </c>
      <c r="B2097" s="31">
        <v>46174</v>
      </c>
      <c r="C2097" s="32" t="s">
        <v>1510</v>
      </c>
      <c r="D2097" s="120" t="s">
        <v>477</v>
      </c>
      <c r="E2097" s="33" t="s">
        <v>42</v>
      </c>
      <c r="F2097" s="18" t="s">
        <v>63</v>
      </c>
      <c r="G2097" s="18" t="s">
        <v>2166</v>
      </c>
      <c r="H2097" s="34" t="s">
        <v>86</v>
      </c>
      <c r="I2097" s="18" t="s">
        <v>2154</v>
      </c>
      <c r="J2097" s="31" t="s">
        <v>105</v>
      </c>
      <c r="K2097" s="31"/>
      <c r="N2097" s="13" t="s">
        <v>30</v>
      </c>
      <c r="O2097" s="24" t="str">
        <f>IF(D2097="","",IF(COUNTIF(离职清单!C:C,D2097)&gt;0,"已离职","在职"))</f>
        <v>在职</v>
      </c>
      <c r="P2097" s="24" t="str">
        <f>IF(AND(O2097="在职",J2097="是"),COUNTIF(O$2:O2097,"在职"),"")</f>
        <v/>
      </c>
    </row>
    <row r="2098" ht="18" spans="1:16">
      <c r="A2098" s="10">
        <f t="shared" si="38"/>
        <v>2097</v>
      </c>
      <c r="B2098" s="31">
        <v>46174</v>
      </c>
      <c r="C2098" s="32" t="s">
        <v>2170</v>
      </c>
      <c r="D2098" s="120" t="s">
        <v>478</v>
      </c>
      <c r="E2098" s="33" t="s">
        <v>42</v>
      </c>
      <c r="F2098" s="18" t="s">
        <v>63</v>
      </c>
      <c r="G2098" s="18" t="s">
        <v>2166</v>
      </c>
      <c r="H2098" s="34" t="s">
        <v>86</v>
      </c>
      <c r="I2098" s="18" t="s">
        <v>114</v>
      </c>
      <c r="J2098" s="31" t="s">
        <v>105</v>
      </c>
      <c r="K2098" s="31"/>
      <c r="N2098" s="13" t="s">
        <v>30</v>
      </c>
      <c r="O2098" s="24" t="str">
        <f>IF(D2098="","",IF(COUNTIF(离职清单!C:C,D2098)&gt;0,"已离职","在职"))</f>
        <v>在职</v>
      </c>
      <c r="P2098" s="24" t="str">
        <f>IF(AND(O2098="在职",J2098="是"),COUNTIF(O$2:O2098,"在职"),"")</f>
        <v/>
      </c>
    </row>
    <row r="2099" ht="18" spans="1:16">
      <c r="A2099" s="14">
        <f t="shared" si="38"/>
        <v>2098</v>
      </c>
      <c r="B2099" s="31">
        <v>46174</v>
      </c>
      <c r="C2099" s="32" t="s">
        <v>2171</v>
      </c>
      <c r="D2099" s="120" t="s">
        <v>480</v>
      </c>
      <c r="E2099" s="33" t="s">
        <v>42</v>
      </c>
      <c r="F2099" s="18" t="s">
        <v>63</v>
      </c>
      <c r="G2099" s="18" t="s">
        <v>2166</v>
      </c>
      <c r="H2099" s="34" t="s">
        <v>86</v>
      </c>
      <c r="I2099" s="18" t="s">
        <v>105</v>
      </c>
      <c r="J2099" s="31" t="s">
        <v>105</v>
      </c>
      <c r="K2099" s="31"/>
      <c r="N2099" s="13" t="s">
        <v>30</v>
      </c>
      <c r="O2099" s="24" t="str">
        <f>IF(D2099="","",IF(COUNTIF(离职清单!C:C,D2099)&gt;0,"已离职","在职"))</f>
        <v>在职</v>
      </c>
      <c r="P2099" s="24" t="str">
        <f>IF(AND(O2099="在职",J2099="是"),COUNTIF(O$2:O2099,"在职"),"")</f>
        <v/>
      </c>
    </row>
    <row r="2100" ht="18" spans="1:16">
      <c r="A2100" s="10">
        <f t="shared" si="38"/>
        <v>2099</v>
      </c>
      <c r="B2100" s="31">
        <v>46174</v>
      </c>
      <c r="C2100" s="32" t="s">
        <v>2172</v>
      </c>
      <c r="D2100" s="120" t="s">
        <v>482</v>
      </c>
      <c r="E2100" s="33" t="s">
        <v>42</v>
      </c>
      <c r="F2100" s="18" t="s">
        <v>63</v>
      </c>
      <c r="G2100" s="18" t="s">
        <v>2166</v>
      </c>
      <c r="H2100" s="34" t="s">
        <v>86</v>
      </c>
      <c r="I2100" s="18" t="s">
        <v>114</v>
      </c>
      <c r="J2100" s="31" t="s">
        <v>114</v>
      </c>
      <c r="K2100" s="31">
        <v>46175</v>
      </c>
      <c r="N2100" s="13" t="s">
        <v>30</v>
      </c>
      <c r="O2100" s="24" t="str">
        <f>IF(D2100="","",IF(COUNTIF(离职清单!C:C,D2100)&gt;0,"已离职","在职"))</f>
        <v>在职</v>
      </c>
      <c r="P2100" s="24">
        <f>IF(AND(O2100="在职",J2100="是"),COUNTIF(O$2:O2100,"在职"),"")</f>
        <v>2093</v>
      </c>
    </row>
    <row r="2101" ht="18" spans="1:16">
      <c r="A2101" s="14">
        <f t="shared" si="38"/>
        <v>2100</v>
      </c>
      <c r="B2101" s="31">
        <v>46174</v>
      </c>
      <c r="C2101" s="32" t="s">
        <v>2173</v>
      </c>
      <c r="D2101" s="120" t="s">
        <v>484</v>
      </c>
      <c r="E2101" s="33" t="s">
        <v>42</v>
      </c>
      <c r="F2101" s="18" t="s">
        <v>63</v>
      </c>
      <c r="G2101" s="18" t="s">
        <v>2174</v>
      </c>
      <c r="H2101" s="34" t="s">
        <v>86</v>
      </c>
      <c r="I2101" s="18" t="s">
        <v>2154</v>
      </c>
      <c r="J2101" s="31" t="s">
        <v>105</v>
      </c>
      <c r="K2101" s="31"/>
      <c r="N2101" s="13" t="s">
        <v>30</v>
      </c>
      <c r="O2101" s="24" t="str">
        <f>IF(D2101="","",IF(COUNTIF(离职清单!C:C,D2101)&gt;0,"已离职","在职"))</f>
        <v>在职</v>
      </c>
      <c r="P2101" s="24" t="str">
        <f>IF(AND(O2101="在职",J2101="是"),COUNTIF(O$2:O2101,"在职"),"")</f>
        <v/>
      </c>
    </row>
    <row r="2102" ht="18" spans="1:16">
      <c r="A2102" s="10">
        <f t="shared" si="38"/>
        <v>2101</v>
      </c>
      <c r="B2102" s="31">
        <v>46174</v>
      </c>
      <c r="C2102" s="32" t="s">
        <v>2175</v>
      </c>
      <c r="D2102" s="120" t="s">
        <v>486</v>
      </c>
      <c r="E2102" s="33" t="s">
        <v>42</v>
      </c>
      <c r="F2102" s="18" t="s">
        <v>63</v>
      </c>
      <c r="G2102" s="18" t="s">
        <v>2174</v>
      </c>
      <c r="H2102" s="34" t="s">
        <v>86</v>
      </c>
      <c r="I2102" s="18" t="s">
        <v>2154</v>
      </c>
      <c r="J2102" s="31" t="s">
        <v>105</v>
      </c>
      <c r="K2102" s="31"/>
      <c r="N2102" s="13" t="s">
        <v>30</v>
      </c>
      <c r="O2102" s="24" t="str">
        <f>IF(D2102="","",IF(COUNTIF(离职清单!C:C,D2102)&gt;0,"已离职","在职"))</f>
        <v>在职</v>
      </c>
      <c r="P2102" s="24" t="str">
        <f>IF(AND(O2102="在职",J2102="是"),COUNTIF(O$2:O2102,"在职"),"")</f>
        <v/>
      </c>
    </row>
    <row r="2103" ht="18" spans="1:16">
      <c r="A2103" s="14">
        <f t="shared" si="38"/>
        <v>2102</v>
      </c>
      <c r="B2103" s="31">
        <v>46174</v>
      </c>
      <c r="C2103" s="32" t="s">
        <v>2176</v>
      </c>
      <c r="D2103" s="120" t="s">
        <v>488</v>
      </c>
      <c r="E2103" s="33" t="s">
        <v>42</v>
      </c>
      <c r="F2103" s="18" t="s">
        <v>63</v>
      </c>
      <c r="G2103" s="18" t="s">
        <v>124</v>
      </c>
      <c r="H2103" s="34" t="s">
        <v>86</v>
      </c>
      <c r="I2103" s="18" t="s">
        <v>114</v>
      </c>
      <c r="J2103" s="31" t="s">
        <v>114</v>
      </c>
      <c r="K2103" s="31">
        <v>46174</v>
      </c>
      <c r="N2103" s="13" t="s">
        <v>30</v>
      </c>
      <c r="O2103" s="24" t="str">
        <f>IF(D2103="","",IF(COUNTIF(离职清单!C:C,D2103)&gt;0,"已离职","在职"))</f>
        <v>在职</v>
      </c>
      <c r="P2103" s="24">
        <f>IF(AND(O2103="在职",J2103="是"),COUNTIF(O$2:O2103,"在职"),"")</f>
        <v>2096</v>
      </c>
    </row>
    <row r="2104" ht="18" spans="1:16">
      <c r="A2104" s="10">
        <f t="shared" si="38"/>
        <v>2103</v>
      </c>
      <c r="B2104" s="31">
        <v>46174</v>
      </c>
      <c r="C2104" s="32" t="s">
        <v>2177</v>
      </c>
      <c r="D2104" s="120" t="s">
        <v>490</v>
      </c>
      <c r="E2104" s="33" t="s">
        <v>42</v>
      </c>
      <c r="F2104" s="18" t="s">
        <v>63</v>
      </c>
      <c r="G2104" s="18" t="s">
        <v>148</v>
      </c>
      <c r="H2104" s="34" t="s">
        <v>86</v>
      </c>
      <c r="I2104" s="18" t="s">
        <v>114</v>
      </c>
      <c r="J2104" s="31" t="s">
        <v>114</v>
      </c>
      <c r="K2104" s="31">
        <v>46174</v>
      </c>
      <c r="N2104" s="13" t="s">
        <v>30</v>
      </c>
      <c r="O2104" s="24" t="str">
        <f>IF(D2104="","",IF(COUNTIF(离职清单!C:C,D2104)&gt;0,"已离职","在职"))</f>
        <v>在职</v>
      </c>
      <c r="P2104" s="24">
        <f>IF(AND(O2104="在职",J2104="是"),COUNTIF(O$2:O2104,"在职"),"")</f>
        <v>2097</v>
      </c>
    </row>
    <row r="2105" ht="18" spans="1:16">
      <c r="A2105" s="14">
        <f t="shared" si="38"/>
        <v>2104</v>
      </c>
      <c r="B2105" s="31">
        <v>46174</v>
      </c>
      <c r="C2105" s="32" t="s">
        <v>2178</v>
      </c>
      <c r="D2105" s="120" t="s">
        <v>492</v>
      </c>
      <c r="E2105" s="33" t="s">
        <v>43</v>
      </c>
      <c r="F2105" s="18" t="s">
        <v>63</v>
      </c>
      <c r="G2105" s="18" t="s">
        <v>2179</v>
      </c>
      <c r="H2105" s="34" t="s">
        <v>85</v>
      </c>
      <c r="I2105" s="18" t="s">
        <v>2154</v>
      </c>
      <c r="J2105" s="31" t="s">
        <v>105</v>
      </c>
      <c r="K2105" s="31"/>
      <c r="N2105" s="13" t="s">
        <v>30</v>
      </c>
      <c r="O2105" s="24" t="str">
        <f>IF(D2105="","",IF(COUNTIF(离职清单!C:C,D2105)&gt;0,"已离职","在职"))</f>
        <v>在职</v>
      </c>
      <c r="P2105" s="24" t="str">
        <f>IF(AND(O2105="在职",J2105="是"),COUNTIF(O$2:O2105,"在职"),"")</f>
        <v/>
      </c>
    </row>
    <row r="2106" ht="18" spans="1:16">
      <c r="A2106" s="10">
        <f t="shared" si="38"/>
        <v>2105</v>
      </c>
      <c r="B2106" s="31">
        <v>46174</v>
      </c>
      <c r="C2106" s="32" t="s">
        <v>2180</v>
      </c>
      <c r="D2106" s="120" t="s">
        <v>477</v>
      </c>
      <c r="E2106" s="33" t="s">
        <v>43</v>
      </c>
      <c r="F2106" s="18" t="s">
        <v>62</v>
      </c>
      <c r="G2106" s="18" t="s">
        <v>2181</v>
      </c>
      <c r="H2106" s="34" t="s">
        <v>85</v>
      </c>
      <c r="I2106" s="18" t="s">
        <v>105</v>
      </c>
      <c r="J2106" s="31" t="s">
        <v>105</v>
      </c>
      <c r="K2106" s="31"/>
      <c r="N2106" s="13" t="s">
        <v>30</v>
      </c>
      <c r="O2106" s="24" t="str">
        <f>IF(D2106="","",IF(COUNTIF(离职清单!C:C,D2106)&gt;0,"已离职","在职"))</f>
        <v>在职</v>
      </c>
      <c r="P2106" s="24" t="str">
        <f>IF(AND(O2106="在职",J2106="是"),COUNTIF(O$2:O2106,"在职"),"")</f>
        <v/>
      </c>
    </row>
    <row r="2107" ht="18" spans="1:16">
      <c r="A2107" s="14">
        <f t="shared" si="38"/>
        <v>2106</v>
      </c>
      <c r="B2107" s="31">
        <v>46174</v>
      </c>
      <c r="C2107" s="32" t="s">
        <v>2182</v>
      </c>
      <c r="D2107" s="120" t="s">
        <v>477</v>
      </c>
      <c r="E2107" s="33" t="s">
        <v>43</v>
      </c>
      <c r="F2107" s="18" t="s">
        <v>63</v>
      </c>
      <c r="G2107" s="18" t="s">
        <v>2174</v>
      </c>
      <c r="H2107" s="34" t="s">
        <v>85</v>
      </c>
      <c r="I2107" s="18" t="s">
        <v>105</v>
      </c>
      <c r="J2107" s="31" t="s">
        <v>105</v>
      </c>
      <c r="K2107" s="31"/>
      <c r="N2107" s="13" t="s">
        <v>30</v>
      </c>
      <c r="O2107" s="24" t="str">
        <f>IF(D2107="","",IF(COUNTIF(离职清单!C:C,D2107)&gt;0,"已离职","在职"))</f>
        <v>在职</v>
      </c>
      <c r="P2107" s="24" t="str">
        <f>IF(AND(O2107="在职",J2107="是"),COUNTIF(O$2:O2107,"在职"),"")</f>
        <v/>
      </c>
    </row>
    <row r="2108" ht="18" spans="1:16">
      <c r="A2108" s="10">
        <f t="shared" si="38"/>
        <v>2107</v>
      </c>
      <c r="B2108" s="31">
        <v>46174</v>
      </c>
      <c r="C2108" s="32" t="s">
        <v>2183</v>
      </c>
      <c r="D2108" s="120" t="s">
        <v>478</v>
      </c>
      <c r="E2108" s="33" t="s">
        <v>43</v>
      </c>
      <c r="F2108" s="18" t="s">
        <v>63</v>
      </c>
      <c r="G2108" s="18" t="s">
        <v>129</v>
      </c>
      <c r="H2108" s="34" t="s">
        <v>85</v>
      </c>
      <c r="I2108" s="18" t="s">
        <v>2154</v>
      </c>
      <c r="J2108" s="31" t="s">
        <v>105</v>
      </c>
      <c r="K2108" s="31"/>
      <c r="N2108" s="13" t="s">
        <v>30</v>
      </c>
      <c r="O2108" s="24" t="str">
        <f>IF(D2108="","",IF(COUNTIF(离职清单!C:C,D2108)&gt;0,"已离职","在职"))</f>
        <v>在职</v>
      </c>
      <c r="P2108" s="24" t="str">
        <f>IF(AND(O2108="在职",J2108="是"),COUNTIF(O$2:O2108,"在职"),"")</f>
        <v/>
      </c>
    </row>
    <row r="2109" ht="18" spans="1:16">
      <c r="A2109" s="14">
        <f t="shared" si="38"/>
        <v>2108</v>
      </c>
      <c r="B2109" s="31">
        <v>46174</v>
      </c>
      <c r="C2109" s="32" t="s">
        <v>2184</v>
      </c>
      <c r="D2109" s="120" t="s">
        <v>480</v>
      </c>
      <c r="E2109" s="33" t="s">
        <v>43</v>
      </c>
      <c r="F2109" s="18" t="s">
        <v>62</v>
      </c>
      <c r="G2109" s="18" t="s">
        <v>129</v>
      </c>
      <c r="H2109" s="34" t="s">
        <v>85</v>
      </c>
      <c r="I2109" s="18" t="s">
        <v>114</v>
      </c>
      <c r="J2109" s="31" t="s">
        <v>105</v>
      </c>
      <c r="K2109" s="31"/>
      <c r="N2109" s="13" t="s">
        <v>30</v>
      </c>
      <c r="O2109" s="24" t="str">
        <f>IF(D2109="","",IF(COUNTIF(离职清单!C:C,D2109)&gt;0,"已离职","在职"))</f>
        <v>在职</v>
      </c>
      <c r="P2109" s="24" t="str">
        <f>IF(AND(O2109="在职",J2109="是"),COUNTIF(O$2:O2109,"在职"),"")</f>
        <v/>
      </c>
    </row>
    <row r="2110" ht="18" spans="1:16">
      <c r="A2110" s="10">
        <f t="shared" si="38"/>
        <v>2109</v>
      </c>
      <c r="B2110" s="31">
        <v>46174</v>
      </c>
      <c r="C2110" s="32" t="s">
        <v>1115</v>
      </c>
      <c r="D2110" s="120" t="s">
        <v>482</v>
      </c>
      <c r="E2110" s="33" t="s">
        <v>43</v>
      </c>
      <c r="F2110" s="18" t="s">
        <v>63</v>
      </c>
      <c r="G2110" s="18" t="s">
        <v>129</v>
      </c>
      <c r="H2110" s="34" t="s">
        <v>85</v>
      </c>
      <c r="I2110" s="18" t="s">
        <v>114</v>
      </c>
      <c r="J2110" s="31" t="s">
        <v>114</v>
      </c>
      <c r="K2110" s="31">
        <v>46176</v>
      </c>
      <c r="N2110" s="13" t="s">
        <v>30</v>
      </c>
      <c r="O2110" s="24" t="str">
        <f>IF(D2110="","",IF(COUNTIF(离职清单!C:C,D2110)&gt;0,"已离职","在职"))</f>
        <v>在职</v>
      </c>
      <c r="P2110" s="24">
        <f>IF(AND(O2110="在职",J2110="是"),COUNTIF(O$2:O2110,"在职"),"")</f>
        <v>2103</v>
      </c>
    </row>
    <row r="2111" ht="18" spans="1:16">
      <c r="A2111" s="14">
        <f t="shared" si="38"/>
        <v>2110</v>
      </c>
      <c r="B2111" s="31">
        <v>46174</v>
      </c>
      <c r="C2111" s="32" t="s">
        <v>2185</v>
      </c>
      <c r="D2111" s="120" t="s">
        <v>484</v>
      </c>
      <c r="E2111" s="33" t="s">
        <v>43</v>
      </c>
      <c r="F2111" s="18" t="s">
        <v>62</v>
      </c>
      <c r="G2111" s="18" t="s">
        <v>2186</v>
      </c>
      <c r="H2111" s="34" t="s">
        <v>85</v>
      </c>
      <c r="I2111" s="18" t="s">
        <v>114</v>
      </c>
      <c r="J2111" s="31" t="s">
        <v>105</v>
      </c>
      <c r="K2111" s="31"/>
      <c r="N2111" s="13" t="s">
        <v>30</v>
      </c>
      <c r="O2111" s="24" t="str">
        <f>IF(D2111="","",IF(COUNTIF(离职清单!C:C,D2111)&gt;0,"已离职","在职"))</f>
        <v>在职</v>
      </c>
      <c r="P2111" s="24" t="str">
        <f>IF(AND(O2111="在职",J2111="是"),COUNTIF(O$2:O2111,"在职"),"")</f>
        <v/>
      </c>
    </row>
    <row r="2112" ht="18" spans="1:16">
      <c r="A2112" s="10">
        <f t="shared" si="38"/>
        <v>2111</v>
      </c>
      <c r="B2112" s="31">
        <v>46174</v>
      </c>
      <c r="C2112" s="32" t="s">
        <v>1574</v>
      </c>
      <c r="D2112" s="120" t="s">
        <v>486</v>
      </c>
      <c r="E2112" s="33" t="s">
        <v>43</v>
      </c>
      <c r="F2112" s="18" t="s">
        <v>62</v>
      </c>
      <c r="G2112" s="18" t="s">
        <v>2186</v>
      </c>
      <c r="H2112" s="34" t="s">
        <v>85</v>
      </c>
      <c r="I2112" s="18" t="s">
        <v>114</v>
      </c>
      <c r="J2112" s="31" t="s">
        <v>105</v>
      </c>
      <c r="K2112" s="31"/>
      <c r="N2112" s="13" t="s">
        <v>30</v>
      </c>
      <c r="O2112" s="24" t="str">
        <f>IF(D2112="","",IF(COUNTIF(离职清单!C:C,D2112)&gt;0,"已离职","在职"))</f>
        <v>在职</v>
      </c>
      <c r="P2112" s="24" t="str">
        <f>IF(AND(O2112="在职",J2112="是"),COUNTIF(O$2:O2112,"在职"),"")</f>
        <v/>
      </c>
    </row>
    <row r="2113" ht="18" spans="1:16">
      <c r="A2113" s="14">
        <f t="shared" si="38"/>
        <v>2112</v>
      </c>
      <c r="B2113" s="31">
        <v>46174</v>
      </c>
      <c r="C2113" s="32" t="s">
        <v>2187</v>
      </c>
      <c r="D2113" s="120" t="s">
        <v>488</v>
      </c>
      <c r="E2113" s="33" t="s">
        <v>42</v>
      </c>
      <c r="F2113" s="18" t="s">
        <v>63</v>
      </c>
      <c r="G2113" s="18" t="s">
        <v>1511</v>
      </c>
      <c r="H2113" s="34" t="s">
        <v>85</v>
      </c>
      <c r="I2113" s="18" t="s">
        <v>105</v>
      </c>
      <c r="J2113" s="31" t="s">
        <v>105</v>
      </c>
      <c r="K2113" s="31"/>
      <c r="N2113" s="13" t="s">
        <v>30</v>
      </c>
      <c r="O2113" s="24" t="str">
        <f>IF(D2113="","",IF(COUNTIF(离职清单!C:C,D2113)&gt;0,"已离职","在职"))</f>
        <v>在职</v>
      </c>
      <c r="P2113" s="24" t="str">
        <f>IF(AND(O2113="在职",J2113="是"),COUNTIF(O$2:O2113,"在职"),"")</f>
        <v/>
      </c>
    </row>
    <row r="2114" ht="18" spans="1:16">
      <c r="A2114" s="10">
        <f t="shared" si="38"/>
        <v>2113</v>
      </c>
      <c r="B2114" s="31">
        <v>46174</v>
      </c>
      <c r="C2114" s="32" t="s">
        <v>2188</v>
      </c>
      <c r="D2114" s="120" t="s">
        <v>490</v>
      </c>
      <c r="E2114" s="33" t="s">
        <v>42</v>
      </c>
      <c r="F2114" s="18" t="s">
        <v>63</v>
      </c>
      <c r="G2114" s="18" t="s">
        <v>1511</v>
      </c>
      <c r="H2114" s="34" t="s">
        <v>85</v>
      </c>
      <c r="I2114" s="18" t="s">
        <v>114</v>
      </c>
      <c r="J2114" s="31" t="s">
        <v>114</v>
      </c>
      <c r="K2114" s="31">
        <v>46176</v>
      </c>
      <c r="N2114" s="13" t="s">
        <v>30</v>
      </c>
      <c r="O2114" s="24" t="str">
        <f>IF(D2114="","",IF(COUNTIF(离职清单!C:C,D2114)&gt;0,"已离职","在职"))</f>
        <v>在职</v>
      </c>
      <c r="P2114" s="24">
        <f>IF(AND(O2114="在职",J2114="是"),COUNTIF(O$2:O2114,"在职"),"")</f>
        <v>2107</v>
      </c>
    </row>
    <row r="2115" ht="18" spans="1:16">
      <c r="A2115" s="14">
        <f t="shared" si="38"/>
        <v>2114</v>
      </c>
      <c r="B2115" s="31">
        <v>46174</v>
      </c>
      <c r="C2115" s="32" t="s">
        <v>2189</v>
      </c>
      <c r="D2115" s="120" t="s">
        <v>492</v>
      </c>
      <c r="E2115" s="33" t="s">
        <v>42</v>
      </c>
      <c r="F2115" s="18" t="s">
        <v>63</v>
      </c>
      <c r="G2115" s="18" t="s">
        <v>1511</v>
      </c>
      <c r="H2115" s="34" t="s">
        <v>85</v>
      </c>
      <c r="I2115" s="18" t="s">
        <v>105</v>
      </c>
      <c r="J2115" s="31" t="s">
        <v>105</v>
      </c>
      <c r="K2115" s="31"/>
      <c r="N2115" s="13" t="s">
        <v>30</v>
      </c>
      <c r="O2115" s="24" t="str">
        <f>IF(D2115="","",IF(COUNTIF(离职清单!C:C,D2115)&gt;0,"已离职","在职"))</f>
        <v>在职</v>
      </c>
      <c r="P2115" s="24" t="str">
        <f>IF(AND(O2115="在职",J2115="是"),COUNTIF(O$2:O2115,"在职"),"")</f>
        <v/>
      </c>
    </row>
    <row r="2116" ht="18" spans="1:16">
      <c r="A2116" s="10">
        <f t="shared" si="38"/>
        <v>2115</v>
      </c>
      <c r="B2116" s="31">
        <v>46174</v>
      </c>
      <c r="C2116" s="32" t="s">
        <v>2190</v>
      </c>
      <c r="D2116" s="120" t="s">
        <v>477</v>
      </c>
      <c r="E2116" s="33" t="s">
        <v>42</v>
      </c>
      <c r="F2116" s="18" t="s">
        <v>63</v>
      </c>
      <c r="G2116" s="18" t="s">
        <v>1511</v>
      </c>
      <c r="H2116" s="34" t="s">
        <v>85</v>
      </c>
      <c r="I2116" s="18" t="s">
        <v>105</v>
      </c>
      <c r="J2116" s="31" t="s">
        <v>105</v>
      </c>
      <c r="K2116" s="31"/>
      <c r="N2116" s="13" t="s">
        <v>30</v>
      </c>
      <c r="O2116" s="24" t="str">
        <f>IF(D2116="","",IF(COUNTIF(离职清单!C:C,D2116)&gt;0,"已离职","在职"))</f>
        <v>在职</v>
      </c>
      <c r="P2116" s="24" t="str">
        <f>IF(AND(O2116="在职",J2116="是"),COUNTIF(O$2:O2116,"在职"),"")</f>
        <v/>
      </c>
    </row>
    <row r="2117" ht="18" spans="1:16">
      <c r="A2117" s="14">
        <f t="shared" si="38"/>
        <v>2116</v>
      </c>
      <c r="B2117" s="31">
        <v>46174</v>
      </c>
      <c r="C2117" s="32" t="s">
        <v>2191</v>
      </c>
      <c r="D2117" s="120" t="s">
        <v>478</v>
      </c>
      <c r="E2117" s="33" t="s">
        <v>42</v>
      </c>
      <c r="F2117" s="18" t="s">
        <v>63</v>
      </c>
      <c r="G2117" s="18" t="s">
        <v>1511</v>
      </c>
      <c r="H2117" s="34" t="s">
        <v>85</v>
      </c>
      <c r="I2117" s="18" t="s">
        <v>105</v>
      </c>
      <c r="J2117" s="31" t="s">
        <v>105</v>
      </c>
      <c r="K2117" s="31"/>
      <c r="N2117" s="13" t="s">
        <v>30</v>
      </c>
      <c r="O2117" s="24" t="str">
        <f>IF(D2117="","",IF(COUNTIF(离职清单!C:C,D2117)&gt;0,"已离职","在职"))</f>
        <v>在职</v>
      </c>
      <c r="P2117" s="24" t="str">
        <f>IF(AND(O2117="在职",J2117="是"),COUNTIF(O$2:O2117,"在职"),"")</f>
        <v/>
      </c>
    </row>
    <row r="2118" ht="18" spans="1:16">
      <c r="A2118" s="10">
        <f t="shared" si="38"/>
        <v>2117</v>
      </c>
      <c r="B2118" s="31">
        <v>46174</v>
      </c>
      <c r="C2118" s="32" t="s">
        <v>2192</v>
      </c>
      <c r="D2118" s="120" t="s">
        <v>480</v>
      </c>
      <c r="E2118" s="33" t="s">
        <v>42</v>
      </c>
      <c r="F2118" s="18" t="s">
        <v>63</v>
      </c>
      <c r="G2118" s="18" t="s">
        <v>1511</v>
      </c>
      <c r="H2118" s="34" t="s">
        <v>85</v>
      </c>
      <c r="I2118" s="18" t="s">
        <v>105</v>
      </c>
      <c r="J2118" s="31" t="s">
        <v>105</v>
      </c>
      <c r="K2118" s="31"/>
      <c r="N2118" s="13" t="s">
        <v>30</v>
      </c>
      <c r="O2118" s="24" t="str">
        <f>IF(D2118="","",IF(COUNTIF(离职清单!C:C,D2118)&gt;0,"已离职","在职"))</f>
        <v>在职</v>
      </c>
      <c r="P2118" s="24" t="str">
        <f>IF(AND(O2118="在职",J2118="是"),COUNTIF(O$2:O2118,"在职"),"")</f>
        <v/>
      </c>
    </row>
    <row r="2119" ht="18" spans="1:16">
      <c r="A2119" s="14">
        <f t="shared" si="38"/>
        <v>2118</v>
      </c>
      <c r="B2119" s="31">
        <v>46174</v>
      </c>
      <c r="C2119" s="32" t="s">
        <v>2193</v>
      </c>
      <c r="D2119" s="120" t="s">
        <v>482</v>
      </c>
      <c r="E2119" s="33" t="s">
        <v>42</v>
      </c>
      <c r="F2119" s="18" t="s">
        <v>63</v>
      </c>
      <c r="G2119" s="18" t="s">
        <v>1511</v>
      </c>
      <c r="H2119" s="34" t="s">
        <v>85</v>
      </c>
      <c r="I2119" s="18" t="s">
        <v>2154</v>
      </c>
      <c r="J2119" s="31" t="s">
        <v>105</v>
      </c>
      <c r="K2119" s="31"/>
      <c r="N2119" s="13" t="s">
        <v>30</v>
      </c>
      <c r="O2119" s="24" t="str">
        <f>IF(D2119="","",IF(COUNTIF(离职清单!C:C,D2119)&gt;0,"已离职","在职"))</f>
        <v>在职</v>
      </c>
      <c r="P2119" s="24" t="str">
        <f>IF(AND(O2119="在职",J2119="是"),COUNTIF(O$2:O2119,"在职"),"")</f>
        <v/>
      </c>
    </row>
    <row r="2120" ht="18" spans="1:16">
      <c r="A2120" s="10">
        <f t="shared" si="38"/>
        <v>2119</v>
      </c>
      <c r="B2120" s="31">
        <v>46174</v>
      </c>
      <c r="C2120" s="32" t="s">
        <v>2194</v>
      </c>
      <c r="D2120" s="120" t="s">
        <v>484</v>
      </c>
      <c r="E2120" s="33" t="s">
        <v>42</v>
      </c>
      <c r="F2120" s="18" t="s">
        <v>63</v>
      </c>
      <c r="G2120" s="18" t="s">
        <v>2195</v>
      </c>
      <c r="H2120" s="34" t="s">
        <v>85</v>
      </c>
      <c r="I2120" s="18" t="s">
        <v>2154</v>
      </c>
      <c r="J2120" s="31" t="s">
        <v>105</v>
      </c>
      <c r="K2120" s="31"/>
      <c r="N2120" s="13" t="s">
        <v>30</v>
      </c>
      <c r="O2120" s="24" t="str">
        <f>IF(D2120="","",IF(COUNTIF(离职清单!C:C,D2120)&gt;0,"已离职","在职"))</f>
        <v>在职</v>
      </c>
      <c r="P2120" s="24" t="str">
        <f>IF(AND(O2120="在职",J2120="是"),COUNTIF(O$2:O2120,"在职"),"")</f>
        <v/>
      </c>
    </row>
    <row r="2121" ht="18" spans="1:16">
      <c r="A2121" s="14">
        <f t="shared" si="38"/>
        <v>2120</v>
      </c>
      <c r="B2121" s="31">
        <v>46174</v>
      </c>
      <c r="C2121" s="32" t="s">
        <v>2196</v>
      </c>
      <c r="D2121" s="120" t="s">
        <v>486</v>
      </c>
      <c r="E2121" s="33" t="s">
        <v>42</v>
      </c>
      <c r="F2121" s="18" t="s">
        <v>63</v>
      </c>
      <c r="G2121" s="18" t="s">
        <v>2166</v>
      </c>
      <c r="H2121" s="34" t="s">
        <v>85</v>
      </c>
      <c r="I2121" s="18" t="s">
        <v>2154</v>
      </c>
      <c r="J2121" s="31" t="s">
        <v>105</v>
      </c>
      <c r="K2121" s="31"/>
      <c r="N2121" s="13" t="s">
        <v>30</v>
      </c>
      <c r="O2121" s="24" t="str">
        <f>IF(D2121="","",IF(COUNTIF(离职清单!C:C,D2121)&gt;0,"已离职","在职"))</f>
        <v>在职</v>
      </c>
      <c r="P2121" s="24" t="str">
        <f>IF(AND(O2121="在职",J2121="是"),COUNTIF(O$2:O2121,"在职"),"")</f>
        <v/>
      </c>
    </row>
    <row r="2122" ht="18" spans="1:16">
      <c r="A2122" s="10">
        <f t="shared" si="38"/>
        <v>2121</v>
      </c>
      <c r="B2122" s="31">
        <v>46174</v>
      </c>
      <c r="C2122" s="32" t="s">
        <v>2197</v>
      </c>
      <c r="D2122" s="120" t="s">
        <v>488</v>
      </c>
      <c r="E2122" s="33" t="s">
        <v>42</v>
      </c>
      <c r="F2122" s="18" t="s">
        <v>63</v>
      </c>
      <c r="G2122" s="18" t="s">
        <v>2156</v>
      </c>
      <c r="H2122" s="34" t="s">
        <v>85</v>
      </c>
      <c r="I2122" s="18" t="s">
        <v>105</v>
      </c>
      <c r="J2122" s="31" t="s">
        <v>105</v>
      </c>
      <c r="K2122" s="31"/>
      <c r="N2122" s="13" t="s">
        <v>30</v>
      </c>
      <c r="O2122" s="24" t="str">
        <f>IF(D2122="","",IF(COUNTIF(离职清单!C:C,D2122)&gt;0,"已离职","在职"))</f>
        <v>在职</v>
      </c>
      <c r="P2122" s="24" t="str">
        <f>IF(AND(O2122="在职",J2122="是"),COUNTIF(O$2:O2122,"在职"),"")</f>
        <v/>
      </c>
    </row>
    <row r="2123" ht="18" spans="1:16">
      <c r="A2123" s="14">
        <f t="shared" si="38"/>
        <v>2122</v>
      </c>
      <c r="B2123" s="31">
        <v>46174</v>
      </c>
      <c r="C2123" s="32" t="s">
        <v>2198</v>
      </c>
      <c r="D2123" s="120" t="s">
        <v>490</v>
      </c>
      <c r="E2123" s="33" t="s">
        <v>42</v>
      </c>
      <c r="F2123" s="18" t="s">
        <v>62</v>
      </c>
      <c r="G2123" s="18" t="s">
        <v>2156</v>
      </c>
      <c r="H2123" s="34" t="s">
        <v>85</v>
      </c>
      <c r="I2123" s="18" t="s">
        <v>105</v>
      </c>
      <c r="J2123" s="31" t="s">
        <v>105</v>
      </c>
      <c r="K2123" s="31"/>
      <c r="N2123" s="13" t="s">
        <v>30</v>
      </c>
      <c r="O2123" s="24" t="str">
        <f>IF(D2123="","",IF(COUNTIF(离职清单!C:C,D2123)&gt;0,"已离职","在职"))</f>
        <v>在职</v>
      </c>
      <c r="P2123" s="24" t="str">
        <f>IF(AND(O2123="在职",J2123="是"),COUNTIF(O$2:O2123,"在职"),"")</f>
        <v/>
      </c>
    </row>
    <row r="2124" ht="18" spans="1:16">
      <c r="A2124" s="10">
        <f t="shared" si="38"/>
        <v>2123</v>
      </c>
      <c r="B2124" s="31">
        <v>46174</v>
      </c>
      <c r="C2124" s="32" t="s">
        <v>2199</v>
      </c>
      <c r="D2124" s="120" t="s">
        <v>492</v>
      </c>
      <c r="E2124" s="33" t="s">
        <v>42</v>
      </c>
      <c r="F2124" s="18" t="s">
        <v>62</v>
      </c>
      <c r="G2124" s="18" t="s">
        <v>2153</v>
      </c>
      <c r="H2124" s="34" t="s">
        <v>85</v>
      </c>
      <c r="I2124" s="18" t="s">
        <v>114</v>
      </c>
      <c r="J2124" s="31" t="s">
        <v>114</v>
      </c>
      <c r="K2124" s="31">
        <v>46176</v>
      </c>
      <c r="N2124" s="13" t="s">
        <v>30</v>
      </c>
      <c r="O2124" s="24" t="str">
        <f>IF(D2124="","",IF(COUNTIF(离职清单!C:C,D2124)&gt;0,"已离职","在职"))</f>
        <v>在职</v>
      </c>
      <c r="P2124" s="24">
        <f>IF(AND(O2124="在职",J2124="是"),COUNTIF(O$2:O2124,"在职"),"")</f>
        <v>2117</v>
      </c>
    </row>
    <row r="2125" ht="18" spans="1:16">
      <c r="A2125" s="14">
        <f t="shared" si="38"/>
        <v>2124</v>
      </c>
      <c r="B2125" s="31">
        <v>46174</v>
      </c>
      <c r="C2125" s="32" t="s">
        <v>2200</v>
      </c>
      <c r="D2125" s="120" t="s">
        <v>477</v>
      </c>
      <c r="E2125" s="33" t="s">
        <v>42</v>
      </c>
      <c r="F2125" s="18" t="s">
        <v>63</v>
      </c>
      <c r="G2125" s="18" t="s">
        <v>124</v>
      </c>
      <c r="H2125" s="34" t="s">
        <v>85</v>
      </c>
      <c r="I2125" s="18" t="s">
        <v>2154</v>
      </c>
      <c r="J2125" s="31" t="s">
        <v>105</v>
      </c>
      <c r="K2125" s="31"/>
      <c r="N2125" s="13" t="s">
        <v>30</v>
      </c>
      <c r="O2125" s="24" t="str">
        <f>IF(D2125="","",IF(COUNTIF(离职清单!C:C,D2125)&gt;0,"已离职","在职"))</f>
        <v>在职</v>
      </c>
      <c r="P2125" s="24" t="str">
        <f>IF(AND(O2125="在职",J2125="是"),COUNTIF(O$2:O2125,"在职"),"")</f>
        <v/>
      </c>
    </row>
    <row r="2126" ht="18" spans="1:16">
      <c r="A2126" s="10">
        <f t="shared" si="38"/>
        <v>2125</v>
      </c>
      <c r="B2126" s="31">
        <v>46174</v>
      </c>
      <c r="C2126" s="32" t="s">
        <v>2201</v>
      </c>
      <c r="D2126" s="120" t="s">
        <v>478</v>
      </c>
      <c r="E2126" s="33" t="s">
        <v>42</v>
      </c>
      <c r="F2126" s="18" t="s">
        <v>62</v>
      </c>
      <c r="G2126" s="18" t="s">
        <v>124</v>
      </c>
      <c r="H2126" s="34" t="s">
        <v>85</v>
      </c>
      <c r="I2126" s="18" t="s">
        <v>114</v>
      </c>
      <c r="J2126" s="31" t="s">
        <v>114</v>
      </c>
      <c r="K2126" s="31">
        <v>46176</v>
      </c>
      <c r="N2126" s="13" t="s">
        <v>30</v>
      </c>
      <c r="O2126" s="24" t="str">
        <f>IF(D2126="","",IF(COUNTIF(离职清单!C:C,D2126)&gt;0,"已离职","在职"))</f>
        <v>在职</v>
      </c>
      <c r="P2126" s="24">
        <f>IF(AND(O2126="在职",J2126="是"),COUNTIF(O$2:O2126,"在职"),"")</f>
        <v>2119</v>
      </c>
    </row>
    <row r="2127" ht="18" spans="1:16">
      <c r="A2127" s="14">
        <f t="shared" si="38"/>
        <v>2126</v>
      </c>
      <c r="B2127" s="31">
        <v>46174</v>
      </c>
      <c r="C2127" s="32" t="s">
        <v>1237</v>
      </c>
      <c r="D2127" s="120" t="s">
        <v>480</v>
      </c>
      <c r="E2127" s="33" t="s">
        <v>42</v>
      </c>
      <c r="F2127" s="18" t="s">
        <v>62</v>
      </c>
      <c r="G2127" s="18" t="s">
        <v>2186</v>
      </c>
      <c r="H2127" s="34" t="s">
        <v>85</v>
      </c>
      <c r="I2127" s="18" t="s">
        <v>105</v>
      </c>
      <c r="J2127" s="31" t="s">
        <v>105</v>
      </c>
      <c r="K2127" s="31"/>
      <c r="N2127" s="13" t="s">
        <v>30</v>
      </c>
      <c r="O2127" s="24" t="str">
        <f>IF(D2127="","",IF(COUNTIF(离职清单!C:C,D2127)&gt;0,"已离职","在职"))</f>
        <v>在职</v>
      </c>
      <c r="P2127" s="24" t="str">
        <f>IF(AND(O2127="在职",J2127="是"),COUNTIF(O$2:O2127,"在职"),"")</f>
        <v/>
      </c>
    </row>
    <row r="2128" ht="18" spans="1:16">
      <c r="A2128" s="10">
        <f t="shared" si="38"/>
        <v>2127</v>
      </c>
      <c r="B2128" s="31">
        <v>46174</v>
      </c>
      <c r="C2128" s="32" t="s">
        <v>2202</v>
      </c>
      <c r="D2128" s="120" t="s">
        <v>482</v>
      </c>
      <c r="E2128" s="33" t="s">
        <v>42</v>
      </c>
      <c r="F2128" s="18" t="s">
        <v>63</v>
      </c>
      <c r="G2128" s="18" t="s">
        <v>2153</v>
      </c>
      <c r="H2128" s="34" t="s">
        <v>85</v>
      </c>
      <c r="I2128" s="18" t="s">
        <v>105</v>
      </c>
      <c r="J2128" s="31" t="s">
        <v>105</v>
      </c>
      <c r="K2128" s="31"/>
      <c r="N2128" s="13" t="s">
        <v>30</v>
      </c>
      <c r="O2128" s="24" t="str">
        <f>IF(D2128="","",IF(COUNTIF(离职清单!C:C,D2128)&gt;0,"已离职","在职"))</f>
        <v>在职</v>
      </c>
      <c r="P2128" s="24" t="str">
        <f>IF(AND(O2128="在职",J2128="是"),COUNTIF(O$2:O2128,"在职"),"")</f>
        <v/>
      </c>
    </row>
    <row r="2129" ht="18" spans="1:16">
      <c r="A2129" s="14">
        <f t="shared" si="38"/>
        <v>2128</v>
      </c>
      <c r="B2129" s="31">
        <v>46174</v>
      </c>
      <c r="C2129" s="32" t="s">
        <v>2203</v>
      </c>
      <c r="D2129" s="120" t="s">
        <v>484</v>
      </c>
      <c r="E2129" s="33" t="s">
        <v>42</v>
      </c>
      <c r="F2129" s="18" t="s">
        <v>62</v>
      </c>
      <c r="G2129" s="18" t="s">
        <v>103</v>
      </c>
      <c r="H2129" s="34" t="s">
        <v>85</v>
      </c>
      <c r="I2129" s="18" t="s">
        <v>105</v>
      </c>
      <c r="J2129" s="31" t="s">
        <v>105</v>
      </c>
      <c r="K2129" s="31"/>
      <c r="N2129" s="13" t="s">
        <v>30</v>
      </c>
      <c r="O2129" s="24" t="str">
        <f>IF(D2129="","",IF(COUNTIF(离职清单!C:C,D2129)&gt;0,"已离职","在职"))</f>
        <v>在职</v>
      </c>
      <c r="P2129" s="24" t="str">
        <f>IF(AND(O2129="在职",J2129="是"),COUNTIF(O$2:O2129,"在职"),"")</f>
        <v/>
      </c>
    </row>
    <row r="2130" ht="18" spans="1:16">
      <c r="A2130" s="10">
        <f t="shared" si="38"/>
        <v>2129</v>
      </c>
      <c r="B2130" s="31">
        <v>46174</v>
      </c>
      <c r="C2130" s="32" t="s">
        <v>2204</v>
      </c>
      <c r="D2130" s="120" t="s">
        <v>486</v>
      </c>
      <c r="E2130" s="33" t="s">
        <v>42</v>
      </c>
      <c r="F2130" s="18" t="s">
        <v>62</v>
      </c>
      <c r="G2130" s="18" t="s">
        <v>103</v>
      </c>
      <c r="H2130" s="34" t="s">
        <v>85</v>
      </c>
      <c r="I2130" s="18" t="s">
        <v>105</v>
      </c>
      <c r="J2130" s="31" t="s">
        <v>105</v>
      </c>
      <c r="K2130" s="31"/>
      <c r="N2130" s="13" t="s">
        <v>30</v>
      </c>
      <c r="O2130" s="24" t="str">
        <f>IF(D2130="","",IF(COUNTIF(离职清单!C:C,D2130)&gt;0,"已离职","在职"))</f>
        <v>在职</v>
      </c>
      <c r="P2130" s="24" t="str">
        <f>IF(AND(O2130="在职",J2130="是"),COUNTIF(O$2:O2130,"在职"),"")</f>
        <v/>
      </c>
    </row>
    <row r="2131" ht="18" spans="1:16">
      <c r="A2131" s="14">
        <f t="shared" si="38"/>
        <v>2130</v>
      </c>
      <c r="B2131" s="31">
        <v>46174</v>
      </c>
      <c r="C2131" s="32" t="s">
        <v>2205</v>
      </c>
      <c r="D2131" s="120" t="s">
        <v>488</v>
      </c>
      <c r="E2131" s="33" t="s">
        <v>42</v>
      </c>
      <c r="F2131" s="18" t="s">
        <v>63</v>
      </c>
      <c r="G2131" s="18" t="s">
        <v>129</v>
      </c>
      <c r="H2131" s="34" t="s">
        <v>85</v>
      </c>
      <c r="I2131" s="18" t="s">
        <v>114</v>
      </c>
      <c r="J2131" s="31" t="s">
        <v>105</v>
      </c>
      <c r="K2131" s="31"/>
      <c r="N2131" s="13" t="s">
        <v>30</v>
      </c>
      <c r="O2131" s="24" t="str">
        <f>IF(D2131="","",IF(COUNTIF(离职清单!C:C,D2131)&gt;0,"已离职","在职"))</f>
        <v>在职</v>
      </c>
      <c r="P2131" s="24" t="str">
        <f>IF(AND(O2131="在职",J2131="是"),COUNTIF(O$2:O2131,"在职"),"")</f>
        <v/>
      </c>
    </row>
    <row r="2132" ht="18" spans="1:16">
      <c r="A2132" s="10">
        <f t="shared" si="38"/>
        <v>2131</v>
      </c>
      <c r="B2132" s="31">
        <v>46174</v>
      </c>
      <c r="C2132" s="32" t="s">
        <v>2206</v>
      </c>
      <c r="D2132" s="120" t="s">
        <v>490</v>
      </c>
      <c r="E2132" s="33" t="s">
        <v>42</v>
      </c>
      <c r="F2132" s="18" t="s">
        <v>62</v>
      </c>
      <c r="G2132" s="18" t="s">
        <v>148</v>
      </c>
      <c r="H2132" s="34" t="s">
        <v>85</v>
      </c>
      <c r="I2132" s="18" t="s">
        <v>2154</v>
      </c>
      <c r="J2132" s="31" t="s">
        <v>105</v>
      </c>
      <c r="K2132" s="31"/>
      <c r="N2132" s="13" t="s">
        <v>30</v>
      </c>
      <c r="O2132" s="24" t="str">
        <f>IF(D2132="","",IF(COUNTIF(离职清单!C:C,D2132)&gt;0,"已离职","在职"))</f>
        <v>在职</v>
      </c>
      <c r="P2132" s="24" t="str">
        <f>IF(AND(O2132="在职",J2132="是"),COUNTIF(O$2:O2132,"在职"),"")</f>
        <v/>
      </c>
    </row>
    <row r="2133" ht="18" spans="1:16">
      <c r="A2133" s="14">
        <f t="shared" si="38"/>
        <v>2132</v>
      </c>
      <c r="B2133" s="31">
        <v>46174</v>
      </c>
      <c r="C2133" s="32" t="s">
        <v>2207</v>
      </c>
      <c r="D2133" s="120" t="s">
        <v>492</v>
      </c>
      <c r="E2133" s="33" t="s">
        <v>42</v>
      </c>
      <c r="F2133" s="18" t="s">
        <v>63</v>
      </c>
      <c r="G2133" s="18" t="s">
        <v>2179</v>
      </c>
      <c r="H2133" s="34" t="s">
        <v>85</v>
      </c>
      <c r="I2133" s="18" t="s">
        <v>114</v>
      </c>
      <c r="J2133" s="31" t="s">
        <v>114</v>
      </c>
      <c r="K2133" s="31">
        <v>46176</v>
      </c>
      <c r="N2133" s="13" t="s">
        <v>30</v>
      </c>
      <c r="O2133" s="24" t="str">
        <f>IF(D2133="","",IF(COUNTIF(离职清单!C:C,D2133)&gt;0,"已离职","在职"))</f>
        <v>在职</v>
      </c>
      <c r="P2133" s="24">
        <f>IF(AND(O2133="在职",J2133="是"),COUNTIF(O$2:O2133,"在职"),"")</f>
        <v>2126</v>
      </c>
    </row>
    <row r="2134" ht="18" spans="1:16">
      <c r="A2134" s="10">
        <f t="shared" si="38"/>
        <v>2133</v>
      </c>
      <c r="B2134" s="31">
        <v>46174</v>
      </c>
      <c r="C2134" s="32" t="s">
        <v>2208</v>
      </c>
      <c r="D2134" s="120" t="s">
        <v>477</v>
      </c>
      <c r="E2134" s="33" t="s">
        <v>42</v>
      </c>
      <c r="F2134" s="18" t="s">
        <v>63</v>
      </c>
      <c r="G2134" s="18" t="s">
        <v>2164</v>
      </c>
      <c r="H2134" s="34" t="s">
        <v>85</v>
      </c>
      <c r="I2134" s="18" t="s">
        <v>114</v>
      </c>
      <c r="J2134" s="31" t="s">
        <v>114</v>
      </c>
      <c r="K2134" s="31">
        <v>46176</v>
      </c>
      <c r="N2134" s="13" t="s">
        <v>30</v>
      </c>
      <c r="O2134" s="24" t="str">
        <f>IF(D2134="","",IF(COUNTIF(离职清单!C:C,D2134)&gt;0,"已离职","在职"))</f>
        <v>在职</v>
      </c>
      <c r="P2134" s="24">
        <f>IF(AND(O2134="在职",J2134="是"),COUNTIF(O$2:O2134,"在职"),"")</f>
        <v>2127</v>
      </c>
    </row>
    <row r="2135" ht="18" spans="1:16">
      <c r="A2135" s="14">
        <f t="shared" si="38"/>
        <v>2134</v>
      </c>
      <c r="B2135" s="31">
        <v>46174</v>
      </c>
      <c r="C2135" s="32" t="s">
        <v>2209</v>
      </c>
      <c r="D2135" s="120" t="s">
        <v>478</v>
      </c>
      <c r="E2135" s="33" t="s">
        <v>42</v>
      </c>
      <c r="F2135" s="18" t="s">
        <v>64</v>
      </c>
      <c r="G2135" s="18" t="s">
        <v>2164</v>
      </c>
      <c r="H2135" s="34" t="s">
        <v>85</v>
      </c>
      <c r="I2135" s="18" t="s">
        <v>114</v>
      </c>
      <c r="J2135" s="31" t="s">
        <v>114</v>
      </c>
      <c r="K2135" s="31">
        <v>46176</v>
      </c>
      <c r="N2135" s="13" t="s">
        <v>30</v>
      </c>
      <c r="O2135" s="24" t="str">
        <f>IF(D2135="","",IF(COUNTIF(离职清单!C:C,D2135)&gt;0,"已离职","在职"))</f>
        <v>在职</v>
      </c>
      <c r="P2135" s="24">
        <f>IF(AND(O2135="在职",J2135="是"),COUNTIF(O$2:O2135,"在职"),"")</f>
        <v>2128</v>
      </c>
    </row>
    <row r="2136" ht="18" spans="1:16">
      <c r="A2136" s="10">
        <f t="shared" si="38"/>
        <v>2135</v>
      </c>
      <c r="B2136" s="31">
        <v>46174</v>
      </c>
      <c r="C2136" s="32" t="s">
        <v>2210</v>
      </c>
      <c r="D2136" s="120" t="s">
        <v>480</v>
      </c>
      <c r="E2136" s="33" t="s">
        <v>42</v>
      </c>
      <c r="F2136" s="18" t="s">
        <v>63</v>
      </c>
      <c r="G2136" s="18" t="s">
        <v>2164</v>
      </c>
      <c r="H2136" s="34" t="s">
        <v>85</v>
      </c>
      <c r="I2136" s="18" t="s">
        <v>105</v>
      </c>
      <c r="J2136" s="31" t="s">
        <v>105</v>
      </c>
      <c r="K2136" s="31"/>
      <c r="N2136" s="13" t="s">
        <v>30</v>
      </c>
      <c r="O2136" s="24" t="str">
        <f>IF(D2136="","",IF(COUNTIF(离职清单!C:C,D2136)&gt;0,"已离职","在职"))</f>
        <v>在职</v>
      </c>
      <c r="P2136" s="24" t="str">
        <f>IF(AND(O2136="在职",J2136="是"),COUNTIF(O$2:O2136,"在职"),"")</f>
        <v/>
      </c>
    </row>
    <row r="2137" ht="18" spans="1:16">
      <c r="A2137" s="14">
        <f t="shared" si="38"/>
        <v>2136</v>
      </c>
      <c r="B2137" s="31">
        <v>46174</v>
      </c>
      <c r="C2137" s="32" t="s">
        <v>2211</v>
      </c>
      <c r="D2137" s="120" t="s">
        <v>482</v>
      </c>
      <c r="E2137" s="33" t="s">
        <v>42</v>
      </c>
      <c r="F2137" s="18" t="s">
        <v>63</v>
      </c>
      <c r="G2137" s="18" t="s">
        <v>2164</v>
      </c>
      <c r="H2137" s="34" t="s">
        <v>85</v>
      </c>
      <c r="I2137" s="18" t="s">
        <v>105</v>
      </c>
      <c r="J2137" s="31" t="s">
        <v>105</v>
      </c>
      <c r="K2137" s="31"/>
      <c r="N2137" s="13" t="s">
        <v>30</v>
      </c>
      <c r="O2137" s="24" t="str">
        <f>IF(D2137="","",IF(COUNTIF(离职清单!C:C,D2137)&gt;0,"已离职","在职"))</f>
        <v>在职</v>
      </c>
      <c r="P2137" s="24" t="str">
        <f>IF(AND(O2137="在职",J2137="是"),COUNTIF(O$2:O2137,"在职"),"")</f>
        <v/>
      </c>
    </row>
    <row r="2138" ht="18" spans="1:16">
      <c r="A2138" s="10">
        <f t="shared" si="38"/>
        <v>2137</v>
      </c>
      <c r="B2138" s="31">
        <v>46174</v>
      </c>
      <c r="C2138" s="32" t="s">
        <v>2212</v>
      </c>
      <c r="D2138" s="120" t="s">
        <v>484</v>
      </c>
      <c r="E2138" s="33" t="s">
        <v>42</v>
      </c>
      <c r="F2138" s="18" t="s">
        <v>62</v>
      </c>
      <c r="G2138" s="18" t="s">
        <v>129</v>
      </c>
      <c r="H2138" s="34" t="s">
        <v>85</v>
      </c>
      <c r="I2138" s="18" t="s">
        <v>2154</v>
      </c>
      <c r="J2138" s="31" t="s">
        <v>105</v>
      </c>
      <c r="K2138" s="31"/>
      <c r="N2138" s="13" t="s">
        <v>30</v>
      </c>
      <c r="O2138" s="24" t="str">
        <f>IF(D2138="","",IF(COUNTIF(离职清单!C:C,D2138)&gt;0,"已离职","在职"))</f>
        <v>在职</v>
      </c>
      <c r="P2138" s="24" t="str">
        <f>IF(AND(O2138="在职",J2138="是"),COUNTIF(O$2:O2138,"在职"),"")</f>
        <v/>
      </c>
    </row>
    <row r="2139" ht="18" spans="1:16">
      <c r="A2139" s="14">
        <f t="shared" si="38"/>
        <v>2138</v>
      </c>
      <c r="B2139" s="31">
        <v>46174</v>
      </c>
      <c r="C2139" s="32" t="s">
        <v>2213</v>
      </c>
      <c r="D2139" s="120" t="s">
        <v>486</v>
      </c>
      <c r="E2139" s="33" t="s">
        <v>42</v>
      </c>
      <c r="F2139" s="18" t="s">
        <v>62</v>
      </c>
      <c r="G2139" s="18" t="s">
        <v>129</v>
      </c>
      <c r="H2139" s="34" t="s">
        <v>85</v>
      </c>
      <c r="I2139" s="18" t="s">
        <v>2154</v>
      </c>
      <c r="J2139" s="31" t="s">
        <v>105</v>
      </c>
      <c r="K2139" s="31"/>
      <c r="N2139" s="13" t="s">
        <v>30</v>
      </c>
      <c r="O2139" s="24" t="str">
        <f>IF(D2139="","",IF(COUNTIF(离职清单!C:C,D2139)&gt;0,"已离职","在职"))</f>
        <v>在职</v>
      </c>
      <c r="P2139" s="24" t="str">
        <f>IF(AND(O2139="在职",J2139="是"),COUNTIF(O$2:O2139,"在职"),"")</f>
        <v/>
      </c>
    </row>
    <row r="2140" ht="18" spans="1:16">
      <c r="A2140" s="10">
        <f t="shared" si="38"/>
        <v>2139</v>
      </c>
      <c r="B2140" s="31">
        <v>46174</v>
      </c>
      <c r="C2140" s="32" t="s">
        <v>2214</v>
      </c>
      <c r="D2140" s="120" t="s">
        <v>488</v>
      </c>
      <c r="E2140" s="33" t="s">
        <v>42</v>
      </c>
      <c r="F2140" s="18" t="s">
        <v>63</v>
      </c>
      <c r="G2140" s="18" t="s">
        <v>129</v>
      </c>
      <c r="H2140" s="34" t="s">
        <v>85</v>
      </c>
      <c r="I2140" s="18" t="s">
        <v>2154</v>
      </c>
      <c r="J2140" s="31" t="s">
        <v>105</v>
      </c>
      <c r="K2140" s="31"/>
      <c r="N2140" s="13" t="s">
        <v>30</v>
      </c>
      <c r="O2140" s="24" t="str">
        <f>IF(D2140="","",IF(COUNTIF(离职清单!C:C,D2140)&gt;0,"已离职","在职"))</f>
        <v>在职</v>
      </c>
      <c r="P2140" s="24" t="str">
        <f>IF(AND(O2140="在职",J2140="是"),COUNTIF(O$2:O2140,"在职"),"")</f>
        <v/>
      </c>
    </row>
    <row r="2141" ht="18" spans="1:16">
      <c r="A2141" s="14">
        <f t="shared" si="38"/>
        <v>2140</v>
      </c>
      <c r="B2141" s="31">
        <v>46174</v>
      </c>
      <c r="C2141" s="32" t="s">
        <v>2215</v>
      </c>
      <c r="D2141" s="120" t="s">
        <v>490</v>
      </c>
      <c r="E2141" s="33" t="s">
        <v>42</v>
      </c>
      <c r="F2141" s="18" t="s">
        <v>62</v>
      </c>
      <c r="G2141" s="18" t="s">
        <v>129</v>
      </c>
      <c r="H2141" s="34" t="s">
        <v>85</v>
      </c>
      <c r="I2141" s="18" t="s">
        <v>2154</v>
      </c>
      <c r="J2141" s="31" t="s">
        <v>105</v>
      </c>
      <c r="K2141" s="31"/>
      <c r="N2141" s="13" t="s">
        <v>30</v>
      </c>
      <c r="O2141" s="24" t="str">
        <f>IF(D2141="","",IF(COUNTIF(离职清单!C:C,D2141)&gt;0,"已离职","在职"))</f>
        <v>在职</v>
      </c>
      <c r="P2141" s="24" t="str">
        <f>IF(AND(O2141="在职",J2141="是"),COUNTIF(O$2:O2141,"在职"),"")</f>
        <v/>
      </c>
    </row>
    <row r="2142" ht="18" spans="1:16">
      <c r="A2142" s="10">
        <f t="shared" si="38"/>
        <v>2141</v>
      </c>
      <c r="B2142" s="31">
        <v>46174</v>
      </c>
      <c r="C2142" s="32" t="s">
        <v>2216</v>
      </c>
      <c r="D2142" s="120" t="s">
        <v>492</v>
      </c>
      <c r="E2142" s="33" t="s">
        <v>42</v>
      </c>
      <c r="F2142" s="18" t="s">
        <v>63</v>
      </c>
      <c r="G2142" s="18" t="s">
        <v>148</v>
      </c>
      <c r="H2142" s="34" t="s">
        <v>85</v>
      </c>
      <c r="I2142" s="18" t="s">
        <v>114</v>
      </c>
      <c r="J2142" s="31" t="s">
        <v>114</v>
      </c>
      <c r="K2142" s="31">
        <v>46175</v>
      </c>
      <c r="N2142" s="13" t="s">
        <v>30</v>
      </c>
      <c r="O2142" s="24" t="str">
        <f>IF(D2142="","",IF(COUNTIF(离职清单!C:C,D2142)&gt;0,"已离职","在职"))</f>
        <v>在职</v>
      </c>
      <c r="P2142" s="24">
        <f>IF(AND(O2142="在职",J2142="是"),COUNTIF(O$2:O2142,"在职"),"")</f>
        <v>2135</v>
      </c>
    </row>
    <row r="2143" ht="18" spans="1:16">
      <c r="A2143" s="14">
        <f t="shared" si="38"/>
        <v>2142</v>
      </c>
      <c r="B2143" s="31">
        <v>46174</v>
      </c>
      <c r="C2143" s="32" t="s">
        <v>2217</v>
      </c>
      <c r="D2143" s="120" t="s">
        <v>477</v>
      </c>
      <c r="E2143" s="33" t="s">
        <v>42</v>
      </c>
      <c r="F2143" s="18" t="s">
        <v>62</v>
      </c>
      <c r="G2143" s="18" t="s">
        <v>148</v>
      </c>
      <c r="H2143" s="34" t="s">
        <v>85</v>
      </c>
      <c r="I2143" s="18" t="s">
        <v>105</v>
      </c>
      <c r="J2143" s="31" t="s">
        <v>105</v>
      </c>
      <c r="K2143" s="31"/>
      <c r="N2143" s="13" t="s">
        <v>30</v>
      </c>
      <c r="O2143" s="24" t="str">
        <f>IF(D2143="","",IF(COUNTIF(离职清单!C:C,D2143)&gt;0,"已离职","在职"))</f>
        <v>在职</v>
      </c>
      <c r="P2143" s="24" t="str">
        <f>IF(AND(O2143="在职",J2143="是"),COUNTIF(O$2:O2143,"在职"),"")</f>
        <v/>
      </c>
    </row>
    <row r="2144" ht="18" spans="1:16">
      <c r="A2144" s="10">
        <f t="shared" si="38"/>
        <v>2143</v>
      </c>
      <c r="B2144" s="31">
        <v>46174</v>
      </c>
      <c r="C2144" s="32" t="s">
        <v>2218</v>
      </c>
      <c r="D2144" s="120" t="s">
        <v>478</v>
      </c>
      <c r="E2144" s="33" t="s">
        <v>42</v>
      </c>
      <c r="F2144" s="18" t="s">
        <v>63</v>
      </c>
      <c r="G2144" s="18" t="s">
        <v>148</v>
      </c>
      <c r="H2144" s="34" t="s">
        <v>85</v>
      </c>
      <c r="I2144" s="18" t="s">
        <v>114</v>
      </c>
      <c r="J2144" s="31" t="s">
        <v>114</v>
      </c>
      <c r="K2144" s="31">
        <v>46176</v>
      </c>
      <c r="N2144" s="13" t="s">
        <v>30</v>
      </c>
      <c r="O2144" s="24" t="str">
        <f>IF(D2144="","",IF(COUNTIF(离职清单!C:C,D2144)&gt;0,"已离职","在职"))</f>
        <v>在职</v>
      </c>
      <c r="P2144" s="24">
        <f>IF(AND(O2144="在职",J2144="是"),COUNTIF(O$2:O2144,"在职"),"")</f>
        <v>2137</v>
      </c>
    </row>
    <row r="2145" ht="18" spans="1:16">
      <c r="A2145" s="14">
        <f t="shared" si="38"/>
        <v>2144</v>
      </c>
      <c r="B2145" s="31">
        <v>46174</v>
      </c>
      <c r="C2145" s="32" t="s">
        <v>2219</v>
      </c>
      <c r="D2145" s="120" t="s">
        <v>480</v>
      </c>
      <c r="E2145" s="33" t="s">
        <v>42</v>
      </c>
      <c r="F2145" s="18" t="s">
        <v>63</v>
      </c>
      <c r="G2145" s="18" t="s">
        <v>2164</v>
      </c>
      <c r="H2145" s="34" t="s">
        <v>85</v>
      </c>
      <c r="I2145" s="18" t="s">
        <v>2154</v>
      </c>
      <c r="J2145" s="31" t="s">
        <v>105</v>
      </c>
      <c r="K2145" s="31"/>
      <c r="N2145" s="13" t="s">
        <v>30</v>
      </c>
      <c r="O2145" s="24" t="str">
        <f>IF(D2145="","",IF(COUNTIF(离职清单!C:C,D2145)&gt;0,"已离职","在职"))</f>
        <v>在职</v>
      </c>
      <c r="P2145" s="24" t="str">
        <f>IF(AND(O2145="在职",J2145="是"),COUNTIF(O$2:O2145,"在职"),"")</f>
        <v/>
      </c>
    </row>
    <row r="2146" ht="18" spans="1:16">
      <c r="A2146" s="10">
        <f t="shared" si="38"/>
        <v>2145</v>
      </c>
      <c r="B2146" s="31">
        <v>46174</v>
      </c>
      <c r="C2146" s="32" t="s">
        <v>2220</v>
      </c>
      <c r="D2146" s="120" t="s">
        <v>482</v>
      </c>
      <c r="E2146" s="33" t="s">
        <v>42</v>
      </c>
      <c r="F2146" s="18" t="s">
        <v>62</v>
      </c>
      <c r="G2146" s="18" t="s">
        <v>2221</v>
      </c>
      <c r="H2146" s="34" t="s">
        <v>85</v>
      </c>
      <c r="I2146" s="18" t="s">
        <v>114</v>
      </c>
      <c r="J2146" s="31" t="s">
        <v>114</v>
      </c>
      <c r="K2146" s="31">
        <v>46175</v>
      </c>
      <c r="N2146" s="13" t="s">
        <v>30</v>
      </c>
      <c r="O2146" s="24" t="str">
        <f>IF(D2146="","",IF(COUNTIF(离职清单!C:C,D2146)&gt;0,"已离职","在职"))</f>
        <v>在职</v>
      </c>
      <c r="P2146" s="24">
        <f>IF(AND(O2146="在职",J2146="是"),COUNTIF(O$2:O2146,"在职"),"")</f>
        <v>2139</v>
      </c>
    </row>
    <row r="2147" ht="18" spans="1:16">
      <c r="A2147" s="14">
        <f t="shared" si="38"/>
        <v>2146</v>
      </c>
      <c r="B2147" s="31">
        <v>46174</v>
      </c>
      <c r="C2147" s="32" t="s">
        <v>2222</v>
      </c>
      <c r="D2147" s="120" t="s">
        <v>484</v>
      </c>
      <c r="E2147" s="33" t="s">
        <v>42</v>
      </c>
      <c r="F2147" s="18" t="s">
        <v>62</v>
      </c>
      <c r="G2147" s="18" t="s">
        <v>148</v>
      </c>
      <c r="H2147" s="34" t="s">
        <v>85</v>
      </c>
      <c r="I2147" s="18" t="s">
        <v>105</v>
      </c>
      <c r="J2147" s="31" t="s">
        <v>105</v>
      </c>
      <c r="K2147" s="31"/>
      <c r="N2147" s="13" t="s">
        <v>30</v>
      </c>
      <c r="O2147" s="24" t="str">
        <f>IF(D2147="","",IF(COUNTIF(离职清单!C:C,D2147)&gt;0,"已离职","在职"))</f>
        <v>在职</v>
      </c>
      <c r="P2147" s="24" t="str">
        <f>IF(AND(O2147="在职",J2147="是"),COUNTIF(O$2:O2147,"在职"),"")</f>
        <v/>
      </c>
    </row>
    <row r="2148" ht="18" spans="1:16">
      <c r="A2148" s="10">
        <f t="shared" si="38"/>
        <v>2147</v>
      </c>
      <c r="B2148" s="31">
        <v>46174</v>
      </c>
      <c r="C2148" s="32" t="s">
        <v>2223</v>
      </c>
      <c r="D2148" s="120" t="s">
        <v>486</v>
      </c>
      <c r="E2148" s="33" t="s">
        <v>42</v>
      </c>
      <c r="F2148" s="18" t="s">
        <v>64</v>
      </c>
      <c r="G2148" s="18" t="s">
        <v>148</v>
      </c>
      <c r="H2148" s="34" t="s">
        <v>85</v>
      </c>
      <c r="I2148" s="18" t="s">
        <v>2154</v>
      </c>
      <c r="J2148" s="31" t="s">
        <v>105</v>
      </c>
      <c r="K2148" s="31"/>
      <c r="N2148" s="13" t="s">
        <v>30</v>
      </c>
      <c r="O2148" s="24" t="str">
        <f>IF(D2148="","",IF(COUNTIF(离职清单!C:C,D2148)&gt;0,"已离职","在职"))</f>
        <v>在职</v>
      </c>
      <c r="P2148" s="24" t="str">
        <f>IF(AND(O2148="在职",J2148="是"),COUNTIF(O$2:O2148,"在职"),"")</f>
        <v/>
      </c>
    </row>
    <row r="2149" ht="18" spans="1:16">
      <c r="A2149" s="14">
        <f t="shared" si="38"/>
        <v>2148</v>
      </c>
      <c r="B2149" s="31">
        <v>46174</v>
      </c>
      <c r="C2149" s="32" t="s">
        <v>2224</v>
      </c>
      <c r="D2149" s="120" t="s">
        <v>488</v>
      </c>
      <c r="E2149" s="33" t="s">
        <v>43</v>
      </c>
      <c r="F2149" s="18" t="s">
        <v>62</v>
      </c>
      <c r="G2149" s="18" t="s">
        <v>124</v>
      </c>
      <c r="H2149" s="34" t="s">
        <v>86</v>
      </c>
      <c r="I2149" s="18" t="s">
        <v>114</v>
      </c>
      <c r="J2149" s="31" t="s">
        <v>114</v>
      </c>
      <c r="K2149" s="31">
        <v>46174</v>
      </c>
      <c r="N2149" s="13" t="s">
        <v>30</v>
      </c>
      <c r="O2149" s="24" t="str">
        <f>IF(D2149="","",IF(COUNTIF(离职清单!C:C,D2149)&gt;0,"已离职","在职"))</f>
        <v>在职</v>
      </c>
      <c r="P2149" s="24">
        <f>IF(AND(O2149="在职",J2149="是"),COUNTIF(O$2:O2149,"在职"),"")</f>
        <v>2142</v>
      </c>
    </row>
    <row r="2150" ht="18" spans="1:16">
      <c r="A2150" s="10">
        <f t="shared" si="38"/>
        <v>2149</v>
      </c>
      <c r="B2150" s="31">
        <v>46174</v>
      </c>
      <c r="C2150" s="32" t="s">
        <v>1668</v>
      </c>
      <c r="D2150" s="120" t="s">
        <v>490</v>
      </c>
      <c r="E2150" s="33" t="s">
        <v>43</v>
      </c>
      <c r="F2150" s="18" t="s">
        <v>63</v>
      </c>
      <c r="G2150" s="18" t="s">
        <v>124</v>
      </c>
      <c r="H2150" s="34" t="s">
        <v>86</v>
      </c>
      <c r="I2150" s="18" t="s">
        <v>114</v>
      </c>
      <c r="J2150" s="31" t="s">
        <v>114</v>
      </c>
      <c r="K2150" s="31">
        <v>46174</v>
      </c>
      <c r="N2150" s="13" t="s">
        <v>30</v>
      </c>
      <c r="O2150" s="24" t="str">
        <f>IF(D2150="","",IF(COUNTIF(离职清单!C:C,D2150)&gt;0,"已离职","在职"))</f>
        <v>在职</v>
      </c>
      <c r="P2150" s="24">
        <f>IF(AND(O2150="在职",J2150="是"),COUNTIF(O$2:O2150,"在职"),"")</f>
        <v>2143</v>
      </c>
    </row>
    <row r="2151" ht="18" spans="1:16">
      <c r="A2151" s="14">
        <f t="shared" si="38"/>
        <v>2150</v>
      </c>
      <c r="B2151" s="31">
        <v>46174</v>
      </c>
      <c r="C2151" s="32" t="s">
        <v>2225</v>
      </c>
      <c r="D2151" s="120" t="s">
        <v>492</v>
      </c>
      <c r="E2151" s="33" t="s">
        <v>43</v>
      </c>
      <c r="F2151" s="18" t="s">
        <v>62</v>
      </c>
      <c r="G2151" s="18" t="s">
        <v>124</v>
      </c>
      <c r="H2151" s="34" t="s">
        <v>86</v>
      </c>
      <c r="I2151" s="18" t="s">
        <v>114</v>
      </c>
      <c r="J2151" s="31" t="s">
        <v>114</v>
      </c>
      <c r="K2151" s="31">
        <v>46174</v>
      </c>
      <c r="N2151" s="13" t="s">
        <v>30</v>
      </c>
      <c r="O2151" s="24" t="str">
        <f>IF(D2151="","",IF(COUNTIF(离职清单!C:C,D2151)&gt;0,"已离职","在职"))</f>
        <v>在职</v>
      </c>
      <c r="P2151" s="24">
        <f>IF(AND(O2151="在职",J2151="是"),COUNTIF(O$2:O2151,"在职"),"")</f>
        <v>2144</v>
      </c>
    </row>
    <row r="2152" ht="18" spans="1:16">
      <c r="A2152" s="10">
        <f t="shared" si="38"/>
        <v>2151</v>
      </c>
      <c r="B2152" s="31">
        <v>46174</v>
      </c>
      <c r="C2152" s="32" t="s">
        <v>1370</v>
      </c>
      <c r="D2152" s="120" t="s">
        <v>477</v>
      </c>
      <c r="E2152" s="33" t="s">
        <v>43</v>
      </c>
      <c r="F2152" s="18" t="s">
        <v>63</v>
      </c>
      <c r="G2152" s="18" t="s">
        <v>124</v>
      </c>
      <c r="H2152" s="34" t="s">
        <v>86</v>
      </c>
      <c r="I2152" s="18" t="s">
        <v>114</v>
      </c>
      <c r="J2152" s="31" t="s">
        <v>105</v>
      </c>
      <c r="K2152" s="31"/>
      <c r="N2152" s="13" t="s">
        <v>30</v>
      </c>
      <c r="O2152" s="24" t="str">
        <f>IF(D2152="","",IF(COUNTIF(离职清单!C:C,D2152)&gt;0,"已离职","在职"))</f>
        <v>在职</v>
      </c>
      <c r="P2152" s="24" t="str">
        <f>IF(AND(O2152="在职",J2152="是"),COUNTIF(O$2:O2152,"在职"),"")</f>
        <v/>
      </c>
    </row>
    <row r="2153" ht="18" spans="1:16">
      <c r="A2153" s="14">
        <f t="shared" si="38"/>
        <v>2152</v>
      </c>
      <c r="B2153" s="31">
        <v>46174</v>
      </c>
      <c r="C2153" s="32" t="s">
        <v>1668</v>
      </c>
      <c r="D2153" s="120" t="s">
        <v>478</v>
      </c>
      <c r="E2153" s="33" t="s">
        <v>43</v>
      </c>
      <c r="F2153" s="18" t="s">
        <v>62</v>
      </c>
      <c r="G2153" s="18" t="s">
        <v>124</v>
      </c>
      <c r="H2153" s="34" t="s">
        <v>86</v>
      </c>
      <c r="I2153" s="18" t="s">
        <v>105</v>
      </c>
      <c r="J2153" s="31" t="s">
        <v>105</v>
      </c>
      <c r="K2153" s="31"/>
      <c r="N2153" s="13" t="s">
        <v>30</v>
      </c>
      <c r="O2153" s="24" t="str">
        <f>IF(D2153="","",IF(COUNTIF(离职清单!C:C,D2153)&gt;0,"已离职","在职"))</f>
        <v>在职</v>
      </c>
      <c r="P2153" s="24" t="str">
        <f>IF(AND(O2153="在职",J2153="是"),COUNTIF(O$2:O2153,"在职"),"")</f>
        <v/>
      </c>
    </row>
    <row r="2154" ht="18" spans="1:16">
      <c r="A2154" s="10">
        <f t="shared" si="38"/>
        <v>2153</v>
      </c>
      <c r="B2154" s="31">
        <v>46174</v>
      </c>
      <c r="C2154" s="32" t="s">
        <v>1736</v>
      </c>
      <c r="D2154" s="120" t="s">
        <v>480</v>
      </c>
      <c r="E2154" s="33" t="s">
        <v>43</v>
      </c>
      <c r="F2154" s="18" t="s">
        <v>63</v>
      </c>
      <c r="G2154" s="18" t="s">
        <v>103</v>
      </c>
      <c r="H2154" s="34" t="s">
        <v>86</v>
      </c>
      <c r="I2154" s="18" t="s">
        <v>114</v>
      </c>
      <c r="J2154" s="31" t="s">
        <v>114</v>
      </c>
      <c r="K2154" s="31">
        <v>46174</v>
      </c>
      <c r="N2154" s="13" t="s">
        <v>30</v>
      </c>
      <c r="O2154" s="24" t="str">
        <f>IF(D2154="","",IF(COUNTIF(离职清单!C:C,D2154)&gt;0,"已离职","在职"))</f>
        <v>在职</v>
      </c>
      <c r="P2154" s="24">
        <f>IF(AND(O2154="在职",J2154="是"),COUNTIF(O$2:O2154,"在职"),"")</f>
        <v>2147</v>
      </c>
    </row>
    <row r="2155" ht="18" spans="1:16">
      <c r="A2155" s="14">
        <f t="shared" si="38"/>
        <v>2154</v>
      </c>
      <c r="B2155" s="31">
        <v>46175</v>
      </c>
      <c r="C2155" s="32" t="s">
        <v>2226</v>
      </c>
      <c r="D2155" s="120" t="s">
        <v>482</v>
      </c>
      <c r="E2155" s="33" t="s">
        <v>42</v>
      </c>
      <c r="F2155" s="18" t="s">
        <v>63</v>
      </c>
      <c r="G2155" s="18" t="s">
        <v>2195</v>
      </c>
      <c r="H2155" s="34" t="s">
        <v>85</v>
      </c>
      <c r="I2155" s="18" t="s">
        <v>114</v>
      </c>
      <c r="J2155" s="31" t="s">
        <v>105</v>
      </c>
      <c r="K2155" s="31"/>
      <c r="N2155" s="13" t="s">
        <v>30</v>
      </c>
      <c r="O2155" s="24" t="str">
        <f>IF(D2155="","",IF(COUNTIF(离职清单!C:C,D2155)&gt;0,"已离职","在职"))</f>
        <v>在职</v>
      </c>
      <c r="P2155" s="24" t="str">
        <f>IF(AND(O2155="在职",J2155="是"),COUNTIF(O$2:O2155,"在职"),"")</f>
        <v/>
      </c>
    </row>
    <row r="2156" ht="18" spans="1:16">
      <c r="A2156" s="10">
        <f t="shared" ref="A2156:A2219" si="39">IF(B2156&lt;&gt;"",ROW()-1,"")</f>
        <v>2155</v>
      </c>
      <c r="B2156" s="31">
        <v>46175</v>
      </c>
      <c r="C2156" s="32" t="s">
        <v>2194</v>
      </c>
      <c r="D2156" s="120" t="s">
        <v>484</v>
      </c>
      <c r="E2156" s="33" t="s">
        <v>42</v>
      </c>
      <c r="F2156" s="18" t="s">
        <v>63</v>
      </c>
      <c r="G2156" s="18" t="s">
        <v>2195</v>
      </c>
      <c r="H2156" s="34" t="s">
        <v>85</v>
      </c>
      <c r="I2156" s="18" t="s">
        <v>2154</v>
      </c>
      <c r="J2156" s="31" t="s">
        <v>105</v>
      </c>
      <c r="K2156" s="31"/>
      <c r="N2156" s="13" t="s">
        <v>30</v>
      </c>
      <c r="O2156" s="24" t="str">
        <f>IF(D2156="","",IF(COUNTIF(离职清单!C:C,D2156)&gt;0,"已离职","在职"))</f>
        <v>在职</v>
      </c>
      <c r="P2156" s="24" t="str">
        <f>IF(AND(O2156="在职",J2156="是"),COUNTIF(O$2:O2156,"在职"),"")</f>
        <v/>
      </c>
    </row>
    <row r="2157" ht="18" spans="1:16">
      <c r="A2157" s="14">
        <f t="shared" si="39"/>
        <v>2156</v>
      </c>
      <c r="B2157" s="31">
        <v>46175</v>
      </c>
      <c r="C2157" s="32" t="s">
        <v>2206</v>
      </c>
      <c r="D2157" s="120" t="s">
        <v>486</v>
      </c>
      <c r="E2157" s="33" t="s">
        <v>42</v>
      </c>
      <c r="F2157" s="18" t="s">
        <v>62</v>
      </c>
      <c r="G2157" s="18" t="s">
        <v>148</v>
      </c>
      <c r="H2157" s="34" t="s">
        <v>85</v>
      </c>
      <c r="I2157" s="18" t="s">
        <v>2154</v>
      </c>
      <c r="J2157" s="31" t="s">
        <v>105</v>
      </c>
      <c r="K2157" s="31"/>
      <c r="N2157" s="13" t="s">
        <v>30</v>
      </c>
      <c r="O2157" s="24" t="str">
        <f>IF(D2157="","",IF(COUNTIF(离职清单!C:C,D2157)&gt;0,"已离职","在职"))</f>
        <v>在职</v>
      </c>
      <c r="P2157" s="24" t="str">
        <f>IF(AND(O2157="在职",J2157="是"),COUNTIF(O$2:O2157,"在职"),"")</f>
        <v/>
      </c>
    </row>
    <row r="2158" ht="18" spans="1:16">
      <c r="A2158" s="10">
        <f t="shared" si="39"/>
        <v>2157</v>
      </c>
      <c r="B2158" s="31">
        <v>46175</v>
      </c>
      <c r="C2158" s="32" t="s">
        <v>2227</v>
      </c>
      <c r="D2158" s="120" t="s">
        <v>488</v>
      </c>
      <c r="E2158" s="33" t="s">
        <v>42</v>
      </c>
      <c r="F2158" s="18" t="s">
        <v>63</v>
      </c>
      <c r="G2158" s="18" t="s">
        <v>148</v>
      </c>
      <c r="H2158" s="34" t="s">
        <v>85</v>
      </c>
      <c r="I2158" s="18" t="s">
        <v>2154</v>
      </c>
      <c r="J2158" s="31" t="s">
        <v>105</v>
      </c>
      <c r="K2158" s="31"/>
      <c r="N2158" s="13" t="s">
        <v>30</v>
      </c>
      <c r="O2158" s="24" t="str">
        <f>IF(D2158="","",IF(COUNTIF(离职清单!C:C,D2158)&gt;0,"已离职","在职"))</f>
        <v>在职</v>
      </c>
      <c r="P2158" s="24" t="str">
        <f>IF(AND(O2158="在职",J2158="是"),COUNTIF(O$2:O2158,"在职"),"")</f>
        <v/>
      </c>
    </row>
    <row r="2159" ht="18" spans="1:16">
      <c r="A2159" s="14">
        <f t="shared" si="39"/>
        <v>2158</v>
      </c>
      <c r="B2159" s="31">
        <v>46175</v>
      </c>
      <c r="C2159" s="32" t="s">
        <v>2228</v>
      </c>
      <c r="D2159" s="120" t="s">
        <v>490</v>
      </c>
      <c r="E2159" s="33" t="s">
        <v>42</v>
      </c>
      <c r="F2159" s="18" t="s">
        <v>64</v>
      </c>
      <c r="G2159" s="18" t="s">
        <v>2164</v>
      </c>
      <c r="H2159" s="34" t="s">
        <v>85</v>
      </c>
      <c r="I2159" s="18" t="s">
        <v>114</v>
      </c>
      <c r="J2159" s="31" t="s">
        <v>114</v>
      </c>
      <c r="K2159" s="31">
        <v>46179</v>
      </c>
      <c r="N2159" s="13" t="s">
        <v>30</v>
      </c>
      <c r="O2159" s="24" t="str">
        <f>IF(D2159="","",IF(COUNTIF(离职清单!C:C,D2159)&gt;0,"已离职","在职"))</f>
        <v>在职</v>
      </c>
      <c r="P2159" s="24">
        <f>IF(AND(O2159="在职",J2159="是"),COUNTIF(O$2:O2159,"在职"),"")</f>
        <v>2152</v>
      </c>
    </row>
    <row r="2160" ht="18" spans="1:16">
      <c r="A2160" s="10">
        <f t="shared" si="39"/>
        <v>2159</v>
      </c>
      <c r="B2160" s="31">
        <v>46175</v>
      </c>
      <c r="C2160" s="32" t="s">
        <v>1869</v>
      </c>
      <c r="D2160" s="120" t="s">
        <v>492</v>
      </c>
      <c r="E2160" s="33" t="s">
        <v>42</v>
      </c>
      <c r="F2160" s="18" t="s">
        <v>63</v>
      </c>
      <c r="G2160" s="18" t="s">
        <v>2164</v>
      </c>
      <c r="H2160" s="34" t="s">
        <v>85</v>
      </c>
      <c r="I2160" s="18" t="s">
        <v>2154</v>
      </c>
      <c r="J2160" s="31" t="s">
        <v>105</v>
      </c>
      <c r="K2160" s="31"/>
      <c r="N2160" s="13" t="s">
        <v>30</v>
      </c>
      <c r="O2160" s="24" t="str">
        <f>IF(D2160="","",IF(COUNTIF(离职清单!C:C,D2160)&gt;0,"已离职","在职"))</f>
        <v>在职</v>
      </c>
      <c r="P2160" s="24" t="str">
        <f>IF(AND(O2160="在职",J2160="是"),COUNTIF(O$2:O2160,"在职"),"")</f>
        <v/>
      </c>
    </row>
    <row r="2161" ht="18" spans="1:16">
      <c r="A2161" s="14">
        <f t="shared" si="39"/>
        <v>2160</v>
      </c>
      <c r="B2161" s="31">
        <v>46175</v>
      </c>
      <c r="C2161" s="32" t="s">
        <v>2229</v>
      </c>
      <c r="D2161" s="120" t="s">
        <v>477</v>
      </c>
      <c r="E2161" s="33" t="s">
        <v>42</v>
      </c>
      <c r="F2161" s="18" t="s">
        <v>63</v>
      </c>
      <c r="G2161" s="18" t="s">
        <v>2164</v>
      </c>
      <c r="H2161" s="34" t="s">
        <v>85</v>
      </c>
      <c r="I2161" s="18" t="s">
        <v>2154</v>
      </c>
      <c r="J2161" s="31" t="s">
        <v>105</v>
      </c>
      <c r="K2161" s="31"/>
      <c r="N2161" s="13" t="s">
        <v>30</v>
      </c>
      <c r="O2161" s="24" t="str">
        <f>IF(D2161="","",IF(COUNTIF(离职清单!C:C,D2161)&gt;0,"已离职","在职"))</f>
        <v>在职</v>
      </c>
      <c r="P2161" s="24" t="str">
        <f>IF(AND(O2161="在职",J2161="是"),COUNTIF(O$2:O2161,"在职"),"")</f>
        <v/>
      </c>
    </row>
    <row r="2162" ht="18" spans="1:16">
      <c r="A2162" s="10">
        <f t="shared" si="39"/>
        <v>2161</v>
      </c>
      <c r="B2162" s="31">
        <v>46175</v>
      </c>
      <c r="C2162" s="32" t="s">
        <v>2230</v>
      </c>
      <c r="D2162" s="120" t="s">
        <v>477</v>
      </c>
      <c r="E2162" s="33" t="s">
        <v>42</v>
      </c>
      <c r="F2162" s="18" t="s">
        <v>63</v>
      </c>
      <c r="G2162" s="18" t="s">
        <v>1511</v>
      </c>
      <c r="H2162" s="34" t="s">
        <v>85</v>
      </c>
      <c r="I2162" s="18" t="s">
        <v>114</v>
      </c>
      <c r="J2162" s="31" t="s">
        <v>114</v>
      </c>
      <c r="K2162" s="31">
        <v>46177</v>
      </c>
      <c r="N2162" s="13" t="s">
        <v>30</v>
      </c>
      <c r="O2162" s="24" t="str">
        <f>IF(D2162="","",IF(COUNTIF(离职清单!C:C,D2162)&gt;0,"已离职","在职"))</f>
        <v>在职</v>
      </c>
      <c r="P2162" s="24">
        <f>IF(AND(O2162="在职",J2162="是"),COUNTIF(O$2:O2162,"在职"),"")</f>
        <v>2155</v>
      </c>
    </row>
    <row r="2163" ht="18" spans="1:16">
      <c r="A2163" s="14">
        <f t="shared" si="39"/>
        <v>2162</v>
      </c>
      <c r="B2163" s="31">
        <v>46175</v>
      </c>
      <c r="C2163" s="32" t="s">
        <v>2223</v>
      </c>
      <c r="D2163" s="120" t="s">
        <v>478</v>
      </c>
      <c r="E2163" s="33" t="s">
        <v>42</v>
      </c>
      <c r="F2163" s="18" t="s">
        <v>64</v>
      </c>
      <c r="G2163" s="18" t="s">
        <v>148</v>
      </c>
      <c r="H2163" s="34" t="s">
        <v>85</v>
      </c>
      <c r="I2163" s="18" t="s">
        <v>2154</v>
      </c>
      <c r="J2163" s="31" t="s">
        <v>105</v>
      </c>
      <c r="K2163" s="31"/>
      <c r="N2163" s="13" t="s">
        <v>30</v>
      </c>
      <c r="O2163" s="24" t="str">
        <f>IF(D2163="","",IF(COUNTIF(离职清单!C:C,D2163)&gt;0,"已离职","在职"))</f>
        <v>在职</v>
      </c>
      <c r="P2163" s="24" t="str">
        <f>IF(AND(O2163="在职",J2163="是"),COUNTIF(O$2:O2163,"在职"),"")</f>
        <v/>
      </c>
    </row>
    <row r="2164" ht="18" spans="1:16">
      <c r="A2164" s="10">
        <f t="shared" si="39"/>
        <v>2163</v>
      </c>
      <c r="B2164" s="31">
        <v>46175</v>
      </c>
      <c r="C2164" s="32" t="s">
        <v>2231</v>
      </c>
      <c r="D2164" s="120" t="s">
        <v>480</v>
      </c>
      <c r="E2164" s="33" t="s">
        <v>42</v>
      </c>
      <c r="F2164" s="18" t="s">
        <v>62</v>
      </c>
      <c r="G2164" s="18" t="s">
        <v>2232</v>
      </c>
      <c r="H2164" s="34" t="s">
        <v>85</v>
      </c>
      <c r="I2164" s="18" t="s">
        <v>2154</v>
      </c>
      <c r="J2164" s="31" t="s">
        <v>105</v>
      </c>
      <c r="K2164" s="31"/>
      <c r="N2164" s="13" t="s">
        <v>30</v>
      </c>
      <c r="O2164" s="24" t="str">
        <f>IF(D2164="","",IF(COUNTIF(离职清单!C:C,D2164)&gt;0,"已离职","在职"))</f>
        <v>在职</v>
      </c>
      <c r="P2164" s="24" t="str">
        <f>IF(AND(O2164="在职",J2164="是"),COUNTIF(O$2:O2164,"在职"),"")</f>
        <v/>
      </c>
    </row>
    <row r="2165" ht="18" spans="1:16">
      <c r="A2165" s="14">
        <f t="shared" si="39"/>
        <v>2164</v>
      </c>
      <c r="B2165" s="31">
        <v>46175</v>
      </c>
      <c r="C2165" s="32" t="s">
        <v>2233</v>
      </c>
      <c r="D2165" s="120" t="s">
        <v>482</v>
      </c>
      <c r="E2165" s="33" t="s">
        <v>42</v>
      </c>
      <c r="F2165" s="18" t="s">
        <v>63</v>
      </c>
      <c r="G2165" s="18" t="s">
        <v>2232</v>
      </c>
      <c r="H2165" s="34" t="s">
        <v>85</v>
      </c>
      <c r="I2165" s="18" t="s">
        <v>114</v>
      </c>
      <c r="J2165" s="31" t="s">
        <v>105</v>
      </c>
      <c r="K2165" s="31"/>
      <c r="N2165" s="13" t="s">
        <v>30</v>
      </c>
      <c r="O2165" s="24" t="str">
        <f>IF(D2165="","",IF(COUNTIF(离职清单!C:C,D2165)&gt;0,"已离职","在职"))</f>
        <v>在职</v>
      </c>
      <c r="P2165" s="24" t="str">
        <f>IF(AND(O2165="在职",J2165="是"),COUNTIF(O$2:O2165,"在职"),"")</f>
        <v/>
      </c>
    </row>
    <row r="2166" ht="18" spans="1:16">
      <c r="A2166" s="10">
        <f t="shared" si="39"/>
        <v>2165</v>
      </c>
      <c r="B2166" s="31">
        <v>46175</v>
      </c>
      <c r="C2166" s="32" t="s">
        <v>2234</v>
      </c>
      <c r="D2166" s="120" t="s">
        <v>484</v>
      </c>
      <c r="E2166" s="33" t="s">
        <v>42</v>
      </c>
      <c r="F2166" s="18" t="s">
        <v>63</v>
      </c>
      <c r="G2166" s="18" t="s">
        <v>2181</v>
      </c>
      <c r="H2166" s="34" t="s">
        <v>85</v>
      </c>
      <c r="I2166" s="18" t="s">
        <v>2154</v>
      </c>
      <c r="J2166" s="31" t="s">
        <v>105</v>
      </c>
      <c r="K2166" s="31"/>
      <c r="N2166" s="13" t="s">
        <v>30</v>
      </c>
      <c r="O2166" s="24" t="str">
        <f>IF(D2166="","",IF(COUNTIF(离职清单!C:C,D2166)&gt;0,"已离职","在职"))</f>
        <v>在职</v>
      </c>
      <c r="P2166" s="24" t="str">
        <f>IF(AND(O2166="在职",J2166="是"),COUNTIF(O$2:O2166,"在职"),"")</f>
        <v/>
      </c>
    </row>
    <row r="2167" ht="18" spans="1:16">
      <c r="A2167" s="14">
        <f t="shared" si="39"/>
        <v>2166</v>
      </c>
      <c r="B2167" s="31">
        <v>46175</v>
      </c>
      <c r="C2167" s="32" t="s">
        <v>2235</v>
      </c>
      <c r="D2167" s="120" t="s">
        <v>486</v>
      </c>
      <c r="E2167" s="33" t="s">
        <v>42</v>
      </c>
      <c r="F2167" s="18" t="s">
        <v>62</v>
      </c>
      <c r="G2167" s="18" t="s">
        <v>2181</v>
      </c>
      <c r="H2167" s="34" t="s">
        <v>85</v>
      </c>
      <c r="I2167" s="18" t="s">
        <v>114</v>
      </c>
      <c r="J2167" s="31" t="s">
        <v>114</v>
      </c>
      <c r="K2167" s="31">
        <v>46176</v>
      </c>
      <c r="N2167" s="13" t="s">
        <v>30</v>
      </c>
      <c r="O2167" s="24" t="str">
        <f>IF(D2167="","",IF(COUNTIF(离职清单!C:C,D2167)&gt;0,"已离职","在职"))</f>
        <v>在职</v>
      </c>
      <c r="P2167" s="24">
        <f>IF(AND(O2167="在职",J2167="是"),COUNTIF(O$2:O2167,"在职"),"")</f>
        <v>2160</v>
      </c>
    </row>
    <row r="2168" ht="18" spans="1:16">
      <c r="A2168" s="10">
        <f t="shared" si="39"/>
        <v>2167</v>
      </c>
      <c r="B2168" s="31">
        <v>46175</v>
      </c>
      <c r="C2168" s="32" t="s">
        <v>2215</v>
      </c>
      <c r="D2168" s="120" t="s">
        <v>488</v>
      </c>
      <c r="E2168" s="33" t="s">
        <v>42</v>
      </c>
      <c r="F2168" s="18" t="s">
        <v>62</v>
      </c>
      <c r="G2168" s="18" t="s">
        <v>129</v>
      </c>
      <c r="H2168" s="34" t="s">
        <v>85</v>
      </c>
      <c r="I2168" s="18" t="s">
        <v>2154</v>
      </c>
      <c r="J2168" s="31" t="s">
        <v>105</v>
      </c>
      <c r="K2168" s="31"/>
      <c r="N2168" s="13" t="s">
        <v>30</v>
      </c>
      <c r="O2168" s="24" t="str">
        <f>IF(D2168="","",IF(COUNTIF(离职清单!C:C,D2168)&gt;0,"已离职","在职"))</f>
        <v>在职</v>
      </c>
      <c r="P2168" s="24" t="str">
        <f>IF(AND(O2168="在职",J2168="是"),COUNTIF(O$2:O2168,"在职"),"")</f>
        <v/>
      </c>
    </row>
    <row r="2169" ht="18" spans="1:16">
      <c r="A2169" s="14">
        <f t="shared" si="39"/>
        <v>2168</v>
      </c>
      <c r="B2169" s="31">
        <v>46175</v>
      </c>
      <c r="C2169" s="32" t="s">
        <v>2236</v>
      </c>
      <c r="D2169" s="120" t="s">
        <v>490</v>
      </c>
      <c r="E2169" s="33" t="s">
        <v>42</v>
      </c>
      <c r="F2169" s="18" t="s">
        <v>62</v>
      </c>
      <c r="G2169" s="18" t="s">
        <v>129</v>
      </c>
      <c r="H2169" s="34" t="s">
        <v>85</v>
      </c>
      <c r="I2169" s="18" t="s">
        <v>2154</v>
      </c>
      <c r="J2169" s="31" t="s">
        <v>105</v>
      </c>
      <c r="K2169" s="31"/>
      <c r="N2169" s="13" t="s">
        <v>30</v>
      </c>
      <c r="O2169" s="24" t="str">
        <f>IF(D2169="","",IF(COUNTIF(离职清单!C:C,D2169)&gt;0,"已离职","在职"))</f>
        <v>在职</v>
      </c>
      <c r="P2169" s="24" t="str">
        <f>IF(AND(O2169="在职",J2169="是"),COUNTIF(O$2:O2169,"在职"),"")</f>
        <v/>
      </c>
    </row>
    <row r="2170" ht="18" spans="1:16">
      <c r="A2170" s="10">
        <f t="shared" si="39"/>
        <v>2169</v>
      </c>
      <c r="B2170" s="31">
        <v>46175</v>
      </c>
      <c r="C2170" s="32" t="s">
        <v>2237</v>
      </c>
      <c r="D2170" s="120" t="s">
        <v>492</v>
      </c>
      <c r="E2170" s="33" t="s">
        <v>42</v>
      </c>
      <c r="F2170" s="18" t="s">
        <v>62</v>
      </c>
      <c r="G2170" s="18" t="s">
        <v>129</v>
      </c>
      <c r="H2170" s="34" t="s">
        <v>85</v>
      </c>
      <c r="I2170" s="18" t="s">
        <v>2154</v>
      </c>
      <c r="J2170" s="31" t="s">
        <v>105</v>
      </c>
      <c r="K2170" s="31"/>
      <c r="N2170" s="13" t="s">
        <v>30</v>
      </c>
      <c r="O2170" s="24" t="str">
        <f>IF(D2170="","",IF(COUNTIF(离职清单!C:C,D2170)&gt;0,"已离职","在职"))</f>
        <v>在职</v>
      </c>
      <c r="P2170" s="24" t="str">
        <f>IF(AND(O2170="在职",J2170="是"),COUNTIF(O$2:O2170,"在职"),"")</f>
        <v/>
      </c>
    </row>
    <row r="2171" ht="18" spans="1:16">
      <c r="A2171" s="14">
        <f t="shared" si="39"/>
        <v>2170</v>
      </c>
      <c r="B2171" s="31">
        <v>46175</v>
      </c>
      <c r="C2171" s="32" t="s">
        <v>2238</v>
      </c>
      <c r="D2171" s="120" t="s">
        <v>477</v>
      </c>
      <c r="E2171" s="33" t="s">
        <v>42</v>
      </c>
      <c r="F2171" s="18" t="s">
        <v>62</v>
      </c>
      <c r="G2171" s="18" t="s">
        <v>129</v>
      </c>
      <c r="H2171" s="34" t="s">
        <v>85</v>
      </c>
      <c r="I2171" s="18" t="s">
        <v>2154</v>
      </c>
      <c r="J2171" s="31" t="s">
        <v>105</v>
      </c>
      <c r="K2171" s="31"/>
      <c r="N2171" s="13" t="s">
        <v>30</v>
      </c>
      <c r="O2171" s="24" t="str">
        <f>IF(D2171="","",IF(COUNTIF(离职清单!C:C,D2171)&gt;0,"已离职","在职"))</f>
        <v>在职</v>
      </c>
      <c r="P2171" s="24" t="str">
        <f>IF(AND(O2171="在职",J2171="是"),COUNTIF(O$2:O2171,"在职"),"")</f>
        <v/>
      </c>
    </row>
    <row r="2172" ht="18" spans="1:16">
      <c r="A2172" s="10">
        <f t="shared" si="39"/>
        <v>2171</v>
      </c>
      <c r="B2172" s="31">
        <v>46175</v>
      </c>
      <c r="C2172" s="32" t="s">
        <v>2239</v>
      </c>
      <c r="D2172" s="120" t="s">
        <v>478</v>
      </c>
      <c r="E2172" s="33" t="s">
        <v>42</v>
      </c>
      <c r="F2172" s="18" t="s">
        <v>62</v>
      </c>
      <c r="G2172" s="18" t="s">
        <v>129</v>
      </c>
      <c r="H2172" s="34" t="s">
        <v>85</v>
      </c>
      <c r="I2172" s="18" t="s">
        <v>2154</v>
      </c>
      <c r="J2172" s="31" t="s">
        <v>105</v>
      </c>
      <c r="K2172" s="31"/>
      <c r="N2172" s="13" t="s">
        <v>30</v>
      </c>
      <c r="O2172" s="24" t="str">
        <f>IF(D2172="","",IF(COUNTIF(离职清单!C:C,D2172)&gt;0,"已离职","在职"))</f>
        <v>在职</v>
      </c>
      <c r="P2172" s="24" t="str">
        <f>IF(AND(O2172="在职",J2172="是"),COUNTIF(O$2:O2172,"在职"),"")</f>
        <v/>
      </c>
    </row>
    <row r="2173" ht="18" spans="1:16">
      <c r="A2173" s="14">
        <f t="shared" si="39"/>
        <v>2172</v>
      </c>
      <c r="B2173" s="31">
        <v>46175</v>
      </c>
      <c r="C2173" s="32" t="s">
        <v>2212</v>
      </c>
      <c r="D2173" s="120" t="s">
        <v>480</v>
      </c>
      <c r="E2173" s="33" t="s">
        <v>42</v>
      </c>
      <c r="F2173" s="18" t="s">
        <v>62</v>
      </c>
      <c r="G2173" s="18" t="s">
        <v>129</v>
      </c>
      <c r="H2173" s="34" t="s">
        <v>85</v>
      </c>
      <c r="I2173" s="18" t="s">
        <v>2154</v>
      </c>
      <c r="J2173" s="31" t="s">
        <v>105</v>
      </c>
      <c r="K2173" s="31"/>
      <c r="N2173" s="13" t="s">
        <v>30</v>
      </c>
      <c r="O2173" s="24" t="str">
        <f>IF(D2173="","",IF(COUNTIF(离职清单!C:C,D2173)&gt;0,"已离职","在职"))</f>
        <v>在职</v>
      </c>
      <c r="P2173" s="24" t="str">
        <f>IF(AND(O2173="在职",J2173="是"),COUNTIF(O$2:O2173,"在职"),"")</f>
        <v/>
      </c>
    </row>
    <row r="2174" ht="18" spans="1:16">
      <c r="A2174" s="10">
        <f t="shared" si="39"/>
        <v>2173</v>
      </c>
      <c r="B2174" s="31">
        <v>46175</v>
      </c>
      <c r="C2174" s="32" t="s">
        <v>1869</v>
      </c>
      <c r="D2174" s="120" t="s">
        <v>482</v>
      </c>
      <c r="E2174" s="33" t="s">
        <v>42</v>
      </c>
      <c r="F2174" s="18" t="s">
        <v>63</v>
      </c>
      <c r="G2174" s="18" t="s">
        <v>129</v>
      </c>
      <c r="H2174" s="34" t="s">
        <v>85</v>
      </c>
      <c r="I2174" s="18" t="s">
        <v>2154</v>
      </c>
      <c r="J2174" s="31" t="s">
        <v>105</v>
      </c>
      <c r="K2174" s="31"/>
      <c r="N2174" s="13" t="s">
        <v>30</v>
      </c>
      <c r="O2174" s="24" t="str">
        <f>IF(D2174="","",IF(COUNTIF(离职清单!C:C,D2174)&gt;0,"已离职","在职"))</f>
        <v>在职</v>
      </c>
      <c r="P2174" s="24" t="str">
        <f>IF(AND(O2174="在职",J2174="是"),COUNTIF(O$2:O2174,"在职"),"")</f>
        <v/>
      </c>
    </row>
    <row r="2175" ht="18" spans="1:16">
      <c r="A2175" s="14">
        <f t="shared" si="39"/>
        <v>2174</v>
      </c>
      <c r="B2175" s="31">
        <v>46175</v>
      </c>
      <c r="C2175" s="32" t="s">
        <v>2240</v>
      </c>
      <c r="D2175" s="120" t="s">
        <v>484</v>
      </c>
      <c r="E2175" s="33" t="s">
        <v>42</v>
      </c>
      <c r="F2175" s="18" t="s">
        <v>63</v>
      </c>
      <c r="G2175" s="18" t="s">
        <v>129</v>
      </c>
      <c r="H2175" s="34" t="s">
        <v>85</v>
      </c>
      <c r="I2175" s="18" t="s">
        <v>114</v>
      </c>
      <c r="J2175" s="31" t="s">
        <v>105</v>
      </c>
      <c r="K2175" s="31"/>
      <c r="N2175" s="13" t="s">
        <v>30</v>
      </c>
      <c r="O2175" s="24" t="str">
        <f>IF(D2175="","",IF(COUNTIF(离职清单!C:C,D2175)&gt;0,"已离职","在职"))</f>
        <v>在职</v>
      </c>
      <c r="P2175" s="24" t="str">
        <f>IF(AND(O2175="在职",J2175="是"),COUNTIF(O$2:O2175,"在职"),"")</f>
        <v/>
      </c>
    </row>
    <row r="2176" ht="18" spans="1:16">
      <c r="A2176" s="10">
        <f t="shared" si="39"/>
        <v>2175</v>
      </c>
      <c r="B2176" s="31">
        <v>46175</v>
      </c>
      <c r="C2176" s="32" t="s">
        <v>2241</v>
      </c>
      <c r="D2176" s="120" t="s">
        <v>486</v>
      </c>
      <c r="E2176" s="33" t="s">
        <v>42</v>
      </c>
      <c r="F2176" s="18" t="s">
        <v>63</v>
      </c>
      <c r="G2176" s="18" t="s">
        <v>129</v>
      </c>
      <c r="H2176" s="34" t="s">
        <v>85</v>
      </c>
      <c r="I2176" s="18" t="s">
        <v>2154</v>
      </c>
      <c r="J2176" s="31" t="s">
        <v>105</v>
      </c>
      <c r="K2176" s="31"/>
      <c r="N2176" s="13" t="s">
        <v>30</v>
      </c>
      <c r="O2176" s="24" t="str">
        <f>IF(D2176="","",IF(COUNTIF(离职清单!C:C,D2176)&gt;0,"已离职","在职"))</f>
        <v>在职</v>
      </c>
      <c r="P2176" s="24" t="str">
        <f>IF(AND(O2176="在职",J2176="是"),COUNTIF(O$2:O2176,"在职"),"")</f>
        <v/>
      </c>
    </row>
    <row r="2177" ht="18" spans="1:16">
      <c r="A2177" s="14">
        <f t="shared" si="39"/>
        <v>2176</v>
      </c>
      <c r="B2177" s="31">
        <v>46175</v>
      </c>
      <c r="C2177" s="32" t="s">
        <v>2242</v>
      </c>
      <c r="D2177" s="120" t="s">
        <v>488</v>
      </c>
      <c r="E2177" s="33" t="s">
        <v>42</v>
      </c>
      <c r="F2177" s="18" t="s">
        <v>63</v>
      </c>
      <c r="G2177" s="18" t="s">
        <v>129</v>
      </c>
      <c r="H2177" s="34" t="s">
        <v>85</v>
      </c>
      <c r="I2177" s="18" t="s">
        <v>2154</v>
      </c>
      <c r="J2177" s="31" t="s">
        <v>105</v>
      </c>
      <c r="K2177" s="31"/>
      <c r="N2177" s="13" t="s">
        <v>30</v>
      </c>
      <c r="O2177" s="24" t="str">
        <f>IF(D2177="","",IF(COUNTIF(离职清单!C:C,D2177)&gt;0,"已离职","在职"))</f>
        <v>在职</v>
      </c>
      <c r="P2177" s="24" t="str">
        <f>IF(AND(O2177="在职",J2177="是"),COUNTIF(O$2:O2177,"在职"),"")</f>
        <v/>
      </c>
    </row>
    <row r="2178" ht="18" spans="1:16">
      <c r="A2178" s="10">
        <f t="shared" si="39"/>
        <v>2177</v>
      </c>
      <c r="B2178" s="31">
        <v>46175</v>
      </c>
      <c r="C2178" s="32" t="s">
        <v>2243</v>
      </c>
      <c r="D2178" s="120" t="s">
        <v>490</v>
      </c>
      <c r="E2178" s="33" t="s">
        <v>42</v>
      </c>
      <c r="F2178" s="18" t="s">
        <v>63</v>
      </c>
      <c r="G2178" s="18" t="s">
        <v>129</v>
      </c>
      <c r="H2178" s="34" t="s">
        <v>85</v>
      </c>
      <c r="I2178" s="18" t="s">
        <v>114</v>
      </c>
      <c r="J2178" s="31" t="s">
        <v>114</v>
      </c>
      <c r="K2178" s="31">
        <v>46177</v>
      </c>
      <c r="N2178" s="13" t="s">
        <v>30</v>
      </c>
      <c r="O2178" s="24" t="str">
        <f>IF(D2178="","",IF(COUNTIF(离职清单!C:C,D2178)&gt;0,"已离职","在职"))</f>
        <v>在职</v>
      </c>
      <c r="P2178" s="24">
        <f>IF(AND(O2178="在职",J2178="是"),COUNTIF(O$2:O2178,"在职"),"")</f>
        <v>2171</v>
      </c>
    </row>
    <row r="2179" ht="18" spans="1:16">
      <c r="A2179" s="14">
        <f t="shared" si="39"/>
        <v>2178</v>
      </c>
      <c r="B2179" s="31">
        <v>46175</v>
      </c>
      <c r="C2179" s="32" t="s">
        <v>2242</v>
      </c>
      <c r="D2179" s="120" t="s">
        <v>492</v>
      </c>
      <c r="E2179" s="33" t="s">
        <v>42</v>
      </c>
      <c r="F2179" s="18" t="s">
        <v>63</v>
      </c>
      <c r="G2179" s="18" t="s">
        <v>2174</v>
      </c>
      <c r="H2179" s="34" t="s">
        <v>85</v>
      </c>
      <c r="I2179" s="18" t="s">
        <v>114</v>
      </c>
      <c r="J2179" s="31" t="s">
        <v>105</v>
      </c>
      <c r="K2179" s="31"/>
      <c r="N2179" s="13" t="s">
        <v>30</v>
      </c>
      <c r="O2179" s="24" t="str">
        <f>IF(D2179="","",IF(COUNTIF(离职清单!C:C,D2179)&gt;0,"已离职","在职"))</f>
        <v>在职</v>
      </c>
      <c r="P2179" s="24" t="str">
        <f>IF(AND(O2179="在职",J2179="是"),COUNTIF(O$2:O2179,"在职"),"")</f>
        <v/>
      </c>
    </row>
    <row r="2180" ht="18" spans="1:16">
      <c r="A2180" s="10">
        <f t="shared" si="39"/>
        <v>2179</v>
      </c>
      <c r="B2180" s="31">
        <v>46175</v>
      </c>
      <c r="C2180" s="32" t="s">
        <v>2173</v>
      </c>
      <c r="D2180" s="120" t="s">
        <v>477</v>
      </c>
      <c r="E2180" s="33" t="s">
        <v>42</v>
      </c>
      <c r="F2180" s="18" t="s">
        <v>63</v>
      </c>
      <c r="G2180" s="18" t="s">
        <v>2174</v>
      </c>
      <c r="H2180" s="34" t="s">
        <v>85</v>
      </c>
      <c r="I2180" s="18" t="s">
        <v>114</v>
      </c>
      <c r="J2180" s="31" t="s">
        <v>114</v>
      </c>
      <c r="K2180" s="31">
        <v>46177</v>
      </c>
      <c r="N2180" s="13" t="s">
        <v>30</v>
      </c>
      <c r="O2180" s="24" t="str">
        <f>IF(D2180="","",IF(COUNTIF(离职清单!C:C,D2180)&gt;0,"已离职","在职"))</f>
        <v>在职</v>
      </c>
      <c r="P2180" s="24">
        <f>IF(AND(O2180="在职",J2180="是"),COUNTIF(O$2:O2180,"在职"),"")</f>
        <v>2173</v>
      </c>
    </row>
    <row r="2181" ht="18" spans="1:16">
      <c r="A2181" s="14">
        <f t="shared" si="39"/>
        <v>2180</v>
      </c>
      <c r="B2181" s="31">
        <v>46175</v>
      </c>
      <c r="C2181" s="32" t="s">
        <v>2175</v>
      </c>
      <c r="D2181" s="120" t="s">
        <v>478</v>
      </c>
      <c r="E2181" s="33" t="s">
        <v>42</v>
      </c>
      <c r="F2181" s="18" t="s">
        <v>64</v>
      </c>
      <c r="G2181" s="18" t="s">
        <v>2174</v>
      </c>
      <c r="H2181" s="34" t="s">
        <v>85</v>
      </c>
      <c r="I2181" s="18" t="s">
        <v>114</v>
      </c>
      <c r="J2181" s="31" t="s">
        <v>105</v>
      </c>
      <c r="K2181" s="31"/>
      <c r="N2181" s="13" t="s">
        <v>30</v>
      </c>
      <c r="O2181" s="24" t="str">
        <f>IF(D2181="","",IF(COUNTIF(离职清单!C:C,D2181)&gt;0,"已离职","在职"))</f>
        <v>在职</v>
      </c>
      <c r="P2181" s="24" t="str">
        <f>IF(AND(O2181="在职",J2181="是"),COUNTIF(O$2:O2181,"在职"),"")</f>
        <v/>
      </c>
    </row>
    <row r="2182" ht="18" spans="1:16">
      <c r="A2182" s="10">
        <f t="shared" si="39"/>
        <v>2181</v>
      </c>
      <c r="B2182" s="31">
        <v>46175</v>
      </c>
      <c r="C2182" s="32" t="s">
        <v>2244</v>
      </c>
      <c r="D2182" s="120" t="s">
        <v>480</v>
      </c>
      <c r="E2182" s="33" t="s">
        <v>42</v>
      </c>
      <c r="F2182" s="18" t="s">
        <v>62</v>
      </c>
      <c r="G2182" s="18" t="s">
        <v>129</v>
      </c>
      <c r="H2182" s="34" t="s">
        <v>85</v>
      </c>
      <c r="I2182" s="18" t="s">
        <v>2154</v>
      </c>
      <c r="J2182" s="31" t="s">
        <v>105</v>
      </c>
      <c r="K2182" s="31"/>
      <c r="N2182" s="13" t="s">
        <v>30</v>
      </c>
      <c r="O2182" s="24" t="str">
        <f>IF(D2182="","",IF(COUNTIF(离职清单!C:C,D2182)&gt;0,"已离职","在职"))</f>
        <v>在职</v>
      </c>
      <c r="P2182" s="24" t="str">
        <f>IF(AND(O2182="在职",J2182="是"),COUNTIF(O$2:O2182,"在职"),"")</f>
        <v/>
      </c>
    </row>
    <row r="2183" ht="18" spans="1:16">
      <c r="A2183" s="14">
        <f t="shared" si="39"/>
        <v>2182</v>
      </c>
      <c r="B2183" s="31">
        <v>46175</v>
      </c>
      <c r="C2183" s="32" t="s">
        <v>2245</v>
      </c>
      <c r="D2183" s="120" t="s">
        <v>482</v>
      </c>
      <c r="E2183" s="33" t="s">
        <v>42</v>
      </c>
      <c r="F2183" s="18" t="s">
        <v>63</v>
      </c>
      <c r="G2183" s="18" t="s">
        <v>2179</v>
      </c>
      <c r="H2183" s="34" t="s">
        <v>85</v>
      </c>
      <c r="I2183" s="18" t="s">
        <v>114</v>
      </c>
      <c r="J2183" s="31" t="s">
        <v>105</v>
      </c>
      <c r="K2183" s="31"/>
      <c r="N2183" s="13" t="s">
        <v>30</v>
      </c>
      <c r="O2183" s="24" t="str">
        <f>IF(D2183="","",IF(COUNTIF(离职清单!C:C,D2183)&gt;0,"已离职","在职"))</f>
        <v>在职</v>
      </c>
      <c r="P2183" s="24" t="str">
        <f>IF(AND(O2183="在职",J2183="是"),COUNTIF(O$2:O2183,"在职"),"")</f>
        <v/>
      </c>
    </row>
    <row r="2184" ht="18" spans="1:16">
      <c r="A2184" s="10">
        <f t="shared" si="39"/>
        <v>2183</v>
      </c>
      <c r="B2184" s="31">
        <v>46175</v>
      </c>
      <c r="C2184" s="32" t="s">
        <v>2246</v>
      </c>
      <c r="D2184" s="120" t="s">
        <v>484</v>
      </c>
      <c r="E2184" s="33" t="s">
        <v>42</v>
      </c>
      <c r="F2184" s="18" t="s">
        <v>62</v>
      </c>
      <c r="G2184" s="18" t="s">
        <v>2153</v>
      </c>
      <c r="H2184" s="34" t="s">
        <v>85</v>
      </c>
      <c r="I2184" s="18" t="s">
        <v>2154</v>
      </c>
      <c r="J2184" s="31" t="s">
        <v>105</v>
      </c>
      <c r="K2184" s="31"/>
      <c r="N2184" s="13" t="s">
        <v>30</v>
      </c>
      <c r="O2184" s="24" t="str">
        <f>IF(D2184="","",IF(COUNTIF(离职清单!C:C,D2184)&gt;0,"已离职","在职"))</f>
        <v>在职</v>
      </c>
      <c r="P2184" s="24" t="str">
        <f>IF(AND(O2184="在职",J2184="是"),COUNTIF(O$2:O2184,"在职"),"")</f>
        <v/>
      </c>
    </row>
    <row r="2185" ht="18" spans="1:16">
      <c r="A2185" s="14">
        <f t="shared" si="39"/>
        <v>2184</v>
      </c>
      <c r="B2185" s="31">
        <v>46175</v>
      </c>
      <c r="C2185" s="32" t="s">
        <v>2247</v>
      </c>
      <c r="D2185" s="120" t="s">
        <v>486</v>
      </c>
      <c r="E2185" s="33" t="s">
        <v>42</v>
      </c>
      <c r="F2185" s="18" t="s">
        <v>64</v>
      </c>
      <c r="G2185" s="18" t="s">
        <v>2174</v>
      </c>
      <c r="H2185" s="34" t="s">
        <v>85</v>
      </c>
      <c r="I2185" s="18" t="s">
        <v>114</v>
      </c>
      <c r="J2185" s="31" t="s">
        <v>114</v>
      </c>
      <c r="K2185" s="31">
        <v>46177</v>
      </c>
      <c r="N2185" s="13" t="s">
        <v>30</v>
      </c>
      <c r="O2185" s="24" t="str">
        <f>IF(D2185="","",IF(COUNTIF(离职清单!C:C,D2185)&gt;0,"已离职","在职"))</f>
        <v>在职</v>
      </c>
      <c r="P2185" s="24">
        <f>IF(AND(O2185="在职",J2185="是"),COUNTIF(O$2:O2185,"在职"),"")</f>
        <v>2178</v>
      </c>
    </row>
    <row r="2186" ht="18" spans="1:16">
      <c r="A2186" s="10">
        <f t="shared" si="39"/>
        <v>2185</v>
      </c>
      <c r="B2186" s="31">
        <v>46175</v>
      </c>
      <c r="C2186" s="32" t="s">
        <v>2248</v>
      </c>
      <c r="D2186" s="120" t="s">
        <v>488</v>
      </c>
      <c r="E2186" s="33" t="s">
        <v>42</v>
      </c>
      <c r="F2186" s="18" t="s">
        <v>63</v>
      </c>
      <c r="G2186" s="18" t="s">
        <v>2174</v>
      </c>
      <c r="H2186" s="34" t="s">
        <v>85</v>
      </c>
      <c r="I2186" s="18" t="s">
        <v>2154</v>
      </c>
      <c r="J2186" s="31" t="s">
        <v>105</v>
      </c>
      <c r="K2186" s="31"/>
      <c r="N2186" s="13" t="s">
        <v>30</v>
      </c>
      <c r="O2186" s="24" t="str">
        <f>IF(D2186="","",IF(COUNTIF(离职清单!C:C,D2186)&gt;0,"已离职","在职"))</f>
        <v>在职</v>
      </c>
      <c r="P2186" s="24" t="str">
        <f>IF(AND(O2186="在职",J2186="是"),COUNTIF(O$2:O2186,"在职"),"")</f>
        <v/>
      </c>
    </row>
    <row r="2187" ht="18" spans="1:16">
      <c r="A2187" s="14">
        <f t="shared" si="39"/>
        <v>2186</v>
      </c>
      <c r="B2187" s="31">
        <v>46175</v>
      </c>
      <c r="C2187" s="32" t="s">
        <v>2249</v>
      </c>
      <c r="D2187" s="120" t="s">
        <v>490</v>
      </c>
      <c r="E2187" s="33" t="s">
        <v>42</v>
      </c>
      <c r="F2187" s="18" t="s">
        <v>62</v>
      </c>
      <c r="G2187" s="18" t="s">
        <v>2250</v>
      </c>
      <c r="H2187" s="34" t="s">
        <v>85</v>
      </c>
      <c r="I2187" s="18" t="s">
        <v>2154</v>
      </c>
      <c r="J2187" s="31" t="s">
        <v>105</v>
      </c>
      <c r="K2187" s="31"/>
      <c r="N2187" s="13" t="s">
        <v>30</v>
      </c>
      <c r="O2187" s="24" t="str">
        <f>IF(D2187="","",IF(COUNTIF(离职清单!C:C,D2187)&gt;0,"已离职","在职"))</f>
        <v>在职</v>
      </c>
      <c r="P2187" s="24" t="str">
        <f>IF(AND(O2187="在职",J2187="是"),COUNTIF(O$2:O2187,"在职"),"")</f>
        <v/>
      </c>
    </row>
    <row r="2188" ht="18" spans="1:16">
      <c r="A2188" s="10">
        <f t="shared" si="39"/>
        <v>2187</v>
      </c>
      <c r="B2188" s="31">
        <v>46175</v>
      </c>
      <c r="C2188" s="32" t="s">
        <v>2251</v>
      </c>
      <c r="D2188" s="120" t="s">
        <v>492</v>
      </c>
      <c r="E2188" s="33" t="s">
        <v>42</v>
      </c>
      <c r="F2188" s="18" t="s">
        <v>62</v>
      </c>
      <c r="G2188" s="18" t="s">
        <v>2250</v>
      </c>
      <c r="H2188" s="34" t="s">
        <v>85</v>
      </c>
      <c r="I2188" s="18" t="s">
        <v>2154</v>
      </c>
      <c r="J2188" s="31" t="s">
        <v>105</v>
      </c>
      <c r="K2188" s="31"/>
      <c r="N2188" s="13" t="s">
        <v>30</v>
      </c>
      <c r="O2188" s="24" t="str">
        <f>IF(D2188="","",IF(COUNTIF(离职清单!C:C,D2188)&gt;0,"已离职","在职"))</f>
        <v>在职</v>
      </c>
      <c r="P2188" s="24" t="str">
        <f>IF(AND(O2188="在职",J2188="是"),COUNTIF(O$2:O2188,"在职"),"")</f>
        <v/>
      </c>
    </row>
    <row r="2189" ht="18" spans="1:16">
      <c r="A2189" s="14">
        <f t="shared" si="39"/>
        <v>2188</v>
      </c>
      <c r="B2189" s="31">
        <v>46175</v>
      </c>
      <c r="C2189" s="32" t="s">
        <v>2252</v>
      </c>
      <c r="D2189" s="120" t="s">
        <v>477</v>
      </c>
      <c r="E2189" s="33" t="s">
        <v>42</v>
      </c>
      <c r="F2189" s="18" t="s">
        <v>63</v>
      </c>
      <c r="G2189" s="18" t="s">
        <v>148</v>
      </c>
      <c r="H2189" s="34" t="s">
        <v>85</v>
      </c>
      <c r="I2189" s="18" t="s">
        <v>114</v>
      </c>
      <c r="J2189" s="31" t="s">
        <v>114</v>
      </c>
      <c r="K2189" s="31">
        <v>46177</v>
      </c>
      <c r="N2189" s="13" t="s">
        <v>30</v>
      </c>
      <c r="O2189" s="24" t="str">
        <f>IF(D2189="","",IF(COUNTIF(离职清单!C:C,D2189)&gt;0,"已离职","在职"))</f>
        <v>在职</v>
      </c>
      <c r="P2189" s="24">
        <f>IF(AND(O2189="在职",J2189="是"),COUNTIF(O$2:O2189,"在职"),"")</f>
        <v>2182</v>
      </c>
    </row>
    <row r="2190" ht="18" spans="1:16">
      <c r="A2190" s="10">
        <f t="shared" si="39"/>
        <v>2189</v>
      </c>
      <c r="B2190" s="31">
        <v>46175</v>
      </c>
      <c r="C2190" s="32" t="s">
        <v>2253</v>
      </c>
      <c r="D2190" s="120" t="s">
        <v>478</v>
      </c>
      <c r="E2190" s="33" t="s">
        <v>42</v>
      </c>
      <c r="F2190" s="18" t="s">
        <v>63</v>
      </c>
      <c r="G2190" s="18" t="s">
        <v>2164</v>
      </c>
      <c r="H2190" s="34" t="s">
        <v>85</v>
      </c>
      <c r="I2190" s="18" t="s">
        <v>2154</v>
      </c>
      <c r="J2190" s="31" t="s">
        <v>105</v>
      </c>
      <c r="K2190" s="31"/>
      <c r="N2190" s="13" t="s">
        <v>30</v>
      </c>
      <c r="O2190" s="24" t="str">
        <f>IF(D2190="","",IF(COUNTIF(离职清单!C:C,D2190)&gt;0,"已离职","在职"))</f>
        <v>在职</v>
      </c>
      <c r="P2190" s="24" t="str">
        <f>IF(AND(O2190="在职",J2190="是"),COUNTIF(O$2:O2190,"在职"),"")</f>
        <v/>
      </c>
    </row>
    <row r="2191" ht="18" spans="1:16">
      <c r="A2191" s="14">
        <f t="shared" si="39"/>
        <v>2190</v>
      </c>
      <c r="B2191" s="31">
        <v>46175</v>
      </c>
      <c r="C2191" s="32" t="s">
        <v>2254</v>
      </c>
      <c r="D2191" s="120" t="s">
        <v>480</v>
      </c>
      <c r="E2191" s="33" t="s">
        <v>42</v>
      </c>
      <c r="F2191" s="18" t="s">
        <v>62</v>
      </c>
      <c r="G2191" s="18" t="s">
        <v>2164</v>
      </c>
      <c r="H2191" s="34" t="s">
        <v>85</v>
      </c>
      <c r="I2191" s="18" t="s">
        <v>114</v>
      </c>
      <c r="J2191" s="31" t="s">
        <v>105</v>
      </c>
      <c r="K2191" s="31"/>
      <c r="N2191" s="13" t="s">
        <v>30</v>
      </c>
      <c r="O2191" s="24" t="str">
        <f>IF(D2191="","",IF(COUNTIF(离职清单!C:C,D2191)&gt;0,"已离职","在职"))</f>
        <v>在职</v>
      </c>
      <c r="P2191" s="24" t="str">
        <f>IF(AND(O2191="在职",J2191="是"),COUNTIF(O$2:O2191,"在职"),"")</f>
        <v/>
      </c>
    </row>
    <row r="2192" ht="18" spans="1:16">
      <c r="A2192" s="10">
        <f t="shared" si="39"/>
        <v>2191</v>
      </c>
      <c r="B2192" s="31">
        <v>46175</v>
      </c>
      <c r="C2192" s="32" t="s">
        <v>2255</v>
      </c>
      <c r="D2192" s="120" t="s">
        <v>482</v>
      </c>
      <c r="E2192" s="33" t="s">
        <v>42</v>
      </c>
      <c r="F2192" s="18" t="s">
        <v>63</v>
      </c>
      <c r="G2192" s="18" t="s">
        <v>2164</v>
      </c>
      <c r="H2192" s="34" t="s">
        <v>85</v>
      </c>
      <c r="I2192" s="18" t="s">
        <v>2154</v>
      </c>
      <c r="J2192" s="31" t="s">
        <v>105</v>
      </c>
      <c r="K2192" s="31"/>
      <c r="N2192" s="13" t="s">
        <v>30</v>
      </c>
      <c r="O2192" s="24" t="str">
        <f>IF(D2192="","",IF(COUNTIF(离职清单!C:C,D2192)&gt;0,"已离职","在职"))</f>
        <v>在职</v>
      </c>
      <c r="P2192" s="24" t="str">
        <f>IF(AND(O2192="在职",J2192="是"),COUNTIF(O$2:O2192,"在职"),"")</f>
        <v/>
      </c>
    </row>
    <row r="2193" ht="18" spans="1:16">
      <c r="A2193" s="14">
        <f t="shared" si="39"/>
        <v>2192</v>
      </c>
      <c r="B2193" s="31">
        <v>46175</v>
      </c>
      <c r="C2193" s="32" t="s">
        <v>2256</v>
      </c>
      <c r="D2193" s="120" t="s">
        <v>484</v>
      </c>
      <c r="E2193" s="33" t="s">
        <v>42</v>
      </c>
      <c r="F2193" s="18" t="s">
        <v>63</v>
      </c>
      <c r="G2193" s="18" t="s">
        <v>2166</v>
      </c>
      <c r="H2193" s="34" t="s">
        <v>86</v>
      </c>
      <c r="I2193" s="18" t="s">
        <v>114</v>
      </c>
      <c r="J2193" s="31" t="s">
        <v>114</v>
      </c>
      <c r="K2193" s="31">
        <v>46176</v>
      </c>
      <c r="N2193" s="13" t="s">
        <v>30</v>
      </c>
      <c r="O2193" s="24" t="str">
        <f>IF(D2193="","",IF(COUNTIF(离职清单!C:C,D2193)&gt;0,"已离职","在职"))</f>
        <v>在职</v>
      </c>
      <c r="P2193" s="24">
        <f>IF(AND(O2193="在职",J2193="是"),COUNTIF(O$2:O2193,"在职"),"")</f>
        <v>2186</v>
      </c>
    </row>
    <row r="2194" ht="18" spans="1:16">
      <c r="A2194" s="10">
        <f t="shared" si="39"/>
        <v>2193</v>
      </c>
      <c r="B2194" s="31">
        <v>46175</v>
      </c>
      <c r="C2194" s="32" t="s">
        <v>2257</v>
      </c>
      <c r="D2194" s="120" t="s">
        <v>486</v>
      </c>
      <c r="E2194" s="33" t="s">
        <v>42</v>
      </c>
      <c r="F2194" s="18" t="s">
        <v>63</v>
      </c>
      <c r="G2194" s="18" t="s">
        <v>2166</v>
      </c>
      <c r="H2194" s="34" t="s">
        <v>86</v>
      </c>
      <c r="I2194" s="18" t="s">
        <v>2154</v>
      </c>
      <c r="J2194" s="31" t="s">
        <v>105</v>
      </c>
      <c r="K2194" s="31"/>
      <c r="N2194" s="13" t="s">
        <v>30</v>
      </c>
      <c r="O2194" s="24" t="str">
        <f>IF(D2194="","",IF(COUNTIF(离职清单!C:C,D2194)&gt;0,"已离职","在职"))</f>
        <v>在职</v>
      </c>
      <c r="P2194" s="24" t="str">
        <f>IF(AND(O2194="在职",J2194="是"),COUNTIF(O$2:O2194,"在职"),"")</f>
        <v/>
      </c>
    </row>
    <row r="2195" ht="18" spans="1:16">
      <c r="A2195" s="14">
        <f t="shared" si="39"/>
        <v>2194</v>
      </c>
      <c r="B2195" s="31">
        <v>46175</v>
      </c>
      <c r="C2195" s="32" t="s">
        <v>2258</v>
      </c>
      <c r="D2195" s="120" t="s">
        <v>488</v>
      </c>
      <c r="E2195" s="33" t="s">
        <v>42</v>
      </c>
      <c r="F2195" s="18" t="s">
        <v>63</v>
      </c>
      <c r="G2195" s="18" t="s">
        <v>2166</v>
      </c>
      <c r="H2195" s="34" t="s">
        <v>86</v>
      </c>
      <c r="I2195" s="18" t="s">
        <v>2154</v>
      </c>
      <c r="J2195" s="31" t="s">
        <v>105</v>
      </c>
      <c r="K2195" s="31"/>
      <c r="N2195" s="13" t="s">
        <v>30</v>
      </c>
      <c r="O2195" s="24" t="str">
        <f>IF(D2195="","",IF(COUNTIF(离职清单!C:C,D2195)&gt;0,"已离职","在职"))</f>
        <v>在职</v>
      </c>
      <c r="P2195" s="24" t="str">
        <f>IF(AND(O2195="在职",J2195="是"),COUNTIF(O$2:O2195,"在职"),"")</f>
        <v/>
      </c>
    </row>
    <row r="2196" ht="18" spans="1:16">
      <c r="A2196" s="10">
        <f t="shared" si="39"/>
        <v>2195</v>
      </c>
      <c r="B2196" s="31">
        <v>46175</v>
      </c>
      <c r="C2196" s="32" t="s">
        <v>2259</v>
      </c>
      <c r="D2196" s="120" t="s">
        <v>490</v>
      </c>
      <c r="E2196" s="33" t="s">
        <v>42</v>
      </c>
      <c r="F2196" s="18" t="s">
        <v>63</v>
      </c>
      <c r="G2196" s="18" t="s">
        <v>148</v>
      </c>
      <c r="H2196" s="34" t="s">
        <v>86</v>
      </c>
      <c r="I2196" s="18" t="s">
        <v>2154</v>
      </c>
      <c r="J2196" s="31" t="s">
        <v>105</v>
      </c>
      <c r="K2196" s="31"/>
      <c r="N2196" s="13" t="s">
        <v>30</v>
      </c>
      <c r="O2196" s="24" t="str">
        <f>IF(D2196="","",IF(COUNTIF(离职清单!C:C,D2196)&gt;0,"已离职","在职"))</f>
        <v>在职</v>
      </c>
      <c r="P2196" s="24" t="str">
        <f>IF(AND(O2196="在职",J2196="是"),COUNTIF(O$2:O2196,"在职"),"")</f>
        <v/>
      </c>
    </row>
    <row r="2197" ht="18" spans="1:16">
      <c r="A2197" s="14">
        <f t="shared" si="39"/>
        <v>2196</v>
      </c>
      <c r="B2197" s="31">
        <v>46175</v>
      </c>
      <c r="C2197" s="32" t="s">
        <v>2260</v>
      </c>
      <c r="D2197" s="120" t="s">
        <v>492</v>
      </c>
      <c r="E2197" s="33" t="s">
        <v>42</v>
      </c>
      <c r="F2197" s="18" t="s">
        <v>63</v>
      </c>
      <c r="G2197" s="18" t="s">
        <v>148</v>
      </c>
      <c r="H2197" s="34" t="s">
        <v>85</v>
      </c>
      <c r="I2197" s="18" t="s">
        <v>114</v>
      </c>
      <c r="J2197" s="31" t="s">
        <v>114</v>
      </c>
      <c r="K2197" s="31">
        <v>46178</v>
      </c>
      <c r="N2197" s="13" t="s">
        <v>30</v>
      </c>
      <c r="O2197" s="24" t="str">
        <f>IF(D2197="","",IF(COUNTIF(离职清单!C:C,D2197)&gt;0,"已离职","在职"))</f>
        <v>在职</v>
      </c>
      <c r="P2197" s="24">
        <f>IF(AND(O2197="在职",J2197="是"),COUNTIF(O$2:O2197,"在职"),"")</f>
        <v>2190</v>
      </c>
    </row>
    <row r="2198" ht="18" spans="1:16">
      <c r="A2198" s="10">
        <f t="shared" si="39"/>
        <v>2197</v>
      </c>
      <c r="B2198" s="31">
        <v>46175</v>
      </c>
      <c r="C2198" s="32" t="s">
        <v>2261</v>
      </c>
      <c r="D2198" s="120" t="s">
        <v>477</v>
      </c>
      <c r="E2198" s="33" t="s">
        <v>42</v>
      </c>
      <c r="F2198" s="18" t="s">
        <v>63</v>
      </c>
      <c r="G2198" s="18" t="s">
        <v>148</v>
      </c>
      <c r="H2198" s="34" t="s">
        <v>85</v>
      </c>
      <c r="I2198" s="18" t="s">
        <v>2154</v>
      </c>
      <c r="J2198" s="31" t="s">
        <v>105</v>
      </c>
      <c r="K2198" s="31"/>
      <c r="N2198" s="13" t="s">
        <v>30</v>
      </c>
      <c r="O2198" s="24" t="str">
        <f>IF(D2198="","",IF(COUNTIF(离职清单!C:C,D2198)&gt;0,"已离职","在职"))</f>
        <v>在职</v>
      </c>
      <c r="P2198" s="24" t="str">
        <f>IF(AND(O2198="在职",J2198="是"),COUNTIF(O$2:O2198,"在职"),"")</f>
        <v/>
      </c>
    </row>
    <row r="2199" ht="18" spans="1:16">
      <c r="A2199" s="14">
        <f t="shared" si="39"/>
        <v>2198</v>
      </c>
      <c r="B2199" s="31">
        <v>46175</v>
      </c>
      <c r="C2199" s="32" t="s">
        <v>2262</v>
      </c>
      <c r="D2199" s="120" t="s">
        <v>478</v>
      </c>
      <c r="E2199" s="33" t="s">
        <v>42</v>
      </c>
      <c r="F2199" s="18" t="s">
        <v>63</v>
      </c>
      <c r="G2199" s="18" t="s">
        <v>148</v>
      </c>
      <c r="H2199" s="34" t="s">
        <v>85</v>
      </c>
      <c r="I2199" s="18" t="s">
        <v>114</v>
      </c>
      <c r="J2199" s="31" t="s">
        <v>114</v>
      </c>
      <c r="K2199" s="31">
        <v>46178</v>
      </c>
      <c r="N2199" s="13" t="s">
        <v>30</v>
      </c>
      <c r="O2199" s="24" t="str">
        <f>IF(D2199="","",IF(COUNTIF(离职清单!C:C,D2199)&gt;0,"已离职","在职"))</f>
        <v>在职</v>
      </c>
      <c r="P2199" s="24">
        <f>IF(AND(O2199="在职",J2199="是"),COUNTIF(O$2:O2199,"在职"),"")</f>
        <v>2192</v>
      </c>
    </row>
    <row r="2200" ht="18" spans="1:16">
      <c r="A2200" s="10">
        <f t="shared" si="39"/>
        <v>2199</v>
      </c>
      <c r="B2200" s="31">
        <v>46175</v>
      </c>
      <c r="C2200" s="32" t="s">
        <v>2263</v>
      </c>
      <c r="D2200" s="120" t="s">
        <v>480</v>
      </c>
      <c r="E2200" s="33" t="s">
        <v>42</v>
      </c>
      <c r="F2200" s="18" t="s">
        <v>63</v>
      </c>
      <c r="G2200" s="18" t="s">
        <v>148</v>
      </c>
      <c r="H2200" s="34" t="s">
        <v>85</v>
      </c>
      <c r="I2200" s="18" t="s">
        <v>114</v>
      </c>
      <c r="J2200" s="31" t="s">
        <v>114</v>
      </c>
      <c r="K2200" s="31">
        <v>46178</v>
      </c>
      <c r="N2200" s="13" t="s">
        <v>30</v>
      </c>
      <c r="O2200" s="24" t="str">
        <f>IF(D2200="","",IF(COUNTIF(离职清单!C:C,D2200)&gt;0,"已离职","在职"))</f>
        <v>在职</v>
      </c>
      <c r="P2200" s="24">
        <f>IF(AND(O2200="在职",J2200="是"),COUNTIF(O$2:O2200,"在职"),"")</f>
        <v>2193</v>
      </c>
    </row>
    <row r="2201" ht="18" spans="1:16">
      <c r="A2201" s="14">
        <f t="shared" si="39"/>
        <v>2200</v>
      </c>
      <c r="B2201" s="31">
        <v>46175</v>
      </c>
      <c r="C2201" s="32" t="s">
        <v>2264</v>
      </c>
      <c r="D2201" s="120" t="s">
        <v>482</v>
      </c>
      <c r="E2201" s="33" t="s">
        <v>42</v>
      </c>
      <c r="F2201" s="18" t="s">
        <v>63</v>
      </c>
      <c r="G2201" s="18" t="s">
        <v>2181</v>
      </c>
      <c r="H2201" s="34" t="s">
        <v>85</v>
      </c>
      <c r="I2201" s="18" t="s">
        <v>2154</v>
      </c>
      <c r="J2201" s="31" t="s">
        <v>105</v>
      </c>
      <c r="K2201" s="31"/>
      <c r="N2201" s="13" t="s">
        <v>30</v>
      </c>
      <c r="O2201" s="24" t="str">
        <f>IF(D2201="","",IF(COUNTIF(离职清单!C:C,D2201)&gt;0,"已离职","在职"))</f>
        <v>在职</v>
      </c>
      <c r="P2201" s="24" t="str">
        <f>IF(AND(O2201="在职",J2201="是"),COUNTIF(O$2:O2201,"在职"),"")</f>
        <v/>
      </c>
    </row>
    <row r="2202" ht="18" spans="1:16">
      <c r="A2202" s="10">
        <f t="shared" si="39"/>
        <v>2201</v>
      </c>
      <c r="B2202" s="31">
        <v>46175</v>
      </c>
      <c r="C2202" s="32" t="s">
        <v>2265</v>
      </c>
      <c r="D2202" s="120" t="s">
        <v>484</v>
      </c>
      <c r="E2202" s="33" t="s">
        <v>42</v>
      </c>
      <c r="F2202" s="18" t="s">
        <v>64</v>
      </c>
      <c r="G2202" s="18" t="s">
        <v>124</v>
      </c>
      <c r="H2202" s="34" t="s">
        <v>86</v>
      </c>
      <c r="I2202" s="18" t="s">
        <v>114</v>
      </c>
      <c r="J2202" s="31" t="s">
        <v>114</v>
      </c>
      <c r="K2202" s="31">
        <v>46174</v>
      </c>
      <c r="N2202" s="13" t="s">
        <v>30</v>
      </c>
      <c r="O2202" s="24" t="str">
        <f>IF(D2202="","",IF(COUNTIF(离职清单!C:C,D2202)&gt;0,"已离职","在职"))</f>
        <v>在职</v>
      </c>
      <c r="P2202" s="24">
        <f>IF(AND(O2202="在职",J2202="是"),COUNTIF(O$2:O2202,"在职"),"")</f>
        <v>2195</v>
      </c>
    </row>
    <row r="2203" ht="18" spans="1:16">
      <c r="A2203" s="14">
        <f t="shared" si="39"/>
        <v>2202</v>
      </c>
      <c r="B2203" s="31">
        <v>46175</v>
      </c>
      <c r="C2203" s="32" t="s">
        <v>2266</v>
      </c>
      <c r="D2203" s="120" t="s">
        <v>486</v>
      </c>
      <c r="E2203" s="33" t="s">
        <v>42</v>
      </c>
      <c r="F2203" s="18" t="s">
        <v>63</v>
      </c>
      <c r="G2203" s="18" t="s">
        <v>2221</v>
      </c>
      <c r="H2203" s="34" t="s">
        <v>85</v>
      </c>
      <c r="I2203" s="18" t="s">
        <v>2154</v>
      </c>
      <c r="J2203" s="31" t="s">
        <v>105</v>
      </c>
      <c r="K2203" s="31"/>
      <c r="N2203" s="13" t="s">
        <v>30</v>
      </c>
      <c r="O2203" s="24" t="str">
        <f>IF(D2203="","",IF(COUNTIF(离职清单!C:C,D2203)&gt;0,"已离职","在职"))</f>
        <v>在职</v>
      </c>
      <c r="P2203" s="24" t="str">
        <f>IF(AND(O2203="在职",J2203="是"),COUNTIF(O$2:O2203,"在职"),"")</f>
        <v/>
      </c>
    </row>
    <row r="2204" ht="18" spans="1:16">
      <c r="A2204" s="10">
        <f t="shared" si="39"/>
        <v>2203</v>
      </c>
      <c r="B2204" s="31">
        <v>46175</v>
      </c>
      <c r="C2204" s="32" t="s">
        <v>2267</v>
      </c>
      <c r="D2204" s="120" t="s">
        <v>488</v>
      </c>
      <c r="E2204" s="33" t="s">
        <v>42</v>
      </c>
      <c r="F2204" s="18" t="s">
        <v>62</v>
      </c>
      <c r="G2204" s="18" t="s">
        <v>2221</v>
      </c>
      <c r="H2204" s="34" t="s">
        <v>85</v>
      </c>
      <c r="I2204" s="18" t="s">
        <v>114</v>
      </c>
      <c r="J2204" s="31" t="s">
        <v>114</v>
      </c>
      <c r="K2204" s="31">
        <v>46176</v>
      </c>
      <c r="N2204" s="13" t="s">
        <v>30</v>
      </c>
      <c r="O2204" s="24" t="str">
        <f>IF(D2204="","",IF(COUNTIF(离职清单!C:C,D2204)&gt;0,"已离职","在职"))</f>
        <v>在职</v>
      </c>
      <c r="P2204" s="24">
        <f>IF(AND(O2204="在职",J2204="是"),COUNTIF(O$2:O2204,"在职"),"")</f>
        <v>2197</v>
      </c>
    </row>
    <row r="2205" ht="18" spans="1:16">
      <c r="A2205" s="14">
        <f t="shared" si="39"/>
        <v>2204</v>
      </c>
      <c r="B2205" s="31">
        <v>46175</v>
      </c>
      <c r="C2205" s="32" t="s">
        <v>2268</v>
      </c>
      <c r="D2205" s="120" t="s">
        <v>490</v>
      </c>
      <c r="E2205" s="33" t="s">
        <v>42</v>
      </c>
      <c r="F2205" s="18" t="s">
        <v>63</v>
      </c>
      <c r="G2205" s="18" t="s">
        <v>2221</v>
      </c>
      <c r="H2205" s="34" t="s">
        <v>85</v>
      </c>
      <c r="I2205" s="18" t="s">
        <v>114</v>
      </c>
      <c r="J2205" s="31" t="s">
        <v>114</v>
      </c>
      <c r="K2205" s="31">
        <v>46179</v>
      </c>
      <c r="N2205" s="13" t="s">
        <v>30</v>
      </c>
      <c r="O2205" s="24" t="str">
        <f>IF(D2205="","",IF(COUNTIF(离职清单!C:C,D2205)&gt;0,"已离职","在职"))</f>
        <v>在职</v>
      </c>
      <c r="P2205" s="24">
        <f>IF(AND(O2205="在职",J2205="是"),COUNTIF(O$2:O2205,"在职"),"")</f>
        <v>2198</v>
      </c>
    </row>
    <row r="2206" ht="18" spans="1:16">
      <c r="A2206" s="10">
        <f t="shared" si="39"/>
        <v>2205</v>
      </c>
      <c r="B2206" s="31">
        <v>46175</v>
      </c>
      <c r="C2206" s="32" t="s">
        <v>2269</v>
      </c>
      <c r="D2206" s="120" t="s">
        <v>492</v>
      </c>
      <c r="E2206" s="33" t="s">
        <v>42</v>
      </c>
      <c r="F2206" s="18" t="s">
        <v>63</v>
      </c>
      <c r="G2206" s="18" t="s">
        <v>2156</v>
      </c>
      <c r="H2206" s="34" t="s">
        <v>85</v>
      </c>
      <c r="I2206" s="18" t="s">
        <v>2154</v>
      </c>
      <c r="J2206" s="31" t="s">
        <v>105</v>
      </c>
      <c r="K2206" s="31"/>
      <c r="N2206" s="13" t="s">
        <v>30</v>
      </c>
      <c r="O2206" s="24" t="str">
        <f>IF(D2206="","",IF(COUNTIF(离职清单!C:C,D2206)&gt;0,"已离职","在职"))</f>
        <v>在职</v>
      </c>
      <c r="P2206" s="24" t="str">
        <f>IF(AND(O2206="在职",J2206="是"),COUNTIF(O$2:O2206,"在职"),"")</f>
        <v/>
      </c>
    </row>
    <row r="2207" ht="18" spans="1:16">
      <c r="A2207" s="14">
        <f t="shared" si="39"/>
        <v>2206</v>
      </c>
      <c r="B2207" s="31">
        <v>46175</v>
      </c>
      <c r="C2207" s="32" t="s">
        <v>2270</v>
      </c>
      <c r="D2207" s="120" t="s">
        <v>477</v>
      </c>
      <c r="E2207" s="33" t="s">
        <v>42</v>
      </c>
      <c r="F2207" s="18" t="s">
        <v>62</v>
      </c>
      <c r="G2207" s="18" t="s">
        <v>2156</v>
      </c>
      <c r="H2207" s="34" t="s">
        <v>85</v>
      </c>
      <c r="I2207" s="18" t="s">
        <v>2154</v>
      </c>
      <c r="J2207" s="31" t="s">
        <v>105</v>
      </c>
      <c r="K2207" s="31"/>
      <c r="N2207" s="13" t="s">
        <v>30</v>
      </c>
      <c r="O2207" s="24" t="str">
        <f>IF(D2207="","",IF(COUNTIF(离职清单!C:C,D2207)&gt;0,"已离职","在职"))</f>
        <v>在职</v>
      </c>
      <c r="P2207" s="24" t="str">
        <f>IF(AND(O2207="在职",J2207="是"),COUNTIF(O$2:O2207,"在职"),"")</f>
        <v/>
      </c>
    </row>
    <row r="2208" ht="18" spans="1:16">
      <c r="A2208" s="10">
        <f t="shared" si="39"/>
        <v>2207</v>
      </c>
      <c r="B2208" s="31">
        <v>46175</v>
      </c>
      <c r="C2208" s="32" t="s">
        <v>2245</v>
      </c>
      <c r="D2208" s="120" t="s">
        <v>478</v>
      </c>
      <c r="E2208" s="33" t="s">
        <v>42</v>
      </c>
      <c r="F2208" s="18" t="s">
        <v>63</v>
      </c>
      <c r="G2208" s="18" t="s">
        <v>2156</v>
      </c>
      <c r="H2208" s="34" t="s">
        <v>85</v>
      </c>
      <c r="I2208" s="18" t="s">
        <v>2154</v>
      </c>
      <c r="J2208" s="31" t="s">
        <v>105</v>
      </c>
      <c r="K2208" s="31"/>
      <c r="N2208" s="13" t="s">
        <v>30</v>
      </c>
      <c r="O2208" s="24" t="str">
        <f>IF(D2208="","",IF(COUNTIF(离职清单!C:C,D2208)&gt;0,"已离职","在职"))</f>
        <v>在职</v>
      </c>
      <c r="P2208" s="24" t="str">
        <f>IF(AND(O2208="在职",J2208="是"),COUNTIF(O$2:O2208,"在职"),"")</f>
        <v/>
      </c>
    </row>
    <row r="2209" ht="18" spans="1:16">
      <c r="A2209" s="14">
        <f t="shared" si="39"/>
        <v>2208</v>
      </c>
      <c r="B2209" s="31">
        <v>46175</v>
      </c>
      <c r="C2209" s="32" t="s">
        <v>2271</v>
      </c>
      <c r="D2209" s="120" t="s">
        <v>480</v>
      </c>
      <c r="E2209" s="33" t="s">
        <v>42</v>
      </c>
      <c r="F2209" s="18" t="s">
        <v>63</v>
      </c>
      <c r="G2209" s="18" t="s">
        <v>2156</v>
      </c>
      <c r="H2209" s="34" t="s">
        <v>85</v>
      </c>
      <c r="I2209" s="18" t="s">
        <v>2154</v>
      </c>
      <c r="J2209" s="31" t="s">
        <v>105</v>
      </c>
      <c r="K2209" s="31"/>
      <c r="N2209" s="13" t="s">
        <v>30</v>
      </c>
      <c r="O2209" s="24" t="str">
        <f>IF(D2209="","",IF(COUNTIF(离职清单!C:C,D2209)&gt;0,"已离职","在职"))</f>
        <v>在职</v>
      </c>
      <c r="P2209" s="24" t="str">
        <f>IF(AND(O2209="在职",J2209="是"),COUNTIF(O$2:O2209,"在职"),"")</f>
        <v/>
      </c>
    </row>
    <row r="2210" ht="18" spans="1:16">
      <c r="A2210" s="10">
        <f t="shared" si="39"/>
        <v>2209</v>
      </c>
      <c r="B2210" s="31">
        <v>46175</v>
      </c>
      <c r="C2210" s="32" t="s">
        <v>2272</v>
      </c>
      <c r="D2210" s="120" t="s">
        <v>482</v>
      </c>
      <c r="E2210" s="33" t="s">
        <v>42</v>
      </c>
      <c r="F2210" s="18" t="s">
        <v>63</v>
      </c>
      <c r="G2210" s="18" t="s">
        <v>2156</v>
      </c>
      <c r="H2210" s="34" t="s">
        <v>85</v>
      </c>
      <c r="I2210" s="18" t="s">
        <v>2154</v>
      </c>
      <c r="J2210" s="31" t="s">
        <v>105</v>
      </c>
      <c r="K2210" s="31"/>
      <c r="N2210" s="13" t="s">
        <v>30</v>
      </c>
      <c r="O2210" s="24" t="str">
        <f>IF(D2210="","",IF(COUNTIF(离职清单!C:C,D2210)&gt;0,"已离职","在职"))</f>
        <v>在职</v>
      </c>
      <c r="P2210" s="24" t="str">
        <f>IF(AND(O2210="在职",J2210="是"),COUNTIF(O$2:O2210,"在职"),"")</f>
        <v/>
      </c>
    </row>
    <row r="2211" ht="18" spans="1:16">
      <c r="A2211" s="14">
        <f t="shared" si="39"/>
        <v>2210</v>
      </c>
      <c r="B2211" s="31">
        <v>46175</v>
      </c>
      <c r="C2211" s="32" t="s">
        <v>2273</v>
      </c>
      <c r="D2211" s="120" t="s">
        <v>484</v>
      </c>
      <c r="E2211" s="33" t="s">
        <v>42</v>
      </c>
      <c r="F2211" s="18" t="s">
        <v>63</v>
      </c>
      <c r="G2211" s="18" t="s">
        <v>2156</v>
      </c>
      <c r="H2211" s="34" t="s">
        <v>85</v>
      </c>
      <c r="I2211" s="18" t="s">
        <v>114</v>
      </c>
      <c r="J2211" s="31" t="s">
        <v>114</v>
      </c>
      <c r="K2211" s="31">
        <v>46183</v>
      </c>
      <c r="N2211" s="13" t="s">
        <v>30</v>
      </c>
      <c r="O2211" s="24" t="str">
        <f>IF(D2211="","",IF(COUNTIF(离职清单!C:C,D2211)&gt;0,"已离职","在职"))</f>
        <v>在职</v>
      </c>
      <c r="P2211" s="24">
        <f>IF(AND(O2211="在职",J2211="是"),COUNTIF(O$2:O2211,"在职"),"")</f>
        <v>2204</v>
      </c>
    </row>
    <row r="2212" ht="18" spans="1:16">
      <c r="A2212" s="10">
        <f t="shared" si="39"/>
        <v>2211</v>
      </c>
      <c r="B2212" s="31">
        <v>46175</v>
      </c>
      <c r="C2212" s="32" t="s">
        <v>2274</v>
      </c>
      <c r="D2212" s="120" t="s">
        <v>486</v>
      </c>
      <c r="E2212" s="33" t="s">
        <v>42</v>
      </c>
      <c r="F2212" s="18" t="s">
        <v>63</v>
      </c>
      <c r="G2212" s="18" t="s">
        <v>2156</v>
      </c>
      <c r="H2212" s="34" t="s">
        <v>85</v>
      </c>
      <c r="I2212" s="18" t="s">
        <v>2154</v>
      </c>
      <c r="J2212" s="31" t="s">
        <v>105</v>
      </c>
      <c r="K2212" s="31"/>
      <c r="N2212" s="13" t="s">
        <v>30</v>
      </c>
      <c r="O2212" s="24" t="str">
        <f>IF(D2212="","",IF(COUNTIF(离职清单!C:C,D2212)&gt;0,"已离职","在职"))</f>
        <v>在职</v>
      </c>
      <c r="P2212" s="24" t="str">
        <f>IF(AND(O2212="在职",J2212="是"),COUNTIF(O$2:O2212,"在职"),"")</f>
        <v/>
      </c>
    </row>
    <row r="2213" ht="18" spans="1:16">
      <c r="A2213" s="14">
        <f t="shared" si="39"/>
        <v>2212</v>
      </c>
      <c r="B2213" s="31">
        <v>46175</v>
      </c>
      <c r="C2213" s="32" t="s">
        <v>2275</v>
      </c>
      <c r="D2213" s="120" t="s">
        <v>488</v>
      </c>
      <c r="E2213" s="33" t="s">
        <v>42</v>
      </c>
      <c r="F2213" s="18" t="s">
        <v>63</v>
      </c>
      <c r="G2213" s="18" t="s">
        <v>2156</v>
      </c>
      <c r="H2213" s="34" t="s">
        <v>85</v>
      </c>
      <c r="I2213" s="18" t="s">
        <v>2154</v>
      </c>
      <c r="J2213" s="31" t="s">
        <v>105</v>
      </c>
      <c r="K2213" s="31"/>
      <c r="N2213" s="13" t="s">
        <v>30</v>
      </c>
      <c r="O2213" s="24" t="str">
        <f>IF(D2213="","",IF(COUNTIF(离职清单!C:C,D2213)&gt;0,"已离职","在职"))</f>
        <v>在职</v>
      </c>
      <c r="P2213" s="24" t="str">
        <f>IF(AND(O2213="在职",J2213="是"),COUNTIF(O$2:O2213,"在职"),"")</f>
        <v/>
      </c>
    </row>
    <row r="2214" ht="18" spans="1:16">
      <c r="A2214" s="10">
        <f t="shared" si="39"/>
        <v>2213</v>
      </c>
      <c r="B2214" s="31">
        <v>46175</v>
      </c>
      <c r="C2214" s="32" t="s">
        <v>2276</v>
      </c>
      <c r="D2214" s="120" t="s">
        <v>490</v>
      </c>
      <c r="E2214" s="33" t="s">
        <v>42</v>
      </c>
      <c r="F2214" s="18" t="s">
        <v>64</v>
      </c>
      <c r="G2214" s="18" t="s">
        <v>148</v>
      </c>
      <c r="H2214" s="34" t="s">
        <v>85</v>
      </c>
      <c r="I2214" s="18" t="s">
        <v>114</v>
      </c>
      <c r="J2214" s="31" t="s">
        <v>105</v>
      </c>
      <c r="K2214" s="31"/>
      <c r="N2214" s="13" t="s">
        <v>30</v>
      </c>
      <c r="O2214" s="24" t="str">
        <f>IF(D2214="","",IF(COUNTIF(离职清单!C:C,D2214)&gt;0,"已离职","在职"))</f>
        <v>在职</v>
      </c>
      <c r="P2214" s="24" t="str">
        <f>IF(AND(O2214="在职",J2214="是"),COUNTIF(O$2:O2214,"在职"),"")</f>
        <v/>
      </c>
    </row>
    <row r="2215" ht="18" spans="1:16">
      <c r="A2215" s="14">
        <f t="shared" si="39"/>
        <v>2214</v>
      </c>
      <c r="B2215" s="31">
        <v>46175</v>
      </c>
      <c r="C2215" s="32" t="s">
        <v>2277</v>
      </c>
      <c r="D2215" s="120" t="s">
        <v>492</v>
      </c>
      <c r="E2215" s="33" t="s">
        <v>43</v>
      </c>
      <c r="F2215" s="18" t="s">
        <v>63</v>
      </c>
      <c r="G2215" s="18" t="s">
        <v>307</v>
      </c>
      <c r="H2215" s="34" t="s">
        <v>85</v>
      </c>
      <c r="I2215" s="18" t="s">
        <v>2154</v>
      </c>
      <c r="J2215" s="31" t="s">
        <v>105</v>
      </c>
      <c r="K2215" s="31"/>
      <c r="N2215" s="13" t="s">
        <v>30</v>
      </c>
      <c r="O2215" s="24" t="str">
        <f>IF(D2215="","",IF(COUNTIF(离职清单!C:C,D2215)&gt;0,"已离职","在职"))</f>
        <v>在职</v>
      </c>
      <c r="P2215" s="24" t="str">
        <f>IF(AND(O2215="在职",J2215="是"),COUNTIF(O$2:O2215,"在职"),"")</f>
        <v/>
      </c>
    </row>
    <row r="2216" ht="18" spans="1:16">
      <c r="A2216" s="10">
        <f t="shared" si="39"/>
        <v>2215</v>
      </c>
      <c r="B2216" s="31">
        <v>46175</v>
      </c>
      <c r="C2216" s="32" t="s">
        <v>1088</v>
      </c>
      <c r="D2216" s="120" t="s">
        <v>477</v>
      </c>
      <c r="E2216" s="33" t="s">
        <v>43</v>
      </c>
      <c r="F2216" s="18" t="s">
        <v>62</v>
      </c>
      <c r="G2216" s="18" t="s">
        <v>148</v>
      </c>
      <c r="H2216" s="34" t="s">
        <v>85</v>
      </c>
      <c r="I2216" s="18" t="s">
        <v>2154</v>
      </c>
      <c r="J2216" s="31" t="s">
        <v>105</v>
      </c>
      <c r="K2216" s="31"/>
      <c r="N2216" s="13" t="s">
        <v>30</v>
      </c>
      <c r="O2216" s="24" t="str">
        <f>IF(D2216="","",IF(COUNTIF(离职清单!C:C,D2216)&gt;0,"已离职","在职"))</f>
        <v>在职</v>
      </c>
      <c r="P2216" s="24" t="str">
        <f>IF(AND(O2216="在职",J2216="是"),COUNTIF(O$2:O2216,"在职"),"")</f>
        <v/>
      </c>
    </row>
    <row r="2217" ht="18" spans="1:16">
      <c r="A2217" s="14">
        <f t="shared" si="39"/>
        <v>2216</v>
      </c>
      <c r="B2217" s="31">
        <v>46175</v>
      </c>
      <c r="C2217" s="32" t="s">
        <v>2278</v>
      </c>
      <c r="D2217" s="120" t="s">
        <v>477</v>
      </c>
      <c r="E2217" s="33" t="s">
        <v>43</v>
      </c>
      <c r="F2217" s="18" t="s">
        <v>62</v>
      </c>
      <c r="G2217" s="18" t="s">
        <v>148</v>
      </c>
      <c r="H2217" s="34" t="s">
        <v>85</v>
      </c>
      <c r="I2217" s="18" t="s">
        <v>2154</v>
      </c>
      <c r="J2217" s="31" t="s">
        <v>105</v>
      </c>
      <c r="K2217" s="31"/>
      <c r="N2217" s="13" t="s">
        <v>30</v>
      </c>
      <c r="O2217" s="24" t="str">
        <f>IF(D2217="","",IF(COUNTIF(离职清单!C:C,D2217)&gt;0,"已离职","在职"))</f>
        <v>在职</v>
      </c>
      <c r="P2217" s="24" t="str">
        <f>IF(AND(O2217="在职",J2217="是"),COUNTIF(O$2:O2217,"在职"),"")</f>
        <v/>
      </c>
    </row>
    <row r="2218" ht="18" spans="1:16">
      <c r="A2218" s="10">
        <f t="shared" si="39"/>
        <v>2217</v>
      </c>
      <c r="B2218" s="31">
        <v>46175</v>
      </c>
      <c r="C2218" s="32" t="s">
        <v>1171</v>
      </c>
      <c r="D2218" s="120" t="s">
        <v>478</v>
      </c>
      <c r="E2218" s="33" t="s">
        <v>43</v>
      </c>
      <c r="F2218" s="18" t="s">
        <v>62</v>
      </c>
      <c r="G2218" s="18" t="s">
        <v>148</v>
      </c>
      <c r="H2218" s="34" t="s">
        <v>85</v>
      </c>
      <c r="I2218" s="18" t="s">
        <v>114</v>
      </c>
      <c r="J2218" s="31" t="s">
        <v>114</v>
      </c>
      <c r="K2218" s="31">
        <v>46178</v>
      </c>
      <c r="N2218" s="13" t="s">
        <v>30</v>
      </c>
      <c r="O2218" s="24" t="str">
        <f>IF(D2218="","",IF(COUNTIF(离职清单!C:C,D2218)&gt;0,"已离职","在职"))</f>
        <v>在职</v>
      </c>
      <c r="P2218" s="24">
        <f>IF(AND(O2218="在职",J2218="是"),COUNTIF(O$2:O2218,"在职"),"")</f>
        <v>2211</v>
      </c>
    </row>
    <row r="2219" ht="18" spans="1:16">
      <c r="A2219" s="14">
        <f t="shared" si="39"/>
        <v>2218</v>
      </c>
      <c r="B2219" s="31">
        <v>46175</v>
      </c>
      <c r="C2219" s="32" t="s">
        <v>2279</v>
      </c>
      <c r="D2219" s="120" t="s">
        <v>480</v>
      </c>
      <c r="E2219" s="33" t="s">
        <v>43</v>
      </c>
      <c r="F2219" s="18" t="s">
        <v>63</v>
      </c>
      <c r="G2219" s="18" t="s">
        <v>2164</v>
      </c>
      <c r="H2219" s="34" t="s">
        <v>85</v>
      </c>
      <c r="I2219" s="18" t="s">
        <v>2154</v>
      </c>
      <c r="J2219" s="31" t="s">
        <v>105</v>
      </c>
      <c r="K2219" s="31"/>
      <c r="N2219" s="13" t="s">
        <v>30</v>
      </c>
      <c r="O2219" s="24" t="str">
        <f>IF(D2219="","",IF(COUNTIF(离职清单!C:C,D2219)&gt;0,"已离职","在职"))</f>
        <v>在职</v>
      </c>
      <c r="P2219" s="24" t="str">
        <f>IF(AND(O2219="在职",J2219="是"),COUNTIF(O$2:O2219,"在职"),"")</f>
        <v/>
      </c>
    </row>
    <row r="2220" ht="18" spans="1:16">
      <c r="A2220" s="10">
        <f t="shared" ref="A2220:A2283" si="40">IF(B2220&lt;&gt;"",ROW()-1,"")</f>
        <v>2219</v>
      </c>
      <c r="B2220" s="31">
        <v>46175</v>
      </c>
      <c r="C2220" s="32" t="s">
        <v>2280</v>
      </c>
      <c r="D2220" s="120" t="s">
        <v>482</v>
      </c>
      <c r="E2220" s="33" t="s">
        <v>43</v>
      </c>
      <c r="F2220" s="18" t="s">
        <v>63</v>
      </c>
      <c r="G2220" s="18" t="s">
        <v>2164</v>
      </c>
      <c r="H2220" s="34" t="s">
        <v>85</v>
      </c>
      <c r="I2220" s="18" t="s">
        <v>2154</v>
      </c>
      <c r="J2220" s="31" t="s">
        <v>105</v>
      </c>
      <c r="K2220" s="31"/>
      <c r="N2220" s="13" t="s">
        <v>30</v>
      </c>
      <c r="O2220" s="24" t="str">
        <f>IF(D2220="","",IF(COUNTIF(离职清单!C:C,D2220)&gt;0,"已离职","在职"))</f>
        <v>在职</v>
      </c>
      <c r="P2220" s="24" t="str">
        <f>IF(AND(O2220="在职",J2220="是"),COUNTIF(O$2:O2220,"在职"),"")</f>
        <v/>
      </c>
    </row>
    <row r="2221" ht="18" spans="1:16">
      <c r="A2221" s="14">
        <f t="shared" si="40"/>
        <v>2220</v>
      </c>
      <c r="B2221" s="31">
        <v>46175</v>
      </c>
      <c r="C2221" s="32" t="s">
        <v>2203</v>
      </c>
      <c r="D2221" s="120" t="s">
        <v>484</v>
      </c>
      <c r="E2221" s="33" t="s">
        <v>42</v>
      </c>
      <c r="F2221" s="18" t="s">
        <v>62</v>
      </c>
      <c r="G2221" s="18" t="s">
        <v>2164</v>
      </c>
      <c r="H2221" s="34" t="s">
        <v>85</v>
      </c>
      <c r="I2221" s="18" t="s">
        <v>2154</v>
      </c>
      <c r="J2221" s="31" t="s">
        <v>105</v>
      </c>
      <c r="K2221" s="31"/>
      <c r="N2221" s="13" t="s">
        <v>30</v>
      </c>
      <c r="O2221" s="24" t="str">
        <f>IF(D2221="","",IF(COUNTIF(离职清单!C:C,D2221)&gt;0,"已离职","在职"))</f>
        <v>在职</v>
      </c>
      <c r="P2221" s="24" t="str">
        <f>IF(AND(O2221="在职",J2221="是"),COUNTIF(O$2:O2221,"在职"),"")</f>
        <v/>
      </c>
    </row>
    <row r="2222" ht="18" spans="1:16">
      <c r="A2222" s="10">
        <f t="shared" si="40"/>
        <v>2221</v>
      </c>
      <c r="B2222" s="31">
        <v>46175</v>
      </c>
      <c r="C2222" s="32" t="s">
        <v>2230</v>
      </c>
      <c r="D2222" s="120" t="s">
        <v>486</v>
      </c>
      <c r="E2222" s="33" t="s">
        <v>43</v>
      </c>
      <c r="F2222" s="18" t="s">
        <v>63</v>
      </c>
      <c r="G2222" s="18" t="s">
        <v>2164</v>
      </c>
      <c r="H2222" s="34" t="s">
        <v>85</v>
      </c>
      <c r="I2222" s="18" t="s">
        <v>2154</v>
      </c>
      <c r="J2222" s="31" t="s">
        <v>105</v>
      </c>
      <c r="K2222" s="31"/>
      <c r="N2222" s="13" t="s">
        <v>30</v>
      </c>
      <c r="O2222" s="24" t="str">
        <f>IF(D2222="","",IF(COUNTIF(离职清单!C:C,D2222)&gt;0,"已离职","在职"))</f>
        <v>在职</v>
      </c>
      <c r="P2222" s="24" t="str">
        <f>IF(AND(O2222="在职",J2222="是"),COUNTIF(O$2:O2222,"在职"),"")</f>
        <v/>
      </c>
    </row>
    <row r="2223" ht="18" spans="1:16">
      <c r="A2223" s="14">
        <f t="shared" si="40"/>
        <v>2222</v>
      </c>
      <c r="B2223" s="31">
        <v>46175</v>
      </c>
      <c r="C2223" s="32" t="s">
        <v>2281</v>
      </c>
      <c r="D2223" s="120" t="s">
        <v>488</v>
      </c>
      <c r="E2223" s="33" t="s">
        <v>43</v>
      </c>
      <c r="F2223" s="18" t="s">
        <v>63</v>
      </c>
      <c r="G2223" s="18" t="s">
        <v>148</v>
      </c>
      <c r="H2223" s="34" t="s">
        <v>85</v>
      </c>
      <c r="I2223" s="18" t="s">
        <v>114</v>
      </c>
      <c r="J2223" s="31" t="s">
        <v>114</v>
      </c>
      <c r="K2223" s="31">
        <v>46177</v>
      </c>
      <c r="N2223" s="13" t="s">
        <v>30</v>
      </c>
      <c r="O2223" s="24" t="str">
        <f>IF(D2223="","",IF(COUNTIF(离职清单!C:C,D2223)&gt;0,"已离职","在职"))</f>
        <v>在职</v>
      </c>
      <c r="P2223" s="24">
        <f>IF(AND(O2223="在职",J2223="是"),COUNTIF(O$2:O2223,"在职"),"")</f>
        <v>2216</v>
      </c>
    </row>
    <row r="2224" ht="18" spans="1:16">
      <c r="A2224" s="10">
        <f t="shared" si="40"/>
        <v>2223</v>
      </c>
      <c r="B2224" s="31">
        <v>46175</v>
      </c>
      <c r="C2224" s="32" t="s">
        <v>2282</v>
      </c>
      <c r="D2224" s="120" t="s">
        <v>490</v>
      </c>
      <c r="E2224" s="33" t="s">
        <v>43</v>
      </c>
      <c r="F2224" s="18" t="s">
        <v>64</v>
      </c>
      <c r="G2224" s="18" t="s">
        <v>148</v>
      </c>
      <c r="H2224" s="34" t="s">
        <v>85</v>
      </c>
      <c r="I2224" s="18" t="s">
        <v>2154</v>
      </c>
      <c r="J2224" s="31" t="s">
        <v>105</v>
      </c>
      <c r="K2224" s="31"/>
      <c r="N2224" s="13" t="s">
        <v>30</v>
      </c>
      <c r="O2224" s="24" t="str">
        <f>IF(D2224="","",IF(COUNTIF(离职清单!C:C,D2224)&gt;0,"已离职","在职"))</f>
        <v>在职</v>
      </c>
      <c r="P2224" s="24" t="str">
        <f>IF(AND(O2224="在职",J2224="是"),COUNTIF(O$2:O2224,"在职"),"")</f>
        <v/>
      </c>
    </row>
    <row r="2225" ht="18" spans="1:16">
      <c r="A2225" s="14">
        <f t="shared" si="40"/>
        <v>2224</v>
      </c>
      <c r="B2225" s="31">
        <v>46175</v>
      </c>
      <c r="C2225" s="32" t="s">
        <v>2283</v>
      </c>
      <c r="D2225" s="120" t="s">
        <v>492</v>
      </c>
      <c r="E2225" s="33" t="s">
        <v>43</v>
      </c>
      <c r="F2225" s="18" t="s">
        <v>63</v>
      </c>
      <c r="G2225" s="18" t="s">
        <v>148</v>
      </c>
      <c r="H2225" s="34" t="s">
        <v>85</v>
      </c>
      <c r="I2225" s="18" t="s">
        <v>114</v>
      </c>
      <c r="J2225" s="31" t="s">
        <v>114</v>
      </c>
      <c r="K2225" s="31">
        <v>46177</v>
      </c>
      <c r="N2225" s="13" t="s">
        <v>30</v>
      </c>
      <c r="O2225" s="24" t="str">
        <f>IF(D2225="","",IF(COUNTIF(离职清单!C:C,D2225)&gt;0,"已离职","在职"))</f>
        <v>在职</v>
      </c>
      <c r="P2225" s="24">
        <f>IF(AND(O2225="在职",J2225="是"),COUNTIF(O$2:O2225,"在职"),"")</f>
        <v>2218</v>
      </c>
    </row>
    <row r="2226" ht="18" spans="1:16">
      <c r="A2226" s="10">
        <f t="shared" si="40"/>
        <v>2225</v>
      </c>
      <c r="B2226" s="31">
        <v>46175</v>
      </c>
      <c r="C2226" s="32" t="s">
        <v>2284</v>
      </c>
      <c r="D2226" s="120" t="s">
        <v>477</v>
      </c>
      <c r="E2226" s="33" t="s">
        <v>43</v>
      </c>
      <c r="F2226" s="18" t="s">
        <v>62</v>
      </c>
      <c r="G2226" s="18" t="s">
        <v>2232</v>
      </c>
      <c r="H2226" s="34" t="s">
        <v>85</v>
      </c>
      <c r="I2226" s="18" t="s">
        <v>2154</v>
      </c>
      <c r="J2226" s="31" t="s">
        <v>105</v>
      </c>
      <c r="K2226" s="31"/>
      <c r="N2226" s="13" t="s">
        <v>30</v>
      </c>
      <c r="O2226" s="24" t="str">
        <f>IF(D2226="","",IF(COUNTIF(离职清单!C:C,D2226)&gt;0,"已离职","在职"))</f>
        <v>在职</v>
      </c>
      <c r="P2226" s="24" t="str">
        <f>IF(AND(O2226="在职",J2226="是"),COUNTIF(O$2:O2226,"在职"),"")</f>
        <v/>
      </c>
    </row>
    <row r="2227" ht="18" spans="1:16">
      <c r="A2227" s="14">
        <f t="shared" si="40"/>
        <v>2226</v>
      </c>
      <c r="B2227" s="31">
        <v>46175</v>
      </c>
      <c r="C2227" s="32" t="s">
        <v>2285</v>
      </c>
      <c r="D2227" s="120" t="s">
        <v>478</v>
      </c>
      <c r="E2227" s="33" t="s">
        <v>43</v>
      </c>
      <c r="F2227" s="18" t="s">
        <v>62</v>
      </c>
      <c r="G2227" s="18" t="s">
        <v>129</v>
      </c>
      <c r="H2227" s="34" t="s">
        <v>85</v>
      </c>
      <c r="I2227" s="18" t="s">
        <v>2154</v>
      </c>
      <c r="J2227" s="31" t="s">
        <v>105</v>
      </c>
      <c r="K2227" s="31"/>
      <c r="N2227" s="13" t="s">
        <v>30</v>
      </c>
      <c r="O2227" s="24" t="str">
        <f>IF(D2227="","",IF(COUNTIF(离职清单!C:C,D2227)&gt;0,"已离职","在职"))</f>
        <v>在职</v>
      </c>
      <c r="P2227" s="24" t="str">
        <f>IF(AND(O2227="在职",J2227="是"),COUNTIF(O$2:O2227,"在职"),"")</f>
        <v/>
      </c>
    </row>
    <row r="2228" ht="18" spans="1:16">
      <c r="A2228" s="10">
        <f t="shared" si="40"/>
        <v>2227</v>
      </c>
      <c r="B2228" s="31">
        <v>46175</v>
      </c>
      <c r="C2228" s="32" t="s">
        <v>2286</v>
      </c>
      <c r="D2228" s="120" t="s">
        <v>480</v>
      </c>
      <c r="E2228" s="33" t="s">
        <v>43</v>
      </c>
      <c r="F2228" s="18" t="s">
        <v>63</v>
      </c>
      <c r="G2228" s="18" t="s">
        <v>129</v>
      </c>
      <c r="H2228" s="34" t="s">
        <v>85</v>
      </c>
      <c r="I2228" s="18" t="s">
        <v>2154</v>
      </c>
      <c r="J2228" s="31" t="s">
        <v>105</v>
      </c>
      <c r="K2228" s="31"/>
      <c r="N2228" s="13" t="s">
        <v>30</v>
      </c>
      <c r="O2228" s="24" t="str">
        <f>IF(D2228="","",IF(COUNTIF(离职清单!C:C,D2228)&gt;0,"已离职","在职"))</f>
        <v>在职</v>
      </c>
      <c r="P2228" s="24" t="str">
        <f>IF(AND(O2228="在职",J2228="是"),COUNTIF(O$2:O2228,"在职"),"")</f>
        <v/>
      </c>
    </row>
    <row r="2229" ht="18" spans="1:16">
      <c r="A2229" s="14">
        <f t="shared" si="40"/>
        <v>2228</v>
      </c>
      <c r="B2229" s="31">
        <v>46175</v>
      </c>
      <c r="C2229" s="32" t="s">
        <v>2287</v>
      </c>
      <c r="D2229" s="120" t="s">
        <v>482</v>
      </c>
      <c r="E2229" s="33" t="s">
        <v>43</v>
      </c>
      <c r="F2229" s="18" t="s">
        <v>63</v>
      </c>
      <c r="G2229" s="18" t="s">
        <v>129</v>
      </c>
      <c r="H2229" s="34" t="s">
        <v>85</v>
      </c>
      <c r="I2229" s="18" t="s">
        <v>2154</v>
      </c>
      <c r="J2229" s="31" t="s">
        <v>105</v>
      </c>
      <c r="K2229" s="31"/>
      <c r="N2229" s="13" t="s">
        <v>30</v>
      </c>
      <c r="O2229" s="24" t="str">
        <f>IF(D2229="","",IF(COUNTIF(离职清单!C:C,D2229)&gt;0,"已离职","在职"))</f>
        <v>在职</v>
      </c>
      <c r="P2229" s="24" t="str">
        <f>IF(AND(O2229="在职",J2229="是"),COUNTIF(O$2:O2229,"在职"),"")</f>
        <v/>
      </c>
    </row>
    <row r="2230" ht="18" spans="1:16">
      <c r="A2230" s="10">
        <f t="shared" si="40"/>
        <v>2229</v>
      </c>
      <c r="B2230" s="31">
        <v>46175</v>
      </c>
      <c r="C2230" s="32" t="s">
        <v>2288</v>
      </c>
      <c r="D2230" s="120" t="s">
        <v>484</v>
      </c>
      <c r="E2230" s="33" t="s">
        <v>43</v>
      </c>
      <c r="F2230" s="18" t="s">
        <v>63</v>
      </c>
      <c r="G2230" s="18" t="s">
        <v>129</v>
      </c>
      <c r="H2230" s="34" t="s">
        <v>85</v>
      </c>
      <c r="I2230" s="18" t="s">
        <v>2154</v>
      </c>
      <c r="J2230" s="31" t="s">
        <v>105</v>
      </c>
      <c r="K2230" s="31"/>
      <c r="N2230" s="13" t="s">
        <v>30</v>
      </c>
      <c r="O2230" s="24" t="str">
        <f>IF(D2230="","",IF(COUNTIF(离职清单!C:C,D2230)&gt;0,"已离职","在职"))</f>
        <v>在职</v>
      </c>
      <c r="P2230" s="24" t="str">
        <f>IF(AND(O2230="在职",J2230="是"),COUNTIF(O$2:O2230,"在职"),"")</f>
        <v/>
      </c>
    </row>
    <row r="2231" ht="18" spans="1:16">
      <c r="A2231" s="14">
        <f t="shared" si="40"/>
        <v>2230</v>
      </c>
      <c r="B2231" s="31">
        <v>46175</v>
      </c>
      <c r="C2231" s="32" t="s">
        <v>2289</v>
      </c>
      <c r="D2231" s="120" t="s">
        <v>486</v>
      </c>
      <c r="E2231" s="33" t="s">
        <v>43</v>
      </c>
      <c r="F2231" s="18" t="s">
        <v>64</v>
      </c>
      <c r="G2231" s="18" t="s">
        <v>2250</v>
      </c>
      <c r="H2231" s="34" t="s">
        <v>86</v>
      </c>
      <c r="I2231" s="18" t="s">
        <v>114</v>
      </c>
      <c r="J2231" s="31" t="s">
        <v>114</v>
      </c>
      <c r="K2231" s="31">
        <v>46175</v>
      </c>
      <c r="N2231" s="13" t="s">
        <v>30</v>
      </c>
      <c r="O2231" s="24" t="str">
        <f>IF(D2231="","",IF(COUNTIF(离职清单!C:C,D2231)&gt;0,"已离职","在职"))</f>
        <v>在职</v>
      </c>
      <c r="P2231" s="24">
        <f>IF(AND(O2231="在职",J2231="是"),COUNTIF(O$2:O2231,"在职"),"")</f>
        <v>2224</v>
      </c>
    </row>
    <row r="2232" ht="18" spans="1:16">
      <c r="A2232" s="10">
        <f t="shared" si="40"/>
        <v>2231</v>
      </c>
      <c r="B2232" s="31">
        <v>46175</v>
      </c>
      <c r="C2232" s="32" t="s">
        <v>2290</v>
      </c>
      <c r="D2232" s="120" t="s">
        <v>488</v>
      </c>
      <c r="E2232" s="33" t="s">
        <v>43</v>
      </c>
      <c r="F2232" s="18" t="s">
        <v>63</v>
      </c>
      <c r="G2232" s="18" t="s">
        <v>2250</v>
      </c>
      <c r="H2232" s="34" t="s">
        <v>85</v>
      </c>
      <c r="I2232" s="18" t="s">
        <v>114</v>
      </c>
      <c r="J2232" s="31" t="s">
        <v>114</v>
      </c>
      <c r="K2232" s="31">
        <v>46177</v>
      </c>
      <c r="N2232" s="13" t="s">
        <v>30</v>
      </c>
      <c r="O2232" s="24" t="str">
        <f>IF(D2232="","",IF(COUNTIF(离职清单!C:C,D2232)&gt;0,"已离职","在职"))</f>
        <v>在职</v>
      </c>
      <c r="P2232" s="24">
        <f>IF(AND(O2232="在职",J2232="是"),COUNTIF(O$2:O2232,"在职"),"")</f>
        <v>2225</v>
      </c>
    </row>
    <row r="2233" ht="18" spans="1:16">
      <c r="A2233" s="14">
        <f t="shared" si="40"/>
        <v>2232</v>
      </c>
      <c r="B2233" s="31">
        <v>46175</v>
      </c>
      <c r="C2233" s="32" t="s">
        <v>2291</v>
      </c>
      <c r="D2233" s="120" t="s">
        <v>490</v>
      </c>
      <c r="E2233" s="33" t="s">
        <v>43</v>
      </c>
      <c r="F2233" s="18" t="s">
        <v>63</v>
      </c>
      <c r="G2233" s="18" t="s">
        <v>2250</v>
      </c>
      <c r="H2233" s="34" t="s">
        <v>85</v>
      </c>
      <c r="I2233" s="18" t="s">
        <v>114</v>
      </c>
      <c r="J2233" s="31" t="s">
        <v>114</v>
      </c>
      <c r="K2233" s="31">
        <v>46177</v>
      </c>
      <c r="N2233" s="13" t="s">
        <v>30</v>
      </c>
      <c r="O2233" s="24" t="str">
        <f>IF(D2233="","",IF(COUNTIF(离职清单!C:C,D2233)&gt;0,"已离职","在职"))</f>
        <v>在职</v>
      </c>
      <c r="P2233" s="24">
        <f>IF(AND(O2233="在职",J2233="是"),COUNTIF(O$2:O2233,"在职"),"")</f>
        <v>2226</v>
      </c>
    </row>
    <row r="2234" ht="18" spans="1:16">
      <c r="A2234" s="10">
        <f t="shared" si="40"/>
        <v>2233</v>
      </c>
      <c r="B2234" s="31">
        <v>46175</v>
      </c>
      <c r="C2234" s="32" t="s">
        <v>2292</v>
      </c>
      <c r="D2234" s="120" t="s">
        <v>492</v>
      </c>
      <c r="E2234" s="33" t="s">
        <v>43</v>
      </c>
      <c r="F2234" s="18" t="s">
        <v>64</v>
      </c>
      <c r="G2234" s="18" t="s">
        <v>2250</v>
      </c>
      <c r="H2234" s="34" t="s">
        <v>85</v>
      </c>
      <c r="I2234" s="18" t="s">
        <v>2154</v>
      </c>
      <c r="J2234" s="31" t="s">
        <v>105</v>
      </c>
      <c r="K2234" s="31"/>
      <c r="N2234" s="13" t="s">
        <v>30</v>
      </c>
      <c r="O2234" s="24" t="str">
        <f>IF(D2234="","",IF(COUNTIF(离职清单!C:C,D2234)&gt;0,"已离职","在职"))</f>
        <v>在职</v>
      </c>
      <c r="P2234" s="24" t="str">
        <f>IF(AND(O2234="在职",J2234="是"),COUNTIF(O$2:O2234,"在职"),"")</f>
        <v/>
      </c>
    </row>
    <row r="2235" ht="18" spans="1:16">
      <c r="A2235" s="14">
        <f t="shared" si="40"/>
        <v>2234</v>
      </c>
      <c r="B2235" s="31">
        <v>46175</v>
      </c>
      <c r="C2235" s="32" t="s">
        <v>2293</v>
      </c>
      <c r="D2235" s="120" t="s">
        <v>477</v>
      </c>
      <c r="E2235" s="33" t="s">
        <v>43</v>
      </c>
      <c r="F2235" s="18" t="s">
        <v>64</v>
      </c>
      <c r="G2235" s="18" t="s">
        <v>2250</v>
      </c>
      <c r="H2235" s="34" t="s">
        <v>85</v>
      </c>
      <c r="I2235" s="18" t="s">
        <v>2154</v>
      </c>
      <c r="J2235" s="31" t="s">
        <v>105</v>
      </c>
      <c r="K2235" s="31"/>
      <c r="N2235" s="13" t="s">
        <v>30</v>
      </c>
      <c r="O2235" s="24" t="str">
        <f>IF(D2235="","",IF(COUNTIF(离职清单!C:C,D2235)&gt;0,"已离职","在职"))</f>
        <v>在职</v>
      </c>
      <c r="P2235" s="24" t="str">
        <f>IF(AND(O2235="在职",J2235="是"),COUNTIF(O$2:O2235,"在职"),"")</f>
        <v/>
      </c>
    </row>
    <row r="2236" ht="18" spans="1:16">
      <c r="A2236" s="10">
        <f t="shared" si="40"/>
        <v>2235</v>
      </c>
      <c r="B2236" s="31">
        <v>46175</v>
      </c>
      <c r="C2236" s="32" t="s">
        <v>1751</v>
      </c>
      <c r="D2236" s="120" t="s">
        <v>478</v>
      </c>
      <c r="E2236" s="33" t="s">
        <v>43</v>
      </c>
      <c r="F2236" s="18" t="s">
        <v>63</v>
      </c>
      <c r="G2236" s="18" t="s">
        <v>2166</v>
      </c>
      <c r="H2236" s="34" t="s">
        <v>85</v>
      </c>
      <c r="I2236" s="18" t="s">
        <v>114</v>
      </c>
      <c r="J2236" s="31" t="s">
        <v>114</v>
      </c>
      <c r="K2236" s="31">
        <v>46176</v>
      </c>
      <c r="N2236" s="13" t="s">
        <v>30</v>
      </c>
      <c r="O2236" s="24" t="str">
        <f>IF(D2236="","",IF(COUNTIF(离职清单!C:C,D2236)&gt;0,"已离职","在职"))</f>
        <v>在职</v>
      </c>
      <c r="P2236" s="24">
        <f>IF(AND(O2236="在职",J2236="是"),COUNTIF(O$2:O2236,"在职"),"")</f>
        <v>2229</v>
      </c>
    </row>
    <row r="2237" ht="18" spans="1:16">
      <c r="A2237" s="14">
        <f t="shared" si="40"/>
        <v>2236</v>
      </c>
      <c r="B2237" s="31">
        <v>46175</v>
      </c>
      <c r="C2237" s="32" t="s">
        <v>2294</v>
      </c>
      <c r="D2237" s="120" t="s">
        <v>480</v>
      </c>
      <c r="E2237" s="33" t="s">
        <v>43</v>
      </c>
      <c r="F2237" s="18" t="s">
        <v>62</v>
      </c>
      <c r="G2237" s="18" t="s">
        <v>148</v>
      </c>
      <c r="H2237" s="34" t="s">
        <v>85</v>
      </c>
      <c r="I2237" s="18" t="s">
        <v>114</v>
      </c>
      <c r="J2237" s="31" t="s">
        <v>114</v>
      </c>
      <c r="K2237" s="31">
        <v>46176</v>
      </c>
      <c r="N2237" s="13" t="s">
        <v>30</v>
      </c>
      <c r="O2237" s="24" t="str">
        <f>IF(D2237="","",IF(COUNTIF(离职清单!C:C,D2237)&gt;0,"已离职","在职"))</f>
        <v>在职</v>
      </c>
      <c r="P2237" s="24">
        <f>IF(AND(O2237="在职",J2237="是"),COUNTIF(O$2:O2237,"在职"),"")</f>
        <v>2230</v>
      </c>
    </row>
    <row r="2238" ht="18" spans="1:16">
      <c r="A2238" s="10">
        <f t="shared" si="40"/>
        <v>2237</v>
      </c>
      <c r="B2238" s="31">
        <v>46175</v>
      </c>
      <c r="C2238" s="32" t="s">
        <v>2295</v>
      </c>
      <c r="D2238" s="120" t="s">
        <v>482</v>
      </c>
      <c r="E2238" s="33" t="s">
        <v>43</v>
      </c>
      <c r="F2238" s="18" t="s">
        <v>63</v>
      </c>
      <c r="G2238" s="18" t="s">
        <v>148</v>
      </c>
      <c r="H2238" s="34" t="s">
        <v>85</v>
      </c>
      <c r="I2238" s="18" t="s">
        <v>2154</v>
      </c>
      <c r="J2238" s="31" t="s">
        <v>105</v>
      </c>
      <c r="K2238" s="31"/>
      <c r="N2238" s="13" t="s">
        <v>30</v>
      </c>
      <c r="O2238" s="24" t="str">
        <f>IF(D2238="","",IF(COUNTIF(离职清单!C:C,D2238)&gt;0,"已离职","在职"))</f>
        <v>在职</v>
      </c>
      <c r="P2238" s="24" t="str">
        <f>IF(AND(O2238="在职",J2238="是"),COUNTIF(O$2:O2238,"在职"),"")</f>
        <v/>
      </c>
    </row>
    <row r="2239" ht="18" spans="1:16">
      <c r="A2239" s="14">
        <f t="shared" si="40"/>
        <v>2238</v>
      </c>
      <c r="B2239" s="31">
        <v>46175</v>
      </c>
      <c r="C2239" s="32" t="s">
        <v>2296</v>
      </c>
      <c r="D2239" s="120" t="s">
        <v>484</v>
      </c>
      <c r="E2239" s="33" t="s">
        <v>43</v>
      </c>
      <c r="F2239" s="18" t="s">
        <v>63</v>
      </c>
      <c r="G2239" s="18" t="s">
        <v>148</v>
      </c>
      <c r="H2239" s="34" t="s">
        <v>85</v>
      </c>
      <c r="I2239" s="18" t="s">
        <v>114</v>
      </c>
      <c r="J2239" s="31" t="s">
        <v>114</v>
      </c>
      <c r="K2239" s="31">
        <v>46178</v>
      </c>
      <c r="N2239" s="13" t="s">
        <v>30</v>
      </c>
      <c r="O2239" s="24" t="str">
        <f>IF(D2239="","",IF(COUNTIF(离职清单!C:C,D2239)&gt;0,"已离职","在职"))</f>
        <v>在职</v>
      </c>
      <c r="P2239" s="24">
        <f>IF(AND(O2239="在职",J2239="是"),COUNTIF(O$2:O2239,"在职"),"")</f>
        <v>2232</v>
      </c>
    </row>
    <row r="2240" ht="18" spans="1:16">
      <c r="A2240" s="10">
        <f t="shared" si="40"/>
        <v>2239</v>
      </c>
      <c r="B2240" s="31">
        <v>46175</v>
      </c>
      <c r="C2240" s="32" t="s">
        <v>2297</v>
      </c>
      <c r="D2240" s="120" t="s">
        <v>486</v>
      </c>
      <c r="E2240" s="33" t="s">
        <v>43</v>
      </c>
      <c r="F2240" s="18" t="s">
        <v>63</v>
      </c>
      <c r="G2240" s="18" t="s">
        <v>148</v>
      </c>
      <c r="H2240" s="34" t="s">
        <v>85</v>
      </c>
      <c r="I2240" s="18" t="s">
        <v>114</v>
      </c>
      <c r="J2240" s="31" t="s">
        <v>114</v>
      </c>
      <c r="K2240" s="31">
        <v>46178</v>
      </c>
      <c r="N2240" s="13" t="s">
        <v>30</v>
      </c>
      <c r="O2240" s="24" t="str">
        <f>IF(D2240="","",IF(COUNTIF(离职清单!C:C,D2240)&gt;0,"已离职","在职"))</f>
        <v>在职</v>
      </c>
      <c r="P2240" s="24">
        <f>IF(AND(O2240="在职",J2240="是"),COUNTIF(O$2:O2240,"在职"),"")</f>
        <v>2233</v>
      </c>
    </row>
    <row r="2241" ht="18" spans="1:16">
      <c r="A2241" s="14">
        <f t="shared" si="40"/>
        <v>2240</v>
      </c>
      <c r="B2241" s="31">
        <v>46175</v>
      </c>
      <c r="C2241" s="32" t="s">
        <v>2161</v>
      </c>
      <c r="D2241" s="120" t="s">
        <v>488</v>
      </c>
      <c r="E2241" s="33" t="s">
        <v>43</v>
      </c>
      <c r="F2241" s="18" t="s">
        <v>64</v>
      </c>
      <c r="G2241" s="18" t="s">
        <v>124</v>
      </c>
      <c r="H2241" s="34" t="s">
        <v>86</v>
      </c>
      <c r="I2241" s="18" t="s">
        <v>114</v>
      </c>
      <c r="J2241" s="31" t="s">
        <v>114</v>
      </c>
      <c r="K2241" s="31">
        <v>46175</v>
      </c>
      <c r="N2241" s="13" t="s">
        <v>30</v>
      </c>
      <c r="O2241" s="24" t="str">
        <f>IF(D2241="","",IF(COUNTIF(离职清单!C:C,D2241)&gt;0,"已离职","在职"))</f>
        <v>在职</v>
      </c>
      <c r="P2241" s="24">
        <f>IF(AND(O2241="在职",J2241="是"),COUNTIF(O$2:O2241,"在职"),"")</f>
        <v>2234</v>
      </c>
    </row>
    <row r="2242" ht="18" spans="1:16">
      <c r="A2242" s="10">
        <f t="shared" si="40"/>
        <v>2241</v>
      </c>
      <c r="B2242" s="31">
        <v>46175</v>
      </c>
      <c r="C2242" s="32" t="s">
        <v>2298</v>
      </c>
      <c r="D2242" s="120" t="s">
        <v>490</v>
      </c>
      <c r="E2242" s="33" t="s">
        <v>43</v>
      </c>
      <c r="F2242" s="18" t="s">
        <v>62</v>
      </c>
      <c r="G2242" s="18" t="s">
        <v>124</v>
      </c>
      <c r="H2242" s="34" t="s">
        <v>85</v>
      </c>
      <c r="I2242" s="18" t="s">
        <v>2154</v>
      </c>
      <c r="J2242" s="31" t="s">
        <v>105</v>
      </c>
      <c r="K2242" s="31"/>
      <c r="N2242" s="13" t="s">
        <v>30</v>
      </c>
      <c r="O2242" s="24" t="str">
        <f>IF(D2242="","",IF(COUNTIF(离职清单!C:C,D2242)&gt;0,"已离职","在职"))</f>
        <v>在职</v>
      </c>
      <c r="P2242" s="24" t="str">
        <f>IF(AND(O2242="在职",J2242="是"),COUNTIF(O$2:O2242,"在职"),"")</f>
        <v/>
      </c>
    </row>
    <row r="2243" ht="18" spans="1:16">
      <c r="A2243" s="14">
        <f t="shared" si="40"/>
        <v>2242</v>
      </c>
      <c r="B2243" s="31">
        <v>46175</v>
      </c>
      <c r="C2243" s="32" t="s">
        <v>2299</v>
      </c>
      <c r="D2243" s="120" t="s">
        <v>492</v>
      </c>
      <c r="E2243" s="33" t="s">
        <v>43</v>
      </c>
      <c r="F2243" s="18" t="s">
        <v>64</v>
      </c>
      <c r="G2243" s="18" t="s">
        <v>124</v>
      </c>
      <c r="H2243" s="34" t="s">
        <v>86</v>
      </c>
      <c r="I2243" s="18" t="s">
        <v>114</v>
      </c>
      <c r="J2243" s="31" t="s">
        <v>114</v>
      </c>
      <c r="K2243" s="31">
        <v>46175</v>
      </c>
      <c r="N2243" s="13" t="s">
        <v>30</v>
      </c>
      <c r="O2243" s="24" t="str">
        <f>IF(D2243="","",IF(COUNTIF(离职清单!C:C,D2243)&gt;0,"已离职","在职"))</f>
        <v>在职</v>
      </c>
      <c r="P2243" s="24">
        <f>IF(AND(O2243="在职",J2243="是"),COUNTIF(O$2:O2243,"在职"),"")</f>
        <v>2236</v>
      </c>
    </row>
    <row r="2244" ht="18" spans="1:16">
      <c r="A2244" s="10">
        <f t="shared" si="40"/>
        <v>2243</v>
      </c>
      <c r="B2244" s="31">
        <v>46175</v>
      </c>
      <c r="C2244" s="32" t="s">
        <v>2300</v>
      </c>
      <c r="D2244" s="120" t="s">
        <v>477</v>
      </c>
      <c r="E2244" s="33" t="s">
        <v>43</v>
      </c>
      <c r="F2244" s="18" t="s">
        <v>64</v>
      </c>
      <c r="G2244" s="18" t="s">
        <v>148</v>
      </c>
      <c r="H2244" s="34" t="s">
        <v>85</v>
      </c>
      <c r="I2244" s="18" t="s">
        <v>114</v>
      </c>
      <c r="J2244" s="31" t="s">
        <v>114</v>
      </c>
      <c r="K2244" s="31">
        <v>46179</v>
      </c>
      <c r="N2244" s="13" t="s">
        <v>30</v>
      </c>
      <c r="O2244" s="24" t="str">
        <f>IF(D2244="","",IF(COUNTIF(离职清单!C:C,D2244)&gt;0,"已离职","在职"))</f>
        <v>在职</v>
      </c>
      <c r="P2244" s="24">
        <f>IF(AND(O2244="在职",J2244="是"),COUNTIF(O$2:O2244,"在职"),"")</f>
        <v>2237</v>
      </c>
    </row>
    <row r="2245" ht="18" spans="1:16">
      <c r="A2245" s="14">
        <f t="shared" si="40"/>
        <v>2244</v>
      </c>
      <c r="B2245" s="31">
        <v>46175</v>
      </c>
      <c r="C2245" s="32" t="s">
        <v>2301</v>
      </c>
      <c r="D2245" s="120" t="s">
        <v>478</v>
      </c>
      <c r="E2245" s="33" t="s">
        <v>43</v>
      </c>
      <c r="F2245" s="18" t="s">
        <v>63</v>
      </c>
      <c r="G2245" s="18" t="s">
        <v>2221</v>
      </c>
      <c r="H2245" s="34" t="s">
        <v>85</v>
      </c>
      <c r="I2245" s="18" t="s">
        <v>2154</v>
      </c>
      <c r="J2245" s="31" t="s">
        <v>105</v>
      </c>
      <c r="K2245" s="31"/>
      <c r="N2245" s="13" t="s">
        <v>30</v>
      </c>
      <c r="O2245" s="24" t="str">
        <f>IF(D2245="","",IF(COUNTIF(离职清单!C:C,D2245)&gt;0,"已离职","在职"))</f>
        <v>在职</v>
      </c>
      <c r="P2245" s="24" t="str">
        <f>IF(AND(O2245="在职",J2245="是"),COUNTIF(O$2:O2245,"在职"),"")</f>
        <v/>
      </c>
    </row>
    <row r="2246" ht="18" spans="1:16">
      <c r="A2246" s="10">
        <f t="shared" si="40"/>
        <v>2245</v>
      </c>
      <c r="B2246" s="31">
        <v>46175</v>
      </c>
      <c r="C2246" s="32" t="s">
        <v>2157</v>
      </c>
      <c r="D2246" s="120" t="s">
        <v>480</v>
      </c>
      <c r="E2246" s="33" t="s">
        <v>43</v>
      </c>
      <c r="F2246" s="18" t="s">
        <v>62</v>
      </c>
      <c r="G2246" s="18" t="s">
        <v>179</v>
      </c>
      <c r="H2246" s="34" t="s">
        <v>86</v>
      </c>
      <c r="I2246" s="18" t="s">
        <v>2154</v>
      </c>
      <c r="J2246" s="31" t="s">
        <v>105</v>
      </c>
      <c r="K2246" s="31"/>
      <c r="N2246" s="13" t="s">
        <v>30</v>
      </c>
      <c r="O2246" s="24" t="str">
        <f>IF(D2246="","",IF(COUNTIF(离职清单!C:C,D2246)&gt;0,"已离职","在职"))</f>
        <v>在职</v>
      </c>
      <c r="P2246" s="24" t="str">
        <f>IF(AND(O2246="在职",J2246="是"),COUNTIF(O$2:O2246,"在职"),"")</f>
        <v/>
      </c>
    </row>
    <row r="2247" ht="18" spans="1:16">
      <c r="A2247" s="14">
        <f t="shared" si="40"/>
        <v>2246</v>
      </c>
      <c r="B2247" s="31">
        <v>46175</v>
      </c>
      <c r="C2247" s="32" t="s">
        <v>2158</v>
      </c>
      <c r="D2247" s="120" t="s">
        <v>482</v>
      </c>
      <c r="E2247" s="33" t="s">
        <v>43</v>
      </c>
      <c r="F2247" s="18" t="s">
        <v>62</v>
      </c>
      <c r="G2247" s="18" t="s">
        <v>179</v>
      </c>
      <c r="H2247" s="34" t="s">
        <v>86</v>
      </c>
      <c r="I2247" s="18" t="s">
        <v>2154</v>
      </c>
      <c r="J2247" s="31" t="s">
        <v>105</v>
      </c>
      <c r="K2247" s="31"/>
      <c r="N2247" s="13" t="s">
        <v>30</v>
      </c>
      <c r="O2247" s="24" t="str">
        <f>IF(D2247="","",IF(COUNTIF(离职清单!C:C,D2247)&gt;0,"已离职","在职"))</f>
        <v>在职</v>
      </c>
      <c r="P2247" s="24" t="str">
        <f>IF(AND(O2247="在职",J2247="是"),COUNTIF(O$2:O2247,"在职"),"")</f>
        <v/>
      </c>
    </row>
    <row r="2248" ht="18" spans="1:16">
      <c r="A2248" s="10">
        <f t="shared" si="40"/>
        <v>2247</v>
      </c>
      <c r="B2248" s="31">
        <v>46175</v>
      </c>
      <c r="C2248" s="32" t="s">
        <v>2159</v>
      </c>
      <c r="D2248" s="120" t="s">
        <v>484</v>
      </c>
      <c r="E2248" s="33" t="s">
        <v>43</v>
      </c>
      <c r="F2248" s="18" t="s">
        <v>63</v>
      </c>
      <c r="G2248" s="18" t="s">
        <v>148</v>
      </c>
      <c r="H2248" s="34" t="s">
        <v>85</v>
      </c>
      <c r="I2248" s="18" t="s">
        <v>114</v>
      </c>
      <c r="J2248" s="31" t="s">
        <v>105</v>
      </c>
      <c r="K2248" s="31"/>
      <c r="N2248" s="13" t="s">
        <v>30</v>
      </c>
      <c r="O2248" s="24" t="str">
        <f>IF(D2248="","",IF(COUNTIF(离职清单!C:C,D2248)&gt;0,"已离职","在职"))</f>
        <v>在职</v>
      </c>
      <c r="P2248" s="24" t="str">
        <f>IF(AND(O2248="在职",J2248="是"),COUNTIF(O$2:O2248,"在职"),"")</f>
        <v/>
      </c>
    </row>
    <row r="2249" ht="18" spans="1:16">
      <c r="A2249" s="14">
        <f t="shared" si="40"/>
        <v>2248</v>
      </c>
      <c r="B2249" s="31">
        <v>46175</v>
      </c>
      <c r="C2249" s="32" t="s">
        <v>2302</v>
      </c>
      <c r="D2249" s="120" t="s">
        <v>486</v>
      </c>
      <c r="E2249" s="33" t="s">
        <v>43</v>
      </c>
      <c r="F2249" s="18" t="s">
        <v>62</v>
      </c>
      <c r="G2249" s="18" t="s">
        <v>103</v>
      </c>
      <c r="H2249" s="34" t="s">
        <v>85</v>
      </c>
      <c r="I2249" s="18" t="s">
        <v>114</v>
      </c>
      <c r="J2249" s="31" t="s">
        <v>114</v>
      </c>
      <c r="K2249" s="31">
        <v>46181</v>
      </c>
      <c r="N2249" s="13" t="s">
        <v>30</v>
      </c>
      <c r="O2249" s="24" t="str">
        <f>IF(D2249="","",IF(COUNTIF(离职清单!C:C,D2249)&gt;0,"已离职","在职"))</f>
        <v>在职</v>
      </c>
      <c r="P2249" s="24">
        <f>IF(AND(O2249="在职",J2249="是"),COUNTIF(O$2:O2249,"在职"),"")</f>
        <v>2242</v>
      </c>
    </row>
    <row r="2250" ht="18" spans="1:16">
      <c r="A2250" s="10">
        <f t="shared" si="40"/>
        <v>2249</v>
      </c>
      <c r="B2250" s="31">
        <v>46176</v>
      </c>
      <c r="C2250" s="32" t="s">
        <v>2303</v>
      </c>
      <c r="D2250" s="120" t="s">
        <v>488</v>
      </c>
      <c r="E2250" s="33" t="s">
        <v>42</v>
      </c>
      <c r="F2250" s="18" t="s">
        <v>63</v>
      </c>
      <c r="G2250" s="18" t="s">
        <v>2181</v>
      </c>
      <c r="H2250" s="34" t="s">
        <v>85</v>
      </c>
      <c r="I2250" s="18" t="s">
        <v>105</v>
      </c>
      <c r="J2250" s="31" t="s">
        <v>105</v>
      </c>
      <c r="K2250" s="31"/>
      <c r="N2250" s="13" t="s">
        <v>30</v>
      </c>
      <c r="O2250" s="24" t="str">
        <f>IF(D2250="","",IF(COUNTIF(离职清单!C:C,D2250)&gt;0,"已离职","在职"))</f>
        <v>在职</v>
      </c>
      <c r="P2250" s="24" t="str">
        <f>IF(AND(O2250="在职",J2250="是"),COUNTIF(O$2:O2250,"在职"),"")</f>
        <v/>
      </c>
    </row>
    <row r="2251" ht="18" spans="1:16">
      <c r="A2251" s="14">
        <f t="shared" si="40"/>
        <v>2250</v>
      </c>
      <c r="B2251" s="31">
        <v>46176</v>
      </c>
      <c r="C2251" s="32" t="s">
        <v>1359</v>
      </c>
      <c r="D2251" s="120" t="s">
        <v>490</v>
      </c>
      <c r="E2251" s="33" t="s">
        <v>42</v>
      </c>
      <c r="F2251" s="18" t="s">
        <v>63</v>
      </c>
      <c r="G2251" s="18" t="s">
        <v>2232</v>
      </c>
      <c r="H2251" s="34" t="s">
        <v>85</v>
      </c>
      <c r="I2251" s="18" t="s">
        <v>105</v>
      </c>
      <c r="J2251" s="31" t="s">
        <v>105</v>
      </c>
      <c r="K2251" s="31"/>
      <c r="N2251" s="13" t="s">
        <v>30</v>
      </c>
      <c r="O2251" s="24" t="str">
        <f>IF(D2251="","",IF(COUNTIF(离职清单!C:C,D2251)&gt;0,"已离职","在职"))</f>
        <v>在职</v>
      </c>
      <c r="P2251" s="24" t="str">
        <f>IF(AND(O2251="在职",J2251="是"),COUNTIF(O$2:O2251,"在职"),"")</f>
        <v/>
      </c>
    </row>
    <row r="2252" ht="18" spans="1:16">
      <c r="A2252" s="10">
        <f t="shared" si="40"/>
        <v>2251</v>
      </c>
      <c r="B2252" s="31">
        <v>46176</v>
      </c>
      <c r="C2252" s="32" t="s">
        <v>1358</v>
      </c>
      <c r="D2252" s="120" t="s">
        <v>492</v>
      </c>
      <c r="E2252" s="33" t="s">
        <v>42</v>
      </c>
      <c r="F2252" s="18" t="s">
        <v>63</v>
      </c>
      <c r="G2252" s="18" t="s">
        <v>2232</v>
      </c>
      <c r="H2252" s="34" t="s">
        <v>85</v>
      </c>
      <c r="I2252" s="18" t="s">
        <v>105</v>
      </c>
      <c r="J2252" s="31" t="s">
        <v>105</v>
      </c>
      <c r="K2252" s="31"/>
      <c r="N2252" s="13" t="s">
        <v>30</v>
      </c>
      <c r="O2252" s="24" t="str">
        <f>IF(D2252="","",IF(COUNTIF(离职清单!C:C,D2252)&gt;0,"已离职","在职"))</f>
        <v>在职</v>
      </c>
      <c r="P2252" s="24" t="str">
        <f>IF(AND(O2252="在职",J2252="是"),COUNTIF(O$2:O2252,"在职"),"")</f>
        <v/>
      </c>
    </row>
    <row r="2253" ht="18" spans="1:16">
      <c r="A2253" s="14">
        <f t="shared" si="40"/>
        <v>2252</v>
      </c>
      <c r="B2253" s="31">
        <v>46176</v>
      </c>
      <c r="C2253" s="32" t="s">
        <v>2304</v>
      </c>
      <c r="D2253" s="120" t="s">
        <v>477</v>
      </c>
      <c r="E2253" s="33" t="s">
        <v>42</v>
      </c>
      <c r="F2253" s="18" t="s">
        <v>63</v>
      </c>
      <c r="G2253" s="18" t="s">
        <v>2232</v>
      </c>
      <c r="H2253" s="34" t="s">
        <v>85</v>
      </c>
      <c r="I2253" s="18" t="s">
        <v>2154</v>
      </c>
      <c r="J2253" s="31" t="s">
        <v>105</v>
      </c>
      <c r="K2253" s="31"/>
      <c r="N2253" s="13" t="s">
        <v>30</v>
      </c>
      <c r="O2253" s="24" t="str">
        <f>IF(D2253="","",IF(COUNTIF(离职清单!C:C,D2253)&gt;0,"已离职","在职"))</f>
        <v>在职</v>
      </c>
      <c r="P2253" s="24" t="str">
        <f>IF(AND(O2253="在职",J2253="是"),COUNTIF(O$2:O2253,"在职"),"")</f>
        <v/>
      </c>
    </row>
    <row r="2254" ht="18" spans="1:16">
      <c r="A2254" s="10">
        <f t="shared" si="40"/>
        <v>2253</v>
      </c>
      <c r="B2254" s="31">
        <v>46176</v>
      </c>
      <c r="C2254" s="32" t="s">
        <v>2305</v>
      </c>
      <c r="D2254" s="120" t="s">
        <v>478</v>
      </c>
      <c r="E2254" s="33" t="s">
        <v>42</v>
      </c>
      <c r="F2254" s="18" t="s">
        <v>62</v>
      </c>
      <c r="G2254" s="18" t="s">
        <v>2232</v>
      </c>
      <c r="H2254" s="34" t="s">
        <v>85</v>
      </c>
      <c r="I2254" s="18" t="s">
        <v>2154</v>
      </c>
      <c r="J2254" s="31" t="s">
        <v>105</v>
      </c>
      <c r="K2254" s="31"/>
      <c r="N2254" s="13" t="s">
        <v>30</v>
      </c>
      <c r="O2254" s="24" t="str">
        <f>IF(D2254="","",IF(COUNTIF(离职清单!C:C,D2254)&gt;0,"已离职","在职"))</f>
        <v>在职</v>
      </c>
      <c r="P2254" s="24" t="str">
        <f>IF(AND(O2254="在职",J2254="是"),COUNTIF(O$2:O2254,"在职"),"")</f>
        <v/>
      </c>
    </row>
    <row r="2255" ht="18" spans="1:16">
      <c r="A2255" s="14">
        <f t="shared" si="40"/>
        <v>2254</v>
      </c>
      <c r="B2255" s="31">
        <v>46176</v>
      </c>
      <c r="C2255" s="32" t="s">
        <v>2306</v>
      </c>
      <c r="D2255" s="120" t="s">
        <v>480</v>
      </c>
      <c r="E2255" s="33" t="s">
        <v>42</v>
      </c>
      <c r="F2255" s="18" t="s">
        <v>62</v>
      </c>
      <c r="G2255" s="18" t="s">
        <v>2221</v>
      </c>
      <c r="H2255" s="34" t="s">
        <v>85</v>
      </c>
      <c r="I2255" s="18" t="s">
        <v>105</v>
      </c>
      <c r="J2255" s="31" t="s">
        <v>105</v>
      </c>
      <c r="K2255" s="31"/>
      <c r="N2255" s="13" t="s">
        <v>30</v>
      </c>
      <c r="O2255" s="24" t="str">
        <f>IF(D2255="","",IF(COUNTIF(离职清单!C:C,D2255)&gt;0,"已离职","在职"))</f>
        <v>在职</v>
      </c>
      <c r="P2255" s="24" t="str">
        <f>IF(AND(O2255="在职",J2255="是"),COUNTIF(O$2:O2255,"在职"),"")</f>
        <v/>
      </c>
    </row>
    <row r="2256" ht="18" spans="1:16">
      <c r="A2256" s="10">
        <f t="shared" si="40"/>
        <v>2255</v>
      </c>
      <c r="B2256" s="31">
        <v>46176</v>
      </c>
      <c r="C2256" s="32" t="s">
        <v>2307</v>
      </c>
      <c r="D2256" s="120" t="s">
        <v>482</v>
      </c>
      <c r="E2256" s="33" t="s">
        <v>42</v>
      </c>
      <c r="F2256" s="18" t="s">
        <v>62</v>
      </c>
      <c r="G2256" s="18" t="s">
        <v>2221</v>
      </c>
      <c r="H2256" s="34" t="s">
        <v>85</v>
      </c>
      <c r="I2256" s="18" t="s">
        <v>114</v>
      </c>
      <c r="J2256" s="31" t="s">
        <v>114</v>
      </c>
      <c r="K2256" s="31">
        <v>46180</v>
      </c>
      <c r="N2256" s="13" t="s">
        <v>30</v>
      </c>
      <c r="O2256" s="24" t="str">
        <f>IF(D2256="","",IF(COUNTIF(离职清单!C:C,D2256)&gt;0,"已离职","在职"))</f>
        <v>在职</v>
      </c>
      <c r="P2256" s="24">
        <f>IF(AND(O2256="在职",J2256="是"),COUNTIF(O$2:O2256,"在职"),"")</f>
        <v>2249</v>
      </c>
    </row>
    <row r="2257" ht="18" spans="1:16">
      <c r="A2257" s="14">
        <f t="shared" si="40"/>
        <v>2256</v>
      </c>
      <c r="B2257" s="31">
        <v>46176</v>
      </c>
      <c r="C2257" s="32" t="s">
        <v>2308</v>
      </c>
      <c r="D2257" s="120" t="s">
        <v>484</v>
      </c>
      <c r="E2257" s="33" t="s">
        <v>42</v>
      </c>
      <c r="F2257" s="18" t="s">
        <v>63</v>
      </c>
      <c r="G2257" s="18" t="s">
        <v>2221</v>
      </c>
      <c r="H2257" s="34" t="s">
        <v>85</v>
      </c>
      <c r="I2257" s="18" t="s">
        <v>114</v>
      </c>
      <c r="J2257" s="31" t="s">
        <v>114</v>
      </c>
      <c r="K2257" s="31">
        <v>46177</v>
      </c>
      <c r="N2257" s="13" t="s">
        <v>30</v>
      </c>
      <c r="O2257" s="24" t="str">
        <f>IF(D2257="","",IF(COUNTIF(离职清单!C:C,D2257)&gt;0,"已离职","在职"))</f>
        <v>在职</v>
      </c>
      <c r="P2257" s="24">
        <f>IF(AND(O2257="在职",J2257="是"),COUNTIF(O$2:O2257,"在职"),"")</f>
        <v>2250</v>
      </c>
    </row>
    <row r="2258" ht="18" spans="1:16">
      <c r="A2258" s="10">
        <f t="shared" si="40"/>
        <v>2257</v>
      </c>
      <c r="B2258" s="31">
        <v>46176</v>
      </c>
      <c r="C2258" s="32" t="s">
        <v>1763</v>
      </c>
      <c r="D2258" s="120" t="s">
        <v>486</v>
      </c>
      <c r="E2258" s="33" t="s">
        <v>42</v>
      </c>
      <c r="F2258" s="18" t="s">
        <v>62</v>
      </c>
      <c r="G2258" s="18" t="s">
        <v>129</v>
      </c>
      <c r="H2258" s="34" t="s">
        <v>85</v>
      </c>
      <c r="I2258" s="18" t="s">
        <v>2154</v>
      </c>
      <c r="J2258" s="31" t="s">
        <v>105</v>
      </c>
      <c r="K2258" s="31"/>
      <c r="N2258" s="13" t="s">
        <v>30</v>
      </c>
      <c r="O2258" s="24" t="str">
        <f>IF(D2258="","",IF(COUNTIF(离职清单!C:C,D2258)&gt;0,"已离职","在职"))</f>
        <v>在职</v>
      </c>
      <c r="P2258" s="24" t="str">
        <f>IF(AND(O2258="在职",J2258="是"),COUNTIF(O$2:O2258,"在职"),"")</f>
        <v/>
      </c>
    </row>
    <row r="2259" ht="18" spans="1:16">
      <c r="A2259" s="14">
        <f t="shared" si="40"/>
        <v>2258</v>
      </c>
      <c r="B2259" s="31">
        <v>46176</v>
      </c>
      <c r="C2259" s="32" t="s">
        <v>2309</v>
      </c>
      <c r="D2259" s="120" t="s">
        <v>488</v>
      </c>
      <c r="E2259" s="33" t="s">
        <v>42</v>
      </c>
      <c r="F2259" s="18" t="s">
        <v>63</v>
      </c>
      <c r="G2259" s="18" t="s">
        <v>129</v>
      </c>
      <c r="H2259" s="34" t="s">
        <v>85</v>
      </c>
      <c r="I2259" s="18" t="s">
        <v>2154</v>
      </c>
      <c r="J2259" s="31" t="s">
        <v>105</v>
      </c>
      <c r="K2259" s="31"/>
      <c r="N2259" s="13" t="s">
        <v>30</v>
      </c>
      <c r="O2259" s="24" t="str">
        <f>IF(D2259="","",IF(COUNTIF(离职清单!C:C,D2259)&gt;0,"已离职","在职"))</f>
        <v>在职</v>
      </c>
      <c r="P2259" s="24" t="str">
        <f>IF(AND(O2259="在职",J2259="是"),COUNTIF(O$2:O2259,"在职"),"")</f>
        <v/>
      </c>
    </row>
    <row r="2260" ht="18" spans="1:16">
      <c r="A2260" s="10">
        <f t="shared" si="40"/>
        <v>2259</v>
      </c>
      <c r="B2260" s="31">
        <v>46176</v>
      </c>
      <c r="C2260" s="32" t="s">
        <v>2310</v>
      </c>
      <c r="D2260" s="120" t="s">
        <v>490</v>
      </c>
      <c r="E2260" s="33" t="s">
        <v>42</v>
      </c>
      <c r="F2260" s="18" t="s">
        <v>63</v>
      </c>
      <c r="G2260" s="18" t="s">
        <v>2164</v>
      </c>
      <c r="H2260" s="34" t="s">
        <v>85</v>
      </c>
      <c r="I2260" s="18" t="s">
        <v>2154</v>
      </c>
      <c r="J2260" s="31" t="s">
        <v>105</v>
      </c>
      <c r="K2260" s="31"/>
      <c r="N2260" s="13" t="s">
        <v>30</v>
      </c>
      <c r="O2260" s="24" t="str">
        <f>IF(D2260="","",IF(COUNTIF(离职清单!C:C,D2260)&gt;0,"已离职","在职"))</f>
        <v>在职</v>
      </c>
      <c r="P2260" s="24" t="str">
        <f>IF(AND(O2260="在职",J2260="是"),COUNTIF(O$2:O2260,"在职"),"")</f>
        <v/>
      </c>
    </row>
    <row r="2261" ht="18" spans="1:16">
      <c r="A2261" s="14">
        <f t="shared" si="40"/>
        <v>2260</v>
      </c>
      <c r="B2261" s="31">
        <v>46176</v>
      </c>
      <c r="C2261" s="32" t="s">
        <v>2311</v>
      </c>
      <c r="D2261" s="120" t="s">
        <v>492</v>
      </c>
      <c r="E2261" s="33" t="s">
        <v>42</v>
      </c>
      <c r="F2261" s="18" t="s">
        <v>62</v>
      </c>
      <c r="G2261" s="18" t="s">
        <v>2164</v>
      </c>
      <c r="H2261" s="34" t="s">
        <v>85</v>
      </c>
      <c r="I2261" s="18" t="s">
        <v>114</v>
      </c>
      <c r="J2261" s="31" t="s">
        <v>114</v>
      </c>
      <c r="K2261" s="31">
        <v>46178</v>
      </c>
      <c r="N2261" s="13" t="s">
        <v>30</v>
      </c>
      <c r="O2261" s="24" t="str">
        <f>IF(D2261="","",IF(COUNTIF(离职清单!C:C,D2261)&gt;0,"已离职","在职"))</f>
        <v>在职</v>
      </c>
      <c r="P2261" s="24">
        <f>IF(AND(O2261="在职",J2261="是"),COUNTIF(O$2:O2261,"在职"),"")</f>
        <v>2254</v>
      </c>
    </row>
    <row r="2262" ht="18" spans="1:16">
      <c r="A2262" s="10">
        <f t="shared" si="40"/>
        <v>2261</v>
      </c>
      <c r="B2262" s="31">
        <v>46176</v>
      </c>
      <c r="C2262" s="32" t="s">
        <v>2312</v>
      </c>
      <c r="D2262" s="120" t="s">
        <v>477</v>
      </c>
      <c r="E2262" s="33" t="s">
        <v>42</v>
      </c>
      <c r="F2262" s="18" t="s">
        <v>63</v>
      </c>
      <c r="G2262" s="18" t="s">
        <v>2164</v>
      </c>
      <c r="H2262" s="34" t="s">
        <v>85</v>
      </c>
      <c r="I2262" s="18" t="s">
        <v>114</v>
      </c>
      <c r="J2262" s="31" t="s">
        <v>114</v>
      </c>
      <c r="K2262" s="31">
        <v>46179</v>
      </c>
      <c r="N2262" s="13" t="s">
        <v>30</v>
      </c>
      <c r="O2262" s="24" t="str">
        <f>IF(D2262="","",IF(COUNTIF(离职清单!C:C,D2262)&gt;0,"已离职","在职"))</f>
        <v>在职</v>
      </c>
      <c r="P2262" s="24">
        <f>IF(AND(O2262="在职",J2262="是"),COUNTIF(O$2:O2262,"在职"),"")</f>
        <v>2255</v>
      </c>
    </row>
    <row r="2263" ht="18" spans="1:16">
      <c r="A2263" s="14">
        <f t="shared" si="40"/>
        <v>2262</v>
      </c>
      <c r="B2263" s="31">
        <v>46176</v>
      </c>
      <c r="C2263" s="32" t="s">
        <v>2239</v>
      </c>
      <c r="D2263" s="120" t="s">
        <v>478</v>
      </c>
      <c r="E2263" s="33" t="s">
        <v>42</v>
      </c>
      <c r="F2263" s="18" t="s">
        <v>62</v>
      </c>
      <c r="G2263" s="18" t="s">
        <v>129</v>
      </c>
      <c r="H2263" s="34" t="s">
        <v>85</v>
      </c>
      <c r="I2263" s="18" t="s">
        <v>114</v>
      </c>
      <c r="J2263" s="31" t="s">
        <v>114</v>
      </c>
      <c r="K2263" s="31">
        <v>46177</v>
      </c>
      <c r="N2263" s="13" t="s">
        <v>30</v>
      </c>
      <c r="O2263" s="24" t="str">
        <f>IF(D2263="","",IF(COUNTIF(离职清单!C:C,D2263)&gt;0,"已离职","在职"))</f>
        <v>在职</v>
      </c>
      <c r="P2263" s="24">
        <f>IF(AND(O2263="在职",J2263="是"),COUNTIF(O$2:O2263,"在职"),"")</f>
        <v>2256</v>
      </c>
    </row>
    <row r="2264" ht="18" spans="1:16">
      <c r="A2264" s="10">
        <f t="shared" si="40"/>
        <v>2263</v>
      </c>
      <c r="B2264" s="31">
        <v>46176</v>
      </c>
      <c r="C2264" s="32" t="s">
        <v>2313</v>
      </c>
      <c r="D2264" s="120" t="s">
        <v>480</v>
      </c>
      <c r="E2264" s="33" t="s">
        <v>42</v>
      </c>
      <c r="F2264" s="18" t="s">
        <v>62</v>
      </c>
      <c r="G2264" s="18" t="s">
        <v>129</v>
      </c>
      <c r="H2264" s="34" t="s">
        <v>85</v>
      </c>
      <c r="I2264" s="18" t="s">
        <v>114</v>
      </c>
      <c r="J2264" s="31" t="s">
        <v>105</v>
      </c>
      <c r="K2264" s="31"/>
      <c r="N2264" s="13" t="s">
        <v>30</v>
      </c>
      <c r="O2264" s="24" t="str">
        <f>IF(D2264="","",IF(COUNTIF(离职清单!C:C,D2264)&gt;0,"已离职","在职"))</f>
        <v>在职</v>
      </c>
      <c r="P2264" s="24" t="str">
        <f>IF(AND(O2264="在职",J2264="是"),COUNTIF(O$2:O2264,"在职"),"")</f>
        <v/>
      </c>
    </row>
    <row r="2265" ht="18" spans="1:16">
      <c r="A2265" s="14">
        <f t="shared" si="40"/>
        <v>2264</v>
      </c>
      <c r="B2265" s="31">
        <v>46176</v>
      </c>
      <c r="C2265" s="32" t="s">
        <v>2314</v>
      </c>
      <c r="D2265" s="120" t="s">
        <v>482</v>
      </c>
      <c r="E2265" s="33" t="s">
        <v>42</v>
      </c>
      <c r="F2265" s="18" t="s">
        <v>63</v>
      </c>
      <c r="G2265" s="18" t="s">
        <v>129</v>
      </c>
      <c r="H2265" s="34" t="s">
        <v>85</v>
      </c>
      <c r="I2265" s="18" t="s">
        <v>114</v>
      </c>
      <c r="J2265" s="31" t="s">
        <v>114</v>
      </c>
      <c r="K2265" s="31">
        <v>46178</v>
      </c>
      <c r="N2265" s="13" t="s">
        <v>30</v>
      </c>
      <c r="O2265" s="24" t="str">
        <f>IF(D2265="","",IF(COUNTIF(离职清单!C:C,D2265)&gt;0,"已离职","在职"))</f>
        <v>在职</v>
      </c>
      <c r="P2265" s="24">
        <f>IF(AND(O2265="在职",J2265="是"),COUNTIF(O$2:O2265,"在职"),"")</f>
        <v>2258</v>
      </c>
    </row>
    <row r="2266" ht="18" spans="1:16">
      <c r="A2266" s="10">
        <f t="shared" si="40"/>
        <v>2265</v>
      </c>
      <c r="B2266" s="31">
        <v>46176</v>
      </c>
      <c r="C2266" s="32" t="s">
        <v>2214</v>
      </c>
      <c r="D2266" s="120" t="s">
        <v>484</v>
      </c>
      <c r="E2266" s="33" t="s">
        <v>42</v>
      </c>
      <c r="F2266" s="18" t="s">
        <v>63</v>
      </c>
      <c r="G2266" s="18" t="s">
        <v>129</v>
      </c>
      <c r="H2266" s="34" t="s">
        <v>85</v>
      </c>
      <c r="I2266" s="18" t="s">
        <v>114</v>
      </c>
      <c r="J2266" s="31" t="s">
        <v>105</v>
      </c>
      <c r="K2266" s="31"/>
      <c r="N2266" s="13" t="s">
        <v>30</v>
      </c>
      <c r="O2266" s="24" t="str">
        <f>IF(D2266="","",IF(COUNTIF(离职清单!C:C,D2266)&gt;0,"已离职","在职"))</f>
        <v>在职</v>
      </c>
      <c r="P2266" s="24" t="str">
        <f>IF(AND(O2266="在职",J2266="是"),COUNTIF(O$2:O2266,"在职"),"")</f>
        <v/>
      </c>
    </row>
    <row r="2267" ht="18" spans="1:16">
      <c r="A2267" s="14">
        <f t="shared" si="40"/>
        <v>2266</v>
      </c>
      <c r="B2267" s="31">
        <v>46176</v>
      </c>
      <c r="C2267" s="32" t="s">
        <v>2315</v>
      </c>
      <c r="D2267" s="120" t="s">
        <v>486</v>
      </c>
      <c r="E2267" s="33" t="s">
        <v>42</v>
      </c>
      <c r="F2267" s="18" t="s">
        <v>63</v>
      </c>
      <c r="G2267" s="18" t="s">
        <v>2164</v>
      </c>
      <c r="H2267" s="34" t="s">
        <v>85</v>
      </c>
      <c r="I2267" s="18" t="s">
        <v>114</v>
      </c>
      <c r="J2267" s="31" t="s">
        <v>105</v>
      </c>
      <c r="K2267" s="31"/>
      <c r="N2267" s="13" t="s">
        <v>30</v>
      </c>
      <c r="O2267" s="24" t="str">
        <f>IF(D2267="","",IF(COUNTIF(离职清单!C:C,D2267)&gt;0,"已离职","在职"))</f>
        <v>在职</v>
      </c>
      <c r="P2267" s="24" t="str">
        <f>IF(AND(O2267="在职",J2267="是"),COUNTIF(O$2:O2267,"在职"),"")</f>
        <v/>
      </c>
    </row>
    <row r="2268" ht="18" spans="1:16">
      <c r="A2268" s="10">
        <f t="shared" si="40"/>
        <v>2267</v>
      </c>
      <c r="B2268" s="31">
        <v>46176</v>
      </c>
      <c r="C2268" s="32" t="s">
        <v>2316</v>
      </c>
      <c r="D2268" s="120" t="s">
        <v>488</v>
      </c>
      <c r="E2268" s="33" t="s">
        <v>42</v>
      </c>
      <c r="F2268" s="18" t="s">
        <v>63</v>
      </c>
      <c r="G2268" s="18" t="s">
        <v>2317</v>
      </c>
      <c r="H2268" s="34" t="s">
        <v>85</v>
      </c>
      <c r="I2268" s="18" t="s">
        <v>105</v>
      </c>
      <c r="J2268" s="31" t="s">
        <v>105</v>
      </c>
      <c r="K2268" s="31"/>
      <c r="N2268" s="13" t="s">
        <v>30</v>
      </c>
      <c r="O2268" s="24" t="str">
        <f>IF(D2268="","",IF(COUNTIF(离职清单!C:C,D2268)&gt;0,"已离职","在职"))</f>
        <v>在职</v>
      </c>
      <c r="P2268" s="24" t="str">
        <f>IF(AND(O2268="在职",J2268="是"),COUNTIF(O$2:O2268,"在职"),"")</f>
        <v/>
      </c>
    </row>
    <row r="2269" ht="18" spans="1:16">
      <c r="A2269" s="14">
        <f t="shared" si="40"/>
        <v>2268</v>
      </c>
      <c r="B2269" s="31">
        <v>46176</v>
      </c>
      <c r="C2269" s="32" t="s">
        <v>2318</v>
      </c>
      <c r="D2269" s="120" t="s">
        <v>490</v>
      </c>
      <c r="E2269" s="33" t="s">
        <v>42</v>
      </c>
      <c r="F2269" s="18" t="s">
        <v>62</v>
      </c>
      <c r="G2269" s="18" t="s">
        <v>129</v>
      </c>
      <c r="H2269" s="34" t="s">
        <v>85</v>
      </c>
      <c r="I2269" s="18" t="s">
        <v>105</v>
      </c>
      <c r="J2269" s="31" t="s">
        <v>105</v>
      </c>
      <c r="K2269" s="31"/>
      <c r="N2269" s="13" t="s">
        <v>30</v>
      </c>
      <c r="O2269" s="24" t="str">
        <f>IF(D2269="","",IF(COUNTIF(离职清单!C:C,D2269)&gt;0,"已离职","在职"))</f>
        <v>在职</v>
      </c>
      <c r="P2269" s="24" t="str">
        <f>IF(AND(O2269="在职",J2269="是"),COUNTIF(O$2:O2269,"在职"),"")</f>
        <v/>
      </c>
    </row>
    <row r="2270" ht="18" spans="1:16">
      <c r="A2270" s="10">
        <f t="shared" si="40"/>
        <v>2269</v>
      </c>
      <c r="B2270" s="31">
        <v>46176</v>
      </c>
      <c r="C2270" s="32" t="s">
        <v>2319</v>
      </c>
      <c r="D2270" s="120" t="s">
        <v>492</v>
      </c>
      <c r="E2270" s="33" t="s">
        <v>42</v>
      </c>
      <c r="F2270" s="18" t="s">
        <v>63</v>
      </c>
      <c r="G2270" s="18" t="s">
        <v>129</v>
      </c>
      <c r="H2270" s="34" t="s">
        <v>85</v>
      </c>
      <c r="I2270" s="18" t="s">
        <v>105</v>
      </c>
      <c r="J2270" s="31" t="s">
        <v>105</v>
      </c>
      <c r="K2270" s="31"/>
      <c r="N2270" s="13" t="s">
        <v>30</v>
      </c>
      <c r="O2270" s="24" t="str">
        <f>IF(D2270="","",IF(COUNTIF(离职清单!C:C,D2270)&gt;0,"已离职","在职"))</f>
        <v>在职</v>
      </c>
      <c r="P2270" s="24" t="str">
        <f>IF(AND(O2270="在职",J2270="是"),COUNTIF(O$2:O2270,"在职"),"")</f>
        <v/>
      </c>
    </row>
    <row r="2271" ht="18" spans="1:16">
      <c r="A2271" s="14">
        <f t="shared" si="40"/>
        <v>2270</v>
      </c>
      <c r="B2271" s="31">
        <v>46176</v>
      </c>
      <c r="C2271" s="32" t="s">
        <v>2320</v>
      </c>
      <c r="D2271" s="120" t="s">
        <v>477</v>
      </c>
      <c r="E2271" s="33" t="s">
        <v>42</v>
      </c>
      <c r="F2271" s="18" t="s">
        <v>63</v>
      </c>
      <c r="G2271" s="18" t="s">
        <v>2164</v>
      </c>
      <c r="H2271" s="34" t="s">
        <v>85</v>
      </c>
      <c r="I2271" s="18" t="s">
        <v>105</v>
      </c>
      <c r="J2271" s="31" t="s">
        <v>105</v>
      </c>
      <c r="K2271" s="31"/>
      <c r="N2271" s="13" t="s">
        <v>30</v>
      </c>
      <c r="O2271" s="24" t="str">
        <f>IF(D2271="","",IF(COUNTIF(离职清单!C:C,D2271)&gt;0,"已离职","在职"))</f>
        <v>在职</v>
      </c>
      <c r="P2271" s="24" t="str">
        <f>IF(AND(O2271="在职",J2271="是"),COUNTIF(O$2:O2271,"在职"),"")</f>
        <v/>
      </c>
    </row>
    <row r="2272" ht="18" spans="1:16">
      <c r="A2272" s="10">
        <f t="shared" si="40"/>
        <v>2271</v>
      </c>
      <c r="B2272" s="31">
        <v>46176</v>
      </c>
      <c r="C2272" s="32" t="s">
        <v>2321</v>
      </c>
      <c r="D2272" s="120" t="s">
        <v>477</v>
      </c>
      <c r="E2272" s="33" t="s">
        <v>42</v>
      </c>
      <c r="F2272" s="18" t="s">
        <v>63</v>
      </c>
      <c r="G2272" s="18" t="s">
        <v>2164</v>
      </c>
      <c r="H2272" s="34" t="s">
        <v>85</v>
      </c>
      <c r="I2272" s="18" t="s">
        <v>105</v>
      </c>
      <c r="J2272" s="31" t="s">
        <v>105</v>
      </c>
      <c r="K2272" s="31"/>
      <c r="N2272" s="13" t="s">
        <v>30</v>
      </c>
      <c r="O2272" s="24" t="str">
        <f>IF(D2272="","",IF(COUNTIF(离职清单!C:C,D2272)&gt;0,"已离职","在职"))</f>
        <v>在职</v>
      </c>
      <c r="P2272" s="24" t="str">
        <f>IF(AND(O2272="在职",J2272="是"),COUNTIF(O$2:O2272,"在职"),"")</f>
        <v/>
      </c>
    </row>
    <row r="2273" ht="18" spans="1:16">
      <c r="A2273" s="14">
        <f t="shared" si="40"/>
        <v>2272</v>
      </c>
      <c r="B2273" s="31">
        <v>46176</v>
      </c>
      <c r="C2273" s="32" t="s">
        <v>2322</v>
      </c>
      <c r="D2273" s="120" t="s">
        <v>478</v>
      </c>
      <c r="E2273" s="33" t="s">
        <v>42</v>
      </c>
      <c r="F2273" s="18" t="s">
        <v>64</v>
      </c>
      <c r="G2273" s="18" t="s">
        <v>2164</v>
      </c>
      <c r="H2273" s="34" t="s">
        <v>85</v>
      </c>
      <c r="I2273" s="18" t="s">
        <v>105</v>
      </c>
      <c r="J2273" s="31" t="s">
        <v>105</v>
      </c>
      <c r="K2273" s="31"/>
      <c r="N2273" s="13" t="s">
        <v>30</v>
      </c>
      <c r="O2273" s="24" t="str">
        <f>IF(D2273="","",IF(COUNTIF(离职清单!C:C,D2273)&gt;0,"已离职","在职"))</f>
        <v>在职</v>
      </c>
      <c r="P2273" s="24" t="str">
        <f>IF(AND(O2273="在职",J2273="是"),COUNTIF(O$2:O2273,"在职"),"")</f>
        <v/>
      </c>
    </row>
    <row r="2274" ht="18" spans="1:16">
      <c r="A2274" s="10">
        <f t="shared" si="40"/>
        <v>2273</v>
      </c>
      <c r="B2274" s="31">
        <v>46176</v>
      </c>
      <c r="C2274" s="32" t="s">
        <v>2323</v>
      </c>
      <c r="D2274" s="120" t="s">
        <v>480</v>
      </c>
      <c r="E2274" s="33" t="s">
        <v>42</v>
      </c>
      <c r="F2274" s="18" t="s">
        <v>63</v>
      </c>
      <c r="G2274" s="18" t="s">
        <v>2164</v>
      </c>
      <c r="H2274" s="34" t="s">
        <v>85</v>
      </c>
      <c r="I2274" s="18" t="s">
        <v>105</v>
      </c>
      <c r="J2274" s="31" t="s">
        <v>105</v>
      </c>
      <c r="K2274" s="31"/>
      <c r="N2274" s="13" t="s">
        <v>30</v>
      </c>
      <c r="O2274" s="24" t="str">
        <f>IF(D2274="","",IF(COUNTIF(离职清单!C:C,D2274)&gt;0,"已离职","在职"))</f>
        <v>在职</v>
      </c>
      <c r="P2274" s="24" t="str">
        <f>IF(AND(O2274="在职",J2274="是"),COUNTIF(O$2:O2274,"在职"),"")</f>
        <v/>
      </c>
    </row>
    <row r="2275" ht="18" spans="1:16">
      <c r="A2275" s="14">
        <f t="shared" si="40"/>
        <v>2274</v>
      </c>
      <c r="B2275" s="31">
        <v>46176</v>
      </c>
      <c r="C2275" s="32" t="s">
        <v>2324</v>
      </c>
      <c r="D2275" s="120" t="s">
        <v>482</v>
      </c>
      <c r="E2275" s="33" t="s">
        <v>42</v>
      </c>
      <c r="F2275" s="18" t="s">
        <v>63</v>
      </c>
      <c r="G2275" s="18" t="s">
        <v>2195</v>
      </c>
      <c r="H2275" s="34" t="s">
        <v>86</v>
      </c>
      <c r="I2275" s="18" t="s">
        <v>114</v>
      </c>
      <c r="J2275" s="31" t="s">
        <v>105</v>
      </c>
      <c r="K2275" s="31"/>
      <c r="N2275" s="13" t="s">
        <v>30</v>
      </c>
      <c r="O2275" s="24" t="str">
        <f>IF(D2275="","",IF(COUNTIF(离职清单!C:C,D2275)&gt;0,"已离职","在职"))</f>
        <v>在职</v>
      </c>
      <c r="P2275" s="24" t="str">
        <f>IF(AND(O2275="在职",J2275="是"),COUNTIF(O$2:O2275,"在职"),"")</f>
        <v/>
      </c>
    </row>
    <row r="2276" ht="18" spans="1:16">
      <c r="A2276" s="10">
        <f t="shared" si="40"/>
        <v>2275</v>
      </c>
      <c r="B2276" s="31">
        <v>46176</v>
      </c>
      <c r="C2276" s="32" t="s">
        <v>2325</v>
      </c>
      <c r="D2276" s="120" t="s">
        <v>484</v>
      </c>
      <c r="E2276" s="33" t="s">
        <v>42</v>
      </c>
      <c r="F2276" s="18" t="s">
        <v>63</v>
      </c>
      <c r="G2276" s="18" t="s">
        <v>2195</v>
      </c>
      <c r="H2276" s="34" t="s">
        <v>86</v>
      </c>
      <c r="I2276" s="18" t="s">
        <v>114</v>
      </c>
      <c r="J2276" s="31" t="s">
        <v>114</v>
      </c>
      <c r="K2276" s="31">
        <v>46177</v>
      </c>
      <c r="N2276" s="13" t="s">
        <v>30</v>
      </c>
      <c r="O2276" s="24" t="str">
        <f>IF(D2276="","",IF(COUNTIF(离职清单!C:C,D2276)&gt;0,"已离职","在职"))</f>
        <v>在职</v>
      </c>
      <c r="P2276" s="24">
        <f>IF(AND(O2276="在职",J2276="是"),COUNTIF(O$2:O2276,"在职"),"")</f>
        <v>2269</v>
      </c>
    </row>
    <row r="2277" ht="18" spans="1:16">
      <c r="A2277" s="14">
        <f t="shared" si="40"/>
        <v>2276</v>
      </c>
      <c r="B2277" s="31">
        <v>46176</v>
      </c>
      <c r="C2277" s="32" t="s">
        <v>2326</v>
      </c>
      <c r="D2277" s="120" t="s">
        <v>486</v>
      </c>
      <c r="E2277" s="33" t="s">
        <v>42</v>
      </c>
      <c r="F2277" s="18" t="s">
        <v>63</v>
      </c>
      <c r="G2277" s="18" t="s">
        <v>2166</v>
      </c>
      <c r="H2277" s="34" t="s">
        <v>86</v>
      </c>
      <c r="I2277" s="18" t="s">
        <v>114</v>
      </c>
      <c r="J2277" s="31" t="s">
        <v>105</v>
      </c>
      <c r="K2277" s="31"/>
      <c r="N2277" s="13" t="s">
        <v>30</v>
      </c>
      <c r="O2277" s="24" t="str">
        <f>IF(D2277="","",IF(COUNTIF(离职清单!C:C,D2277)&gt;0,"已离职","在职"))</f>
        <v>在职</v>
      </c>
      <c r="P2277" s="24" t="str">
        <f>IF(AND(O2277="在职",J2277="是"),COUNTIF(O$2:O2277,"在职"),"")</f>
        <v/>
      </c>
    </row>
    <row r="2278" ht="18" spans="1:16">
      <c r="A2278" s="10">
        <f t="shared" si="40"/>
        <v>2277</v>
      </c>
      <c r="B2278" s="31">
        <v>46176</v>
      </c>
      <c r="C2278" s="32" t="s">
        <v>811</v>
      </c>
      <c r="D2278" s="120" t="s">
        <v>488</v>
      </c>
      <c r="E2278" s="33" t="s">
        <v>42</v>
      </c>
      <c r="F2278" s="18" t="s">
        <v>63</v>
      </c>
      <c r="G2278" s="18" t="s">
        <v>2166</v>
      </c>
      <c r="H2278" s="34" t="s">
        <v>86</v>
      </c>
      <c r="I2278" s="18" t="s">
        <v>114</v>
      </c>
      <c r="J2278" s="31" t="s">
        <v>114</v>
      </c>
      <c r="K2278" s="31">
        <v>46188</v>
      </c>
      <c r="N2278" s="13" t="s">
        <v>30</v>
      </c>
      <c r="O2278" s="24" t="str">
        <f>IF(D2278="","",IF(COUNTIF(离职清单!C:C,D2278)&gt;0,"已离职","在职"))</f>
        <v>在职</v>
      </c>
      <c r="P2278" s="24">
        <f>IF(AND(O2278="在职",J2278="是"),COUNTIF(O$2:O2278,"在职"),"")</f>
        <v>2271</v>
      </c>
    </row>
    <row r="2279" ht="18" spans="1:16">
      <c r="A2279" s="14">
        <f t="shared" si="40"/>
        <v>2278</v>
      </c>
      <c r="B2279" s="31">
        <v>46176</v>
      </c>
      <c r="C2279" s="32" t="s">
        <v>2327</v>
      </c>
      <c r="D2279" s="120" t="s">
        <v>490</v>
      </c>
      <c r="E2279" s="33" t="s">
        <v>42</v>
      </c>
      <c r="F2279" s="18" t="s">
        <v>64</v>
      </c>
      <c r="G2279" s="18" t="s">
        <v>2166</v>
      </c>
      <c r="H2279" s="34" t="s">
        <v>86</v>
      </c>
      <c r="I2279" s="18" t="s">
        <v>114</v>
      </c>
      <c r="J2279" s="31" t="s">
        <v>114</v>
      </c>
      <c r="K2279" s="31">
        <v>46176</v>
      </c>
      <c r="N2279" s="13" t="s">
        <v>30</v>
      </c>
      <c r="O2279" s="24" t="str">
        <f>IF(D2279="","",IF(COUNTIF(离职清单!C:C,D2279)&gt;0,"已离职","在职"))</f>
        <v>在职</v>
      </c>
      <c r="P2279" s="24">
        <f>IF(AND(O2279="在职",J2279="是"),COUNTIF(O$2:O2279,"在职"),"")</f>
        <v>2272</v>
      </c>
    </row>
    <row r="2280" ht="18" spans="1:16">
      <c r="A2280" s="10">
        <f t="shared" si="40"/>
        <v>2279</v>
      </c>
      <c r="B2280" s="31">
        <v>46176</v>
      </c>
      <c r="C2280" s="32" t="s">
        <v>2328</v>
      </c>
      <c r="D2280" s="120" t="s">
        <v>492</v>
      </c>
      <c r="E2280" s="33" t="s">
        <v>42</v>
      </c>
      <c r="F2280" s="18" t="s">
        <v>63</v>
      </c>
      <c r="G2280" s="18" t="s">
        <v>2166</v>
      </c>
      <c r="H2280" s="34" t="s">
        <v>86</v>
      </c>
      <c r="I2280" s="18" t="s">
        <v>114</v>
      </c>
      <c r="J2280" s="31" t="s">
        <v>114</v>
      </c>
      <c r="K2280" s="31">
        <v>46176</v>
      </c>
      <c r="N2280" s="13" t="s">
        <v>30</v>
      </c>
      <c r="O2280" s="24" t="str">
        <f>IF(D2280="","",IF(COUNTIF(离职清单!C:C,D2280)&gt;0,"已离职","在职"))</f>
        <v>在职</v>
      </c>
      <c r="P2280" s="24">
        <f>IF(AND(O2280="在职",J2280="是"),COUNTIF(O$2:O2280,"在职"),"")</f>
        <v>2273</v>
      </c>
    </row>
    <row r="2281" ht="18" spans="1:16">
      <c r="A2281" s="14">
        <f t="shared" si="40"/>
        <v>2280</v>
      </c>
      <c r="B2281" s="31">
        <v>46176</v>
      </c>
      <c r="C2281" s="32" t="s">
        <v>2329</v>
      </c>
      <c r="D2281" s="120" t="s">
        <v>477</v>
      </c>
      <c r="E2281" s="33" t="s">
        <v>42</v>
      </c>
      <c r="F2281" s="18" t="s">
        <v>63</v>
      </c>
      <c r="G2281" s="18" t="s">
        <v>103</v>
      </c>
      <c r="H2281" s="34" t="s">
        <v>86</v>
      </c>
      <c r="I2281" s="18" t="s">
        <v>114</v>
      </c>
      <c r="J2281" s="31" t="s">
        <v>114</v>
      </c>
      <c r="K2281" s="31">
        <v>46176</v>
      </c>
      <c r="N2281" s="13" t="s">
        <v>30</v>
      </c>
      <c r="O2281" s="24" t="str">
        <f>IF(D2281="","",IF(COUNTIF(离职清单!C:C,D2281)&gt;0,"已离职","在职"))</f>
        <v>在职</v>
      </c>
      <c r="P2281" s="24">
        <f>IF(AND(O2281="在职",J2281="是"),COUNTIF(O$2:O2281,"在职"),"")</f>
        <v>2274</v>
      </c>
    </row>
    <row r="2282" ht="18" spans="1:16">
      <c r="A2282" s="10">
        <f t="shared" si="40"/>
        <v>2281</v>
      </c>
      <c r="B2282" s="31">
        <v>46176</v>
      </c>
      <c r="C2282" s="32" t="s">
        <v>2205</v>
      </c>
      <c r="D2282" s="120" t="s">
        <v>478</v>
      </c>
      <c r="E2282" s="33" t="s">
        <v>42</v>
      </c>
      <c r="F2282" s="18" t="s">
        <v>63</v>
      </c>
      <c r="G2282" s="18" t="s">
        <v>124</v>
      </c>
      <c r="H2282" s="34" t="s">
        <v>86</v>
      </c>
      <c r="I2282" s="18" t="s">
        <v>114</v>
      </c>
      <c r="J2282" s="31" t="s">
        <v>105</v>
      </c>
      <c r="K2282" s="31"/>
      <c r="N2282" s="13" t="s">
        <v>30</v>
      </c>
      <c r="O2282" s="24" t="str">
        <f>IF(D2282="","",IF(COUNTIF(离职清单!C:C,D2282)&gt;0,"已离职","在职"))</f>
        <v>在职</v>
      </c>
      <c r="P2282" s="24" t="str">
        <f>IF(AND(O2282="在职",J2282="是"),COUNTIF(O$2:O2282,"在职"),"")</f>
        <v/>
      </c>
    </row>
    <row r="2283" ht="18" spans="1:16">
      <c r="A2283" s="14">
        <f t="shared" si="40"/>
        <v>2282</v>
      </c>
      <c r="B2283" s="31">
        <v>46176</v>
      </c>
      <c r="C2283" s="32" t="s">
        <v>2330</v>
      </c>
      <c r="D2283" s="120" t="s">
        <v>480</v>
      </c>
      <c r="E2283" s="33" t="s">
        <v>42</v>
      </c>
      <c r="F2283" s="18" t="s">
        <v>63</v>
      </c>
      <c r="G2283" s="18" t="s">
        <v>2166</v>
      </c>
      <c r="H2283" s="34" t="s">
        <v>86</v>
      </c>
      <c r="I2283" s="18" t="s">
        <v>114</v>
      </c>
      <c r="J2283" s="31" t="s">
        <v>114</v>
      </c>
      <c r="K2283" s="31">
        <v>46176</v>
      </c>
      <c r="N2283" s="13" t="s">
        <v>30</v>
      </c>
      <c r="O2283" s="24" t="str">
        <f>IF(D2283="","",IF(COUNTIF(离职清单!C:C,D2283)&gt;0,"已离职","在职"))</f>
        <v>在职</v>
      </c>
      <c r="P2283" s="24">
        <f>IF(AND(O2283="在职",J2283="是"),COUNTIF(O$2:O2283,"在职"),"")</f>
        <v>2276</v>
      </c>
    </row>
    <row r="2284" ht="18" spans="1:16">
      <c r="A2284" s="10">
        <f t="shared" ref="A2284:A2347" si="41">IF(B2284&lt;&gt;"",ROW()-1,"")</f>
        <v>2283</v>
      </c>
      <c r="B2284" s="31">
        <v>46176</v>
      </c>
      <c r="C2284" s="32" t="s">
        <v>2331</v>
      </c>
      <c r="D2284" s="120" t="s">
        <v>482</v>
      </c>
      <c r="E2284" s="33" t="s">
        <v>42</v>
      </c>
      <c r="F2284" s="18" t="s">
        <v>64</v>
      </c>
      <c r="G2284" s="18" t="s">
        <v>124</v>
      </c>
      <c r="H2284" s="34" t="s">
        <v>86</v>
      </c>
      <c r="I2284" s="18" t="s">
        <v>114</v>
      </c>
      <c r="J2284" s="31" t="s">
        <v>114</v>
      </c>
      <c r="K2284" s="31">
        <v>46176</v>
      </c>
      <c r="N2284" s="13" t="s">
        <v>30</v>
      </c>
      <c r="O2284" s="24" t="str">
        <f>IF(D2284="","",IF(COUNTIF(离职清单!C:C,D2284)&gt;0,"已离职","在职"))</f>
        <v>在职</v>
      </c>
      <c r="P2284" s="24">
        <f>IF(AND(O2284="在职",J2284="是"),COUNTIF(O$2:O2284,"在职"),"")</f>
        <v>2277</v>
      </c>
    </row>
    <row r="2285" ht="18" spans="1:16">
      <c r="A2285" s="14">
        <f t="shared" si="41"/>
        <v>2284</v>
      </c>
      <c r="B2285" s="31">
        <v>46176</v>
      </c>
      <c r="C2285" s="32" t="s">
        <v>2332</v>
      </c>
      <c r="D2285" s="120" t="s">
        <v>484</v>
      </c>
      <c r="E2285" s="33" t="s">
        <v>43</v>
      </c>
      <c r="F2285" s="18" t="s">
        <v>63</v>
      </c>
      <c r="G2285" s="18" t="s">
        <v>2164</v>
      </c>
      <c r="H2285" s="34" t="s">
        <v>85</v>
      </c>
      <c r="I2285" s="18" t="s">
        <v>114</v>
      </c>
      <c r="J2285" s="31" t="s">
        <v>105</v>
      </c>
      <c r="K2285" s="31"/>
      <c r="N2285" s="13" t="s">
        <v>30</v>
      </c>
      <c r="O2285" s="24" t="str">
        <f>IF(D2285="","",IF(COUNTIF(离职清单!C:C,D2285)&gt;0,"已离职","在职"))</f>
        <v>在职</v>
      </c>
      <c r="P2285" s="24" t="str">
        <f>IF(AND(O2285="在职",J2285="是"),COUNTIF(O$2:O2285,"在职"),"")</f>
        <v/>
      </c>
    </row>
    <row r="2286" ht="18" spans="1:16">
      <c r="A2286" s="10">
        <f t="shared" si="41"/>
        <v>2285</v>
      </c>
      <c r="B2286" s="31">
        <v>46176</v>
      </c>
      <c r="C2286" s="32" t="s">
        <v>2333</v>
      </c>
      <c r="D2286" s="120" t="s">
        <v>486</v>
      </c>
      <c r="E2286" s="33" t="s">
        <v>43</v>
      </c>
      <c r="F2286" s="18" t="s">
        <v>62</v>
      </c>
      <c r="G2286" s="18" t="s">
        <v>2164</v>
      </c>
      <c r="H2286" s="34" t="s">
        <v>85</v>
      </c>
      <c r="I2286" s="18" t="s">
        <v>114</v>
      </c>
      <c r="J2286" s="31" t="s">
        <v>105</v>
      </c>
      <c r="K2286" s="31"/>
      <c r="N2286" s="13" t="s">
        <v>30</v>
      </c>
      <c r="O2286" s="24" t="str">
        <f>IF(D2286="","",IF(COUNTIF(离职清单!C:C,D2286)&gt;0,"已离职","在职"))</f>
        <v>在职</v>
      </c>
      <c r="P2286" s="24" t="str">
        <f>IF(AND(O2286="在职",J2286="是"),COUNTIF(O$2:O2286,"在职"),"")</f>
        <v/>
      </c>
    </row>
    <row r="2287" ht="18" spans="1:16">
      <c r="A2287" s="14">
        <f t="shared" si="41"/>
        <v>2286</v>
      </c>
      <c r="B2287" s="31">
        <v>46176</v>
      </c>
      <c r="C2287" s="32" t="s">
        <v>2334</v>
      </c>
      <c r="D2287" s="120" t="s">
        <v>488</v>
      </c>
      <c r="E2287" s="33" t="s">
        <v>43</v>
      </c>
      <c r="F2287" s="18" t="s">
        <v>63</v>
      </c>
      <c r="G2287" s="18" t="s">
        <v>2164</v>
      </c>
      <c r="H2287" s="34" t="s">
        <v>85</v>
      </c>
      <c r="I2287" s="18" t="s">
        <v>114</v>
      </c>
      <c r="J2287" s="31" t="s">
        <v>114</v>
      </c>
      <c r="K2287" s="31">
        <v>46179</v>
      </c>
      <c r="N2287" s="13" t="s">
        <v>30</v>
      </c>
      <c r="O2287" s="24" t="str">
        <f>IF(D2287="","",IF(COUNTIF(离职清单!C:C,D2287)&gt;0,"已离职","在职"))</f>
        <v>在职</v>
      </c>
      <c r="P2287" s="24">
        <f>IF(AND(O2287="在职",J2287="是"),COUNTIF(O$2:O2287,"在职"),"")</f>
        <v>2280</v>
      </c>
    </row>
    <row r="2288" ht="18" spans="1:16">
      <c r="A2288" s="10">
        <f t="shared" si="41"/>
        <v>2287</v>
      </c>
      <c r="B2288" s="31">
        <v>46176</v>
      </c>
      <c r="C2288" s="32" t="s">
        <v>2335</v>
      </c>
      <c r="D2288" s="120" t="s">
        <v>490</v>
      </c>
      <c r="E2288" s="33" t="s">
        <v>43</v>
      </c>
      <c r="F2288" s="18" t="s">
        <v>62</v>
      </c>
      <c r="G2288" s="18" t="s">
        <v>2164</v>
      </c>
      <c r="H2288" s="34" t="s">
        <v>85</v>
      </c>
      <c r="I2288" s="18" t="s">
        <v>114</v>
      </c>
      <c r="J2288" s="31" t="s">
        <v>105</v>
      </c>
      <c r="K2288" s="31"/>
      <c r="N2288" s="13" t="s">
        <v>30</v>
      </c>
      <c r="O2288" s="24" t="str">
        <f>IF(D2288="","",IF(COUNTIF(离职清单!C:C,D2288)&gt;0,"已离职","在职"))</f>
        <v>在职</v>
      </c>
      <c r="P2288" s="24" t="str">
        <f>IF(AND(O2288="在职",J2288="是"),COUNTIF(O$2:O2288,"在职"),"")</f>
        <v/>
      </c>
    </row>
    <row r="2289" ht="18" spans="1:16">
      <c r="A2289" s="14">
        <f t="shared" si="41"/>
        <v>2288</v>
      </c>
      <c r="B2289" s="31">
        <v>46176</v>
      </c>
      <c r="C2289" s="32" t="s">
        <v>2336</v>
      </c>
      <c r="D2289" s="120" t="s">
        <v>492</v>
      </c>
      <c r="E2289" s="33" t="s">
        <v>43</v>
      </c>
      <c r="F2289" s="18" t="s">
        <v>63</v>
      </c>
      <c r="G2289" s="18" t="s">
        <v>2164</v>
      </c>
      <c r="H2289" s="34" t="s">
        <v>85</v>
      </c>
      <c r="I2289" s="18" t="s">
        <v>114</v>
      </c>
      <c r="J2289" s="31" t="s">
        <v>114</v>
      </c>
      <c r="K2289" s="31">
        <v>46177</v>
      </c>
      <c r="N2289" s="13" t="s">
        <v>30</v>
      </c>
      <c r="O2289" s="24" t="str">
        <f>IF(D2289="","",IF(COUNTIF(离职清单!C:C,D2289)&gt;0,"已离职","在职"))</f>
        <v>在职</v>
      </c>
      <c r="P2289" s="24">
        <f>IF(AND(O2289="在职",J2289="是"),COUNTIF(O$2:O2289,"在职"),"")</f>
        <v>2282</v>
      </c>
    </row>
    <row r="2290" ht="18" spans="1:16">
      <c r="A2290" s="10">
        <f t="shared" si="41"/>
        <v>2289</v>
      </c>
      <c r="B2290" s="31">
        <v>46176</v>
      </c>
      <c r="C2290" s="32" t="s">
        <v>2337</v>
      </c>
      <c r="D2290" s="120" t="s">
        <v>477</v>
      </c>
      <c r="E2290" s="33" t="s">
        <v>43</v>
      </c>
      <c r="F2290" s="18" t="s">
        <v>63</v>
      </c>
      <c r="G2290" s="18" t="s">
        <v>2164</v>
      </c>
      <c r="H2290" s="34" t="s">
        <v>85</v>
      </c>
      <c r="I2290" s="18" t="s">
        <v>114</v>
      </c>
      <c r="J2290" s="31" t="s">
        <v>105</v>
      </c>
      <c r="K2290" s="31"/>
      <c r="N2290" s="13" t="s">
        <v>30</v>
      </c>
      <c r="O2290" s="24" t="str">
        <f>IF(D2290="","",IF(COUNTIF(离职清单!C:C,D2290)&gt;0,"已离职","在职"))</f>
        <v>在职</v>
      </c>
      <c r="P2290" s="24" t="str">
        <f>IF(AND(O2290="在职",J2290="是"),COUNTIF(O$2:O2290,"在职"),"")</f>
        <v/>
      </c>
    </row>
    <row r="2291" ht="18" spans="1:16">
      <c r="A2291" s="14">
        <f t="shared" si="41"/>
        <v>2290</v>
      </c>
      <c r="B2291" s="31">
        <v>46176</v>
      </c>
      <c r="C2291" s="32" t="s">
        <v>2338</v>
      </c>
      <c r="D2291" s="120" t="s">
        <v>478</v>
      </c>
      <c r="E2291" s="33" t="s">
        <v>43</v>
      </c>
      <c r="F2291" s="18" t="s">
        <v>64</v>
      </c>
      <c r="G2291" s="18" t="s">
        <v>2164</v>
      </c>
      <c r="H2291" s="34" t="s">
        <v>85</v>
      </c>
      <c r="I2291" s="18" t="s">
        <v>114</v>
      </c>
      <c r="J2291" s="31" t="s">
        <v>105</v>
      </c>
      <c r="K2291" s="31"/>
      <c r="N2291" s="13" t="s">
        <v>30</v>
      </c>
      <c r="O2291" s="24" t="str">
        <f>IF(D2291="","",IF(COUNTIF(离职清单!C:C,D2291)&gt;0,"已离职","在职"))</f>
        <v>在职</v>
      </c>
      <c r="P2291" s="24" t="str">
        <f>IF(AND(O2291="在职",J2291="是"),COUNTIF(O$2:O2291,"在职"),"")</f>
        <v/>
      </c>
    </row>
    <row r="2292" ht="18" spans="1:16">
      <c r="A2292" s="10">
        <f t="shared" si="41"/>
        <v>2291</v>
      </c>
      <c r="B2292" s="31">
        <v>46176</v>
      </c>
      <c r="C2292" s="32" t="s">
        <v>2339</v>
      </c>
      <c r="D2292" s="120" t="s">
        <v>480</v>
      </c>
      <c r="E2292" s="33" t="s">
        <v>43</v>
      </c>
      <c r="F2292" s="18" t="s">
        <v>62</v>
      </c>
      <c r="G2292" s="18" t="s">
        <v>2164</v>
      </c>
      <c r="H2292" s="34" t="s">
        <v>85</v>
      </c>
      <c r="I2292" s="18" t="s">
        <v>2154</v>
      </c>
      <c r="J2292" s="31" t="s">
        <v>105</v>
      </c>
      <c r="K2292" s="31"/>
      <c r="N2292" s="13" t="s">
        <v>30</v>
      </c>
      <c r="O2292" s="24" t="str">
        <f>IF(D2292="","",IF(COUNTIF(离职清单!C:C,D2292)&gt;0,"已离职","在职"))</f>
        <v>在职</v>
      </c>
      <c r="P2292" s="24" t="str">
        <f>IF(AND(O2292="在职",J2292="是"),COUNTIF(O$2:O2292,"在职"),"")</f>
        <v/>
      </c>
    </row>
    <row r="2293" ht="18" spans="1:16">
      <c r="A2293" s="14">
        <f t="shared" si="41"/>
        <v>2292</v>
      </c>
      <c r="B2293" s="31">
        <v>46176</v>
      </c>
      <c r="C2293" s="32" t="s">
        <v>2340</v>
      </c>
      <c r="D2293" s="120" t="s">
        <v>482</v>
      </c>
      <c r="E2293" s="33" t="s">
        <v>43</v>
      </c>
      <c r="F2293" s="18" t="s">
        <v>62</v>
      </c>
      <c r="G2293" s="18" t="s">
        <v>2164</v>
      </c>
      <c r="H2293" s="34" t="s">
        <v>85</v>
      </c>
      <c r="I2293" s="18" t="s">
        <v>2154</v>
      </c>
      <c r="J2293" s="31" t="s">
        <v>105</v>
      </c>
      <c r="K2293" s="31"/>
      <c r="N2293" s="13" t="s">
        <v>30</v>
      </c>
      <c r="O2293" s="24" t="str">
        <f>IF(D2293="","",IF(COUNTIF(离职清单!C:C,D2293)&gt;0,"已离职","在职"))</f>
        <v>在职</v>
      </c>
      <c r="P2293" s="24" t="str">
        <f>IF(AND(O2293="在职",J2293="是"),COUNTIF(O$2:O2293,"在职"),"")</f>
        <v/>
      </c>
    </row>
    <row r="2294" ht="18" spans="1:16">
      <c r="A2294" s="10">
        <f t="shared" si="41"/>
        <v>2293</v>
      </c>
      <c r="B2294" s="31">
        <v>46176</v>
      </c>
      <c r="C2294" s="32" t="s">
        <v>2341</v>
      </c>
      <c r="D2294" s="120" t="s">
        <v>484</v>
      </c>
      <c r="E2294" s="33" t="s">
        <v>43</v>
      </c>
      <c r="F2294" s="18" t="s">
        <v>63</v>
      </c>
      <c r="G2294" s="18" t="s">
        <v>2164</v>
      </c>
      <c r="H2294" s="34" t="s">
        <v>85</v>
      </c>
      <c r="I2294" s="18" t="s">
        <v>2154</v>
      </c>
      <c r="J2294" s="31" t="s">
        <v>105</v>
      </c>
      <c r="K2294" s="31"/>
      <c r="N2294" s="13" t="s">
        <v>30</v>
      </c>
      <c r="O2294" s="24" t="str">
        <f>IF(D2294="","",IF(COUNTIF(离职清单!C:C,D2294)&gt;0,"已离职","在职"))</f>
        <v>在职</v>
      </c>
      <c r="P2294" s="24" t="str">
        <f>IF(AND(O2294="在职",J2294="是"),COUNTIF(O$2:O2294,"在职"),"")</f>
        <v/>
      </c>
    </row>
    <row r="2295" ht="18" spans="1:16">
      <c r="A2295" s="14">
        <f t="shared" si="41"/>
        <v>2294</v>
      </c>
      <c r="B2295" s="31">
        <v>46176</v>
      </c>
      <c r="C2295" s="32" t="s">
        <v>2342</v>
      </c>
      <c r="D2295" s="120" t="s">
        <v>486</v>
      </c>
      <c r="E2295" s="33" t="s">
        <v>43</v>
      </c>
      <c r="F2295" s="18" t="s">
        <v>63</v>
      </c>
      <c r="G2295" s="18" t="s">
        <v>2164</v>
      </c>
      <c r="H2295" s="34" t="s">
        <v>85</v>
      </c>
      <c r="I2295" s="18" t="s">
        <v>2154</v>
      </c>
      <c r="J2295" s="31" t="s">
        <v>105</v>
      </c>
      <c r="K2295" s="31"/>
      <c r="N2295" s="13" t="s">
        <v>30</v>
      </c>
      <c r="O2295" s="24" t="str">
        <f>IF(D2295="","",IF(COUNTIF(离职清单!C:C,D2295)&gt;0,"已离职","在职"))</f>
        <v>在职</v>
      </c>
      <c r="P2295" s="24" t="str">
        <f>IF(AND(O2295="在职",J2295="是"),COUNTIF(O$2:O2295,"在职"),"")</f>
        <v/>
      </c>
    </row>
    <row r="2296" ht="18" spans="1:16">
      <c r="A2296" s="10">
        <f t="shared" si="41"/>
        <v>2295</v>
      </c>
      <c r="B2296" s="31">
        <v>46176</v>
      </c>
      <c r="C2296" s="32" t="s">
        <v>2171</v>
      </c>
      <c r="D2296" s="120" t="s">
        <v>488</v>
      </c>
      <c r="E2296" s="33" t="s">
        <v>42</v>
      </c>
      <c r="F2296" s="18" t="s">
        <v>63</v>
      </c>
      <c r="G2296" s="18" t="s">
        <v>2166</v>
      </c>
      <c r="H2296" s="34" t="s">
        <v>85</v>
      </c>
      <c r="I2296" s="18" t="s">
        <v>105</v>
      </c>
      <c r="J2296" s="31" t="s">
        <v>105</v>
      </c>
      <c r="K2296" s="31"/>
      <c r="N2296" s="13" t="s">
        <v>30</v>
      </c>
      <c r="O2296" s="24" t="str">
        <f>IF(D2296="","",IF(COUNTIF(离职清单!C:C,D2296)&gt;0,"已离职","在职"))</f>
        <v>在职</v>
      </c>
      <c r="P2296" s="24" t="str">
        <f>IF(AND(O2296="在职",J2296="是"),COUNTIF(O$2:O2296,"在职"),"")</f>
        <v/>
      </c>
    </row>
    <row r="2297" ht="18" spans="1:16">
      <c r="A2297" s="14">
        <f t="shared" si="41"/>
        <v>2296</v>
      </c>
      <c r="B2297" s="31">
        <v>46176</v>
      </c>
      <c r="C2297" s="32" t="s">
        <v>2343</v>
      </c>
      <c r="D2297" s="120" t="s">
        <v>490</v>
      </c>
      <c r="E2297" s="33" t="s">
        <v>43</v>
      </c>
      <c r="F2297" s="18" t="s">
        <v>63</v>
      </c>
      <c r="G2297" s="18" t="s">
        <v>2250</v>
      </c>
      <c r="H2297" s="34" t="s">
        <v>85</v>
      </c>
      <c r="I2297" s="18" t="s">
        <v>105</v>
      </c>
      <c r="J2297" s="31" t="s">
        <v>105</v>
      </c>
      <c r="K2297" s="31"/>
      <c r="N2297" s="13" t="s">
        <v>30</v>
      </c>
      <c r="O2297" s="24" t="str">
        <f>IF(D2297="","",IF(COUNTIF(离职清单!C:C,D2297)&gt;0,"已离职","在职"))</f>
        <v>在职</v>
      </c>
      <c r="P2297" s="24" t="str">
        <f>IF(AND(O2297="在职",J2297="是"),COUNTIF(O$2:O2297,"在职"),"")</f>
        <v/>
      </c>
    </row>
    <row r="2298" ht="18" spans="1:16">
      <c r="A2298" s="10">
        <f t="shared" si="41"/>
        <v>2297</v>
      </c>
      <c r="B2298" s="31">
        <v>46176</v>
      </c>
      <c r="C2298" s="32" t="s">
        <v>2344</v>
      </c>
      <c r="D2298" s="120" t="s">
        <v>492</v>
      </c>
      <c r="E2298" s="33" t="s">
        <v>43</v>
      </c>
      <c r="F2298" s="18" t="s">
        <v>63</v>
      </c>
      <c r="G2298" s="18" t="s">
        <v>2250</v>
      </c>
      <c r="H2298" s="34" t="s">
        <v>85</v>
      </c>
      <c r="I2298" s="18" t="s">
        <v>105</v>
      </c>
      <c r="J2298" s="31" t="s">
        <v>105</v>
      </c>
      <c r="K2298" s="31"/>
      <c r="N2298" s="13" t="s">
        <v>30</v>
      </c>
      <c r="O2298" s="24" t="str">
        <f>IF(D2298="","",IF(COUNTIF(离职清单!C:C,D2298)&gt;0,"已离职","在职"))</f>
        <v>在职</v>
      </c>
      <c r="P2298" s="24" t="str">
        <f>IF(AND(O2298="在职",J2298="是"),COUNTIF(O$2:O2298,"在职"),"")</f>
        <v/>
      </c>
    </row>
    <row r="2299" ht="18" spans="1:16">
      <c r="A2299" s="14">
        <f t="shared" si="41"/>
        <v>2298</v>
      </c>
      <c r="B2299" s="31">
        <v>46176</v>
      </c>
      <c r="C2299" s="32" t="s">
        <v>1973</v>
      </c>
      <c r="D2299" s="120" t="s">
        <v>477</v>
      </c>
      <c r="E2299" s="33" t="s">
        <v>43</v>
      </c>
      <c r="F2299" s="18" t="s">
        <v>63</v>
      </c>
      <c r="G2299" s="18" t="s">
        <v>2250</v>
      </c>
      <c r="H2299" s="34" t="s">
        <v>85</v>
      </c>
      <c r="I2299" s="18" t="s">
        <v>105</v>
      </c>
      <c r="J2299" s="31" t="s">
        <v>105</v>
      </c>
      <c r="K2299" s="31"/>
      <c r="N2299" s="13" t="s">
        <v>30</v>
      </c>
      <c r="O2299" s="24" t="str">
        <f>IF(D2299="","",IF(COUNTIF(离职清单!C:C,D2299)&gt;0,"已离职","在职"))</f>
        <v>在职</v>
      </c>
      <c r="P2299" s="24" t="str">
        <f>IF(AND(O2299="在职",J2299="是"),COUNTIF(O$2:O2299,"在职"),"")</f>
        <v/>
      </c>
    </row>
    <row r="2300" ht="18" spans="1:16">
      <c r="A2300" s="10">
        <f t="shared" si="41"/>
        <v>2299</v>
      </c>
      <c r="B2300" s="31">
        <v>46176</v>
      </c>
      <c r="C2300" s="32" t="s">
        <v>2345</v>
      </c>
      <c r="D2300" s="120" t="s">
        <v>478</v>
      </c>
      <c r="E2300" s="33" t="s">
        <v>43</v>
      </c>
      <c r="F2300" s="18" t="s">
        <v>63</v>
      </c>
      <c r="G2300" s="18" t="s">
        <v>2250</v>
      </c>
      <c r="H2300" s="34" t="s">
        <v>85</v>
      </c>
      <c r="I2300" s="18" t="s">
        <v>105</v>
      </c>
      <c r="J2300" s="31" t="s">
        <v>105</v>
      </c>
      <c r="K2300" s="31"/>
      <c r="N2300" s="13" t="s">
        <v>30</v>
      </c>
      <c r="O2300" s="24" t="str">
        <f>IF(D2300="","",IF(COUNTIF(离职清单!C:C,D2300)&gt;0,"已离职","在职"))</f>
        <v>在职</v>
      </c>
      <c r="P2300" s="24" t="str">
        <f>IF(AND(O2300="在职",J2300="是"),COUNTIF(O$2:O2300,"在职"),"")</f>
        <v/>
      </c>
    </row>
    <row r="2301" ht="18" spans="1:16">
      <c r="A2301" s="14">
        <f t="shared" si="41"/>
        <v>2300</v>
      </c>
      <c r="B2301" s="31">
        <v>46176</v>
      </c>
      <c r="C2301" s="32" t="s">
        <v>2346</v>
      </c>
      <c r="D2301" s="120" t="s">
        <v>480</v>
      </c>
      <c r="E2301" s="33" t="s">
        <v>43</v>
      </c>
      <c r="F2301" s="18" t="s">
        <v>63</v>
      </c>
      <c r="G2301" s="18" t="s">
        <v>2250</v>
      </c>
      <c r="H2301" s="34" t="s">
        <v>85</v>
      </c>
      <c r="I2301" s="18" t="s">
        <v>114</v>
      </c>
      <c r="J2301" s="31" t="s">
        <v>114</v>
      </c>
      <c r="K2301" s="31">
        <v>46178</v>
      </c>
      <c r="N2301" s="13" t="s">
        <v>30</v>
      </c>
      <c r="O2301" s="24" t="str">
        <f>IF(D2301="","",IF(COUNTIF(离职清单!C:C,D2301)&gt;0,"已离职","在职"))</f>
        <v>在职</v>
      </c>
      <c r="P2301" s="24">
        <f>IF(AND(O2301="在职",J2301="是"),COUNTIF(O$2:O2301,"在职"),"")</f>
        <v>2294</v>
      </c>
    </row>
    <row r="2302" ht="18" spans="1:16">
      <c r="A2302" s="10">
        <f t="shared" si="41"/>
        <v>2301</v>
      </c>
      <c r="B2302" s="31">
        <v>46176</v>
      </c>
      <c r="C2302" s="32" t="s">
        <v>2347</v>
      </c>
      <c r="D2302" s="120" t="s">
        <v>482</v>
      </c>
      <c r="E2302" s="33" t="s">
        <v>43</v>
      </c>
      <c r="F2302" s="18" t="s">
        <v>64</v>
      </c>
      <c r="G2302" s="18" t="s">
        <v>2250</v>
      </c>
      <c r="H2302" s="34" t="s">
        <v>85</v>
      </c>
      <c r="I2302" s="18" t="s">
        <v>105</v>
      </c>
      <c r="J2302" s="31" t="s">
        <v>105</v>
      </c>
      <c r="K2302" s="31"/>
      <c r="N2302" s="13" t="s">
        <v>30</v>
      </c>
      <c r="O2302" s="24" t="str">
        <f>IF(D2302="","",IF(COUNTIF(离职清单!C:C,D2302)&gt;0,"已离职","在职"))</f>
        <v>在职</v>
      </c>
      <c r="P2302" s="24" t="str">
        <f>IF(AND(O2302="在职",J2302="是"),COUNTIF(O$2:O2302,"在职"),"")</f>
        <v/>
      </c>
    </row>
    <row r="2303" ht="18" spans="1:16">
      <c r="A2303" s="14">
        <f t="shared" si="41"/>
        <v>2302</v>
      </c>
      <c r="B2303" s="31">
        <v>46176</v>
      </c>
      <c r="C2303" s="32" t="s">
        <v>2348</v>
      </c>
      <c r="D2303" s="120" t="s">
        <v>484</v>
      </c>
      <c r="E2303" s="33" t="s">
        <v>43</v>
      </c>
      <c r="F2303" s="18" t="s">
        <v>63</v>
      </c>
      <c r="G2303" s="18" t="s">
        <v>2186</v>
      </c>
      <c r="H2303" s="34" t="s">
        <v>85</v>
      </c>
      <c r="I2303" s="18" t="s">
        <v>2154</v>
      </c>
      <c r="J2303" s="31" t="s">
        <v>105</v>
      </c>
      <c r="K2303" s="31"/>
      <c r="N2303" s="13" t="s">
        <v>30</v>
      </c>
      <c r="O2303" s="24" t="str">
        <f>IF(D2303="","",IF(COUNTIF(离职清单!C:C,D2303)&gt;0,"已离职","在职"))</f>
        <v>在职</v>
      </c>
      <c r="P2303" s="24" t="str">
        <f>IF(AND(O2303="在职",J2303="是"),COUNTIF(O$2:O2303,"在职"),"")</f>
        <v/>
      </c>
    </row>
    <row r="2304" ht="18" spans="1:16">
      <c r="A2304" s="10">
        <f t="shared" si="41"/>
        <v>2303</v>
      </c>
      <c r="B2304" s="31">
        <v>46176</v>
      </c>
      <c r="C2304" s="32" t="s">
        <v>1726</v>
      </c>
      <c r="D2304" s="120" t="s">
        <v>486</v>
      </c>
      <c r="E2304" s="33" t="s">
        <v>43</v>
      </c>
      <c r="F2304" s="18" t="s">
        <v>62</v>
      </c>
      <c r="G2304" s="18" t="s">
        <v>2349</v>
      </c>
      <c r="H2304" s="34" t="s">
        <v>85</v>
      </c>
      <c r="I2304" s="18" t="s">
        <v>114</v>
      </c>
      <c r="J2304" s="31" t="s">
        <v>114</v>
      </c>
      <c r="K2304" s="31">
        <v>46181</v>
      </c>
      <c r="N2304" s="13" t="s">
        <v>30</v>
      </c>
      <c r="O2304" s="24" t="str">
        <f>IF(D2304="","",IF(COUNTIF(离职清单!C:C,D2304)&gt;0,"已离职","在职"))</f>
        <v>在职</v>
      </c>
      <c r="P2304" s="24">
        <f>IF(AND(O2304="在职",J2304="是"),COUNTIF(O$2:O2304,"在职"),"")</f>
        <v>2297</v>
      </c>
    </row>
    <row r="2305" ht="18" spans="1:16">
      <c r="A2305" s="14">
        <f t="shared" si="41"/>
        <v>2304</v>
      </c>
      <c r="B2305" s="31">
        <v>46176</v>
      </c>
      <c r="C2305" s="32" t="s">
        <v>2298</v>
      </c>
      <c r="D2305" s="120" t="s">
        <v>488</v>
      </c>
      <c r="E2305" s="33" t="s">
        <v>43</v>
      </c>
      <c r="F2305" s="18" t="s">
        <v>62</v>
      </c>
      <c r="G2305" s="18" t="s">
        <v>124</v>
      </c>
      <c r="H2305" s="34" t="s">
        <v>85</v>
      </c>
      <c r="I2305" s="18" t="s">
        <v>114</v>
      </c>
      <c r="J2305" s="31" t="s">
        <v>114</v>
      </c>
      <c r="K2305" s="31">
        <v>46177</v>
      </c>
      <c r="N2305" s="13" t="s">
        <v>30</v>
      </c>
      <c r="O2305" s="24" t="str">
        <f>IF(D2305="","",IF(COUNTIF(离职清单!C:C,D2305)&gt;0,"已离职","在职"))</f>
        <v>在职</v>
      </c>
      <c r="P2305" s="24">
        <f>IF(AND(O2305="在职",J2305="是"),COUNTIF(O$2:O2305,"在职"),"")</f>
        <v>2298</v>
      </c>
    </row>
    <row r="2306" ht="18" spans="1:16">
      <c r="A2306" s="10">
        <f t="shared" si="41"/>
        <v>2305</v>
      </c>
      <c r="B2306" s="31">
        <v>46176</v>
      </c>
      <c r="C2306" s="32" t="s">
        <v>2350</v>
      </c>
      <c r="D2306" s="120" t="s">
        <v>490</v>
      </c>
      <c r="E2306" s="33" t="s">
        <v>43</v>
      </c>
      <c r="F2306" s="18" t="s">
        <v>62</v>
      </c>
      <c r="G2306" s="18" t="s">
        <v>2156</v>
      </c>
      <c r="H2306" s="34" t="s">
        <v>85</v>
      </c>
      <c r="I2306" s="18" t="s">
        <v>2154</v>
      </c>
      <c r="J2306" s="31" t="s">
        <v>105</v>
      </c>
      <c r="K2306" s="31"/>
      <c r="N2306" s="13" t="s">
        <v>30</v>
      </c>
      <c r="O2306" s="24" t="str">
        <f>IF(D2306="","",IF(COUNTIF(离职清单!C:C,D2306)&gt;0,"已离职","在职"))</f>
        <v>在职</v>
      </c>
      <c r="P2306" s="24" t="str">
        <f>IF(AND(O2306="在职",J2306="是"),COUNTIF(O$2:O2306,"在职"),"")</f>
        <v/>
      </c>
    </row>
    <row r="2307" ht="18" spans="1:16">
      <c r="A2307" s="14">
        <f t="shared" si="41"/>
        <v>2306</v>
      </c>
      <c r="B2307" s="31">
        <v>46176</v>
      </c>
      <c r="C2307" s="32" t="s">
        <v>2351</v>
      </c>
      <c r="D2307" s="120" t="s">
        <v>492</v>
      </c>
      <c r="E2307" s="33" t="s">
        <v>43</v>
      </c>
      <c r="F2307" s="18" t="s">
        <v>63</v>
      </c>
      <c r="G2307" s="18" t="s">
        <v>2156</v>
      </c>
      <c r="H2307" s="34" t="s">
        <v>85</v>
      </c>
      <c r="I2307" s="18" t="s">
        <v>105</v>
      </c>
      <c r="J2307" s="31" t="s">
        <v>105</v>
      </c>
      <c r="K2307" s="31"/>
      <c r="N2307" s="13" t="s">
        <v>30</v>
      </c>
      <c r="O2307" s="24" t="str">
        <f>IF(D2307="","",IF(COUNTIF(离职清单!C:C,D2307)&gt;0,"已离职","在职"))</f>
        <v>在职</v>
      </c>
      <c r="P2307" s="24" t="str">
        <f>IF(AND(O2307="在职",J2307="是"),COUNTIF(O$2:O2307,"在职"),"")</f>
        <v/>
      </c>
    </row>
    <row r="2308" ht="18" spans="1:16">
      <c r="A2308" s="10">
        <f t="shared" si="41"/>
        <v>2307</v>
      </c>
      <c r="B2308" s="31">
        <v>46176</v>
      </c>
      <c r="C2308" s="32" t="s">
        <v>2352</v>
      </c>
      <c r="D2308" s="120" t="s">
        <v>477</v>
      </c>
      <c r="E2308" s="33" t="s">
        <v>43</v>
      </c>
      <c r="F2308" s="18" t="s">
        <v>63</v>
      </c>
      <c r="G2308" s="18" t="s">
        <v>2156</v>
      </c>
      <c r="H2308" s="34" t="s">
        <v>85</v>
      </c>
      <c r="I2308" s="18" t="s">
        <v>105</v>
      </c>
      <c r="J2308" s="31" t="s">
        <v>105</v>
      </c>
      <c r="K2308" s="31"/>
      <c r="N2308" s="13" t="s">
        <v>30</v>
      </c>
      <c r="O2308" s="24" t="str">
        <f>IF(D2308="","",IF(COUNTIF(离职清单!C:C,D2308)&gt;0,"已离职","在职"))</f>
        <v>在职</v>
      </c>
      <c r="P2308" s="24" t="str">
        <f>IF(AND(O2308="在职",J2308="是"),COUNTIF(O$2:O2308,"在职"),"")</f>
        <v/>
      </c>
    </row>
    <row r="2309" ht="18" spans="1:16">
      <c r="A2309" s="14">
        <f t="shared" si="41"/>
        <v>2308</v>
      </c>
      <c r="B2309" s="31">
        <v>46176</v>
      </c>
      <c r="C2309" s="32" t="s">
        <v>2353</v>
      </c>
      <c r="D2309" s="120" t="s">
        <v>478</v>
      </c>
      <c r="E2309" s="33" t="s">
        <v>43</v>
      </c>
      <c r="F2309" s="18" t="s">
        <v>63</v>
      </c>
      <c r="G2309" s="18" t="s">
        <v>2156</v>
      </c>
      <c r="H2309" s="34" t="s">
        <v>85</v>
      </c>
      <c r="I2309" s="18" t="s">
        <v>105</v>
      </c>
      <c r="J2309" s="31" t="s">
        <v>105</v>
      </c>
      <c r="K2309" s="31"/>
      <c r="N2309" s="13" t="s">
        <v>30</v>
      </c>
      <c r="O2309" s="24" t="str">
        <f>IF(D2309="","",IF(COUNTIF(离职清单!C:C,D2309)&gt;0,"已离职","在职"))</f>
        <v>在职</v>
      </c>
      <c r="P2309" s="24" t="str">
        <f>IF(AND(O2309="在职",J2309="是"),COUNTIF(O$2:O2309,"在职"),"")</f>
        <v/>
      </c>
    </row>
    <row r="2310" ht="18" spans="1:16">
      <c r="A2310" s="10">
        <f t="shared" si="41"/>
        <v>2309</v>
      </c>
      <c r="B2310" s="31">
        <v>46176</v>
      </c>
      <c r="C2310" s="32" t="s">
        <v>2354</v>
      </c>
      <c r="D2310" s="120" t="s">
        <v>480</v>
      </c>
      <c r="E2310" s="33" t="s">
        <v>43</v>
      </c>
      <c r="F2310" s="18" t="s">
        <v>62</v>
      </c>
      <c r="G2310" s="18" t="s">
        <v>233</v>
      </c>
      <c r="H2310" s="34" t="s">
        <v>85</v>
      </c>
      <c r="I2310" s="18" t="s">
        <v>114</v>
      </c>
      <c r="J2310" s="31" t="s">
        <v>114</v>
      </c>
      <c r="K2310" s="31">
        <v>46180</v>
      </c>
      <c r="N2310" s="13" t="s">
        <v>30</v>
      </c>
      <c r="O2310" s="24" t="str">
        <f>IF(D2310="","",IF(COUNTIF(离职清单!C:C,D2310)&gt;0,"已离职","在职"))</f>
        <v>在职</v>
      </c>
      <c r="P2310" s="24">
        <f>IF(AND(O2310="在职",J2310="是"),COUNTIF(O$2:O2310,"在职"),"")</f>
        <v>2303</v>
      </c>
    </row>
    <row r="2311" ht="18" spans="1:16">
      <c r="A2311" s="14">
        <f t="shared" si="41"/>
        <v>2310</v>
      </c>
      <c r="B2311" s="31">
        <v>46176</v>
      </c>
      <c r="C2311" s="32" t="s">
        <v>2355</v>
      </c>
      <c r="D2311" s="120" t="s">
        <v>482</v>
      </c>
      <c r="E2311" s="33" t="s">
        <v>43</v>
      </c>
      <c r="F2311" s="18" t="s">
        <v>63</v>
      </c>
      <c r="G2311" s="18" t="s">
        <v>2174</v>
      </c>
      <c r="H2311" s="34" t="s">
        <v>85</v>
      </c>
      <c r="I2311" s="18" t="s">
        <v>114</v>
      </c>
      <c r="J2311" s="31" t="s">
        <v>114</v>
      </c>
      <c r="K2311" s="31">
        <v>46179</v>
      </c>
      <c r="N2311" s="13" t="s">
        <v>30</v>
      </c>
      <c r="O2311" s="24" t="str">
        <f>IF(D2311="","",IF(COUNTIF(离职清单!C:C,D2311)&gt;0,"已离职","在职"))</f>
        <v>在职</v>
      </c>
      <c r="P2311" s="24">
        <f>IF(AND(O2311="在职",J2311="是"),COUNTIF(O$2:O2311,"在职"),"")</f>
        <v>2304</v>
      </c>
    </row>
    <row r="2312" ht="18" spans="1:16">
      <c r="A2312" s="10">
        <f t="shared" si="41"/>
        <v>2311</v>
      </c>
      <c r="B2312" s="31">
        <v>46176</v>
      </c>
      <c r="C2312" s="32" t="s">
        <v>2356</v>
      </c>
      <c r="D2312" s="120" t="s">
        <v>484</v>
      </c>
      <c r="E2312" s="33" t="s">
        <v>43</v>
      </c>
      <c r="F2312" s="18" t="s">
        <v>63</v>
      </c>
      <c r="G2312" s="18" t="s">
        <v>2174</v>
      </c>
      <c r="H2312" s="34" t="s">
        <v>85</v>
      </c>
      <c r="I2312" s="18" t="s">
        <v>105</v>
      </c>
      <c r="J2312" s="31" t="s">
        <v>105</v>
      </c>
      <c r="K2312" s="31"/>
      <c r="N2312" s="13" t="s">
        <v>30</v>
      </c>
      <c r="O2312" s="24" t="str">
        <f>IF(D2312="","",IF(COUNTIF(离职清单!C:C,D2312)&gt;0,"已离职","在职"))</f>
        <v>在职</v>
      </c>
      <c r="P2312" s="24" t="str">
        <f>IF(AND(O2312="在职",J2312="是"),COUNTIF(O$2:O2312,"在职"),"")</f>
        <v/>
      </c>
    </row>
    <row r="2313" ht="18" spans="1:16">
      <c r="A2313" s="14">
        <f t="shared" si="41"/>
        <v>2312</v>
      </c>
      <c r="B2313" s="31">
        <v>46176</v>
      </c>
      <c r="C2313" s="32" t="s">
        <v>2357</v>
      </c>
      <c r="D2313" s="120" t="s">
        <v>486</v>
      </c>
      <c r="E2313" s="33" t="s">
        <v>43</v>
      </c>
      <c r="F2313" s="18" t="s">
        <v>63</v>
      </c>
      <c r="G2313" s="18" t="s">
        <v>2174</v>
      </c>
      <c r="H2313" s="34" t="s">
        <v>85</v>
      </c>
      <c r="I2313" s="18" t="s">
        <v>114</v>
      </c>
      <c r="J2313" s="31" t="s">
        <v>105</v>
      </c>
      <c r="K2313" s="31"/>
      <c r="N2313" s="13" t="s">
        <v>30</v>
      </c>
      <c r="O2313" s="24" t="str">
        <f>IF(D2313="","",IF(COUNTIF(离职清单!C:C,D2313)&gt;0,"已离职","在职"))</f>
        <v>在职</v>
      </c>
      <c r="P2313" s="24" t="str">
        <f>IF(AND(O2313="在职",J2313="是"),COUNTIF(O$2:O2313,"在职"),"")</f>
        <v/>
      </c>
    </row>
    <row r="2314" ht="18" spans="1:16">
      <c r="A2314" s="10">
        <f t="shared" si="41"/>
        <v>2313</v>
      </c>
      <c r="B2314" s="31">
        <v>46176</v>
      </c>
      <c r="C2314" s="32" t="s">
        <v>2358</v>
      </c>
      <c r="D2314" s="120" t="s">
        <v>488</v>
      </c>
      <c r="E2314" s="33" t="s">
        <v>43</v>
      </c>
      <c r="F2314" s="18" t="s">
        <v>62</v>
      </c>
      <c r="G2314" s="18" t="s">
        <v>129</v>
      </c>
      <c r="H2314" s="34" t="s">
        <v>85</v>
      </c>
      <c r="I2314" s="18" t="s">
        <v>114</v>
      </c>
      <c r="J2314" s="31" t="s">
        <v>105</v>
      </c>
      <c r="K2314" s="31"/>
      <c r="N2314" s="13" t="s">
        <v>30</v>
      </c>
      <c r="O2314" s="24" t="str">
        <f>IF(D2314="","",IF(COUNTIF(离职清单!C:C,D2314)&gt;0,"已离职","在职"))</f>
        <v>在职</v>
      </c>
      <c r="P2314" s="24" t="str">
        <f>IF(AND(O2314="在职",J2314="是"),COUNTIF(O$2:O2314,"在职"),"")</f>
        <v/>
      </c>
    </row>
    <row r="2315" ht="18" spans="1:16">
      <c r="A2315" s="14">
        <f t="shared" si="41"/>
        <v>2314</v>
      </c>
      <c r="B2315" s="31">
        <v>46176</v>
      </c>
      <c r="C2315" s="32" t="s">
        <v>2359</v>
      </c>
      <c r="D2315" s="120" t="s">
        <v>490</v>
      </c>
      <c r="E2315" s="33" t="s">
        <v>43</v>
      </c>
      <c r="F2315" s="18" t="s">
        <v>62</v>
      </c>
      <c r="G2315" s="18" t="s">
        <v>129</v>
      </c>
      <c r="H2315" s="34" t="s">
        <v>85</v>
      </c>
      <c r="I2315" s="18" t="s">
        <v>105</v>
      </c>
      <c r="J2315" s="31" t="s">
        <v>105</v>
      </c>
      <c r="K2315" s="31"/>
      <c r="N2315" s="13" t="s">
        <v>30</v>
      </c>
      <c r="O2315" s="24" t="str">
        <f>IF(D2315="","",IF(COUNTIF(离职清单!C:C,D2315)&gt;0,"已离职","在职"))</f>
        <v>在职</v>
      </c>
      <c r="P2315" s="24" t="str">
        <f>IF(AND(O2315="在职",J2315="是"),COUNTIF(O$2:O2315,"在职"),"")</f>
        <v/>
      </c>
    </row>
    <row r="2316" ht="18" spans="1:16">
      <c r="A2316" s="10">
        <f t="shared" si="41"/>
        <v>2315</v>
      </c>
      <c r="B2316" s="31">
        <v>46176</v>
      </c>
      <c r="C2316" s="32" t="s">
        <v>2360</v>
      </c>
      <c r="D2316" s="120" t="s">
        <v>492</v>
      </c>
      <c r="E2316" s="33" t="s">
        <v>43</v>
      </c>
      <c r="F2316" s="18" t="s">
        <v>63</v>
      </c>
      <c r="G2316" s="18" t="s">
        <v>129</v>
      </c>
      <c r="H2316" s="34" t="s">
        <v>85</v>
      </c>
      <c r="I2316" s="18" t="s">
        <v>114</v>
      </c>
      <c r="J2316" s="31" t="s">
        <v>114</v>
      </c>
      <c r="K2316" s="31">
        <v>46178</v>
      </c>
      <c r="N2316" s="13" t="s">
        <v>30</v>
      </c>
      <c r="O2316" s="24" t="str">
        <f>IF(D2316="","",IF(COUNTIF(离职清单!C:C,D2316)&gt;0,"已离职","在职"))</f>
        <v>在职</v>
      </c>
      <c r="P2316" s="24">
        <f>IF(AND(O2316="在职",J2316="是"),COUNTIF(O$2:O2316,"在职"),"")</f>
        <v>2309</v>
      </c>
    </row>
    <row r="2317" ht="18" spans="1:16">
      <c r="A2317" s="14">
        <f t="shared" si="41"/>
        <v>2316</v>
      </c>
      <c r="B2317" s="31">
        <v>46176</v>
      </c>
      <c r="C2317" s="32" t="s">
        <v>2361</v>
      </c>
      <c r="D2317" s="120" t="s">
        <v>477</v>
      </c>
      <c r="E2317" s="33" t="s">
        <v>43</v>
      </c>
      <c r="F2317" s="18" t="s">
        <v>63</v>
      </c>
      <c r="G2317" s="18" t="s">
        <v>129</v>
      </c>
      <c r="H2317" s="34" t="s">
        <v>85</v>
      </c>
      <c r="I2317" s="18" t="s">
        <v>105</v>
      </c>
      <c r="J2317" s="31" t="s">
        <v>105</v>
      </c>
      <c r="K2317" s="31"/>
      <c r="N2317" s="13" t="s">
        <v>30</v>
      </c>
      <c r="O2317" s="24" t="str">
        <f>IF(D2317="","",IF(COUNTIF(离职清单!C:C,D2317)&gt;0,"已离职","在职"))</f>
        <v>在职</v>
      </c>
      <c r="P2317" s="24" t="str">
        <f>IF(AND(O2317="在职",J2317="是"),COUNTIF(O$2:O2317,"在职"),"")</f>
        <v/>
      </c>
    </row>
    <row r="2318" ht="18" spans="1:16">
      <c r="A2318" s="10">
        <f t="shared" si="41"/>
        <v>2317</v>
      </c>
      <c r="B2318" s="31">
        <v>46176</v>
      </c>
      <c r="C2318" s="32" t="s">
        <v>2362</v>
      </c>
      <c r="D2318" s="120" t="s">
        <v>478</v>
      </c>
      <c r="E2318" s="33" t="s">
        <v>43</v>
      </c>
      <c r="F2318" s="18" t="s">
        <v>62</v>
      </c>
      <c r="G2318" s="18" t="s">
        <v>129</v>
      </c>
      <c r="H2318" s="34" t="s">
        <v>85</v>
      </c>
      <c r="I2318" s="18" t="s">
        <v>2154</v>
      </c>
      <c r="J2318" s="31" t="s">
        <v>105</v>
      </c>
      <c r="K2318" s="31"/>
      <c r="N2318" s="13" t="s">
        <v>30</v>
      </c>
      <c r="O2318" s="24" t="str">
        <f>IF(D2318="","",IF(COUNTIF(离职清单!C:C,D2318)&gt;0,"已离职","在职"))</f>
        <v>在职</v>
      </c>
      <c r="P2318" s="24" t="str">
        <f>IF(AND(O2318="在职",J2318="是"),COUNTIF(O$2:O2318,"在职"),"")</f>
        <v/>
      </c>
    </row>
    <row r="2319" ht="18" spans="1:16">
      <c r="A2319" s="14">
        <f t="shared" si="41"/>
        <v>2318</v>
      </c>
      <c r="B2319" s="31">
        <v>46176</v>
      </c>
      <c r="C2319" s="32" t="s">
        <v>2363</v>
      </c>
      <c r="D2319" s="120" t="s">
        <v>480</v>
      </c>
      <c r="E2319" s="33" t="s">
        <v>43</v>
      </c>
      <c r="F2319" s="18" t="s">
        <v>62</v>
      </c>
      <c r="G2319" s="18" t="s">
        <v>129</v>
      </c>
      <c r="H2319" s="34" t="s">
        <v>85</v>
      </c>
      <c r="I2319" s="18" t="s">
        <v>2154</v>
      </c>
      <c r="J2319" s="31" t="s">
        <v>105</v>
      </c>
      <c r="K2319" s="31"/>
      <c r="N2319" s="13" t="s">
        <v>30</v>
      </c>
      <c r="O2319" s="24" t="str">
        <f>IF(D2319="","",IF(COUNTIF(离职清单!C:C,D2319)&gt;0,"已离职","在职"))</f>
        <v>在职</v>
      </c>
      <c r="P2319" s="24" t="str">
        <f>IF(AND(O2319="在职",J2319="是"),COUNTIF(O$2:O2319,"在职"),"")</f>
        <v/>
      </c>
    </row>
    <row r="2320" ht="18" spans="1:16">
      <c r="A2320" s="10">
        <f t="shared" si="41"/>
        <v>2319</v>
      </c>
      <c r="B2320" s="31">
        <v>46176</v>
      </c>
      <c r="C2320" s="32" t="s">
        <v>1950</v>
      </c>
      <c r="D2320" s="120" t="s">
        <v>482</v>
      </c>
      <c r="E2320" s="33" t="s">
        <v>43</v>
      </c>
      <c r="F2320" s="18" t="s">
        <v>62</v>
      </c>
      <c r="G2320" s="18" t="s">
        <v>129</v>
      </c>
      <c r="H2320" s="34" t="s">
        <v>85</v>
      </c>
      <c r="I2320" s="18" t="s">
        <v>2154</v>
      </c>
      <c r="J2320" s="31" t="s">
        <v>105</v>
      </c>
      <c r="K2320" s="31"/>
      <c r="N2320" s="13" t="s">
        <v>30</v>
      </c>
      <c r="O2320" s="24" t="str">
        <f>IF(D2320="","",IF(COUNTIF(离职清单!C:C,D2320)&gt;0,"已离职","在职"))</f>
        <v>在职</v>
      </c>
      <c r="P2320" s="24" t="str">
        <f>IF(AND(O2320="在职",J2320="是"),COUNTIF(O$2:O2320,"在职"),"")</f>
        <v/>
      </c>
    </row>
    <row r="2321" ht="18" spans="1:16">
      <c r="A2321" s="14">
        <f t="shared" si="41"/>
        <v>2320</v>
      </c>
      <c r="B2321" s="31">
        <v>46176</v>
      </c>
      <c r="C2321" s="32" t="s">
        <v>2301</v>
      </c>
      <c r="D2321" s="120" t="s">
        <v>484</v>
      </c>
      <c r="E2321" s="33" t="s">
        <v>43</v>
      </c>
      <c r="F2321" s="18" t="s">
        <v>63</v>
      </c>
      <c r="G2321" s="18" t="s">
        <v>2221</v>
      </c>
      <c r="H2321" s="34" t="s">
        <v>85</v>
      </c>
      <c r="I2321" s="18" t="s">
        <v>114</v>
      </c>
      <c r="J2321" s="31" t="s">
        <v>105</v>
      </c>
      <c r="K2321" s="31"/>
      <c r="N2321" s="13" t="s">
        <v>30</v>
      </c>
      <c r="O2321" s="24" t="str">
        <f>IF(D2321="","",IF(COUNTIF(离职清单!C:C,D2321)&gt;0,"已离职","在职"))</f>
        <v>在职</v>
      </c>
      <c r="P2321" s="24" t="str">
        <f>IF(AND(O2321="在职",J2321="是"),COUNTIF(O$2:O2321,"在职"),"")</f>
        <v/>
      </c>
    </row>
    <row r="2322" ht="18" spans="1:16">
      <c r="A2322" s="10">
        <f t="shared" si="41"/>
        <v>2321</v>
      </c>
      <c r="B2322" s="31">
        <v>46176</v>
      </c>
      <c r="C2322" s="32" t="s">
        <v>1485</v>
      </c>
      <c r="D2322" s="120" t="s">
        <v>486</v>
      </c>
      <c r="E2322" s="33" t="s">
        <v>43</v>
      </c>
      <c r="F2322" s="18" t="s">
        <v>64</v>
      </c>
      <c r="G2322" s="18" t="s">
        <v>124</v>
      </c>
      <c r="H2322" s="34" t="s">
        <v>86</v>
      </c>
      <c r="I2322" s="18" t="s">
        <v>2154</v>
      </c>
      <c r="J2322" s="31" t="s">
        <v>105</v>
      </c>
      <c r="K2322" s="31"/>
      <c r="N2322" s="13" t="s">
        <v>30</v>
      </c>
      <c r="O2322" s="24" t="str">
        <f>IF(D2322="","",IF(COUNTIF(离职清单!C:C,D2322)&gt;0,"已离职","在职"))</f>
        <v>在职</v>
      </c>
      <c r="P2322" s="24" t="str">
        <f>IF(AND(O2322="在职",J2322="是"),COUNTIF(O$2:O2322,"在职"),"")</f>
        <v/>
      </c>
    </row>
    <row r="2323" ht="18" spans="1:16">
      <c r="A2323" s="14">
        <f t="shared" si="41"/>
        <v>2322</v>
      </c>
      <c r="B2323" s="31">
        <v>46176</v>
      </c>
      <c r="C2323" s="32" t="s">
        <v>2364</v>
      </c>
      <c r="D2323" s="120" t="s">
        <v>488</v>
      </c>
      <c r="E2323" s="33" t="s">
        <v>43</v>
      </c>
      <c r="F2323" s="18" t="s">
        <v>62</v>
      </c>
      <c r="G2323" s="18" t="s">
        <v>124</v>
      </c>
      <c r="H2323" s="34" t="s">
        <v>86</v>
      </c>
      <c r="I2323" s="18" t="s">
        <v>114</v>
      </c>
      <c r="J2323" s="31" t="s">
        <v>114</v>
      </c>
      <c r="K2323" s="31">
        <v>46176</v>
      </c>
      <c r="N2323" s="13" t="s">
        <v>30</v>
      </c>
      <c r="O2323" s="24" t="str">
        <f>IF(D2323="","",IF(COUNTIF(离职清单!C:C,D2323)&gt;0,"已离职","在职"))</f>
        <v>在职</v>
      </c>
      <c r="P2323" s="24">
        <f>IF(AND(O2323="在职",J2323="是"),COUNTIF(O$2:O2323,"在职"),"")</f>
        <v>2316</v>
      </c>
    </row>
    <row r="2324" ht="18" spans="1:16">
      <c r="A2324" s="10">
        <f t="shared" si="41"/>
        <v>2323</v>
      </c>
      <c r="B2324" s="31">
        <v>46176</v>
      </c>
      <c r="C2324" s="32" t="s">
        <v>2365</v>
      </c>
      <c r="D2324" s="120" t="s">
        <v>490</v>
      </c>
      <c r="E2324" s="33" t="s">
        <v>43</v>
      </c>
      <c r="F2324" s="18" t="s">
        <v>63</v>
      </c>
      <c r="G2324" s="18" t="s">
        <v>124</v>
      </c>
      <c r="H2324" s="34" t="s">
        <v>86</v>
      </c>
      <c r="I2324" s="18" t="s">
        <v>105</v>
      </c>
      <c r="J2324" s="31" t="s">
        <v>105</v>
      </c>
      <c r="K2324" s="31"/>
      <c r="N2324" s="13" t="s">
        <v>30</v>
      </c>
      <c r="O2324" s="24" t="str">
        <f>IF(D2324="","",IF(COUNTIF(离职清单!C:C,D2324)&gt;0,"已离职","在职"))</f>
        <v>在职</v>
      </c>
      <c r="P2324" s="24" t="str">
        <f>IF(AND(O2324="在职",J2324="是"),COUNTIF(O$2:O2324,"在职"),"")</f>
        <v/>
      </c>
    </row>
    <row r="2325" ht="18" spans="1:16">
      <c r="A2325" s="14">
        <f t="shared" si="41"/>
        <v>2324</v>
      </c>
      <c r="B2325" s="31">
        <v>46176</v>
      </c>
      <c r="C2325" s="32" t="s">
        <v>2158</v>
      </c>
      <c r="D2325" s="120" t="s">
        <v>492</v>
      </c>
      <c r="E2325" s="33" t="s">
        <v>43</v>
      </c>
      <c r="F2325" s="18" t="s">
        <v>63</v>
      </c>
      <c r="G2325" s="18" t="s">
        <v>179</v>
      </c>
      <c r="H2325" s="34" t="s">
        <v>86</v>
      </c>
      <c r="I2325" s="18" t="s">
        <v>114</v>
      </c>
      <c r="J2325" s="31" t="s">
        <v>114</v>
      </c>
      <c r="K2325" s="31">
        <v>46176</v>
      </c>
      <c r="N2325" s="13" t="s">
        <v>30</v>
      </c>
      <c r="O2325" s="24" t="str">
        <f>IF(D2325="","",IF(COUNTIF(离职清单!C:C,D2325)&gt;0,"已离职","在职"))</f>
        <v>在职</v>
      </c>
      <c r="P2325" s="24">
        <f>IF(AND(O2325="在职",J2325="是"),COUNTIF(O$2:O2325,"在职"),"")</f>
        <v>2318</v>
      </c>
    </row>
    <row r="2326" ht="18" spans="1:16">
      <c r="A2326" s="10">
        <f t="shared" si="41"/>
        <v>2325</v>
      </c>
      <c r="B2326" s="31">
        <v>46176</v>
      </c>
      <c r="C2326" s="32" t="s">
        <v>2366</v>
      </c>
      <c r="D2326" s="120" t="s">
        <v>477</v>
      </c>
      <c r="E2326" s="33" t="s">
        <v>43</v>
      </c>
      <c r="F2326" s="18" t="s">
        <v>62</v>
      </c>
      <c r="G2326" s="18" t="s">
        <v>179</v>
      </c>
      <c r="H2326" s="34" t="s">
        <v>86</v>
      </c>
      <c r="I2326" s="18" t="s">
        <v>105</v>
      </c>
      <c r="J2326" s="31" t="s">
        <v>105</v>
      </c>
      <c r="K2326" s="31"/>
      <c r="N2326" s="13" t="s">
        <v>30</v>
      </c>
      <c r="O2326" s="24" t="str">
        <f>IF(D2326="","",IF(COUNTIF(离职清单!C:C,D2326)&gt;0,"已离职","在职"))</f>
        <v>在职</v>
      </c>
      <c r="P2326" s="24" t="str">
        <f>IF(AND(O2326="在职",J2326="是"),COUNTIF(O$2:O2326,"在职"),"")</f>
        <v/>
      </c>
    </row>
    <row r="2327" ht="18" spans="1:16">
      <c r="A2327" s="14">
        <f t="shared" si="41"/>
        <v>2326</v>
      </c>
      <c r="B2327" s="31">
        <v>46176</v>
      </c>
      <c r="C2327" s="32" t="s">
        <v>2367</v>
      </c>
      <c r="D2327" s="120" t="s">
        <v>477</v>
      </c>
      <c r="E2327" s="33" t="s">
        <v>43</v>
      </c>
      <c r="F2327" s="18" t="s">
        <v>63</v>
      </c>
      <c r="G2327" s="18" t="s">
        <v>2181</v>
      </c>
      <c r="H2327" s="34" t="s">
        <v>85</v>
      </c>
      <c r="I2327" s="18" t="s">
        <v>2154</v>
      </c>
      <c r="J2327" s="31" t="s">
        <v>105</v>
      </c>
      <c r="K2327" s="31"/>
      <c r="N2327" s="13" t="s">
        <v>30</v>
      </c>
      <c r="O2327" s="24" t="str">
        <f>IF(D2327="","",IF(COUNTIF(离职清单!C:C,D2327)&gt;0,"已离职","在职"))</f>
        <v>在职</v>
      </c>
      <c r="P2327" s="24" t="str">
        <f>IF(AND(O2327="在职",J2327="是"),COUNTIF(O$2:O2327,"在职"),"")</f>
        <v/>
      </c>
    </row>
    <row r="2328" ht="18" spans="1:16">
      <c r="A2328" s="10">
        <f t="shared" si="41"/>
        <v>2327</v>
      </c>
      <c r="B2328" s="31">
        <v>46176</v>
      </c>
      <c r="C2328" s="32" t="s">
        <v>2368</v>
      </c>
      <c r="D2328" s="120" t="s">
        <v>478</v>
      </c>
      <c r="E2328" s="33" t="s">
        <v>43</v>
      </c>
      <c r="F2328" s="18" t="s">
        <v>63</v>
      </c>
      <c r="G2328" s="18" t="s">
        <v>2181</v>
      </c>
      <c r="H2328" s="34" t="s">
        <v>85</v>
      </c>
      <c r="I2328" s="18" t="s">
        <v>114</v>
      </c>
      <c r="J2328" s="31" t="s">
        <v>114</v>
      </c>
      <c r="K2328" s="31">
        <v>46178</v>
      </c>
      <c r="N2328" s="13" t="s">
        <v>30</v>
      </c>
      <c r="O2328" s="24" t="str">
        <f>IF(D2328="","",IF(COUNTIF(离职清单!C:C,D2328)&gt;0,"已离职","在职"))</f>
        <v>在职</v>
      </c>
      <c r="P2328" s="24">
        <f>IF(AND(O2328="在职",J2328="是"),COUNTIF(O$2:O2328,"在职"),"")</f>
        <v>2321</v>
      </c>
    </row>
    <row r="2329" ht="18" spans="1:16">
      <c r="A2329" s="14">
        <f t="shared" si="41"/>
        <v>2328</v>
      </c>
      <c r="B2329" s="31">
        <v>46176</v>
      </c>
      <c r="C2329" s="32" t="s">
        <v>2369</v>
      </c>
      <c r="D2329" s="120" t="s">
        <v>480</v>
      </c>
      <c r="E2329" s="33" t="s">
        <v>43</v>
      </c>
      <c r="F2329" s="18" t="s">
        <v>62</v>
      </c>
      <c r="G2329" s="18" t="s">
        <v>2370</v>
      </c>
      <c r="H2329" s="34" t="s">
        <v>85</v>
      </c>
      <c r="I2329" s="18" t="s">
        <v>105</v>
      </c>
      <c r="J2329" s="31" t="s">
        <v>105</v>
      </c>
      <c r="K2329" s="31"/>
      <c r="N2329" s="13" t="s">
        <v>30</v>
      </c>
      <c r="O2329" s="24" t="str">
        <f>IF(D2329="","",IF(COUNTIF(离职清单!C:C,D2329)&gt;0,"已离职","在职"))</f>
        <v>在职</v>
      </c>
      <c r="P2329" s="24" t="str">
        <f>IF(AND(O2329="在职",J2329="是"),COUNTIF(O$2:O2329,"在职"),"")</f>
        <v/>
      </c>
    </row>
    <row r="2330" ht="18" spans="1:16">
      <c r="A2330" s="10">
        <f t="shared" si="41"/>
        <v>2329</v>
      </c>
      <c r="B2330" s="31">
        <v>46176</v>
      </c>
      <c r="C2330" s="32" t="s">
        <v>2371</v>
      </c>
      <c r="D2330" s="120" t="s">
        <v>482</v>
      </c>
      <c r="E2330" s="33" t="s">
        <v>43</v>
      </c>
      <c r="F2330" s="18" t="s">
        <v>63</v>
      </c>
      <c r="G2330" s="18" t="s">
        <v>2370</v>
      </c>
      <c r="H2330" s="34" t="s">
        <v>85</v>
      </c>
      <c r="I2330" s="18" t="s">
        <v>114</v>
      </c>
      <c r="J2330" s="31" t="s">
        <v>114</v>
      </c>
      <c r="K2330" s="31">
        <v>46178</v>
      </c>
      <c r="N2330" s="13" t="s">
        <v>30</v>
      </c>
      <c r="O2330" s="24" t="str">
        <f>IF(D2330="","",IF(COUNTIF(离职清单!C:C,D2330)&gt;0,"已离职","在职"))</f>
        <v>在职</v>
      </c>
      <c r="P2330" s="24">
        <f>IF(AND(O2330="在职",J2330="是"),COUNTIF(O$2:O2330,"在职"),"")</f>
        <v>2323</v>
      </c>
    </row>
    <row r="2331" ht="18" spans="1:16">
      <c r="A2331" s="14">
        <f t="shared" si="41"/>
        <v>2330</v>
      </c>
      <c r="B2331" s="31">
        <v>46176</v>
      </c>
      <c r="C2331" s="32" t="s">
        <v>2295</v>
      </c>
      <c r="D2331" s="120" t="s">
        <v>484</v>
      </c>
      <c r="E2331" s="33" t="s">
        <v>43</v>
      </c>
      <c r="F2331" s="18" t="s">
        <v>63</v>
      </c>
      <c r="G2331" s="18" t="s">
        <v>148</v>
      </c>
      <c r="H2331" s="34" t="s">
        <v>85</v>
      </c>
      <c r="I2331" s="18" t="s">
        <v>114</v>
      </c>
      <c r="J2331" s="31" t="s">
        <v>114</v>
      </c>
      <c r="K2331" s="31">
        <v>46178</v>
      </c>
      <c r="N2331" s="13" t="s">
        <v>30</v>
      </c>
      <c r="O2331" s="24" t="str">
        <f>IF(D2331="","",IF(COUNTIF(离职清单!C:C,D2331)&gt;0,"已离职","在职"))</f>
        <v>在职</v>
      </c>
      <c r="P2331" s="24">
        <f>IF(AND(O2331="在职",J2331="是"),COUNTIF(O$2:O2331,"在职"),"")</f>
        <v>2324</v>
      </c>
    </row>
    <row r="2332" ht="18" spans="1:16">
      <c r="A2332" s="10">
        <f t="shared" si="41"/>
        <v>2331</v>
      </c>
      <c r="B2332" s="31">
        <v>46176</v>
      </c>
      <c r="C2332" s="32" t="s">
        <v>2278</v>
      </c>
      <c r="D2332" s="120" t="s">
        <v>486</v>
      </c>
      <c r="E2332" s="33" t="s">
        <v>43</v>
      </c>
      <c r="F2332" s="18" t="s">
        <v>64</v>
      </c>
      <c r="G2332" s="18" t="s">
        <v>148</v>
      </c>
      <c r="H2332" s="34" t="s">
        <v>85</v>
      </c>
      <c r="I2332" s="18" t="s">
        <v>114</v>
      </c>
      <c r="J2332" s="31" t="s">
        <v>105</v>
      </c>
      <c r="K2332" s="31"/>
      <c r="N2332" s="13" t="s">
        <v>30</v>
      </c>
      <c r="O2332" s="24" t="str">
        <f>IF(D2332="","",IF(COUNTIF(离职清单!C:C,D2332)&gt;0,"已离职","在职"))</f>
        <v>在职</v>
      </c>
      <c r="P2332" s="24" t="str">
        <f>IF(AND(O2332="在职",J2332="是"),COUNTIF(O$2:O2332,"在职"),"")</f>
        <v/>
      </c>
    </row>
    <row r="2333" ht="18" spans="1:16">
      <c r="A2333" s="14">
        <f t="shared" si="41"/>
        <v>2332</v>
      </c>
      <c r="B2333" s="31">
        <v>46176</v>
      </c>
      <c r="C2333" s="32" t="s">
        <v>2372</v>
      </c>
      <c r="D2333" s="120" t="s">
        <v>488</v>
      </c>
      <c r="E2333" s="33" t="s">
        <v>43</v>
      </c>
      <c r="F2333" s="18" t="s">
        <v>63</v>
      </c>
      <c r="G2333" s="18" t="s">
        <v>148</v>
      </c>
      <c r="H2333" s="34" t="s">
        <v>85</v>
      </c>
      <c r="I2333" s="18" t="s">
        <v>114</v>
      </c>
      <c r="J2333" s="31" t="s">
        <v>105</v>
      </c>
      <c r="K2333" s="31"/>
      <c r="N2333" s="13" t="s">
        <v>30</v>
      </c>
      <c r="O2333" s="24" t="str">
        <f>IF(D2333="","",IF(COUNTIF(离职清单!C:C,D2333)&gt;0,"已离职","在职"))</f>
        <v>在职</v>
      </c>
      <c r="P2333" s="24" t="str">
        <f>IF(AND(O2333="在职",J2333="是"),COUNTIF(O$2:O2333,"在职"),"")</f>
        <v/>
      </c>
    </row>
    <row r="2334" ht="18" spans="1:16">
      <c r="A2334" s="10">
        <f t="shared" si="41"/>
        <v>2333</v>
      </c>
      <c r="B2334" s="31">
        <v>46176</v>
      </c>
      <c r="C2334" s="32" t="s">
        <v>1438</v>
      </c>
      <c r="D2334" s="120" t="s">
        <v>490</v>
      </c>
      <c r="E2334" s="33" t="s">
        <v>43</v>
      </c>
      <c r="F2334" s="18" t="s">
        <v>64</v>
      </c>
      <c r="G2334" s="18" t="s">
        <v>148</v>
      </c>
      <c r="H2334" s="34" t="s">
        <v>85</v>
      </c>
      <c r="I2334" s="18" t="s">
        <v>2154</v>
      </c>
      <c r="J2334" s="31" t="s">
        <v>105</v>
      </c>
      <c r="K2334" s="31"/>
      <c r="N2334" s="13" t="s">
        <v>30</v>
      </c>
      <c r="O2334" s="24" t="str">
        <f>IF(D2334="","",IF(COUNTIF(离职清单!C:C,D2334)&gt;0,"已离职","在职"))</f>
        <v>在职</v>
      </c>
      <c r="P2334" s="24" t="str">
        <f>IF(AND(O2334="在职",J2334="是"),COUNTIF(O$2:O2334,"在职"),"")</f>
        <v/>
      </c>
    </row>
    <row r="2335" ht="18" spans="1:16">
      <c r="A2335" s="14">
        <f t="shared" si="41"/>
        <v>2334</v>
      </c>
      <c r="B2335" s="31">
        <v>46176</v>
      </c>
      <c r="C2335" s="32" t="s">
        <v>1088</v>
      </c>
      <c r="D2335" s="120" t="s">
        <v>492</v>
      </c>
      <c r="E2335" s="33" t="s">
        <v>43</v>
      </c>
      <c r="F2335" s="18" t="s">
        <v>62</v>
      </c>
      <c r="G2335" s="18" t="s">
        <v>148</v>
      </c>
      <c r="H2335" s="34" t="s">
        <v>85</v>
      </c>
      <c r="I2335" s="18" t="s">
        <v>2154</v>
      </c>
      <c r="J2335" s="31" t="s">
        <v>105</v>
      </c>
      <c r="K2335" s="31"/>
      <c r="N2335" s="13" t="s">
        <v>30</v>
      </c>
      <c r="O2335" s="24" t="str">
        <f>IF(D2335="","",IF(COUNTIF(离职清单!C:C,D2335)&gt;0,"已离职","在职"))</f>
        <v>在职</v>
      </c>
      <c r="P2335" s="24" t="str">
        <f>IF(AND(O2335="在职",J2335="是"),COUNTIF(O$2:O2335,"在职"),"")</f>
        <v/>
      </c>
    </row>
    <row r="2336" ht="18" spans="1:16">
      <c r="A2336" s="10">
        <f t="shared" si="41"/>
        <v>2335</v>
      </c>
      <c r="B2336" s="31">
        <v>46176</v>
      </c>
      <c r="C2336" s="32" t="s">
        <v>2373</v>
      </c>
      <c r="D2336" s="120" t="s">
        <v>477</v>
      </c>
      <c r="E2336" s="33" t="s">
        <v>43</v>
      </c>
      <c r="F2336" s="18" t="s">
        <v>64</v>
      </c>
      <c r="G2336" s="18" t="s">
        <v>148</v>
      </c>
      <c r="H2336" s="34" t="s">
        <v>85</v>
      </c>
      <c r="I2336" s="18" t="s">
        <v>114</v>
      </c>
      <c r="J2336" s="31" t="s">
        <v>114</v>
      </c>
      <c r="K2336" s="31">
        <v>46177</v>
      </c>
      <c r="N2336" s="13" t="s">
        <v>30</v>
      </c>
      <c r="O2336" s="24" t="str">
        <f>IF(D2336="","",IF(COUNTIF(离职清单!C:C,D2336)&gt;0,"已离职","在职"))</f>
        <v>在职</v>
      </c>
      <c r="P2336" s="24">
        <f>IF(AND(O2336="在职",J2336="是"),COUNTIF(O$2:O2336,"在职"),"")</f>
        <v>2329</v>
      </c>
    </row>
    <row r="2337" ht="18" spans="1:16">
      <c r="A2337" s="14">
        <f t="shared" si="41"/>
        <v>2336</v>
      </c>
      <c r="B2337" s="31">
        <v>46176</v>
      </c>
      <c r="C2337" s="32" t="s">
        <v>2374</v>
      </c>
      <c r="D2337" s="120" t="s">
        <v>478</v>
      </c>
      <c r="E2337" s="33" t="s">
        <v>43</v>
      </c>
      <c r="F2337" s="18" t="s">
        <v>64</v>
      </c>
      <c r="G2337" s="18" t="s">
        <v>148</v>
      </c>
      <c r="H2337" s="34" t="s">
        <v>85</v>
      </c>
      <c r="I2337" s="18" t="s">
        <v>114</v>
      </c>
      <c r="J2337" s="31" t="s">
        <v>105</v>
      </c>
      <c r="K2337" s="31"/>
      <c r="N2337" s="13" t="s">
        <v>30</v>
      </c>
      <c r="O2337" s="24" t="str">
        <f>IF(D2337="","",IF(COUNTIF(离职清单!C:C,D2337)&gt;0,"已离职","在职"))</f>
        <v>在职</v>
      </c>
      <c r="P2337" s="24" t="str">
        <f>IF(AND(O2337="在职",J2337="是"),COUNTIF(O$2:O2337,"在职"),"")</f>
        <v/>
      </c>
    </row>
    <row r="2338" ht="18" spans="1:16">
      <c r="A2338" s="10">
        <f t="shared" si="41"/>
        <v>2337</v>
      </c>
      <c r="B2338" s="31">
        <v>46176</v>
      </c>
      <c r="C2338" s="32" t="s">
        <v>2375</v>
      </c>
      <c r="D2338" s="120" t="s">
        <v>480</v>
      </c>
      <c r="E2338" s="33" t="s">
        <v>43</v>
      </c>
      <c r="F2338" s="18" t="s">
        <v>64</v>
      </c>
      <c r="G2338" s="18" t="s">
        <v>148</v>
      </c>
      <c r="H2338" s="34" t="s">
        <v>85</v>
      </c>
      <c r="I2338" s="18" t="s">
        <v>114</v>
      </c>
      <c r="J2338" s="31" t="s">
        <v>114</v>
      </c>
      <c r="K2338" s="31">
        <v>46177</v>
      </c>
      <c r="N2338" s="13" t="s">
        <v>30</v>
      </c>
      <c r="O2338" s="24" t="str">
        <f>IF(D2338="","",IF(COUNTIF(离职清单!C:C,D2338)&gt;0,"已离职","在职"))</f>
        <v>在职</v>
      </c>
      <c r="P2338" s="24">
        <f>IF(AND(O2338="在职",J2338="是"),COUNTIF(O$2:O2338,"在职"),"")</f>
        <v>2331</v>
      </c>
    </row>
    <row r="2339" ht="18" spans="1:16">
      <c r="A2339" s="14">
        <f t="shared" si="41"/>
        <v>2338</v>
      </c>
      <c r="B2339" s="31">
        <v>46176</v>
      </c>
      <c r="C2339" s="32" t="s">
        <v>2376</v>
      </c>
      <c r="D2339" s="120" t="s">
        <v>482</v>
      </c>
      <c r="E2339" s="33" t="s">
        <v>43</v>
      </c>
      <c r="F2339" s="18" t="s">
        <v>63</v>
      </c>
      <c r="G2339" s="18" t="s">
        <v>148</v>
      </c>
      <c r="H2339" s="34" t="s">
        <v>85</v>
      </c>
      <c r="I2339" s="18" t="s">
        <v>114</v>
      </c>
      <c r="J2339" s="31" t="s">
        <v>105</v>
      </c>
      <c r="K2339" s="31"/>
      <c r="N2339" s="13" t="s">
        <v>30</v>
      </c>
      <c r="O2339" s="24" t="str">
        <f>IF(D2339="","",IF(COUNTIF(离职清单!C:C,D2339)&gt;0,"已离职","在职"))</f>
        <v>在职</v>
      </c>
      <c r="P2339" s="24" t="str">
        <f>IF(AND(O2339="在职",J2339="是"),COUNTIF(O$2:O2339,"在职"),"")</f>
        <v/>
      </c>
    </row>
    <row r="2340" ht="18" spans="1:16">
      <c r="A2340" s="10">
        <f t="shared" si="41"/>
        <v>2339</v>
      </c>
      <c r="B2340" s="31">
        <v>46176</v>
      </c>
      <c r="C2340" s="32" t="s">
        <v>2377</v>
      </c>
      <c r="D2340" s="120" t="s">
        <v>484</v>
      </c>
      <c r="E2340" s="33" t="s">
        <v>42</v>
      </c>
      <c r="F2340" s="18" t="s">
        <v>63</v>
      </c>
      <c r="G2340" s="18" t="s">
        <v>2174</v>
      </c>
      <c r="H2340" s="34" t="s">
        <v>85</v>
      </c>
      <c r="I2340" s="18" t="s">
        <v>114</v>
      </c>
      <c r="J2340" s="31" t="s">
        <v>105</v>
      </c>
      <c r="K2340" s="31"/>
      <c r="N2340" s="13" t="s">
        <v>30</v>
      </c>
      <c r="O2340" s="24" t="str">
        <f>IF(D2340="","",IF(COUNTIF(离职清单!C:C,D2340)&gt;0,"已离职","在职"))</f>
        <v>在职</v>
      </c>
      <c r="P2340" s="24" t="str">
        <f>IF(AND(O2340="在职",J2340="是"),COUNTIF(O$2:O2340,"在职"),"")</f>
        <v/>
      </c>
    </row>
    <row r="2341" ht="18" spans="1:16">
      <c r="A2341" s="14">
        <f t="shared" si="41"/>
        <v>2340</v>
      </c>
      <c r="B2341" s="31">
        <v>46176</v>
      </c>
      <c r="C2341" s="32" t="s">
        <v>2378</v>
      </c>
      <c r="D2341" s="120" t="s">
        <v>486</v>
      </c>
      <c r="E2341" s="33" t="s">
        <v>42</v>
      </c>
      <c r="F2341" s="18" t="s">
        <v>64</v>
      </c>
      <c r="G2341" s="18" t="s">
        <v>2174</v>
      </c>
      <c r="H2341" s="34" t="s">
        <v>85</v>
      </c>
      <c r="I2341" s="18" t="s">
        <v>114</v>
      </c>
      <c r="J2341" s="31" t="s">
        <v>105</v>
      </c>
      <c r="K2341" s="31"/>
      <c r="N2341" s="13" t="s">
        <v>30</v>
      </c>
      <c r="O2341" s="24" t="str">
        <f>IF(D2341="","",IF(COUNTIF(离职清单!C:C,D2341)&gt;0,"已离职","在职"))</f>
        <v>在职</v>
      </c>
      <c r="P2341" s="24" t="str">
        <f>IF(AND(O2341="在职",J2341="是"),COUNTIF(O$2:O2341,"在职"),"")</f>
        <v/>
      </c>
    </row>
    <row r="2342" ht="18" spans="1:16">
      <c r="A2342" s="10">
        <f t="shared" si="41"/>
        <v>2341</v>
      </c>
      <c r="B2342" s="31">
        <v>46176</v>
      </c>
      <c r="C2342" s="32" t="s">
        <v>2379</v>
      </c>
      <c r="D2342" s="120" t="s">
        <v>488</v>
      </c>
      <c r="E2342" s="33" t="s">
        <v>42</v>
      </c>
      <c r="F2342" s="18" t="s">
        <v>63</v>
      </c>
      <c r="G2342" s="18" t="s">
        <v>148</v>
      </c>
      <c r="H2342" s="34" t="s">
        <v>85</v>
      </c>
      <c r="I2342" s="18" t="s">
        <v>114</v>
      </c>
      <c r="J2342" s="31" t="s">
        <v>105</v>
      </c>
      <c r="K2342" s="31"/>
      <c r="N2342" s="13" t="s">
        <v>30</v>
      </c>
      <c r="O2342" s="24" t="str">
        <f>IF(D2342="","",IF(COUNTIF(离职清单!C:C,D2342)&gt;0,"已离职","在职"))</f>
        <v>在职</v>
      </c>
      <c r="P2342" s="24" t="str">
        <f>IF(AND(O2342="在职",J2342="是"),COUNTIF(O$2:O2342,"在职"),"")</f>
        <v/>
      </c>
    </row>
    <row r="2343" ht="18" spans="1:16">
      <c r="A2343" s="14">
        <f t="shared" si="41"/>
        <v>2342</v>
      </c>
      <c r="B2343" s="31">
        <v>46176</v>
      </c>
      <c r="C2343" s="32" t="s">
        <v>2380</v>
      </c>
      <c r="D2343" s="120" t="s">
        <v>490</v>
      </c>
      <c r="E2343" s="33" t="s">
        <v>42</v>
      </c>
      <c r="F2343" s="18" t="s">
        <v>63</v>
      </c>
      <c r="G2343" s="18" t="s">
        <v>2195</v>
      </c>
      <c r="H2343" s="34" t="s">
        <v>85</v>
      </c>
      <c r="I2343" s="18" t="s">
        <v>114</v>
      </c>
      <c r="J2343" s="31" t="s">
        <v>114</v>
      </c>
      <c r="K2343" s="31">
        <v>46177</v>
      </c>
      <c r="N2343" s="13" t="s">
        <v>30</v>
      </c>
      <c r="O2343" s="24" t="str">
        <f>IF(D2343="","",IF(COUNTIF(离职清单!C:C,D2343)&gt;0,"已离职","在职"))</f>
        <v>在职</v>
      </c>
      <c r="P2343" s="24">
        <f>IF(AND(O2343="在职",J2343="是"),COUNTIF(O$2:O2343,"在职"),"")</f>
        <v>2336</v>
      </c>
    </row>
    <row r="2344" ht="18" spans="1:16">
      <c r="A2344" s="10">
        <f t="shared" si="41"/>
        <v>2343</v>
      </c>
      <c r="B2344" s="31">
        <v>46176</v>
      </c>
      <c r="C2344" s="32" t="s">
        <v>2261</v>
      </c>
      <c r="D2344" s="120" t="s">
        <v>492</v>
      </c>
      <c r="E2344" s="33" t="s">
        <v>42</v>
      </c>
      <c r="F2344" s="18" t="s">
        <v>63</v>
      </c>
      <c r="G2344" s="18" t="s">
        <v>148</v>
      </c>
      <c r="H2344" s="34" t="s">
        <v>85</v>
      </c>
      <c r="I2344" s="18" t="s">
        <v>114</v>
      </c>
      <c r="J2344" s="31" t="s">
        <v>114</v>
      </c>
      <c r="K2344" s="31">
        <v>46178</v>
      </c>
      <c r="N2344" s="13" t="s">
        <v>30</v>
      </c>
      <c r="O2344" s="24" t="str">
        <f>IF(D2344="","",IF(COUNTIF(离职清单!C:C,D2344)&gt;0,"已离职","在职"))</f>
        <v>在职</v>
      </c>
      <c r="P2344" s="24">
        <f>IF(AND(O2344="在职",J2344="是"),COUNTIF(O$2:O2344,"在职"),"")</f>
        <v>2337</v>
      </c>
    </row>
    <row r="2345" ht="18" spans="1:16">
      <c r="A2345" s="14">
        <f t="shared" si="41"/>
        <v>2344</v>
      </c>
      <c r="B2345" s="31">
        <v>46176</v>
      </c>
      <c r="C2345" s="32" t="s">
        <v>2381</v>
      </c>
      <c r="D2345" s="120" t="s">
        <v>477</v>
      </c>
      <c r="E2345" s="33" t="s">
        <v>42</v>
      </c>
      <c r="F2345" s="18" t="s">
        <v>64</v>
      </c>
      <c r="G2345" s="18" t="s">
        <v>148</v>
      </c>
      <c r="H2345" s="34" t="s">
        <v>85</v>
      </c>
      <c r="I2345" s="18" t="s">
        <v>114</v>
      </c>
      <c r="J2345" s="31" t="s">
        <v>105</v>
      </c>
      <c r="K2345" s="31"/>
      <c r="N2345" s="13" t="s">
        <v>30</v>
      </c>
      <c r="O2345" s="24" t="str">
        <f>IF(D2345="","",IF(COUNTIF(离职清单!C:C,D2345)&gt;0,"已离职","在职"))</f>
        <v>在职</v>
      </c>
      <c r="P2345" s="24" t="str">
        <f>IF(AND(O2345="在职",J2345="是"),COUNTIF(O$2:O2345,"在职"),"")</f>
        <v/>
      </c>
    </row>
    <row r="2346" ht="18" spans="1:16">
      <c r="A2346" s="10">
        <f t="shared" si="41"/>
        <v>2345</v>
      </c>
      <c r="B2346" s="31">
        <v>46176</v>
      </c>
      <c r="C2346" s="32" t="s">
        <v>2259</v>
      </c>
      <c r="D2346" s="120" t="s">
        <v>478</v>
      </c>
      <c r="E2346" s="33" t="s">
        <v>42</v>
      </c>
      <c r="F2346" s="18" t="s">
        <v>63</v>
      </c>
      <c r="G2346" s="18" t="s">
        <v>148</v>
      </c>
      <c r="H2346" s="34" t="s">
        <v>85</v>
      </c>
      <c r="I2346" s="18" t="s">
        <v>105</v>
      </c>
      <c r="J2346" s="31" t="s">
        <v>105</v>
      </c>
      <c r="K2346" s="31"/>
      <c r="N2346" s="13" t="s">
        <v>30</v>
      </c>
      <c r="O2346" s="24" t="str">
        <f>IF(D2346="","",IF(COUNTIF(离职清单!C:C,D2346)&gt;0,"已离职","在职"))</f>
        <v>在职</v>
      </c>
      <c r="P2346" s="24" t="str">
        <f>IF(AND(O2346="在职",J2346="是"),COUNTIF(O$2:O2346,"在职"),"")</f>
        <v/>
      </c>
    </row>
    <row r="2347" ht="18" spans="1:16">
      <c r="A2347" s="14">
        <f t="shared" si="41"/>
        <v>2346</v>
      </c>
      <c r="B2347" s="31">
        <v>46176</v>
      </c>
      <c r="C2347" s="32" t="s">
        <v>2382</v>
      </c>
      <c r="D2347" s="120" t="s">
        <v>480</v>
      </c>
      <c r="E2347" s="33" t="s">
        <v>42</v>
      </c>
      <c r="F2347" s="18" t="s">
        <v>64</v>
      </c>
      <c r="G2347" s="18" t="s">
        <v>148</v>
      </c>
      <c r="H2347" s="34" t="s">
        <v>85</v>
      </c>
      <c r="I2347" s="18" t="s">
        <v>114</v>
      </c>
      <c r="J2347" s="31" t="s">
        <v>105</v>
      </c>
      <c r="K2347" s="31"/>
      <c r="N2347" s="13" t="s">
        <v>30</v>
      </c>
      <c r="O2347" s="24" t="str">
        <f>IF(D2347="","",IF(COUNTIF(离职清单!C:C,D2347)&gt;0,"已离职","在职"))</f>
        <v>在职</v>
      </c>
      <c r="P2347" s="24" t="str">
        <f>IF(AND(O2347="在职",J2347="是"),COUNTIF(O$2:O2347,"在职"),"")</f>
        <v/>
      </c>
    </row>
    <row r="2348" ht="18" spans="1:16">
      <c r="A2348" s="10">
        <f t="shared" ref="A2348:A2411" si="42">IF(B2348&lt;&gt;"",ROW()-1,"")</f>
        <v>2347</v>
      </c>
      <c r="B2348" s="31">
        <v>46176</v>
      </c>
      <c r="C2348" s="32" t="s">
        <v>1181</v>
      </c>
      <c r="D2348" s="120" t="s">
        <v>482</v>
      </c>
      <c r="E2348" s="33" t="s">
        <v>42</v>
      </c>
      <c r="F2348" s="18" t="s">
        <v>63</v>
      </c>
      <c r="G2348" s="18" t="s">
        <v>148</v>
      </c>
      <c r="H2348" s="34" t="s">
        <v>85</v>
      </c>
      <c r="I2348" s="18" t="s">
        <v>114</v>
      </c>
      <c r="J2348" s="31" t="s">
        <v>105</v>
      </c>
      <c r="K2348" s="31"/>
      <c r="N2348" s="13" t="s">
        <v>30</v>
      </c>
      <c r="O2348" s="24" t="str">
        <f>IF(D2348="","",IF(COUNTIF(离职清单!C:C,D2348)&gt;0,"已离职","在职"))</f>
        <v>在职</v>
      </c>
      <c r="P2348" s="24" t="str">
        <f>IF(AND(O2348="在职",J2348="是"),COUNTIF(O$2:O2348,"在职"),"")</f>
        <v/>
      </c>
    </row>
    <row r="2349" ht="18" spans="1:16">
      <c r="A2349" s="14">
        <f t="shared" si="42"/>
        <v>2348</v>
      </c>
      <c r="B2349" s="31">
        <v>46176</v>
      </c>
      <c r="C2349" s="32" t="s">
        <v>2383</v>
      </c>
      <c r="D2349" s="120" t="s">
        <v>484</v>
      </c>
      <c r="E2349" s="33" t="s">
        <v>42</v>
      </c>
      <c r="F2349" s="18" t="s">
        <v>63</v>
      </c>
      <c r="G2349" s="18" t="s">
        <v>148</v>
      </c>
      <c r="H2349" s="34" t="s">
        <v>85</v>
      </c>
      <c r="I2349" s="18" t="s">
        <v>2154</v>
      </c>
      <c r="J2349" s="31" t="s">
        <v>105</v>
      </c>
      <c r="K2349" s="31"/>
      <c r="N2349" s="13" t="s">
        <v>30</v>
      </c>
      <c r="O2349" s="24" t="str">
        <f>IF(D2349="","",IF(COUNTIF(离职清单!C:C,D2349)&gt;0,"已离职","在职"))</f>
        <v>在职</v>
      </c>
      <c r="P2349" s="24" t="str">
        <f>IF(AND(O2349="在职",J2349="是"),COUNTIF(O$2:O2349,"在职"),"")</f>
        <v/>
      </c>
    </row>
    <row r="2350" ht="18" spans="1:16">
      <c r="A2350" s="10">
        <f t="shared" si="42"/>
        <v>2349</v>
      </c>
      <c r="B2350" s="31">
        <v>46176</v>
      </c>
      <c r="C2350" s="32" t="s">
        <v>2384</v>
      </c>
      <c r="D2350" s="120" t="s">
        <v>486</v>
      </c>
      <c r="E2350" s="33" t="s">
        <v>42</v>
      </c>
      <c r="F2350" s="18" t="s">
        <v>64</v>
      </c>
      <c r="G2350" s="18" t="s">
        <v>148</v>
      </c>
      <c r="H2350" s="34" t="s">
        <v>85</v>
      </c>
      <c r="I2350" s="18" t="s">
        <v>114</v>
      </c>
      <c r="J2350" s="31" t="s">
        <v>105</v>
      </c>
      <c r="K2350" s="31"/>
      <c r="N2350" s="13" t="s">
        <v>30</v>
      </c>
      <c r="O2350" s="24" t="str">
        <f>IF(D2350="","",IF(COUNTIF(离职清单!C:C,D2350)&gt;0,"已离职","在职"))</f>
        <v>在职</v>
      </c>
      <c r="P2350" s="24" t="str">
        <f>IF(AND(O2350="在职",J2350="是"),COUNTIF(O$2:O2350,"在职"),"")</f>
        <v/>
      </c>
    </row>
    <row r="2351" ht="18" spans="1:16">
      <c r="A2351" s="14">
        <f t="shared" si="42"/>
        <v>2350</v>
      </c>
      <c r="B2351" s="31">
        <v>46176</v>
      </c>
      <c r="C2351" s="32" t="s">
        <v>2385</v>
      </c>
      <c r="D2351" s="120" t="s">
        <v>488</v>
      </c>
      <c r="E2351" s="33" t="s">
        <v>42</v>
      </c>
      <c r="F2351" s="18" t="s">
        <v>63</v>
      </c>
      <c r="G2351" s="18" t="s">
        <v>148</v>
      </c>
      <c r="H2351" s="34" t="s">
        <v>85</v>
      </c>
      <c r="I2351" s="18" t="s">
        <v>114</v>
      </c>
      <c r="J2351" s="31" t="s">
        <v>105</v>
      </c>
      <c r="K2351" s="31"/>
      <c r="N2351" s="13" t="s">
        <v>30</v>
      </c>
      <c r="O2351" s="24" t="str">
        <f>IF(D2351="","",IF(COUNTIF(离职清单!C:C,D2351)&gt;0,"已离职","在职"))</f>
        <v>在职</v>
      </c>
      <c r="P2351" s="24" t="str">
        <f>IF(AND(O2351="在职",J2351="是"),COUNTIF(O$2:O2351,"在职"),"")</f>
        <v/>
      </c>
    </row>
    <row r="2352" ht="18" spans="1:16">
      <c r="A2352" s="10">
        <f t="shared" si="42"/>
        <v>2351</v>
      </c>
      <c r="B2352" s="31">
        <v>46176</v>
      </c>
      <c r="C2352" s="32" t="s">
        <v>2386</v>
      </c>
      <c r="D2352" s="120" t="s">
        <v>490</v>
      </c>
      <c r="E2352" s="33" t="s">
        <v>42</v>
      </c>
      <c r="F2352" s="18" t="s">
        <v>63</v>
      </c>
      <c r="G2352" s="18" t="s">
        <v>148</v>
      </c>
      <c r="H2352" s="34" t="s">
        <v>85</v>
      </c>
      <c r="I2352" s="18" t="s">
        <v>114</v>
      </c>
      <c r="J2352" s="31" t="s">
        <v>105</v>
      </c>
      <c r="K2352" s="31"/>
      <c r="N2352" s="13" t="s">
        <v>30</v>
      </c>
      <c r="O2352" s="24" t="str">
        <f>IF(D2352="","",IF(COUNTIF(离职清单!C:C,D2352)&gt;0,"已离职","在职"))</f>
        <v>在职</v>
      </c>
      <c r="P2352" s="24" t="str">
        <f>IF(AND(O2352="在职",J2352="是"),COUNTIF(O$2:O2352,"在职"),"")</f>
        <v/>
      </c>
    </row>
    <row r="2353" ht="18" spans="1:16">
      <c r="A2353" s="14">
        <f t="shared" si="42"/>
        <v>2352</v>
      </c>
      <c r="B2353" s="31">
        <v>46176</v>
      </c>
      <c r="C2353" s="32" t="s">
        <v>2387</v>
      </c>
      <c r="D2353" s="120" t="s">
        <v>492</v>
      </c>
      <c r="E2353" s="33" t="s">
        <v>42</v>
      </c>
      <c r="F2353" s="18" t="s">
        <v>64</v>
      </c>
      <c r="G2353" s="18" t="s">
        <v>148</v>
      </c>
      <c r="H2353" s="34" t="s">
        <v>85</v>
      </c>
      <c r="I2353" s="18" t="s">
        <v>114</v>
      </c>
      <c r="J2353" s="31" t="s">
        <v>114</v>
      </c>
      <c r="K2353" s="31">
        <v>46177</v>
      </c>
      <c r="N2353" s="13" t="s">
        <v>30</v>
      </c>
      <c r="O2353" s="24" t="str">
        <f>IF(D2353="","",IF(COUNTIF(离职清单!C:C,D2353)&gt;0,"已离职","在职"))</f>
        <v>在职</v>
      </c>
      <c r="P2353" s="24">
        <f>IF(AND(O2353="在职",J2353="是"),COUNTIF(O$2:O2353,"在职"),"")</f>
        <v>2346</v>
      </c>
    </row>
    <row r="2354" ht="18" spans="1:16">
      <c r="A2354" s="10">
        <f t="shared" si="42"/>
        <v>2353</v>
      </c>
      <c r="B2354" s="31">
        <v>46176</v>
      </c>
      <c r="C2354" s="32" t="s">
        <v>2388</v>
      </c>
      <c r="D2354" s="120" t="s">
        <v>477</v>
      </c>
      <c r="E2354" s="33" t="s">
        <v>42</v>
      </c>
      <c r="F2354" s="18" t="s">
        <v>64</v>
      </c>
      <c r="G2354" s="18" t="s">
        <v>2186</v>
      </c>
      <c r="H2354" s="34" t="s">
        <v>85</v>
      </c>
      <c r="I2354" s="18" t="s">
        <v>114</v>
      </c>
      <c r="J2354" s="31" t="s">
        <v>105</v>
      </c>
      <c r="K2354" s="31"/>
      <c r="N2354" s="13" t="s">
        <v>30</v>
      </c>
      <c r="O2354" s="24" t="str">
        <f>IF(D2354="","",IF(COUNTIF(离职清单!C:C,D2354)&gt;0,"已离职","在职"))</f>
        <v>在职</v>
      </c>
      <c r="P2354" s="24" t="str">
        <f>IF(AND(O2354="在职",J2354="是"),COUNTIF(O$2:O2354,"在职"),"")</f>
        <v/>
      </c>
    </row>
    <row r="2355" ht="18" spans="1:16">
      <c r="A2355" s="14">
        <f t="shared" si="42"/>
        <v>2354</v>
      </c>
      <c r="B2355" s="31">
        <v>46176</v>
      </c>
      <c r="C2355" s="32" t="s">
        <v>2389</v>
      </c>
      <c r="D2355" s="120" t="s">
        <v>478</v>
      </c>
      <c r="E2355" s="33" t="s">
        <v>42</v>
      </c>
      <c r="F2355" s="18" t="s">
        <v>64</v>
      </c>
      <c r="G2355" s="18" t="s">
        <v>148</v>
      </c>
      <c r="H2355" s="34" t="s">
        <v>85</v>
      </c>
      <c r="I2355" s="18" t="s">
        <v>114</v>
      </c>
      <c r="J2355" s="31" t="s">
        <v>105</v>
      </c>
      <c r="K2355" s="31"/>
      <c r="N2355" s="13" t="s">
        <v>30</v>
      </c>
      <c r="O2355" s="24" t="str">
        <f>IF(D2355="","",IF(COUNTIF(离职清单!C:C,D2355)&gt;0,"已离职","在职"))</f>
        <v>在职</v>
      </c>
      <c r="P2355" s="24" t="str">
        <f>IF(AND(O2355="在职",J2355="是"),COUNTIF(O$2:O2355,"在职"),"")</f>
        <v/>
      </c>
    </row>
    <row r="2356" ht="18" spans="1:16">
      <c r="A2356" s="10">
        <f t="shared" si="42"/>
        <v>2355</v>
      </c>
      <c r="B2356" s="31">
        <v>46176</v>
      </c>
      <c r="C2356" s="32" t="s">
        <v>2223</v>
      </c>
      <c r="D2356" s="120" t="s">
        <v>480</v>
      </c>
      <c r="E2356" s="33" t="s">
        <v>42</v>
      </c>
      <c r="F2356" s="18" t="s">
        <v>64</v>
      </c>
      <c r="G2356" s="18" t="s">
        <v>2195</v>
      </c>
      <c r="H2356" s="34" t="s">
        <v>85</v>
      </c>
      <c r="I2356" s="18" t="s">
        <v>2154</v>
      </c>
      <c r="J2356" s="31" t="s">
        <v>105</v>
      </c>
      <c r="K2356" s="31"/>
      <c r="N2356" s="13" t="s">
        <v>30</v>
      </c>
      <c r="O2356" s="24" t="str">
        <f>IF(D2356="","",IF(COUNTIF(离职清单!C:C,D2356)&gt;0,"已离职","在职"))</f>
        <v>在职</v>
      </c>
      <c r="P2356" s="24" t="str">
        <f>IF(AND(O2356="在职",J2356="是"),COUNTIF(O$2:O2356,"在职"),"")</f>
        <v/>
      </c>
    </row>
    <row r="2357" ht="18" spans="1:16">
      <c r="A2357" s="14">
        <f t="shared" si="42"/>
        <v>2356</v>
      </c>
      <c r="B2357" s="31">
        <v>46176</v>
      </c>
      <c r="C2357" s="32" t="s">
        <v>2390</v>
      </c>
      <c r="D2357" s="120" t="s">
        <v>482</v>
      </c>
      <c r="E2357" s="33" t="s">
        <v>42</v>
      </c>
      <c r="F2357" s="18" t="s">
        <v>63</v>
      </c>
      <c r="G2357" s="18" t="s">
        <v>2153</v>
      </c>
      <c r="H2357" s="34" t="s">
        <v>85</v>
      </c>
      <c r="I2357" s="18" t="s">
        <v>105</v>
      </c>
      <c r="J2357" s="31" t="s">
        <v>105</v>
      </c>
      <c r="K2357" s="31"/>
      <c r="N2357" s="13" t="s">
        <v>30</v>
      </c>
      <c r="O2357" s="24" t="str">
        <f>IF(D2357="","",IF(COUNTIF(离职清单!C:C,D2357)&gt;0,"已离职","在职"))</f>
        <v>在职</v>
      </c>
      <c r="P2357" s="24" t="str">
        <f>IF(AND(O2357="在职",J2357="是"),COUNTIF(O$2:O2357,"在职"),"")</f>
        <v/>
      </c>
    </row>
    <row r="2358" ht="18" spans="1:16">
      <c r="A2358" s="10">
        <f t="shared" si="42"/>
        <v>2357</v>
      </c>
      <c r="B2358" s="31">
        <v>46176</v>
      </c>
      <c r="C2358" s="32" t="s">
        <v>2391</v>
      </c>
      <c r="D2358" s="120" t="s">
        <v>484</v>
      </c>
      <c r="E2358" s="33" t="s">
        <v>42</v>
      </c>
      <c r="F2358" s="18" t="s">
        <v>63</v>
      </c>
      <c r="G2358" s="18" t="s">
        <v>2153</v>
      </c>
      <c r="H2358" s="34" t="s">
        <v>85</v>
      </c>
      <c r="I2358" s="18" t="s">
        <v>114</v>
      </c>
      <c r="J2358" s="31" t="s">
        <v>114</v>
      </c>
      <c r="K2358" s="31">
        <v>46179</v>
      </c>
      <c r="N2358" s="13" t="s">
        <v>30</v>
      </c>
      <c r="O2358" s="24" t="str">
        <f>IF(D2358="","",IF(COUNTIF(离职清单!C:C,D2358)&gt;0,"已离职","在职"))</f>
        <v>在职</v>
      </c>
      <c r="P2358" s="24">
        <f>IF(AND(O2358="在职",J2358="是"),COUNTIF(O$2:O2358,"在职"),"")</f>
        <v>2351</v>
      </c>
    </row>
    <row r="2359" ht="18" spans="1:16">
      <c r="A2359" s="14">
        <f t="shared" si="42"/>
        <v>2358</v>
      </c>
      <c r="B2359" s="31">
        <v>46176</v>
      </c>
      <c r="C2359" s="32" t="s">
        <v>2392</v>
      </c>
      <c r="D2359" s="120" t="s">
        <v>486</v>
      </c>
      <c r="E2359" s="33" t="s">
        <v>42</v>
      </c>
      <c r="F2359" s="18" t="s">
        <v>63</v>
      </c>
      <c r="G2359" s="18" t="s">
        <v>2153</v>
      </c>
      <c r="H2359" s="34" t="s">
        <v>85</v>
      </c>
      <c r="I2359" s="18" t="s">
        <v>114</v>
      </c>
      <c r="J2359" s="31" t="s">
        <v>105</v>
      </c>
      <c r="K2359" s="31"/>
      <c r="N2359" s="13" t="s">
        <v>30</v>
      </c>
      <c r="O2359" s="24" t="str">
        <f>IF(D2359="","",IF(COUNTIF(离职清单!C:C,D2359)&gt;0,"已离职","在职"))</f>
        <v>在职</v>
      </c>
      <c r="P2359" s="24" t="str">
        <f>IF(AND(O2359="在职",J2359="是"),COUNTIF(O$2:O2359,"在职"),"")</f>
        <v/>
      </c>
    </row>
    <row r="2360" ht="18" spans="1:16">
      <c r="A2360" s="10">
        <f t="shared" si="42"/>
        <v>2359</v>
      </c>
      <c r="B2360" s="31">
        <v>46176</v>
      </c>
      <c r="C2360" s="32" t="s">
        <v>2393</v>
      </c>
      <c r="D2360" s="120" t="s">
        <v>488</v>
      </c>
      <c r="E2360" s="33" t="s">
        <v>42</v>
      </c>
      <c r="F2360" s="18" t="s">
        <v>63</v>
      </c>
      <c r="G2360" s="18" t="s">
        <v>2153</v>
      </c>
      <c r="H2360" s="34" t="s">
        <v>85</v>
      </c>
      <c r="I2360" s="18" t="s">
        <v>2154</v>
      </c>
      <c r="J2360" s="31" t="s">
        <v>105</v>
      </c>
      <c r="K2360" s="31"/>
      <c r="N2360" s="13" t="s">
        <v>30</v>
      </c>
      <c r="O2360" s="24" t="str">
        <f>IF(D2360="","",IF(COUNTIF(离职清单!C:C,D2360)&gt;0,"已离职","在职"))</f>
        <v>在职</v>
      </c>
      <c r="P2360" s="24" t="str">
        <f>IF(AND(O2360="在职",J2360="是"),COUNTIF(O$2:O2360,"在职"),"")</f>
        <v/>
      </c>
    </row>
    <row r="2361" ht="18" spans="1:16">
      <c r="A2361" s="14">
        <f t="shared" si="42"/>
        <v>2360</v>
      </c>
      <c r="B2361" s="31">
        <v>46176</v>
      </c>
      <c r="C2361" s="32" t="s">
        <v>2394</v>
      </c>
      <c r="D2361" s="120" t="s">
        <v>490</v>
      </c>
      <c r="E2361" s="33" t="s">
        <v>42</v>
      </c>
      <c r="F2361" s="18" t="s">
        <v>64</v>
      </c>
      <c r="G2361" s="18" t="s">
        <v>2370</v>
      </c>
      <c r="H2361" s="34" t="s">
        <v>85</v>
      </c>
      <c r="I2361" s="18" t="s">
        <v>114</v>
      </c>
      <c r="J2361" s="31" t="s">
        <v>114</v>
      </c>
      <c r="K2361" s="31">
        <v>46178</v>
      </c>
      <c r="N2361" s="13" t="s">
        <v>30</v>
      </c>
      <c r="O2361" s="24" t="str">
        <f>IF(D2361="","",IF(COUNTIF(离职清单!C:C,D2361)&gt;0,"已离职","在职"))</f>
        <v>在职</v>
      </c>
      <c r="P2361" s="24">
        <f>IF(AND(O2361="在职",J2361="是"),COUNTIF(O$2:O2361,"在职"),"")</f>
        <v>2354</v>
      </c>
    </row>
    <row r="2362" ht="18" spans="1:16">
      <c r="A2362" s="10">
        <f t="shared" si="42"/>
        <v>2361</v>
      </c>
      <c r="B2362" s="31">
        <v>46176</v>
      </c>
      <c r="C2362" s="32" t="s">
        <v>2395</v>
      </c>
      <c r="D2362" s="120" t="s">
        <v>492</v>
      </c>
      <c r="E2362" s="33" t="s">
        <v>42</v>
      </c>
      <c r="F2362" s="18" t="s">
        <v>64</v>
      </c>
      <c r="G2362" s="18" t="s">
        <v>2250</v>
      </c>
      <c r="H2362" s="34" t="s">
        <v>85</v>
      </c>
      <c r="I2362" s="18" t="s">
        <v>105</v>
      </c>
      <c r="J2362" s="31" t="s">
        <v>105</v>
      </c>
      <c r="K2362" s="31"/>
      <c r="N2362" s="13" t="s">
        <v>30</v>
      </c>
      <c r="O2362" s="24" t="str">
        <f>IF(D2362="","",IF(COUNTIF(离职清单!C:C,D2362)&gt;0,"已离职","在职"))</f>
        <v>在职</v>
      </c>
      <c r="P2362" s="24" t="str">
        <f>IF(AND(O2362="在职",J2362="是"),COUNTIF(O$2:O2362,"在职"),"")</f>
        <v/>
      </c>
    </row>
    <row r="2363" ht="18" spans="1:16">
      <c r="A2363" s="14">
        <f t="shared" si="42"/>
        <v>2362</v>
      </c>
      <c r="B2363" s="31">
        <v>46176</v>
      </c>
      <c r="C2363" s="32" t="s">
        <v>2396</v>
      </c>
      <c r="D2363" s="120" t="s">
        <v>477</v>
      </c>
      <c r="E2363" s="33" t="s">
        <v>42</v>
      </c>
      <c r="F2363" s="18" t="s">
        <v>63</v>
      </c>
      <c r="G2363" s="18" t="s">
        <v>2250</v>
      </c>
      <c r="H2363" s="34" t="s">
        <v>85</v>
      </c>
      <c r="I2363" s="18" t="s">
        <v>2154</v>
      </c>
      <c r="J2363" s="31" t="s">
        <v>105</v>
      </c>
      <c r="K2363" s="31"/>
      <c r="N2363" s="13" t="s">
        <v>30</v>
      </c>
      <c r="O2363" s="24" t="str">
        <f>IF(D2363="","",IF(COUNTIF(离职清单!C:C,D2363)&gt;0,"已离职","在职"))</f>
        <v>在职</v>
      </c>
      <c r="P2363" s="24" t="str">
        <f>IF(AND(O2363="在职",J2363="是"),COUNTIF(O$2:O2363,"在职"),"")</f>
        <v/>
      </c>
    </row>
    <row r="2364" ht="18" spans="1:16">
      <c r="A2364" s="10">
        <f t="shared" si="42"/>
        <v>2363</v>
      </c>
      <c r="B2364" s="31">
        <v>46176</v>
      </c>
      <c r="C2364" s="32" t="s">
        <v>2249</v>
      </c>
      <c r="D2364" s="120" t="s">
        <v>478</v>
      </c>
      <c r="E2364" s="33" t="s">
        <v>42</v>
      </c>
      <c r="F2364" s="18" t="s">
        <v>62</v>
      </c>
      <c r="G2364" s="18" t="s">
        <v>2250</v>
      </c>
      <c r="H2364" s="34" t="s">
        <v>85</v>
      </c>
      <c r="I2364" s="18" t="s">
        <v>114</v>
      </c>
      <c r="J2364" s="31" t="s">
        <v>114</v>
      </c>
      <c r="K2364" s="31">
        <v>46178</v>
      </c>
      <c r="N2364" s="13" t="s">
        <v>30</v>
      </c>
      <c r="O2364" s="24" t="str">
        <f>IF(D2364="","",IF(COUNTIF(离职清单!C:C,D2364)&gt;0,"已离职","在职"))</f>
        <v>在职</v>
      </c>
      <c r="P2364" s="24">
        <f>IF(AND(O2364="在职",J2364="是"),COUNTIF(O$2:O2364,"在职"),"")</f>
        <v>2357</v>
      </c>
    </row>
    <row r="2365" ht="18" spans="1:16">
      <c r="A2365" s="14">
        <f t="shared" si="42"/>
        <v>2364</v>
      </c>
      <c r="B2365" s="31">
        <v>46176</v>
      </c>
      <c r="C2365" s="32" t="s">
        <v>2397</v>
      </c>
      <c r="D2365" s="120" t="s">
        <v>480</v>
      </c>
      <c r="E2365" s="33" t="s">
        <v>42</v>
      </c>
      <c r="F2365" s="18" t="s">
        <v>63</v>
      </c>
      <c r="G2365" s="18" t="s">
        <v>1511</v>
      </c>
      <c r="H2365" s="34" t="s">
        <v>85</v>
      </c>
      <c r="I2365" s="18" t="s">
        <v>114</v>
      </c>
      <c r="J2365" s="31" t="s">
        <v>105</v>
      </c>
      <c r="K2365" s="31"/>
      <c r="N2365" s="13" t="s">
        <v>30</v>
      </c>
      <c r="O2365" s="24" t="str">
        <f>IF(D2365="","",IF(COUNTIF(离职清单!C:C,D2365)&gt;0,"已离职","在职"))</f>
        <v>在职</v>
      </c>
      <c r="P2365" s="24" t="str">
        <f>IF(AND(O2365="在职",J2365="是"),COUNTIF(O$2:O2365,"在职"),"")</f>
        <v/>
      </c>
    </row>
    <row r="2366" ht="18" spans="1:16">
      <c r="A2366" s="10">
        <f t="shared" si="42"/>
        <v>2365</v>
      </c>
      <c r="B2366" s="31">
        <v>46176</v>
      </c>
      <c r="C2366" s="32" t="s">
        <v>2396</v>
      </c>
      <c r="D2366" s="120" t="s">
        <v>482</v>
      </c>
      <c r="E2366" s="33" t="s">
        <v>42</v>
      </c>
      <c r="F2366" s="18" t="s">
        <v>63</v>
      </c>
      <c r="G2366" s="18" t="s">
        <v>1511</v>
      </c>
      <c r="H2366" s="34" t="s">
        <v>85</v>
      </c>
      <c r="I2366" s="18" t="s">
        <v>114</v>
      </c>
      <c r="J2366" s="31" t="s">
        <v>114</v>
      </c>
      <c r="K2366" s="31">
        <v>46178</v>
      </c>
      <c r="N2366" s="13" t="s">
        <v>30</v>
      </c>
      <c r="O2366" s="24" t="str">
        <f>IF(D2366="","",IF(COUNTIF(离职清单!C:C,D2366)&gt;0,"已离职","在职"))</f>
        <v>在职</v>
      </c>
      <c r="P2366" s="24">
        <f>IF(AND(O2366="在职",J2366="是"),COUNTIF(O$2:O2366,"在职"),"")</f>
        <v>2359</v>
      </c>
    </row>
    <row r="2367" ht="18" spans="1:16">
      <c r="A2367" s="14">
        <f t="shared" si="42"/>
        <v>2366</v>
      </c>
      <c r="B2367" s="31">
        <v>46176</v>
      </c>
      <c r="C2367" s="32" t="s">
        <v>2320</v>
      </c>
      <c r="D2367" s="120" t="s">
        <v>484</v>
      </c>
      <c r="E2367" s="33" t="s">
        <v>42</v>
      </c>
      <c r="F2367" s="18" t="s">
        <v>63</v>
      </c>
      <c r="G2367" s="18" t="s">
        <v>1511</v>
      </c>
      <c r="H2367" s="34" t="s">
        <v>85</v>
      </c>
      <c r="I2367" s="18" t="s">
        <v>114</v>
      </c>
      <c r="J2367" s="31" t="s">
        <v>114</v>
      </c>
      <c r="K2367" s="31">
        <v>46178</v>
      </c>
      <c r="N2367" s="13" t="s">
        <v>30</v>
      </c>
      <c r="O2367" s="24" t="str">
        <f>IF(D2367="","",IF(COUNTIF(离职清单!C:C,D2367)&gt;0,"已离职","在职"))</f>
        <v>在职</v>
      </c>
      <c r="P2367" s="24">
        <f>IF(AND(O2367="在职",J2367="是"),COUNTIF(O$2:O2367,"在职"),"")</f>
        <v>2360</v>
      </c>
    </row>
    <row r="2368" ht="18" spans="1:16">
      <c r="A2368" s="10">
        <f t="shared" si="42"/>
        <v>2367</v>
      </c>
      <c r="B2368" s="31">
        <v>46176</v>
      </c>
      <c r="C2368" s="32" t="s">
        <v>2398</v>
      </c>
      <c r="D2368" s="120" t="s">
        <v>486</v>
      </c>
      <c r="E2368" s="33" t="s">
        <v>42</v>
      </c>
      <c r="F2368" s="18" t="s">
        <v>63</v>
      </c>
      <c r="G2368" s="18" t="s">
        <v>179</v>
      </c>
      <c r="H2368" s="34" t="s">
        <v>85</v>
      </c>
      <c r="I2368" s="18" t="s">
        <v>2154</v>
      </c>
      <c r="J2368" s="31" t="s">
        <v>105</v>
      </c>
      <c r="K2368" s="31"/>
      <c r="N2368" s="13" t="s">
        <v>30</v>
      </c>
      <c r="O2368" s="24" t="str">
        <f>IF(D2368="","",IF(COUNTIF(离职清单!C:C,D2368)&gt;0,"已离职","在职"))</f>
        <v>在职</v>
      </c>
      <c r="P2368" s="24" t="str">
        <f>IF(AND(O2368="在职",J2368="是"),COUNTIF(O$2:O2368,"在职"),"")</f>
        <v/>
      </c>
    </row>
    <row r="2369" ht="18" spans="1:16">
      <c r="A2369" s="14">
        <f t="shared" si="42"/>
        <v>2368</v>
      </c>
      <c r="B2369" s="31">
        <v>46176</v>
      </c>
      <c r="C2369" s="32" t="s">
        <v>2399</v>
      </c>
      <c r="D2369" s="120" t="s">
        <v>488</v>
      </c>
      <c r="E2369" s="33" t="s">
        <v>42</v>
      </c>
      <c r="F2369" s="18" t="s">
        <v>63</v>
      </c>
      <c r="G2369" s="18" t="s">
        <v>2156</v>
      </c>
      <c r="H2369" s="34" t="s">
        <v>85</v>
      </c>
      <c r="I2369" s="18" t="s">
        <v>105</v>
      </c>
      <c r="J2369" s="31" t="s">
        <v>105</v>
      </c>
      <c r="K2369" s="31"/>
      <c r="N2369" s="13" t="s">
        <v>30</v>
      </c>
      <c r="O2369" s="24" t="str">
        <f>IF(D2369="","",IF(COUNTIF(离职清单!C:C,D2369)&gt;0,"已离职","在职"))</f>
        <v>在职</v>
      </c>
      <c r="P2369" s="24" t="str">
        <f>IF(AND(O2369="在职",J2369="是"),COUNTIF(O$2:O2369,"在职"),"")</f>
        <v/>
      </c>
    </row>
    <row r="2370" ht="18" spans="1:16">
      <c r="A2370" s="10">
        <f t="shared" si="42"/>
        <v>2369</v>
      </c>
      <c r="B2370" s="31">
        <v>46176</v>
      </c>
      <c r="C2370" s="32" t="s">
        <v>2400</v>
      </c>
      <c r="D2370" s="120" t="s">
        <v>490</v>
      </c>
      <c r="E2370" s="33" t="s">
        <v>42</v>
      </c>
      <c r="F2370" s="18" t="s">
        <v>62</v>
      </c>
      <c r="G2370" s="18" t="s">
        <v>2156</v>
      </c>
      <c r="H2370" s="34" t="s">
        <v>85</v>
      </c>
      <c r="I2370" s="18" t="s">
        <v>2154</v>
      </c>
      <c r="J2370" s="31" t="s">
        <v>105</v>
      </c>
      <c r="K2370" s="31"/>
      <c r="N2370" s="13" t="s">
        <v>30</v>
      </c>
      <c r="O2370" s="24" t="str">
        <f>IF(D2370="","",IF(COUNTIF(离职清单!C:C,D2370)&gt;0,"已离职","在职"))</f>
        <v>在职</v>
      </c>
      <c r="P2370" s="24" t="str">
        <f>IF(AND(O2370="在职",J2370="是"),COUNTIF(O$2:O2370,"在职"),"")</f>
        <v/>
      </c>
    </row>
    <row r="2371" ht="18" spans="1:16">
      <c r="A2371" s="14">
        <f t="shared" si="42"/>
        <v>2370</v>
      </c>
      <c r="B2371" s="31">
        <v>46176</v>
      </c>
      <c r="C2371" s="32" t="s">
        <v>2401</v>
      </c>
      <c r="D2371" s="120" t="s">
        <v>492</v>
      </c>
      <c r="E2371" s="33" t="s">
        <v>42</v>
      </c>
      <c r="F2371" s="18" t="s">
        <v>62</v>
      </c>
      <c r="G2371" s="18" t="s">
        <v>2156</v>
      </c>
      <c r="H2371" s="34" t="s">
        <v>85</v>
      </c>
      <c r="I2371" s="18" t="s">
        <v>2154</v>
      </c>
      <c r="J2371" s="31" t="s">
        <v>105</v>
      </c>
      <c r="K2371" s="31"/>
      <c r="N2371" s="13" t="s">
        <v>30</v>
      </c>
      <c r="O2371" s="24" t="str">
        <f>IF(D2371="","",IF(COUNTIF(离职清单!C:C,D2371)&gt;0,"已离职","在职"))</f>
        <v>在职</v>
      </c>
      <c r="P2371" s="24" t="str">
        <f>IF(AND(O2371="在职",J2371="是"),COUNTIF(O$2:O2371,"在职"),"")</f>
        <v/>
      </c>
    </row>
    <row r="2372" ht="18" spans="1:16">
      <c r="A2372" s="10">
        <f t="shared" si="42"/>
        <v>2371</v>
      </c>
      <c r="B2372" s="31">
        <v>46176</v>
      </c>
      <c r="C2372" s="32" t="s">
        <v>2402</v>
      </c>
      <c r="D2372" s="120" t="s">
        <v>477</v>
      </c>
      <c r="E2372" s="33" t="s">
        <v>42</v>
      </c>
      <c r="F2372" s="18" t="s">
        <v>63</v>
      </c>
      <c r="G2372" s="18" t="s">
        <v>2156</v>
      </c>
      <c r="H2372" s="34" t="s">
        <v>85</v>
      </c>
      <c r="I2372" s="18" t="s">
        <v>114</v>
      </c>
      <c r="J2372" s="31" t="s">
        <v>114</v>
      </c>
      <c r="K2372" s="31">
        <v>46179</v>
      </c>
      <c r="N2372" s="13" t="s">
        <v>30</v>
      </c>
      <c r="O2372" s="24" t="str">
        <f>IF(D2372="","",IF(COUNTIF(离职清单!C:C,D2372)&gt;0,"已离职","在职"))</f>
        <v>在职</v>
      </c>
      <c r="P2372" s="24">
        <f>IF(AND(O2372="在职",J2372="是"),COUNTIF(O$2:O2372,"在职"),"")</f>
        <v>2365</v>
      </c>
    </row>
    <row r="2373" ht="18" spans="1:16">
      <c r="A2373" s="14">
        <f t="shared" si="42"/>
        <v>2372</v>
      </c>
      <c r="B2373" s="31">
        <v>46177</v>
      </c>
      <c r="C2373" s="32" t="s">
        <v>2403</v>
      </c>
      <c r="D2373" s="120" t="s">
        <v>478</v>
      </c>
      <c r="E2373" s="33" t="s">
        <v>42</v>
      </c>
      <c r="F2373" s="18" t="s">
        <v>63</v>
      </c>
      <c r="G2373" s="18" t="s">
        <v>2166</v>
      </c>
      <c r="H2373" s="34" t="s">
        <v>86</v>
      </c>
      <c r="I2373" s="18" t="s">
        <v>105</v>
      </c>
      <c r="J2373" s="31" t="s">
        <v>105</v>
      </c>
      <c r="K2373" s="31"/>
      <c r="N2373" s="13" t="s">
        <v>30</v>
      </c>
      <c r="O2373" s="24" t="str">
        <f>IF(D2373="","",IF(COUNTIF(离职清单!C:C,D2373)&gt;0,"已离职","在职"))</f>
        <v>在职</v>
      </c>
      <c r="P2373" s="24" t="str">
        <f>IF(AND(O2373="在职",J2373="是"),COUNTIF(O$2:O2373,"在职"),"")</f>
        <v/>
      </c>
    </row>
    <row r="2374" ht="18" spans="1:16">
      <c r="A2374" s="10">
        <f t="shared" si="42"/>
        <v>2373</v>
      </c>
      <c r="B2374" s="31">
        <v>46177</v>
      </c>
      <c r="C2374" s="32" t="s">
        <v>2404</v>
      </c>
      <c r="D2374" s="120" t="s">
        <v>480</v>
      </c>
      <c r="E2374" s="33" t="s">
        <v>42</v>
      </c>
      <c r="F2374" s="18" t="s">
        <v>63</v>
      </c>
      <c r="G2374" s="18" t="s">
        <v>2166</v>
      </c>
      <c r="H2374" s="34" t="s">
        <v>86</v>
      </c>
      <c r="I2374" s="18" t="s">
        <v>114</v>
      </c>
      <c r="J2374" s="31" t="s">
        <v>114</v>
      </c>
      <c r="K2374" s="31">
        <v>46179</v>
      </c>
      <c r="N2374" s="13" t="s">
        <v>30</v>
      </c>
      <c r="O2374" s="24" t="str">
        <f>IF(D2374="","",IF(COUNTIF(离职清单!C:C,D2374)&gt;0,"已离职","在职"))</f>
        <v>在职</v>
      </c>
      <c r="P2374" s="24">
        <f>IF(AND(O2374="在职",J2374="是"),COUNTIF(O$2:O2374,"在职"),"")</f>
        <v>2367</v>
      </c>
    </row>
    <row r="2375" ht="18" spans="1:16">
      <c r="A2375" s="14">
        <f t="shared" si="42"/>
        <v>2374</v>
      </c>
      <c r="B2375" s="31">
        <v>46177</v>
      </c>
      <c r="C2375" s="32" t="s">
        <v>2405</v>
      </c>
      <c r="D2375" s="120" t="s">
        <v>482</v>
      </c>
      <c r="E2375" s="33" t="s">
        <v>42</v>
      </c>
      <c r="F2375" s="18" t="s">
        <v>63</v>
      </c>
      <c r="G2375" s="18" t="s">
        <v>2166</v>
      </c>
      <c r="H2375" s="34" t="s">
        <v>86</v>
      </c>
      <c r="I2375" s="18" t="s">
        <v>105</v>
      </c>
      <c r="J2375" s="31" t="s">
        <v>105</v>
      </c>
      <c r="K2375" s="31"/>
      <c r="N2375" s="13" t="s">
        <v>30</v>
      </c>
      <c r="O2375" s="24" t="str">
        <f>IF(D2375="","",IF(COUNTIF(离职清单!C:C,D2375)&gt;0,"已离职","在职"))</f>
        <v>在职</v>
      </c>
      <c r="P2375" s="24" t="str">
        <f>IF(AND(O2375="在职",J2375="是"),COUNTIF(O$2:O2375,"在职"),"")</f>
        <v/>
      </c>
    </row>
    <row r="2376" ht="18" spans="1:16">
      <c r="A2376" s="10">
        <f t="shared" si="42"/>
        <v>2375</v>
      </c>
      <c r="B2376" s="31">
        <v>46177</v>
      </c>
      <c r="C2376" s="32" t="s">
        <v>2406</v>
      </c>
      <c r="D2376" s="120" t="s">
        <v>484</v>
      </c>
      <c r="E2376" s="33" t="s">
        <v>42</v>
      </c>
      <c r="F2376" s="18" t="s">
        <v>64</v>
      </c>
      <c r="G2376" s="18" t="s">
        <v>2166</v>
      </c>
      <c r="H2376" s="34" t="s">
        <v>86</v>
      </c>
      <c r="I2376" s="18" t="s">
        <v>114</v>
      </c>
      <c r="J2376" s="31" t="s">
        <v>114</v>
      </c>
      <c r="K2376" s="31">
        <v>46177</v>
      </c>
      <c r="N2376" s="13" t="s">
        <v>30</v>
      </c>
      <c r="O2376" s="24" t="str">
        <f>IF(D2376="","",IF(COUNTIF(离职清单!C:C,D2376)&gt;0,"已离职","在职"))</f>
        <v>在职</v>
      </c>
      <c r="P2376" s="24">
        <f>IF(AND(O2376="在职",J2376="是"),COUNTIF(O$2:O2376,"在职"),"")</f>
        <v>2369</v>
      </c>
    </row>
    <row r="2377" ht="18" spans="1:16">
      <c r="A2377" s="14">
        <f t="shared" si="42"/>
        <v>2376</v>
      </c>
      <c r="B2377" s="31">
        <v>46177</v>
      </c>
      <c r="C2377" s="32" t="s">
        <v>2407</v>
      </c>
      <c r="D2377" s="120" t="s">
        <v>486</v>
      </c>
      <c r="E2377" s="33" t="s">
        <v>42</v>
      </c>
      <c r="F2377" s="18" t="s">
        <v>64</v>
      </c>
      <c r="G2377" s="18" t="s">
        <v>124</v>
      </c>
      <c r="H2377" s="34" t="s">
        <v>86</v>
      </c>
      <c r="I2377" s="18" t="s">
        <v>114</v>
      </c>
      <c r="J2377" s="31" t="s">
        <v>114</v>
      </c>
      <c r="K2377" s="31">
        <v>46177</v>
      </c>
      <c r="N2377" s="13" t="s">
        <v>30</v>
      </c>
      <c r="O2377" s="24" t="str">
        <f>IF(D2377="","",IF(COUNTIF(离职清单!C:C,D2377)&gt;0,"已离职","在职"))</f>
        <v>在职</v>
      </c>
      <c r="P2377" s="24">
        <f>IF(AND(O2377="在职",J2377="是"),COUNTIF(O$2:O2377,"在职"),"")</f>
        <v>2370</v>
      </c>
    </row>
    <row r="2378" ht="18" spans="1:16">
      <c r="A2378" s="10">
        <f t="shared" si="42"/>
        <v>2377</v>
      </c>
      <c r="B2378" s="31">
        <v>46177</v>
      </c>
      <c r="C2378" s="32" t="s">
        <v>2408</v>
      </c>
      <c r="D2378" s="120" t="s">
        <v>488</v>
      </c>
      <c r="E2378" s="33" t="s">
        <v>42</v>
      </c>
      <c r="F2378" s="18" t="s">
        <v>64</v>
      </c>
      <c r="G2378" s="18" t="s">
        <v>124</v>
      </c>
      <c r="H2378" s="34" t="s">
        <v>86</v>
      </c>
      <c r="I2378" s="18" t="s">
        <v>114</v>
      </c>
      <c r="J2378" s="31" t="s">
        <v>114</v>
      </c>
      <c r="K2378" s="31">
        <v>46177</v>
      </c>
      <c r="N2378" s="13" t="s">
        <v>30</v>
      </c>
      <c r="O2378" s="24" t="str">
        <f>IF(D2378="","",IF(COUNTIF(离职清单!C:C,D2378)&gt;0,"已离职","在职"))</f>
        <v>在职</v>
      </c>
      <c r="P2378" s="24">
        <f>IF(AND(O2378="在职",J2378="是"),COUNTIF(O$2:O2378,"在职"),"")</f>
        <v>2371</v>
      </c>
    </row>
    <row r="2379" ht="18" spans="1:16">
      <c r="A2379" s="14">
        <f t="shared" si="42"/>
        <v>2378</v>
      </c>
      <c r="B2379" s="31">
        <v>46177</v>
      </c>
      <c r="C2379" s="32" t="s">
        <v>2409</v>
      </c>
      <c r="D2379" s="120" t="s">
        <v>490</v>
      </c>
      <c r="E2379" s="33" t="s">
        <v>42</v>
      </c>
      <c r="F2379" s="18" t="s">
        <v>62</v>
      </c>
      <c r="G2379" s="18" t="s">
        <v>2164</v>
      </c>
      <c r="H2379" s="34" t="s">
        <v>85</v>
      </c>
      <c r="I2379" s="18" t="s">
        <v>105</v>
      </c>
      <c r="J2379" s="31" t="s">
        <v>105</v>
      </c>
      <c r="K2379" s="31"/>
      <c r="N2379" s="13" t="s">
        <v>30</v>
      </c>
      <c r="O2379" s="24" t="str">
        <f>IF(D2379="","",IF(COUNTIF(离职清单!C:C,D2379)&gt;0,"已离职","在职"))</f>
        <v>在职</v>
      </c>
      <c r="P2379" s="24" t="str">
        <f>IF(AND(O2379="在职",J2379="是"),COUNTIF(O$2:O2379,"在职"),"")</f>
        <v/>
      </c>
    </row>
    <row r="2380" ht="18" spans="1:16">
      <c r="A2380" s="10">
        <f t="shared" si="42"/>
        <v>2379</v>
      </c>
      <c r="B2380" s="31">
        <v>46177</v>
      </c>
      <c r="C2380" s="32" t="s">
        <v>2410</v>
      </c>
      <c r="D2380" s="120" t="s">
        <v>492</v>
      </c>
      <c r="E2380" s="33" t="s">
        <v>42</v>
      </c>
      <c r="F2380" s="18" t="s">
        <v>63</v>
      </c>
      <c r="G2380" s="18" t="s">
        <v>2164</v>
      </c>
      <c r="H2380" s="34" t="s">
        <v>85</v>
      </c>
      <c r="I2380" s="18" t="s">
        <v>105</v>
      </c>
      <c r="J2380" s="31" t="s">
        <v>105</v>
      </c>
      <c r="K2380" s="31"/>
      <c r="N2380" s="13" t="s">
        <v>30</v>
      </c>
      <c r="O2380" s="24" t="str">
        <f>IF(D2380="","",IF(COUNTIF(离职清单!C:C,D2380)&gt;0,"已离职","在职"))</f>
        <v>在职</v>
      </c>
      <c r="P2380" s="24" t="str">
        <f>IF(AND(O2380="在职",J2380="是"),COUNTIF(O$2:O2380,"在职"),"")</f>
        <v/>
      </c>
    </row>
    <row r="2381" ht="18" spans="1:16">
      <c r="A2381" s="14">
        <f t="shared" si="42"/>
        <v>2380</v>
      </c>
      <c r="B2381" s="31">
        <v>46177</v>
      </c>
      <c r="C2381" s="32" t="s">
        <v>2411</v>
      </c>
      <c r="D2381" s="120" t="s">
        <v>477</v>
      </c>
      <c r="E2381" s="33" t="s">
        <v>42</v>
      </c>
      <c r="F2381" s="18" t="s">
        <v>64</v>
      </c>
      <c r="G2381" s="18" t="s">
        <v>2164</v>
      </c>
      <c r="H2381" s="34" t="s">
        <v>85</v>
      </c>
      <c r="I2381" s="18" t="s">
        <v>114</v>
      </c>
      <c r="J2381" s="31" t="s">
        <v>105</v>
      </c>
      <c r="K2381" s="31"/>
      <c r="N2381" s="13" t="s">
        <v>30</v>
      </c>
      <c r="O2381" s="24" t="str">
        <f>IF(D2381="","",IF(COUNTIF(离职清单!C:C,D2381)&gt;0,"已离职","在职"))</f>
        <v>在职</v>
      </c>
      <c r="P2381" s="24" t="str">
        <f>IF(AND(O2381="在职",J2381="是"),COUNTIF(O$2:O2381,"在职"),"")</f>
        <v/>
      </c>
    </row>
    <row r="2382" ht="18" spans="1:16">
      <c r="A2382" s="10">
        <f t="shared" si="42"/>
        <v>2381</v>
      </c>
      <c r="B2382" s="31">
        <v>46177</v>
      </c>
      <c r="C2382" s="32" t="s">
        <v>2412</v>
      </c>
      <c r="D2382" s="120" t="s">
        <v>477</v>
      </c>
      <c r="E2382" s="33" t="s">
        <v>42</v>
      </c>
      <c r="F2382" s="18" t="s">
        <v>64</v>
      </c>
      <c r="G2382" s="18" t="s">
        <v>2164</v>
      </c>
      <c r="H2382" s="34" t="s">
        <v>85</v>
      </c>
      <c r="I2382" s="18" t="s">
        <v>114</v>
      </c>
      <c r="J2382" s="31" t="s">
        <v>105</v>
      </c>
      <c r="K2382" s="31"/>
      <c r="N2382" s="13" t="s">
        <v>30</v>
      </c>
      <c r="O2382" s="24" t="str">
        <f>IF(D2382="","",IF(COUNTIF(离职清单!C:C,D2382)&gt;0,"已离职","在职"))</f>
        <v>在职</v>
      </c>
      <c r="P2382" s="24" t="str">
        <f>IF(AND(O2382="在职",J2382="是"),COUNTIF(O$2:O2382,"在职"),"")</f>
        <v/>
      </c>
    </row>
    <row r="2383" ht="18" spans="1:16">
      <c r="A2383" s="14">
        <f t="shared" si="42"/>
        <v>2382</v>
      </c>
      <c r="B2383" s="31">
        <v>46177</v>
      </c>
      <c r="C2383" s="32" t="s">
        <v>1673</v>
      </c>
      <c r="D2383" s="120" t="s">
        <v>478</v>
      </c>
      <c r="E2383" s="33" t="s">
        <v>42</v>
      </c>
      <c r="F2383" s="18" t="s">
        <v>63</v>
      </c>
      <c r="G2383" s="18" t="s">
        <v>2164</v>
      </c>
      <c r="H2383" s="34" t="s">
        <v>85</v>
      </c>
      <c r="I2383" s="18" t="s">
        <v>114</v>
      </c>
      <c r="J2383" s="31" t="s">
        <v>105</v>
      </c>
      <c r="K2383" s="31"/>
      <c r="N2383" s="13" t="s">
        <v>30</v>
      </c>
      <c r="O2383" s="24" t="str">
        <f>IF(D2383="","",IF(COUNTIF(离职清单!C:C,D2383)&gt;0,"已离职","在职"))</f>
        <v>在职</v>
      </c>
      <c r="P2383" s="24" t="str">
        <f>IF(AND(O2383="在职",J2383="是"),COUNTIF(O$2:O2383,"在职"),"")</f>
        <v/>
      </c>
    </row>
    <row r="2384" ht="18" spans="1:16">
      <c r="A2384" s="10">
        <f t="shared" si="42"/>
        <v>2383</v>
      </c>
      <c r="B2384" s="31">
        <v>46177</v>
      </c>
      <c r="C2384" s="32" t="s">
        <v>2253</v>
      </c>
      <c r="D2384" s="120" t="s">
        <v>480</v>
      </c>
      <c r="E2384" s="33" t="s">
        <v>42</v>
      </c>
      <c r="F2384" s="18" t="s">
        <v>63</v>
      </c>
      <c r="G2384" s="18" t="s">
        <v>2164</v>
      </c>
      <c r="H2384" s="34" t="s">
        <v>85</v>
      </c>
      <c r="I2384" s="18" t="s">
        <v>2154</v>
      </c>
      <c r="J2384" s="31" t="s">
        <v>105</v>
      </c>
      <c r="K2384" s="31"/>
      <c r="N2384" s="13" t="s">
        <v>30</v>
      </c>
      <c r="O2384" s="24" t="str">
        <f>IF(D2384="","",IF(COUNTIF(离职清单!C:C,D2384)&gt;0,"已离职","在职"))</f>
        <v>在职</v>
      </c>
      <c r="P2384" s="24" t="str">
        <f>IF(AND(O2384="在职",J2384="是"),COUNTIF(O$2:O2384,"在职"),"")</f>
        <v/>
      </c>
    </row>
    <row r="2385" ht="18" spans="1:16">
      <c r="A2385" s="14">
        <f t="shared" si="42"/>
        <v>2384</v>
      </c>
      <c r="B2385" s="31">
        <v>46177</v>
      </c>
      <c r="C2385" s="32" t="s">
        <v>2413</v>
      </c>
      <c r="D2385" s="120" t="s">
        <v>482</v>
      </c>
      <c r="E2385" s="33" t="s">
        <v>42</v>
      </c>
      <c r="F2385" s="18" t="s">
        <v>63</v>
      </c>
      <c r="G2385" s="18" t="s">
        <v>2164</v>
      </c>
      <c r="H2385" s="34" t="s">
        <v>85</v>
      </c>
      <c r="I2385" s="18" t="s">
        <v>2154</v>
      </c>
      <c r="J2385" s="31" t="s">
        <v>105</v>
      </c>
      <c r="K2385" s="31"/>
      <c r="N2385" s="13" t="s">
        <v>30</v>
      </c>
      <c r="O2385" s="24" t="str">
        <f>IF(D2385="","",IF(COUNTIF(离职清单!C:C,D2385)&gt;0,"已离职","在职"))</f>
        <v>在职</v>
      </c>
      <c r="P2385" s="24" t="str">
        <f>IF(AND(O2385="在职",J2385="是"),COUNTIF(O$2:O2385,"在职"),"")</f>
        <v/>
      </c>
    </row>
    <row r="2386" ht="18" spans="1:16">
      <c r="A2386" s="10">
        <f t="shared" si="42"/>
        <v>2385</v>
      </c>
      <c r="B2386" s="31">
        <v>46177</v>
      </c>
      <c r="C2386" s="32" t="s">
        <v>2414</v>
      </c>
      <c r="D2386" s="120" t="s">
        <v>484</v>
      </c>
      <c r="E2386" s="33" t="s">
        <v>42</v>
      </c>
      <c r="F2386" s="18" t="s">
        <v>63</v>
      </c>
      <c r="G2386" s="18" t="s">
        <v>2164</v>
      </c>
      <c r="H2386" s="34" t="s">
        <v>85</v>
      </c>
      <c r="I2386" s="18" t="s">
        <v>2154</v>
      </c>
      <c r="J2386" s="31" t="s">
        <v>105</v>
      </c>
      <c r="K2386" s="31"/>
      <c r="N2386" s="13" t="s">
        <v>30</v>
      </c>
      <c r="O2386" s="24" t="str">
        <f>IF(D2386="","",IF(COUNTIF(离职清单!C:C,D2386)&gt;0,"已离职","在职"))</f>
        <v>在职</v>
      </c>
      <c r="P2386" s="24" t="str">
        <f>IF(AND(O2386="在职",J2386="是"),COUNTIF(O$2:O2386,"在职"),"")</f>
        <v/>
      </c>
    </row>
    <row r="2387" ht="18" spans="1:16">
      <c r="A2387" s="14">
        <f t="shared" si="42"/>
        <v>2386</v>
      </c>
      <c r="B2387" s="31">
        <v>46177</v>
      </c>
      <c r="C2387" s="32" t="s">
        <v>2322</v>
      </c>
      <c r="D2387" s="120" t="s">
        <v>486</v>
      </c>
      <c r="E2387" s="33" t="s">
        <v>42</v>
      </c>
      <c r="F2387" s="18" t="s">
        <v>64</v>
      </c>
      <c r="G2387" s="18" t="s">
        <v>2164</v>
      </c>
      <c r="H2387" s="34" t="s">
        <v>85</v>
      </c>
      <c r="I2387" s="18" t="s">
        <v>114</v>
      </c>
      <c r="J2387" s="31" t="s">
        <v>105</v>
      </c>
      <c r="K2387" s="31"/>
      <c r="N2387" s="13" t="s">
        <v>30</v>
      </c>
      <c r="O2387" s="24" t="str">
        <f>IF(D2387="","",IF(COUNTIF(离职清单!C:C,D2387)&gt;0,"已离职","在职"))</f>
        <v>在职</v>
      </c>
      <c r="P2387" s="24" t="str">
        <f>IF(AND(O2387="在职",J2387="是"),COUNTIF(O$2:O2387,"在职"),"")</f>
        <v/>
      </c>
    </row>
    <row r="2388" ht="18" spans="1:16">
      <c r="A2388" s="10">
        <f t="shared" si="42"/>
        <v>2387</v>
      </c>
      <c r="B2388" s="31">
        <v>46177</v>
      </c>
      <c r="C2388" s="32" t="s">
        <v>1250</v>
      </c>
      <c r="D2388" s="120" t="s">
        <v>488</v>
      </c>
      <c r="E2388" s="33" t="s">
        <v>43</v>
      </c>
      <c r="F2388" s="18" t="s">
        <v>62</v>
      </c>
      <c r="G2388" s="18" t="s">
        <v>2232</v>
      </c>
      <c r="H2388" s="34" t="s">
        <v>85</v>
      </c>
      <c r="I2388" s="18" t="s">
        <v>105</v>
      </c>
      <c r="J2388" s="31" t="s">
        <v>105</v>
      </c>
      <c r="K2388" s="31"/>
      <c r="N2388" s="13" t="s">
        <v>30</v>
      </c>
      <c r="O2388" s="24" t="str">
        <f>IF(D2388="","",IF(COUNTIF(离职清单!C:C,D2388)&gt;0,"已离职","在职"))</f>
        <v>在职</v>
      </c>
      <c r="P2388" s="24" t="str">
        <f>IF(AND(O2388="在职",J2388="是"),COUNTIF(O$2:O2388,"在职"),"")</f>
        <v/>
      </c>
    </row>
    <row r="2389" ht="18" spans="1:16">
      <c r="A2389" s="14">
        <f t="shared" si="42"/>
        <v>2388</v>
      </c>
      <c r="B2389" s="31">
        <v>46177</v>
      </c>
      <c r="C2389" s="32" t="s">
        <v>2415</v>
      </c>
      <c r="D2389" s="120" t="s">
        <v>490</v>
      </c>
      <c r="E2389" s="33" t="s">
        <v>43</v>
      </c>
      <c r="F2389" s="18" t="s">
        <v>63</v>
      </c>
      <c r="G2389" s="18" t="s">
        <v>233</v>
      </c>
      <c r="H2389" s="34" t="s">
        <v>85</v>
      </c>
      <c r="I2389" s="18" t="s">
        <v>114</v>
      </c>
      <c r="J2389" s="31" t="s">
        <v>114</v>
      </c>
      <c r="K2389" s="31">
        <v>46181</v>
      </c>
      <c r="N2389" s="13" t="s">
        <v>30</v>
      </c>
      <c r="O2389" s="24" t="str">
        <f>IF(D2389="","",IF(COUNTIF(离职清单!C:C,D2389)&gt;0,"已离职","在职"))</f>
        <v>在职</v>
      </c>
      <c r="P2389" s="24">
        <f>IF(AND(O2389="在职",J2389="是"),COUNTIF(O$2:O2389,"在职"),"")</f>
        <v>2382</v>
      </c>
    </row>
    <row r="2390" ht="18" spans="1:16">
      <c r="A2390" s="10">
        <f t="shared" si="42"/>
        <v>2389</v>
      </c>
      <c r="B2390" s="31">
        <v>46177</v>
      </c>
      <c r="C2390" s="32" t="s">
        <v>2416</v>
      </c>
      <c r="D2390" s="120" t="s">
        <v>492</v>
      </c>
      <c r="E2390" s="33" t="s">
        <v>43</v>
      </c>
      <c r="F2390" s="18" t="s">
        <v>63</v>
      </c>
      <c r="G2390" s="18" t="s">
        <v>2164</v>
      </c>
      <c r="H2390" s="34" t="s">
        <v>85</v>
      </c>
      <c r="I2390" s="18" t="s">
        <v>2154</v>
      </c>
      <c r="J2390" s="31" t="s">
        <v>105</v>
      </c>
      <c r="K2390" s="31"/>
      <c r="N2390" s="13" t="s">
        <v>30</v>
      </c>
      <c r="O2390" s="24" t="str">
        <f>IF(D2390="","",IF(COUNTIF(离职清单!C:C,D2390)&gt;0,"已离职","在职"))</f>
        <v>在职</v>
      </c>
      <c r="P2390" s="24" t="str">
        <f>IF(AND(O2390="在职",J2390="是"),COUNTIF(O$2:O2390,"在职"),"")</f>
        <v/>
      </c>
    </row>
    <row r="2391" ht="18" spans="1:16">
      <c r="A2391" s="14">
        <f t="shared" si="42"/>
        <v>2390</v>
      </c>
      <c r="B2391" s="31">
        <v>46177</v>
      </c>
      <c r="C2391" s="32" t="s">
        <v>2340</v>
      </c>
      <c r="D2391" s="120" t="s">
        <v>477</v>
      </c>
      <c r="E2391" s="33" t="s">
        <v>43</v>
      </c>
      <c r="F2391" s="18" t="s">
        <v>62</v>
      </c>
      <c r="G2391" s="18" t="s">
        <v>2164</v>
      </c>
      <c r="H2391" s="34" t="s">
        <v>85</v>
      </c>
      <c r="I2391" s="18" t="s">
        <v>2154</v>
      </c>
      <c r="J2391" s="31" t="s">
        <v>105</v>
      </c>
      <c r="K2391" s="31"/>
      <c r="N2391" s="13" t="s">
        <v>30</v>
      </c>
      <c r="O2391" s="24" t="str">
        <f>IF(D2391="","",IF(COUNTIF(离职清单!C:C,D2391)&gt;0,"已离职","在职"))</f>
        <v>在职</v>
      </c>
      <c r="P2391" s="24" t="str">
        <f>IF(AND(O2391="在职",J2391="是"),COUNTIF(O$2:O2391,"在职"),"")</f>
        <v/>
      </c>
    </row>
    <row r="2392" ht="18" spans="1:16">
      <c r="A2392" s="10">
        <f t="shared" si="42"/>
        <v>2391</v>
      </c>
      <c r="B2392" s="31">
        <v>46177</v>
      </c>
      <c r="C2392" s="32" t="s">
        <v>2341</v>
      </c>
      <c r="D2392" s="120" t="s">
        <v>478</v>
      </c>
      <c r="E2392" s="33" t="s">
        <v>43</v>
      </c>
      <c r="F2392" s="18" t="s">
        <v>63</v>
      </c>
      <c r="G2392" s="18" t="s">
        <v>2164</v>
      </c>
      <c r="H2392" s="34" t="s">
        <v>85</v>
      </c>
      <c r="I2392" s="18" t="s">
        <v>2154</v>
      </c>
      <c r="J2392" s="31" t="s">
        <v>105</v>
      </c>
      <c r="K2392" s="31"/>
      <c r="N2392" s="13" t="s">
        <v>30</v>
      </c>
      <c r="O2392" s="24" t="str">
        <f>IF(D2392="","",IF(COUNTIF(离职清单!C:C,D2392)&gt;0,"已离职","在职"))</f>
        <v>在职</v>
      </c>
      <c r="P2392" s="24" t="str">
        <f>IF(AND(O2392="在职",J2392="是"),COUNTIF(O$2:O2392,"在职"),"")</f>
        <v/>
      </c>
    </row>
    <row r="2393" ht="18" spans="1:16">
      <c r="A2393" s="14">
        <f t="shared" si="42"/>
        <v>2392</v>
      </c>
      <c r="B2393" s="31">
        <v>46177</v>
      </c>
      <c r="C2393" s="32" t="s">
        <v>2417</v>
      </c>
      <c r="D2393" s="120" t="s">
        <v>480</v>
      </c>
      <c r="E2393" s="33" t="s">
        <v>43</v>
      </c>
      <c r="F2393" s="18" t="s">
        <v>63</v>
      </c>
      <c r="G2393" s="18" t="s">
        <v>2164</v>
      </c>
      <c r="H2393" s="34" t="s">
        <v>85</v>
      </c>
      <c r="I2393" s="18" t="s">
        <v>2154</v>
      </c>
      <c r="J2393" s="31" t="s">
        <v>105</v>
      </c>
      <c r="K2393" s="31"/>
      <c r="N2393" s="13" t="s">
        <v>30</v>
      </c>
      <c r="O2393" s="24" t="str">
        <f>IF(D2393="","",IF(COUNTIF(离职清单!C:C,D2393)&gt;0,"已离职","在职"))</f>
        <v>在职</v>
      </c>
      <c r="P2393" s="24" t="str">
        <f>IF(AND(O2393="在职",J2393="是"),COUNTIF(O$2:O2393,"在职"),"")</f>
        <v/>
      </c>
    </row>
    <row r="2394" ht="18" spans="1:16">
      <c r="A2394" s="10">
        <f t="shared" si="42"/>
        <v>2393</v>
      </c>
      <c r="B2394" s="31">
        <v>46177</v>
      </c>
      <c r="C2394" s="32" t="s">
        <v>2418</v>
      </c>
      <c r="D2394" s="120" t="s">
        <v>482</v>
      </c>
      <c r="E2394" s="33" t="s">
        <v>43</v>
      </c>
      <c r="F2394" s="18" t="s">
        <v>62</v>
      </c>
      <c r="G2394" s="18" t="s">
        <v>2164</v>
      </c>
      <c r="H2394" s="34" t="s">
        <v>85</v>
      </c>
      <c r="I2394" s="18" t="s">
        <v>2154</v>
      </c>
      <c r="J2394" s="31" t="s">
        <v>105</v>
      </c>
      <c r="K2394" s="31"/>
      <c r="N2394" s="13" t="s">
        <v>30</v>
      </c>
      <c r="O2394" s="24" t="str">
        <f>IF(D2394="","",IF(COUNTIF(离职清单!C:C,D2394)&gt;0,"已离职","在职"))</f>
        <v>在职</v>
      </c>
      <c r="P2394" s="24" t="str">
        <f>IF(AND(O2394="在职",J2394="是"),COUNTIF(O$2:O2394,"在职"),"")</f>
        <v/>
      </c>
    </row>
    <row r="2395" ht="18" spans="1:16">
      <c r="A2395" s="14">
        <f t="shared" si="42"/>
        <v>2394</v>
      </c>
      <c r="B2395" s="31">
        <v>46177</v>
      </c>
      <c r="C2395" s="32" t="s">
        <v>2419</v>
      </c>
      <c r="D2395" s="120" t="s">
        <v>484</v>
      </c>
      <c r="E2395" s="33" t="s">
        <v>43</v>
      </c>
      <c r="F2395" s="18" t="s">
        <v>62</v>
      </c>
      <c r="G2395" s="18" t="s">
        <v>2164</v>
      </c>
      <c r="H2395" s="34" t="s">
        <v>85</v>
      </c>
      <c r="I2395" s="18" t="s">
        <v>2154</v>
      </c>
      <c r="J2395" s="31" t="s">
        <v>105</v>
      </c>
      <c r="K2395" s="31"/>
      <c r="N2395" s="13" t="s">
        <v>30</v>
      </c>
      <c r="O2395" s="24" t="str">
        <f>IF(D2395="","",IF(COUNTIF(离职清单!C:C,D2395)&gt;0,"已离职","在职"))</f>
        <v>在职</v>
      </c>
      <c r="P2395" s="24" t="str">
        <f>IF(AND(O2395="在职",J2395="是"),COUNTIF(O$2:O2395,"在职"),"")</f>
        <v/>
      </c>
    </row>
    <row r="2396" ht="18" spans="1:16">
      <c r="A2396" s="10">
        <f t="shared" si="42"/>
        <v>2395</v>
      </c>
      <c r="B2396" s="31">
        <v>46177</v>
      </c>
      <c r="C2396" s="32" t="s">
        <v>2420</v>
      </c>
      <c r="D2396" s="120" t="s">
        <v>486</v>
      </c>
      <c r="E2396" s="33" t="s">
        <v>43</v>
      </c>
      <c r="F2396" s="18" t="s">
        <v>63</v>
      </c>
      <c r="G2396" s="18" t="s">
        <v>2164</v>
      </c>
      <c r="H2396" s="34" t="s">
        <v>85</v>
      </c>
      <c r="I2396" s="18" t="s">
        <v>105</v>
      </c>
      <c r="J2396" s="31" t="s">
        <v>105</v>
      </c>
      <c r="K2396" s="31"/>
      <c r="N2396" s="13" t="s">
        <v>30</v>
      </c>
      <c r="O2396" s="24" t="str">
        <f>IF(D2396="","",IF(COUNTIF(离职清单!C:C,D2396)&gt;0,"已离职","在职"))</f>
        <v>在职</v>
      </c>
      <c r="P2396" s="24" t="str">
        <f>IF(AND(O2396="在职",J2396="是"),COUNTIF(O$2:O2396,"在职"),"")</f>
        <v/>
      </c>
    </row>
    <row r="2397" ht="18" spans="1:16">
      <c r="A2397" s="14">
        <f t="shared" si="42"/>
        <v>2396</v>
      </c>
      <c r="B2397" s="31">
        <v>46177</v>
      </c>
      <c r="C2397" s="32" t="s">
        <v>2421</v>
      </c>
      <c r="D2397" s="120" t="s">
        <v>488</v>
      </c>
      <c r="E2397" s="33" t="s">
        <v>43</v>
      </c>
      <c r="F2397" s="18" t="s">
        <v>63</v>
      </c>
      <c r="G2397" s="18" t="s">
        <v>2164</v>
      </c>
      <c r="H2397" s="34" t="s">
        <v>85</v>
      </c>
      <c r="I2397" s="18" t="s">
        <v>105</v>
      </c>
      <c r="J2397" s="31" t="s">
        <v>105</v>
      </c>
      <c r="K2397" s="31"/>
      <c r="N2397" s="13" t="s">
        <v>30</v>
      </c>
      <c r="O2397" s="24" t="str">
        <f>IF(D2397="","",IF(COUNTIF(离职清单!C:C,D2397)&gt;0,"已离职","在职"))</f>
        <v>在职</v>
      </c>
      <c r="P2397" s="24" t="str">
        <f>IF(AND(O2397="在职",J2397="是"),COUNTIF(O$2:O2397,"在职"),"")</f>
        <v/>
      </c>
    </row>
    <row r="2398" ht="18" spans="1:16">
      <c r="A2398" s="10">
        <f t="shared" si="42"/>
        <v>2397</v>
      </c>
      <c r="B2398" s="31">
        <v>46177</v>
      </c>
      <c r="C2398" s="32" t="s">
        <v>2422</v>
      </c>
      <c r="D2398" s="120" t="s">
        <v>490</v>
      </c>
      <c r="E2398" s="33" t="s">
        <v>43</v>
      </c>
      <c r="F2398" s="18" t="s">
        <v>63</v>
      </c>
      <c r="G2398" s="18" t="s">
        <v>2164</v>
      </c>
      <c r="H2398" s="34" t="s">
        <v>85</v>
      </c>
      <c r="I2398" s="18" t="s">
        <v>105</v>
      </c>
      <c r="J2398" s="31" t="s">
        <v>105</v>
      </c>
      <c r="K2398" s="31"/>
      <c r="N2398" s="13" t="s">
        <v>30</v>
      </c>
      <c r="O2398" s="24" t="str">
        <f>IF(D2398="","",IF(COUNTIF(离职清单!C:C,D2398)&gt;0,"已离职","在职"))</f>
        <v>在职</v>
      </c>
      <c r="P2398" s="24" t="str">
        <f>IF(AND(O2398="在职",J2398="是"),COUNTIF(O$2:O2398,"在职"),"")</f>
        <v/>
      </c>
    </row>
    <row r="2399" ht="18" spans="1:16">
      <c r="A2399" s="14">
        <f t="shared" si="42"/>
        <v>2398</v>
      </c>
      <c r="B2399" s="31">
        <v>46177</v>
      </c>
      <c r="C2399" s="32" t="s">
        <v>2423</v>
      </c>
      <c r="D2399" s="120" t="s">
        <v>492</v>
      </c>
      <c r="E2399" s="33" t="s">
        <v>43</v>
      </c>
      <c r="F2399" s="18" t="s">
        <v>63</v>
      </c>
      <c r="G2399" s="18" t="s">
        <v>129</v>
      </c>
      <c r="H2399" s="34" t="s">
        <v>85</v>
      </c>
      <c r="I2399" s="18" t="s">
        <v>105</v>
      </c>
      <c r="J2399" s="31" t="s">
        <v>105</v>
      </c>
      <c r="K2399" s="31"/>
      <c r="N2399" s="13" t="s">
        <v>30</v>
      </c>
      <c r="O2399" s="24" t="str">
        <f>IF(D2399="","",IF(COUNTIF(离职清单!C:C,D2399)&gt;0,"已离职","在职"))</f>
        <v>在职</v>
      </c>
      <c r="P2399" s="24" t="str">
        <f>IF(AND(O2399="在职",J2399="是"),COUNTIF(O$2:O2399,"在职"),"")</f>
        <v/>
      </c>
    </row>
    <row r="2400" ht="18" spans="1:16">
      <c r="A2400" s="10">
        <f t="shared" si="42"/>
        <v>2399</v>
      </c>
      <c r="B2400" s="31">
        <v>46177</v>
      </c>
      <c r="C2400" s="32" t="s">
        <v>2424</v>
      </c>
      <c r="D2400" s="120" t="s">
        <v>477</v>
      </c>
      <c r="E2400" s="33" t="s">
        <v>43</v>
      </c>
      <c r="F2400" s="18" t="s">
        <v>62</v>
      </c>
      <c r="G2400" s="18" t="s">
        <v>2181</v>
      </c>
      <c r="H2400" s="34" t="s">
        <v>85</v>
      </c>
      <c r="I2400" s="18" t="s">
        <v>2154</v>
      </c>
      <c r="J2400" s="31" t="s">
        <v>105</v>
      </c>
      <c r="K2400" s="31"/>
      <c r="N2400" s="13" t="s">
        <v>30</v>
      </c>
      <c r="O2400" s="24" t="str">
        <f>IF(D2400="","",IF(COUNTIF(离职清单!C:C,D2400)&gt;0,"已离职","在职"))</f>
        <v>在职</v>
      </c>
      <c r="P2400" s="24" t="str">
        <f>IF(AND(O2400="在职",J2400="是"),COUNTIF(O$2:O2400,"在职"),"")</f>
        <v/>
      </c>
    </row>
    <row r="2401" ht="18" spans="1:16">
      <c r="A2401" s="14">
        <f t="shared" si="42"/>
        <v>2400</v>
      </c>
      <c r="B2401" s="31">
        <v>46177</v>
      </c>
      <c r="C2401" s="32" t="s">
        <v>2425</v>
      </c>
      <c r="D2401" s="120" t="s">
        <v>478</v>
      </c>
      <c r="E2401" s="33" t="s">
        <v>43</v>
      </c>
      <c r="F2401" s="18" t="s">
        <v>63</v>
      </c>
      <c r="G2401" s="18" t="s">
        <v>2181</v>
      </c>
      <c r="H2401" s="34" t="s">
        <v>85</v>
      </c>
      <c r="I2401" s="18" t="s">
        <v>114</v>
      </c>
      <c r="J2401" s="31" t="s">
        <v>105</v>
      </c>
      <c r="K2401" s="31"/>
      <c r="N2401" s="13" t="s">
        <v>30</v>
      </c>
      <c r="O2401" s="24" t="str">
        <f>IF(D2401="","",IF(COUNTIF(离职清单!C:C,D2401)&gt;0,"已离职","在职"))</f>
        <v>在职</v>
      </c>
      <c r="P2401" s="24" t="str">
        <f>IF(AND(O2401="在职",J2401="是"),COUNTIF(O$2:O2401,"在职"),"")</f>
        <v/>
      </c>
    </row>
    <row r="2402" ht="18" spans="1:16">
      <c r="A2402" s="10">
        <f t="shared" si="42"/>
        <v>2401</v>
      </c>
      <c r="B2402" s="31">
        <v>46177</v>
      </c>
      <c r="C2402" s="32" t="s">
        <v>2426</v>
      </c>
      <c r="D2402" s="120" t="s">
        <v>480</v>
      </c>
      <c r="E2402" s="33" t="s">
        <v>42</v>
      </c>
      <c r="F2402" s="18" t="s">
        <v>63</v>
      </c>
      <c r="G2402" s="18" t="s">
        <v>148</v>
      </c>
      <c r="H2402" s="34" t="s">
        <v>85</v>
      </c>
      <c r="I2402" s="18" t="s">
        <v>2154</v>
      </c>
      <c r="J2402" s="31" t="s">
        <v>105</v>
      </c>
      <c r="K2402" s="31"/>
      <c r="N2402" s="13" t="s">
        <v>30</v>
      </c>
      <c r="O2402" s="24" t="str">
        <f>IF(D2402="","",IF(COUNTIF(离职清单!C:C,D2402)&gt;0,"已离职","在职"))</f>
        <v>在职</v>
      </c>
      <c r="P2402" s="24" t="str">
        <f>IF(AND(O2402="在职",J2402="是"),COUNTIF(O$2:O2402,"在职"),"")</f>
        <v/>
      </c>
    </row>
    <row r="2403" ht="18" spans="1:16">
      <c r="A2403" s="14">
        <f t="shared" si="42"/>
        <v>2402</v>
      </c>
      <c r="B2403" s="31">
        <v>46177</v>
      </c>
      <c r="C2403" s="32" t="s">
        <v>2427</v>
      </c>
      <c r="D2403" s="120" t="s">
        <v>482</v>
      </c>
      <c r="E2403" s="33" t="s">
        <v>42</v>
      </c>
      <c r="F2403" s="18" t="s">
        <v>63</v>
      </c>
      <c r="G2403" s="18" t="s">
        <v>148</v>
      </c>
      <c r="H2403" s="34" t="s">
        <v>85</v>
      </c>
      <c r="I2403" s="18" t="s">
        <v>114</v>
      </c>
      <c r="J2403" s="31" t="s">
        <v>114</v>
      </c>
      <c r="K2403" s="31">
        <v>46179</v>
      </c>
      <c r="N2403" s="13" t="s">
        <v>30</v>
      </c>
      <c r="O2403" s="24" t="str">
        <f>IF(D2403="","",IF(COUNTIF(离职清单!C:C,D2403)&gt;0,"已离职","在职"))</f>
        <v>在职</v>
      </c>
      <c r="P2403" s="24">
        <f>IF(AND(O2403="在职",J2403="是"),COUNTIF(O$2:O2403,"在职"),"")</f>
        <v>2396</v>
      </c>
    </row>
    <row r="2404" ht="18" spans="1:16">
      <c r="A2404" s="10">
        <f t="shared" si="42"/>
        <v>2403</v>
      </c>
      <c r="B2404" s="31">
        <v>46177</v>
      </c>
      <c r="C2404" s="32" t="s">
        <v>2428</v>
      </c>
      <c r="D2404" s="120" t="s">
        <v>484</v>
      </c>
      <c r="E2404" s="33" t="s">
        <v>42</v>
      </c>
      <c r="F2404" s="18" t="s">
        <v>64</v>
      </c>
      <c r="G2404" s="18" t="s">
        <v>148</v>
      </c>
      <c r="H2404" s="34" t="s">
        <v>85</v>
      </c>
      <c r="I2404" s="18" t="s">
        <v>105</v>
      </c>
      <c r="J2404" s="31" t="s">
        <v>105</v>
      </c>
      <c r="K2404" s="31"/>
      <c r="N2404" s="13" t="s">
        <v>30</v>
      </c>
      <c r="O2404" s="28" t="str">
        <f>IF(D2404="","",IF(COUNTIF(离职清单!C:C,D2404)&gt;0,"已离职","在职"))</f>
        <v>在职</v>
      </c>
      <c r="P2404" s="28" t="str">
        <f>IF(AND(O2404="在职",J2404="是"),COUNTIF(O$2:O2404,"在职"),"")</f>
        <v/>
      </c>
    </row>
    <row r="2405" ht="18" spans="1:16">
      <c r="A2405" s="14">
        <f t="shared" si="42"/>
        <v>2404</v>
      </c>
      <c r="B2405" s="31">
        <v>46177</v>
      </c>
      <c r="C2405" s="32" t="s">
        <v>2429</v>
      </c>
      <c r="D2405" s="120" t="s">
        <v>486</v>
      </c>
      <c r="E2405" s="33" t="s">
        <v>42</v>
      </c>
      <c r="F2405" s="18" t="s">
        <v>63</v>
      </c>
      <c r="G2405" s="18" t="s">
        <v>148</v>
      </c>
      <c r="H2405" s="34" t="s">
        <v>85</v>
      </c>
      <c r="I2405" s="18" t="s">
        <v>114</v>
      </c>
      <c r="J2405" s="31" t="s">
        <v>114</v>
      </c>
      <c r="K2405" s="31">
        <v>46178</v>
      </c>
      <c r="N2405" s="13" t="s">
        <v>30</v>
      </c>
      <c r="O2405" s="28" t="str">
        <f>IF(D2405="","",IF(COUNTIF(离职清单!C:C,D2405)&gt;0,"已离职","在职"))</f>
        <v>在职</v>
      </c>
      <c r="P2405" s="28">
        <f>IF(AND(O2405="在职",J2405="是"),COUNTIF(O$2:O2405,"在职"),"")</f>
        <v>2398</v>
      </c>
    </row>
    <row r="2406" ht="18" spans="1:16">
      <c r="A2406" s="10">
        <f t="shared" si="42"/>
        <v>2405</v>
      </c>
      <c r="B2406" s="31">
        <v>46177</v>
      </c>
      <c r="C2406" s="32" t="s">
        <v>2430</v>
      </c>
      <c r="D2406" s="120" t="s">
        <v>488</v>
      </c>
      <c r="E2406" s="33" t="s">
        <v>42</v>
      </c>
      <c r="F2406" s="18" t="s">
        <v>64</v>
      </c>
      <c r="G2406" s="18" t="s">
        <v>148</v>
      </c>
      <c r="H2406" s="34" t="s">
        <v>85</v>
      </c>
      <c r="I2406" s="18" t="s">
        <v>2154</v>
      </c>
      <c r="J2406" s="31" t="s">
        <v>105</v>
      </c>
      <c r="K2406" s="31"/>
      <c r="N2406" s="13" t="s">
        <v>30</v>
      </c>
      <c r="O2406" s="28" t="str">
        <f>IF(D2406="","",IF(COUNTIF(离职清单!C:C,D2406)&gt;0,"已离职","在职"))</f>
        <v>在职</v>
      </c>
      <c r="P2406" s="28" t="str">
        <f>IF(AND(O2406="在职",J2406="是"),COUNTIF(O$2:O2406,"在职"),"")</f>
        <v/>
      </c>
    </row>
    <row r="2407" ht="18" spans="1:16">
      <c r="A2407" s="14">
        <f t="shared" si="42"/>
        <v>2406</v>
      </c>
      <c r="B2407" s="31">
        <v>46177</v>
      </c>
      <c r="C2407" s="32" t="s">
        <v>2431</v>
      </c>
      <c r="D2407" s="120" t="s">
        <v>490</v>
      </c>
      <c r="E2407" s="33" t="s">
        <v>42</v>
      </c>
      <c r="F2407" s="18" t="s">
        <v>64</v>
      </c>
      <c r="G2407" s="18" t="s">
        <v>148</v>
      </c>
      <c r="H2407" s="34" t="s">
        <v>85</v>
      </c>
      <c r="I2407" s="18" t="s">
        <v>2154</v>
      </c>
      <c r="J2407" s="31" t="s">
        <v>105</v>
      </c>
      <c r="K2407" s="31"/>
      <c r="N2407" s="13" t="s">
        <v>30</v>
      </c>
      <c r="O2407" s="28" t="str">
        <f>IF(D2407="","",IF(COUNTIF(离职清单!C:C,D2407)&gt;0,"已离职","在职"))</f>
        <v>在职</v>
      </c>
      <c r="P2407" s="28" t="str">
        <f>IF(AND(O2407="在职",J2407="是"),COUNTIF(O$2:O2407,"在职"),"")</f>
        <v/>
      </c>
    </row>
    <row r="2408" ht="18" spans="1:16">
      <c r="A2408" s="10">
        <f t="shared" si="42"/>
        <v>2407</v>
      </c>
      <c r="B2408" s="31">
        <v>46177</v>
      </c>
      <c r="C2408" s="32" t="s">
        <v>1899</v>
      </c>
      <c r="D2408" s="120" t="s">
        <v>492</v>
      </c>
      <c r="E2408" s="33" t="s">
        <v>42</v>
      </c>
      <c r="F2408" s="18" t="s">
        <v>63</v>
      </c>
      <c r="G2408" s="18" t="s">
        <v>148</v>
      </c>
      <c r="H2408" s="34" t="s">
        <v>85</v>
      </c>
      <c r="I2408" s="18" t="s">
        <v>114</v>
      </c>
      <c r="J2408" s="31" t="s">
        <v>114</v>
      </c>
      <c r="K2408" s="31">
        <v>46179</v>
      </c>
      <c r="N2408" s="13" t="s">
        <v>30</v>
      </c>
      <c r="O2408" s="28" t="str">
        <f>IF(D2408="","",IF(COUNTIF(离职清单!C:C,D2408)&gt;0,"已离职","在职"))</f>
        <v>在职</v>
      </c>
      <c r="P2408" s="28">
        <f>IF(AND(O2408="在职",J2408="是"),COUNTIF(O$2:O2408,"在职"),"")</f>
        <v>2401</v>
      </c>
    </row>
    <row r="2409" ht="18" spans="1:16">
      <c r="A2409" s="14">
        <f t="shared" si="42"/>
        <v>2408</v>
      </c>
      <c r="B2409" s="31">
        <v>46177</v>
      </c>
      <c r="C2409" s="32" t="s">
        <v>2432</v>
      </c>
      <c r="D2409" s="120" t="s">
        <v>477</v>
      </c>
      <c r="E2409" s="33" t="s">
        <v>42</v>
      </c>
      <c r="F2409" s="18" t="s">
        <v>63</v>
      </c>
      <c r="G2409" s="18" t="s">
        <v>148</v>
      </c>
      <c r="H2409" s="34" t="s">
        <v>85</v>
      </c>
      <c r="I2409" s="18" t="s">
        <v>2154</v>
      </c>
      <c r="J2409" s="31" t="s">
        <v>105</v>
      </c>
      <c r="K2409" s="31"/>
      <c r="N2409" s="13" t="s">
        <v>30</v>
      </c>
      <c r="O2409" s="28" t="str">
        <f>IF(D2409="","",IF(COUNTIF(离职清单!C:C,D2409)&gt;0,"已离职","在职"))</f>
        <v>在职</v>
      </c>
      <c r="P2409" s="28" t="str">
        <f>IF(AND(O2409="在职",J2409="是"),COUNTIF(O$2:O2409,"在职"),"")</f>
        <v/>
      </c>
    </row>
    <row r="2410" ht="18" spans="1:16">
      <c r="A2410" s="10">
        <f t="shared" si="42"/>
        <v>2409</v>
      </c>
      <c r="B2410" s="31">
        <v>46177</v>
      </c>
      <c r="C2410" s="32" t="s">
        <v>2433</v>
      </c>
      <c r="D2410" s="120" t="s">
        <v>478</v>
      </c>
      <c r="E2410" s="33" t="s">
        <v>42</v>
      </c>
      <c r="F2410" s="18" t="s">
        <v>64</v>
      </c>
      <c r="G2410" s="18" t="s">
        <v>148</v>
      </c>
      <c r="H2410" s="34" t="s">
        <v>85</v>
      </c>
      <c r="I2410" s="18" t="s">
        <v>114</v>
      </c>
      <c r="J2410" s="31" t="s">
        <v>105</v>
      </c>
      <c r="K2410" s="31"/>
      <c r="N2410" s="13" t="s">
        <v>30</v>
      </c>
      <c r="O2410" s="28" t="str">
        <f>IF(D2410="","",IF(COUNTIF(离职清单!C:C,D2410)&gt;0,"已离职","在职"))</f>
        <v>在职</v>
      </c>
      <c r="P2410" s="28" t="str">
        <f>IF(AND(O2410="在职",J2410="是"),COUNTIF(O$2:O2410,"在职"),"")</f>
        <v/>
      </c>
    </row>
    <row r="2411" ht="18" spans="1:16">
      <c r="A2411" s="14">
        <f t="shared" si="42"/>
        <v>2410</v>
      </c>
      <c r="B2411" s="31">
        <v>46177</v>
      </c>
      <c r="C2411" s="32" t="s">
        <v>2434</v>
      </c>
      <c r="D2411" s="120" t="s">
        <v>480</v>
      </c>
      <c r="E2411" s="33" t="s">
        <v>42</v>
      </c>
      <c r="F2411" s="18" t="s">
        <v>64</v>
      </c>
      <c r="G2411" s="18" t="s">
        <v>148</v>
      </c>
      <c r="H2411" s="34" t="s">
        <v>85</v>
      </c>
      <c r="I2411" s="18" t="s">
        <v>114</v>
      </c>
      <c r="J2411" s="31" t="s">
        <v>105</v>
      </c>
      <c r="K2411" s="31"/>
      <c r="N2411" s="13" t="s">
        <v>30</v>
      </c>
      <c r="O2411" s="28" t="str">
        <f>IF(D2411="","",IF(COUNTIF(离职清单!C:C,D2411)&gt;0,"已离职","在职"))</f>
        <v>在职</v>
      </c>
      <c r="P2411" s="28" t="str">
        <f>IF(AND(O2411="在职",J2411="是"),COUNTIF(O$2:O2411,"在职"),"")</f>
        <v/>
      </c>
    </row>
    <row r="2412" ht="18" spans="1:16">
      <c r="A2412" s="10">
        <f t="shared" ref="A2412:A2475" si="43">IF(B2412&lt;&gt;"",ROW()-1,"")</f>
        <v>2411</v>
      </c>
      <c r="B2412" s="31">
        <v>46177</v>
      </c>
      <c r="C2412" s="32" t="s">
        <v>2435</v>
      </c>
      <c r="D2412" s="120" t="s">
        <v>482</v>
      </c>
      <c r="E2412" s="33" t="s">
        <v>42</v>
      </c>
      <c r="F2412" s="18" t="s">
        <v>64</v>
      </c>
      <c r="G2412" s="18" t="s">
        <v>148</v>
      </c>
      <c r="H2412" s="34" t="s">
        <v>85</v>
      </c>
      <c r="I2412" s="18" t="s">
        <v>114</v>
      </c>
      <c r="J2412" s="31" t="s">
        <v>105</v>
      </c>
      <c r="K2412" s="31"/>
      <c r="N2412" s="13" t="s">
        <v>30</v>
      </c>
      <c r="O2412" s="28" t="str">
        <f>IF(D2412="","",IF(COUNTIF(离职清单!C:C,D2412)&gt;0,"已离职","在职"))</f>
        <v>在职</v>
      </c>
      <c r="P2412" s="28" t="str">
        <f>IF(AND(O2412="在职",J2412="是"),COUNTIF(O$2:O2412,"在职"),"")</f>
        <v/>
      </c>
    </row>
    <row r="2413" ht="18" spans="1:16">
      <c r="A2413" s="14">
        <f t="shared" si="43"/>
        <v>2412</v>
      </c>
      <c r="B2413" s="31">
        <v>46177</v>
      </c>
      <c r="C2413" s="32" t="s">
        <v>2436</v>
      </c>
      <c r="D2413" s="120" t="s">
        <v>484</v>
      </c>
      <c r="E2413" s="33" t="s">
        <v>42</v>
      </c>
      <c r="F2413" s="18" t="s">
        <v>64</v>
      </c>
      <c r="G2413" s="18" t="s">
        <v>148</v>
      </c>
      <c r="H2413" s="34" t="s">
        <v>85</v>
      </c>
      <c r="I2413" s="18" t="s">
        <v>114</v>
      </c>
      <c r="J2413" s="31" t="s">
        <v>105</v>
      </c>
      <c r="K2413" s="31"/>
      <c r="N2413" s="13" t="s">
        <v>30</v>
      </c>
      <c r="O2413" s="28" t="str">
        <f>IF(D2413="","",IF(COUNTIF(离职清单!C:C,D2413)&gt;0,"已离职","在职"))</f>
        <v>在职</v>
      </c>
      <c r="P2413" s="28" t="str">
        <f>IF(AND(O2413="在职",J2413="是"),COUNTIF(O$2:O2413,"在职"),"")</f>
        <v/>
      </c>
    </row>
    <row r="2414" ht="18" spans="1:16">
      <c r="A2414" s="10">
        <f t="shared" si="43"/>
        <v>2413</v>
      </c>
      <c r="B2414" s="31">
        <v>46177</v>
      </c>
      <c r="C2414" s="32" t="s">
        <v>2437</v>
      </c>
      <c r="D2414" s="120" t="s">
        <v>486</v>
      </c>
      <c r="E2414" s="33" t="s">
        <v>42</v>
      </c>
      <c r="F2414" s="18" t="s">
        <v>63</v>
      </c>
      <c r="G2414" s="18" t="s">
        <v>148</v>
      </c>
      <c r="H2414" s="34" t="s">
        <v>85</v>
      </c>
      <c r="I2414" s="18" t="s">
        <v>114</v>
      </c>
      <c r="J2414" s="31" t="s">
        <v>105</v>
      </c>
      <c r="K2414" s="31"/>
      <c r="N2414" s="13" t="s">
        <v>30</v>
      </c>
      <c r="O2414" s="28" t="str">
        <f>IF(D2414="","",IF(COUNTIF(离职清单!C:C,D2414)&gt;0,"已离职","在职"))</f>
        <v>在职</v>
      </c>
      <c r="P2414" s="28" t="str">
        <f>IF(AND(O2414="在职",J2414="是"),COUNTIF(O$2:O2414,"在职"),"")</f>
        <v/>
      </c>
    </row>
    <row r="2415" ht="18" spans="1:16">
      <c r="A2415" s="14">
        <f t="shared" si="43"/>
        <v>2414</v>
      </c>
      <c r="B2415" s="31">
        <v>46177</v>
      </c>
      <c r="C2415" s="32" t="s">
        <v>2438</v>
      </c>
      <c r="D2415" s="120" t="s">
        <v>488</v>
      </c>
      <c r="E2415" s="33" t="s">
        <v>42</v>
      </c>
      <c r="F2415" s="18" t="s">
        <v>62</v>
      </c>
      <c r="G2415" s="18" t="s">
        <v>148</v>
      </c>
      <c r="H2415" s="34" t="s">
        <v>85</v>
      </c>
      <c r="I2415" s="18" t="s">
        <v>105</v>
      </c>
      <c r="J2415" s="31" t="s">
        <v>105</v>
      </c>
      <c r="K2415" s="31"/>
      <c r="N2415" s="13" t="s">
        <v>30</v>
      </c>
      <c r="O2415" s="28" t="str">
        <f>IF(D2415="","",IF(COUNTIF(离职清单!C:C,D2415)&gt;0,"已离职","在职"))</f>
        <v>在职</v>
      </c>
      <c r="P2415" s="28" t="str">
        <f>IF(AND(O2415="在职",J2415="是"),COUNTIF(O$2:O2415,"在职"),"")</f>
        <v/>
      </c>
    </row>
    <row r="2416" ht="18" spans="1:16">
      <c r="A2416" s="10">
        <f t="shared" si="43"/>
        <v>2415</v>
      </c>
      <c r="B2416" s="31">
        <v>46177</v>
      </c>
      <c r="C2416" s="32" t="s">
        <v>2439</v>
      </c>
      <c r="D2416" s="120" t="s">
        <v>490</v>
      </c>
      <c r="E2416" s="33" t="s">
        <v>42</v>
      </c>
      <c r="F2416" s="18" t="s">
        <v>63</v>
      </c>
      <c r="G2416" s="18" t="s">
        <v>148</v>
      </c>
      <c r="H2416" s="34" t="s">
        <v>85</v>
      </c>
      <c r="I2416" s="18" t="s">
        <v>105</v>
      </c>
      <c r="J2416" s="31" t="s">
        <v>105</v>
      </c>
      <c r="K2416" s="31"/>
      <c r="N2416" s="13" t="s">
        <v>30</v>
      </c>
      <c r="O2416" s="28" t="str">
        <f>IF(D2416="","",IF(COUNTIF(离职清单!C:C,D2416)&gt;0,"已离职","在职"))</f>
        <v>在职</v>
      </c>
      <c r="P2416" s="28" t="str">
        <f>IF(AND(O2416="在职",J2416="是"),COUNTIF(O$2:O2416,"在职"),"")</f>
        <v/>
      </c>
    </row>
    <row r="2417" ht="18" spans="1:16">
      <c r="A2417" s="14">
        <f t="shared" si="43"/>
        <v>2416</v>
      </c>
      <c r="B2417" s="31">
        <v>46177</v>
      </c>
      <c r="C2417" s="32" t="s">
        <v>2440</v>
      </c>
      <c r="D2417" s="120" t="s">
        <v>492</v>
      </c>
      <c r="E2417" s="33" t="s">
        <v>42</v>
      </c>
      <c r="F2417" s="18" t="s">
        <v>64</v>
      </c>
      <c r="G2417" s="18" t="s">
        <v>148</v>
      </c>
      <c r="H2417" s="34" t="s">
        <v>85</v>
      </c>
      <c r="I2417" s="18" t="s">
        <v>114</v>
      </c>
      <c r="J2417" s="31" t="s">
        <v>105</v>
      </c>
      <c r="K2417" s="31"/>
      <c r="N2417" s="13" t="s">
        <v>30</v>
      </c>
      <c r="O2417" s="28" t="str">
        <f>IF(D2417="","",IF(COUNTIF(离职清单!C:C,D2417)&gt;0,"已离职","在职"))</f>
        <v>在职</v>
      </c>
      <c r="P2417" s="28" t="str">
        <f>IF(AND(O2417="在职",J2417="是"),COUNTIF(O$2:O2417,"在职"),"")</f>
        <v/>
      </c>
    </row>
    <row r="2418" ht="18" spans="1:16">
      <c r="A2418" s="10">
        <f t="shared" si="43"/>
        <v>2417</v>
      </c>
      <c r="B2418" s="31">
        <v>46177</v>
      </c>
      <c r="C2418" s="32" t="s">
        <v>2441</v>
      </c>
      <c r="D2418" s="120" t="s">
        <v>477</v>
      </c>
      <c r="E2418" s="33" t="s">
        <v>42</v>
      </c>
      <c r="F2418" s="18" t="s">
        <v>62</v>
      </c>
      <c r="G2418" s="18" t="s">
        <v>2232</v>
      </c>
      <c r="H2418" s="34" t="s">
        <v>85</v>
      </c>
      <c r="I2418" s="18" t="s">
        <v>2154</v>
      </c>
      <c r="J2418" s="31" t="s">
        <v>105</v>
      </c>
      <c r="K2418" s="31"/>
      <c r="N2418" s="13" t="s">
        <v>30</v>
      </c>
      <c r="O2418" s="28" t="str">
        <f>IF(D2418="","",IF(COUNTIF(离职清单!C:C,D2418)&gt;0,"已离职","在职"))</f>
        <v>在职</v>
      </c>
      <c r="P2418" s="28" t="str">
        <f>IF(AND(O2418="在职",J2418="是"),COUNTIF(O$2:O2418,"在职"),"")</f>
        <v/>
      </c>
    </row>
    <row r="2419" ht="18" spans="1:16">
      <c r="A2419" s="14">
        <f t="shared" si="43"/>
        <v>2418</v>
      </c>
      <c r="B2419" s="31">
        <v>46177</v>
      </c>
      <c r="C2419" s="32" t="s">
        <v>2305</v>
      </c>
      <c r="D2419" s="120" t="s">
        <v>478</v>
      </c>
      <c r="E2419" s="33" t="s">
        <v>42</v>
      </c>
      <c r="F2419" s="18" t="s">
        <v>62</v>
      </c>
      <c r="G2419" s="18" t="s">
        <v>2232</v>
      </c>
      <c r="H2419" s="34" t="s">
        <v>85</v>
      </c>
      <c r="I2419" s="18" t="s">
        <v>2154</v>
      </c>
      <c r="J2419" s="31" t="s">
        <v>105</v>
      </c>
      <c r="K2419" s="31"/>
      <c r="N2419" s="13" t="s">
        <v>30</v>
      </c>
      <c r="O2419" s="28" t="str">
        <f>IF(D2419="","",IF(COUNTIF(离职清单!C:C,D2419)&gt;0,"已离职","在职"))</f>
        <v>在职</v>
      </c>
      <c r="P2419" s="28" t="str">
        <f>IF(AND(O2419="在职",J2419="是"),COUNTIF(O$2:O2419,"在职"),"")</f>
        <v/>
      </c>
    </row>
    <row r="2420" ht="18" spans="1:16">
      <c r="A2420" s="10">
        <f t="shared" si="43"/>
        <v>2419</v>
      </c>
      <c r="B2420" s="31">
        <v>46177</v>
      </c>
      <c r="C2420" s="32" t="s">
        <v>2442</v>
      </c>
      <c r="D2420" s="120" t="s">
        <v>480</v>
      </c>
      <c r="E2420" s="33" t="s">
        <v>42</v>
      </c>
      <c r="F2420" s="18" t="s">
        <v>63</v>
      </c>
      <c r="G2420" s="18" t="s">
        <v>2232</v>
      </c>
      <c r="H2420" s="34" t="s">
        <v>85</v>
      </c>
      <c r="I2420" s="18" t="s">
        <v>114</v>
      </c>
      <c r="J2420" s="31" t="s">
        <v>114</v>
      </c>
      <c r="K2420" s="31">
        <v>46182</v>
      </c>
      <c r="N2420" s="13" t="s">
        <v>30</v>
      </c>
      <c r="O2420" s="28" t="str">
        <f>IF(D2420="","",IF(COUNTIF(离职清单!C:C,D2420)&gt;0,"已离职","在职"))</f>
        <v>在职</v>
      </c>
      <c r="P2420" s="28">
        <f>IF(AND(O2420="在职",J2420="是"),COUNTIF(O$2:O2420,"在职"),"")</f>
        <v>2413</v>
      </c>
    </row>
    <row r="2421" ht="18" spans="1:16">
      <c r="A2421" s="14">
        <f t="shared" si="43"/>
        <v>2420</v>
      </c>
      <c r="B2421" s="31">
        <v>46177</v>
      </c>
      <c r="C2421" s="32" t="s">
        <v>2443</v>
      </c>
      <c r="D2421" s="120" t="s">
        <v>482</v>
      </c>
      <c r="E2421" s="33" t="s">
        <v>42</v>
      </c>
      <c r="F2421" s="18" t="s">
        <v>63</v>
      </c>
      <c r="G2421" s="18" t="s">
        <v>2195</v>
      </c>
      <c r="H2421" s="34" t="s">
        <v>85</v>
      </c>
      <c r="I2421" s="18" t="s">
        <v>114</v>
      </c>
      <c r="J2421" s="31" t="s">
        <v>114</v>
      </c>
      <c r="K2421" s="31">
        <v>46178</v>
      </c>
      <c r="N2421" s="13" t="s">
        <v>30</v>
      </c>
      <c r="O2421" s="28" t="str">
        <f>IF(D2421="","",IF(COUNTIF(离职清单!C:C,D2421)&gt;0,"已离职","在职"))</f>
        <v>在职</v>
      </c>
      <c r="P2421" s="28">
        <f>IF(AND(O2421="在职",J2421="是"),COUNTIF(O$2:O2421,"在职"),"")</f>
        <v>2414</v>
      </c>
    </row>
    <row r="2422" ht="18" spans="1:16">
      <c r="A2422" s="10">
        <f t="shared" si="43"/>
        <v>2421</v>
      </c>
      <c r="B2422" s="31">
        <v>46177</v>
      </c>
      <c r="C2422" s="32" t="s">
        <v>2264</v>
      </c>
      <c r="D2422" s="120" t="s">
        <v>484</v>
      </c>
      <c r="E2422" s="33" t="s">
        <v>42</v>
      </c>
      <c r="F2422" s="18" t="s">
        <v>62</v>
      </c>
      <c r="G2422" s="18" t="s">
        <v>129</v>
      </c>
      <c r="H2422" s="34" t="s">
        <v>85</v>
      </c>
      <c r="I2422" s="18" t="s">
        <v>114</v>
      </c>
      <c r="J2422" s="31" t="s">
        <v>114</v>
      </c>
      <c r="K2422" s="31">
        <v>46179</v>
      </c>
      <c r="N2422" s="13" t="s">
        <v>30</v>
      </c>
      <c r="O2422" s="28" t="str">
        <f>IF(D2422="","",IF(COUNTIF(离职清单!C:C,D2422)&gt;0,"已离职","在职"))</f>
        <v>在职</v>
      </c>
      <c r="P2422" s="28">
        <f>IF(AND(O2422="在职",J2422="是"),COUNTIF(O$2:O2422,"在职"),"")</f>
        <v>2415</v>
      </c>
    </row>
    <row r="2423" ht="18" spans="1:16">
      <c r="A2423" s="14">
        <f t="shared" si="43"/>
        <v>2422</v>
      </c>
      <c r="B2423" s="31">
        <v>46177</v>
      </c>
      <c r="C2423" s="32" t="s">
        <v>2444</v>
      </c>
      <c r="D2423" s="120" t="s">
        <v>486</v>
      </c>
      <c r="E2423" s="33" t="s">
        <v>42</v>
      </c>
      <c r="F2423" s="18" t="s">
        <v>63</v>
      </c>
      <c r="G2423" s="18" t="s">
        <v>129</v>
      </c>
      <c r="H2423" s="34" t="s">
        <v>85</v>
      </c>
      <c r="I2423" s="18" t="s">
        <v>114</v>
      </c>
      <c r="J2423" s="31" t="s">
        <v>114</v>
      </c>
      <c r="K2423" s="31">
        <v>46178</v>
      </c>
      <c r="N2423" s="13" t="s">
        <v>30</v>
      </c>
      <c r="O2423" s="28" t="str">
        <f>IF(D2423="","",IF(COUNTIF(离职清单!C:C,D2423)&gt;0,"已离职","在职"))</f>
        <v>在职</v>
      </c>
      <c r="P2423" s="28">
        <f>IF(AND(O2423="在职",J2423="是"),COUNTIF(O$2:O2423,"在职"),"")</f>
        <v>2416</v>
      </c>
    </row>
    <row r="2424" ht="18" spans="1:16">
      <c r="A2424" s="10">
        <f t="shared" si="43"/>
        <v>2423</v>
      </c>
      <c r="B2424" s="31">
        <v>46177</v>
      </c>
      <c r="C2424" s="32" t="s">
        <v>2445</v>
      </c>
      <c r="D2424" s="120" t="s">
        <v>488</v>
      </c>
      <c r="E2424" s="33" t="s">
        <v>42</v>
      </c>
      <c r="F2424" s="18" t="s">
        <v>63</v>
      </c>
      <c r="G2424" s="18" t="s">
        <v>129</v>
      </c>
      <c r="H2424" s="34" t="s">
        <v>85</v>
      </c>
      <c r="I2424" s="18" t="s">
        <v>2154</v>
      </c>
      <c r="J2424" s="31" t="s">
        <v>105</v>
      </c>
      <c r="K2424" s="31"/>
      <c r="N2424" s="13" t="s">
        <v>30</v>
      </c>
      <c r="O2424" s="28" t="str">
        <f>IF(D2424="","",IF(COUNTIF(离职清单!C:C,D2424)&gt;0,"已离职","在职"))</f>
        <v>在职</v>
      </c>
      <c r="P2424" s="28" t="str">
        <f>IF(AND(O2424="在职",J2424="是"),COUNTIF(O$2:O2424,"在职"),"")</f>
        <v/>
      </c>
    </row>
    <row r="2425" ht="18" spans="1:16">
      <c r="A2425" s="14">
        <f t="shared" si="43"/>
        <v>2424</v>
      </c>
      <c r="B2425" s="31">
        <v>46177</v>
      </c>
      <c r="C2425" s="32" t="s">
        <v>2446</v>
      </c>
      <c r="D2425" s="120" t="s">
        <v>490</v>
      </c>
      <c r="E2425" s="33" t="s">
        <v>42</v>
      </c>
      <c r="F2425" s="18" t="s">
        <v>63</v>
      </c>
      <c r="G2425" s="18" t="s">
        <v>129</v>
      </c>
      <c r="H2425" s="34" t="s">
        <v>85</v>
      </c>
      <c r="I2425" s="18" t="s">
        <v>114</v>
      </c>
      <c r="J2425" s="31" t="s">
        <v>114</v>
      </c>
      <c r="K2425" s="31">
        <v>46178</v>
      </c>
      <c r="N2425" s="13" t="s">
        <v>30</v>
      </c>
      <c r="O2425" s="28" t="str">
        <f>IF(D2425="","",IF(COUNTIF(离职清单!C:C,D2425)&gt;0,"已离职","在职"))</f>
        <v>在职</v>
      </c>
      <c r="P2425" s="28">
        <f>IF(AND(O2425="在职",J2425="是"),COUNTIF(O$2:O2425,"在职"),"")</f>
        <v>2418</v>
      </c>
    </row>
    <row r="2426" ht="18" spans="1:16">
      <c r="A2426" s="10">
        <f t="shared" si="43"/>
        <v>2425</v>
      </c>
      <c r="B2426" s="31">
        <v>46177</v>
      </c>
      <c r="C2426" s="32" t="s">
        <v>2447</v>
      </c>
      <c r="D2426" s="120" t="s">
        <v>492</v>
      </c>
      <c r="E2426" s="33" t="s">
        <v>42</v>
      </c>
      <c r="F2426" s="18" t="s">
        <v>63</v>
      </c>
      <c r="G2426" s="18" t="s">
        <v>129</v>
      </c>
      <c r="H2426" s="34" t="s">
        <v>85</v>
      </c>
      <c r="I2426" s="18" t="s">
        <v>2154</v>
      </c>
      <c r="J2426" s="31" t="s">
        <v>105</v>
      </c>
      <c r="K2426" s="31"/>
      <c r="N2426" s="13" t="s">
        <v>30</v>
      </c>
      <c r="O2426" s="28" t="str">
        <f>IF(D2426="","",IF(COUNTIF(离职清单!C:C,D2426)&gt;0,"已离职","在职"))</f>
        <v>在职</v>
      </c>
      <c r="P2426" s="28" t="str">
        <f>IF(AND(O2426="在职",J2426="是"),COUNTIF(O$2:O2426,"在职"),"")</f>
        <v/>
      </c>
    </row>
    <row r="2427" ht="18" spans="1:16">
      <c r="A2427" s="14">
        <f t="shared" si="43"/>
        <v>2426</v>
      </c>
      <c r="B2427" s="31">
        <v>46177</v>
      </c>
      <c r="C2427" s="32" t="s">
        <v>2304</v>
      </c>
      <c r="D2427" s="120" t="s">
        <v>477</v>
      </c>
      <c r="E2427" s="33" t="s">
        <v>42</v>
      </c>
      <c r="F2427" s="18" t="s">
        <v>63</v>
      </c>
      <c r="G2427" s="18" t="s">
        <v>2232</v>
      </c>
      <c r="H2427" s="34" t="s">
        <v>85</v>
      </c>
      <c r="I2427" s="18" t="s">
        <v>105</v>
      </c>
      <c r="J2427" s="31" t="s">
        <v>105</v>
      </c>
      <c r="K2427" s="31"/>
      <c r="N2427" s="13" t="s">
        <v>30</v>
      </c>
      <c r="O2427" s="28" t="str">
        <f>IF(D2427="","",IF(COUNTIF(离职清单!C:C,D2427)&gt;0,"已离职","在职"))</f>
        <v>在职</v>
      </c>
      <c r="P2427" s="28" t="str">
        <f>IF(AND(O2427="在职",J2427="是"),COUNTIF(O$2:O2427,"在职"),"")</f>
        <v/>
      </c>
    </row>
    <row r="2428" ht="18" spans="1:16">
      <c r="A2428" s="10">
        <f t="shared" si="43"/>
        <v>2427</v>
      </c>
      <c r="B2428" s="31">
        <v>46177</v>
      </c>
      <c r="C2428" s="32" t="s">
        <v>2264</v>
      </c>
      <c r="D2428" s="120" t="s">
        <v>478</v>
      </c>
      <c r="E2428" s="33" t="s">
        <v>42</v>
      </c>
      <c r="F2428" s="18" t="s">
        <v>63</v>
      </c>
      <c r="G2428" s="18" t="s">
        <v>2181</v>
      </c>
      <c r="H2428" s="34" t="s">
        <v>85</v>
      </c>
      <c r="I2428" s="18" t="s">
        <v>2154</v>
      </c>
      <c r="J2428" s="31" t="s">
        <v>105</v>
      </c>
      <c r="K2428" s="31"/>
      <c r="N2428" s="13" t="s">
        <v>30</v>
      </c>
      <c r="O2428" s="28" t="str">
        <f>IF(D2428="","",IF(COUNTIF(离职清单!C:C,D2428)&gt;0,"已离职","在职"))</f>
        <v>在职</v>
      </c>
      <c r="P2428" s="28" t="str">
        <f>IF(AND(O2428="在职",J2428="是"),COUNTIF(O$2:O2428,"在职"),"")</f>
        <v/>
      </c>
    </row>
    <row r="2429" ht="18" spans="1:16">
      <c r="A2429" s="14">
        <f t="shared" si="43"/>
        <v>2428</v>
      </c>
      <c r="B2429" s="31">
        <v>46177</v>
      </c>
      <c r="C2429" s="32" t="s">
        <v>2448</v>
      </c>
      <c r="D2429" s="120" t="s">
        <v>480</v>
      </c>
      <c r="E2429" s="33" t="s">
        <v>42</v>
      </c>
      <c r="F2429" s="18" t="s">
        <v>63</v>
      </c>
      <c r="G2429" s="18" t="s">
        <v>2195</v>
      </c>
      <c r="H2429" s="34" t="s">
        <v>85</v>
      </c>
      <c r="I2429" s="18" t="s">
        <v>105</v>
      </c>
      <c r="J2429" s="31" t="s">
        <v>105</v>
      </c>
      <c r="K2429" s="31"/>
      <c r="N2429" s="13" t="s">
        <v>30</v>
      </c>
      <c r="O2429" s="28" t="str">
        <f>IF(D2429="","",IF(COUNTIF(离职清单!C:C,D2429)&gt;0,"已离职","在职"))</f>
        <v>在职</v>
      </c>
      <c r="P2429" s="28" t="str">
        <f>IF(AND(O2429="在职",J2429="是"),COUNTIF(O$2:O2429,"在职"),"")</f>
        <v/>
      </c>
    </row>
    <row r="2430" ht="18" spans="1:16">
      <c r="A2430" s="10">
        <f t="shared" si="43"/>
        <v>2429</v>
      </c>
      <c r="B2430" s="31">
        <v>46177</v>
      </c>
      <c r="C2430" s="32" t="s">
        <v>2449</v>
      </c>
      <c r="D2430" s="120" t="s">
        <v>482</v>
      </c>
      <c r="E2430" s="33" t="s">
        <v>42</v>
      </c>
      <c r="F2430" s="18" t="s">
        <v>63</v>
      </c>
      <c r="G2430" s="18" t="s">
        <v>2179</v>
      </c>
      <c r="H2430" s="34" t="s">
        <v>85</v>
      </c>
      <c r="I2430" s="18" t="s">
        <v>105</v>
      </c>
      <c r="J2430" s="31" t="s">
        <v>105</v>
      </c>
      <c r="K2430" s="31"/>
      <c r="N2430" s="13" t="s">
        <v>30</v>
      </c>
      <c r="O2430" s="28" t="str">
        <f>IF(D2430="","",IF(COUNTIF(离职清单!C:C,D2430)&gt;0,"已离职","在职"))</f>
        <v>在职</v>
      </c>
      <c r="P2430" s="28" t="str">
        <f>IF(AND(O2430="在职",J2430="是"),COUNTIF(O$2:O2430,"在职"),"")</f>
        <v/>
      </c>
    </row>
    <row r="2431" ht="18" spans="1:16">
      <c r="A2431" s="14">
        <f t="shared" si="43"/>
        <v>2430</v>
      </c>
      <c r="B2431" s="31">
        <v>46177</v>
      </c>
      <c r="C2431" s="32" t="s">
        <v>2450</v>
      </c>
      <c r="D2431" s="120" t="s">
        <v>484</v>
      </c>
      <c r="E2431" s="33" t="s">
        <v>42</v>
      </c>
      <c r="F2431" s="18" t="s">
        <v>63</v>
      </c>
      <c r="G2431" s="18" t="s">
        <v>2195</v>
      </c>
      <c r="H2431" s="34" t="s">
        <v>85</v>
      </c>
      <c r="I2431" s="18" t="s">
        <v>114</v>
      </c>
      <c r="J2431" s="31" t="s">
        <v>114</v>
      </c>
      <c r="K2431" s="31">
        <v>46178</v>
      </c>
      <c r="N2431" s="13" t="s">
        <v>30</v>
      </c>
      <c r="O2431" s="28" t="str">
        <f>IF(D2431="","",IF(COUNTIF(离职清单!C:C,D2431)&gt;0,"已离职","在职"))</f>
        <v>在职</v>
      </c>
      <c r="P2431" s="28">
        <f>IF(AND(O2431="在职",J2431="是"),COUNTIF(O$2:O2431,"在职"),"")</f>
        <v>2424</v>
      </c>
    </row>
    <row r="2432" ht="18" spans="1:16">
      <c r="A2432" s="10">
        <f t="shared" si="43"/>
        <v>2431</v>
      </c>
      <c r="B2432" s="31">
        <v>46177</v>
      </c>
      <c r="C2432" s="32" t="s">
        <v>2223</v>
      </c>
      <c r="D2432" s="120" t="s">
        <v>486</v>
      </c>
      <c r="E2432" s="33" t="s">
        <v>42</v>
      </c>
      <c r="F2432" s="18" t="s">
        <v>64</v>
      </c>
      <c r="G2432" s="18" t="s">
        <v>2195</v>
      </c>
      <c r="H2432" s="34" t="s">
        <v>85</v>
      </c>
      <c r="I2432" s="18" t="s">
        <v>2154</v>
      </c>
      <c r="J2432" s="31" t="s">
        <v>105</v>
      </c>
      <c r="K2432" s="31"/>
      <c r="N2432" s="13" t="s">
        <v>30</v>
      </c>
      <c r="O2432" s="28" t="str">
        <f>IF(D2432="","",IF(COUNTIF(离职清单!C:C,D2432)&gt;0,"已离职","在职"))</f>
        <v>在职</v>
      </c>
      <c r="P2432" s="28" t="str">
        <f>IF(AND(O2432="在职",J2432="是"),COUNTIF(O$2:O2432,"在职"),"")</f>
        <v/>
      </c>
    </row>
    <row r="2433" ht="18" spans="1:16">
      <c r="A2433" s="14">
        <f t="shared" si="43"/>
        <v>2432</v>
      </c>
      <c r="B2433" s="31">
        <v>46177</v>
      </c>
      <c r="C2433" s="32" t="s">
        <v>2451</v>
      </c>
      <c r="D2433" s="120" t="s">
        <v>488</v>
      </c>
      <c r="E2433" s="33" t="s">
        <v>42</v>
      </c>
      <c r="F2433" s="18" t="s">
        <v>63</v>
      </c>
      <c r="G2433" s="18" t="s">
        <v>2232</v>
      </c>
      <c r="H2433" s="34" t="s">
        <v>85</v>
      </c>
      <c r="I2433" s="18" t="s">
        <v>2154</v>
      </c>
      <c r="J2433" s="31" t="s">
        <v>105</v>
      </c>
      <c r="K2433" s="31"/>
      <c r="N2433" s="13" t="s">
        <v>30</v>
      </c>
      <c r="O2433" s="28" t="str">
        <f>IF(D2433="","",IF(COUNTIF(离职清单!C:C,D2433)&gt;0,"已离职","在职"))</f>
        <v>在职</v>
      </c>
      <c r="P2433" s="28" t="str">
        <f>IF(AND(O2433="在职",J2433="是"),COUNTIF(O$2:O2433,"在职"),"")</f>
        <v/>
      </c>
    </row>
    <row r="2434" ht="18" spans="1:16">
      <c r="A2434" s="10">
        <f t="shared" si="43"/>
        <v>2433</v>
      </c>
      <c r="B2434" s="31">
        <v>46177</v>
      </c>
      <c r="C2434" s="32" t="s">
        <v>2341</v>
      </c>
      <c r="D2434" s="120" t="s">
        <v>490</v>
      </c>
      <c r="E2434" s="33" t="s">
        <v>42</v>
      </c>
      <c r="F2434" s="18" t="s">
        <v>63</v>
      </c>
      <c r="G2434" s="18" t="s">
        <v>2221</v>
      </c>
      <c r="H2434" s="34" t="s">
        <v>85</v>
      </c>
      <c r="I2434" s="18" t="s">
        <v>114</v>
      </c>
      <c r="J2434" s="31" t="s">
        <v>105</v>
      </c>
      <c r="K2434" s="31"/>
      <c r="N2434" s="13" t="s">
        <v>30</v>
      </c>
      <c r="O2434" s="28" t="str">
        <f>IF(D2434="","",IF(COUNTIF(离职清单!C:C,D2434)&gt;0,"已离职","在职"))</f>
        <v>在职</v>
      </c>
      <c r="P2434" s="28" t="str">
        <f>IF(AND(O2434="在职",J2434="是"),COUNTIF(O$2:O2434,"在职"),"")</f>
        <v/>
      </c>
    </row>
    <row r="2435" ht="18" spans="1:16">
      <c r="A2435" s="14">
        <f t="shared" si="43"/>
        <v>2434</v>
      </c>
      <c r="B2435" s="31">
        <v>46177</v>
      </c>
      <c r="C2435" s="32" t="s">
        <v>2452</v>
      </c>
      <c r="D2435" s="120" t="s">
        <v>492</v>
      </c>
      <c r="E2435" s="33" t="s">
        <v>42</v>
      </c>
      <c r="F2435" s="18" t="s">
        <v>64</v>
      </c>
      <c r="G2435" s="18" t="s">
        <v>1511</v>
      </c>
      <c r="H2435" s="34" t="s">
        <v>85</v>
      </c>
      <c r="I2435" s="18" t="s">
        <v>114</v>
      </c>
      <c r="J2435" s="31" t="s">
        <v>105</v>
      </c>
      <c r="K2435" s="31"/>
      <c r="N2435" s="13" t="s">
        <v>30</v>
      </c>
      <c r="O2435" s="28" t="str">
        <f>IF(D2435="","",IF(COUNTIF(离职清单!C:C,D2435)&gt;0,"已离职","在职"))</f>
        <v>在职</v>
      </c>
      <c r="P2435" s="28" t="str">
        <f>IF(AND(O2435="在职",J2435="是"),COUNTIF(O$2:O2435,"在职"),"")</f>
        <v/>
      </c>
    </row>
    <row r="2436" ht="18" spans="1:16">
      <c r="A2436" s="10">
        <f t="shared" si="43"/>
        <v>2435</v>
      </c>
      <c r="B2436" s="31">
        <v>46177</v>
      </c>
      <c r="C2436" s="32" t="s">
        <v>2253</v>
      </c>
      <c r="D2436" s="120" t="s">
        <v>477</v>
      </c>
      <c r="E2436" s="33" t="s">
        <v>42</v>
      </c>
      <c r="F2436" s="18" t="s">
        <v>64</v>
      </c>
      <c r="G2436" s="18" t="s">
        <v>1511</v>
      </c>
      <c r="H2436" s="34" t="s">
        <v>85</v>
      </c>
      <c r="I2436" s="18" t="s">
        <v>114</v>
      </c>
      <c r="J2436" s="31" t="s">
        <v>105</v>
      </c>
      <c r="K2436" s="31"/>
      <c r="N2436" s="13" t="s">
        <v>30</v>
      </c>
      <c r="O2436" s="28" t="str">
        <f>IF(D2436="","",IF(COUNTIF(离职清单!C:C,D2436)&gt;0,"已离职","在职"))</f>
        <v>在职</v>
      </c>
      <c r="P2436" s="28" t="str">
        <f>IF(AND(O2436="在职",J2436="是"),COUNTIF(O$2:O2436,"在职"),"")</f>
        <v/>
      </c>
    </row>
    <row r="2437" ht="18" spans="1:16">
      <c r="A2437" s="14">
        <f t="shared" si="43"/>
        <v>2436</v>
      </c>
      <c r="B2437" s="31">
        <v>46177</v>
      </c>
      <c r="C2437" s="32" t="s">
        <v>2453</v>
      </c>
      <c r="D2437" s="120" t="s">
        <v>477</v>
      </c>
      <c r="E2437" s="33" t="s">
        <v>42</v>
      </c>
      <c r="F2437" s="18" t="s">
        <v>62</v>
      </c>
      <c r="G2437" s="18" t="s">
        <v>2349</v>
      </c>
      <c r="H2437" s="34" t="s">
        <v>85</v>
      </c>
      <c r="I2437" s="18" t="s">
        <v>114</v>
      </c>
      <c r="J2437" s="31" t="s">
        <v>114</v>
      </c>
      <c r="K2437" s="31">
        <v>46180</v>
      </c>
      <c r="N2437" s="13" t="s">
        <v>30</v>
      </c>
      <c r="O2437" s="28" t="str">
        <f>IF(D2437="","",IF(COUNTIF(离职清单!C:C,D2437)&gt;0,"已离职","在职"))</f>
        <v>在职</v>
      </c>
      <c r="P2437" s="28">
        <f>IF(AND(O2437="在职",J2437="是"),COUNTIF(O$2:O2437,"在职"),"")</f>
        <v>2430</v>
      </c>
    </row>
    <row r="2438" ht="18" spans="1:16">
      <c r="A2438" s="10">
        <f t="shared" si="43"/>
        <v>2437</v>
      </c>
      <c r="B2438" s="31">
        <v>46177</v>
      </c>
      <c r="C2438" s="32" t="s">
        <v>2454</v>
      </c>
      <c r="D2438" s="120" t="s">
        <v>478</v>
      </c>
      <c r="E2438" s="33" t="s">
        <v>42</v>
      </c>
      <c r="F2438" s="18" t="s">
        <v>64</v>
      </c>
      <c r="G2438" s="18" t="s">
        <v>124</v>
      </c>
      <c r="H2438" s="34" t="s">
        <v>85</v>
      </c>
      <c r="I2438" s="18" t="s">
        <v>114</v>
      </c>
      <c r="J2438" s="31" t="s">
        <v>105</v>
      </c>
      <c r="K2438" s="31"/>
      <c r="N2438" s="13" t="s">
        <v>30</v>
      </c>
      <c r="O2438" s="28" t="str">
        <f>IF(D2438="","",IF(COUNTIF(离职清单!C:C,D2438)&gt;0,"已离职","在职"))</f>
        <v>在职</v>
      </c>
      <c r="P2438" s="28" t="str">
        <f>IF(AND(O2438="在职",J2438="是"),COUNTIF(O$2:O2438,"在职"),"")</f>
        <v/>
      </c>
    </row>
    <row r="2439" ht="18" spans="1:16">
      <c r="A2439" s="14">
        <f t="shared" si="43"/>
        <v>2438</v>
      </c>
      <c r="B2439" s="31">
        <v>46177</v>
      </c>
      <c r="C2439" s="32" t="s">
        <v>2455</v>
      </c>
      <c r="D2439" s="120" t="s">
        <v>480</v>
      </c>
      <c r="E2439" s="33" t="s">
        <v>42</v>
      </c>
      <c r="F2439" s="18" t="s">
        <v>62</v>
      </c>
      <c r="G2439" s="18" t="s">
        <v>124</v>
      </c>
      <c r="H2439" s="34" t="s">
        <v>85</v>
      </c>
      <c r="I2439" s="18" t="s">
        <v>114</v>
      </c>
      <c r="J2439" s="31" t="s">
        <v>114</v>
      </c>
      <c r="K2439" s="31">
        <v>46179</v>
      </c>
      <c r="N2439" s="13" t="s">
        <v>30</v>
      </c>
      <c r="O2439" s="28" t="str">
        <f>IF(D2439="","",IF(COUNTIF(离职清单!C:C,D2439)&gt;0,"已离职","在职"))</f>
        <v>在职</v>
      </c>
      <c r="P2439" s="28">
        <f>IF(AND(O2439="在职",J2439="是"),COUNTIF(O$2:O2439,"在职"),"")</f>
        <v>2432</v>
      </c>
    </row>
    <row r="2440" ht="18" spans="1:16">
      <c r="A2440" s="10">
        <f t="shared" si="43"/>
        <v>2439</v>
      </c>
      <c r="B2440" s="31">
        <v>46177</v>
      </c>
      <c r="C2440" s="32" t="s">
        <v>2456</v>
      </c>
      <c r="D2440" s="120" t="s">
        <v>482</v>
      </c>
      <c r="E2440" s="33" t="s">
        <v>42</v>
      </c>
      <c r="F2440" s="18" t="s">
        <v>62</v>
      </c>
      <c r="G2440" s="18" t="s">
        <v>124</v>
      </c>
      <c r="H2440" s="34" t="s">
        <v>85</v>
      </c>
      <c r="I2440" s="18" t="s">
        <v>114</v>
      </c>
      <c r="J2440" s="31" t="s">
        <v>114</v>
      </c>
      <c r="K2440" s="31">
        <v>46178</v>
      </c>
      <c r="N2440" s="13" t="s">
        <v>30</v>
      </c>
      <c r="O2440" s="28" t="str">
        <f>IF(D2440="","",IF(COUNTIF(离职清单!C:C,D2440)&gt;0,"已离职","在职"))</f>
        <v>在职</v>
      </c>
      <c r="P2440" s="28">
        <f>IF(AND(O2440="在职",J2440="是"),COUNTIF(O$2:O2440,"在职"),"")</f>
        <v>2433</v>
      </c>
    </row>
    <row r="2441" ht="18" spans="1:16">
      <c r="A2441" s="14">
        <f t="shared" si="43"/>
        <v>2440</v>
      </c>
      <c r="B2441" s="31">
        <v>46177</v>
      </c>
      <c r="C2441" s="32" t="s">
        <v>2457</v>
      </c>
      <c r="D2441" s="120" t="s">
        <v>484</v>
      </c>
      <c r="E2441" s="33" t="s">
        <v>42</v>
      </c>
      <c r="F2441" s="18" t="s">
        <v>64</v>
      </c>
      <c r="G2441" s="18" t="s">
        <v>124</v>
      </c>
      <c r="H2441" s="34" t="s">
        <v>85</v>
      </c>
      <c r="I2441" s="18" t="s">
        <v>114</v>
      </c>
      <c r="J2441" s="31" t="s">
        <v>114</v>
      </c>
      <c r="K2441" s="31">
        <v>46178</v>
      </c>
      <c r="N2441" s="13" t="s">
        <v>30</v>
      </c>
      <c r="O2441" s="28" t="str">
        <f>IF(D2441="","",IF(COUNTIF(离职清单!C:C,D2441)&gt;0,"已离职","在职"))</f>
        <v>在职</v>
      </c>
      <c r="P2441" s="28">
        <f>IF(AND(O2441="在职",J2441="是"),COUNTIF(O$2:O2441,"在职"),"")</f>
        <v>2434</v>
      </c>
    </row>
    <row r="2442" ht="18" spans="1:16">
      <c r="A2442" s="10">
        <f t="shared" si="43"/>
        <v>2441</v>
      </c>
      <c r="B2442" s="31">
        <v>46177</v>
      </c>
      <c r="C2442" s="32" t="s">
        <v>2458</v>
      </c>
      <c r="D2442" s="120" t="s">
        <v>486</v>
      </c>
      <c r="E2442" s="33" t="s">
        <v>42</v>
      </c>
      <c r="F2442" s="18" t="s">
        <v>62</v>
      </c>
      <c r="G2442" s="18" t="s">
        <v>124</v>
      </c>
      <c r="H2442" s="34" t="s">
        <v>85</v>
      </c>
      <c r="I2442" s="18" t="s">
        <v>114</v>
      </c>
      <c r="J2442" s="31" t="s">
        <v>105</v>
      </c>
      <c r="K2442" s="31"/>
      <c r="N2442" s="13" t="s">
        <v>30</v>
      </c>
      <c r="O2442" s="28" t="str">
        <f>IF(D2442="","",IF(COUNTIF(离职清单!C:C,D2442)&gt;0,"已离职","在职"))</f>
        <v>在职</v>
      </c>
      <c r="P2442" s="28" t="str">
        <f>IF(AND(O2442="在职",J2442="是"),COUNTIF(O$2:O2442,"在职"),"")</f>
        <v/>
      </c>
    </row>
    <row r="2443" ht="18" spans="1:16">
      <c r="A2443" s="14">
        <f t="shared" si="43"/>
        <v>2442</v>
      </c>
      <c r="B2443" s="31">
        <v>46177</v>
      </c>
      <c r="C2443" s="32" t="s">
        <v>2459</v>
      </c>
      <c r="D2443" s="120" t="s">
        <v>488</v>
      </c>
      <c r="E2443" s="33" t="s">
        <v>42</v>
      </c>
      <c r="F2443" s="18" t="s">
        <v>64</v>
      </c>
      <c r="G2443" s="18" t="s">
        <v>124</v>
      </c>
      <c r="H2443" s="34" t="s">
        <v>85</v>
      </c>
      <c r="I2443" s="18" t="s">
        <v>114</v>
      </c>
      <c r="J2443" s="31" t="s">
        <v>105</v>
      </c>
      <c r="K2443" s="31"/>
      <c r="N2443" s="13" t="s">
        <v>30</v>
      </c>
      <c r="O2443" s="28" t="str">
        <f>IF(D2443="","",IF(COUNTIF(离职清单!C:C,D2443)&gt;0,"已离职","在职"))</f>
        <v>在职</v>
      </c>
      <c r="P2443" s="28" t="str">
        <f>IF(AND(O2443="在职",J2443="是"),COUNTIF(O$2:O2443,"在职"),"")</f>
        <v/>
      </c>
    </row>
    <row r="2444" ht="18" spans="1:16">
      <c r="A2444" s="10">
        <f t="shared" si="43"/>
        <v>2443</v>
      </c>
      <c r="B2444" s="31">
        <v>46177</v>
      </c>
      <c r="C2444" s="32" t="s">
        <v>2460</v>
      </c>
      <c r="D2444" s="120" t="s">
        <v>490</v>
      </c>
      <c r="E2444" s="33" t="s">
        <v>42</v>
      </c>
      <c r="F2444" s="18" t="s">
        <v>63</v>
      </c>
      <c r="G2444" s="18" t="s">
        <v>1511</v>
      </c>
      <c r="H2444" s="34" t="s">
        <v>85</v>
      </c>
      <c r="I2444" s="18" t="s">
        <v>2154</v>
      </c>
      <c r="J2444" s="31" t="s">
        <v>105</v>
      </c>
      <c r="K2444" s="31"/>
      <c r="N2444" s="13" t="s">
        <v>30</v>
      </c>
      <c r="O2444" s="28" t="str">
        <f>IF(D2444="","",IF(COUNTIF(离职清单!C:C,D2444)&gt;0,"已离职","在职"))</f>
        <v>在职</v>
      </c>
      <c r="P2444" s="28" t="str">
        <f>IF(AND(O2444="在职",J2444="是"),COUNTIF(O$2:O2444,"在职"),"")</f>
        <v/>
      </c>
    </row>
    <row r="2445" ht="18" spans="1:16">
      <c r="A2445" s="14">
        <f t="shared" si="43"/>
        <v>2444</v>
      </c>
      <c r="B2445" s="31">
        <v>46177</v>
      </c>
      <c r="C2445" s="32" t="s">
        <v>2392</v>
      </c>
      <c r="D2445" s="120" t="s">
        <v>492</v>
      </c>
      <c r="E2445" s="33" t="s">
        <v>42</v>
      </c>
      <c r="F2445" s="18" t="s">
        <v>62</v>
      </c>
      <c r="G2445" s="18" t="s">
        <v>2153</v>
      </c>
      <c r="H2445" s="34" t="s">
        <v>85</v>
      </c>
      <c r="I2445" s="18" t="s">
        <v>2154</v>
      </c>
      <c r="J2445" s="31" t="s">
        <v>105</v>
      </c>
      <c r="K2445" s="31"/>
      <c r="N2445" s="13" t="s">
        <v>30</v>
      </c>
      <c r="O2445" s="28" t="str">
        <f>IF(D2445="","",IF(COUNTIF(离职清单!C:C,D2445)&gt;0,"已离职","在职"))</f>
        <v>在职</v>
      </c>
      <c r="P2445" s="28" t="str">
        <f>IF(AND(O2445="在职",J2445="是"),COUNTIF(O$2:O2445,"在职"),"")</f>
        <v/>
      </c>
    </row>
    <row r="2446" ht="18" spans="1:16">
      <c r="A2446" s="10">
        <f t="shared" si="43"/>
        <v>2445</v>
      </c>
      <c r="B2446" s="31">
        <v>46177</v>
      </c>
      <c r="C2446" s="32" t="s">
        <v>2304</v>
      </c>
      <c r="D2446" s="120" t="s">
        <v>477</v>
      </c>
      <c r="E2446" s="33" t="s">
        <v>42</v>
      </c>
      <c r="F2446" s="18" t="s">
        <v>63</v>
      </c>
      <c r="G2446" s="18" t="s">
        <v>2153</v>
      </c>
      <c r="H2446" s="34" t="s">
        <v>85</v>
      </c>
      <c r="I2446" s="18" t="s">
        <v>2154</v>
      </c>
      <c r="J2446" s="31" t="s">
        <v>105</v>
      </c>
      <c r="K2446" s="31"/>
      <c r="N2446" s="13" t="s">
        <v>30</v>
      </c>
      <c r="O2446" s="28" t="str">
        <f>IF(D2446="","",IF(COUNTIF(离职清单!C:C,D2446)&gt;0,"已离职","在职"))</f>
        <v>在职</v>
      </c>
      <c r="P2446" s="28" t="str">
        <f>IF(AND(O2446="在职",J2446="是"),COUNTIF(O$2:O2446,"在职"),"")</f>
        <v/>
      </c>
    </row>
    <row r="2447" ht="18" spans="1:16">
      <c r="A2447" s="14">
        <f t="shared" si="43"/>
        <v>2446</v>
      </c>
      <c r="B2447" s="31">
        <v>46177</v>
      </c>
      <c r="C2447" s="32" t="s">
        <v>2461</v>
      </c>
      <c r="D2447" s="120" t="s">
        <v>478</v>
      </c>
      <c r="E2447" s="33" t="s">
        <v>42</v>
      </c>
      <c r="F2447" s="18" t="s">
        <v>63</v>
      </c>
      <c r="G2447" s="18" t="s">
        <v>2153</v>
      </c>
      <c r="H2447" s="34" t="s">
        <v>85</v>
      </c>
      <c r="I2447" s="18" t="s">
        <v>2154</v>
      </c>
      <c r="J2447" s="31" t="s">
        <v>105</v>
      </c>
      <c r="K2447" s="31"/>
      <c r="N2447" s="13" t="s">
        <v>30</v>
      </c>
      <c r="O2447" s="28" t="str">
        <f>IF(D2447="","",IF(COUNTIF(离职清单!C:C,D2447)&gt;0,"已离职","在职"))</f>
        <v>在职</v>
      </c>
      <c r="P2447" s="28" t="str">
        <f>IF(AND(O2447="在职",J2447="是"),COUNTIF(O$2:O2447,"在职"),"")</f>
        <v/>
      </c>
    </row>
    <row r="2448" ht="18" spans="1:16">
      <c r="A2448" s="10">
        <f t="shared" si="43"/>
        <v>2447</v>
      </c>
      <c r="B2448" s="31">
        <v>46177</v>
      </c>
      <c r="C2448" s="32" t="s">
        <v>2462</v>
      </c>
      <c r="D2448" s="120" t="s">
        <v>480</v>
      </c>
      <c r="E2448" s="33" t="s">
        <v>42</v>
      </c>
      <c r="F2448" s="18" t="s">
        <v>63</v>
      </c>
      <c r="G2448" s="18" t="s">
        <v>2250</v>
      </c>
      <c r="H2448" s="34" t="s">
        <v>85</v>
      </c>
      <c r="I2448" s="18" t="s">
        <v>2154</v>
      </c>
      <c r="J2448" s="31" t="s">
        <v>105</v>
      </c>
      <c r="K2448" s="31"/>
      <c r="N2448" s="13" t="s">
        <v>30</v>
      </c>
      <c r="O2448" s="28" t="str">
        <f>IF(D2448="","",IF(COUNTIF(离职清单!C:C,D2448)&gt;0,"已离职","在职"))</f>
        <v>在职</v>
      </c>
      <c r="P2448" s="28" t="str">
        <f>IF(AND(O2448="在职",J2448="是"),COUNTIF(O$2:O2448,"在职"),"")</f>
        <v/>
      </c>
    </row>
    <row r="2449" ht="18" spans="1:16">
      <c r="A2449" s="14">
        <f t="shared" si="43"/>
        <v>2448</v>
      </c>
      <c r="B2449" s="31">
        <v>46177</v>
      </c>
      <c r="C2449" s="32" t="s">
        <v>2463</v>
      </c>
      <c r="D2449" s="120" t="s">
        <v>482</v>
      </c>
      <c r="E2449" s="33" t="s">
        <v>42</v>
      </c>
      <c r="F2449" s="18" t="s">
        <v>64</v>
      </c>
      <c r="G2449" s="18" t="s">
        <v>2250</v>
      </c>
      <c r="H2449" s="34" t="s">
        <v>85</v>
      </c>
      <c r="I2449" s="18" t="s">
        <v>105</v>
      </c>
      <c r="J2449" s="31" t="s">
        <v>105</v>
      </c>
      <c r="K2449" s="31"/>
      <c r="N2449" s="13" t="s">
        <v>30</v>
      </c>
      <c r="O2449" s="28" t="str">
        <f>IF(D2449="","",IF(COUNTIF(离职清单!C:C,D2449)&gt;0,"已离职","在职"))</f>
        <v>在职</v>
      </c>
      <c r="P2449" s="28" t="str">
        <f>IF(AND(O2449="在职",J2449="是"),COUNTIF(O$2:O2449,"在职"),"")</f>
        <v/>
      </c>
    </row>
    <row r="2450" ht="18" spans="1:16">
      <c r="A2450" s="10">
        <f t="shared" si="43"/>
        <v>2449</v>
      </c>
      <c r="B2450" s="31">
        <v>46177</v>
      </c>
      <c r="C2450" s="32" t="s">
        <v>2464</v>
      </c>
      <c r="D2450" s="120" t="s">
        <v>484</v>
      </c>
      <c r="E2450" s="33" t="s">
        <v>42</v>
      </c>
      <c r="F2450" s="18" t="s">
        <v>62</v>
      </c>
      <c r="G2450" s="18" t="s">
        <v>124</v>
      </c>
      <c r="H2450" s="34" t="s">
        <v>85</v>
      </c>
      <c r="I2450" s="18" t="s">
        <v>105</v>
      </c>
      <c r="J2450" s="31" t="s">
        <v>105</v>
      </c>
      <c r="K2450" s="31"/>
      <c r="N2450" s="13" t="s">
        <v>30</v>
      </c>
      <c r="O2450" s="28" t="str">
        <f>IF(D2450="","",IF(COUNTIF(离职清单!C:C,D2450)&gt;0,"已离职","在职"))</f>
        <v>在职</v>
      </c>
      <c r="P2450" s="28" t="str">
        <f>IF(AND(O2450="在职",J2450="是"),COUNTIF(O$2:O2450,"在职"),"")</f>
        <v/>
      </c>
    </row>
    <row r="2451" ht="18" spans="1:16">
      <c r="A2451" s="14">
        <f t="shared" si="43"/>
        <v>2450</v>
      </c>
      <c r="B2451" s="31">
        <v>46177</v>
      </c>
      <c r="C2451" s="32" t="s">
        <v>2465</v>
      </c>
      <c r="D2451" s="120" t="s">
        <v>486</v>
      </c>
      <c r="E2451" s="33" t="s">
        <v>42</v>
      </c>
      <c r="F2451" s="18" t="s">
        <v>62</v>
      </c>
      <c r="G2451" s="18" t="s">
        <v>2156</v>
      </c>
      <c r="H2451" s="34" t="s">
        <v>85</v>
      </c>
      <c r="I2451" s="18" t="s">
        <v>2154</v>
      </c>
      <c r="J2451" s="31" t="s">
        <v>105</v>
      </c>
      <c r="K2451" s="31"/>
      <c r="N2451" s="13" t="s">
        <v>30</v>
      </c>
      <c r="O2451" s="28" t="str">
        <f>IF(D2451="","",IF(COUNTIF(离职清单!C:C,D2451)&gt;0,"已离职","在职"))</f>
        <v>在职</v>
      </c>
      <c r="P2451" s="28" t="str">
        <f>IF(AND(O2451="在职",J2451="是"),COUNTIF(O$2:O2451,"在职"),"")</f>
        <v/>
      </c>
    </row>
    <row r="2452" ht="18" spans="1:16">
      <c r="A2452" s="10">
        <f t="shared" si="43"/>
        <v>2451</v>
      </c>
      <c r="B2452" s="31">
        <v>46177</v>
      </c>
      <c r="C2452" s="32" t="s">
        <v>2466</v>
      </c>
      <c r="D2452" s="120" t="s">
        <v>488</v>
      </c>
      <c r="E2452" s="33" t="s">
        <v>42</v>
      </c>
      <c r="F2452" s="18" t="s">
        <v>63</v>
      </c>
      <c r="G2452" s="18" t="s">
        <v>2156</v>
      </c>
      <c r="H2452" s="34" t="s">
        <v>85</v>
      </c>
      <c r="I2452" s="18" t="s">
        <v>2154</v>
      </c>
      <c r="J2452" s="31" t="s">
        <v>105</v>
      </c>
      <c r="K2452" s="31"/>
      <c r="N2452" s="13" t="s">
        <v>30</v>
      </c>
      <c r="O2452" s="28" t="str">
        <f>IF(D2452="","",IF(COUNTIF(离职清单!C:C,D2452)&gt;0,"已离职","在职"))</f>
        <v>在职</v>
      </c>
      <c r="P2452" s="28" t="str">
        <f>IF(AND(O2452="在职",J2452="是"),COUNTIF(O$2:O2452,"在职"),"")</f>
        <v/>
      </c>
    </row>
    <row r="2453" ht="18" spans="1:16">
      <c r="A2453" s="14">
        <f t="shared" si="43"/>
        <v>2452</v>
      </c>
      <c r="B2453" s="31">
        <v>46177</v>
      </c>
      <c r="C2453" s="32" t="s">
        <v>2467</v>
      </c>
      <c r="D2453" s="120" t="s">
        <v>490</v>
      </c>
      <c r="E2453" s="33" t="s">
        <v>43</v>
      </c>
      <c r="F2453" s="18" t="s">
        <v>62</v>
      </c>
      <c r="G2453" s="18" t="s">
        <v>2179</v>
      </c>
      <c r="H2453" s="34" t="s">
        <v>85</v>
      </c>
      <c r="I2453" s="18" t="s">
        <v>114</v>
      </c>
      <c r="J2453" s="31" t="s">
        <v>105</v>
      </c>
      <c r="K2453" s="31"/>
      <c r="N2453" s="13" t="s">
        <v>30</v>
      </c>
      <c r="O2453" s="28" t="str">
        <f>IF(D2453="","",IF(COUNTIF(离职清单!C:C,D2453)&gt;0,"已离职","在职"))</f>
        <v>在职</v>
      </c>
      <c r="P2453" s="28" t="str">
        <f>IF(AND(O2453="在职",J2453="是"),COUNTIF(O$2:O2453,"在职"),"")</f>
        <v/>
      </c>
    </row>
    <row r="2454" ht="18" spans="1:16">
      <c r="A2454" s="10">
        <f t="shared" si="43"/>
        <v>2453</v>
      </c>
      <c r="B2454" s="31">
        <v>46177</v>
      </c>
      <c r="C2454" s="32" t="s">
        <v>2468</v>
      </c>
      <c r="D2454" s="120" t="s">
        <v>492</v>
      </c>
      <c r="E2454" s="33" t="s">
        <v>43</v>
      </c>
      <c r="F2454" s="18" t="s">
        <v>64</v>
      </c>
      <c r="G2454" s="18" t="s">
        <v>2370</v>
      </c>
      <c r="H2454" s="34" t="s">
        <v>85</v>
      </c>
      <c r="I2454" s="18" t="s">
        <v>114</v>
      </c>
      <c r="J2454" s="31" t="s">
        <v>114</v>
      </c>
      <c r="K2454" s="31">
        <v>46178</v>
      </c>
      <c r="N2454" s="13" t="s">
        <v>30</v>
      </c>
      <c r="O2454" s="28" t="str">
        <f>IF(D2454="","",IF(COUNTIF(离职清单!C:C,D2454)&gt;0,"已离职","在职"))</f>
        <v>在职</v>
      </c>
      <c r="P2454" s="28">
        <f>IF(AND(O2454="在职",J2454="是"),COUNTIF(O$2:O2454,"在职"),"")</f>
        <v>2447</v>
      </c>
    </row>
    <row r="2455" ht="18" spans="1:16">
      <c r="A2455" s="14">
        <f t="shared" si="43"/>
        <v>2454</v>
      </c>
      <c r="B2455" s="31">
        <v>46177</v>
      </c>
      <c r="C2455" s="32" t="s">
        <v>2469</v>
      </c>
      <c r="D2455" s="120" t="s">
        <v>477</v>
      </c>
      <c r="E2455" s="33" t="s">
        <v>43</v>
      </c>
      <c r="F2455" s="18" t="s">
        <v>63</v>
      </c>
      <c r="G2455" s="18" t="s">
        <v>148</v>
      </c>
      <c r="H2455" s="34" t="s">
        <v>85</v>
      </c>
      <c r="I2455" s="18" t="s">
        <v>2154</v>
      </c>
      <c r="J2455" s="31" t="s">
        <v>105</v>
      </c>
      <c r="K2455" s="31"/>
      <c r="N2455" s="13" t="s">
        <v>30</v>
      </c>
      <c r="O2455" s="28" t="str">
        <f>IF(D2455="","",IF(COUNTIF(离职清单!C:C,D2455)&gt;0,"已离职","在职"))</f>
        <v>在职</v>
      </c>
      <c r="P2455" s="28" t="str">
        <f>IF(AND(O2455="在职",J2455="是"),COUNTIF(O$2:O2455,"在职"),"")</f>
        <v/>
      </c>
    </row>
    <row r="2456" ht="18" spans="1:16">
      <c r="A2456" s="10">
        <f t="shared" si="43"/>
        <v>2455</v>
      </c>
      <c r="B2456" s="31">
        <v>46177</v>
      </c>
      <c r="C2456" s="32" t="s">
        <v>2470</v>
      </c>
      <c r="D2456" s="120" t="s">
        <v>478</v>
      </c>
      <c r="E2456" s="33" t="s">
        <v>43</v>
      </c>
      <c r="F2456" s="18" t="s">
        <v>62</v>
      </c>
      <c r="G2456" s="18" t="s">
        <v>148</v>
      </c>
      <c r="H2456" s="34" t="s">
        <v>85</v>
      </c>
      <c r="I2456" s="18" t="s">
        <v>2154</v>
      </c>
      <c r="J2456" s="31" t="s">
        <v>105</v>
      </c>
      <c r="K2456" s="31"/>
      <c r="N2456" s="13" t="s">
        <v>30</v>
      </c>
      <c r="O2456" s="28" t="str">
        <f>IF(D2456="","",IF(COUNTIF(离职清单!C:C,D2456)&gt;0,"已离职","在职"))</f>
        <v>在职</v>
      </c>
      <c r="P2456" s="28" t="str">
        <f>IF(AND(O2456="在职",J2456="是"),COUNTIF(O$2:O2456,"在职"),"")</f>
        <v/>
      </c>
    </row>
    <row r="2457" ht="18" spans="1:16">
      <c r="A2457" s="14">
        <f t="shared" si="43"/>
        <v>2456</v>
      </c>
      <c r="B2457" s="31">
        <v>46177</v>
      </c>
      <c r="C2457" s="32" t="s">
        <v>1973</v>
      </c>
      <c r="D2457" s="120" t="s">
        <v>480</v>
      </c>
      <c r="E2457" s="33" t="s">
        <v>43</v>
      </c>
      <c r="F2457" s="18" t="s">
        <v>63</v>
      </c>
      <c r="G2457" s="18" t="s">
        <v>2250</v>
      </c>
      <c r="H2457" s="34" t="s">
        <v>85</v>
      </c>
      <c r="I2457" s="18" t="s">
        <v>114</v>
      </c>
      <c r="J2457" s="31" t="s">
        <v>114</v>
      </c>
      <c r="K2457" s="31">
        <v>46178</v>
      </c>
      <c r="N2457" s="13" t="s">
        <v>30</v>
      </c>
      <c r="O2457" s="28" t="str">
        <f>IF(D2457="","",IF(COUNTIF(离职清单!C:C,D2457)&gt;0,"已离职","在职"))</f>
        <v>在职</v>
      </c>
      <c r="P2457" s="28">
        <f>IF(AND(O2457="在职",J2457="是"),COUNTIF(O$2:O2457,"在职"),"")</f>
        <v>2450</v>
      </c>
    </row>
    <row r="2458" ht="18" spans="1:16">
      <c r="A2458" s="10">
        <f t="shared" si="43"/>
        <v>2457</v>
      </c>
      <c r="B2458" s="31">
        <v>46177</v>
      </c>
      <c r="C2458" s="32" t="s">
        <v>2471</v>
      </c>
      <c r="D2458" s="120" t="s">
        <v>482</v>
      </c>
      <c r="E2458" s="33" t="s">
        <v>43</v>
      </c>
      <c r="F2458" s="18" t="s">
        <v>63</v>
      </c>
      <c r="G2458" s="18" t="s">
        <v>2250</v>
      </c>
      <c r="H2458" s="34" t="s">
        <v>85</v>
      </c>
      <c r="I2458" s="18" t="s">
        <v>114</v>
      </c>
      <c r="J2458" s="31" t="s">
        <v>114</v>
      </c>
      <c r="K2458" s="31">
        <v>46178</v>
      </c>
      <c r="N2458" s="13" t="s">
        <v>30</v>
      </c>
      <c r="O2458" s="28" t="str">
        <f>IF(D2458="","",IF(COUNTIF(离职清单!C:C,D2458)&gt;0,"已离职","在职"))</f>
        <v>在职</v>
      </c>
      <c r="P2458" s="28">
        <f>IF(AND(O2458="在职",J2458="是"),COUNTIF(O$2:O2458,"在职"),"")</f>
        <v>2451</v>
      </c>
    </row>
    <row r="2459" ht="18" spans="1:16">
      <c r="A2459" s="14">
        <f t="shared" si="43"/>
        <v>2458</v>
      </c>
      <c r="B2459" s="31">
        <v>46177</v>
      </c>
      <c r="C2459" s="32" t="s">
        <v>2162</v>
      </c>
      <c r="D2459" s="120" t="s">
        <v>484</v>
      </c>
      <c r="E2459" s="33" t="s">
        <v>43</v>
      </c>
      <c r="F2459" s="18" t="s">
        <v>64</v>
      </c>
      <c r="G2459" s="18" t="s">
        <v>148</v>
      </c>
      <c r="H2459" s="34" t="s">
        <v>85</v>
      </c>
      <c r="I2459" s="18" t="s">
        <v>114</v>
      </c>
      <c r="J2459" s="31" t="s">
        <v>114</v>
      </c>
      <c r="K2459" s="31">
        <v>46179</v>
      </c>
      <c r="N2459" s="13" t="s">
        <v>30</v>
      </c>
      <c r="O2459" s="28" t="str">
        <f>IF(D2459="","",IF(COUNTIF(离职清单!C:C,D2459)&gt;0,"已离职","在职"))</f>
        <v>在职</v>
      </c>
      <c r="P2459" s="28">
        <f>IF(AND(O2459="在职",J2459="是"),COUNTIF(O$2:O2459,"在职"),"")</f>
        <v>2452</v>
      </c>
    </row>
    <row r="2460" ht="18" spans="1:16">
      <c r="A2460" s="10">
        <f t="shared" si="43"/>
        <v>2459</v>
      </c>
      <c r="B2460" s="31">
        <v>46177</v>
      </c>
      <c r="C2460" s="32" t="s">
        <v>2472</v>
      </c>
      <c r="D2460" s="120" t="s">
        <v>486</v>
      </c>
      <c r="E2460" s="33" t="s">
        <v>43</v>
      </c>
      <c r="F2460" s="18" t="s">
        <v>63</v>
      </c>
      <c r="G2460" s="18" t="s">
        <v>148</v>
      </c>
      <c r="H2460" s="34" t="s">
        <v>85</v>
      </c>
      <c r="I2460" s="18" t="s">
        <v>114</v>
      </c>
      <c r="J2460" s="31" t="s">
        <v>105</v>
      </c>
      <c r="K2460" s="31"/>
      <c r="N2460" s="13" t="s">
        <v>30</v>
      </c>
      <c r="O2460" s="28" t="str">
        <f>IF(D2460="","",IF(COUNTIF(离职清单!C:C,D2460)&gt;0,"已离职","在职"))</f>
        <v>在职</v>
      </c>
      <c r="P2460" s="28" t="str">
        <f>IF(AND(O2460="在职",J2460="是"),COUNTIF(O$2:O2460,"在职"),"")</f>
        <v/>
      </c>
    </row>
    <row r="2461" ht="18" spans="1:16">
      <c r="A2461" s="14">
        <f t="shared" si="43"/>
        <v>2460</v>
      </c>
      <c r="B2461" s="31">
        <v>46177</v>
      </c>
      <c r="C2461" s="32" t="s">
        <v>2417</v>
      </c>
      <c r="D2461" s="120" t="s">
        <v>488</v>
      </c>
      <c r="E2461" s="33" t="s">
        <v>43</v>
      </c>
      <c r="F2461" s="18" t="s">
        <v>63</v>
      </c>
      <c r="G2461" s="18" t="s">
        <v>148</v>
      </c>
      <c r="H2461" s="34" t="s">
        <v>85</v>
      </c>
      <c r="I2461" s="18" t="s">
        <v>2154</v>
      </c>
      <c r="J2461" s="31" t="s">
        <v>105</v>
      </c>
      <c r="K2461" s="31"/>
      <c r="N2461" s="13" t="s">
        <v>30</v>
      </c>
      <c r="O2461" s="28" t="str">
        <f>IF(D2461="","",IF(COUNTIF(离职清单!C:C,D2461)&gt;0,"已离职","在职"))</f>
        <v>在职</v>
      </c>
      <c r="P2461" s="28" t="str">
        <f>IF(AND(O2461="在职",J2461="是"),COUNTIF(O$2:O2461,"在职"),"")</f>
        <v/>
      </c>
    </row>
    <row r="2462" ht="18" spans="1:16">
      <c r="A2462" s="10">
        <f t="shared" si="43"/>
        <v>2461</v>
      </c>
      <c r="B2462" s="31">
        <v>46177</v>
      </c>
      <c r="C2462" s="32" t="s">
        <v>2473</v>
      </c>
      <c r="D2462" s="120" t="s">
        <v>490</v>
      </c>
      <c r="E2462" s="33" t="s">
        <v>43</v>
      </c>
      <c r="F2462" s="18" t="s">
        <v>64</v>
      </c>
      <c r="G2462" s="18" t="s">
        <v>148</v>
      </c>
      <c r="H2462" s="34" t="s">
        <v>85</v>
      </c>
      <c r="I2462" s="18" t="s">
        <v>2154</v>
      </c>
      <c r="J2462" s="31" t="s">
        <v>105</v>
      </c>
      <c r="K2462" s="31"/>
      <c r="N2462" s="13" t="s">
        <v>30</v>
      </c>
      <c r="O2462" s="28" t="str">
        <f>IF(D2462="","",IF(COUNTIF(离职清单!C:C,D2462)&gt;0,"已离职","在职"))</f>
        <v>在职</v>
      </c>
      <c r="P2462" s="28" t="str">
        <f>IF(AND(O2462="在职",J2462="是"),COUNTIF(O$2:O2462,"在职"),"")</f>
        <v/>
      </c>
    </row>
    <row r="2463" ht="18" spans="1:16">
      <c r="A2463" s="14">
        <f t="shared" si="43"/>
        <v>2462</v>
      </c>
      <c r="B2463" s="31">
        <v>46177</v>
      </c>
      <c r="C2463" s="32" t="s">
        <v>2474</v>
      </c>
      <c r="D2463" s="120" t="s">
        <v>492</v>
      </c>
      <c r="E2463" s="33" t="s">
        <v>43</v>
      </c>
      <c r="F2463" s="18" t="s">
        <v>64</v>
      </c>
      <c r="G2463" s="18" t="s">
        <v>148</v>
      </c>
      <c r="H2463" s="34" t="s">
        <v>85</v>
      </c>
      <c r="I2463" s="18" t="s">
        <v>114</v>
      </c>
      <c r="J2463" s="31" t="s">
        <v>114</v>
      </c>
      <c r="K2463" s="31">
        <v>46179</v>
      </c>
      <c r="N2463" s="13" t="s">
        <v>30</v>
      </c>
      <c r="O2463" s="28" t="str">
        <f>IF(D2463="","",IF(COUNTIF(离职清单!C:C,D2463)&gt;0,"已离职","在职"))</f>
        <v>在职</v>
      </c>
      <c r="P2463" s="28">
        <f>IF(AND(O2463="在职",J2463="是"),COUNTIF(O$2:O2463,"在职"),"")</f>
        <v>2456</v>
      </c>
    </row>
    <row r="2464" ht="18" spans="1:16">
      <c r="A2464" s="10">
        <f t="shared" si="43"/>
        <v>2463</v>
      </c>
      <c r="B2464" s="31">
        <v>46177</v>
      </c>
      <c r="C2464" s="32" t="s">
        <v>1274</v>
      </c>
      <c r="D2464" s="120" t="s">
        <v>477</v>
      </c>
      <c r="E2464" s="33" t="s">
        <v>43</v>
      </c>
      <c r="F2464" s="18" t="s">
        <v>62</v>
      </c>
      <c r="G2464" s="18" t="s">
        <v>124</v>
      </c>
      <c r="H2464" s="34" t="s">
        <v>85</v>
      </c>
      <c r="I2464" s="18" t="s">
        <v>114</v>
      </c>
      <c r="J2464" s="31" t="s">
        <v>114</v>
      </c>
      <c r="K2464" s="31">
        <v>46182</v>
      </c>
      <c r="N2464" s="13" t="s">
        <v>30</v>
      </c>
      <c r="O2464" s="28" t="str">
        <f>IF(D2464="","",IF(COUNTIF(离职清单!C:C,D2464)&gt;0,"已离职","在职"))</f>
        <v>在职</v>
      </c>
      <c r="P2464" s="28">
        <f>IF(AND(O2464="在职",J2464="是"),COUNTIF(O$2:O2464,"在职"),"")</f>
        <v>2457</v>
      </c>
    </row>
    <row r="2465" ht="18" spans="1:16">
      <c r="A2465" s="14">
        <f t="shared" si="43"/>
        <v>2464</v>
      </c>
      <c r="B2465" s="31">
        <v>46177</v>
      </c>
      <c r="C2465" s="32" t="s">
        <v>2475</v>
      </c>
      <c r="D2465" s="120" t="s">
        <v>478</v>
      </c>
      <c r="E2465" s="33" t="s">
        <v>43</v>
      </c>
      <c r="F2465" s="18" t="s">
        <v>64</v>
      </c>
      <c r="G2465" s="18" t="s">
        <v>148</v>
      </c>
      <c r="H2465" s="34" t="s">
        <v>85</v>
      </c>
      <c r="I2465" s="18" t="s">
        <v>105</v>
      </c>
      <c r="J2465" s="31" t="s">
        <v>105</v>
      </c>
      <c r="K2465" s="31"/>
      <c r="N2465" s="13" t="s">
        <v>30</v>
      </c>
      <c r="O2465" s="28" t="str">
        <f>IF(D2465="","",IF(COUNTIF(离职清单!C:C,D2465)&gt;0,"已离职","在职"))</f>
        <v>在职</v>
      </c>
      <c r="P2465" s="28" t="str">
        <f>IF(AND(O2465="在职",J2465="是"),COUNTIF(O$2:O2465,"在职"),"")</f>
        <v/>
      </c>
    </row>
    <row r="2466" ht="18" spans="1:16">
      <c r="A2466" s="10">
        <f t="shared" si="43"/>
        <v>2465</v>
      </c>
      <c r="B2466" s="31">
        <v>46177</v>
      </c>
      <c r="C2466" s="32" t="s">
        <v>2476</v>
      </c>
      <c r="D2466" s="120" t="s">
        <v>480</v>
      </c>
      <c r="E2466" s="33" t="s">
        <v>43</v>
      </c>
      <c r="F2466" s="18" t="s">
        <v>64</v>
      </c>
      <c r="G2466" s="18" t="s">
        <v>148</v>
      </c>
      <c r="H2466" s="34" t="s">
        <v>85</v>
      </c>
      <c r="I2466" s="18" t="s">
        <v>2154</v>
      </c>
      <c r="J2466" s="31" t="s">
        <v>105</v>
      </c>
      <c r="K2466" s="31"/>
      <c r="N2466" s="13" t="s">
        <v>30</v>
      </c>
      <c r="O2466" s="28" t="str">
        <f>IF(D2466="","",IF(COUNTIF(离职清单!C:C,D2466)&gt;0,"已离职","在职"))</f>
        <v>在职</v>
      </c>
      <c r="P2466" s="28" t="str">
        <f>IF(AND(O2466="在职",J2466="是"),COUNTIF(O$2:O2466,"在职"),"")</f>
        <v/>
      </c>
    </row>
    <row r="2467" ht="18" spans="1:16">
      <c r="A2467" s="14">
        <f t="shared" si="43"/>
        <v>2466</v>
      </c>
      <c r="B2467" s="31">
        <v>46177</v>
      </c>
      <c r="C2467" s="32" t="s">
        <v>2374</v>
      </c>
      <c r="D2467" s="120" t="s">
        <v>482</v>
      </c>
      <c r="E2467" s="33" t="s">
        <v>43</v>
      </c>
      <c r="F2467" s="18" t="s">
        <v>63</v>
      </c>
      <c r="G2467" s="18" t="s">
        <v>179</v>
      </c>
      <c r="H2467" s="34" t="s">
        <v>85</v>
      </c>
      <c r="I2467" s="18" t="s">
        <v>2154</v>
      </c>
      <c r="J2467" s="31" t="s">
        <v>105</v>
      </c>
      <c r="K2467" s="31"/>
      <c r="N2467" s="13" t="s">
        <v>30</v>
      </c>
      <c r="O2467" s="28" t="str">
        <f>IF(D2467="","",IF(COUNTIF(离职清单!C:C,D2467)&gt;0,"已离职","在职"))</f>
        <v>在职</v>
      </c>
      <c r="P2467" s="28" t="str">
        <f>IF(AND(O2467="在职",J2467="是"),COUNTIF(O$2:O2467,"在职"),"")</f>
        <v/>
      </c>
    </row>
    <row r="2468" ht="18" spans="1:16">
      <c r="A2468" s="10">
        <f t="shared" si="43"/>
        <v>2467</v>
      </c>
      <c r="B2468" s="31">
        <v>46177</v>
      </c>
      <c r="C2468" s="32" t="s">
        <v>2476</v>
      </c>
      <c r="D2468" s="120" t="s">
        <v>484</v>
      </c>
      <c r="E2468" s="33" t="s">
        <v>43</v>
      </c>
      <c r="F2468" s="18" t="s">
        <v>64</v>
      </c>
      <c r="G2468" s="18" t="s">
        <v>148</v>
      </c>
      <c r="H2468" s="34" t="s">
        <v>86</v>
      </c>
      <c r="I2468" s="18" t="s">
        <v>2154</v>
      </c>
      <c r="J2468" s="31" t="s">
        <v>105</v>
      </c>
      <c r="K2468" s="31"/>
      <c r="N2468" s="13" t="s">
        <v>30</v>
      </c>
      <c r="O2468" s="28" t="str">
        <f>IF(D2468="","",IF(COUNTIF(离职清单!C:C,D2468)&gt;0,"已离职","在职"))</f>
        <v>在职</v>
      </c>
      <c r="P2468" s="28" t="str">
        <f>IF(AND(O2468="在职",J2468="是"),COUNTIF(O$2:O2468,"在职"),"")</f>
        <v/>
      </c>
    </row>
    <row r="2469" ht="18" spans="1:16">
      <c r="A2469" s="14">
        <f t="shared" si="43"/>
        <v>2468</v>
      </c>
      <c r="B2469" s="31">
        <v>46177</v>
      </c>
      <c r="C2469" s="32" t="s">
        <v>2477</v>
      </c>
      <c r="D2469" s="120" t="s">
        <v>486</v>
      </c>
      <c r="E2469" s="33" t="s">
        <v>43</v>
      </c>
      <c r="F2469" s="18" t="s">
        <v>64</v>
      </c>
      <c r="G2469" s="18" t="s">
        <v>2195</v>
      </c>
      <c r="H2469" s="34" t="s">
        <v>86</v>
      </c>
      <c r="I2469" s="18" t="s">
        <v>114</v>
      </c>
      <c r="J2469" s="31" t="s">
        <v>105</v>
      </c>
      <c r="K2469" s="31"/>
      <c r="N2469" s="13" t="s">
        <v>30</v>
      </c>
      <c r="O2469" s="28" t="str">
        <f>IF(D2469="","",IF(COUNTIF(离职清单!C:C,D2469)&gt;0,"已离职","在职"))</f>
        <v>在职</v>
      </c>
      <c r="P2469" s="28" t="str">
        <f>IF(AND(O2469="在职",J2469="是"),COUNTIF(O$2:O2469,"在职"),"")</f>
        <v/>
      </c>
    </row>
    <row r="2470" ht="18" spans="1:16">
      <c r="A2470" s="10">
        <f t="shared" si="43"/>
        <v>2469</v>
      </c>
      <c r="B2470" s="31">
        <v>46178</v>
      </c>
      <c r="C2470" s="32" t="s">
        <v>2478</v>
      </c>
      <c r="D2470" s="120" t="s">
        <v>488</v>
      </c>
      <c r="E2470" s="33" t="s">
        <v>43</v>
      </c>
      <c r="F2470" s="18" t="s">
        <v>62</v>
      </c>
      <c r="G2470" s="18" t="s">
        <v>148</v>
      </c>
      <c r="H2470" s="34" t="s">
        <v>85</v>
      </c>
      <c r="I2470" s="18" t="s">
        <v>114</v>
      </c>
      <c r="J2470" s="31" t="s">
        <v>105</v>
      </c>
      <c r="K2470" s="31"/>
      <c r="N2470" s="13" t="s">
        <v>30</v>
      </c>
      <c r="O2470" s="28" t="str">
        <f>IF(D2470="","",IF(COUNTIF(离职清单!C:C,D2470)&gt;0,"已离职","在职"))</f>
        <v>在职</v>
      </c>
      <c r="P2470" s="28" t="str">
        <f>IF(AND(O2470="在职",J2470="是"),COUNTIF(O$2:O2470,"在职"),"")</f>
        <v/>
      </c>
    </row>
    <row r="2471" ht="18" spans="1:16">
      <c r="A2471" s="14">
        <f t="shared" si="43"/>
        <v>2470</v>
      </c>
      <c r="B2471" s="31">
        <v>46178</v>
      </c>
      <c r="C2471" s="32" t="s">
        <v>2479</v>
      </c>
      <c r="D2471" s="120" t="s">
        <v>490</v>
      </c>
      <c r="E2471" s="33" t="s">
        <v>43</v>
      </c>
      <c r="F2471" s="18" t="s">
        <v>62</v>
      </c>
      <c r="G2471" s="18" t="s">
        <v>148</v>
      </c>
      <c r="H2471" s="34" t="s">
        <v>85</v>
      </c>
      <c r="I2471" s="18" t="s">
        <v>114</v>
      </c>
      <c r="J2471" s="31" t="s">
        <v>114</v>
      </c>
      <c r="K2471" s="31">
        <v>46183</v>
      </c>
      <c r="N2471" s="13" t="s">
        <v>30</v>
      </c>
      <c r="O2471" s="28" t="str">
        <f>IF(D2471="","",IF(COUNTIF(离职清单!C:C,D2471)&gt;0,"已离职","在职"))</f>
        <v>在职</v>
      </c>
      <c r="P2471" s="28">
        <f>IF(AND(O2471="在职",J2471="是"),COUNTIF(O$2:O2471,"在职"),"")</f>
        <v>2464</v>
      </c>
    </row>
    <row r="2472" ht="18" spans="1:16">
      <c r="A2472" s="10">
        <f t="shared" si="43"/>
        <v>2471</v>
      </c>
      <c r="B2472" s="31">
        <v>46178</v>
      </c>
      <c r="C2472" s="32" t="s">
        <v>2417</v>
      </c>
      <c r="D2472" s="120" t="s">
        <v>492</v>
      </c>
      <c r="E2472" s="33" t="s">
        <v>43</v>
      </c>
      <c r="F2472" s="18" t="s">
        <v>63</v>
      </c>
      <c r="G2472" s="18" t="s">
        <v>148</v>
      </c>
      <c r="H2472" s="34" t="s">
        <v>85</v>
      </c>
      <c r="I2472" s="18" t="s">
        <v>114</v>
      </c>
      <c r="J2472" s="31" t="s">
        <v>105</v>
      </c>
      <c r="K2472" s="31"/>
      <c r="N2472" s="13" t="s">
        <v>30</v>
      </c>
      <c r="O2472" s="28" t="str">
        <f>IF(D2472="","",IF(COUNTIF(离职清单!C:C,D2472)&gt;0,"已离职","在职"))</f>
        <v>在职</v>
      </c>
      <c r="P2472" s="28" t="str">
        <f>IF(AND(O2472="在职",J2472="是"),COUNTIF(O$2:O2472,"在职"),"")</f>
        <v/>
      </c>
    </row>
    <row r="2473" ht="18" spans="1:16">
      <c r="A2473" s="14">
        <f t="shared" si="43"/>
        <v>2472</v>
      </c>
      <c r="B2473" s="31">
        <v>46178</v>
      </c>
      <c r="C2473" s="32" t="s">
        <v>2480</v>
      </c>
      <c r="D2473" s="120" t="s">
        <v>477</v>
      </c>
      <c r="E2473" s="33" t="s">
        <v>43</v>
      </c>
      <c r="F2473" s="18" t="s">
        <v>63</v>
      </c>
      <c r="G2473" s="18" t="s">
        <v>2250</v>
      </c>
      <c r="H2473" s="34" t="s">
        <v>85</v>
      </c>
      <c r="I2473" s="18" t="s">
        <v>114</v>
      </c>
      <c r="J2473" s="31" t="s">
        <v>114</v>
      </c>
      <c r="K2473" s="31">
        <v>46180</v>
      </c>
      <c r="N2473" s="13" t="s">
        <v>30</v>
      </c>
      <c r="O2473" s="28" t="str">
        <f>IF(D2473="","",IF(COUNTIF(离职清单!C:C,D2473)&gt;0,"已离职","在职"))</f>
        <v>在职</v>
      </c>
      <c r="P2473" s="28">
        <f>IF(AND(O2473="在职",J2473="是"),COUNTIF(O$2:O2473,"在职"),"")</f>
        <v>2466</v>
      </c>
    </row>
    <row r="2474" ht="18" spans="1:16">
      <c r="A2474" s="10">
        <f t="shared" si="43"/>
        <v>2473</v>
      </c>
      <c r="B2474" s="31">
        <v>46178</v>
      </c>
      <c r="C2474" s="32" t="s">
        <v>2481</v>
      </c>
      <c r="D2474" s="120" t="s">
        <v>478</v>
      </c>
      <c r="E2474" s="33" t="s">
        <v>43</v>
      </c>
      <c r="F2474" s="18" t="s">
        <v>62</v>
      </c>
      <c r="G2474" s="18" t="s">
        <v>2250</v>
      </c>
      <c r="H2474" s="34" t="s">
        <v>85</v>
      </c>
      <c r="I2474" s="18" t="s">
        <v>114</v>
      </c>
      <c r="J2474" s="31" t="s">
        <v>105</v>
      </c>
      <c r="K2474" s="31"/>
      <c r="N2474" s="13" t="s">
        <v>30</v>
      </c>
      <c r="O2474" s="28" t="str">
        <f>IF(D2474="","",IF(COUNTIF(离职清单!C:C,D2474)&gt;0,"已离职","在职"))</f>
        <v>在职</v>
      </c>
      <c r="P2474" s="28" t="str">
        <f>IF(AND(O2474="在职",J2474="是"),COUNTIF(O$2:O2474,"在职"),"")</f>
        <v/>
      </c>
    </row>
    <row r="2475" ht="18" spans="1:16">
      <c r="A2475" s="14">
        <f t="shared" si="43"/>
        <v>2474</v>
      </c>
      <c r="B2475" s="31">
        <v>46178</v>
      </c>
      <c r="C2475" s="32" t="s">
        <v>2482</v>
      </c>
      <c r="D2475" s="120" t="s">
        <v>480</v>
      </c>
      <c r="E2475" s="33" t="s">
        <v>43</v>
      </c>
      <c r="F2475" s="18" t="s">
        <v>63</v>
      </c>
      <c r="G2475" s="18" t="s">
        <v>2153</v>
      </c>
      <c r="H2475" s="34" t="s">
        <v>85</v>
      </c>
      <c r="I2475" s="18" t="s">
        <v>114</v>
      </c>
      <c r="J2475" s="31" t="s">
        <v>114</v>
      </c>
      <c r="K2475" s="31">
        <v>46181</v>
      </c>
      <c r="N2475" s="13" t="s">
        <v>30</v>
      </c>
      <c r="O2475" s="28" t="str">
        <f>IF(D2475="","",IF(COUNTIF(离职清单!C:C,D2475)&gt;0,"已离职","在职"))</f>
        <v>在职</v>
      </c>
      <c r="P2475" s="28">
        <f>IF(AND(O2475="在职",J2475="是"),COUNTIF(O$2:O2475,"在职"),"")</f>
        <v>2468</v>
      </c>
    </row>
    <row r="2476" ht="18" spans="1:16">
      <c r="A2476" s="10">
        <f t="shared" ref="A2476:A2539" si="44">IF(B2476&lt;&gt;"",ROW()-1,"")</f>
        <v>2475</v>
      </c>
      <c r="B2476" s="31">
        <v>46178</v>
      </c>
      <c r="C2476" s="32" t="s">
        <v>2483</v>
      </c>
      <c r="D2476" s="120" t="s">
        <v>482</v>
      </c>
      <c r="E2476" s="33" t="s">
        <v>43</v>
      </c>
      <c r="F2476" s="18" t="s">
        <v>64</v>
      </c>
      <c r="G2476" s="18" t="s">
        <v>2164</v>
      </c>
      <c r="H2476" s="34" t="s">
        <v>85</v>
      </c>
      <c r="I2476" s="18" t="s">
        <v>114</v>
      </c>
      <c r="J2476" s="31" t="s">
        <v>105</v>
      </c>
      <c r="K2476" s="31"/>
      <c r="N2476" s="13" t="s">
        <v>30</v>
      </c>
      <c r="O2476" s="28" t="str">
        <f>IF(D2476="","",IF(COUNTIF(离职清单!C:C,D2476)&gt;0,"已离职","在职"))</f>
        <v>在职</v>
      </c>
      <c r="P2476" s="28" t="str">
        <f>IF(AND(O2476="在职",J2476="是"),COUNTIF(O$2:O2476,"在职"),"")</f>
        <v/>
      </c>
    </row>
    <row r="2477" ht="18" spans="1:16">
      <c r="A2477" s="14">
        <f t="shared" si="44"/>
        <v>2476</v>
      </c>
      <c r="B2477" s="31">
        <v>46178</v>
      </c>
      <c r="C2477" s="32" t="s">
        <v>2484</v>
      </c>
      <c r="D2477" s="120" t="s">
        <v>484</v>
      </c>
      <c r="E2477" s="33" t="s">
        <v>43</v>
      </c>
      <c r="F2477" s="18" t="s">
        <v>63</v>
      </c>
      <c r="G2477" s="18" t="s">
        <v>2164</v>
      </c>
      <c r="H2477" s="34" t="s">
        <v>85</v>
      </c>
      <c r="I2477" s="18" t="s">
        <v>114</v>
      </c>
      <c r="J2477" s="31" t="s">
        <v>114</v>
      </c>
      <c r="K2477" s="31">
        <v>46180</v>
      </c>
      <c r="N2477" s="13" t="s">
        <v>30</v>
      </c>
      <c r="O2477" s="28" t="str">
        <f>IF(D2477="","",IF(COUNTIF(离职清单!C:C,D2477)&gt;0,"已离职","在职"))</f>
        <v>在职</v>
      </c>
      <c r="P2477" s="28">
        <f>IF(AND(O2477="在职",J2477="是"),COUNTIF(O$2:O2477,"在职"),"")</f>
        <v>2470</v>
      </c>
    </row>
    <row r="2478" ht="18" spans="1:16">
      <c r="A2478" s="10">
        <f t="shared" si="44"/>
        <v>2477</v>
      </c>
      <c r="B2478" s="31">
        <v>46178</v>
      </c>
      <c r="C2478" s="32" t="s">
        <v>2339</v>
      </c>
      <c r="D2478" s="120" t="s">
        <v>486</v>
      </c>
      <c r="E2478" s="33" t="s">
        <v>43</v>
      </c>
      <c r="F2478" s="18" t="s">
        <v>62</v>
      </c>
      <c r="G2478" s="18" t="s">
        <v>2164</v>
      </c>
      <c r="H2478" s="34" t="s">
        <v>85</v>
      </c>
      <c r="I2478" s="18" t="s">
        <v>114</v>
      </c>
      <c r="J2478" s="31" t="s">
        <v>105</v>
      </c>
      <c r="K2478" s="31"/>
      <c r="N2478" s="13" t="s">
        <v>30</v>
      </c>
      <c r="O2478" s="28" t="str">
        <f>IF(D2478="","",IF(COUNTIF(离职清单!C:C,D2478)&gt;0,"已离职","在职"))</f>
        <v>在职</v>
      </c>
      <c r="P2478" s="28" t="str">
        <f>IF(AND(O2478="在职",J2478="是"),COUNTIF(O$2:O2478,"在职"),"")</f>
        <v/>
      </c>
    </row>
    <row r="2479" ht="18" spans="1:16">
      <c r="A2479" s="14">
        <f t="shared" si="44"/>
        <v>2478</v>
      </c>
      <c r="B2479" s="31">
        <v>46178</v>
      </c>
      <c r="C2479" s="32" t="s">
        <v>2485</v>
      </c>
      <c r="D2479" s="120" t="s">
        <v>488</v>
      </c>
      <c r="E2479" s="33" t="s">
        <v>43</v>
      </c>
      <c r="F2479" s="18" t="s">
        <v>63</v>
      </c>
      <c r="G2479" s="18" t="s">
        <v>2164</v>
      </c>
      <c r="H2479" s="34" t="s">
        <v>85</v>
      </c>
      <c r="I2479" s="18" t="s">
        <v>114</v>
      </c>
      <c r="J2479" s="31" t="s">
        <v>114</v>
      </c>
      <c r="K2479" s="31">
        <v>46182</v>
      </c>
      <c r="N2479" s="13" t="s">
        <v>30</v>
      </c>
      <c r="O2479" s="28" t="str">
        <f>IF(D2479="","",IF(COUNTIF(离职清单!C:C,D2479)&gt;0,"已离职","在职"))</f>
        <v>在职</v>
      </c>
      <c r="P2479" s="28">
        <f>IF(AND(O2479="在职",J2479="是"),COUNTIF(O$2:O2479,"在职"),"")</f>
        <v>2472</v>
      </c>
    </row>
    <row r="2480" ht="18" spans="1:16">
      <c r="A2480" s="10">
        <f t="shared" si="44"/>
        <v>2479</v>
      </c>
      <c r="B2480" s="31">
        <v>46178</v>
      </c>
      <c r="C2480" s="32" t="s">
        <v>2486</v>
      </c>
      <c r="D2480" s="120" t="s">
        <v>490</v>
      </c>
      <c r="E2480" s="33" t="s">
        <v>42</v>
      </c>
      <c r="F2480" s="18" t="s">
        <v>64</v>
      </c>
      <c r="G2480" s="18" t="s">
        <v>2349</v>
      </c>
      <c r="H2480" s="34" t="s">
        <v>85</v>
      </c>
      <c r="I2480" s="18" t="s">
        <v>114</v>
      </c>
      <c r="J2480" s="31" t="s">
        <v>105</v>
      </c>
      <c r="K2480" s="31"/>
      <c r="N2480" s="13" t="s">
        <v>30</v>
      </c>
      <c r="O2480" s="28" t="str">
        <f>IF(D2480="","",IF(COUNTIF(离职清单!C:C,D2480)&gt;0,"已离职","在职"))</f>
        <v>在职</v>
      </c>
      <c r="P2480" s="28" t="str">
        <f>IF(AND(O2480="在职",J2480="是"),COUNTIF(O$2:O2480,"在职"),"")</f>
        <v/>
      </c>
    </row>
    <row r="2481" ht="18" spans="1:16">
      <c r="A2481" s="14">
        <f t="shared" si="44"/>
        <v>2480</v>
      </c>
      <c r="B2481" s="31">
        <v>46178</v>
      </c>
      <c r="C2481" s="32" t="s">
        <v>2487</v>
      </c>
      <c r="D2481" s="120" t="s">
        <v>492</v>
      </c>
      <c r="E2481" s="33" t="s">
        <v>42</v>
      </c>
      <c r="F2481" s="18" t="s">
        <v>63</v>
      </c>
      <c r="G2481" s="18" t="s">
        <v>1511</v>
      </c>
      <c r="H2481" s="34" t="s">
        <v>85</v>
      </c>
      <c r="I2481" s="18" t="s">
        <v>114</v>
      </c>
      <c r="J2481" s="31" t="s">
        <v>105</v>
      </c>
      <c r="K2481" s="31"/>
      <c r="N2481" s="13" t="s">
        <v>30</v>
      </c>
      <c r="O2481" s="28" t="str">
        <f>IF(D2481="","",IF(COUNTIF(离职清单!C:C,D2481)&gt;0,"已离职","在职"))</f>
        <v>在职</v>
      </c>
      <c r="P2481" s="28" t="str">
        <f>IF(AND(O2481="在职",J2481="是"),COUNTIF(O$2:O2481,"在职"),"")</f>
        <v/>
      </c>
    </row>
    <row r="2482" ht="18" spans="1:16">
      <c r="A2482" s="10">
        <f t="shared" si="44"/>
        <v>2481</v>
      </c>
      <c r="B2482" s="31">
        <v>46178</v>
      </c>
      <c r="C2482" s="32" t="s">
        <v>2488</v>
      </c>
      <c r="D2482" s="120" t="s">
        <v>477</v>
      </c>
      <c r="E2482" s="33" t="s">
        <v>42</v>
      </c>
      <c r="F2482" s="18" t="s">
        <v>63</v>
      </c>
      <c r="G2482" s="18" t="s">
        <v>2250</v>
      </c>
      <c r="H2482" s="34" t="s">
        <v>85</v>
      </c>
      <c r="I2482" s="18" t="s">
        <v>114</v>
      </c>
      <c r="J2482" s="31" t="s">
        <v>114</v>
      </c>
      <c r="K2482" s="31">
        <v>46181</v>
      </c>
      <c r="N2482" s="13" t="s">
        <v>30</v>
      </c>
      <c r="O2482" s="28" t="str">
        <f>IF(D2482="","",IF(COUNTIF(离职清单!C:C,D2482)&gt;0,"已离职","在职"))</f>
        <v>在职</v>
      </c>
      <c r="P2482" s="28">
        <f>IF(AND(O2482="在职",J2482="是"),COUNTIF(O$2:O2482,"在职"),"")</f>
        <v>2475</v>
      </c>
    </row>
    <row r="2483" ht="18" spans="1:16">
      <c r="A2483" s="14">
        <f t="shared" si="44"/>
        <v>2482</v>
      </c>
      <c r="B2483" s="31">
        <v>46178</v>
      </c>
      <c r="C2483" s="32" t="s">
        <v>2489</v>
      </c>
      <c r="D2483" s="120" t="s">
        <v>478</v>
      </c>
      <c r="E2483" s="33" t="s">
        <v>42</v>
      </c>
      <c r="F2483" s="18" t="s">
        <v>64</v>
      </c>
      <c r="G2483" s="18" t="s">
        <v>2250</v>
      </c>
      <c r="H2483" s="34" t="s">
        <v>85</v>
      </c>
      <c r="I2483" s="18" t="s">
        <v>114</v>
      </c>
      <c r="J2483" s="31" t="s">
        <v>105</v>
      </c>
      <c r="K2483" s="31"/>
      <c r="N2483" s="13" t="s">
        <v>30</v>
      </c>
      <c r="O2483" s="28" t="str">
        <f>IF(D2483="","",IF(COUNTIF(离职清单!C:C,D2483)&gt;0,"已离职","在职"))</f>
        <v>在职</v>
      </c>
      <c r="P2483" s="28" t="str">
        <f>IF(AND(O2483="在职",J2483="是"),COUNTIF(O$2:O2483,"在职"),"")</f>
        <v/>
      </c>
    </row>
    <row r="2484" ht="18" spans="1:16">
      <c r="A2484" s="10">
        <f t="shared" si="44"/>
        <v>2483</v>
      </c>
      <c r="B2484" s="31">
        <v>46178</v>
      </c>
      <c r="C2484" s="32" t="s">
        <v>2490</v>
      </c>
      <c r="D2484" s="120" t="s">
        <v>480</v>
      </c>
      <c r="E2484" s="33" t="s">
        <v>42</v>
      </c>
      <c r="F2484" s="18" t="s">
        <v>63</v>
      </c>
      <c r="G2484" s="18" t="s">
        <v>2166</v>
      </c>
      <c r="H2484" s="34" t="s">
        <v>85</v>
      </c>
      <c r="I2484" s="18" t="s">
        <v>114</v>
      </c>
      <c r="J2484" s="31" t="s">
        <v>105</v>
      </c>
      <c r="K2484" s="31"/>
      <c r="N2484" s="13" t="s">
        <v>30</v>
      </c>
      <c r="O2484" s="28" t="str">
        <f>IF(D2484="","",IF(COUNTIF(离职清单!C:C,D2484)&gt;0,"已离职","在职"))</f>
        <v>在职</v>
      </c>
      <c r="P2484" s="28" t="str">
        <f>IF(AND(O2484="在职",J2484="是"),COUNTIF(O$2:O2484,"在职"),"")</f>
        <v/>
      </c>
    </row>
    <row r="2485" ht="18" spans="1:16">
      <c r="A2485" s="14">
        <f t="shared" si="44"/>
        <v>2484</v>
      </c>
      <c r="B2485" s="31">
        <v>46178</v>
      </c>
      <c r="C2485" s="32" t="s">
        <v>2491</v>
      </c>
      <c r="D2485" s="120" t="s">
        <v>482</v>
      </c>
      <c r="E2485" s="33" t="s">
        <v>42</v>
      </c>
      <c r="F2485" s="18" t="s">
        <v>63</v>
      </c>
      <c r="G2485" s="18" t="s">
        <v>2166</v>
      </c>
      <c r="H2485" s="34" t="s">
        <v>85</v>
      </c>
      <c r="I2485" s="18" t="s">
        <v>114</v>
      </c>
      <c r="J2485" s="31" t="s">
        <v>114</v>
      </c>
      <c r="K2485" s="31">
        <v>46180</v>
      </c>
      <c r="N2485" s="13" t="s">
        <v>30</v>
      </c>
      <c r="O2485" s="28" t="str">
        <f>IF(D2485="","",IF(COUNTIF(离职清单!C:C,D2485)&gt;0,"已离职","在职"))</f>
        <v>在职</v>
      </c>
      <c r="P2485" s="28">
        <f>IF(AND(O2485="在职",J2485="是"),COUNTIF(O$2:O2485,"在职"),"")</f>
        <v>2478</v>
      </c>
    </row>
    <row r="2486" ht="18" spans="1:16">
      <c r="A2486" s="10">
        <f t="shared" si="44"/>
        <v>2485</v>
      </c>
      <c r="B2486" s="31">
        <v>46178</v>
      </c>
      <c r="C2486" s="32" t="s">
        <v>2492</v>
      </c>
      <c r="D2486" s="120" t="s">
        <v>484</v>
      </c>
      <c r="E2486" s="33" t="s">
        <v>42</v>
      </c>
      <c r="F2486" s="18" t="s">
        <v>62</v>
      </c>
      <c r="G2486" s="18" t="s">
        <v>124</v>
      </c>
      <c r="H2486" s="34" t="s">
        <v>85</v>
      </c>
      <c r="I2486" s="18" t="s">
        <v>114</v>
      </c>
      <c r="J2486" s="31" t="s">
        <v>105</v>
      </c>
      <c r="K2486" s="31"/>
      <c r="N2486" s="13" t="s">
        <v>30</v>
      </c>
      <c r="O2486" s="28" t="str">
        <f>IF(D2486="","",IF(COUNTIF(离职清单!C:C,D2486)&gt;0,"已离职","在职"))</f>
        <v>在职</v>
      </c>
      <c r="P2486" s="28" t="str">
        <f>IF(AND(O2486="在职",J2486="是"),COUNTIF(O$2:O2486,"在职"),"")</f>
        <v/>
      </c>
    </row>
    <row r="2487" ht="18" spans="1:16">
      <c r="A2487" s="14">
        <f t="shared" si="44"/>
        <v>2486</v>
      </c>
      <c r="B2487" s="31">
        <v>46178</v>
      </c>
      <c r="C2487" s="32" t="s">
        <v>2493</v>
      </c>
      <c r="D2487" s="120" t="s">
        <v>486</v>
      </c>
      <c r="E2487" s="33" t="s">
        <v>42</v>
      </c>
      <c r="F2487" s="18" t="s">
        <v>64</v>
      </c>
      <c r="G2487" s="18" t="s">
        <v>124</v>
      </c>
      <c r="H2487" s="34" t="s">
        <v>85</v>
      </c>
      <c r="I2487" s="18" t="s">
        <v>114</v>
      </c>
      <c r="J2487" s="31" t="s">
        <v>105</v>
      </c>
      <c r="K2487" s="31"/>
      <c r="N2487" s="13" t="s">
        <v>30</v>
      </c>
      <c r="O2487" s="28" t="str">
        <f>IF(D2487="","",IF(COUNTIF(离职清单!C:C,D2487)&gt;0,"已离职","在职"))</f>
        <v>在职</v>
      </c>
      <c r="P2487" s="28" t="str">
        <f>IF(AND(O2487="在职",J2487="是"),COUNTIF(O$2:O2487,"在职"),"")</f>
        <v/>
      </c>
    </row>
    <row r="2488" ht="18" spans="1:16">
      <c r="A2488" s="10">
        <f t="shared" si="44"/>
        <v>2487</v>
      </c>
      <c r="B2488" s="31">
        <v>46178</v>
      </c>
      <c r="C2488" s="32" t="s">
        <v>2465</v>
      </c>
      <c r="D2488" s="120" t="s">
        <v>488</v>
      </c>
      <c r="E2488" s="33" t="s">
        <v>42</v>
      </c>
      <c r="F2488" s="18" t="s">
        <v>64</v>
      </c>
      <c r="G2488" s="18" t="s">
        <v>2156</v>
      </c>
      <c r="H2488" s="34" t="s">
        <v>85</v>
      </c>
      <c r="I2488" s="18" t="s">
        <v>114</v>
      </c>
      <c r="J2488" s="31" t="s">
        <v>105</v>
      </c>
      <c r="K2488" s="31"/>
      <c r="N2488" s="13" t="s">
        <v>30</v>
      </c>
      <c r="O2488" s="28" t="str">
        <f>IF(D2488="","",IF(COUNTIF(离职清单!C:C,D2488)&gt;0,"已离职","在职"))</f>
        <v>在职</v>
      </c>
      <c r="P2488" s="28" t="str">
        <f>IF(AND(O2488="在职",J2488="是"),COUNTIF(O$2:O2488,"在职"),"")</f>
        <v/>
      </c>
    </row>
    <row r="2489" ht="18" spans="1:16">
      <c r="A2489" s="14">
        <f t="shared" si="44"/>
        <v>2488</v>
      </c>
      <c r="B2489" s="31">
        <v>46178</v>
      </c>
      <c r="C2489" s="32" t="s">
        <v>2494</v>
      </c>
      <c r="D2489" s="120" t="s">
        <v>490</v>
      </c>
      <c r="E2489" s="33" t="s">
        <v>42</v>
      </c>
      <c r="F2489" s="18" t="s">
        <v>62</v>
      </c>
      <c r="G2489" s="18" t="s">
        <v>2166</v>
      </c>
      <c r="H2489" s="34" t="s">
        <v>86</v>
      </c>
      <c r="I2489" s="18" t="s">
        <v>114</v>
      </c>
      <c r="J2489" s="31" t="s">
        <v>114</v>
      </c>
      <c r="K2489" s="31">
        <v>46178</v>
      </c>
      <c r="N2489" s="13" t="s">
        <v>30</v>
      </c>
      <c r="O2489" s="28" t="str">
        <f>IF(D2489="","",IF(COUNTIF(离职清单!C:C,D2489)&gt;0,"已离职","在职"))</f>
        <v>在职</v>
      </c>
      <c r="P2489" s="28">
        <f>IF(AND(O2489="在职",J2489="是"),COUNTIF(O$2:O2489,"在职"),"")</f>
        <v>2482</v>
      </c>
    </row>
    <row r="2490" ht="18" spans="1:16">
      <c r="A2490" s="10">
        <f t="shared" si="44"/>
        <v>2489</v>
      </c>
      <c r="B2490" s="31">
        <v>46178</v>
      </c>
      <c r="C2490" s="32" t="s">
        <v>2495</v>
      </c>
      <c r="D2490" s="120" t="s">
        <v>492</v>
      </c>
      <c r="E2490" s="33" t="s">
        <v>42</v>
      </c>
      <c r="F2490" s="18" t="s">
        <v>62</v>
      </c>
      <c r="G2490" s="18" t="s">
        <v>2166</v>
      </c>
      <c r="H2490" s="34" t="s">
        <v>86</v>
      </c>
      <c r="I2490" s="18" t="s">
        <v>114</v>
      </c>
      <c r="J2490" s="31" t="s">
        <v>114</v>
      </c>
      <c r="K2490" s="31">
        <v>46178</v>
      </c>
      <c r="N2490" s="13" t="s">
        <v>30</v>
      </c>
      <c r="O2490" s="28" t="str">
        <f>IF(D2490="","",IF(COUNTIF(离职清单!C:C,D2490)&gt;0,"已离职","在职"))</f>
        <v>在职</v>
      </c>
      <c r="P2490" s="28">
        <f>IF(AND(O2490="在职",J2490="是"),COUNTIF(O$2:O2490,"在职"),"")</f>
        <v>2483</v>
      </c>
    </row>
    <row r="2491" ht="18" spans="1:16">
      <c r="A2491" s="14">
        <f t="shared" si="44"/>
        <v>2490</v>
      </c>
      <c r="B2491" s="31">
        <v>46178</v>
      </c>
      <c r="C2491" s="32" t="s">
        <v>2496</v>
      </c>
      <c r="D2491" s="120" t="s">
        <v>477</v>
      </c>
      <c r="E2491" s="33" t="s">
        <v>42</v>
      </c>
      <c r="F2491" s="18" t="s">
        <v>62</v>
      </c>
      <c r="G2491" s="18" t="s">
        <v>2166</v>
      </c>
      <c r="H2491" s="34" t="s">
        <v>86</v>
      </c>
      <c r="I2491" s="18" t="s">
        <v>114</v>
      </c>
      <c r="J2491" s="31" t="s">
        <v>114</v>
      </c>
      <c r="K2491" s="31">
        <v>46178</v>
      </c>
      <c r="N2491" s="13" t="s">
        <v>30</v>
      </c>
      <c r="O2491" s="28" t="str">
        <f>IF(D2491="","",IF(COUNTIF(离职清单!C:C,D2491)&gt;0,"已离职","在职"))</f>
        <v>在职</v>
      </c>
      <c r="P2491" s="28">
        <f>IF(AND(O2491="在职",J2491="是"),COUNTIF(O$2:O2491,"在职"),"")</f>
        <v>2484</v>
      </c>
    </row>
    <row r="2492" ht="18" spans="1:16">
      <c r="A2492" s="10">
        <f t="shared" si="44"/>
        <v>2491</v>
      </c>
      <c r="B2492" s="31">
        <v>46178</v>
      </c>
      <c r="C2492" s="32" t="s">
        <v>2497</v>
      </c>
      <c r="D2492" s="120" t="s">
        <v>477</v>
      </c>
      <c r="E2492" s="33" t="s">
        <v>42</v>
      </c>
      <c r="F2492" s="18" t="s">
        <v>63</v>
      </c>
      <c r="G2492" s="18" t="s">
        <v>2166</v>
      </c>
      <c r="H2492" s="34" t="s">
        <v>86</v>
      </c>
      <c r="I2492" s="18" t="s">
        <v>114</v>
      </c>
      <c r="J2492" s="31" t="s">
        <v>114</v>
      </c>
      <c r="K2492" s="31">
        <v>46178</v>
      </c>
      <c r="N2492" s="13" t="s">
        <v>30</v>
      </c>
      <c r="O2492" s="28" t="str">
        <f>IF(D2492="","",IF(COUNTIF(离职清单!C:C,D2492)&gt;0,"已离职","在职"))</f>
        <v>在职</v>
      </c>
      <c r="P2492" s="28">
        <f>IF(AND(O2492="在职",J2492="是"),COUNTIF(O$2:O2492,"在职"),"")</f>
        <v>2485</v>
      </c>
    </row>
    <row r="2493" ht="18" spans="1:16">
      <c r="A2493" s="14">
        <f t="shared" si="44"/>
        <v>2492</v>
      </c>
      <c r="B2493" s="31">
        <v>46178</v>
      </c>
      <c r="C2493" s="32" t="s">
        <v>2498</v>
      </c>
      <c r="D2493" s="120" t="s">
        <v>478</v>
      </c>
      <c r="E2493" s="33" t="s">
        <v>42</v>
      </c>
      <c r="F2493" s="18" t="s">
        <v>63</v>
      </c>
      <c r="G2493" s="18" t="s">
        <v>2164</v>
      </c>
      <c r="H2493" s="34" t="s">
        <v>85</v>
      </c>
      <c r="I2493" s="18" t="s">
        <v>114</v>
      </c>
      <c r="J2493" s="31" t="s">
        <v>105</v>
      </c>
      <c r="K2493" s="31"/>
      <c r="N2493" s="13" t="s">
        <v>30</v>
      </c>
      <c r="O2493" s="28" t="str">
        <f>IF(D2493="","",IF(COUNTIF(离职清单!C:C,D2493)&gt;0,"已离职","在职"))</f>
        <v>在职</v>
      </c>
      <c r="P2493" s="28" t="str">
        <f>IF(AND(O2493="在职",J2493="是"),COUNTIF(O$2:O2493,"在职"),"")</f>
        <v/>
      </c>
    </row>
    <row r="2494" ht="18" spans="1:16">
      <c r="A2494" s="10">
        <f t="shared" si="44"/>
        <v>2493</v>
      </c>
      <c r="B2494" s="31">
        <v>46178</v>
      </c>
      <c r="C2494" s="32" t="s">
        <v>2499</v>
      </c>
      <c r="D2494" s="120" t="s">
        <v>480</v>
      </c>
      <c r="E2494" s="33" t="s">
        <v>42</v>
      </c>
      <c r="F2494" s="18" t="s">
        <v>64</v>
      </c>
      <c r="G2494" s="18" t="s">
        <v>2164</v>
      </c>
      <c r="H2494" s="34" t="s">
        <v>85</v>
      </c>
      <c r="I2494" s="18" t="s">
        <v>114</v>
      </c>
      <c r="J2494" s="31" t="s">
        <v>105</v>
      </c>
      <c r="K2494" s="31"/>
      <c r="N2494" s="13" t="s">
        <v>30</v>
      </c>
      <c r="O2494" s="28" t="str">
        <f>IF(D2494="","",IF(COUNTIF(离职清单!C:C,D2494)&gt;0,"已离职","在职"))</f>
        <v>在职</v>
      </c>
      <c r="P2494" s="28" t="str">
        <f>IF(AND(O2494="在职",J2494="是"),COUNTIF(O$2:O2494,"在职"),"")</f>
        <v/>
      </c>
    </row>
    <row r="2495" ht="18" spans="1:16">
      <c r="A2495" s="14">
        <f t="shared" si="44"/>
        <v>2494</v>
      </c>
      <c r="B2495" s="31">
        <v>46178</v>
      </c>
      <c r="C2495" s="32" t="s">
        <v>2500</v>
      </c>
      <c r="D2495" s="120" t="s">
        <v>482</v>
      </c>
      <c r="E2495" s="33" t="s">
        <v>42</v>
      </c>
      <c r="F2495" s="18" t="s">
        <v>64</v>
      </c>
      <c r="G2495" s="18" t="s">
        <v>2164</v>
      </c>
      <c r="H2495" s="34" t="s">
        <v>85</v>
      </c>
      <c r="I2495" s="18" t="s">
        <v>114</v>
      </c>
      <c r="J2495" s="31" t="s">
        <v>105</v>
      </c>
      <c r="K2495" s="31"/>
      <c r="N2495" s="13" t="s">
        <v>30</v>
      </c>
      <c r="O2495" s="28" t="str">
        <f>IF(D2495="","",IF(COUNTIF(离职清单!C:C,D2495)&gt;0,"已离职","在职"))</f>
        <v>在职</v>
      </c>
      <c r="P2495" s="28" t="str">
        <f>IF(AND(O2495="在职",J2495="是"),COUNTIF(O$2:O2495,"在职"),"")</f>
        <v/>
      </c>
    </row>
    <row r="2496" ht="18" spans="1:16">
      <c r="A2496" s="10">
        <f t="shared" si="44"/>
        <v>2495</v>
      </c>
      <c r="B2496" s="31">
        <v>46178</v>
      </c>
      <c r="C2496" s="32" t="s">
        <v>2323</v>
      </c>
      <c r="D2496" s="120" t="s">
        <v>484</v>
      </c>
      <c r="E2496" s="33" t="s">
        <v>42</v>
      </c>
      <c r="F2496" s="18" t="s">
        <v>64</v>
      </c>
      <c r="G2496" s="18" t="s">
        <v>2164</v>
      </c>
      <c r="H2496" s="34" t="s">
        <v>85</v>
      </c>
      <c r="I2496" s="18" t="s">
        <v>114</v>
      </c>
      <c r="J2496" s="31" t="s">
        <v>105</v>
      </c>
      <c r="K2496" s="31"/>
      <c r="N2496" s="13" t="s">
        <v>30</v>
      </c>
      <c r="O2496" s="28" t="str">
        <f>IF(D2496="","",IF(COUNTIF(离职清单!C:C,D2496)&gt;0,"已离职","在职"))</f>
        <v>在职</v>
      </c>
      <c r="P2496" s="28" t="str">
        <f>IF(AND(O2496="在职",J2496="是"),COUNTIF(O$2:O2496,"在职"),"")</f>
        <v/>
      </c>
    </row>
    <row r="2497" ht="18" spans="1:16">
      <c r="A2497" s="14">
        <f t="shared" si="44"/>
        <v>2496</v>
      </c>
      <c r="B2497" s="31">
        <v>46178</v>
      </c>
      <c r="C2497" s="32" t="s">
        <v>2321</v>
      </c>
      <c r="D2497" s="120" t="s">
        <v>486</v>
      </c>
      <c r="E2497" s="33" t="s">
        <v>42</v>
      </c>
      <c r="F2497" s="18" t="s">
        <v>64</v>
      </c>
      <c r="G2497" s="18" t="s">
        <v>2164</v>
      </c>
      <c r="H2497" s="34" t="s">
        <v>85</v>
      </c>
      <c r="I2497" s="18" t="s">
        <v>114</v>
      </c>
      <c r="J2497" s="31" t="s">
        <v>105</v>
      </c>
      <c r="K2497" s="31"/>
      <c r="N2497" s="13" t="s">
        <v>30</v>
      </c>
      <c r="O2497" s="28" t="str">
        <f>IF(D2497="","",IF(COUNTIF(离职清单!C:C,D2497)&gt;0,"已离职","在职"))</f>
        <v>在职</v>
      </c>
      <c r="P2497" s="28" t="str">
        <f>IF(AND(O2497="在职",J2497="是"),COUNTIF(O$2:O2497,"在职"),"")</f>
        <v/>
      </c>
    </row>
    <row r="2498" ht="18" spans="1:16">
      <c r="A2498" s="10">
        <f t="shared" si="44"/>
        <v>2497</v>
      </c>
      <c r="B2498" s="31">
        <v>46178</v>
      </c>
      <c r="C2498" s="32" t="s">
        <v>2501</v>
      </c>
      <c r="D2498" s="120" t="s">
        <v>488</v>
      </c>
      <c r="E2498" s="33" t="s">
        <v>42</v>
      </c>
      <c r="F2498" s="18" t="s">
        <v>64</v>
      </c>
      <c r="G2498" s="18" t="s">
        <v>2164</v>
      </c>
      <c r="H2498" s="34" t="s">
        <v>85</v>
      </c>
      <c r="I2498" s="18" t="s">
        <v>114</v>
      </c>
      <c r="J2498" s="31" t="s">
        <v>105</v>
      </c>
      <c r="K2498" s="31"/>
      <c r="N2498" s="13" t="s">
        <v>30</v>
      </c>
      <c r="O2498" s="28" t="str">
        <f>IF(D2498="","",IF(COUNTIF(离职清单!C:C,D2498)&gt;0,"已离职","在职"))</f>
        <v>在职</v>
      </c>
      <c r="P2498" s="28" t="str">
        <f>IF(AND(O2498="在职",J2498="是"),COUNTIF(O$2:O2498,"在职"),"")</f>
        <v/>
      </c>
    </row>
    <row r="2499" ht="18" spans="1:16">
      <c r="A2499" s="14">
        <f t="shared" si="44"/>
        <v>2498</v>
      </c>
      <c r="B2499" s="31">
        <v>46178</v>
      </c>
      <c r="C2499" s="32" t="s">
        <v>2502</v>
      </c>
      <c r="D2499" s="120" t="s">
        <v>490</v>
      </c>
      <c r="E2499" s="33" t="s">
        <v>42</v>
      </c>
      <c r="F2499" s="18" t="s">
        <v>64</v>
      </c>
      <c r="G2499" s="18" t="s">
        <v>2164</v>
      </c>
      <c r="H2499" s="34" t="s">
        <v>85</v>
      </c>
      <c r="I2499" s="18" t="s">
        <v>114</v>
      </c>
      <c r="J2499" s="31" t="s">
        <v>105</v>
      </c>
      <c r="K2499" s="31"/>
      <c r="N2499" s="13" t="s">
        <v>30</v>
      </c>
      <c r="O2499" s="28" t="str">
        <f>IF(D2499="","",IF(COUNTIF(离职清单!C:C,D2499)&gt;0,"已离职","在职"))</f>
        <v>在职</v>
      </c>
      <c r="P2499" s="28" t="str">
        <f>IF(AND(O2499="在职",J2499="是"),COUNTIF(O$2:O2499,"在职"),"")</f>
        <v/>
      </c>
    </row>
    <row r="2500" ht="18" spans="1:16">
      <c r="A2500" s="10">
        <f t="shared" si="44"/>
        <v>2499</v>
      </c>
      <c r="B2500" s="31">
        <v>46178</v>
      </c>
      <c r="C2500" s="32" t="s">
        <v>2503</v>
      </c>
      <c r="D2500" s="120" t="s">
        <v>492</v>
      </c>
      <c r="E2500" s="33" t="s">
        <v>42</v>
      </c>
      <c r="F2500" s="18" t="s">
        <v>64</v>
      </c>
      <c r="G2500" s="18" t="s">
        <v>2164</v>
      </c>
      <c r="H2500" s="34" t="s">
        <v>85</v>
      </c>
      <c r="I2500" s="18" t="s">
        <v>114</v>
      </c>
      <c r="J2500" s="31" t="s">
        <v>105</v>
      </c>
      <c r="K2500" s="31"/>
      <c r="N2500" s="13" t="s">
        <v>30</v>
      </c>
      <c r="O2500" s="28" t="str">
        <f>IF(D2500="","",IF(COUNTIF(离职清单!C:C,D2500)&gt;0,"已离职","在职"))</f>
        <v>在职</v>
      </c>
      <c r="P2500" s="28" t="str">
        <f>IF(AND(O2500="在职",J2500="是"),COUNTIF(O$2:O2500,"在职"),"")</f>
        <v/>
      </c>
    </row>
    <row r="2501" ht="18" spans="1:16">
      <c r="A2501" s="14">
        <f t="shared" si="44"/>
        <v>2500</v>
      </c>
      <c r="B2501" s="31">
        <v>46178</v>
      </c>
      <c r="C2501" s="32" t="s">
        <v>2504</v>
      </c>
      <c r="D2501" s="120" t="s">
        <v>477</v>
      </c>
      <c r="E2501" s="33" t="s">
        <v>42</v>
      </c>
      <c r="F2501" s="18" t="s">
        <v>64</v>
      </c>
      <c r="G2501" s="18" t="s">
        <v>2164</v>
      </c>
      <c r="H2501" s="34" t="s">
        <v>85</v>
      </c>
      <c r="I2501" s="18" t="s">
        <v>114</v>
      </c>
      <c r="J2501" s="31" t="s">
        <v>105</v>
      </c>
      <c r="K2501" s="31"/>
      <c r="N2501" s="13" t="s">
        <v>30</v>
      </c>
      <c r="O2501" s="28" t="str">
        <f>IF(D2501="","",IF(COUNTIF(离职清单!C:C,D2501)&gt;0,"已离职","在职"))</f>
        <v>在职</v>
      </c>
      <c r="P2501" s="28" t="str">
        <f>IF(AND(O2501="在职",J2501="是"),COUNTIF(O$2:O2501,"在职"),"")</f>
        <v/>
      </c>
    </row>
    <row r="2502" ht="18" spans="1:16">
      <c r="A2502" s="10">
        <f t="shared" si="44"/>
        <v>2501</v>
      </c>
      <c r="B2502" s="31">
        <v>46178</v>
      </c>
      <c r="C2502" s="32" t="s">
        <v>2505</v>
      </c>
      <c r="D2502" s="120" t="s">
        <v>478</v>
      </c>
      <c r="E2502" s="33" t="s">
        <v>43</v>
      </c>
      <c r="F2502" s="18" t="s">
        <v>64</v>
      </c>
      <c r="G2502" s="18" t="s">
        <v>2370</v>
      </c>
      <c r="H2502" s="34" t="s">
        <v>85</v>
      </c>
      <c r="I2502" s="18" t="s">
        <v>114</v>
      </c>
      <c r="J2502" s="31" t="s">
        <v>105</v>
      </c>
      <c r="K2502" s="31"/>
      <c r="N2502" s="13" t="s">
        <v>30</v>
      </c>
      <c r="O2502" s="28" t="str">
        <f>IF(D2502="","",IF(COUNTIF(离职清单!C:C,D2502)&gt;0,"已离职","在职"))</f>
        <v>在职</v>
      </c>
      <c r="P2502" s="28" t="str">
        <f>IF(AND(O2502="在职",J2502="是"),COUNTIF(O$2:O2502,"在职"),"")</f>
        <v/>
      </c>
    </row>
    <row r="2503" ht="18" spans="1:16">
      <c r="A2503" s="14">
        <f t="shared" si="44"/>
        <v>2502</v>
      </c>
      <c r="B2503" s="31">
        <v>46178</v>
      </c>
      <c r="C2503" s="32" t="s">
        <v>2293</v>
      </c>
      <c r="D2503" s="120" t="s">
        <v>480</v>
      </c>
      <c r="E2503" s="33" t="s">
        <v>43</v>
      </c>
      <c r="F2503" s="18" t="s">
        <v>63</v>
      </c>
      <c r="G2503" s="18" t="s">
        <v>2370</v>
      </c>
      <c r="H2503" s="34" t="s">
        <v>85</v>
      </c>
      <c r="I2503" s="18" t="s">
        <v>114</v>
      </c>
      <c r="J2503" s="31" t="s">
        <v>114</v>
      </c>
      <c r="K2503" s="31">
        <v>46180</v>
      </c>
      <c r="N2503" s="13" t="s">
        <v>30</v>
      </c>
      <c r="O2503" s="28" t="str">
        <f>IF(D2503="","",IF(COUNTIF(离职清单!C:C,D2503)&gt;0,"已离职","在职"))</f>
        <v>在职</v>
      </c>
      <c r="P2503" s="28">
        <f>IF(AND(O2503="在职",J2503="是"),COUNTIF(O$2:O2503,"在职"),"")</f>
        <v>2496</v>
      </c>
    </row>
    <row r="2504" ht="18" spans="1:16">
      <c r="A2504" s="10">
        <f t="shared" si="44"/>
        <v>2503</v>
      </c>
      <c r="B2504" s="31">
        <v>46178</v>
      </c>
      <c r="C2504" s="32" t="s">
        <v>2506</v>
      </c>
      <c r="D2504" s="120" t="s">
        <v>482</v>
      </c>
      <c r="E2504" s="33" t="s">
        <v>43</v>
      </c>
      <c r="F2504" s="18" t="s">
        <v>63</v>
      </c>
      <c r="G2504" s="18" t="s">
        <v>2174</v>
      </c>
      <c r="H2504" s="34" t="s">
        <v>85</v>
      </c>
      <c r="I2504" s="18" t="s">
        <v>114</v>
      </c>
      <c r="J2504" s="31" t="s">
        <v>105</v>
      </c>
      <c r="K2504" s="31"/>
      <c r="N2504" s="13" t="s">
        <v>30</v>
      </c>
      <c r="O2504" s="28" t="str">
        <f>IF(D2504="","",IF(COUNTIF(离职清单!C:C,D2504)&gt;0,"已离职","在职"))</f>
        <v>在职</v>
      </c>
      <c r="P2504" s="28" t="str">
        <f>IF(AND(O2504="在职",J2504="是"),COUNTIF(O$2:O2504,"在职"),"")</f>
        <v/>
      </c>
    </row>
    <row r="2505" ht="18" spans="1:16">
      <c r="A2505" s="14">
        <f t="shared" si="44"/>
        <v>2504</v>
      </c>
      <c r="B2505" s="31">
        <v>46178</v>
      </c>
      <c r="C2505" s="32" t="s">
        <v>2507</v>
      </c>
      <c r="D2505" s="120" t="s">
        <v>484</v>
      </c>
      <c r="E2505" s="33" t="s">
        <v>43</v>
      </c>
      <c r="F2505" s="18" t="s">
        <v>63</v>
      </c>
      <c r="G2505" s="18" t="s">
        <v>129</v>
      </c>
      <c r="H2505" s="34" t="s">
        <v>85</v>
      </c>
      <c r="I2505" s="18" t="s">
        <v>114</v>
      </c>
      <c r="J2505" s="31" t="s">
        <v>114</v>
      </c>
      <c r="K2505" s="31">
        <v>46180</v>
      </c>
      <c r="N2505" s="13" t="s">
        <v>30</v>
      </c>
      <c r="O2505" s="28" t="str">
        <f>IF(D2505="","",IF(COUNTIF(离职清单!C:C,D2505)&gt;0,"已离职","在职"))</f>
        <v>在职</v>
      </c>
      <c r="P2505" s="28">
        <f>IF(AND(O2505="在职",J2505="是"),COUNTIF(O$2:O2505,"在职"),"")</f>
        <v>2498</v>
      </c>
    </row>
    <row r="2506" ht="18" spans="1:16">
      <c r="A2506" s="10">
        <f t="shared" si="44"/>
        <v>2505</v>
      </c>
      <c r="B2506" s="31">
        <v>46178</v>
      </c>
      <c r="C2506" s="32" t="s">
        <v>2508</v>
      </c>
      <c r="D2506" s="120" t="s">
        <v>486</v>
      </c>
      <c r="E2506" s="33" t="s">
        <v>43</v>
      </c>
      <c r="F2506" s="18" t="s">
        <v>63</v>
      </c>
      <c r="G2506" s="18" t="s">
        <v>129</v>
      </c>
      <c r="H2506" s="34" t="s">
        <v>85</v>
      </c>
      <c r="I2506" s="18" t="s">
        <v>114</v>
      </c>
      <c r="J2506" s="31" t="s">
        <v>105</v>
      </c>
      <c r="K2506" s="31"/>
      <c r="N2506" s="13" t="s">
        <v>30</v>
      </c>
      <c r="O2506" s="28" t="str">
        <f>IF(D2506="","",IF(COUNTIF(离职清单!C:C,D2506)&gt;0,"已离职","在职"))</f>
        <v>在职</v>
      </c>
      <c r="P2506" s="28" t="str">
        <f>IF(AND(O2506="在职",J2506="是"),COUNTIF(O$2:O2506,"在职"),"")</f>
        <v/>
      </c>
    </row>
    <row r="2507" ht="18" spans="1:16">
      <c r="A2507" s="14">
        <f t="shared" si="44"/>
        <v>2506</v>
      </c>
      <c r="B2507" s="31">
        <v>46178</v>
      </c>
      <c r="C2507" s="32" t="s">
        <v>2374</v>
      </c>
      <c r="D2507" s="120" t="s">
        <v>488</v>
      </c>
      <c r="E2507" s="33" t="s">
        <v>43</v>
      </c>
      <c r="F2507" s="18" t="s">
        <v>64</v>
      </c>
      <c r="G2507" s="18" t="s">
        <v>179</v>
      </c>
      <c r="H2507" s="34" t="s">
        <v>85</v>
      </c>
      <c r="I2507" s="18" t="s">
        <v>114</v>
      </c>
      <c r="J2507" s="31" t="s">
        <v>114</v>
      </c>
      <c r="K2507" s="31">
        <v>46183</v>
      </c>
      <c r="N2507" s="13" t="s">
        <v>30</v>
      </c>
      <c r="O2507" s="28" t="str">
        <f>IF(D2507="","",IF(COUNTIF(离职清单!C:C,D2507)&gt;0,"已离职","在职"))</f>
        <v>在职</v>
      </c>
      <c r="P2507" s="28">
        <f>IF(AND(O2507="在职",J2507="是"),COUNTIF(O$2:O2507,"在职"),"")</f>
        <v>2500</v>
      </c>
    </row>
    <row r="2508" ht="18" spans="1:16">
      <c r="A2508" s="10">
        <f t="shared" si="44"/>
        <v>2507</v>
      </c>
      <c r="B2508" s="31">
        <v>46178</v>
      </c>
      <c r="C2508" s="32" t="s">
        <v>2509</v>
      </c>
      <c r="D2508" s="120" t="s">
        <v>490</v>
      </c>
      <c r="E2508" s="33" t="s">
        <v>43</v>
      </c>
      <c r="F2508" s="18" t="s">
        <v>63</v>
      </c>
      <c r="G2508" s="18" t="s">
        <v>2221</v>
      </c>
      <c r="H2508" s="34" t="s">
        <v>85</v>
      </c>
      <c r="I2508" s="18" t="s">
        <v>114</v>
      </c>
      <c r="J2508" s="31" t="s">
        <v>114</v>
      </c>
      <c r="K2508" s="31">
        <v>46179</v>
      </c>
      <c r="N2508" s="13" t="s">
        <v>30</v>
      </c>
      <c r="O2508" s="28" t="str">
        <f>IF(D2508="","",IF(COUNTIF(离职清单!C:C,D2508)&gt;0,"已离职","在职"))</f>
        <v>在职</v>
      </c>
      <c r="P2508" s="28">
        <f>IF(AND(O2508="在职",J2508="是"),COUNTIF(O$2:O2508,"在职"),"")</f>
        <v>2501</v>
      </c>
    </row>
    <row r="2509" ht="18" spans="1:16">
      <c r="A2509" s="14">
        <f t="shared" si="44"/>
        <v>2508</v>
      </c>
      <c r="B2509" s="31">
        <v>46178</v>
      </c>
      <c r="C2509" s="32" t="s">
        <v>2510</v>
      </c>
      <c r="D2509" s="120" t="s">
        <v>492</v>
      </c>
      <c r="E2509" s="33" t="s">
        <v>43</v>
      </c>
      <c r="F2509" s="18" t="s">
        <v>62</v>
      </c>
      <c r="G2509" s="18" t="s">
        <v>2221</v>
      </c>
      <c r="H2509" s="34" t="s">
        <v>85</v>
      </c>
      <c r="I2509" s="18" t="s">
        <v>114</v>
      </c>
      <c r="J2509" s="31" t="s">
        <v>114</v>
      </c>
      <c r="K2509" s="31">
        <v>46181</v>
      </c>
      <c r="N2509" s="13" t="s">
        <v>30</v>
      </c>
      <c r="O2509" s="28" t="str">
        <f>IF(D2509="","",IF(COUNTIF(离职清单!C:C,D2509)&gt;0,"已离职","在职"))</f>
        <v>在职</v>
      </c>
      <c r="P2509" s="28">
        <f>IF(AND(O2509="在职",J2509="是"),COUNTIF(O$2:O2509,"在职"),"")</f>
        <v>2502</v>
      </c>
    </row>
    <row r="2510" ht="18" spans="1:16">
      <c r="A2510" s="10">
        <f t="shared" si="44"/>
        <v>2509</v>
      </c>
      <c r="B2510" s="31">
        <v>46178</v>
      </c>
      <c r="C2510" s="32" t="s">
        <v>2511</v>
      </c>
      <c r="D2510" s="120" t="s">
        <v>477</v>
      </c>
      <c r="E2510" s="33" t="s">
        <v>43</v>
      </c>
      <c r="F2510" s="18" t="s">
        <v>63</v>
      </c>
      <c r="G2510" s="18" t="s">
        <v>2221</v>
      </c>
      <c r="H2510" s="34" t="s">
        <v>85</v>
      </c>
      <c r="I2510" s="18" t="s">
        <v>114</v>
      </c>
      <c r="J2510" s="31" t="s">
        <v>105</v>
      </c>
      <c r="K2510" s="31"/>
      <c r="N2510" s="13" t="s">
        <v>30</v>
      </c>
      <c r="O2510" s="28" t="str">
        <f>IF(D2510="","",IF(COUNTIF(离职清单!C:C,D2510)&gt;0,"已离职","在职"))</f>
        <v>在职</v>
      </c>
      <c r="P2510" s="28" t="str">
        <f>IF(AND(O2510="在职",J2510="是"),COUNTIF(O$2:O2510,"在职"),"")</f>
        <v/>
      </c>
    </row>
    <row r="2511" ht="18" spans="1:16">
      <c r="A2511" s="14">
        <f t="shared" si="44"/>
        <v>2510</v>
      </c>
      <c r="B2511" s="31">
        <v>46178</v>
      </c>
      <c r="C2511" s="32" t="s">
        <v>2512</v>
      </c>
      <c r="D2511" s="120" t="s">
        <v>478</v>
      </c>
      <c r="E2511" s="33" t="s">
        <v>43</v>
      </c>
      <c r="F2511" s="18" t="s">
        <v>64</v>
      </c>
      <c r="G2511" s="18" t="s">
        <v>2513</v>
      </c>
      <c r="H2511" s="34" t="s">
        <v>86</v>
      </c>
      <c r="I2511" s="18" t="s">
        <v>114</v>
      </c>
      <c r="J2511" s="31" t="s">
        <v>105</v>
      </c>
      <c r="K2511" s="31"/>
      <c r="N2511" s="13" t="s">
        <v>30</v>
      </c>
      <c r="O2511" s="28" t="str">
        <f>IF(D2511="","",IF(COUNTIF(离职清单!C:C,D2511)&gt;0,"已离职","在职"))</f>
        <v>在职</v>
      </c>
      <c r="P2511" s="28" t="str">
        <f>IF(AND(O2511="在职",J2511="是"),COUNTIF(O$2:O2511,"在职"),"")</f>
        <v/>
      </c>
    </row>
    <row r="2512" ht="18" spans="1:16">
      <c r="A2512" s="10">
        <f t="shared" si="44"/>
        <v>2511</v>
      </c>
      <c r="B2512" s="31">
        <v>46178</v>
      </c>
      <c r="C2512" s="32" t="s">
        <v>2514</v>
      </c>
      <c r="D2512" s="120" t="s">
        <v>480</v>
      </c>
      <c r="E2512" s="33" t="s">
        <v>43</v>
      </c>
      <c r="F2512" s="18" t="s">
        <v>63</v>
      </c>
      <c r="G2512" s="18" t="s">
        <v>2513</v>
      </c>
      <c r="H2512" s="34" t="s">
        <v>86</v>
      </c>
      <c r="I2512" s="18" t="s">
        <v>114</v>
      </c>
      <c r="J2512" s="31" t="s">
        <v>114</v>
      </c>
      <c r="K2512" s="31">
        <v>46178</v>
      </c>
      <c r="N2512" s="13" t="s">
        <v>30</v>
      </c>
      <c r="O2512" s="28" t="str">
        <f>IF(D2512="","",IF(COUNTIF(离职清单!C:C,D2512)&gt;0,"已离职","在职"))</f>
        <v>在职</v>
      </c>
      <c r="P2512" s="28">
        <f>IF(AND(O2512="在职",J2512="是"),COUNTIF(O$2:O2512,"在职"),"")</f>
        <v>2505</v>
      </c>
    </row>
    <row r="2513" ht="18" spans="1:16">
      <c r="A2513" s="14">
        <f t="shared" si="44"/>
        <v>2512</v>
      </c>
      <c r="B2513" s="31">
        <v>46178</v>
      </c>
      <c r="C2513" s="32" t="s">
        <v>2515</v>
      </c>
      <c r="D2513" s="120" t="s">
        <v>482</v>
      </c>
      <c r="E2513" s="33" t="s">
        <v>43</v>
      </c>
      <c r="F2513" s="18" t="s">
        <v>64</v>
      </c>
      <c r="G2513" s="18" t="s">
        <v>2513</v>
      </c>
      <c r="H2513" s="34" t="s">
        <v>86</v>
      </c>
      <c r="I2513" s="18" t="s">
        <v>114</v>
      </c>
      <c r="J2513" s="31" t="s">
        <v>105</v>
      </c>
      <c r="K2513" s="31"/>
      <c r="N2513" s="13" t="s">
        <v>30</v>
      </c>
      <c r="O2513" s="28" t="str">
        <f>IF(D2513="","",IF(COUNTIF(离职清单!C:C,D2513)&gt;0,"已离职","在职"))</f>
        <v>在职</v>
      </c>
      <c r="P2513" s="28" t="str">
        <f>IF(AND(O2513="在职",J2513="是"),COUNTIF(O$2:O2513,"在职"),"")</f>
        <v/>
      </c>
    </row>
    <row r="2514" ht="18" spans="1:16">
      <c r="A2514" s="10">
        <f t="shared" si="44"/>
        <v>2513</v>
      </c>
      <c r="B2514" s="31">
        <v>46178</v>
      </c>
      <c r="C2514" s="32" t="s">
        <v>2516</v>
      </c>
      <c r="D2514" s="120" t="s">
        <v>484</v>
      </c>
      <c r="E2514" s="33" t="s">
        <v>43</v>
      </c>
      <c r="F2514" s="18" t="s">
        <v>64</v>
      </c>
      <c r="G2514" s="18" t="s">
        <v>124</v>
      </c>
      <c r="H2514" s="34" t="s">
        <v>86</v>
      </c>
      <c r="I2514" s="18" t="s">
        <v>114</v>
      </c>
      <c r="J2514" s="31" t="s">
        <v>114</v>
      </c>
      <c r="K2514" s="31">
        <v>46185</v>
      </c>
      <c r="N2514" s="13" t="s">
        <v>30</v>
      </c>
      <c r="O2514" s="28" t="str">
        <f>IF(D2514="","",IF(COUNTIF(离职清单!C:C,D2514)&gt;0,"已离职","在职"))</f>
        <v>在职</v>
      </c>
      <c r="P2514" s="28">
        <f>IF(AND(O2514="在职",J2514="是"),COUNTIF(O$2:O2514,"在职"),"")</f>
        <v>2507</v>
      </c>
    </row>
    <row r="2515" ht="18" spans="1:16">
      <c r="A2515" s="14">
        <f t="shared" si="44"/>
        <v>2514</v>
      </c>
      <c r="B2515" s="31">
        <v>46178</v>
      </c>
      <c r="C2515" s="32" t="s">
        <v>2517</v>
      </c>
      <c r="D2515" s="120" t="s">
        <v>486</v>
      </c>
      <c r="E2515" s="33" t="s">
        <v>42</v>
      </c>
      <c r="F2515" s="18" t="s">
        <v>62</v>
      </c>
      <c r="G2515" s="18" t="s">
        <v>148</v>
      </c>
      <c r="H2515" s="34" t="s">
        <v>85</v>
      </c>
      <c r="I2515" s="18" t="s">
        <v>114</v>
      </c>
      <c r="J2515" s="31" t="s">
        <v>105</v>
      </c>
      <c r="K2515" s="31"/>
      <c r="N2515" s="13" t="s">
        <v>30</v>
      </c>
      <c r="O2515" s="28" t="str">
        <f>IF(D2515="","",IF(COUNTIF(离职清单!C:C,D2515)&gt;0,"已离职","在职"))</f>
        <v>在职</v>
      </c>
      <c r="P2515" s="28" t="str">
        <f>IF(AND(O2515="在职",J2515="是"),COUNTIF(O$2:O2515,"在职"),"")</f>
        <v/>
      </c>
    </row>
    <row r="2516" ht="18" spans="1:16">
      <c r="A2516" s="10">
        <f t="shared" si="44"/>
        <v>2515</v>
      </c>
      <c r="B2516" s="31">
        <v>46178</v>
      </c>
      <c r="C2516" s="32" t="s">
        <v>2518</v>
      </c>
      <c r="D2516" s="120" t="s">
        <v>488</v>
      </c>
      <c r="E2516" s="33" t="s">
        <v>42</v>
      </c>
      <c r="F2516" s="18" t="s">
        <v>64</v>
      </c>
      <c r="G2516" s="18" t="s">
        <v>148</v>
      </c>
      <c r="H2516" s="34" t="s">
        <v>85</v>
      </c>
      <c r="I2516" s="18" t="s">
        <v>114</v>
      </c>
      <c r="J2516" s="31" t="s">
        <v>105</v>
      </c>
      <c r="K2516" s="31"/>
      <c r="N2516" s="13" t="s">
        <v>30</v>
      </c>
      <c r="O2516" s="28" t="str">
        <f>IF(D2516="","",IF(COUNTIF(离职清单!C:C,D2516)&gt;0,"已离职","在职"))</f>
        <v>在职</v>
      </c>
      <c r="P2516" s="28" t="str">
        <f>IF(AND(O2516="在职",J2516="是"),COUNTIF(O$2:O2516,"在职"),"")</f>
        <v/>
      </c>
    </row>
    <row r="2517" ht="18" spans="1:16">
      <c r="A2517" s="14">
        <f t="shared" si="44"/>
        <v>2516</v>
      </c>
      <c r="B2517" s="31">
        <v>46178</v>
      </c>
      <c r="C2517" s="32" t="s">
        <v>2227</v>
      </c>
      <c r="D2517" s="120" t="s">
        <v>490</v>
      </c>
      <c r="E2517" s="33" t="s">
        <v>42</v>
      </c>
      <c r="F2517" s="18" t="s">
        <v>63</v>
      </c>
      <c r="G2517" s="18" t="s">
        <v>148</v>
      </c>
      <c r="H2517" s="34" t="s">
        <v>85</v>
      </c>
      <c r="I2517" s="18" t="s">
        <v>114</v>
      </c>
      <c r="J2517" s="31" t="s">
        <v>114</v>
      </c>
      <c r="K2517" s="31">
        <v>46180</v>
      </c>
      <c r="N2517" s="13" t="s">
        <v>30</v>
      </c>
      <c r="O2517" s="28" t="str">
        <f>IF(D2517="","",IF(COUNTIF(离职清单!C:C,D2517)&gt;0,"已离职","在职"))</f>
        <v>在职</v>
      </c>
      <c r="P2517" s="28">
        <f>IF(AND(O2517="在职",J2517="是"),COUNTIF(O$2:O2517,"在职"),"")</f>
        <v>2510</v>
      </c>
    </row>
    <row r="2518" ht="18" spans="1:16">
      <c r="A2518" s="10">
        <f t="shared" si="44"/>
        <v>2517</v>
      </c>
      <c r="B2518" s="31">
        <v>46178</v>
      </c>
      <c r="C2518" s="32" t="s">
        <v>2519</v>
      </c>
      <c r="D2518" s="120" t="s">
        <v>492</v>
      </c>
      <c r="E2518" s="33" t="s">
        <v>42</v>
      </c>
      <c r="F2518" s="18" t="s">
        <v>63</v>
      </c>
      <c r="G2518" s="18" t="s">
        <v>148</v>
      </c>
      <c r="H2518" s="34" t="s">
        <v>85</v>
      </c>
      <c r="I2518" s="18" t="s">
        <v>114</v>
      </c>
      <c r="J2518" s="31" t="s">
        <v>114</v>
      </c>
      <c r="K2518" s="31">
        <v>46181</v>
      </c>
      <c r="N2518" s="13" t="s">
        <v>30</v>
      </c>
      <c r="O2518" s="28" t="str">
        <f>IF(D2518="","",IF(COUNTIF(离职清单!C:C,D2518)&gt;0,"已离职","在职"))</f>
        <v>在职</v>
      </c>
      <c r="P2518" s="28">
        <f>IF(AND(O2518="在职",J2518="是"),COUNTIF(O$2:O2518,"在职"),"")</f>
        <v>2511</v>
      </c>
    </row>
    <row r="2519" ht="18" spans="1:16">
      <c r="A2519" s="14">
        <f t="shared" si="44"/>
        <v>2518</v>
      </c>
      <c r="B2519" s="31">
        <v>46178</v>
      </c>
      <c r="C2519" s="32" t="s">
        <v>2520</v>
      </c>
      <c r="D2519" s="120" t="s">
        <v>477</v>
      </c>
      <c r="E2519" s="33" t="s">
        <v>42</v>
      </c>
      <c r="F2519" s="18" t="s">
        <v>63</v>
      </c>
      <c r="G2519" s="18" t="s">
        <v>148</v>
      </c>
      <c r="H2519" s="34" t="s">
        <v>85</v>
      </c>
      <c r="I2519" s="18" t="s">
        <v>114</v>
      </c>
      <c r="J2519" s="31" t="s">
        <v>105</v>
      </c>
      <c r="K2519" s="31"/>
      <c r="N2519" s="13" t="s">
        <v>30</v>
      </c>
      <c r="O2519" s="28" t="str">
        <f>IF(D2519="","",IF(COUNTIF(离职清单!C:C,D2519)&gt;0,"已离职","在职"))</f>
        <v>在职</v>
      </c>
      <c r="P2519" s="28" t="str">
        <f>IF(AND(O2519="在职",J2519="是"),COUNTIF(O$2:O2519,"在职"),"")</f>
        <v/>
      </c>
    </row>
    <row r="2520" ht="18" spans="1:16">
      <c r="A2520" s="10">
        <f t="shared" si="44"/>
        <v>2519</v>
      </c>
      <c r="B2520" s="31">
        <v>46178</v>
      </c>
      <c r="C2520" s="32" t="s">
        <v>2521</v>
      </c>
      <c r="D2520" s="120" t="s">
        <v>478</v>
      </c>
      <c r="E2520" s="33" t="s">
        <v>42</v>
      </c>
      <c r="F2520" s="18" t="s">
        <v>64</v>
      </c>
      <c r="G2520" s="18" t="s">
        <v>148</v>
      </c>
      <c r="H2520" s="34" t="s">
        <v>85</v>
      </c>
      <c r="I2520" s="18" t="s">
        <v>114</v>
      </c>
      <c r="J2520" s="31" t="s">
        <v>105</v>
      </c>
      <c r="K2520" s="31"/>
      <c r="N2520" s="13" t="s">
        <v>30</v>
      </c>
      <c r="O2520" s="28" t="str">
        <f>IF(D2520="","",IF(COUNTIF(离职清单!C:C,D2520)&gt;0,"已离职","在职"))</f>
        <v>在职</v>
      </c>
      <c r="P2520" s="28" t="str">
        <f>IF(AND(O2520="在职",J2520="是"),COUNTIF(O$2:O2520,"在职"),"")</f>
        <v/>
      </c>
    </row>
    <row r="2521" ht="18" spans="1:16">
      <c r="A2521" s="14">
        <f t="shared" si="44"/>
        <v>2520</v>
      </c>
      <c r="B2521" s="31">
        <v>46178</v>
      </c>
      <c r="C2521" s="32" t="s">
        <v>2522</v>
      </c>
      <c r="D2521" s="120" t="s">
        <v>480</v>
      </c>
      <c r="E2521" s="33" t="s">
        <v>42</v>
      </c>
      <c r="F2521" s="18" t="s">
        <v>64</v>
      </c>
      <c r="G2521" s="18" t="s">
        <v>148</v>
      </c>
      <c r="H2521" s="34" t="s">
        <v>85</v>
      </c>
      <c r="I2521" s="18" t="s">
        <v>114</v>
      </c>
      <c r="J2521" s="31" t="s">
        <v>105</v>
      </c>
      <c r="K2521" s="31"/>
      <c r="N2521" s="13" t="s">
        <v>30</v>
      </c>
      <c r="O2521" s="28" t="str">
        <f>IF(D2521="","",IF(COUNTIF(离职清单!C:C,D2521)&gt;0,"已离职","在职"))</f>
        <v>在职</v>
      </c>
      <c r="P2521" s="28" t="str">
        <f>IF(AND(O2521="在职",J2521="是"),COUNTIF(O$2:O2521,"在职"),"")</f>
        <v/>
      </c>
    </row>
    <row r="2522" ht="18" spans="1:16">
      <c r="A2522" s="10">
        <f t="shared" si="44"/>
        <v>2521</v>
      </c>
      <c r="B2522" s="31">
        <v>46178</v>
      </c>
      <c r="C2522" s="32" t="s">
        <v>2523</v>
      </c>
      <c r="D2522" s="120" t="s">
        <v>482</v>
      </c>
      <c r="E2522" s="33" t="s">
        <v>43</v>
      </c>
      <c r="F2522" s="18" t="s">
        <v>64</v>
      </c>
      <c r="G2522" s="18" t="s">
        <v>148</v>
      </c>
      <c r="H2522" s="34" t="s">
        <v>85</v>
      </c>
      <c r="I2522" s="18" t="s">
        <v>105</v>
      </c>
      <c r="J2522" s="31" t="s">
        <v>105</v>
      </c>
      <c r="K2522" s="31"/>
      <c r="N2522" s="13" t="s">
        <v>30</v>
      </c>
      <c r="O2522" s="28" t="str">
        <f>IF(D2522="","",IF(COUNTIF(离职清单!C:C,D2522)&gt;0,"已离职","在职"))</f>
        <v>在职</v>
      </c>
      <c r="P2522" s="28" t="str">
        <f>IF(AND(O2522="在职",J2522="是"),COUNTIF(O$2:O2522,"在职"),"")</f>
        <v/>
      </c>
    </row>
    <row r="2523" ht="18" spans="1:16">
      <c r="A2523" s="14">
        <f t="shared" si="44"/>
        <v>2522</v>
      </c>
      <c r="B2523" s="31">
        <v>46178</v>
      </c>
      <c r="C2523" s="32" t="s">
        <v>2424</v>
      </c>
      <c r="D2523" s="120" t="s">
        <v>484</v>
      </c>
      <c r="E2523" s="33" t="s">
        <v>43</v>
      </c>
      <c r="F2523" s="18" t="s">
        <v>62</v>
      </c>
      <c r="G2523" s="18" t="s">
        <v>2153</v>
      </c>
      <c r="H2523" s="34" t="s">
        <v>85</v>
      </c>
      <c r="I2523" s="18" t="s">
        <v>105</v>
      </c>
      <c r="J2523" s="31" t="s">
        <v>105</v>
      </c>
      <c r="K2523" s="31"/>
      <c r="N2523" s="13" t="s">
        <v>30</v>
      </c>
      <c r="O2523" s="28" t="str">
        <f>IF(D2523="","",IF(COUNTIF(离职清单!C:C,D2523)&gt;0,"已离职","在职"))</f>
        <v>在职</v>
      </c>
      <c r="P2523" s="28" t="str">
        <f>IF(AND(O2523="在职",J2523="是"),COUNTIF(O$2:O2523,"在职"),"")</f>
        <v/>
      </c>
    </row>
    <row r="2524" ht="18" spans="1:16">
      <c r="A2524" s="10">
        <f t="shared" si="44"/>
        <v>2523</v>
      </c>
      <c r="B2524" s="31">
        <v>46178</v>
      </c>
      <c r="C2524" s="32" t="s">
        <v>2524</v>
      </c>
      <c r="D2524" s="120" t="s">
        <v>486</v>
      </c>
      <c r="E2524" s="33" t="s">
        <v>43</v>
      </c>
      <c r="F2524" s="18" t="s">
        <v>64</v>
      </c>
      <c r="G2524" s="18" t="s">
        <v>148</v>
      </c>
      <c r="H2524" s="34" t="s">
        <v>85</v>
      </c>
      <c r="I2524" s="18" t="s">
        <v>105</v>
      </c>
      <c r="J2524" s="31" t="s">
        <v>105</v>
      </c>
      <c r="K2524" s="31"/>
      <c r="N2524" s="13" t="s">
        <v>30</v>
      </c>
      <c r="O2524" s="28" t="str">
        <f>IF(D2524="","",IF(COUNTIF(离职清单!C:C,D2524)&gt;0,"已离职","在职"))</f>
        <v>在职</v>
      </c>
      <c r="P2524" s="28" t="str">
        <f>IF(AND(O2524="在职",J2524="是"),COUNTIF(O$2:O2524,"在职"),"")</f>
        <v/>
      </c>
    </row>
    <row r="2525" ht="18" spans="1:16">
      <c r="A2525" s="14">
        <f t="shared" si="44"/>
        <v>2524</v>
      </c>
      <c r="B2525" s="31">
        <v>46178</v>
      </c>
      <c r="C2525" s="32" t="s">
        <v>2525</v>
      </c>
      <c r="D2525" s="120" t="s">
        <v>488</v>
      </c>
      <c r="E2525" s="33" t="s">
        <v>43</v>
      </c>
      <c r="F2525" s="18" t="s">
        <v>63</v>
      </c>
      <c r="G2525" s="18" t="s">
        <v>124</v>
      </c>
      <c r="H2525" s="34" t="s">
        <v>85</v>
      </c>
      <c r="I2525" s="18" t="s">
        <v>105</v>
      </c>
      <c r="J2525" s="31" t="s">
        <v>105</v>
      </c>
      <c r="K2525" s="31"/>
      <c r="N2525" s="13" t="s">
        <v>30</v>
      </c>
      <c r="O2525" s="28" t="str">
        <f>IF(D2525="","",IF(COUNTIF(离职清单!C:C,D2525)&gt;0,"已离职","在职"))</f>
        <v>在职</v>
      </c>
      <c r="P2525" s="28" t="str">
        <f>IF(AND(O2525="在职",J2525="是"),COUNTIF(O$2:O2525,"在职"),"")</f>
        <v/>
      </c>
    </row>
    <row r="2526" ht="18" spans="1:16">
      <c r="A2526" s="10">
        <f t="shared" si="44"/>
        <v>2525</v>
      </c>
      <c r="B2526" s="31">
        <v>46178</v>
      </c>
      <c r="C2526" s="32" t="s">
        <v>2526</v>
      </c>
      <c r="D2526" s="120" t="s">
        <v>490</v>
      </c>
      <c r="E2526" s="33" t="s">
        <v>43</v>
      </c>
      <c r="F2526" s="18" t="s">
        <v>63</v>
      </c>
      <c r="G2526" s="18" t="s">
        <v>2156</v>
      </c>
      <c r="H2526" s="34" t="s">
        <v>85</v>
      </c>
      <c r="I2526" s="18" t="s">
        <v>105</v>
      </c>
      <c r="J2526" s="31" t="s">
        <v>105</v>
      </c>
      <c r="K2526" s="31"/>
      <c r="N2526" s="13" t="s">
        <v>30</v>
      </c>
      <c r="O2526" s="28" t="str">
        <f>IF(D2526="","",IF(COUNTIF(离职清单!C:C,D2526)&gt;0,"已离职","在职"))</f>
        <v>在职</v>
      </c>
      <c r="P2526" s="28" t="str">
        <f>IF(AND(O2526="在职",J2526="是"),COUNTIF(O$2:O2526,"在职"),"")</f>
        <v/>
      </c>
    </row>
    <row r="2527" ht="18" spans="1:16">
      <c r="A2527" s="14">
        <f t="shared" si="44"/>
        <v>2526</v>
      </c>
      <c r="B2527" s="31">
        <v>46178</v>
      </c>
      <c r="C2527" s="32" t="s">
        <v>2527</v>
      </c>
      <c r="D2527" s="120" t="s">
        <v>492</v>
      </c>
      <c r="E2527" s="33" t="s">
        <v>43</v>
      </c>
      <c r="F2527" s="18" t="s">
        <v>63</v>
      </c>
      <c r="G2527" s="18" t="s">
        <v>2164</v>
      </c>
      <c r="H2527" s="34" t="s">
        <v>85</v>
      </c>
      <c r="I2527" s="18" t="s">
        <v>105</v>
      </c>
      <c r="J2527" s="31" t="s">
        <v>105</v>
      </c>
      <c r="K2527" s="31"/>
      <c r="N2527" s="13" t="s">
        <v>30</v>
      </c>
      <c r="O2527" s="28" t="str">
        <f>IF(D2527="","",IF(COUNTIF(离职清单!C:C,D2527)&gt;0,"已离职","在职"))</f>
        <v>在职</v>
      </c>
      <c r="P2527" s="28" t="str">
        <f>IF(AND(O2527="在职",J2527="是"),COUNTIF(O$2:O2527,"在职"),"")</f>
        <v/>
      </c>
    </row>
    <row r="2528" ht="18" spans="1:16">
      <c r="A2528" s="10">
        <f t="shared" si="44"/>
        <v>2527</v>
      </c>
      <c r="B2528" s="31">
        <v>46178</v>
      </c>
      <c r="C2528" s="32" t="s">
        <v>2528</v>
      </c>
      <c r="D2528" s="120" t="s">
        <v>477</v>
      </c>
      <c r="E2528" s="33" t="s">
        <v>43</v>
      </c>
      <c r="F2528" s="18" t="s">
        <v>63</v>
      </c>
      <c r="G2528" s="18" t="s">
        <v>2164</v>
      </c>
      <c r="H2528" s="34" t="s">
        <v>85</v>
      </c>
      <c r="I2528" s="18" t="s">
        <v>105</v>
      </c>
      <c r="J2528" s="31" t="s">
        <v>105</v>
      </c>
      <c r="K2528" s="31"/>
      <c r="N2528" s="13" t="s">
        <v>30</v>
      </c>
      <c r="O2528" s="28" t="str">
        <f>IF(D2528="","",IF(COUNTIF(离职清单!C:C,D2528)&gt;0,"已离职","在职"))</f>
        <v>在职</v>
      </c>
      <c r="P2528" s="28" t="str">
        <f>IF(AND(O2528="在职",J2528="是"),COUNTIF(O$2:O2528,"在职"),"")</f>
        <v/>
      </c>
    </row>
    <row r="2529" ht="18" spans="1:16">
      <c r="A2529" s="14">
        <f t="shared" si="44"/>
        <v>2528</v>
      </c>
      <c r="B2529" s="31">
        <v>46178</v>
      </c>
      <c r="C2529" s="32" t="s">
        <v>2529</v>
      </c>
      <c r="D2529" s="120" t="s">
        <v>478</v>
      </c>
      <c r="E2529" s="33" t="s">
        <v>42</v>
      </c>
      <c r="F2529" s="18" t="s">
        <v>63</v>
      </c>
      <c r="G2529" s="18" t="s">
        <v>1511</v>
      </c>
      <c r="H2529" s="34" t="s">
        <v>85</v>
      </c>
      <c r="I2529" s="18" t="s">
        <v>105</v>
      </c>
      <c r="J2529" s="31" t="s">
        <v>105</v>
      </c>
      <c r="K2529" s="31"/>
      <c r="N2529" s="13" t="s">
        <v>30</v>
      </c>
      <c r="O2529" s="28" t="str">
        <f>IF(D2529="","",IF(COUNTIF(离职清单!C:C,D2529)&gt;0,"已离职","在职"))</f>
        <v>在职</v>
      </c>
      <c r="P2529" s="28" t="str">
        <f>IF(AND(O2529="在职",J2529="是"),COUNTIF(O$2:O2529,"在职"),"")</f>
        <v/>
      </c>
    </row>
    <row r="2530" ht="18" spans="1:16">
      <c r="A2530" s="10">
        <f t="shared" si="44"/>
        <v>2529</v>
      </c>
      <c r="B2530" s="31">
        <v>46178</v>
      </c>
      <c r="C2530" s="32" t="s">
        <v>2530</v>
      </c>
      <c r="D2530" s="120" t="s">
        <v>480</v>
      </c>
      <c r="E2530" s="33" t="s">
        <v>42</v>
      </c>
      <c r="F2530" s="18" t="s">
        <v>63</v>
      </c>
      <c r="G2530" s="18" t="s">
        <v>2513</v>
      </c>
      <c r="H2530" s="34" t="s">
        <v>86</v>
      </c>
      <c r="I2530" s="18" t="s">
        <v>105</v>
      </c>
      <c r="J2530" s="31" t="s">
        <v>105</v>
      </c>
      <c r="K2530" s="31"/>
      <c r="N2530" s="13" t="s">
        <v>30</v>
      </c>
      <c r="O2530" s="28" t="str">
        <f>IF(D2530="","",IF(COUNTIF(离职清单!C:C,D2530)&gt;0,"已离职","在职"))</f>
        <v>在职</v>
      </c>
      <c r="P2530" s="28" t="str">
        <f>IF(AND(O2530="在职",J2530="是"),COUNTIF(O$2:O2530,"在职"),"")</f>
        <v/>
      </c>
    </row>
    <row r="2531" ht="18" spans="1:16">
      <c r="A2531" s="14">
        <f t="shared" si="44"/>
        <v>2530</v>
      </c>
      <c r="B2531" s="31">
        <v>46178</v>
      </c>
      <c r="C2531" s="32" t="s">
        <v>1510</v>
      </c>
      <c r="D2531" s="120" t="s">
        <v>482</v>
      </c>
      <c r="E2531" s="33" t="s">
        <v>42</v>
      </c>
      <c r="F2531" s="18" t="s">
        <v>63</v>
      </c>
      <c r="G2531" s="18" t="s">
        <v>2166</v>
      </c>
      <c r="H2531" s="34" t="s">
        <v>86</v>
      </c>
      <c r="I2531" s="18" t="s">
        <v>105</v>
      </c>
      <c r="J2531" s="31" t="s">
        <v>105</v>
      </c>
      <c r="K2531" s="31"/>
      <c r="N2531" s="13" t="s">
        <v>30</v>
      </c>
      <c r="O2531" s="28" t="str">
        <f>IF(D2531="","",IF(COUNTIF(离职清单!C:C,D2531)&gt;0,"已离职","在职"))</f>
        <v>在职</v>
      </c>
      <c r="P2531" s="28" t="str">
        <f>IF(AND(O2531="在职",J2531="是"),COUNTIF(O$2:O2531,"在职"),"")</f>
        <v/>
      </c>
    </row>
    <row r="2532" ht="18" spans="1:16">
      <c r="A2532" s="10">
        <f t="shared" si="44"/>
        <v>2531</v>
      </c>
      <c r="B2532" s="31">
        <v>46178</v>
      </c>
      <c r="C2532" s="32" t="s">
        <v>2531</v>
      </c>
      <c r="D2532" s="120" t="s">
        <v>484</v>
      </c>
      <c r="E2532" s="33" t="s">
        <v>42</v>
      </c>
      <c r="F2532" s="18" t="s">
        <v>63</v>
      </c>
      <c r="G2532" s="18" t="s">
        <v>2164</v>
      </c>
      <c r="H2532" s="34" t="s">
        <v>85</v>
      </c>
      <c r="I2532" s="18" t="s">
        <v>105</v>
      </c>
      <c r="J2532" s="31" t="s">
        <v>105</v>
      </c>
      <c r="K2532" s="31"/>
      <c r="N2532" s="13" t="s">
        <v>30</v>
      </c>
      <c r="O2532" s="28" t="str">
        <f>IF(D2532="","",IF(COUNTIF(离职清单!C:C,D2532)&gt;0,"已离职","在职"))</f>
        <v>在职</v>
      </c>
      <c r="P2532" s="28" t="str">
        <f>IF(AND(O2532="在职",J2532="是"),COUNTIF(O$2:O2532,"在职"),"")</f>
        <v/>
      </c>
    </row>
    <row r="2533" ht="18" spans="1:16">
      <c r="A2533" s="14">
        <f t="shared" si="44"/>
        <v>2532</v>
      </c>
      <c r="B2533" s="31">
        <v>46178</v>
      </c>
      <c r="C2533" s="32" t="s">
        <v>2532</v>
      </c>
      <c r="D2533" s="120" t="s">
        <v>486</v>
      </c>
      <c r="E2533" s="33" t="s">
        <v>42</v>
      </c>
      <c r="F2533" s="18" t="s">
        <v>63</v>
      </c>
      <c r="G2533" s="18" t="s">
        <v>2164</v>
      </c>
      <c r="H2533" s="34" t="s">
        <v>85</v>
      </c>
      <c r="I2533" s="18" t="s">
        <v>105</v>
      </c>
      <c r="J2533" s="31" t="s">
        <v>105</v>
      </c>
      <c r="K2533" s="31"/>
      <c r="N2533" s="13" t="s">
        <v>30</v>
      </c>
      <c r="O2533" s="28" t="str">
        <f>IF(D2533="","",IF(COUNTIF(离职清单!C:C,D2533)&gt;0,"已离职","在职"))</f>
        <v>在职</v>
      </c>
      <c r="P2533" s="28" t="str">
        <f>IF(AND(O2533="在职",J2533="是"),COUNTIF(O$2:O2533,"在职"),"")</f>
        <v/>
      </c>
    </row>
    <row r="2534" ht="18" spans="1:16">
      <c r="A2534" s="10">
        <f t="shared" si="44"/>
        <v>2533</v>
      </c>
      <c r="B2534" s="31">
        <v>46178</v>
      </c>
      <c r="C2534" s="32" t="s">
        <v>2533</v>
      </c>
      <c r="D2534" s="120" t="s">
        <v>488</v>
      </c>
      <c r="E2534" s="33" t="s">
        <v>42</v>
      </c>
      <c r="F2534" s="18" t="s">
        <v>63</v>
      </c>
      <c r="G2534" s="18" t="s">
        <v>2164</v>
      </c>
      <c r="H2534" s="34" t="s">
        <v>85</v>
      </c>
      <c r="I2534" s="18" t="s">
        <v>105</v>
      </c>
      <c r="J2534" s="31" t="s">
        <v>105</v>
      </c>
      <c r="K2534" s="31"/>
      <c r="N2534" s="13" t="s">
        <v>30</v>
      </c>
      <c r="O2534" s="28" t="str">
        <f>IF(D2534="","",IF(COUNTIF(离职清单!C:C,D2534)&gt;0,"已离职","在职"))</f>
        <v>在职</v>
      </c>
      <c r="P2534" s="28" t="str">
        <f>IF(AND(O2534="在职",J2534="是"),COUNTIF(O$2:O2534,"在职"),"")</f>
        <v/>
      </c>
    </row>
    <row r="2535" ht="18" spans="1:16">
      <c r="A2535" s="14">
        <f t="shared" si="44"/>
        <v>2534</v>
      </c>
      <c r="B2535" s="31">
        <v>46178</v>
      </c>
      <c r="C2535" s="32" t="s">
        <v>2534</v>
      </c>
      <c r="D2535" s="120" t="s">
        <v>490</v>
      </c>
      <c r="E2535" s="33" t="s">
        <v>43</v>
      </c>
      <c r="F2535" s="18" t="s">
        <v>63</v>
      </c>
      <c r="G2535" s="18" t="s">
        <v>2513</v>
      </c>
      <c r="H2535" s="34" t="s">
        <v>86</v>
      </c>
      <c r="I2535" s="18" t="s">
        <v>105</v>
      </c>
      <c r="J2535" s="31" t="s">
        <v>105</v>
      </c>
      <c r="K2535" s="31"/>
      <c r="N2535" s="13" t="s">
        <v>30</v>
      </c>
      <c r="O2535" s="28" t="str">
        <f>IF(D2535="","",IF(COUNTIF(离职清单!C:C,D2535)&gt;0,"已离职","在职"))</f>
        <v>在职</v>
      </c>
      <c r="P2535" s="28" t="str">
        <f>IF(AND(O2535="在职",J2535="是"),COUNTIF(O$2:O2535,"在职"),"")</f>
        <v/>
      </c>
    </row>
    <row r="2536" ht="18" spans="1:16">
      <c r="A2536" s="10">
        <f t="shared" si="44"/>
        <v>2535</v>
      </c>
      <c r="B2536" s="31">
        <v>46178</v>
      </c>
      <c r="C2536" s="32" t="s">
        <v>2535</v>
      </c>
      <c r="D2536" s="120" t="s">
        <v>492</v>
      </c>
      <c r="E2536" s="33" t="s">
        <v>43</v>
      </c>
      <c r="F2536" s="18" t="s">
        <v>63</v>
      </c>
      <c r="G2536" s="18" t="s">
        <v>2513</v>
      </c>
      <c r="H2536" s="34" t="s">
        <v>86</v>
      </c>
      <c r="I2536" s="18" t="s">
        <v>105</v>
      </c>
      <c r="J2536" s="31" t="s">
        <v>105</v>
      </c>
      <c r="K2536" s="31"/>
      <c r="N2536" s="13" t="s">
        <v>30</v>
      </c>
      <c r="O2536" s="28" t="str">
        <f>IF(D2536="","",IF(COUNTIF(离职清单!C:C,D2536)&gt;0,"已离职","在职"))</f>
        <v>在职</v>
      </c>
      <c r="P2536" s="28" t="str">
        <f>IF(AND(O2536="在职",J2536="是"),COUNTIF(O$2:O2536,"在职"),"")</f>
        <v/>
      </c>
    </row>
    <row r="2537" ht="18" spans="1:16">
      <c r="A2537" s="14">
        <f t="shared" si="44"/>
        <v>2536</v>
      </c>
      <c r="B2537" s="31">
        <v>46178</v>
      </c>
      <c r="C2537" s="32" t="s">
        <v>2536</v>
      </c>
      <c r="D2537" s="120" t="s">
        <v>477</v>
      </c>
      <c r="E2537" s="33" t="s">
        <v>43</v>
      </c>
      <c r="F2537" s="18" t="s">
        <v>63</v>
      </c>
      <c r="G2537" s="18" t="s">
        <v>2513</v>
      </c>
      <c r="H2537" s="34" t="s">
        <v>86</v>
      </c>
      <c r="I2537" s="18" t="s">
        <v>105</v>
      </c>
      <c r="J2537" s="31" t="s">
        <v>105</v>
      </c>
      <c r="K2537" s="31"/>
      <c r="N2537" s="13" t="s">
        <v>30</v>
      </c>
      <c r="O2537" s="28" t="str">
        <f>IF(D2537="","",IF(COUNTIF(离职清单!C:C,D2537)&gt;0,"已离职","在职"))</f>
        <v>在职</v>
      </c>
      <c r="P2537" s="28" t="str">
        <f>IF(AND(O2537="在职",J2537="是"),COUNTIF(O$2:O2537,"在职"),"")</f>
        <v/>
      </c>
    </row>
    <row r="2538" ht="18" spans="1:16">
      <c r="A2538" s="10">
        <f t="shared" si="44"/>
        <v>2537</v>
      </c>
      <c r="B2538" s="31">
        <v>46178</v>
      </c>
      <c r="C2538" s="32" t="s">
        <v>2537</v>
      </c>
      <c r="D2538" s="120" t="s">
        <v>478</v>
      </c>
      <c r="E2538" s="33" t="s">
        <v>43</v>
      </c>
      <c r="F2538" s="18" t="s">
        <v>63</v>
      </c>
      <c r="G2538" s="18" t="s">
        <v>2513</v>
      </c>
      <c r="H2538" s="34" t="s">
        <v>86</v>
      </c>
      <c r="I2538" s="18" t="s">
        <v>105</v>
      </c>
      <c r="J2538" s="31" t="s">
        <v>105</v>
      </c>
      <c r="K2538" s="31"/>
      <c r="N2538" s="13" t="s">
        <v>30</v>
      </c>
      <c r="O2538" s="28" t="str">
        <f>IF(D2538="","",IF(COUNTIF(离职清单!C:C,D2538)&gt;0,"已离职","在职"))</f>
        <v>在职</v>
      </c>
      <c r="P2538" s="28" t="str">
        <f>IF(AND(O2538="在职",J2538="是"),COUNTIF(O$2:O2538,"在职"),"")</f>
        <v/>
      </c>
    </row>
    <row r="2539" ht="18" spans="1:16">
      <c r="A2539" s="14">
        <f t="shared" si="44"/>
        <v>2538</v>
      </c>
      <c r="B2539" s="31">
        <v>46178</v>
      </c>
      <c r="C2539" s="32" t="s">
        <v>2403</v>
      </c>
      <c r="D2539" s="120" t="s">
        <v>480</v>
      </c>
      <c r="E2539" s="33" t="s">
        <v>42</v>
      </c>
      <c r="F2539" s="18" t="s">
        <v>63</v>
      </c>
      <c r="G2539" s="18" t="s">
        <v>2370</v>
      </c>
      <c r="H2539" s="34" t="s">
        <v>85</v>
      </c>
      <c r="I2539" s="18" t="s">
        <v>105</v>
      </c>
      <c r="J2539" s="31" t="s">
        <v>105</v>
      </c>
      <c r="K2539" s="31"/>
      <c r="N2539" s="13" t="s">
        <v>30</v>
      </c>
      <c r="O2539" s="28" t="str">
        <f>IF(D2539="","",IF(COUNTIF(离职清单!C:C,D2539)&gt;0,"已离职","在职"))</f>
        <v>在职</v>
      </c>
      <c r="P2539" s="28" t="str">
        <f>IF(AND(O2539="在职",J2539="是"),COUNTIF(O$2:O2539,"在职"),"")</f>
        <v/>
      </c>
    </row>
    <row r="2540" ht="18" spans="1:16">
      <c r="A2540" s="10">
        <f t="shared" ref="A2540:A2603" si="45">IF(B2540&lt;&gt;"",ROW()-1,"")</f>
        <v>2539</v>
      </c>
      <c r="B2540" s="31">
        <v>46178</v>
      </c>
      <c r="C2540" s="32" t="s">
        <v>2223</v>
      </c>
      <c r="D2540" s="120" t="s">
        <v>482</v>
      </c>
      <c r="E2540" s="33" t="s">
        <v>42</v>
      </c>
      <c r="F2540" s="18" t="s">
        <v>64</v>
      </c>
      <c r="G2540" s="18" t="s">
        <v>2195</v>
      </c>
      <c r="H2540" s="34" t="s">
        <v>85</v>
      </c>
      <c r="I2540" s="18" t="s">
        <v>105</v>
      </c>
      <c r="J2540" s="31" t="s">
        <v>105</v>
      </c>
      <c r="K2540" s="31"/>
      <c r="N2540" s="13" t="s">
        <v>30</v>
      </c>
      <c r="O2540" s="28" t="str">
        <f>IF(D2540="","",IF(COUNTIF(离职清单!C:C,D2540)&gt;0,"已离职","在职"))</f>
        <v>在职</v>
      </c>
      <c r="P2540" s="28" t="str">
        <f>IF(AND(O2540="在职",J2540="是"),COUNTIF(O$2:O2540,"在职"),"")</f>
        <v/>
      </c>
    </row>
    <row r="2541" ht="18" spans="1:16">
      <c r="A2541" s="14">
        <f t="shared" si="45"/>
        <v>2540</v>
      </c>
      <c r="B2541" s="31">
        <v>46178</v>
      </c>
      <c r="C2541" s="32" t="s">
        <v>2538</v>
      </c>
      <c r="D2541" s="120" t="s">
        <v>484</v>
      </c>
      <c r="E2541" s="33" t="s">
        <v>43</v>
      </c>
      <c r="F2541" s="18" t="s">
        <v>64</v>
      </c>
      <c r="G2541" s="18" t="s">
        <v>2250</v>
      </c>
      <c r="H2541" s="34" t="s">
        <v>85</v>
      </c>
      <c r="I2541" s="18" t="s">
        <v>2154</v>
      </c>
      <c r="J2541" s="31" t="s">
        <v>105</v>
      </c>
      <c r="K2541" s="31"/>
      <c r="N2541" s="13" t="s">
        <v>30</v>
      </c>
      <c r="O2541" s="28" t="str">
        <f>IF(D2541="","",IF(COUNTIF(离职清单!C:C,D2541)&gt;0,"已离职","在职"))</f>
        <v>在职</v>
      </c>
      <c r="P2541" s="28" t="str">
        <f>IF(AND(O2541="在职",J2541="是"),COUNTIF(O$2:O2541,"在职"),"")</f>
        <v/>
      </c>
    </row>
    <row r="2542" ht="18" spans="1:16">
      <c r="A2542" s="10">
        <f t="shared" si="45"/>
        <v>2541</v>
      </c>
      <c r="B2542" s="31">
        <v>46178</v>
      </c>
      <c r="C2542" s="32" t="s">
        <v>2507</v>
      </c>
      <c r="D2542" s="120" t="s">
        <v>486</v>
      </c>
      <c r="E2542" s="33" t="s">
        <v>43</v>
      </c>
      <c r="F2542" s="18" t="s">
        <v>62</v>
      </c>
      <c r="G2542" s="18" t="s">
        <v>2153</v>
      </c>
      <c r="H2542" s="34" t="s">
        <v>85</v>
      </c>
      <c r="I2542" s="18" t="s">
        <v>2154</v>
      </c>
      <c r="J2542" s="31" t="s">
        <v>105</v>
      </c>
      <c r="K2542" s="31"/>
      <c r="N2542" s="13" t="s">
        <v>30</v>
      </c>
      <c r="O2542" s="28" t="str">
        <f>IF(D2542="","",IF(COUNTIF(离职清单!C:C,D2542)&gt;0,"已离职","在职"))</f>
        <v>在职</v>
      </c>
      <c r="P2542" s="28" t="str">
        <f>IF(AND(O2542="在职",J2542="是"),COUNTIF(O$2:O2542,"在职"),"")</f>
        <v/>
      </c>
    </row>
    <row r="2543" ht="18" spans="1:16">
      <c r="A2543" s="14">
        <f t="shared" si="45"/>
        <v>2542</v>
      </c>
      <c r="B2543" s="31">
        <v>46178</v>
      </c>
      <c r="C2543" s="32" t="s">
        <v>2539</v>
      </c>
      <c r="D2543" s="120" t="s">
        <v>488</v>
      </c>
      <c r="E2543" s="33" t="s">
        <v>43</v>
      </c>
      <c r="F2543" s="18" t="s">
        <v>63</v>
      </c>
      <c r="G2543" s="18" t="s">
        <v>124</v>
      </c>
      <c r="H2543" s="34" t="s">
        <v>85</v>
      </c>
      <c r="I2543" s="18" t="s">
        <v>2154</v>
      </c>
      <c r="J2543" s="31" t="s">
        <v>105</v>
      </c>
      <c r="K2543" s="31"/>
      <c r="N2543" s="13" t="s">
        <v>30</v>
      </c>
      <c r="O2543" s="28" t="str">
        <f>IF(D2543="","",IF(COUNTIF(离职清单!C:C,D2543)&gt;0,"已离职","在职"))</f>
        <v>在职</v>
      </c>
      <c r="P2543" s="28" t="str">
        <f>IF(AND(O2543="在职",J2543="是"),COUNTIF(O$2:O2543,"在职"),"")</f>
        <v/>
      </c>
    </row>
    <row r="2544" ht="18" spans="1:16">
      <c r="A2544" s="10">
        <f t="shared" si="45"/>
        <v>2543</v>
      </c>
      <c r="B2544" s="31">
        <v>46178</v>
      </c>
      <c r="C2544" s="32" t="s">
        <v>2469</v>
      </c>
      <c r="D2544" s="120" t="s">
        <v>490</v>
      </c>
      <c r="E2544" s="33" t="s">
        <v>43</v>
      </c>
      <c r="F2544" s="18" t="s">
        <v>63</v>
      </c>
      <c r="G2544" s="18" t="s">
        <v>148</v>
      </c>
      <c r="H2544" s="34" t="s">
        <v>85</v>
      </c>
      <c r="I2544" s="18" t="s">
        <v>2154</v>
      </c>
      <c r="J2544" s="31" t="s">
        <v>105</v>
      </c>
      <c r="K2544" s="31"/>
      <c r="N2544" s="13" t="s">
        <v>30</v>
      </c>
      <c r="O2544" s="28" t="str">
        <f>IF(D2544="","",IF(COUNTIF(离职清单!C:C,D2544)&gt;0,"已离职","在职"))</f>
        <v>在职</v>
      </c>
      <c r="P2544" s="28" t="str">
        <f>IF(AND(O2544="在职",J2544="是"),COUNTIF(O$2:O2544,"在职"),"")</f>
        <v/>
      </c>
    </row>
    <row r="2545" ht="18" spans="1:16">
      <c r="A2545" s="14">
        <f t="shared" si="45"/>
        <v>2544</v>
      </c>
      <c r="B2545" s="31">
        <v>46178</v>
      </c>
      <c r="C2545" s="32" t="s">
        <v>2470</v>
      </c>
      <c r="D2545" s="120" t="s">
        <v>492</v>
      </c>
      <c r="E2545" s="33" t="s">
        <v>43</v>
      </c>
      <c r="F2545" s="18" t="s">
        <v>62</v>
      </c>
      <c r="G2545" s="18" t="s">
        <v>148</v>
      </c>
      <c r="H2545" s="34" t="s">
        <v>85</v>
      </c>
      <c r="I2545" s="18" t="s">
        <v>2154</v>
      </c>
      <c r="J2545" s="31" t="s">
        <v>105</v>
      </c>
      <c r="K2545" s="31"/>
      <c r="N2545" s="13" t="s">
        <v>30</v>
      </c>
      <c r="O2545" s="28" t="str">
        <f>IF(D2545="","",IF(COUNTIF(离职清单!C:C,D2545)&gt;0,"已离职","在职"))</f>
        <v>在职</v>
      </c>
      <c r="P2545" s="28" t="str">
        <f>IF(AND(O2545="在职",J2545="是"),COUNTIF(O$2:O2545,"在职"),"")</f>
        <v/>
      </c>
    </row>
    <row r="2546" ht="18" spans="1:16">
      <c r="A2546" s="10">
        <f t="shared" si="45"/>
        <v>2545</v>
      </c>
      <c r="B2546" s="31">
        <v>46178</v>
      </c>
      <c r="C2546" s="32" t="s">
        <v>2540</v>
      </c>
      <c r="D2546" s="120" t="s">
        <v>477</v>
      </c>
      <c r="E2546" s="33" t="s">
        <v>43</v>
      </c>
      <c r="F2546" s="18" t="s">
        <v>63</v>
      </c>
      <c r="G2546" s="18" t="s">
        <v>2164</v>
      </c>
      <c r="H2546" s="34" t="s">
        <v>85</v>
      </c>
      <c r="I2546" s="18" t="s">
        <v>2154</v>
      </c>
      <c r="J2546" s="31" t="s">
        <v>105</v>
      </c>
      <c r="K2546" s="31"/>
      <c r="N2546" s="13" t="s">
        <v>30</v>
      </c>
      <c r="O2546" s="28" t="str">
        <f>IF(D2546="","",IF(COUNTIF(离职清单!C:C,D2546)&gt;0,"已离职","在职"))</f>
        <v>在职</v>
      </c>
      <c r="P2546" s="28" t="str">
        <f>IF(AND(O2546="在职",J2546="是"),COUNTIF(O$2:O2546,"在职"),"")</f>
        <v/>
      </c>
    </row>
    <row r="2547" ht="18" spans="1:16">
      <c r="A2547" s="14">
        <f t="shared" si="45"/>
        <v>2546</v>
      </c>
      <c r="B2547" s="31">
        <v>46178</v>
      </c>
      <c r="C2547" s="32" t="s">
        <v>2541</v>
      </c>
      <c r="D2547" s="120" t="s">
        <v>477</v>
      </c>
      <c r="E2547" s="33" t="s">
        <v>43</v>
      </c>
      <c r="F2547" s="18" t="s">
        <v>63</v>
      </c>
      <c r="G2547" s="18" t="s">
        <v>2164</v>
      </c>
      <c r="H2547" s="34" t="s">
        <v>85</v>
      </c>
      <c r="I2547" s="18" t="s">
        <v>2154</v>
      </c>
      <c r="J2547" s="31" t="s">
        <v>105</v>
      </c>
      <c r="K2547" s="31"/>
      <c r="N2547" s="13" t="s">
        <v>30</v>
      </c>
      <c r="O2547" s="28" t="str">
        <f>IF(D2547="","",IF(COUNTIF(离职清单!C:C,D2547)&gt;0,"已离职","在职"))</f>
        <v>在职</v>
      </c>
      <c r="P2547" s="28" t="str">
        <f>IF(AND(O2547="在职",J2547="是"),COUNTIF(O$2:O2547,"在职"),"")</f>
        <v/>
      </c>
    </row>
    <row r="2548" ht="18" spans="1:16">
      <c r="A2548" s="10">
        <f t="shared" si="45"/>
        <v>2547</v>
      </c>
      <c r="B2548" s="31">
        <v>46178</v>
      </c>
      <c r="C2548" s="32" t="s">
        <v>2418</v>
      </c>
      <c r="D2548" s="120" t="s">
        <v>478</v>
      </c>
      <c r="E2548" s="33" t="s">
        <v>43</v>
      </c>
      <c r="F2548" s="18" t="s">
        <v>62</v>
      </c>
      <c r="G2548" s="18" t="s">
        <v>2164</v>
      </c>
      <c r="H2548" s="34" t="s">
        <v>85</v>
      </c>
      <c r="I2548" s="18" t="s">
        <v>2154</v>
      </c>
      <c r="J2548" s="31" t="s">
        <v>105</v>
      </c>
      <c r="K2548" s="31"/>
      <c r="N2548" s="13" t="s">
        <v>30</v>
      </c>
      <c r="O2548" s="28" t="str">
        <f>IF(D2548="","",IF(COUNTIF(离职清单!C:C,D2548)&gt;0,"已离职","在职"))</f>
        <v>在职</v>
      </c>
      <c r="P2548" s="28" t="str">
        <f>IF(AND(O2548="在职",J2548="是"),COUNTIF(O$2:O2548,"在职"),"")</f>
        <v/>
      </c>
    </row>
    <row r="2549" ht="18" spans="1:16">
      <c r="A2549" s="14">
        <f t="shared" si="45"/>
        <v>2548</v>
      </c>
      <c r="B2549" s="31">
        <v>46178</v>
      </c>
      <c r="C2549" s="32" t="s">
        <v>2416</v>
      </c>
      <c r="D2549" s="120" t="s">
        <v>480</v>
      </c>
      <c r="E2549" s="33" t="s">
        <v>43</v>
      </c>
      <c r="F2549" s="18" t="s">
        <v>63</v>
      </c>
      <c r="G2549" s="18" t="s">
        <v>2164</v>
      </c>
      <c r="H2549" s="34" t="s">
        <v>85</v>
      </c>
      <c r="I2549" s="18" t="s">
        <v>2154</v>
      </c>
      <c r="J2549" s="31" t="s">
        <v>105</v>
      </c>
      <c r="K2549" s="31"/>
      <c r="N2549" s="13" t="s">
        <v>30</v>
      </c>
      <c r="O2549" s="28" t="str">
        <f>IF(D2549="","",IF(COUNTIF(离职清单!C:C,D2549)&gt;0,"已离职","在职"))</f>
        <v>在职</v>
      </c>
      <c r="P2549" s="28" t="str">
        <f>IF(AND(O2549="在职",J2549="是"),COUNTIF(O$2:O2549,"在职"),"")</f>
        <v/>
      </c>
    </row>
    <row r="2550" ht="18" spans="1:16">
      <c r="A2550" s="10">
        <f t="shared" si="45"/>
        <v>2549</v>
      </c>
      <c r="B2550" s="31">
        <v>46178</v>
      </c>
      <c r="C2550" s="32" t="s">
        <v>2542</v>
      </c>
      <c r="D2550" s="120" t="s">
        <v>482</v>
      </c>
      <c r="E2550" s="33" t="s">
        <v>43</v>
      </c>
      <c r="F2550" s="18" t="s">
        <v>63</v>
      </c>
      <c r="G2550" s="18" t="s">
        <v>2164</v>
      </c>
      <c r="H2550" s="34" t="s">
        <v>85</v>
      </c>
      <c r="I2550" s="18" t="s">
        <v>2154</v>
      </c>
      <c r="J2550" s="31" t="s">
        <v>105</v>
      </c>
      <c r="K2550" s="31"/>
      <c r="N2550" s="13" t="s">
        <v>30</v>
      </c>
      <c r="O2550" s="28" t="str">
        <f>IF(D2550="","",IF(COUNTIF(离职清单!C:C,D2550)&gt;0,"已离职","在职"))</f>
        <v>在职</v>
      </c>
      <c r="P2550" s="28" t="str">
        <f>IF(AND(O2550="在职",J2550="是"),COUNTIF(O$2:O2550,"在职"),"")</f>
        <v/>
      </c>
    </row>
    <row r="2551" ht="18" spans="1:16">
      <c r="A2551" s="14">
        <f t="shared" si="45"/>
        <v>2550</v>
      </c>
      <c r="B2551" s="31">
        <v>46178</v>
      </c>
      <c r="C2551" s="32" t="s">
        <v>2420</v>
      </c>
      <c r="D2551" s="120" t="s">
        <v>484</v>
      </c>
      <c r="E2551" s="33" t="s">
        <v>43</v>
      </c>
      <c r="F2551" s="18" t="s">
        <v>63</v>
      </c>
      <c r="G2551" s="18" t="s">
        <v>2164</v>
      </c>
      <c r="H2551" s="34" t="s">
        <v>85</v>
      </c>
      <c r="I2551" s="18" t="s">
        <v>2154</v>
      </c>
      <c r="J2551" s="31" t="s">
        <v>105</v>
      </c>
      <c r="K2551" s="31"/>
      <c r="N2551" s="13" t="s">
        <v>30</v>
      </c>
      <c r="O2551" s="28" t="str">
        <f>IF(D2551="","",IF(COUNTIF(离职清单!C:C,D2551)&gt;0,"已离职","在职"))</f>
        <v>在职</v>
      </c>
      <c r="P2551" s="28" t="str">
        <f>IF(AND(O2551="在职",J2551="是"),COUNTIF(O$2:O2551,"在职"),"")</f>
        <v/>
      </c>
    </row>
    <row r="2552" ht="18" spans="1:16">
      <c r="A2552" s="10">
        <f t="shared" si="45"/>
        <v>2551</v>
      </c>
      <c r="B2552" s="31">
        <v>46178</v>
      </c>
      <c r="C2552" s="32" t="s">
        <v>2543</v>
      </c>
      <c r="D2552" s="120" t="s">
        <v>486</v>
      </c>
      <c r="E2552" s="33" t="s">
        <v>42</v>
      </c>
      <c r="F2552" s="18" t="s">
        <v>63</v>
      </c>
      <c r="G2552" s="18" t="s">
        <v>2153</v>
      </c>
      <c r="H2552" s="34" t="s">
        <v>85</v>
      </c>
      <c r="I2552" s="18" t="s">
        <v>2154</v>
      </c>
      <c r="J2552" s="31" t="s">
        <v>105</v>
      </c>
      <c r="K2552" s="31"/>
      <c r="N2552" s="13" t="s">
        <v>30</v>
      </c>
      <c r="O2552" s="28" t="str">
        <f>IF(D2552="","",IF(COUNTIF(离职清单!C:C,D2552)&gt;0,"已离职","在职"))</f>
        <v>在职</v>
      </c>
      <c r="P2552" s="28" t="str">
        <f>IF(AND(O2552="在职",J2552="是"),COUNTIF(O$2:O2552,"在职"),"")</f>
        <v/>
      </c>
    </row>
    <row r="2553" ht="18" spans="1:16">
      <c r="A2553" s="14">
        <f t="shared" si="45"/>
        <v>2552</v>
      </c>
      <c r="B2553" s="31">
        <v>46178</v>
      </c>
      <c r="C2553" s="32" t="s">
        <v>1924</v>
      </c>
      <c r="D2553" s="120" t="s">
        <v>488</v>
      </c>
      <c r="E2553" s="33" t="s">
        <v>42</v>
      </c>
      <c r="F2553" s="18" t="s">
        <v>62</v>
      </c>
      <c r="G2553" s="18" t="s">
        <v>124</v>
      </c>
      <c r="H2553" s="34" t="s">
        <v>85</v>
      </c>
      <c r="I2553" s="18" t="s">
        <v>2154</v>
      </c>
      <c r="J2553" s="31" t="s">
        <v>105</v>
      </c>
      <c r="K2553" s="31"/>
      <c r="N2553" s="13" t="s">
        <v>30</v>
      </c>
      <c r="O2553" s="28" t="str">
        <f>IF(D2553="","",IF(COUNTIF(离职清单!C:C,D2553)&gt;0,"已离职","在职"))</f>
        <v>在职</v>
      </c>
      <c r="P2553" s="28" t="str">
        <f>IF(AND(O2553="在职",J2553="是"),COUNTIF(O$2:O2553,"在职"),"")</f>
        <v/>
      </c>
    </row>
    <row r="2554" ht="18" spans="1:16">
      <c r="A2554" s="10">
        <f t="shared" si="45"/>
        <v>2553</v>
      </c>
      <c r="B2554" s="31">
        <v>46178</v>
      </c>
      <c r="C2554" s="32" t="s">
        <v>1384</v>
      </c>
      <c r="D2554" s="120" t="s">
        <v>490</v>
      </c>
      <c r="E2554" s="33" t="s">
        <v>42</v>
      </c>
      <c r="F2554" s="18" t="s">
        <v>62</v>
      </c>
      <c r="G2554" s="18" t="s">
        <v>124</v>
      </c>
      <c r="H2554" s="34" t="s">
        <v>85</v>
      </c>
      <c r="I2554" s="18" t="s">
        <v>2154</v>
      </c>
      <c r="J2554" s="31" t="s">
        <v>105</v>
      </c>
      <c r="K2554" s="31"/>
      <c r="N2554" s="13" t="s">
        <v>30</v>
      </c>
      <c r="O2554" s="28" t="str">
        <f>IF(D2554="","",IF(COUNTIF(离职清单!C:C,D2554)&gt;0,"已离职","在职"))</f>
        <v>在职</v>
      </c>
      <c r="P2554" s="28" t="str">
        <f>IF(AND(O2554="在职",J2554="是"),COUNTIF(O$2:O2554,"在职"),"")</f>
        <v/>
      </c>
    </row>
    <row r="2555" ht="18" spans="1:16">
      <c r="A2555" s="14">
        <f t="shared" si="45"/>
        <v>2554</v>
      </c>
      <c r="B2555" s="31">
        <v>46178</v>
      </c>
      <c r="C2555" s="32" t="s">
        <v>2544</v>
      </c>
      <c r="D2555" s="120" t="s">
        <v>492</v>
      </c>
      <c r="E2555" s="33" t="s">
        <v>42</v>
      </c>
      <c r="F2555" s="18" t="s">
        <v>62</v>
      </c>
      <c r="G2555" s="18" t="s">
        <v>124</v>
      </c>
      <c r="H2555" s="34" t="s">
        <v>85</v>
      </c>
      <c r="I2555" s="18" t="s">
        <v>2154</v>
      </c>
      <c r="J2555" s="31" t="s">
        <v>105</v>
      </c>
      <c r="K2555" s="31"/>
      <c r="N2555" s="13" t="s">
        <v>30</v>
      </c>
      <c r="O2555" s="28" t="str">
        <f>IF(D2555="","",IF(COUNTIF(离职清单!C:C,D2555)&gt;0,"已离职","在职"))</f>
        <v>在职</v>
      </c>
      <c r="P2555" s="28" t="str">
        <f>IF(AND(O2555="在职",J2555="是"),COUNTIF(O$2:O2555,"在职"),"")</f>
        <v/>
      </c>
    </row>
    <row r="2556" ht="18" spans="1:16">
      <c r="A2556" s="10">
        <f t="shared" si="45"/>
        <v>2555</v>
      </c>
      <c r="B2556" s="31">
        <v>46178</v>
      </c>
      <c r="C2556" s="32" t="s">
        <v>2545</v>
      </c>
      <c r="D2556" s="120" t="s">
        <v>477</v>
      </c>
      <c r="E2556" s="33" t="s">
        <v>42</v>
      </c>
      <c r="F2556" s="18" t="s">
        <v>63</v>
      </c>
      <c r="G2556" s="18" t="s">
        <v>2156</v>
      </c>
      <c r="H2556" s="34" t="s">
        <v>85</v>
      </c>
      <c r="I2556" s="18" t="s">
        <v>2154</v>
      </c>
      <c r="J2556" s="31" t="s">
        <v>105</v>
      </c>
      <c r="K2556" s="31"/>
      <c r="N2556" s="13" t="s">
        <v>30</v>
      </c>
      <c r="O2556" s="28" t="str">
        <f>IF(D2556="","",IF(COUNTIF(离职清单!C:C,D2556)&gt;0,"已离职","在职"))</f>
        <v>在职</v>
      </c>
      <c r="P2556" s="28" t="str">
        <f>IF(AND(O2556="在职",J2556="是"),COUNTIF(O$2:O2556,"在职"),"")</f>
        <v/>
      </c>
    </row>
    <row r="2557" ht="18" spans="1:16">
      <c r="A2557" s="14">
        <f t="shared" si="45"/>
        <v>2556</v>
      </c>
      <c r="B2557" s="31">
        <v>46178</v>
      </c>
      <c r="C2557" s="32" t="s">
        <v>2546</v>
      </c>
      <c r="D2557" s="120" t="s">
        <v>478</v>
      </c>
      <c r="E2557" s="33" t="s">
        <v>42</v>
      </c>
      <c r="F2557" s="18" t="s">
        <v>63</v>
      </c>
      <c r="G2557" s="18" t="s">
        <v>2156</v>
      </c>
      <c r="H2557" s="34" t="s">
        <v>85</v>
      </c>
      <c r="I2557" s="18" t="s">
        <v>2154</v>
      </c>
      <c r="J2557" s="31" t="s">
        <v>105</v>
      </c>
      <c r="K2557" s="31"/>
      <c r="N2557" s="13" t="s">
        <v>30</v>
      </c>
      <c r="O2557" s="28" t="str">
        <f>IF(D2557="","",IF(COUNTIF(离职清单!C:C,D2557)&gt;0,"已离职","在职"))</f>
        <v>在职</v>
      </c>
      <c r="P2557" s="28" t="str">
        <f>IF(AND(O2557="在职",J2557="是"),COUNTIF(O$2:O2557,"在职"),"")</f>
        <v/>
      </c>
    </row>
    <row r="2558" ht="18" spans="1:16">
      <c r="A2558" s="10">
        <f t="shared" si="45"/>
        <v>2557</v>
      </c>
      <c r="B2558" s="31">
        <v>46178</v>
      </c>
      <c r="C2558" s="32" t="s">
        <v>2547</v>
      </c>
      <c r="D2558" s="120" t="s">
        <v>480</v>
      </c>
      <c r="E2558" s="33" t="s">
        <v>42</v>
      </c>
      <c r="F2558" s="18" t="s">
        <v>63</v>
      </c>
      <c r="G2558" s="18" t="s">
        <v>124</v>
      </c>
      <c r="H2558" s="34" t="s">
        <v>86</v>
      </c>
      <c r="I2558" s="18" t="s">
        <v>2154</v>
      </c>
      <c r="J2558" s="31" t="s">
        <v>105</v>
      </c>
      <c r="K2558" s="31"/>
      <c r="N2558" s="13" t="s">
        <v>30</v>
      </c>
      <c r="O2558" s="28" t="str">
        <f>IF(D2558="","",IF(COUNTIF(离职清单!C:C,D2558)&gt;0,"已离职","在职"))</f>
        <v>在职</v>
      </c>
      <c r="P2558" s="28" t="str">
        <f>IF(AND(O2558="在职",J2558="是"),COUNTIF(O$2:O2558,"在职"),"")</f>
        <v/>
      </c>
    </row>
    <row r="2559" ht="18" spans="1:16">
      <c r="A2559" s="14">
        <f t="shared" si="45"/>
        <v>2558</v>
      </c>
      <c r="B2559" s="31">
        <v>46178</v>
      </c>
      <c r="C2559" s="32" t="s">
        <v>2548</v>
      </c>
      <c r="D2559" s="120" t="s">
        <v>482</v>
      </c>
      <c r="E2559" s="33" t="s">
        <v>42</v>
      </c>
      <c r="F2559" s="18" t="s">
        <v>63</v>
      </c>
      <c r="G2559" s="18" t="s">
        <v>124</v>
      </c>
      <c r="H2559" s="34" t="s">
        <v>86</v>
      </c>
      <c r="I2559" s="18" t="s">
        <v>2154</v>
      </c>
      <c r="J2559" s="31" t="s">
        <v>105</v>
      </c>
      <c r="K2559" s="31"/>
      <c r="N2559" s="13" t="s">
        <v>30</v>
      </c>
      <c r="O2559" s="28" t="str">
        <f>IF(D2559="","",IF(COUNTIF(离职清单!C:C,D2559)&gt;0,"已离职","在职"))</f>
        <v>在职</v>
      </c>
      <c r="P2559" s="28" t="str">
        <f>IF(AND(O2559="在职",J2559="是"),COUNTIF(O$2:O2559,"在职"),"")</f>
        <v/>
      </c>
    </row>
    <row r="2560" ht="18" spans="1:16">
      <c r="A2560" s="10">
        <f t="shared" si="45"/>
        <v>2559</v>
      </c>
      <c r="B2560" s="31">
        <v>46178</v>
      </c>
      <c r="C2560" s="32" t="s">
        <v>2549</v>
      </c>
      <c r="D2560" s="120" t="s">
        <v>484</v>
      </c>
      <c r="E2560" s="33" t="s">
        <v>42</v>
      </c>
      <c r="F2560" s="18" t="s">
        <v>62</v>
      </c>
      <c r="G2560" s="18" t="s">
        <v>103</v>
      </c>
      <c r="H2560" s="34" t="s">
        <v>86</v>
      </c>
      <c r="I2560" s="18" t="s">
        <v>2154</v>
      </c>
      <c r="J2560" s="31" t="s">
        <v>105</v>
      </c>
      <c r="K2560" s="31"/>
      <c r="N2560" s="13" t="s">
        <v>30</v>
      </c>
      <c r="O2560" s="28" t="str">
        <f>IF(D2560="","",IF(COUNTIF(离职清单!C:C,D2560)&gt;0,"已离职","在职"))</f>
        <v>在职</v>
      </c>
      <c r="P2560" s="28" t="str">
        <f>IF(AND(O2560="在职",J2560="是"),COUNTIF(O$2:O2560,"在职"),"")</f>
        <v/>
      </c>
    </row>
    <row r="2561" ht="18" spans="1:16">
      <c r="A2561" s="14">
        <f t="shared" si="45"/>
        <v>2560</v>
      </c>
      <c r="B2561" s="31">
        <v>46178</v>
      </c>
      <c r="C2561" s="32" t="s">
        <v>2550</v>
      </c>
      <c r="D2561" s="120" t="s">
        <v>486</v>
      </c>
      <c r="E2561" s="33" t="s">
        <v>42</v>
      </c>
      <c r="F2561" s="18" t="s">
        <v>63</v>
      </c>
      <c r="G2561" s="18" t="s">
        <v>2164</v>
      </c>
      <c r="H2561" s="34" t="s">
        <v>85</v>
      </c>
      <c r="I2561" s="18" t="s">
        <v>2154</v>
      </c>
      <c r="J2561" s="31" t="s">
        <v>105</v>
      </c>
      <c r="K2561" s="31"/>
      <c r="N2561" s="13" t="s">
        <v>30</v>
      </c>
      <c r="O2561" s="28" t="str">
        <f>IF(D2561="","",IF(COUNTIF(离职清单!C:C,D2561)&gt;0,"已离职","在职"))</f>
        <v>在职</v>
      </c>
      <c r="P2561" s="28" t="str">
        <f>IF(AND(O2561="在职",J2561="是"),COUNTIF(O$2:O2561,"在职"),"")</f>
        <v/>
      </c>
    </row>
    <row r="2562" ht="18" spans="1:16">
      <c r="A2562" s="10">
        <f t="shared" si="45"/>
        <v>2561</v>
      </c>
      <c r="B2562" s="31">
        <v>46178</v>
      </c>
      <c r="C2562" s="32" t="s">
        <v>2551</v>
      </c>
      <c r="D2562" s="120" t="s">
        <v>488</v>
      </c>
      <c r="E2562" s="33" t="s">
        <v>43</v>
      </c>
      <c r="F2562" s="18" t="s">
        <v>62</v>
      </c>
      <c r="G2562" s="18" t="s">
        <v>129</v>
      </c>
      <c r="H2562" s="34" t="s">
        <v>85</v>
      </c>
      <c r="I2562" s="18" t="s">
        <v>2154</v>
      </c>
      <c r="J2562" s="31" t="s">
        <v>105</v>
      </c>
      <c r="K2562" s="31"/>
      <c r="N2562" s="13" t="s">
        <v>30</v>
      </c>
      <c r="O2562" s="28" t="str">
        <f>IF(D2562="","",IF(COUNTIF(离职清单!C:C,D2562)&gt;0,"已离职","在职"))</f>
        <v>在职</v>
      </c>
      <c r="P2562" s="28" t="str">
        <f>IF(AND(O2562="在职",J2562="是"),COUNTIF(O$2:O2562,"在职"),"")</f>
        <v/>
      </c>
    </row>
    <row r="2563" ht="18" spans="1:16">
      <c r="A2563" s="14">
        <f t="shared" si="45"/>
        <v>2562</v>
      </c>
      <c r="B2563" s="31">
        <v>46178</v>
      </c>
      <c r="C2563" s="32" t="s">
        <v>2552</v>
      </c>
      <c r="D2563" s="120" t="s">
        <v>490</v>
      </c>
      <c r="E2563" s="33" t="s">
        <v>43</v>
      </c>
      <c r="F2563" s="18" t="s">
        <v>63</v>
      </c>
      <c r="G2563" s="18" t="s">
        <v>129</v>
      </c>
      <c r="H2563" s="34" t="s">
        <v>85</v>
      </c>
      <c r="I2563" s="18" t="s">
        <v>2154</v>
      </c>
      <c r="J2563" s="31" t="s">
        <v>105</v>
      </c>
      <c r="K2563" s="31"/>
      <c r="N2563" s="13" t="s">
        <v>30</v>
      </c>
      <c r="O2563" s="28" t="str">
        <f>IF(D2563="","",IF(COUNTIF(离职清单!C:C,D2563)&gt;0,"已离职","在职"))</f>
        <v>在职</v>
      </c>
      <c r="P2563" s="28" t="str">
        <f>IF(AND(O2563="在职",J2563="是"),COUNTIF(O$2:O2563,"在职"),"")</f>
        <v/>
      </c>
    </row>
    <row r="2564" ht="18" spans="1:16">
      <c r="A2564" s="10">
        <f t="shared" si="45"/>
        <v>2563</v>
      </c>
      <c r="B2564" s="31">
        <v>46178</v>
      </c>
      <c r="C2564" s="32" t="s">
        <v>2485</v>
      </c>
      <c r="D2564" s="120" t="s">
        <v>492</v>
      </c>
      <c r="E2564" s="33" t="s">
        <v>43</v>
      </c>
      <c r="F2564" s="18" t="s">
        <v>63</v>
      </c>
      <c r="G2564" s="18" t="s">
        <v>129</v>
      </c>
      <c r="H2564" s="34" t="s">
        <v>85</v>
      </c>
      <c r="I2564" s="18" t="s">
        <v>2154</v>
      </c>
      <c r="J2564" s="31" t="s">
        <v>105</v>
      </c>
      <c r="K2564" s="31"/>
      <c r="N2564" s="13" t="s">
        <v>30</v>
      </c>
      <c r="O2564" s="28" t="str">
        <f>IF(D2564="","",IF(COUNTIF(离职清单!C:C,D2564)&gt;0,"已离职","在职"))</f>
        <v>在职</v>
      </c>
      <c r="P2564" s="28" t="str">
        <f>IF(AND(O2564="在职",J2564="是"),COUNTIF(O$2:O2564,"在职"),"")</f>
        <v/>
      </c>
    </row>
    <row r="2565" ht="18" spans="1:16">
      <c r="A2565" s="14">
        <f t="shared" si="45"/>
        <v>2564</v>
      </c>
      <c r="B2565" s="31">
        <v>46178</v>
      </c>
      <c r="C2565" s="32" t="s">
        <v>2553</v>
      </c>
      <c r="D2565" s="120" t="s">
        <v>477</v>
      </c>
      <c r="E2565" s="33" t="s">
        <v>43</v>
      </c>
      <c r="F2565" s="18" t="s">
        <v>63</v>
      </c>
      <c r="G2565" s="18" t="s">
        <v>2186</v>
      </c>
      <c r="H2565" s="34" t="s">
        <v>85</v>
      </c>
      <c r="I2565" s="18" t="s">
        <v>2154</v>
      </c>
      <c r="J2565" s="31" t="s">
        <v>105</v>
      </c>
      <c r="K2565" s="31"/>
      <c r="N2565" s="13" t="s">
        <v>30</v>
      </c>
      <c r="O2565" s="28" t="str">
        <f>IF(D2565="","",IF(COUNTIF(离职清单!C:C,D2565)&gt;0,"已离职","在职"))</f>
        <v>在职</v>
      </c>
      <c r="P2565" s="28" t="str">
        <f>IF(AND(O2565="在职",J2565="是"),COUNTIF(O$2:O2565,"在职"),"")</f>
        <v/>
      </c>
    </row>
    <row r="2566" ht="18" spans="1:16">
      <c r="A2566" s="10">
        <f t="shared" si="45"/>
        <v>2565</v>
      </c>
      <c r="B2566" s="31">
        <v>46178</v>
      </c>
      <c r="C2566" s="32" t="s">
        <v>2428</v>
      </c>
      <c r="D2566" s="120" t="s">
        <v>478</v>
      </c>
      <c r="E2566" s="33" t="s">
        <v>42</v>
      </c>
      <c r="F2566" s="18" t="s">
        <v>64</v>
      </c>
      <c r="G2566" s="18" t="s">
        <v>148</v>
      </c>
      <c r="H2566" s="34" t="s">
        <v>85</v>
      </c>
      <c r="I2566" s="18" t="s">
        <v>2154</v>
      </c>
      <c r="J2566" s="31" t="s">
        <v>105</v>
      </c>
      <c r="K2566" s="31"/>
      <c r="N2566" s="13" t="s">
        <v>30</v>
      </c>
      <c r="O2566" s="28" t="str">
        <f>IF(D2566="","",IF(COUNTIF(离职清单!C:C,D2566)&gt;0,"已离职","在职"))</f>
        <v>在职</v>
      </c>
      <c r="P2566" s="28" t="str">
        <f>IF(AND(O2566="在职",J2566="是"),COUNTIF(O$2:O2566,"在职"),"")</f>
        <v/>
      </c>
    </row>
    <row r="2567" ht="18" spans="1:16">
      <c r="A2567" s="14">
        <f t="shared" si="45"/>
        <v>2566</v>
      </c>
      <c r="B2567" s="31">
        <v>46178</v>
      </c>
      <c r="C2567" s="32" t="s">
        <v>2554</v>
      </c>
      <c r="D2567" s="120" t="s">
        <v>480</v>
      </c>
      <c r="E2567" s="33" t="s">
        <v>42</v>
      </c>
      <c r="F2567" s="18" t="s">
        <v>64</v>
      </c>
      <c r="G2567" s="18" t="s">
        <v>148</v>
      </c>
      <c r="H2567" s="34" t="s">
        <v>85</v>
      </c>
      <c r="I2567" s="18" t="s">
        <v>2154</v>
      </c>
      <c r="J2567" s="31" t="s">
        <v>105</v>
      </c>
      <c r="K2567" s="31"/>
      <c r="N2567" s="13" t="s">
        <v>30</v>
      </c>
      <c r="O2567" s="28" t="str">
        <f>IF(D2567="","",IF(COUNTIF(离职清单!C:C,D2567)&gt;0,"已离职","在职"))</f>
        <v>在职</v>
      </c>
      <c r="P2567" s="28" t="str">
        <f>IF(AND(O2567="在职",J2567="是"),COUNTIF(O$2:O2567,"在职"),"")</f>
        <v/>
      </c>
    </row>
    <row r="2568" ht="18" spans="1:16">
      <c r="A2568" s="10">
        <f t="shared" si="45"/>
        <v>2567</v>
      </c>
      <c r="B2568" s="31">
        <v>46178</v>
      </c>
      <c r="C2568" s="32" t="s">
        <v>2440</v>
      </c>
      <c r="D2568" s="120" t="s">
        <v>482</v>
      </c>
      <c r="E2568" s="33" t="s">
        <v>42</v>
      </c>
      <c r="F2568" s="18" t="s">
        <v>63</v>
      </c>
      <c r="G2568" s="18" t="s">
        <v>148</v>
      </c>
      <c r="H2568" s="34" t="s">
        <v>85</v>
      </c>
      <c r="I2568" s="18" t="s">
        <v>2154</v>
      </c>
      <c r="J2568" s="31" t="s">
        <v>105</v>
      </c>
      <c r="K2568" s="31"/>
      <c r="N2568" s="13" t="s">
        <v>30</v>
      </c>
      <c r="O2568" s="28" t="str">
        <f>IF(D2568="","",IF(COUNTIF(离职清单!C:C,D2568)&gt;0,"已离职","在职"))</f>
        <v>在职</v>
      </c>
      <c r="P2568" s="28" t="str">
        <f>IF(AND(O2568="在职",J2568="是"),COUNTIF(O$2:O2568,"在职"),"")</f>
        <v/>
      </c>
    </row>
    <row r="2569" ht="18" spans="1:16">
      <c r="A2569" s="14">
        <f t="shared" si="45"/>
        <v>2568</v>
      </c>
      <c r="B2569" s="31">
        <v>46178</v>
      </c>
      <c r="C2569" s="32" t="s">
        <v>2263</v>
      </c>
      <c r="D2569" s="120" t="s">
        <v>484</v>
      </c>
      <c r="E2569" s="33" t="s">
        <v>42</v>
      </c>
      <c r="F2569" s="18" t="s">
        <v>64</v>
      </c>
      <c r="G2569" s="18" t="s">
        <v>148</v>
      </c>
      <c r="H2569" s="34" t="s">
        <v>85</v>
      </c>
      <c r="I2569" s="18" t="s">
        <v>2154</v>
      </c>
      <c r="J2569" s="31" t="s">
        <v>105</v>
      </c>
      <c r="K2569" s="31"/>
      <c r="N2569" s="13" t="s">
        <v>30</v>
      </c>
      <c r="O2569" s="28" t="str">
        <f>IF(D2569="","",IF(COUNTIF(离职清单!C:C,D2569)&gt;0,"已离职","在职"))</f>
        <v>在职</v>
      </c>
      <c r="P2569" s="28" t="str">
        <f>IF(AND(O2569="在职",J2569="是"),COUNTIF(O$2:O2569,"在职"),"")</f>
        <v/>
      </c>
    </row>
    <row r="2570" ht="18" spans="1:16">
      <c r="A2570" s="10">
        <f t="shared" si="45"/>
        <v>2569</v>
      </c>
      <c r="B2570" s="31">
        <v>46178</v>
      </c>
      <c r="C2570" s="32" t="s">
        <v>2555</v>
      </c>
      <c r="D2570" s="120" t="s">
        <v>486</v>
      </c>
      <c r="E2570" s="33" t="s">
        <v>42</v>
      </c>
      <c r="F2570" s="18" t="s">
        <v>63</v>
      </c>
      <c r="G2570" s="18" t="s">
        <v>148</v>
      </c>
      <c r="H2570" s="34" t="s">
        <v>85</v>
      </c>
      <c r="I2570" s="18" t="s">
        <v>2154</v>
      </c>
      <c r="J2570" s="31" t="s">
        <v>105</v>
      </c>
      <c r="K2570" s="31"/>
      <c r="N2570" s="13" t="s">
        <v>30</v>
      </c>
      <c r="O2570" s="28" t="str">
        <f>IF(D2570="","",IF(COUNTIF(离职清单!C:C,D2570)&gt;0,"已离职","在职"))</f>
        <v>在职</v>
      </c>
      <c r="P2570" s="28" t="str">
        <f>IF(AND(O2570="在职",J2570="是"),COUNTIF(O$2:O2570,"在职"),"")</f>
        <v/>
      </c>
    </row>
    <row r="2571" ht="18" spans="1:16">
      <c r="A2571" s="14">
        <f t="shared" si="45"/>
        <v>2570</v>
      </c>
      <c r="B2571" s="31">
        <v>46178</v>
      </c>
      <c r="C2571" s="32" t="s">
        <v>2556</v>
      </c>
      <c r="D2571" s="120" t="s">
        <v>488</v>
      </c>
      <c r="E2571" s="33" t="s">
        <v>42</v>
      </c>
      <c r="F2571" s="18" t="s">
        <v>63</v>
      </c>
      <c r="G2571" s="18" t="s">
        <v>148</v>
      </c>
      <c r="H2571" s="34" t="s">
        <v>85</v>
      </c>
      <c r="I2571" s="18" t="s">
        <v>2154</v>
      </c>
      <c r="J2571" s="31" t="s">
        <v>105</v>
      </c>
      <c r="K2571" s="31"/>
      <c r="N2571" s="13" t="s">
        <v>30</v>
      </c>
      <c r="O2571" s="28" t="str">
        <f>IF(D2571="","",IF(COUNTIF(离职清单!C:C,D2571)&gt;0,"已离职","在职"))</f>
        <v>在职</v>
      </c>
      <c r="P2571" s="28" t="str">
        <f>IF(AND(O2571="在职",J2571="是"),COUNTIF(O$2:O2571,"在职"),"")</f>
        <v/>
      </c>
    </row>
    <row r="2572" ht="18" spans="1:16">
      <c r="A2572" s="10">
        <f t="shared" si="45"/>
        <v>2571</v>
      </c>
      <c r="B2572" s="31">
        <v>46178</v>
      </c>
      <c r="C2572" s="32" t="s">
        <v>2538</v>
      </c>
      <c r="D2572" s="120" t="s">
        <v>490</v>
      </c>
      <c r="E2572" s="33" t="s">
        <v>43</v>
      </c>
      <c r="F2572" s="18" t="s">
        <v>64</v>
      </c>
      <c r="G2572" s="18" t="s">
        <v>2250</v>
      </c>
      <c r="H2572" s="34" t="s">
        <v>85</v>
      </c>
      <c r="I2572" s="18" t="s">
        <v>2154</v>
      </c>
      <c r="J2572" s="31" t="s">
        <v>105</v>
      </c>
      <c r="K2572" s="31"/>
      <c r="N2572" s="13" t="s">
        <v>30</v>
      </c>
      <c r="O2572" s="28" t="str">
        <f>IF(D2572="","",IF(COUNTIF(离职清单!C:C,D2572)&gt;0,"已离职","在职"))</f>
        <v>在职</v>
      </c>
      <c r="P2572" s="28" t="str">
        <f>IF(AND(O2572="在职",J2572="是"),COUNTIF(O$2:O2572,"在职"),"")</f>
        <v/>
      </c>
    </row>
    <row r="2573" ht="18" spans="1:16">
      <c r="A2573" s="14">
        <f t="shared" si="45"/>
        <v>2572</v>
      </c>
      <c r="B2573" s="31">
        <v>46178</v>
      </c>
      <c r="C2573" s="32" t="s">
        <v>2507</v>
      </c>
      <c r="D2573" s="120" t="s">
        <v>492</v>
      </c>
      <c r="E2573" s="33" t="s">
        <v>43</v>
      </c>
      <c r="F2573" s="18" t="s">
        <v>62</v>
      </c>
      <c r="G2573" s="18" t="s">
        <v>2153</v>
      </c>
      <c r="H2573" s="34" t="s">
        <v>85</v>
      </c>
      <c r="I2573" s="18" t="s">
        <v>2154</v>
      </c>
      <c r="J2573" s="31" t="s">
        <v>105</v>
      </c>
      <c r="K2573" s="31"/>
      <c r="N2573" s="13" t="s">
        <v>30</v>
      </c>
      <c r="O2573" s="28" t="str">
        <f>IF(D2573="","",IF(COUNTIF(离职清单!C:C,D2573)&gt;0,"已离职","在职"))</f>
        <v>在职</v>
      </c>
      <c r="P2573" s="28" t="str">
        <f>IF(AND(O2573="在职",J2573="是"),COUNTIF(O$2:O2573,"在职"),"")</f>
        <v/>
      </c>
    </row>
    <row r="2574" ht="18" spans="1:16">
      <c r="A2574" s="10">
        <f t="shared" si="45"/>
        <v>2573</v>
      </c>
      <c r="B2574" s="31">
        <v>46178</v>
      </c>
      <c r="C2574" s="32" t="s">
        <v>2539</v>
      </c>
      <c r="D2574" s="120" t="s">
        <v>477</v>
      </c>
      <c r="E2574" s="33" t="s">
        <v>43</v>
      </c>
      <c r="F2574" s="18" t="s">
        <v>63</v>
      </c>
      <c r="G2574" s="18" t="s">
        <v>124</v>
      </c>
      <c r="H2574" s="34" t="s">
        <v>85</v>
      </c>
      <c r="I2574" s="18" t="s">
        <v>2154</v>
      </c>
      <c r="J2574" s="31" t="s">
        <v>105</v>
      </c>
      <c r="K2574" s="31"/>
      <c r="N2574" s="13" t="s">
        <v>30</v>
      </c>
      <c r="O2574" s="28" t="str">
        <f>IF(D2574="","",IF(COUNTIF(离职清单!C:C,D2574)&gt;0,"已离职","在职"))</f>
        <v>在职</v>
      </c>
      <c r="P2574" s="28" t="str">
        <f>IF(AND(O2574="在职",J2574="是"),COUNTIF(O$2:O2574,"在职"),"")</f>
        <v/>
      </c>
    </row>
    <row r="2575" ht="18" spans="1:16">
      <c r="A2575" s="14">
        <f t="shared" si="45"/>
        <v>2574</v>
      </c>
      <c r="B2575" s="31">
        <v>46178</v>
      </c>
      <c r="C2575" s="32" t="s">
        <v>2469</v>
      </c>
      <c r="D2575" s="120" t="s">
        <v>478</v>
      </c>
      <c r="E2575" s="33" t="s">
        <v>43</v>
      </c>
      <c r="F2575" s="18" t="s">
        <v>63</v>
      </c>
      <c r="G2575" s="18" t="s">
        <v>148</v>
      </c>
      <c r="H2575" s="34" t="s">
        <v>85</v>
      </c>
      <c r="I2575" s="18" t="s">
        <v>2154</v>
      </c>
      <c r="J2575" s="31" t="s">
        <v>105</v>
      </c>
      <c r="K2575" s="31"/>
      <c r="N2575" s="13" t="s">
        <v>30</v>
      </c>
      <c r="O2575" s="28" t="str">
        <f>IF(D2575="","",IF(COUNTIF(离职清单!C:C,D2575)&gt;0,"已离职","在职"))</f>
        <v>在职</v>
      </c>
      <c r="P2575" s="28" t="str">
        <f>IF(AND(O2575="在职",J2575="是"),COUNTIF(O$2:O2575,"在职"),"")</f>
        <v/>
      </c>
    </row>
    <row r="2576" ht="18" spans="1:16">
      <c r="A2576" s="10">
        <f t="shared" si="45"/>
        <v>2575</v>
      </c>
      <c r="B2576" s="31">
        <v>46178</v>
      </c>
      <c r="C2576" s="32" t="s">
        <v>2470</v>
      </c>
      <c r="D2576" s="120" t="s">
        <v>480</v>
      </c>
      <c r="E2576" s="33" t="s">
        <v>43</v>
      </c>
      <c r="F2576" s="18" t="s">
        <v>62</v>
      </c>
      <c r="G2576" s="18" t="s">
        <v>148</v>
      </c>
      <c r="H2576" s="34" t="s">
        <v>85</v>
      </c>
      <c r="I2576" s="18" t="s">
        <v>2154</v>
      </c>
      <c r="J2576" s="31" t="s">
        <v>105</v>
      </c>
      <c r="K2576" s="31"/>
      <c r="N2576" s="13" t="s">
        <v>30</v>
      </c>
      <c r="O2576" s="28" t="str">
        <f>IF(D2576="","",IF(COUNTIF(离职清单!C:C,D2576)&gt;0,"已离职","在职"))</f>
        <v>在职</v>
      </c>
      <c r="P2576" s="28" t="str">
        <f>IF(AND(O2576="在职",J2576="是"),COUNTIF(O$2:O2576,"在职"),"")</f>
        <v/>
      </c>
    </row>
    <row r="2577" ht="18" spans="1:16">
      <c r="A2577" s="14">
        <f t="shared" si="45"/>
        <v>2576</v>
      </c>
      <c r="B2577" s="31">
        <v>46178</v>
      </c>
      <c r="C2577" s="32" t="s">
        <v>2540</v>
      </c>
      <c r="D2577" s="120" t="s">
        <v>482</v>
      </c>
      <c r="E2577" s="33" t="s">
        <v>43</v>
      </c>
      <c r="F2577" s="18" t="s">
        <v>63</v>
      </c>
      <c r="G2577" s="18" t="s">
        <v>2164</v>
      </c>
      <c r="H2577" s="34" t="s">
        <v>85</v>
      </c>
      <c r="I2577" s="18" t="s">
        <v>2154</v>
      </c>
      <c r="J2577" s="31" t="s">
        <v>105</v>
      </c>
      <c r="K2577" s="31"/>
      <c r="N2577" s="13" t="s">
        <v>30</v>
      </c>
      <c r="O2577" s="28" t="str">
        <f>IF(D2577="","",IF(COUNTIF(离职清单!C:C,D2577)&gt;0,"已离职","在职"))</f>
        <v>在职</v>
      </c>
      <c r="P2577" s="28" t="str">
        <f>IF(AND(O2577="在职",J2577="是"),COUNTIF(O$2:O2577,"在职"),"")</f>
        <v/>
      </c>
    </row>
    <row r="2578" ht="18" spans="1:16">
      <c r="A2578" s="10">
        <f t="shared" si="45"/>
        <v>2577</v>
      </c>
      <c r="B2578" s="31">
        <v>46178</v>
      </c>
      <c r="C2578" s="32" t="s">
        <v>2541</v>
      </c>
      <c r="D2578" s="120" t="s">
        <v>484</v>
      </c>
      <c r="E2578" s="33" t="s">
        <v>43</v>
      </c>
      <c r="F2578" s="18" t="s">
        <v>63</v>
      </c>
      <c r="G2578" s="18" t="s">
        <v>2164</v>
      </c>
      <c r="H2578" s="34" t="s">
        <v>85</v>
      </c>
      <c r="I2578" s="18" t="s">
        <v>2154</v>
      </c>
      <c r="J2578" s="31" t="s">
        <v>105</v>
      </c>
      <c r="K2578" s="31"/>
      <c r="N2578" s="13" t="s">
        <v>30</v>
      </c>
      <c r="O2578" s="28" t="str">
        <f>IF(D2578="","",IF(COUNTIF(离职清单!C:C,D2578)&gt;0,"已离职","在职"))</f>
        <v>在职</v>
      </c>
      <c r="P2578" s="28" t="str">
        <f>IF(AND(O2578="在职",J2578="是"),COUNTIF(O$2:O2578,"在职"),"")</f>
        <v/>
      </c>
    </row>
    <row r="2579" ht="18" spans="1:16">
      <c r="A2579" s="14">
        <f t="shared" si="45"/>
        <v>2578</v>
      </c>
      <c r="B2579" s="31">
        <v>46178</v>
      </c>
      <c r="C2579" s="32" t="s">
        <v>2418</v>
      </c>
      <c r="D2579" s="120" t="s">
        <v>486</v>
      </c>
      <c r="E2579" s="33" t="s">
        <v>43</v>
      </c>
      <c r="F2579" s="18" t="s">
        <v>62</v>
      </c>
      <c r="G2579" s="18" t="s">
        <v>2164</v>
      </c>
      <c r="H2579" s="34" t="s">
        <v>85</v>
      </c>
      <c r="I2579" s="18" t="s">
        <v>2154</v>
      </c>
      <c r="J2579" s="31" t="s">
        <v>105</v>
      </c>
      <c r="K2579" s="31"/>
      <c r="N2579" s="13" t="s">
        <v>30</v>
      </c>
      <c r="O2579" s="28" t="str">
        <f>IF(D2579="","",IF(COUNTIF(离职清单!C:C,D2579)&gt;0,"已离职","在职"))</f>
        <v>在职</v>
      </c>
      <c r="P2579" s="28" t="str">
        <f>IF(AND(O2579="在职",J2579="是"),COUNTIF(O$2:O2579,"在职"),"")</f>
        <v/>
      </c>
    </row>
    <row r="2580" ht="18" spans="1:16">
      <c r="A2580" s="10">
        <f t="shared" si="45"/>
        <v>2579</v>
      </c>
      <c r="B2580" s="31">
        <v>46178</v>
      </c>
      <c r="C2580" s="32" t="s">
        <v>2416</v>
      </c>
      <c r="D2580" s="120" t="s">
        <v>488</v>
      </c>
      <c r="E2580" s="33" t="s">
        <v>43</v>
      </c>
      <c r="F2580" s="18" t="s">
        <v>63</v>
      </c>
      <c r="G2580" s="18" t="s">
        <v>2164</v>
      </c>
      <c r="H2580" s="34" t="s">
        <v>85</v>
      </c>
      <c r="I2580" s="18" t="s">
        <v>2154</v>
      </c>
      <c r="J2580" s="31" t="s">
        <v>105</v>
      </c>
      <c r="K2580" s="31"/>
      <c r="N2580" s="13" t="s">
        <v>30</v>
      </c>
      <c r="O2580" s="28" t="str">
        <f>IF(D2580="","",IF(COUNTIF(离职清单!C:C,D2580)&gt;0,"已离职","在职"))</f>
        <v>在职</v>
      </c>
      <c r="P2580" s="28" t="str">
        <f>IF(AND(O2580="在职",J2580="是"),COUNTIF(O$2:O2580,"在职"),"")</f>
        <v/>
      </c>
    </row>
    <row r="2581" ht="18" spans="1:16">
      <c r="A2581" s="14">
        <f t="shared" si="45"/>
        <v>2580</v>
      </c>
      <c r="B2581" s="31">
        <v>46178</v>
      </c>
      <c r="C2581" s="32" t="s">
        <v>2542</v>
      </c>
      <c r="D2581" s="120" t="s">
        <v>490</v>
      </c>
      <c r="E2581" s="33" t="s">
        <v>43</v>
      </c>
      <c r="F2581" s="18" t="s">
        <v>63</v>
      </c>
      <c r="G2581" s="18" t="s">
        <v>2164</v>
      </c>
      <c r="H2581" s="34" t="s">
        <v>85</v>
      </c>
      <c r="I2581" s="18" t="s">
        <v>2154</v>
      </c>
      <c r="J2581" s="31" t="s">
        <v>105</v>
      </c>
      <c r="K2581" s="31"/>
      <c r="N2581" s="13" t="s">
        <v>30</v>
      </c>
      <c r="O2581" s="28" t="str">
        <f>IF(D2581="","",IF(COUNTIF(离职清单!C:C,D2581)&gt;0,"已离职","在职"))</f>
        <v>在职</v>
      </c>
      <c r="P2581" s="28" t="str">
        <f>IF(AND(O2581="在职",J2581="是"),COUNTIF(O$2:O2581,"在职"),"")</f>
        <v/>
      </c>
    </row>
    <row r="2582" ht="18" spans="1:16">
      <c r="A2582" s="10">
        <f t="shared" si="45"/>
        <v>2581</v>
      </c>
      <c r="B2582" s="31">
        <v>46178</v>
      </c>
      <c r="C2582" s="32" t="s">
        <v>2420</v>
      </c>
      <c r="D2582" s="120" t="s">
        <v>492</v>
      </c>
      <c r="E2582" s="33" t="s">
        <v>43</v>
      </c>
      <c r="F2582" s="18" t="s">
        <v>63</v>
      </c>
      <c r="G2582" s="18" t="s">
        <v>2164</v>
      </c>
      <c r="H2582" s="34" t="s">
        <v>85</v>
      </c>
      <c r="I2582" s="18" t="s">
        <v>2154</v>
      </c>
      <c r="J2582" s="31" t="s">
        <v>105</v>
      </c>
      <c r="K2582" s="31"/>
      <c r="N2582" s="13" t="s">
        <v>30</v>
      </c>
      <c r="O2582" s="28" t="str">
        <f>IF(D2582="","",IF(COUNTIF(离职清单!C:C,D2582)&gt;0,"已离职","在职"))</f>
        <v>在职</v>
      </c>
      <c r="P2582" s="28" t="str">
        <f>IF(AND(O2582="在职",J2582="是"),COUNTIF(O$2:O2582,"在职"),"")</f>
        <v/>
      </c>
    </row>
    <row r="2583" ht="18" spans="1:16">
      <c r="A2583" s="14">
        <f t="shared" si="45"/>
        <v>2582</v>
      </c>
      <c r="B2583" s="31">
        <v>46178</v>
      </c>
      <c r="C2583" s="32" t="s">
        <v>2543</v>
      </c>
      <c r="D2583" s="120" t="s">
        <v>477</v>
      </c>
      <c r="E2583" s="33" t="s">
        <v>42</v>
      </c>
      <c r="F2583" s="18" t="s">
        <v>63</v>
      </c>
      <c r="G2583" s="18" t="s">
        <v>2153</v>
      </c>
      <c r="H2583" s="34" t="s">
        <v>85</v>
      </c>
      <c r="I2583" s="18" t="s">
        <v>2154</v>
      </c>
      <c r="J2583" s="31" t="s">
        <v>105</v>
      </c>
      <c r="K2583" s="31"/>
      <c r="N2583" s="13" t="s">
        <v>30</v>
      </c>
      <c r="O2583" s="28" t="str">
        <f>IF(D2583="","",IF(COUNTIF(离职清单!C:C,D2583)&gt;0,"已离职","在职"))</f>
        <v>在职</v>
      </c>
      <c r="P2583" s="28" t="str">
        <f>IF(AND(O2583="在职",J2583="是"),COUNTIF(O$2:O2583,"在职"),"")</f>
        <v/>
      </c>
    </row>
    <row r="2584" ht="18" spans="1:16">
      <c r="A2584" s="10">
        <f t="shared" si="45"/>
        <v>2583</v>
      </c>
      <c r="B2584" s="31">
        <v>46178</v>
      </c>
      <c r="C2584" s="32" t="s">
        <v>1924</v>
      </c>
      <c r="D2584" s="120" t="s">
        <v>478</v>
      </c>
      <c r="E2584" s="33" t="s">
        <v>42</v>
      </c>
      <c r="F2584" s="18" t="s">
        <v>62</v>
      </c>
      <c r="G2584" s="18" t="s">
        <v>124</v>
      </c>
      <c r="H2584" s="34" t="s">
        <v>85</v>
      </c>
      <c r="I2584" s="18" t="s">
        <v>2154</v>
      </c>
      <c r="J2584" s="31" t="s">
        <v>105</v>
      </c>
      <c r="K2584" s="31"/>
      <c r="N2584" s="13" t="s">
        <v>30</v>
      </c>
      <c r="O2584" s="28" t="str">
        <f>IF(D2584="","",IF(COUNTIF(离职清单!C:C,D2584)&gt;0,"已离职","在职"))</f>
        <v>在职</v>
      </c>
      <c r="P2584" s="28" t="str">
        <f>IF(AND(O2584="在职",J2584="是"),COUNTIF(O$2:O2584,"在职"),"")</f>
        <v/>
      </c>
    </row>
    <row r="2585" ht="18" spans="1:16">
      <c r="A2585" s="14">
        <f t="shared" si="45"/>
        <v>2584</v>
      </c>
      <c r="B2585" s="31">
        <v>46178</v>
      </c>
      <c r="C2585" s="32" t="s">
        <v>1384</v>
      </c>
      <c r="D2585" s="120" t="s">
        <v>480</v>
      </c>
      <c r="E2585" s="33" t="s">
        <v>42</v>
      </c>
      <c r="F2585" s="18" t="s">
        <v>62</v>
      </c>
      <c r="G2585" s="18" t="s">
        <v>124</v>
      </c>
      <c r="H2585" s="34" t="s">
        <v>85</v>
      </c>
      <c r="I2585" s="18" t="s">
        <v>2154</v>
      </c>
      <c r="J2585" s="31" t="s">
        <v>105</v>
      </c>
      <c r="K2585" s="31"/>
      <c r="N2585" s="13" t="s">
        <v>30</v>
      </c>
      <c r="O2585" s="28" t="str">
        <f>IF(D2585="","",IF(COUNTIF(离职清单!C:C,D2585)&gt;0,"已离职","在职"))</f>
        <v>在职</v>
      </c>
      <c r="P2585" s="28" t="str">
        <f>IF(AND(O2585="在职",J2585="是"),COUNTIF(O$2:O2585,"在职"),"")</f>
        <v/>
      </c>
    </row>
    <row r="2586" ht="18" spans="1:16">
      <c r="A2586" s="10">
        <f t="shared" si="45"/>
        <v>2585</v>
      </c>
      <c r="B2586" s="31">
        <v>46178</v>
      </c>
      <c r="C2586" s="32" t="s">
        <v>2544</v>
      </c>
      <c r="D2586" s="120" t="s">
        <v>482</v>
      </c>
      <c r="E2586" s="33" t="s">
        <v>42</v>
      </c>
      <c r="F2586" s="18" t="s">
        <v>62</v>
      </c>
      <c r="G2586" s="18" t="s">
        <v>124</v>
      </c>
      <c r="H2586" s="34" t="s">
        <v>85</v>
      </c>
      <c r="I2586" s="18" t="s">
        <v>2154</v>
      </c>
      <c r="J2586" s="31" t="s">
        <v>105</v>
      </c>
      <c r="K2586" s="31"/>
      <c r="N2586" s="13" t="s">
        <v>30</v>
      </c>
      <c r="O2586" s="28" t="str">
        <f>IF(D2586="","",IF(COUNTIF(离职清单!C:C,D2586)&gt;0,"已离职","在职"))</f>
        <v>在职</v>
      </c>
      <c r="P2586" s="28" t="str">
        <f>IF(AND(O2586="在职",J2586="是"),COUNTIF(O$2:O2586,"在职"),"")</f>
        <v/>
      </c>
    </row>
    <row r="2587" ht="18" spans="1:16">
      <c r="A2587" s="14">
        <f t="shared" si="45"/>
        <v>2586</v>
      </c>
      <c r="B2587" s="31">
        <v>46178</v>
      </c>
      <c r="C2587" s="32" t="s">
        <v>2545</v>
      </c>
      <c r="D2587" s="120" t="s">
        <v>484</v>
      </c>
      <c r="E2587" s="33" t="s">
        <v>42</v>
      </c>
      <c r="F2587" s="18" t="s">
        <v>63</v>
      </c>
      <c r="G2587" s="18" t="s">
        <v>2156</v>
      </c>
      <c r="H2587" s="34" t="s">
        <v>85</v>
      </c>
      <c r="I2587" s="18" t="s">
        <v>2154</v>
      </c>
      <c r="J2587" s="31" t="s">
        <v>105</v>
      </c>
      <c r="K2587" s="31"/>
      <c r="N2587" s="13" t="s">
        <v>30</v>
      </c>
      <c r="O2587" s="28" t="str">
        <f>IF(D2587="","",IF(COUNTIF(离职清单!C:C,D2587)&gt;0,"已离职","在职"))</f>
        <v>在职</v>
      </c>
      <c r="P2587" s="28" t="str">
        <f>IF(AND(O2587="在职",J2587="是"),COUNTIF(O$2:O2587,"在职"),"")</f>
        <v/>
      </c>
    </row>
    <row r="2588" ht="18" spans="1:16">
      <c r="A2588" s="10">
        <f t="shared" si="45"/>
        <v>2587</v>
      </c>
      <c r="B2588" s="31">
        <v>46178</v>
      </c>
      <c r="C2588" s="32" t="s">
        <v>2546</v>
      </c>
      <c r="D2588" s="120" t="s">
        <v>486</v>
      </c>
      <c r="E2588" s="33" t="s">
        <v>42</v>
      </c>
      <c r="F2588" s="18" t="s">
        <v>63</v>
      </c>
      <c r="G2588" s="18" t="s">
        <v>2156</v>
      </c>
      <c r="H2588" s="34" t="s">
        <v>85</v>
      </c>
      <c r="I2588" s="18" t="s">
        <v>2154</v>
      </c>
      <c r="J2588" s="31" t="s">
        <v>105</v>
      </c>
      <c r="K2588" s="31"/>
      <c r="N2588" s="13" t="s">
        <v>30</v>
      </c>
      <c r="O2588" s="28" t="str">
        <f>IF(D2588="","",IF(COUNTIF(离职清单!C:C,D2588)&gt;0,"已离职","在职"))</f>
        <v>在职</v>
      </c>
      <c r="P2588" s="28" t="str">
        <f>IF(AND(O2588="在职",J2588="是"),COUNTIF(O$2:O2588,"在职"),"")</f>
        <v/>
      </c>
    </row>
    <row r="2589" ht="18" spans="1:16">
      <c r="A2589" s="14">
        <f t="shared" si="45"/>
        <v>2588</v>
      </c>
      <c r="B2589" s="31">
        <v>46178</v>
      </c>
      <c r="C2589" s="32" t="s">
        <v>2547</v>
      </c>
      <c r="D2589" s="120" t="s">
        <v>488</v>
      </c>
      <c r="E2589" s="33" t="s">
        <v>42</v>
      </c>
      <c r="F2589" s="18" t="s">
        <v>63</v>
      </c>
      <c r="G2589" s="18" t="s">
        <v>124</v>
      </c>
      <c r="H2589" s="34" t="s">
        <v>86</v>
      </c>
      <c r="I2589" s="18" t="s">
        <v>2154</v>
      </c>
      <c r="J2589" s="31" t="s">
        <v>105</v>
      </c>
      <c r="K2589" s="31"/>
      <c r="N2589" s="13" t="s">
        <v>30</v>
      </c>
      <c r="O2589" s="28" t="str">
        <f>IF(D2589="","",IF(COUNTIF(离职清单!C:C,D2589)&gt;0,"已离职","在职"))</f>
        <v>在职</v>
      </c>
      <c r="P2589" s="28" t="str">
        <f>IF(AND(O2589="在职",J2589="是"),COUNTIF(O$2:O2589,"在职"),"")</f>
        <v/>
      </c>
    </row>
    <row r="2590" ht="18" spans="1:16">
      <c r="A2590" s="10">
        <f t="shared" si="45"/>
        <v>2589</v>
      </c>
      <c r="B2590" s="31">
        <v>46178</v>
      </c>
      <c r="C2590" s="32" t="s">
        <v>2548</v>
      </c>
      <c r="D2590" s="120" t="s">
        <v>490</v>
      </c>
      <c r="E2590" s="33" t="s">
        <v>42</v>
      </c>
      <c r="F2590" s="18" t="s">
        <v>63</v>
      </c>
      <c r="G2590" s="18" t="s">
        <v>124</v>
      </c>
      <c r="H2590" s="34" t="s">
        <v>86</v>
      </c>
      <c r="I2590" s="18" t="s">
        <v>2154</v>
      </c>
      <c r="J2590" s="31" t="s">
        <v>105</v>
      </c>
      <c r="K2590" s="31"/>
      <c r="N2590" s="13" t="s">
        <v>30</v>
      </c>
      <c r="O2590" s="28" t="str">
        <f>IF(D2590="","",IF(COUNTIF(离职清单!C:C,D2590)&gt;0,"已离职","在职"))</f>
        <v>在职</v>
      </c>
      <c r="P2590" s="28" t="str">
        <f>IF(AND(O2590="在职",J2590="是"),COUNTIF(O$2:O2590,"在职"),"")</f>
        <v/>
      </c>
    </row>
    <row r="2591" ht="18" spans="1:16">
      <c r="A2591" s="14">
        <f t="shared" si="45"/>
        <v>2590</v>
      </c>
      <c r="B2591" s="31">
        <v>46178</v>
      </c>
      <c r="C2591" s="32" t="s">
        <v>2549</v>
      </c>
      <c r="D2591" s="120" t="s">
        <v>492</v>
      </c>
      <c r="E2591" s="33" t="s">
        <v>42</v>
      </c>
      <c r="F2591" s="18" t="s">
        <v>62</v>
      </c>
      <c r="G2591" s="18" t="s">
        <v>103</v>
      </c>
      <c r="H2591" s="34" t="s">
        <v>86</v>
      </c>
      <c r="I2591" s="18" t="s">
        <v>2154</v>
      </c>
      <c r="J2591" s="31" t="s">
        <v>105</v>
      </c>
      <c r="K2591" s="31"/>
      <c r="N2591" s="13" t="s">
        <v>30</v>
      </c>
      <c r="O2591" s="28" t="str">
        <f>IF(D2591="","",IF(COUNTIF(离职清单!C:C,D2591)&gt;0,"已离职","在职"))</f>
        <v>在职</v>
      </c>
      <c r="P2591" s="28" t="str">
        <f>IF(AND(O2591="在职",J2591="是"),COUNTIF(O$2:O2591,"在职"),"")</f>
        <v/>
      </c>
    </row>
    <row r="2592" ht="18" spans="1:16">
      <c r="A2592" s="10">
        <f t="shared" si="45"/>
        <v>2591</v>
      </c>
      <c r="B2592" s="31">
        <v>46178</v>
      </c>
      <c r="C2592" s="32" t="s">
        <v>2550</v>
      </c>
      <c r="D2592" s="120" t="s">
        <v>477</v>
      </c>
      <c r="E2592" s="33" t="s">
        <v>42</v>
      </c>
      <c r="F2592" s="18" t="s">
        <v>63</v>
      </c>
      <c r="G2592" s="18" t="s">
        <v>2164</v>
      </c>
      <c r="H2592" s="34" t="s">
        <v>85</v>
      </c>
      <c r="I2592" s="18" t="s">
        <v>2154</v>
      </c>
      <c r="J2592" s="31" t="s">
        <v>105</v>
      </c>
      <c r="K2592" s="31"/>
      <c r="N2592" s="13" t="s">
        <v>30</v>
      </c>
      <c r="O2592" s="28" t="str">
        <f>IF(D2592="","",IF(COUNTIF(离职清单!C:C,D2592)&gt;0,"已离职","在职"))</f>
        <v>在职</v>
      </c>
      <c r="P2592" s="28" t="str">
        <f>IF(AND(O2592="在职",J2592="是"),COUNTIF(O$2:O2592,"在职"),"")</f>
        <v/>
      </c>
    </row>
    <row r="2593" ht="18" spans="1:16">
      <c r="A2593" s="14">
        <f t="shared" si="45"/>
        <v>2592</v>
      </c>
      <c r="B2593" s="31">
        <v>46178</v>
      </c>
      <c r="C2593" s="32" t="s">
        <v>2551</v>
      </c>
      <c r="D2593" s="120" t="s">
        <v>478</v>
      </c>
      <c r="E2593" s="33" t="s">
        <v>43</v>
      </c>
      <c r="F2593" s="18" t="s">
        <v>62</v>
      </c>
      <c r="G2593" s="18" t="s">
        <v>129</v>
      </c>
      <c r="H2593" s="34" t="s">
        <v>85</v>
      </c>
      <c r="I2593" s="18" t="s">
        <v>2154</v>
      </c>
      <c r="J2593" s="31" t="s">
        <v>105</v>
      </c>
      <c r="K2593" s="31"/>
      <c r="N2593" s="13" t="s">
        <v>30</v>
      </c>
      <c r="O2593" s="28" t="str">
        <f>IF(D2593="","",IF(COUNTIF(离职清单!C:C,D2593)&gt;0,"已离职","在职"))</f>
        <v>在职</v>
      </c>
      <c r="P2593" s="28" t="str">
        <f>IF(AND(O2593="在职",J2593="是"),COUNTIF(O$2:O2593,"在职"),"")</f>
        <v/>
      </c>
    </row>
    <row r="2594" ht="18" spans="1:16">
      <c r="A2594" s="10">
        <f t="shared" si="45"/>
        <v>2593</v>
      </c>
      <c r="B2594" s="31">
        <v>46178</v>
      </c>
      <c r="C2594" s="32" t="s">
        <v>2552</v>
      </c>
      <c r="D2594" s="120" t="s">
        <v>480</v>
      </c>
      <c r="E2594" s="33" t="s">
        <v>43</v>
      </c>
      <c r="F2594" s="18" t="s">
        <v>63</v>
      </c>
      <c r="G2594" s="18" t="s">
        <v>129</v>
      </c>
      <c r="H2594" s="34" t="s">
        <v>85</v>
      </c>
      <c r="I2594" s="18" t="s">
        <v>2154</v>
      </c>
      <c r="J2594" s="31" t="s">
        <v>105</v>
      </c>
      <c r="K2594" s="31"/>
      <c r="N2594" s="13" t="s">
        <v>30</v>
      </c>
      <c r="O2594" s="28" t="str">
        <f>IF(D2594="","",IF(COUNTIF(离职清单!C:C,D2594)&gt;0,"已离职","在职"))</f>
        <v>在职</v>
      </c>
      <c r="P2594" s="28" t="str">
        <f>IF(AND(O2594="在职",J2594="是"),COUNTIF(O$2:O2594,"在职"),"")</f>
        <v/>
      </c>
    </row>
    <row r="2595" ht="18" spans="1:16">
      <c r="A2595" s="14">
        <f t="shared" si="45"/>
        <v>2594</v>
      </c>
      <c r="B2595" s="31">
        <v>46178</v>
      </c>
      <c r="C2595" s="32" t="s">
        <v>2485</v>
      </c>
      <c r="D2595" s="120" t="s">
        <v>482</v>
      </c>
      <c r="E2595" s="33" t="s">
        <v>43</v>
      </c>
      <c r="F2595" s="18" t="s">
        <v>63</v>
      </c>
      <c r="G2595" s="18" t="s">
        <v>129</v>
      </c>
      <c r="H2595" s="34" t="s">
        <v>85</v>
      </c>
      <c r="I2595" s="18" t="s">
        <v>2154</v>
      </c>
      <c r="J2595" s="31" t="s">
        <v>105</v>
      </c>
      <c r="K2595" s="31"/>
      <c r="N2595" s="13" t="s">
        <v>30</v>
      </c>
      <c r="O2595" s="28" t="str">
        <f>IF(D2595="","",IF(COUNTIF(离职清单!C:C,D2595)&gt;0,"已离职","在职"))</f>
        <v>在职</v>
      </c>
      <c r="P2595" s="28" t="str">
        <f>IF(AND(O2595="在职",J2595="是"),COUNTIF(O$2:O2595,"在职"),"")</f>
        <v/>
      </c>
    </row>
    <row r="2596" ht="18" spans="1:16">
      <c r="A2596" s="10">
        <f t="shared" si="45"/>
        <v>2595</v>
      </c>
      <c r="B2596" s="31">
        <v>46178</v>
      </c>
      <c r="C2596" s="32" t="s">
        <v>2553</v>
      </c>
      <c r="D2596" s="120" t="s">
        <v>484</v>
      </c>
      <c r="E2596" s="33" t="s">
        <v>43</v>
      </c>
      <c r="F2596" s="18" t="s">
        <v>63</v>
      </c>
      <c r="G2596" s="18" t="s">
        <v>2186</v>
      </c>
      <c r="H2596" s="34" t="s">
        <v>85</v>
      </c>
      <c r="I2596" s="18" t="s">
        <v>2154</v>
      </c>
      <c r="J2596" s="31" t="s">
        <v>105</v>
      </c>
      <c r="K2596" s="31"/>
      <c r="N2596" s="13" t="s">
        <v>30</v>
      </c>
      <c r="O2596" s="28" t="str">
        <f>IF(D2596="","",IF(COUNTIF(离职清单!C:C,D2596)&gt;0,"已离职","在职"))</f>
        <v>在职</v>
      </c>
      <c r="P2596" s="28" t="str">
        <f>IF(AND(O2596="在职",J2596="是"),COUNTIF(O$2:O2596,"在职"),"")</f>
        <v/>
      </c>
    </row>
    <row r="2597" ht="18" spans="1:16">
      <c r="A2597" s="14">
        <f t="shared" si="45"/>
        <v>2596</v>
      </c>
      <c r="B2597" s="31">
        <v>46178</v>
      </c>
      <c r="C2597" s="32" t="s">
        <v>2428</v>
      </c>
      <c r="D2597" s="120" t="s">
        <v>486</v>
      </c>
      <c r="E2597" s="33" t="s">
        <v>42</v>
      </c>
      <c r="F2597" s="18" t="s">
        <v>64</v>
      </c>
      <c r="G2597" s="18" t="s">
        <v>148</v>
      </c>
      <c r="H2597" s="34" t="s">
        <v>85</v>
      </c>
      <c r="I2597" s="18" t="s">
        <v>2154</v>
      </c>
      <c r="J2597" s="31" t="s">
        <v>105</v>
      </c>
      <c r="K2597" s="31"/>
      <c r="N2597" s="13" t="s">
        <v>30</v>
      </c>
      <c r="O2597" s="28" t="str">
        <f>IF(D2597="","",IF(COUNTIF(离职清单!C:C,D2597)&gt;0,"已离职","在职"))</f>
        <v>在职</v>
      </c>
      <c r="P2597" s="28" t="str">
        <f>IF(AND(O2597="在职",J2597="是"),COUNTIF(O$2:O2597,"在职"),"")</f>
        <v/>
      </c>
    </row>
    <row r="2598" ht="18" spans="1:16">
      <c r="A2598" s="10">
        <f t="shared" si="45"/>
        <v>2597</v>
      </c>
      <c r="B2598" s="31">
        <v>46178</v>
      </c>
      <c r="C2598" s="32" t="s">
        <v>2554</v>
      </c>
      <c r="D2598" s="120" t="s">
        <v>488</v>
      </c>
      <c r="E2598" s="33" t="s">
        <v>42</v>
      </c>
      <c r="F2598" s="18" t="s">
        <v>64</v>
      </c>
      <c r="G2598" s="18" t="s">
        <v>148</v>
      </c>
      <c r="H2598" s="34" t="s">
        <v>85</v>
      </c>
      <c r="I2598" s="18" t="s">
        <v>2154</v>
      </c>
      <c r="J2598" s="31" t="s">
        <v>105</v>
      </c>
      <c r="K2598" s="31"/>
      <c r="N2598" s="13" t="s">
        <v>30</v>
      </c>
      <c r="O2598" s="28" t="str">
        <f>IF(D2598="","",IF(COUNTIF(离职清单!C:C,D2598)&gt;0,"已离职","在职"))</f>
        <v>在职</v>
      </c>
      <c r="P2598" s="28" t="str">
        <f>IF(AND(O2598="在职",J2598="是"),COUNTIF(O$2:O2598,"在职"),"")</f>
        <v/>
      </c>
    </row>
    <row r="2599" ht="18" spans="1:16">
      <c r="A2599" s="14">
        <f t="shared" si="45"/>
        <v>2598</v>
      </c>
      <c r="B2599" s="31">
        <v>46178</v>
      </c>
      <c r="C2599" s="32" t="s">
        <v>2440</v>
      </c>
      <c r="D2599" s="120" t="s">
        <v>490</v>
      </c>
      <c r="E2599" s="33" t="s">
        <v>42</v>
      </c>
      <c r="F2599" s="18" t="s">
        <v>63</v>
      </c>
      <c r="G2599" s="18" t="s">
        <v>148</v>
      </c>
      <c r="H2599" s="34" t="s">
        <v>85</v>
      </c>
      <c r="I2599" s="18" t="s">
        <v>2154</v>
      </c>
      <c r="J2599" s="31" t="s">
        <v>105</v>
      </c>
      <c r="K2599" s="31"/>
      <c r="N2599" s="13" t="s">
        <v>30</v>
      </c>
      <c r="O2599" s="28" t="str">
        <f>IF(D2599="","",IF(COUNTIF(离职清单!C:C,D2599)&gt;0,"已离职","在职"))</f>
        <v>在职</v>
      </c>
      <c r="P2599" s="28" t="str">
        <f>IF(AND(O2599="在职",J2599="是"),COUNTIF(O$2:O2599,"在职"),"")</f>
        <v/>
      </c>
    </row>
    <row r="2600" ht="18" spans="1:16">
      <c r="A2600" s="10">
        <f t="shared" si="45"/>
        <v>2599</v>
      </c>
      <c r="B2600" s="31">
        <v>46178</v>
      </c>
      <c r="C2600" s="32" t="s">
        <v>2263</v>
      </c>
      <c r="D2600" s="120" t="s">
        <v>492</v>
      </c>
      <c r="E2600" s="33" t="s">
        <v>42</v>
      </c>
      <c r="F2600" s="18" t="s">
        <v>64</v>
      </c>
      <c r="G2600" s="18" t="s">
        <v>148</v>
      </c>
      <c r="H2600" s="34" t="s">
        <v>85</v>
      </c>
      <c r="I2600" s="18" t="s">
        <v>2154</v>
      </c>
      <c r="J2600" s="31" t="s">
        <v>105</v>
      </c>
      <c r="K2600" s="31"/>
      <c r="N2600" s="13" t="s">
        <v>30</v>
      </c>
      <c r="O2600" s="28" t="str">
        <f>IF(D2600="","",IF(COUNTIF(离职清单!C:C,D2600)&gt;0,"已离职","在职"))</f>
        <v>在职</v>
      </c>
      <c r="P2600" s="28" t="str">
        <f>IF(AND(O2600="在职",J2600="是"),COUNTIF(O$2:O2600,"在职"),"")</f>
        <v/>
      </c>
    </row>
    <row r="2601" ht="18" spans="1:16">
      <c r="A2601" s="14">
        <f t="shared" si="45"/>
        <v>2600</v>
      </c>
      <c r="B2601" s="31">
        <v>46178</v>
      </c>
      <c r="C2601" s="32" t="s">
        <v>2555</v>
      </c>
      <c r="D2601" s="120" t="s">
        <v>477</v>
      </c>
      <c r="E2601" s="33" t="s">
        <v>42</v>
      </c>
      <c r="F2601" s="18" t="s">
        <v>63</v>
      </c>
      <c r="G2601" s="18" t="s">
        <v>148</v>
      </c>
      <c r="H2601" s="34" t="s">
        <v>85</v>
      </c>
      <c r="I2601" s="18" t="s">
        <v>2154</v>
      </c>
      <c r="J2601" s="31" t="s">
        <v>105</v>
      </c>
      <c r="K2601" s="31"/>
      <c r="N2601" s="13" t="s">
        <v>30</v>
      </c>
      <c r="O2601" s="28" t="str">
        <f>IF(D2601="","",IF(COUNTIF(离职清单!C:C,D2601)&gt;0,"已离职","在职"))</f>
        <v>在职</v>
      </c>
      <c r="P2601" s="28" t="str">
        <f>IF(AND(O2601="在职",J2601="是"),COUNTIF(O$2:O2601,"在职"),"")</f>
        <v/>
      </c>
    </row>
    <row r="2602" ht="18" spans="1:16">
      <c r="A2602" s="10">
        <f t="shared" si="45"/>
        <v>2601</v>
      </c>
      <c r="B2602" s="31">
        <v>46178</v>
      </c>
      <c r="C2602" s="32" t="s">
        <v>2556</v>
      </c>
      <c r="D2602" s="120" t="s">
        <v>477</v>
      </c>
      <c r="E2602" s="33" t="s">
        <v>42</v>
      </c>
      <c r="F2602" s="18" t="s">
        <v>63</v>
      </c>
      <c r="G2602" s="18" t="s">
        <v>148</v>
      </c>
      <c r="H2602" s="34" t="s">
        <v>85</v>
      </c>
      <c r="I2602" s="18" t="s">
        <v>2154</v>
      </c>
      <c r="J2602" s="31" t="s">
        <v>105</v>
      </c>
      <c r="K2602" s="31"/>
      <c r="N2602" s="13" t="s">
        <v>30</v>
      </c>
      <c r="O2602" s="28" t="str">
        <f>IF(D2602="","",IF(COUNTIF(离职清单!C:C,D2602)&gt;0,"已离职","在职"))</f>
        <v>在职</v>
      </c>
      <c r="P2602" s="28" t="str">
        <f>IF(AND(O2602="在职",J2602="是"),COUNTIF(O$2:O2602,"在职"),"")</f>
        <v/>
      </c>
    </row>
    <row r="2603" ht="18" spans="1:16">
      <c r="A2603" s="14">
        <f t="shared" si="45"/>
        <v>2602</v>
      </c>
      <c r="B2603" s="31">
        <v>46178</v>
      </c>
      <c r="C2603" s="32" t="s">
        <v>2523</v>
      </c>
      <c r="D2603" s="120" t="s">
        <v>478</v>
      </c>
      <c r="E2603" s="33" t="s">
        <v>43</v>
      </c>
      <c r="F2603" s="18" t="s">
        <v>64</v>
      </c>
      <c r="G2603" s="18" t="s">
        <v>148</v>
      </c>
      <c r="H2603" s="34" t="s">
        <v>85</v>
      </c>
      <c r="I2603" s="18" t="s">
        <v>105</v>
      </c>
      <c r="J2603" s="31" t="s">
        <v>105</v>
      </c>
      <c r="K2603" s="31"/>
      <c r="N2603" s="13" t="s">
        <v>30</v>
      </c>
      <c r="O2603" s="28" t="str">
        <f>IF(D2603="","",IF(COUNTIF(离职清单!C:C,D2603)&gt;0,"已离职","在职"))</f>
        <v>在职</v>
      </c>
      <c r="P2603" s="28" t="str">
        <f>IF(AND(O2603="在职",J2603="是"),COUNTIF(O$2:O2603,"在职"),"")</f>
        <v/>
      </c>
    </row>
    <row r="2604" ht="18" spans="1:16">
      <c r="A2604" s="10">
        <f t="shared" ref="A2604:A2667" si="46">IF(B2604&lt;&gt;"",ROW()-1,"")</f>
        <v>2603</v>
      </c>
      <c r="B2604" s="31">
        <v>46178</v>
      </c>
      <c r="C2604" s="32" t="s">
        <v>2424</v>
      </c>
      <c r="D2604" s="120" t="s">
        <v>480</v>
      </c>
      <c r="E2604" s="33" t="s">
        <v>43</v>
      </c>
      <c r="F2604" s="18" t="s">
        <v>62</v>
      </c>
      <c r="G2604" s="18" t="s">
        <v>2153</v>
      </c>
      <c r="H2604" s="34" t="s">
        <v>85</v>
      </c>
      <c r="I2604" s="18" t="s">
        <v>105</v>
      </c>
      <c r="J2604" s="31" t="s">
        <v>105</v>
      </c>
      <c r="K2604" s="31"/>
      <c r="N2604" s="13" t="s">
        <v>30</v>
      </c>
      <c r="O2604" s="28" t="str">
        <f>IF(D2604="","",IF(COUNTIF(离职清单!C:C,D2604)&gt;0,"已离职","在职"))</f>
        <v>在职</v>
      </c>
      <c r="P2604" s="28" t="str">
        <f>IF(AND(O2604="在职",J2604="是"),COUNTIF(O$2:O2604,"在职"),"")</f>
        <v/>
      </c>
    </row>
    <row r="2605" ht="18" spans="1:16">
      <c r="A2605" s="14">
        <f t="shared" si="46"/>
        <v>2604</v>
      </c>
      <c r="B2605" s="31">
        <v>46178</v>
      </c>
      <c r="C2605" s="32" t="s">
        <v>2524</v>
      </c>
      <c r="D2605" s="120" t="s">
        <v>482</v>
      </c>
      <c r="E2605" s="33" t="s">
        <v>43</v>
      </c>
      <c r="F2605" s="18" t="s">
        <v>64</v>
      </c>
      <c r="G2605" s="18" t="s">
        <v>148</v>
      </c>
      <c r="H2605" s="34" t="s">
        <v>85</v>
      </c>
      <c r="I2605" s="18" t="s">
        <v>105</v>
      </c>
      <c r="J2605" s="31" t="s">
        <v>105</v>
      </c>
      <c r="K2605" s="31"/>
      <c r="N2605" s="13" t="s">
        <v>30</v>
      </c>
      <c r="O2605" s="28" t="str">
        <f>IF(D2605="","",IF(COUNTIF(离职清单!C:C,D2605)&gt;0,"已离职","在职"))</f>
        <v>在职</v>
      </c>
      <c r="P2605" s="28" t="str">
        <f>IF(AND(O2605="在职",J2605="是"),COUNTIF(O$2:O2605,"在职"),"")</f>
        <v/>
      </c>
    </row>
    <row r="2606" ht="18" spans="1:16">
      <c r="A2606" s="10">
        <f t="shared" si="46"/>
        <v>2605</v>
      </c>
      <c r="B2606" s="31">
        <v>46178</v>
      </c>
      <c r="C2606" s="32" t="s">
        <v>2525</v>
      </c>
      <c r="D2606" s="120" t="s">
        <v>484</v>
      </c>
      <c r="E2606" s="33" t="s">
        <v>43</v>
      </c>
      <c r="F2606" s="18" t="s">
        <v>63</v>
      </c>
      <c r="G2606" s="18" t="s">
        <v>124</v>
      </c>
      <c r="H2606" s="34" t="s">
        <v>85</v>
      </c>
      <c r="I2606" s="18" t="s">
        <v>105</v>
      </c>
      <c r="J2606" s="31" t="s">
        <v>105</v>
      </c>
      <c r="K2606" s="31"/>
      <c r="N2606" s="13" t="s">
        <v>30</v>
      </c>
      <c r="O2606" s="28" t="str">
        <f>IF(D2606="","",IF(COUNTIF(离职清单!C:C,D2606)&gt;0,"已离职","在职"))</f>
        <v>在职</v>
      </c>
      <c r="P2606" s="28" t="str">
        <f>IF(AND(O2606="在职",J2606="是"),COUNTIF(O$2:O2606,"在职"),"")</f>
        <v/>
      </c>
    </row>
    <row r="2607" ht="18" spans="1:16">
      <c r="A2607" s="14">
        <f t="shared" si="46"/>
        <v>2606</v>
      </c>
      <c r="B2607" s="31">
        <v>46178</v>
      </c>
      <c r="C2607" s="32" t="s">
        <v>2526</v>
      </c>
      <c r="D2607" s="120" t="s">
        <v>486</v>
      </c>
      <c r="E2607" s="33" t="s">
        <v>43</v>
      </c>
      <c r="F2607" s="18" t="s">
        <v>63</v>
      </c>
      <c r="G2607" s="18" t="s">
        <v>2156</v>
      </c>
      <c r="H2607" s="34" t="s">
        <v>85</v>
      </c>
      <c r="I2607" s="18" t="s">
        <v>105</v>
      </c>
      <c r="J2607" s="31" t="s">
        <v>105</v>
      </c>
      <c r="K2607" s="31"/>
      <c r="N2607" s="13" t="s">
        <v>30</v>
      </c>
      <c r="O2607" s="28" t="str">
        <f>IF(D2607="","",IF(COUNTIF(离职清单!C:C,D2607)&gt;0,"已离职","在职"))</f>
        <v>在职</v>
      </c>
      <c r="P2607" s="28" t="str">
        <f>IF(AND(O2607="在职",J2607="是"),COUNTIF(O$2:O2607,"在职"),"")</f>
        <v/>
      </c>
    </row>
    <row r="2608" ht="18" spans="1:16">
      <c r="A2608" s="10">
        <f t="shared" si="46"/>
        <v>2607</v>
      </c>
      <c r="B2608" s="31">
        <v>46178</v>
      </c>
      <c r="C2608" s="32" t="s">
        <v>2527</v>
      </c>
      <c r="D2608" s="120" t="s">
        <v>488</v>
      </c>
      <c r="E2608" s="33" t="s">
        <v>43</v>
      </c>
      <c r="F2608" s="18" t="s">
        <v>63</v>
      </c>
      <c r="G2608" s="18" t="s">
        <v>2164</v>
      </c>
      <c r="H2608" s="34" t="s">
        <v>85</v>
      </c>
      <c r="I2608" s="18" t="s">
        <v>105</v>
      </c>
      <c r="J2608" s="31" t="s">
        <v>105</v>
      </c>
      <c r="K2608" s="31"/>
      <c r="N2608" s="13" t="s">
        <v>30</v>
      </c>
      <c r="O2608" s="28" t="str">
        <f>IF(D2608="","",IF(COUNTIF(离职清单!C:C,D2608)&gt;0,"已离职","在职"))</f>
        <v>在职</v>
      </c>
      <c r="P2608" s="28" t="str">
        <f>IF(AND(O2608="在职",J2608="是"),COUNTIF(O$2:O2608,"在职"),"")</f>
        <v/>
      </c>
    </row>
    <row r="2609" ht="18" spans="1:16">
      <c r="A2609" s="14">
        <f t="shared" si="46"/>
        <v>2608</v>
      </c>
      <c r="B2609" s="31">
        <v>46178</v>
      </c>
      <c r="C2609" s="32" t="s">
        <v>2528</v>
      </c>
      <c r="D2609" s="120" t="s">
        <v>490</v>
      </c>
      <c r="E2609" s="33" t="s">
        <v>43</v>
      </c>
      <c r="F2609" s="18" t="s">
        <v>63</v>
      </c>
      <c r="G2609" s="18" t="s">
        <v>2164</v>
      </c>
      <c r="H2609" s="34" t="s">
        <v>85</v>
      </c>
      <c r="I2609" s="18" t="s">
        <v>105</v>
      </c>
      <c r="J2609" s="31" t="s">
        <v>105</v>
      </c>
      <c r="K2609" s="31"/>
      <c r="N2609" s="13" t="s">
        <v>30</v>
      </c>
      <c r="O2609" s="28" t="str">
        <f>IF(D2609="","",IF(COUNTIF(离职清单!C:C,D2609)&gt;0,"已离职","在职"))</f>
        <v>在职</v>
      </c>
      <c r="P2609" s="28" t="str">
        <f>IF(AND(O2609="在职",J2609="是"),COUNTIF(O$2:O2609,"在职"),"")</f>
        <v/>
      </c>
    </row>
    <row r="2610" ht="18" spans="1:16">
      <c r="A2610" s="10">
        <f t="shared" si="46"/>
        <v>2609</v>
      </c>
      <c r="B2610" s="31">
        <v>46178</v>
      </c>
      <c r="C2610" s="32" t="s">
        <v>2529</v>
      </c>
      <c r="D2610" s="120" t="s">
        <v>492</v>
      </c>
      <c r="E2610" s="33" t="s">
        <v>42</v>
      </c>
      <c r="F2610" s="18" t="s">
        <v>63</v>
      </c>
      <c r="G2610" s="18" t="s">
        <v>1511</v>
      </c>
      <c r="H2610" s="34" t="s">
        <v>85</v>
      </c>
      <c r="I2610" s="18" t="s">
        <v>105</v>
      </c>
      <c r="J2610" s="31" t="s">
        <v>105</v>
      </c>
      <c r="K2610" s="31"/>
      <c r="N2610" s="13" t="s">
        <v>30</v>
      </c>
      <c r="O2610" s="28" t="str">
        <f>IF(D2610="","",IF(COUNTIF(离职清单!C:C,D2610)&gt;0,"已离职","在职"))</f>
        <v>在职</v>
      </c>
      <c r="P2610" s="28" t="str">
        <f>IF(AND(O2610="在职",J2610="是"),COUNTIF(O$2:O2610,"在职"),"")</f>
        <v/>
      </c>
    </row>
    <row r="2611" ht="18" spans="1:16">
      <c r="A2611" s="14">
        <f t="shared" si="46"/>
        <v>2610</v>
      </c>
      <c r="B2611" s="31">
        <v>46178</v>
      </c>
      <c r="C2611" s="32" t="s">
        <v>2530</v>
      </c>
      <c r="D2611" s="120" t="s">
        <v>477</v>
      </c>
      <c r="E2611" s="33" t="s">
        <v>42</v>
      </c>
      <c r="F2611" s="18" t="s">
        <v>63</v>
      </c>
      <c r="G2611" s="18" t="s">
        <v>2513</v>
      </c>
      <c r="H2611" s="34" t="s">
        <v>86</v>
      </c>
      <c r="I2611" s="18" t="s">
        <v>105</v>
      </c>
      <c r="J2611" s="31" t="s">
        <v>105</v>
      </c>
      <c r="K2611" s="31"/>
      <c r="N2611" s="13" t="s">
        <v>30</v>
      </c>
      <c r="O2611" s="28" t="str">
        <f>IF(D2611="","",IF(COUNTIF(离职清单!C:C,D2611)&gt;0,"已离职","在职"))</f>
        <v>在职</v>
      </c>
      <c r="P2611" s="28" t="str">
        <f>IF(AND(O2611="在职",J2611="是"),COUNTIF(O$2:O2611,"在职"),"")</f>
        <v/>
      </c>
    </row>
    <row r="2612" ht="18" spans="1:16">
      <c r="A2612" s="10">
        <f t="shared" si="46"/>
        <v>2611</v>
      </c>
      <c r="B2612" s="31">
        <v>46178</v>
      </c>
      <c r="C2612" s="32" t="s">
        <v>1510</v>
      </c>
      <c r="D2612" s="120" t="s">
        <v>478</v>
      </c>
      <c r="E2612" s="33" t="s">
        <v>42</v>
      </c>
      <c r="F2612" s="18" t="s">
        <v>63</v>
      </c>
      <c r="G2612" s="18" t="s">
        <v>2166</v>
      </c>
      <c r="H2612" s="34" t="s">
        <v>86</v>
      </c>
      <c r="I2612" s="18" t="s">
        <v>105</v>
      </c>
      <c r="J2612" s="31" t="s">
        <v>105</v>
      </c>
      <c r="K2612" s="31"/>
      <c r="N2612" s="13" t="s">
        <v>30</v>
      </c>
      <c r="O2612" s="28" t="str">
        <f>IF(D2612="","",IF(COUNTIF(离职清单!C:C,D2612)&gt;0,"已离职","在职"))</f>
        <v>在职</v>
      </c>
      <c r="P2612" s="28" t="str">
        <f>IF(AND(O2612="在职",J2612="是"),COUNTIF(O$2:O2612,"在职"),"")</f>
        <v/>
      </c>
    </row>
    <row r="2613" ht="18" spans="1:16">
      <c r="A2613" s="14">
        <f t="shared" si="46"/>
        <v>2612</v>
      </c>
      <c r="B2613" s="31">
        <v>46178</v>
      </c>
      <c r="C2613" s="32" t="s">
        <v>2531</v>
      </c>
      <c r="D2613" s="120" t="s">
        <v>480</v>
      </c>
      <c r="E2613" s="33" t="s">
        <v>42</v>
      </c>
      <c r="F2613" s="18" t="s">
        <v>63</v>
      </c>
      <c r="G2613" s="18" t="s">
        <v>2164</v>
      </c>
      <c r="H2613" s="34" t="s">
        <v>85</v>
      </c>
      <c r="I2613" s="18" t="s">
        <v>105</v>
      </c>
      <c r="J2613" s="31" t="s">
        <v>105</v>
      </c>
      <c r="K2613" s="31"/>
      <c r="N2613" s="13" t="s">
        <v>30</v>
      </c>
      <c r="O2613" s="28" t="str">
        <f>IF(D2613="","",IF(COUNTIF(离职清单!C:C,D2613)&gt;0,"已离职","在职"))</f>
        <v>在职</v>
      </c>
      <c r="P2613" s="28" t="str">
        <f>IF(AND(O2613="在职",J2613="是"),COUNTIF(O$2:O2613,"在职"),"")</f>
        <v/>
      </c>
    </row>
    <row r="2614" ht="18" spans="1:16">
      <c r="A2614" s="10">
        <f t="shared" si="46"/>
        <v>2613</v>
      </c>
      <c r="B2614" s="31">
        <v>46178</v>
      </c>
      <c r="C2614" s="32" t="s">
        <v>2532</v>
      </c>
      <c r="D2614" s="120" t="s">
        <v>482</v>
      </c>
      <c r="E2614" s="33" t="s">
        <v>42</v>
      </c>
      <c r="F2614" s="18" t="s">
        <v>63</v>
      </c>
      <c r="G2614" s="18" t="s">
        <v>2164</v>
      </c>
      <c r="H2614" s="34" t="s">
        <v>85</v>
      </c>
      <c r="I2614" s="18" t="s">
        <v>105</v>
      </c>
      <c r="J2614" s="31" t="s">
        <v>105</v>
      </c>
      <c r="K2614" s="31"/>
      <c r="N2614" s="13" t="s">
        <v>30</v>
      </c>
      <c r="O2614" s="28" t="str">
        <f>IF(D2614="","",IF(COUNTIF(离职清单!C:C,D2614)&gt;0,"已离职","在职"))</f>
        <v>在职</v>
      </c>
      <c r="P2614" s="28" t="str">
        <f>IF(AND(O2614="在职",J2614="是"),COUNTIF(O$2:O2614,"在职"),"")</f>
        <v/>
      </c>
    </row>
    <row r="2615" ht="18" spans="1:16">
      <c r="A2615" s="14">
        <f t="shared" si="46"/>
        <v>2614</v>
      </c>
      <c r="B2615" s="31">
        <v>46178</v>
      </c>
      <c r="C2615" s="32" t="s">
        <v>2533</v>
      </c>
      <c r="D2615" s="120" t="s">
        <v>484</v>
      </c>
      <c r="E2615" s="33" t="s">
        <v>42</v>
      </c>
      <c r="F2615" s="18" t="s">
        <v>63</v>
      </c>
      <c r="G2615" s="18" t="s">
        <v>2164</v>
      </c>
      <c r="H2615" s="34" t="s">
        <v>85</v>
      </c>
      <c r="I2615" s="18" t="s">
        <v>105</v>
      </c>
      <c r="J2615" s="31" t="s">
        <v>105</v>
      </c>
      <c r="K2615" s="31"/>
      <c r="N2615" s="13" t="s">
        <v>30</v>
      </c>
      <c r="O2615" s="28" t="str">
        <f>IF(D2615="","",IF(COUNTIF(离职清单!C:C,D2615)&gt;0,"已离职","在职"))</f>
        <v>在职</v>
      </c>
      <c r="P2615" s="28" t="str">
        <f>IF(AND(O2615="在职",J2615="是"),COUNTIF(O$2:O2615,"在职"),"")</f>
        <v/>
      </c>
    </row>
    <row r="2616" ht="18" spans="1:16">
      <c r="A2616" s="10">
        <f t="shared" si="46"/>
        <v>2615</v>
      </c>
      <c r="B2616" s="31">
        <v>46178</v>
      </c>
      <c r="C2616" s="32" t="s">
        <v>2534</v>
      </c>
      <c r="D2616" s="120" t="s">
        <v>486</v>
      </c>
      <c r="E2616" s="33" t="s">
        <v>43</v>
      </c>
      <c r="F2616" s="18" t="s">
        <v>63</v>
      </c>
      <c r="G2616" s="18" t="s">
        <v>2513</v>
      </c>
      <c r="H2616" s="34" t="s">
        <v>86</v>
      </c>
      <c r="I2616" s="18" t="s">
        <v>105</v>
      </c>
      <c r="J2616" s="31" t="s">
        <v>105</v>
      </c>
      <c r="K2616" s="31"/>
      <c r="N2616" s="13" t="s">
        <v>30</v>
      </c>
      <c r="O2616" s="28" t="str">
        <f>IF(D2616="","",IF(COUNTIF(离职清单!C:C,D2616)&gt;0,"已离职","在职"))</f>
        <v>在职</v>
      </c>
      <c r="P2616" s="28" t="str">
        <f>IF(AND(O2616="在职",J2616="是"),COUNTIF(O$2:O2616,"在职"),"")</f>
        <v/>
      </c>
    </row>
    <row r="2617" ht="18" spans="1:16">
      <c r="A2617" s="14">
        <f t="shared" si="46"/>
        <v>2616</v>
      </c>
      <c r="B2617" s="31">
        <v>46178</v>
      </c>
      <c r="C2617" s="32" t="s">
        <v>2535</v>
      </c>
      <c r="D2617" s="120" t="s">
        <v>488</v>
      </c>
      <c r="E2617" s="33" t="s">
        <v>43</v>
      </c>
      <c r="F2617" s="18" t="s">
        <v>63</v>
      </c>
      <c r="G2617" s="18" t="s">
        <v>2513</v>
      </c>
      <c r="H2617" s="34" t="s">
        <v>86</v>
      </c>
      <c r="I2617" s="18" t="s">
        <v>105</v>
      </c>
      <c r="J2617" s="31" t="s">
        <v>105</v>
      </c>
      <c r="K2617" s="31"/>
      <c r="N2617" s="13" t="s">
        <v>30</v>
      </c>
      <c r="O2617" s="28" t="str">
        <f>IF(D2617="","",IF(COUNTIF(离职清单!C:C,D2617)&gt;0,"已离职","在职"))</f>
        <v>在职</v>
      </c>
      <c r="P2617" s="28" t="str">
        <f>IF(AND(O2617="在职",J2617="是"),COUNTIF(O$2:O2617,"在职"),"")</f>
        <v/>
      </c>
    </row>
    <row r="2618" ht="18" spans="1:16">
      <c r="A2618" s="10">
        <f t="shared" si="46"/>
        <v>2617</v>
      </c>
      <c r="B2618" s="31">
        <v>46178</v>
      </c>
      <c r="C2618" s="32" t="s">
        <v>2536</v>
      </c>
      <c r="D2618" s="120" t="s">
        <v>490</v>
      </c>
      <c r="E2618" s="33" t="s">
        <v>43</v>
      </c>
      <c r="F2618" s="18" t="s">
        <v>63</v>
      </c>
      <c r="G2618" s="18" t="s">
        <v>2513</v>
      </c>
      <c r="H2618" s="34" t="s">
        <v>86</v>
      </c>
      <c r="I2618" s="18" t="s">
        <v>105</v>
      </c>
      <c r="J2618" s="31" t="s">
        <v>105</v>
      </c>
      <c r="K2618" s="31"/>
      <c r="N2618" s="13" t="s">
        <v>30</v>
      </c>
      <c r="O2618" s="28" t="str">
        <f>IF(D2618="","",IF(COUNTIF(离职清单!C:C,D2618)&gt;0,"已离职","在职"))</f>
        <v>在职</v>
      </c>
      <c r="P2618" s="28" t="str">
        <f>IF(AND(O2618="在职",J2618="是"),COUNTIF(O$2:O2618,"在职"),"")</f>
        <v/>
      </c>
    </row>
    <row r="2619" ht="18" spans="1:16">
      <c r="A2619" s="14">
        <f t="shared" si="46"/>
        <v>2618</v>
      </c>
      <c r="B2619" s="31">
        <v>46178</v>
      </c>
      <c r="C2619" s="32" t="s">
        <v>2537</v>
      </c>
      <c r="D2619" s="120" t="s">
        <v>492</v>
      </c>
      <c r="E2619" s="33" t="s">
        <v>43</v>
      </c>
      <c r="F2619" s="18" t="s">
        <v>63</v>
      </c>
      <c r="G2619" s="18" t="s">
        <v>2513</v>
      </c>
      <c r="H2619" s="34" t="s">
        <v>86</v>
      </c>
      <c r="I2619" s="18" t="s">
        <v>105</v>
      </c>
      <c r="J2619" s="31" t="s">
        <v>105</v>
      </c>
      <c r="K2619" s="31"/>
      <c r="N2619" s="13" t="s">
        <v>30</v>
      </c>
      <c r="O2619" s="28" t="str">
        <f>IF(D2619="","",IF(COUNTIF(离职清单!C:C,D2619)&gt;0,"已离职","在职"))</f>
        <v>在职</v>
      </c>
      <c r="P2619" s="28" t="str">
        <f>IF(AND(O2619="在职",J2619="是"),COUNTIF(O$2:O2619,"在职"),"")</f>
        <v/>
      </c>
    </row>
    <row r="2620" ht="18" spans="1:16">
      <c r="A2620" s="10">
        <f t="shared" si="46"/>
        <v>2619</v>
      </c>
      <c r="B2620" s="31">
        <v>46178</v>
      </c>
      <c r="C2620" s="32" t="s">
        <v>2403</v>
      </c>
      <c r="D2620" s="120" t="s">
        <v>477</v>
      </c>
      <c r="E2620" s="33" t="s">
        <v>42</v>
      </c>
      <c r="F2620" s="18" t="s">
        <v>63</v>
      </c>
      <c r="G2620" s="18" t="s">
        <v>2370</v>
      </c>
      <c r="H2620" s="34" t="s">
        <v>85</v>
      </c>
      <c r="I2620" s="18" t="s">
        <v>105</v>
      </c>
      <c r="J2620" s="31" t="s">
        <v>105</v>
      </c>
      <c r="K2620" s="31"/>
      <c r="N2620" s="13" t="s">
        <v>30</v>
      </c>
      <c r="O2620" s="28" t="str">
        <f>IF(D2620="","",IF(COUNTIF(离职清单!C:C,D2620)&gt;0,"已离职","在职"))</f>
        <v>在职</v>
      </c>
      <c r="P2620" s="28" t="str">
        <f>IF(AND(O2620="在职",J2620="是"),COUNTIF(O$2:O2620,"在职"),"")</f>
        <v/>
      </c>
    </row>
    <row r="2621" ht="18" spans="1:16">
      <c r="A2621" s="14">
        <f t="shared" si="46"/>
        <v>2620</v>
      </c>
      <c r="B2621" s="31">
        <v>46178</v>
      </c>
      <c r="C2621" s="32" t="s">
        <v>2460</v>
      </c>
      <c r="D2621" s="120" t="s">
        <v>478</v>
      </c>
      <c r="E2621" s="33" t="s">
        <v>42</v>
      </c>
      <c r="F2621" s="18" t="s">
        <v>63</v>
      </c>
      <c r="G2621" s="18" t="s">
        <v>2156</v>
      </c>
      <c r="H2621" s="34" t="s">
        <v>85</v>
      </c>
      <c r="I2621" s="18" t="s">
        <v>2154</v>
      </c>
      <c r="J2621" s="31" t="s">
        <v>105</v>
      </c>
      <c r="K2621" s="31"/>
      <c r="N2621" s="13" t="s">
        <v>30</v>
      </c>
      <c r="O2621" s="28" t="str">
        <f>IF(D2621="","",IF(COUNTIF(离职清单!C:C,D2621)&gt;0,"已离职","在职"))</f>
        <v>在职</v>
      </c>
      <c r="P2621" s="28" t="str">
        <f>IF(AND(O2621="在职",J2621="是"),COUNTIF(O$2:O2621,"在职"),"")</f>
        <v/>
      </c>
    </row>
    <row r="2622" ht="18" spans="1:16">
      <c r="A2622" s="10">
        <f t="shared" si="46"/>
        <v>2621</v>
      </c>
      <c r="B2622" s="31">
        <v>46178</v>
      </c>
      <c r="C2622" s="32" t="s">
        <v>2557</v>
      </c>
      <c r="D2622" s="120" t="s">
        <v>480</v>
      </c>
      <c r="E2622" s="33" t="s">
        <v>42</v>
      </c>
      <c r="F2622" s="18" t="s">
        <v>63</v>
      </c>
      <c r="G2622" s="18" t="s">
        <v>307</v>
      </c>
      <c r="H2622" s="34" t="s">
        <v>85</v>
      </c>
      <c r="I2622" s="18" t="s">
        <v>2154</v>
      </c>
      <c r="J2622" s="31" t="s">
        <v>105</v>
      </c>
      <c r="K2622" s="31"/>
      <c r="N2622" s="13" t="s">
        <v>30</v>
      </c>
      <c r="O2622" s="28" t="str">
        <f>IF(D2622="","",IF(COUNTIF(离职清单!C:C,D2622)&gt;0,"已离职","在职"))</f>
        <v>在职</v>
      </c>
      <c r="P2622" s="28" t="str">
        <f>IF(AND(O2622="在职",J2622="是"),COUNTIF(O$2:O2622,"在职"),"")</f>
        <v/>
      </c>
    </row>
    <row r="2623" ht="18" spans="1:16">
      <c r="A2623" s="14">
        <f t="shared" si="46"/>
        <v>2622</v>
      </c>
      <c r="B2623" s="31">
        <v>46178</v>
      </c>
      <c r="C2623" s="32" t="s">
        <v>2557</v>
      </c>
      <c r="D2623" s="120" t="s">
        <v>482</v>
      </c>
      <c r="E2623" s="33" t="s">
        <v>42</v>
      </c>
      <c r="F2623" s="18" t="s">
        <v>63</v>
      </c>
      <c r="G2623" s="18" t="s">
        <v>307</v>
      </c>
      <c r="H2623" s="34" t="s">
        <v>85</v>
      </c>
      <c r="I2623" s="18" t="s">
        <v>2154</v>
      </c>
      <c r="J2623" s="31" t="s">
        <v>105</v>
      </c>
      <c r="K2623" s="31"/>
      <c r="N2623" s="13" t="s">
        <v>30</v>
      </c>
      <c r="O2623" s="28" t="str">
        <f>IF(D2623="","",IF(COUNTIF(离职清单!C:C,D2623)&gt;0,"已离职","在职"))</f>
        <v>在职</v>
      </c>
      <c r="P2623" s="28" t="str">
        <f>IF(AND(O2623="在职",J2623="是"),COUNTIF(O$2:O2623,"在职"),"")</f>
        <v/>
      </c>
    </row>
    <row r="2624" ht="18" spans="1:16">
      <c r="A2624" s="10">
        <f t="shared" si="46"/>
        <v>2623</v>
      </c>
      <c r="B2624" s="31">
        <v>46178</v>
      </c>
      <c r="C2624" s="32" t="s">
        <v>2558</v>
      </c>
      <c r="D2624" s="120" t="s">
        <v>484</v>
      </c>
      <c r="E2624" s="33" t="s">
        <v>42</v>
      </c>
      <c r="F2624" s="18" t="s">
        <v>63</v>
      </c>
      <c r="G2624" s="18" t="s">
        <v>148</v>
      </c>
      <c r="H2624" s="34" t="s">
        <v>85</v>
      </c>
      <c r="I2624" s="18" t="s">
        <v>105</v>
      </c>
      <c r="J2624" s="31" t="s">
        <v>105</v>
      </c>
      <c r="K2624" s="31"/>
      <c r="N2624" s="13" t="s">
        <v>30</v>
      </c>
      <c r="O2624" s="28" t="str">
        <f>IF(D2624="","",IF(COUNTIF(离职清单!C:C,D2624)&gt;0,"已离职","在职"))</f>
        <v>在职</v>
      </c>
      <c r="P2624" s="28" t="str">
        <f>IF(AND(O2624="在职",J2624="是"),COUNTIF(O$2:O2624,"在职"),"")</f>
        <v/>
      </c>
    </row>
    <row r="2625" ht="18" spans="1:16">
      <c r="A2625" s="14">
        <f t="shared" si="46"/>
        <v>2624</v>
      </c>
      <c r="B2625" s="31">
        <v>46178</v>
      </c>
      <c r="C2625" s="32" t="s">
        <v>2559</v>
      </c>
      <c r="D2625" s="120" t="s">
        <v>486</v>
      </c>
      <c r="E2625" s="33" t="s">
        <v>42</v>
      </c>
      <c r="F2625" s="18" t="s">
        <v>63</v>
      </c>
      <c r="G2625" s="18" t="s">
        <v>148</v>
      </c>
      <c r="H2625" s="34" t="s">
        <v>85</v>
      </c>
      <c r="I2625" s="18" t="s">
        <v>105</v>
      </c>
      <c r="J2625" s="31" t="s">
        <v>105</v>
      </c>
      <c r="K2625" s="31"/>
      <c r="N2625" s="13" t="s">
        <v>30</v>
      </c>
      <c r="O2625" s="28" t="str">
        <f>IF(D2625="","",IF(COUNTIF(离职清单!C:C,D2625)&gt;0,"已离职","在职"))</f>
        <v>在职</v>
      </c>
      <c r="P2625" s="28" t="str">
        <f>IF(AND(O2625="在职",J2625="是"),COUNTIF(O$2:O2625,"在职"),"")</f>
        <v/>
      </c>
    </row>
    <row r="2626" ht="18" spans="1:16">
      <c r="A2626" s="10">
        <f t="shared" si="46"/>
        <v>2625</v>
      </c>
      <c r="B2626" s="31">
        <v>46178</v>
      </c>
      <c r="C2626" s="32" t="s">
        <v>2560</v>
      </c>
      <c r="D2626" s="120" t="s">
        <v>488</v>
      </c>
      <c r="E2626" s="33" t="s">
        <v>42</v>
      </c>
      <c r="F2626" s="18" t="s">
        <v>64</v>
      </c>
      <c r="G2626" s="18" t="s">
        <v>148</v>
      </c>
      <c r="H2626" s="34" t="s">
        <v>85</v>
      </c>
      <c r="I2626" s="18" t="s">
        <v>105</v>
      </c>
      <c r="J2626" s="31" t="s">
        <v>105</v>
      </c>
      <c r="K2626" s="31"/>
      <c r="N2626" s="13" t="s">
        <v>30</v>
      </c>
      <c r="O2626" s="28" t="str">
        <f>IF(D2626="","",IF(COUNTIF(离职清单!C:C,D2626)&gt;0,"已离职","在职"))</f>
        <v>在职</v>
      </c>
      <c r="P2626" s="28" t="str">
        <f>IF(AND(O2626="在职",J2626="是"),COUNTIF(O$2:O2626,"在职"),"")</f>
        <v/>
      </c>
    </row>
    <row r="2627" ht="18" spans="1:16">
      <c r="A2627" s="14">
        <f t="shared" si="46"/>
        <v>2626</v>
      </c>
      <c r="B2627" s="31">
        <v>46178</v>
      </c>
      <c r="C2627" s="32" t="s">
        <v>2558</v>
      </c>
      <c r="D2627" s="120" t="s">
        <v>490</v>
      </c>
      <c r="E2627" s="33" t="s">
        <v>42</v>
      </c>
      <c r="F2627" s="18" t="s">
        <v>63</v>
      </c>
      <c r="G2627" s="18" t="s">
        <v>148</v>
      </c>
      <c r="H2627" s="34" t="s">
        <v>85</v>
      </c>
      <c r="I2627" s="18" t="s">
        <v>105</v>
      </c>
      <c r="J2627" s="31" t="s">
        <v>105</v>
      </c>
      <c r="K2627" s="31"/>
      <c r="N2627" s="13" t="s">
        <v>30</v>
      </c>
      <c r="O2627" s="28" t="str">
        <f>IF(D2627="","",IF(COUNTIF(离职清单!C:C,D2627)&gt;0,"已离职","在职"))</f>
        <v>在职</v>
      </c>
      <c r="P2627" s="28" t="str">
        <f>IF(AND(O2627="在职",J2627="是"),COUNTIF(O$2:O2627,"在职"),"")</f>
        <v/>
      </c>
    </row>
    <row r="2628" ht="18" spans="1:16">
      <c r="A2628" s="10">
        <f t="shared" si="46"/>
        <v>2627</v>
      </c>
      <c r="B2628" s="31">
        <v>46178</v>
      </c>
      <c r="C2628" s="32" t="s">
        <v>2559</v>
      </c>
      <c r="D2628" s="120" t="s">
        <v>492</v>
      </c>
      <c r="E2628" s="33" t="s">
        <v>42</v>
      </c>
      <c r="F2628" s="18" t="s">
        <v>63</v>
      </c>
      <c r="G2628" s="18" t="s">
        <v>148</v>
      </c>
      <c r="H2628" s="34" t="s">
        <v>85</v>
      </c>
      <c r="I2628" s="18" t="s">
        <v>105</v>
      </c>
      <c r="J2628" s="31" t="s">
        <v>105</v>
      </c>
      <c r="K2628" s="31"/>
      <c r="N2628" s="13" t="s">
        <v>30</v>
      </c>
      <c r="O2628" s="28" t="str">
        <f>IF(D2628="","",IF(COUNTIF(离职清单!C:C,D2628)&gt;0,"已离职","在职"))</f>
        <v>在职</v>
      </c>
      <c r="P2628" s="28" t="str">
        <f>IF(AND(O2628="在职",J2628="是"),COUNTIF(O$2:O2628,"在职"),"")</f>
        <v/>
      </c>
    </row>
    <row r="2629" ht="18" spans="1:16">
      <c r="A2629" s="14">
        <f t="shared" si="46"/>
        <v>2628</v>
      </c>
      <c r="B2629" s="31">
        <v>46178</v>
      </c>
      <c r="C2629" s="32" t="s">
        <v>2560</v>
      </c>
      <c r="D2629" s="120" t="s">
        <v>477</v>
      </c>
      <c r="E2629" s="33" t="s">
        <v>42</v>
      </c>
      <c r="F2629" s="18" t="s">
        <v>64</v>
      </c>
      <c r="G2629" s="18" t="s">
        <v>148</v>
      </c>
      <c r="H2629" s="34" t="s">
        <v>85</v>
      </c>
      <c r="I2629" s="18" t="s">
        <v>105</v>
      </c>
      <c r="J2629" s="31" t="s">
        <v>105</v>
      </c>
      <c r="K2629" s="31"/>
      <c r="N2629" s="13" t="s">
        <v>30</v>
      </c>
      <c r="O2629" s="28" t="str">
        <f>IF(D2629="","",IF(COUNTIF(离职清单!C:C,D2629)&gt;0,"已离职","在职"))</f>
        <v>在职</v>
      </c>
      <c r="P2629" s="28" t="str">
        <f>IF(AND(O2629="在职",J2629="是"),COUNTIF(O$2:O2629,"在职"),"")</f>
        <v/>
      </c>
    </row>
    <row r="2630" ht="18" spans="1:16">
      <c r="A2630" s="10">
        <f t="shared" si="46"/>
        <v>2629</v>
      </c>
      <c r="B2630" s="31">
        <v>46179</v>
      </c>
      <c r="C2630" s="32" t="s">
        <v>2561</v>
      </c>
      <c r="D2630" s="120" t="s">
        <v>478</v>
      </c>
      <c r="E2630" s="33" t="s">
        <v>42</v>
      </c>
      <c r="F2630" s="18" t="s">
        <v>63</v>
      </c>
      <c r="G2630" s="18" t="s">
        <v>2370</v>
      </c>
      <c r="H2630" s="34" t="s">
        <v>85</v>
      </c>
      <c r="I2630" s="18" t="s">
        <v>2154</v>
      </c>
      <c r="J2630" s="31" t="s">
        <v>105</v>
      </c>
      <c r="K2630" s="31"/>
      <c r="N2630" s="13" t="s">
        <v>30</v>
      </c>
      <c r="O2630" s="28" t="str">
        <f>IF(D2630="","",IF(COUNTIF(离职清单!C:C,D2630)&gt;0,"已离职","在职"))</f>
        <v>在职</v>
      </c>
      <c r="P2630" s="28" t="str">
        <f>IF(AND(O2630="在职",J2630="是"),COUNTIF(O$2:O2630,"在职"),"")</f>
        <v/>
      </c>
    </row>
    <row r="2631" ht="18" spans="1:16">
      <c r="A2631" s="14">
        <f t="shared" si="46"/>
        <v>2630</v>
      </c>
      <c r="B2631" s="31">
        <v>46179</v>
      </c>
      <c r="C2631" s="32" t="s">
        <v>2562</v>
      </c>
      <c r="D2631" s="120" t="s">
        <v>480</v>
      </c>
      <c r="E2631" s="33" t="s">
        <v>42</v>
      </c>
      <c r="F2631" s="18" t="s">
        <v>63</v>
      </c>
      <c r="G2631" s="18" t="s">
        <v>1511</v>
      </c>
      <c r="H2631" s="34" t="s">
        <v>85</v>
      </c>
      <c r="I2631" s="18" t="s">
        <v>2154</v>
      </c>
      <c r="J2631" s="31" t="s">
        <v>105</v>
      </c>
      <c r="K2631" s="31"/>
      <c r="N2631" s="13" t="s">
        <v>30</v>
      </c>
      <c r="O2631" s="28" t="str">
        <f>IF(D2631="","",IF(COUNTIF(离职清单!C:C,D2631)&gt;0,"已离职","在职"))</f>
        <v>在职</v>
      </c>
      <c r="P2631" s="28" t="str">
        <f>IF(AND(O2631="在职",J2631="是"),COUNTIF(O$2:O2631,"在职"),"")</f>
        <v/>
      </c>
    </row>
    <row r="2632" ht="18" spans="1:16">
      <c r="A2632" s="10">
        <f t="shared" si="46"/>
        <v>2631</v>
      </c>
      <c r="B2632" s="31">
        <v>46179</v>
      </c>
      <c r="C2632" s="32" t="s">
        <v>2563</v>
      </c>
      <c r="D2632" s="120" t="s">
        <v>482</v>
      </c>
      <c r="E2632" s="33" t="s">
        <v>42</v>
      </c>
      <c r="F2632" s="18" t="s">
        <v>63</v>
      </c>
      <c r="G2632" s="18" t="s">
        <v>1511</v>
      </c>
      <c r="H2632" s="34" t="s">
        <v>85</v>
      </c>
      <c r="I2632" s="18" t="s">
        <v>2154</v>
      </c>
      <c r="J2632" s="31" t="s">
        <v>105</v>
      </c>
      <c r="K2632" s="31"/>
      <c r="N2632" s="13" t="s">
        <v>30</v>
      </c>
      <c r="O2632" s="28" t="str">
        <f>IF(D2632="","",IF(COUNTIF(离职清单!C:C,D2632)&gt;0,"已离职","在职"))</f>
        <v>在职</v>
      </c>
      <c r="P2632" s="28" t="str">
        <f>IF(AND(O2632="在职",J2632="是"),COUNTIF(O$2:O2632,"在职"),"")</f>
        <v/>
      </c>
    </row>
    <row r="2633" ht="18" spans="1:16">
      <c r="A2633" s="14">
        <f t="shared" si="46"/>
        <v>2632</v>
      </c>
      <c r="B2633" s="31">
        <v>46179</v>
      </c>
      <c r="C2633" s="32" t="s">
        <v>2564</v>
      </c>
      <c r="D2633" s="120" t="s">
        <v>484</v>
      </c>
      <c r="E2633" s="33" t="s">
        <v>42</v>
      </c>
      <c r="F2633" s="18" t="s">
        <v>63</v>
      </c>
      <c r="G2633" s="18" t="s">
        <v>1511</v>
      </c>
      <c r="H2633" s="34" t="s">
        <v>85</v>
      </c>
      <c r="I2633" s="18" t="s">
        <v>2154</v>
      </c>
      <c r="J2633" s="31" t="s">
        <v>105</v>
      </c>
      <c r="K2633" s="31"/>
      <c r="N2633" s="13" t="s">
        <v>30</v>
      </c>
      <c r="O2633" s="28" t="str">
        <f>IF(D2633="","",IF(COUNTIF(离职清单!C:C,D2633)&gt;0,"已离职","在职"))</f>
        <v>在职</v>
      </c>
      <c r="P2633" s="28" t="str">
        <f>IF(AND(O2633="在职",J2633="是"),COUNTIF(O$2:O2633,"在职"),"")</f>
        <v/>
      </c>
    </row>
    <row r="2634" ht="18" spans="1:16">
      <c r="A2634" s="10">
        <f t="shared" si="46"/>
        <v>2633</v>
      </c>
      <c r="B2634" s="31">
        <v>46179</v>
      </c>
      <c r="C2634" s="32" t="s">
        <v>2529</v>
      </c>
      <c r="D2634" s="120" t="s">
        <v>486</v>
      </c>
      <c r="E2634" s="33" t="s">
        <v>42</v>
      </c>
      <c r="F2634" s="18" t="s">
        <v>63</v>
      </c>
      <c r="G2634" s="18" t="s">
        <v>1511</v>
      </c>
      <c r="H2634" s="34" t="s">
        <v>85</v>
      </c>
      <c r="I2634" s="18" t="s">
        <v>2154</v>
      </c>
      <c r="J2634" s="31" t="s">
        <v>105</v>
      </c>
      <c r="K2634" s="31"/>
      <c r="N2634" s="13" t="s">
        <v>30</v>
      </c>
      <c r="O2634" s="28" t="str">
        <f>IF(D2634="","",IF(COUNTIF(离职清单!C:C,D2634)&gt;0,"已离职","在职"))</f>
        <v>在职</v>
      </c>
      <c r="P2634" s="28" t="str">
        <f>IF(AND(O2634="在职",J2634="是"),COUNTIF(O$2:O2634,"在职"),"")</f>
        <v/>
      </c>
    </row>
    <row r="2635" ht="18" spans="1:16">
      <c r="A2635" s="14">
        <f t="shared" si="46"/>
        <v>2634</v>
      </c>
      <c r="B2635" s="31">
        <v>46179</v>
      </c>
      <c r="C2635" s="32" t="s">
        <v>936</v>
      </c>
      <c r="D2635" s="120" t="s">
        <v>488</v>
      </c>
      <c r="E2635" s="33" t="s">
        <v>42</v>
      </c>
      <c r="F2635" s="18" t="s">
        <v>64</v>
      </c>
      <c r="G2635" s="18" t="s">
        <v>2153</v>
      </c>
      <c r="H2635" s="34" t="s">
        <v>85</v>
      </c>
      <c r="I2635" s="18" t="s">
        <v>114</v>
      </c>
      <c r="J2635" s="31" t="s">
        <v>105</v>
      </c>
      <c r="K2635" s="31"/>
      <c r="N2635" s="13" t="s">
        <v>30</v>
      </c>
      <c r="O2635" s="28" t="str">
        <f>IF(D2635="","",IF(COUNTIF(离职清单!C:C,D2635)&gt;0,"已离职","在职"))</f>
        <v>在职</v>
      </c>
      <c r="P2635" s="28" t="str">
        <f>IF(AND(O2635="在职",J2635="是"),COUNTIF(O$2:O2635,"在职"),"")</f>
        <v/>
      </c>
    </row>
    <row r="2636" ht="18" spans="1:16">
      <c r="A2636" s="10">
        <f t="shared" si="46"/>
        <v>2635</v>
      </c>
      <c r="B2636" s="31">
        <v>46179</v>
      </c>
      <c r="C2636" s="32" t="s">
        <v>2565</v>
      </c>
      <c r="D2636" s="120" t="s">
        <v>490</v>
      </c>
      <c r="E2636" s="33" t="s">
        <v>42</v>
      </c>
      <c r="F2636" s="18" t="s">
        <v>63</v>
      </c>
      <c r="G2636" s="18" t="s">
        <v>2153</v>
      </c>
      <c r="H2636" s="34" t="s">
        <v>85</v>
      </c>
      <c r="I2636" s="18" t="s">
        <v>114</v>
      </c>
      <c r="J2636" s="31" t="s">
        <v>105</v>
      </c>
      <c r="K2636" s="31"/>
      <c r="N2636" s="13" t="s">
        <v>30</v>
      </c>
      <c r="O2636" s="28" t="str">
        <f>IF(D2636="","",IF(COUNTIF(离职清单!C:C,D2636)&gt;0,"已离职","在职"))</f>
        <v>在职</v>
      </c>
      <c r="P2636" s="28" t="str">
        <f>IF(AND(O2636="在职",J2636="是"),COUNTIF(O$2:O2636,"在职"),"")</f>
        <v/>
      </c>
    </row>
    <row r="2637" ht="18" spans="1:16">
      <c r="A2637" s="14">
        <f t="shared" si="46"/>
        <v>2636</v>
      </c>
      <c r="B2637" s="31">
        <v>46179</v>
      </c>
      <c r="C2637" s="32" t="s">
        <v>2566</v>
      </c>
      <c r="D2637" s="120" t="s">
        <v>492</v>
      </c>
      <c r="E2637" s="33" t="s">
        <v>42</v>
      </c>
      <c r="F2637" s="18" t="s">
        <v>63</v>
      </c>
      <c r="G2637" s="18" t="s">
        <v>2156</v>
      </c>
      <c r="H2637" s="34" t="s">
        <v>85</v>
      </c>
      <c r="I2637" s="18" t="s">
        <v>2154</v>
      </c>
      <c r="J2637" s="31" t="s">
        <v>105</v>
      </c>
      <c r="K2637" s="31"/>
      <c r="N2637" s="13" t="s">
        <v>30</v>
      </c>
      <c r="O2637" s="28" t="str">
        <f>IF(D2637="","",IF(COUNTIF(离职清单!C:C,D2637)&gt;0,"已离职","在职"))</f>
        <v>在职</v>
      </c>
      <c r="P2637" s="28" t="str">
        <f>IF(AND(O2637="在职",J2637="是"),COUNTIF(O$2:O2637,"在职"),"")</f>
        <v/>
      </c>
    </row>
    <row r="2638" ht="18" spans="1:16">
      <c r="A2638" s="10">
        <f t="shared" si="46"/>
        <v>2637</v>
      </c>
      <c r="B2638" s="31">
        <v>46179</v>
      </c>
      <c r="C2638" s="32" t="s">
        <v>2550</v>
      </c>
      <c r="D2638" s="120" t="s">
        <v>477</v>
      </c>
      <c r="E2638" s="33" t="s">
        <v>42</v>
      </c>
      <c r="F2638" s="18" t="s">
        <v>63</v>
      </c>
      <c r="G2638" s="18" t="s">
        <v>2195</v>
      </c>
      <c r="H2638" s="34" t="s">
        <v>85</v>
      </c>
      <c r="I2638" s="18" t="s">
        <v>2154</v>
      </c>
      <c r="J2638" s="31" t="s">
        <v>105</v>
      </c>
      <c r="K2638" s="31"/>
      <c r="N2638" s="13" t="s">
        <v>30</v>
      </c>
      <c r="O2638" s="28" t="str">
        <f>IF(D2638="","",IF(COUNTIF(离职清单!C:C,D2638)&gt;0,"已离职","在职"))</f>
        <v>在职</v>
      </c>
      <c r="P2638" s="28" t="str">
        <f>IF(AND(O2638="在职",J2638="是"),COUNTIF(O$2:O2638,"在职"),"")</f>
        <v/>
      </c>
    </row>
    <row r="2639" ht="18" spans="1:16">
      <c r="A2639" s="14">
        <f t="shared" si="46"/>
        <v>2638</v>
      </c>
      <c r="B2639" s="31">
        <v>46179</v>
      </c>
      <c r="C2639" s="32" t="s">
        <v>2567</v>
      </c>
      <c r="D2639" s="120" t="s">
        <v>478</v>
      </c>
      <c r="E2639" s="33" t="s">
        <v>42</v>
      </c>
      <c r="F2639" s="18" t="s">
        <v>63</v>
      </c>
      <c r="G2639" s="18" t="s">
        <v>2195</v>
      </c>
      <c r="H2639" s="34" t="s">
        <v>85</v>
      </c>
      <c r="I2639" s="18" t="s">
        <v>105</v>
      </c>
      <c r="J2639" s="31" t="s">
        <v>105</v>
      </c>
      <c r="K2639" s="31"/>
      <c r="N2639" s="13" t="s">
        <v>30</v>
      </c>
      <c r="O2639" s="28" t="str">
        <f>IF(D2639="","",IF(COUNTIF(离职清单!C:C,D2639)&gt;0,"已离职","在职"))</f>
        <v>在职</v>
      </c>
      <c r="P2639" s="28" t="str">
        <f>IF(AND(O2639="在职",J2639="是"),COUNTIF(O$2:O2639,"在职"),"")</f>
        <v/>
      </c>
    </row>
    <row r="2640" ht="18" spans="1:16">
      <c r="A2640" s="10">
        <f t="shared" si="46"/>
        <v>2639</v>
      </c>
      <c r="B2640" s="31">
        <v>46179</v>
      </c>
      <c r="C2640" s="32" t="s">
        <v>2568</v>
      </c>
      <c r="D2640" s="120" t="s">
        <v>480</v>
      </c>
      <c r="E2640" s="33" t="s">
        <v>42</v>
      </c>
      <c r="F2640" s="18" t="s">
        <v>63</v>
      </c>
      <c r="G2640" s="18" t="s">
        <v>2195</v>
      </c>
      <c r="H2640" s="34" t="s">
        <v>85</v>
      </c>
      <c r="I2640" s="18" t="s">
        <v>105</v>
      </c>
      <c r="J2640" s="31" t="s">
        <v>105</v>
      </c>
      <c r="K2640" s="31"/>
      <c r="N2640" s="13" t="s">
        <v>30</v>
      </c>
      <c r="O2640" s="28" t="str">
        <f>IF(D2640="","",IF(COUNTIF(离职清单!C:C,D2640)&gt;0,"已离职","在职"))</f>
        <v>在职</v>
      </c>
      <c r="P2640" s="28" t="str">
        <f>IF(AND(O2640="在职",J2640="是"),COUNTIF(O$2:O2640,"在职"),"")</f>
        <v/>
      </c>
    </row>
    <row r="2641" ht="18" spans="1:16">
      <c r="A2641" s="14">
        <f t="shared" si="46"/>
        <v>2640</v>
      </c>
      <c r="B2641" s="31">
        <v>46179</v>
      </c>
      <c r="C2641" s="32" t="s">
        <v>2569</v>
      </c>
      <c r="D2641" s="120" t="s">
        <v>482</v>
      </c>
      <c r="E2641" s="33" t="s">
        <v>42</v>
      </c>
      <c r="F2641" s="18" t="s">
        <v>63</v>
      </c>
      <c r="G2641" s="18" t="s">
        <v>2250</v>
      </c>
      <c r="H2641" s="34" t="s">
        <v>85</v>
      </c>
      <c r="I2641" s="18" t="s">
        <v>114</v>
      </c>
      <c r="J2641" s="31" t="s">
        <v>105</v>
      </c>
      <c r="K2641" s="31"/>
      <c r="N2641" s="13" t="s">
        <v>30</v>
      </c>
      <c r="O2641" s="28" t="str">
        <f>IF(D2641="","",IF(COUNTIF(离职清单!C:C,D2641)&gt;0,"已离职","在职"))</f>
        <v>在职</v>
      </c>
      <c r="P2641" s="28" t="str">
        <f>IF(AND(O2641="在职",J2641="是"),COUNTIF(O$2:O2641,"在职"),"")</f>
        <v/>
      </c>
    </row>
    <row r="2642" ht="18" spans="1:16">
      <c r="A2642" s="10">
        <f t="shared" si="46"/>
        <v>2641</v>
      </c>
      <c r="B2642" s="31">
        <v>46179</v>
      </c>
      <c r="C2642" s="32" t="s">
        <v>2570</v>
      </c>
      <c r="D2642" s="120" t="s">
        <v>484</v>
      </c>
      <c r="E2642" s="33" t="s">
        <v>42</v>
      </c>
      <c r="F2642" s="18" t="s">
        <v>63</v>
      </c>
      <c r="G2642" s="18" t="s">
        <v>2250</v>
      </c>
      <c r="H2642" s="34" t="s">
        <v>85</v>
      </c>
      <c r="I2642" s="18" t="s">
        <v>105</v>
      </c>
      <c r="J2642" s="31" t="s">
        <v>105</v>
      </c>
      <c r="K2642" s="31"/>
      <c r="N2642" s="13" t="s">
        <v>30</v>
      </c>
      <c r="O2642" s="28" t="str">
        <f>IF(D2642="","",IF(COUNTIF(离职清单!C:C,D2642)&gt;0,"已离职","在职"))</f>
        <v>在职</v>
      </c>
      <c r="P2642" s="28" t="str">
        <f>IF(AND(O2642="在职",J2642="是"),COUNTIF(O$2:O2642,"在职"),"")</f>
        <v/>
      </c>
    </row>
    <row r="2643" ht="18" spans="1:16">
      <c r="A2643" s="14">
        <f t="shared" si="46"/>
        <v>2642</v>
      </c>
      <c r="B2643" s="31">
        <v>46179</v>
      </c>
      <c r="C2643" s="32" t="s">
        <v>2571</v>
      </c>
      <c r="D2643" s="120" t="s">
        <v>486</v>
      </c>
      <c r="E2643" s="33" t="s">
        <v>42</v>
      </c>
      <c r="F2643" s="18" t="s">
        <v>64</v>
      </c>
      <c r="G2643" s="18" t="s">
        <v>2250</v>
      </c>
      <c r="H2643" s="34" t="s">
        <v>85</v>
      </c>
      <c r="I2643" s="18" t="s">
        <v>114</v>
      </c>
      <c r="J2643" s="31" t="s">
        <v>105</v>
      </c>
      <c r="K2643" s="31"/>
      <c r="N2643" s="13" t="s">
        <v>30</v>
      </c>
      <c r="O2643" s="28" t="str">
        <f>IF(D2643="","",IF(COUNTIF(离职清单!C:C,D2643)&gt;0,"已离职","在职"))</f>
        <v>在职</v>
      </c>
      <c r="P2643" s="28" t="str">
        <f>IF(AND(O2643="在职",J2643="是"),COUNTIF(O$2:O2643,"在职"),"")</f>
        <v/>
      </c>
    </row>
    <row r="2644" ht="18" spans="1:16">
      <c r="A2644" s="10">
        <f t="shared" si="46"/>
        <v>2643</v>
      </c>
      <c r="B2644" s="31">
        <v>46179</v>
      </c>
      <c r="C2644" s="32" t="s">
        <v>2572</v>
      </c>
      <c r="D2644" s="120" t="s">
        <v>488</v>
      </c>
      <c r="E2644" s="33" t="s">
        <v>42</v>
      </c>
      <c r="F2644" s="18" t="s">
        <v>63</v>
      </c>
      <c r="G2644" s="18" t="s">
        <v>2250</v>
      </c>
      <c r="H2644" s="34" t="s">
        <v>85</v>
      </c>
      <c r="I2644" s="18" t="s">
        <v>2154</v>
      </c>
      <c r="J2644" s="31" t="s">
        <v>105</v>
      </c>
      <c r="K2644" s="31"/>
      <c r="N2644" s="13" t="s">
        <v>30</v>
      </c>
      <c r="O2644" s="28" t="str">
        <f>IF(D2644="","",IF(COUNTIF(离职清单!C:C,D2644)&gt;0,"已离职","在职"))</f>
        <v>在职</v>
      </c>
      <c r="P2644" s="28" t="str">
        <f>IF(AND(O2644="在职",J2644="是"),COUNTIF(O$2:O2644,"在职"),"")</f>
        <v/>
      </c>
    </row>
    <row r="2645" ht="18" spans="1:16">
      <c r="A2645" s="14">
        <f t="shared" si="46"/>
        <v>2644</v>
      </c>
      <c r="B2645" s="31">
        <v>46179</v>
      </c>
      <c r="C2645" s="32" t="s">
        <v>2573</v>
      </c>
      <c r="D2645" s="120" t="s">
        <v>490</v>
      </c>
      <c r="E2645" s="33" t="s">
        <v>42</v>
      </c>
      <c r="F2645" s="18" t="s">
        <v>64</v>
      </c>
      <c r="G2645" s="18" t="s">
        <v>2250</v>
      </c>
      <c r="H2645" s="34" t="s">
        <v>85</v>
      </c>
      <c r="I2645" s="18" t="s">
        <v>114</v>
      </c>
      <c r="J2645" s="31" t="s">
        <v>105</v>
      </c>
      <c r="K2645" s="31"/>
      <c r="N2645" s="13" t="s">
        <v>30</v>
      </c>
      <c r="O2645" s="28" t="str">
        <f>IF(D2645="","",IF(COUNTIF(离职清单!C:C,D2645)&gt;0,"已离职","在职"))</f>
        <v>在职</v>
      </c>
      <c r="P2645" s="28" t="str">
        <f>IF(AND(O2645="在职",J2645="是"),COUNTIF(O$2:O2645,"在职"),"")</f>
        <v/>
      </c>
    </row>
    <row r="2646" ht="18" spans="1:16">
      <c r="A2646" s="10">
        <f t="shared" si="46"/>
        <v>2645</v>
      </c>
      <c r="B2646" s="31">
        <v>46179</v>
      </c>
      <c r="C2646" s="32" t="s">
        <v>2574</v>
      </c>
      <c r="D2646" s="120" t="s">
        <v>492</v>
      </c>
      <c r="E2646" s="33" t="s">
        <v>42</v>
      </c>
      <c r="F2646" s="18" t="s">
        <v>62</v>
      </c>
      <c r="G2646" s="18" t="s">
        <v>124</v>
      </c>
      <c r="H2646" s="34" t="s">
        <v>85</v>
      </c>
      <c r="I2646" s="18" t="s">
        <v>114</v>
      </c>
      <c r="J2646" s="31" t="s">
        <v>105</v>
      </c>
      <c r="K2646" s="31"/>
      <c r="N2646" s="13" t="s">
        <v>30</v>
      </c>
      <c r="O2646" s="28" t="str">
        <f>IF(D2646="","",IF(COUNTIF(离职清单!C:C,D2646)&gt;0,"已离职","在职"))</f>
        <v>在职</v>
      </c>
      <c r="P2646" s="28" t="str">
        <f>IF(AND(O2646="在职",J2646="是"),COUNTIF(O$2:O2646,"在职"),"")</f>
        <v/>
      </c>
    </row>
    <row r="2647" ht="18" spans="1:16">
      <c r="A2647" s="14">
        <f t="shared" si="46"/>
        <v>2646</v>
      </c>
      <c r="B2647" s="31">
        <v>46179</v>
      </c>
      <c r="C2647" s="32" t="s">
        <v>2575</v>
      </c>
      <c r="D2647" s="120" t="s">
        <v>477</v>
      </c>
      <c r="E2647" s="33" t="s">
        <v>42</v>
      </c>
      <c r="F2647" s="18" t="s">
        <v>62</v>
      </c>
      <c r="G2647" s="18" t="s">
        <v>124</v>
      </c>
      <c r="H2647" s="34" t="s">
        <v>85</v>
      </c>
      <c r="I2647" s="18" t="s">
        <v>2154</v>
      </c>
      <c r="J2647" s="31" t="s">
        <v>105</v>
      </c>
      <c r="K2647" s="31"/>
      <c r="N2647" s="13" t="s">
        <v>30</v>
      </c>
      <c r="O2647" s="28" t="str">
        <f>IF(D2647="","",IF(COUNTIF(离职清单!C:C,D2647)&gt;0,"已离职","在职"))</f>
        <v>在职</v>
      </c>
      <c r="P2647" s="28" t="str">
        <f>IF(AND(O2647="在职",J2647="是"),COUNTIF(O$2:O2647,"在职"),"")</f>
        <v/>
      </c>
    </row>
    <row r="2648" ht="18" spans="1:16">
      <c r="A2648" s="10">
        <f t="shared" si="46"/>
        <v>2647</v>
      </c>
      <c r="B2648" s="31">
        <v>46179</v>
      </c>
      <c r="C2648" s="32" t="s">
        <v>2576</v>
      </c>
      <c r="D2648" s="120" t="s">
        <v>478</v>
      </c>
      <c r="E2648" s="33" t="s">
        <v>42</v>
      </c>
      <c r="F2648" s="18" t="s">
        <v>62</v>
      </c>
      <c r="G2648" s="18" t="s">
        <v>124</v>
      </c>
      <c r="H2648" s="34" t="s">
        <v>85</v>
      </c>
      <c r="I2648" s="18" t="s">
        <v>2154</v>
      </c>
      <c r="J2648" s="31" t="s">
        <v>105</v>
      </c>
      <c r="K2648" s="31"/>
      <c r="N2648" s="13" t="s">
        <v>30</v>
      </c>
      <c r="O2648" s="28" t="str">
        <f>IF(D2648="","",IF(COUNTIF(离职清单!C:C,D2648)&gt;0,"已离职","在职"))</f>
        <v>在职</v>
      </c>
      <c r="P2648" s="28" t="str">
        <f>IF(AND(O2648="在职",J2648="是"),COUNTIF(O$2:O2648,"在职"),"")</f>
        <v/>
      </c>
    </row>
    <row r="2649" ht="18" spans="1:16">
      <c r="A2649" s="14">
        <f t="shared" si="46"/>
        <v>2648</v>
      </c>
      <c r="B2649" s="31">
        <v>46179</v>
      </c>
      <c r="C2649" s="32" t="s">
        <v>2544</v>
      </c>
      <c r="D2649" s="120" t="s">
        <v>480</v>
      </c>
      <c r="E2649" s="33" t="s">
        <v>42</v>
      </c>
      <c r="F2649" s="18" t="s">
        <v>62</v>
      </c>
      <c r="G2649" s="18" t="s">
        <v>124</v>
      </c>
      <c r="H2649" s="34" t="s">
        <v>85</v>
      </c>
      <c r="I2649" s="18" t="s">
        <v>2154</v>
      </c>
      <c r="J2649" s="31" t="s">
        <v>105</v>
      </c>
      <c r="K2649" s="31"/>
      <c r="N2649" s="13" t="s">
        <v>30</v>
      </c>
      <c r="O2649" s="28" t="str">
        <f>IF(D2649="","",IF(COUNTIF(离职清单!C:C,D2649)&gt;0,"已离职","在职"))</f>
        <v>在职</v>
      </c>
      <c r="P2649" s="28" t="str">
        <f>IF(AND(O2649="在职",J2649="是"),COUNTIF(O$2:O2649,"在职"),"")</f>
        <v/>
      </c>
    </row>
    <row r="2650" ht="18" spans="1:16">
      <c r="A2650" s="10">
        <f t="shared" si="46"/>
        <v>2649</v>
      </c>
      <c r="B2650" s="31">
        <v>46179</v>
      </c>
      <c r="C2650" s="32" t="s">
        <v>2575</v>
      </c>
      <c r="D2650" s="120" t="s">
        <v>482</v>
      </c>
      <c r="E2650" s="33" t="s">
        <v>42</v>
      </c>
      <c r="F2650" s="18" t="s">
        <v>62</v>
      </c>
      <c r="G2650" s="18" t="s">
        <v>124</v>
      </c>
      <c r="H2650" s="34" t="s">
        <v>85</v>
      </c>
      <c r="I2650" s="18" t="s">
        <v>2154</v>
      </c>
      <c r="J2650" s="31" t="s">
        <v>105</v>
      </c>
      <c r="K2650" s="31"/>
      <c r="N2650" s="13" t="s">
        <v>30</v>
      </c>
      <c r="O2650" s="28" t="str">
        <f>IF(D2650="","",IF(COUNTIF(离职清单!C:C,D2650)&gt;0,"已离职","在职"))</f>
        <v>在职</v>
      </c>
      <c r="P2650" s="28" t="str">
        <f>IF(AND(O2650="在职",J2650="是"),COUNTIF(O$2:O2650,"在职"),"")</f>
        <v/>
      </c>
    </row>
    <row r="2651" ht="18" spans="1:16">
      <c r="A2651" s="14">
        <f t="shared" si="46"/>
        <v>2650</v>
      </c>
      <c r="B2651" s="31">
        <v>46179</v>
      </c>
      <c r="C2651" s="32" t="s">
        <v>2529</v>
      </c>
      <c r="D2651" s="120" t="s">
        <v>484</v>
      </c>
      <c r="E2651" s="33" t="s">
        <v>42</v>
      </c>
      <c r="F2651" s="18" t="s">
        <v>63</v>
      </c>
      <c r="G2651" s="18" t="s">
        <v>1511</v>
      </c>
      <c r="H2651" s="34" t="s">
        <v>85</v>
      </c>
      <c r="I2651" s="18" t="s">
        <v>2154</v>
      </c>
      <c r="J2651" s="31" t="s">
        <v>105</v>
      </c>
      <c r="K2651" s="31"/>
      <c r="N2651" s="13" t="s">
        <v>30</v>
      </c>
      <c r="O2651" s="28" t="str">
        <f>IF(D2651="","",IF(COUNTIF(离职清单!C:C,D2651)&gt;0,"已离职","在职"))</f>
        <v>在职</v>
      </c>
      <c r="P2651" s="28" t="str">
        <f>IF(AND(O2651="在职",J2651="是"),COUNTIF(O$2:O2651,"在职"),"")</f>
        <v/>
      </c>
    </row>
    <row r="2652" ht="18" spans="1:16">
      <c r="A2652" s="10">
        <f t="shared" si="46"/>
        <v>2651</v>
      </c>
      <c r="B2652" s="31">
        <v>46179</v>
      </c>
      <c r="C2652" s="32" t="s">
        <v>2577</v>
      </c>
      <c r="D2652" s="120" t="s">
        <v>486</v>
      </c>
      <c r="E2652" s="33" t="s">
        <v>43</v>
      </c>
      <c r="F2652" s="18" t="s">
        <v>62</v>
      </c>
      <c r="G2652" s="18" t="s">
        <v>148</v>
      </c>
      <c r="H2652" s="34" t="s">
        <v>85</v>
      </c>
      <c r="I2652" s="18" t="s">
        <v>2154</v>
      </c>
      <c r="J2652" s="31" t="s">
        <v>105</v>
      </c>
      <c r="K2652" s="31"/>
      <c r="N2652" s="13" t="s">
        <v>30</v>
      </c>
      <c r="O2652" s="28" t="str">
        <f>IF(D2652="","",IF(COUNTIF(离职清单!C:C,D2652)&gt;0,"已离职","在职"))</f>
        <v>在职</v>
      </c>
      <c r="P2652" s="28" t="str">
        <f>IF(AND(O2652="在职",J2652="是"),COUNTIF(O$2:O2652,"在职"),"")</f>
        <v/>
      </c>
    </row>
    <row r="2653" ht="18" spans="1:16">
      <c r="A2653" s="14">
        <f t="shared" si="46"/>
        <v>2652</v>
      </c>
      <c r="B2653" s="31">
        <v>46179</v>
      </c>
      <c r="C2653" s="32" t="s">
        <v>2578</v>
      </c>
      <c r="D2653" s="120" t="s">
        <v>488</v>
      </c>
      <c r="E2653" s="33" t="s">
        <v>43</v>
      </c>
      <c r="F2653" s="18" t="s">
        <v>63</v>
      </c>
      <c r="G2653" s="18" t="s">
        <v>148</v>
      </c>
      <c r="H2653" s="34" t="s">
        <v>85</v>
      </c>
      <c r="I2653" s="18" t="s">
        <v>114</v>
      </c>
      <c r="J2653" s="31" t="s">
        <v>114</v>
      </c>
      <c r="K2653" s="31">
        <v>46181</v>
      </c>
      <c r="N2653" s="13" t="s">
        <v>30</v>
      </c>
      <c r="O2653" s="28" t="str">
        <f>IF(D2653="","",IF(COUNTIF(离职清单!C:C,D2653)&gt;0,"已离职","在职"))</f>
        <v>在职</v>
      </c>
      <c r="P2653" s="28">
        <f>IF(AND(O2653="在职",J2653="是"),COUNTIF(O$2:O2653,"在职"),"")</f>
        <v>2646</v>
      </c>
    </row>
    <row r="2654" ht="18" spans="1:16">
      <c r="A2654" s="10">
        <f t="shared" si="46"/>
        <v>2653</v>
      </c>
      <c r="B2654" s="31">
        <v>46179</v>
      </c>
      <c r="C2654" s="32" t="s">
        <v>2579</v>
      </c>
      <c r="D2654" s="120" t="s">
        <v>490</v>
      </c>
      <c r="E2654" s="33" t="s">
        <v>43</v>
      </c>
      <c r="F2654" s="18" t="s">
        <v>62</v>
      </c>
      <c r="G2654" s="18" t="s">
        <v>148</v>
      </c>
      <c r="H2654" s="34" t="s">
        <v>85</v>
      </c>
      <c r="I2654" s="18" t="s">
        <v>2154</v>
      </c>
      <c r="J2654" s="31" t="s">
        <v>105</v>
      </c>
      <c r="K2654" s="31"/>
      <c r="N2654" s="13" t="s">
        <v>30</v>
      </c>
      <c r="O2654" s="28" t="str">
        <f>IF(D2654="","",IF(COUNTIF(离职清单!C:C,D2654)&gt;0,"已离职","在职"))</f>
        <v>在职</v>
      </c>
      <c r="P2654" s="28" t="str">
        <f>IF(AND(O2654="在职",J2654="是"),COUNTIF(O$2:O2654,"在职"),"")</f>
        <v/>
      </c>
    </row>
    <row r="2655" ht="18" spans="1:16">
      <c r="A2655" s="14">
        <f t="shared" si="46"/>
        <v>2654</v>
      </c>
      <c r="B2655" s="31">
        <v>46179</v>
      </c>
      <c r="C2655" s="32" t="s">
        <v>2580</v>
      </c>
      <c r="D2655" s="120" t="s">
        <v>492</v>
      </c>
      <c r="E2655" s="33" t="s">
        <v>43</v>
      </c>
      <c r="F2655" s="18" t="s">
        <v>62</v>
      </c>
      <c r="G2655" s="18" t="s">
        <v>148</v>
      </c>
      <c r="H2655" s="34" t="s">
        <v>85</v>
      </c>
      <c r="I2655" s="18" t="s">
        <v>2154</v>
      </c>
      <c r="J2655" s="31" t="s">
        <v>105</v>
      </c>
      <c r="K2655" s="31"/>
      <c r="N2655" s="13" t="s">
        <v>30</v>
      </c>
      <c r="O2655" s="28" t="str">
        <f>IF(D2655="","",IF(COUNTIF(离职清单!C:C,D2655)&gt;0,"已离职","在职"))</f>
        <v>在职</v>
      </c>
      <c r="P2655" s="28" t="str">
        <f>IF(AND(O2655="在职",J2655="是"),COUNTIF(O$2:O2655,"在职"),"")</f>
        <v/>
      </c>
    </row>
    <row r="2656" ht="18" spans="1:16">
      <c r="A2656" s="10">
        <f t="shared" si="46"/>
        <v>2655</v>
      </c>
      <c r="B2656" s="31">
        <v>46179</v>
      </c>
      <c r="C2656" s="32" t="s">
        <v>2581</v>
      </c>
      <c r="D2656" s="120" t="s">
        <v>477</v>
      </c>
      <c r="E2656" s="33" t="s">
        <v>43</v>
      </c>
      <c r="F2656" s="18" t="s">
        <v>63</v>
      </c>
      <c r="G2656" s="18" t="s">
        <v>2174</v>
      </c>
      <c r="H2656" s="34" t="s">
        <v>85</v>
      </c>
      <c r="I2656" s="18" t="s">
        <v>2154</v>
      </c>
      <c r="J2656" s="31" t="s">
        <v>105</v>
      </c>
      <c r="K2656" s="31"/>
      <c r="N2656" s="13" t="s">
        <v>30</v>
      </c>
      <c r="O2656" s="28" t="str">
        <f>IF(D2656="","",IF(COUNTIF(离职清单!C:C,D2656)&gt;0,"已离职","在职"))</f>
        <v>在职</v>
      </c>
      <c r="P2656" s="28" t="str">
        <f>IF(AND(O2656="在职",J2656="是"),COUNTIF(O$2:O2656,"在职"),"")</f>
        <v/>
      </c>
    </row>
    <row r="2657" ht="18" spans="1:16">
      <c r="A2657" s="14">
        <f t="shared" si="46"/>
        <v>2656</v>
      </c>
      <c r="B2657" s="31">
        <v>46179</v>
      </c>
      <c r="C2657" s="32" t="s">
        <v>2582</v>
      </c>
      <c r="D2657" s="120" t="s">
        <v>477</v>
      </c>
      <c r="E2657" s="33" t="s">
        <v>43</v>
      </c>
      <c r="F2657" s="18" t="s">
        <v>63</v>
      </c>
      <c r="G2657" s="18" t="s">
        <v>148</v>
      </c>
      <c r="H2657" s="34" t="s">
        <v>85</v>
      </c>
      <c r="I2657" s="18" t="s">
        <v>105</v>
      </c>
      <c r="J2657" s="31" t="s">
        <v>105</v>
      </c>
      <c r="K2657" s="31"/>
      <c r="N2657" s="13" t="s">
        <v>30</v>
      </c>
      <c r="O2657" s="28" t="str">
        <f>IF(D2657="","",IF(COUNTIF(离职清单!C:C,D2657)&gt;0,"已离职","在职"))</f>
        <v>在职</v>
      </c>
      <c r="P2657" s="28" t="str">
        <f>IF(AND(O2657="在职",J2657="是"),COUNTIF(O$2:O2657,"在职"),"")</f>
        <v/>
      </c>
    </row>
    <row r="2658" ht="18" spans="1:16">
      <c r="A2658" s="10">
        <f t="shared" si="46"/>
        <v>2657</v>
      </c>
      <c r="B2658" s="31">
        <v>46179</v>
      </c>
      <c r="C2658" s="32" t="s">
        <v>2583</v>
      </c>
      <c r="D2658" s="120" t="s">
        <v>478</v>
      </c>
      <c r="E2658" s="33" t="s">
        <v>43</v>
      </c>
      <c r="F2658" s="18" t="s">
        <v>62</v>
      </c>
      <c r="G2658" s="18" t="s">
        <v>2153</v>
      </c>
      <c r="H2658" s="34" t="s">
        <v>85</v>
      </c>
      <c r="I2658" s="18" t="s">
        <v>114</v>
      </c>
      <c r="J2658" s="31" t="s">
        <v>114</v>
      </c>
      <c r="K2658" s="31">
        <v>46181</v>
      </c>
      <c r="N2658" s="13" t="s">
        <v>30</v>
      </c>
      <c r="O2658" s="28" t="str">
        <f>IF(D2658="","",IF(COUNTIF(离职清单!C:C,D2658)&gt;0,"已离职","在职"))</f>
        <v>在职</v>
      </c>
      <c r="P2658" s="28">
        <f>IF(AND(O2658="在职",J2658="是"),COUNTIF(O$2:O2658,"在职"),"")</f>
        <v>2651</v>
      </c>
    </row>
    <row r="2659" ht="18" spans="1:16">
      <c r="A2659" s="14">
        <f t="shared" si="46"/>
        <v>2658</v>
      </c>
      <c r="B2659" s="31">
        <v>46179</v>
      </c>
      <c r="C2659" s="32" t="s">
        <v>2584</v>
      </c>
      <c r="D2659" s="120" t="s">
        <v>480</v>
      </c>
      <c r="E2659" s="33" t="s">
        <v>43</v>
      </c>
      <c r="F2659" s="18" t="s">
        <v>63</v>
      </c>
      <c r="G2659" s="18" t="s">
        <v>2250</v>
      </c>
      <c r="H2659" s="34" t="s">
        <v>85</v>
      </c>
      <c r="I2659" s="18" t="s">
        <v>2154</v>
      </c>
      <c r="J2659" s="31" t="s">
        <v>105</v>
      </c>
      <c r="K2659" s="31"/>
      <c r="N2659" s="13" t="s">
        <v>30</v>
      </c>
      <c r="O2659" s="28" t="str">
        <f>IF(D2659="","",IF(COUNTIF(离职清单!C:C,D2659)&gt;0,"已离职","在职"))</f>
        <v>在职</v>
      </c>
      <c r="P2659" s="28" t="str">
        <f>IF(AND(O2659="在职",J2659="是"),COUNTIF(O$2:O2659,"在职"),"")</f>
        <v/>
      </c>
    </row>
    <row r="2660" ht="18" spans="1:16">
      <c r="A2660" s="10">
        <f t="shared" si="46"/>
        <v>2659</v>
      </c>
      <c r="B2660" s="31">
        <v>46179</v>
      </c>
      <c r="C2660" s="32" t="s">
        <v>2585</v>
      </c>
      <c r="D2660" s="120" t="s">
        <v>482</v>
      </c>
      <c r="E2660" s="33" t="s">
        <v>43</v>
      </c>
      <c r="F2660" s="18" t="s">
        <v>63</v>
      </c>
      <c r="G2660" s="18" t="s">
        <v>2250</v>
      </c>
      <c r="H2660" s="34" t="s">
        <v>85</v>
      </c>
      <c r="I2660" s="18" t="s">
        <v>2154</v>
      </c>
      <c r="J2660" s="31" t="s">
        <v>105</v>
      </c>
      <c r="K2660" s="31"/>
      <c r="N2660" s="13" t="s">
        <v>30</v>
      </c>
      <c r="O2660" s="28" t="str">
        <f>IF(D2660="","",IF(COUNTIF(离职清单!C:C,D2660)&gt;0,"已离职","在职"))</f>
        <v>在职</v>
      </c>
      <c r="P2660" s="28" t="str">
        <f>IF(AND(O2660="在职",J2660="是"),COUNTIF(O$2:O2660,"在职"),"")</f>
        <v/>
      </c>
    </row>
    <row r="2661" ht="18" spans="1:16">
      <c r="A2661" s="14">
        <f t="shared" si="46"/>
        <v>2660</v>
      </c>
      <c r="B2661" s="31">
        <v>46179</v>
      </c>
      <c r="C2661" s="32" t="s">
        <v>2586</v>
      </c>
      <c r="D2661" s="120" t="s">
        <v>484</v>
      </c>
      <c r="E2661" s="33" t="s">
        <v>43</v>
      </c>
      <c r="F2661" s="18" t="s">
        <v>63</v>
      </c>
      <c r="G2661" s="18" t="s">
        <v>2250</v>
      </c>
      <c r="H2661" s="34" t="s">
        <v>85</v>
      </c>
      <c r="I2661" s="18" t="s">
        <v>114</v>
      </c>
      <c r="J2661" s="31" t="s">
        <v>114</v>
      </c>
      <c r="K2661" s="31">
        <v>46180</v>
      </c>
      <c r="N2661" s="13" t="s">
        <v>30</v>
      </c>
      <c r="O2661" s="28" t="str">
        <f>IF(D2661="","",IF(COUNTIF(离职清单!C:C,D2661)&gt;0,"已离职","在职"))</f>
        <v>在职</v>
      </c>
      <c r="P2661" s="28">
        <f>IF(AND(O2661="在职",J2661="是"),COUNTIF(O$2:O2661,"在职"),"")</f>
        <v>2654</v>
      </c>
    </row>
    <row r="2662" ht="18" spans="1:16">
      <c r="A2662" s="10">
        <f t="shared" si="46"/>
        <v>2661</v>
      </c>
      <c r="B2662" s="31">
        <v>46179</v>
      </c>
      <c r="C2662" s="32" t="s">
        <v>2183</v>
      </c>
      <c r="D2662" s="120" t="s">
        <v>486</v>
      </c>
      <c r="E2662" s="33" t="s">
        <v>43</v>
      </c>
      <c r="F2662" s="18" t="s">
        <v>63</v>
      </c>
      <c r="G2662" s="18" t="s">
        <v>2250</v>
      </c>
      <c r="H2662" s="34" t="s">
        <v>85</v>
      </c>
      <c r="I2662" s="18" t="s">
        <v>2154</v>
      </c>
      <c r="J2662" s="31" t="s">
        <v>105</v>
      </c>
      <c r="K2662" s="31"/>
      <c r="N2662" s="13" t="s">
        <v>30</v>
      </c>
      <c r="O2662" s="28" t="str">
        <f>IF(D2662="","",IF(COUNTIF(离职清单!C:C,D2662)&gt;0,"已离职","在职"))</f>
        <v>在职</v>
      </c>
      <c r="P2662" s="28" t="str">
        <f>IF(AND(O2662="在职",J2662="是"),COUNTIF(O$2:O2662,"在职"),"")</f>
        <v/>
      </c>
    </row>
    <row r="2663" ht="18" spans="1:16">
      <c r="A2663" s="14">
        <f t="shared" si="46"/>
        <v>2662</v>
      </c>
      <c r="B2663" s="31">
        <v>46179</v>
      </c>
      <c r="C2663" s="32" t="s">
        <v>2587</v>
      </c>
      <c r="D2663" s="120" t="s">
        <v>488</v>
      </c>
      <c r="E2663" s="33" t="s">
        <v>43</v>
      </c>
      <c r="F2663" s="18" t="s">
        <v>62</v>
      </c>
      <c r="G2663" s="18" t="s">
        <v>2250</v>
      </c>
      <c r="H2663" s="34" t="s">
        <v>85</v>
      </c>
      <c r="I2663" s="18" t="s">
        <v>114</v>
      </c>
      <c r="J2663" s="31" t="s">
        <v>105</v>
      </c>
      <c r="K2663" s="31"/>
      <c r="N2663" s="13" t="s">
        <v>30</v>
      </c>
      <c r="O2663" s="28" t="str">
        <f>IF(D2663="","",IF(COUNTIF(离职清单!C:C,D2663)&gt;0,"已离职","在职"))</f>
        <v>在职</v>
      </c>
      <c r="P2663" s="28" t="str">
        <f>IF(AND(O2663="在职",J2663="是"),COUNTIF(O$2:O2663,"在职"),"")</f>
        <v/>
      </c>
    </row>
    <row r="2664" ht="18" spans="1:16">
      <c r="A2664" s="10">
        <f t="shared" si="46"/>
        <v>2663</v>
      </c>
      <c r="B2664" s="31">
        <v>46179</v>
      </c>
      <c r="C2664" s="32" t="s">
        <v>2538</v>
      </c>
      <c r="D2664" s="120" t="s">
        <v>490</v>
      </c>
      <c r="E2664" s="33" t="s">
        <v>43</v>
      </c>
      <c r="F2664" s="18" t="s">
        <v>63</v>
      </c>
      <c r="G2664" s="18" t="s">
        <v>2250</v>
      </c>
      <c r="H2664" s="34" t="s">
        <v>85</v>
      </c>
      <c r="I2664" s="18" t="s">
        <v>114</v>
      </c>
      <c r="J2664" s="31" t="s">
        <v>114</v>
      </c>
      <c r="K2664" s="31">
        <v>46181</v>
      </c>
      <c r="N2664" s="13" t="s">
        <v>30</v>
      </c>
      <c r="O2664" s="28" t="str">
        <f>IF(D2664="","",IF(COUNTIF(离职清单!C:C,D2664)&gt;0,"已离职","在职"))</f>
        <v>在职</v>
      </c>
      <c r="P2664" s="28">
        <f>IF(AND(O2664="在职",J2664="是"),COUNTIF(O$2:O2664,"在职"),"")</f>
        <v>2657</v>
      </c>
    </row>
    <row r="2665" ht="18" spans="1:16">
      <c r="A2665" s="14">
        <f t="shared" si="46"/>
        <v>2664</v>
      </c>
      <c r="B2665" s="31">
        <v>46179</v>
      </c>
      <c r="C2665" s="32" t="s">
        <v>1216</v>
      </c>
      <c r="D2665" s="120" t="s">
        <v>492</v>
      </c>
      <c r="E2665" s="33" t="s">
        <v>43</v>
      </c>
      <c r="F2665" s="18" t="s">
        <v>62</v>
      </c>
      <c r="G2665" s="18" t="s">
        <v>2186</v>
      </c>
      <c r="H2665" s="34" t="s">
        <v>85</v>
      </c>
      <c r="I2665" s="18" t="s">
        <v>2154</v>
      </c>
      <c r="J2665" s="31" t="s">
        <v>105</v>
      </c>
      <c r="K2665" s="31"/>
      <c r="N2665" s="13" t="s">
        <v>30</v>
      </c>
      <c r="O2665" s="28" t="str">
        <f>IF(D2665="","",IF(COUNTIF(离职清单!C:C,D2665)&gt;0,"已离职","在职"))</f>
        <v>在职</v>
      </c>
      <c r="P2665" s="28" t="str">
        <f>IF(AND(O2665="在职",J2665="是"),COUNTIF(O$2:O2665,"在职"),"")</f>
        <v/>
      </c>
    </row>
    <row r="2666" ht="18" spans="1:16">
      <c r="A2666" s="10">
        <f t="shared" si="46"/>
        <v>2665</v>
      </c>
      <c r="B2666" s="31">
        <v>46179</v>
      </c>
      <c r="C2666" s="32" t="s">
        <v>2588</v>
      </c>
      <c r="D2666" s="120" t="s">
        <v>477</v>
      </c>
      <c r="E2666" s="33" t="s">
        <v>43</v>
      </c>
      <c r="F2666" s="18" t="s">
        <v>63</v>
      </c>
      <c r="G2666" s="18" t="s">
        <v>2186</v>
      </c>
      <c r="H2666" s="34" t="s">
        <v>85</v>
      </c>
      <c r="I2666" s="18" t="s">
        <v>105</v>
      </c>
      <c r="J2666" s="31" t="s">
        <v>105</v>
      </c>
      <c r="K2666" s="31"/>
      <c r="N2666" s="13" t="s">
        <v>30</v>
      </c>
      <c r="O2666" s="28" t="str">
        <f>IF(D2666="","",IF(COUNTIF(离职清单!C:C,D2666)&gt;0,"已离职","在职"))</f>
        <v>在职</v>
      </c>
      <c r="P2666" s="28" t="str">
        <f>IF(AND(O2666="在职",J2666="是"),COUNTIF(O$2:O2666,"在职"),"")</f>
        <v/>
      </c>
    </row>
    <row r="2667" ht="18" spans="1:16">
      <c r="A2667" s="14">
        <f t="shared" si="46"/>
        <v>2666</v>
      </c>
      <c r="B2667" s="31">
        <v>46179</v>
      </c>
      <c r="C2667" s="32" t="s">
        <v>2589</v>
      </c>
      <c r="D2667" s="120" t="s">
        <v>478</v>
      </c>
      <c r="E2667" s="33" t="s">
        <v>43</v>
      </c>
      <c r="F2667" s="18" t="s">
        <v>63</v>
      </c>
      <c r="G2667" s="18" t="s">
        <v>124</v>
      </c>
      <c r="H2667" s="34" t="s">
        <v>85</v>
      </c>
      <c r="I2667" s="18" t="s">
        <v>2154</v>
      </c>
      <c r="J2667" s="31" t="s">
        <v>105</v>
      </c>
      <c r="K2667" s="31"/>
      <c r="N2667" s="13" t="s">
        <v>30</v>
      </c>
      <c r="O2667" s="28" t="str">
        <f>IF(D2667="","",IF(COUNTIF(离职清单!C:C,D2667)&gt;0,"已离职","在职"))</f>
        <v>在职</v>
      </c>
      <c r="P2667" s="28" t="str">
        <f>IF(AND(O2667="在职",J2667="是"),COUNTIF(O$2:O2667,"在职"),"")</f>
        <v/>
      </c>
    </row>
    <row r="2668" ht="18" spans="1:16">
      <c r="A2668" s="10">
        <f t="shared" ref="A2668:A2731" si="47">IF(B2668&lt;&gt;"",ROW()-1,"")</f>
        <v>2667</v>
      </c>
      <c r="B2668" s="31">
        <v>46179</v>
      </c>
      <c r="C2668" s="32" t="s">
        <v>2590</v>
      </c>
      <c r="D2668" s="120" t="s">
        <v>480</v>
      </c>
      <c r="E2668" s="33" t="s">
        <v>43</v>
      </c>
      <c r="F2668" s="18" t="s">
        <v>62</v>
      </c>
      <c r="G2668" s="18" t="s">
        <v>124</v>
      </c>
      <c r="H2668" s="34" t="s">
        <v>85</v>
      </c>
      <c r="I2668" s="18" t="s">
        <v>105</v>
      </c>
      <c r="J2668" s="31" t="s">
        <v>105</v>
      </c>
      <c r="K2668" s="31"/>
      <c r="N2668" s="13" t="s">
        <v>30</v>
      </c>
      <c r="O2668" s="28" t="str">
        <f>IF(D2668="","",IF(COUNTIF(离职清单!C:C,D2668)&gt;0,"已离职","在职"))</f>
        <v>在职</v>
      </c>
      <c r="P2668" s="28" t="str">
        <f>IF(AND(O2668="在职",J2668="是"),COUNTIF(O$2:O2668,"在职"),"")</f>
        <v/>
      </c>
    </row>
    <row r="2669" ht="18" spans="1:16">
      <c r="A2669" s="14">
        <f t="shared" si="47"/>
        <v>2668</v>
      </c>
      <c r="B2669" s="31">
        <v>46179</v>
      </c>
      <c r="C2669" s="32" t="s">
        <v>2591</v>
      </c>
      <c r="D2669" s="120" t="s">
        <v>482</v>
      </c>
      <c r="E2669" s="33" t="s">
        <v>43</v>
      </c>
      <c r="F2669" s="18" t="s">
        <v>63</v>
      </c>
      <c r="G2669" s="18" t="s">
        <v>124</v>
      </c>
      <c r="H2669" s="34" t="s">
        <v>85</v>
      </c>
      <c r="I2669" s="18" t="s">
        <v>2154</v>
      </c>
      <c r="J2669" s="31" t="s">
        <v>105</v>
      </c>
      <c r="K2669" s="31"/>
      <c r="N2669" s="13" t="s">
        <v>30</v>
      </c>
      <c r="O2669" s="28" t="str">
        <f>IF(D2669="","",IF(COUNTIF(离职清单!C:C,D2669)&gt;0,"已离职","在职"))</f>
        <v>在职</v>
      </c>
      <c r="P2669" s="28" t="str">
        <f>IF(AND(O2669="在职",J2669="是"),COUNTIF(O$2:O2669,"在职"),"")</f>
        <v/>
      </c>
    </row>
    <row r="2670" ht="18" spans="1:16">
      <c r="A2670" s="10">
        <f t="shared" si="47"/>
        <v>2669</v>
      </c>
      <c r="B2670" s="31">
        <v>46179</v>
      </c>
      <c r="C2670" s="32" t="s">
        <v>2592</v>
      </c>
      <c r="D2670" s="120" t="s">
        <v>484</v>
      </c>
      <c r="E2670" s="33" t="s">
        <v>43</v>
      </c>
      <c r="F2670" s="18" t="s">
        <v>63</v>
      </c>
      <c r="G2670" s="18" t="s">
        <v>148</v>
      </c>
      <c r="H2670" s="34" t="s">
        <v>85</v>
      </c>
      <c r="I2670" s="18" t="s">
        <v>114</v>
      </c>
      <c r="J2670" s="31" t="s">
        <v>105</v>
      </c>
      <c r="K2670" s="31"/>
      <c r="N2670" s="13" t="s">
        <v>30</v>
      </c>
      <c r="O2670" s="28" t="str">
        <f>IF(D2670="","",IF(COUNTIF(离职清单!C:C,D2670)&gt;0,"已离职","在职"))</f>
        <v>在职</v>
      </c>
      <c r="P2670" s="28" t="str">
        <f>IF(AND(O2670="在职",J2670="是"),COUNTIF(O$2:O2670,"在职"),"")</f>
        <v/>
      </c>
    </row>
    <row r="2671" ht="18" spans="1:16">
      <c r="A2671" s="14">
        <f t="shared" si="47"/>
        <v>2670</v>
      </c>
      <c r="B2671" s="31">
        <v>46179</v>
      </c>
      <c r="C2671" s="32" t="s">
        <v>2593</v>
      </c>
      <c r="D2671" s="120" t="s">
        <v>486</v>
      </c>
      <c r="E2671" s="33" t="s">
        <v>43</v>
      </c>
      <c r="F2671" s="18" t="s">
        <v>64</v>
      </c>
      <c r="G2671" s="18" t="s">
        <v>148</v>
      </c>
      <c r="H2671" s="34" t="s">
        <v>85</v>
      </c>
      <c r="I2671" s="18" t="s">
        <v>105</v>
      </c>
      <c r="J2671" s="31" t="s">
        <v>105</v>
      </c>
      <c r="K2671" s="31"/>
      <c r="N2671" s="13" t="s">
        <v>30</v>
      </c>
      <c r="O2671" s="28" t="str">
        <f>IF(D2671="","",IF(COUNTIF(离职清单!C:C,D2671)&gt;0,"已离职","在职"))</f>
        <v>在职</v>
      </c>
      <c r="P2671" s="28" t="str">
        <f>IF(AND(O2671="在职",J2671="是"),COUNTIF(O$2:O2671,"在职"),"")</f>
        <v/>
      </c>
    </row>
    <row r="2672" ht="18" spans="1:16">
      <c r="A2672" s="10">
        <f t="shared" si="47"/>
        <v>2671</v>
      </c>
      <c r="B2672" s="31">
        <v>46179</v>
      </c>
      <c r="C2672" s="32" t="s">
        <v>2594</v>
      </c>
      <c r="D2672" s="120" t="s">
        <v>488</v>
      </c>
      <c r="E2672" s="33" t="s">
        <v>43</v>
      </c>
      <c r="F2672" s="18" t="s">
        <v>64</v>
      </c>
      <c r="G2672" s="18" t="s">
        <v>148</v>
      </c>
      <c r="H2672" s="34" t="s">
        <v>85</v>
      </c>
      <c r="I2672" s="18" t="s">
        <v>105</v>
      </c>
      <c r="J2672" s="31" t="s">
        <v>105</v>
      </c>
      <c r="K2672" s="31"/>
      <c r="N2672" s="13" t="s">
        <v>30</v>
      </c>
      <c r="O2672" s="28" t="str">
        <f>IF(D2672="","",IF(COUNTIF(离职清单!C:C,D2672)&gt;0,"已离职","在职"))</f>
        <v>在职</v>
      </c>
      <c r="P2672" s="28" t="str">
        <f>IF(AND(O2672="在职",J2672="是"),COUNTIF(O$2:O2672,"在职"),"")</f>
        <v/>
      </c>
    </row>
    <row r="2673" ht="18" spans="1:16">
      <c r="A2673" s="14">
        <f t="shared" si="47"/>
        <v>2672</v>
      </c>
      <c r="B2673" s="31">
        <v>46179</v>
      </c>
      <c r="C2673" s="32" t="s">
        <v>2595</v>
      </c>
      <c r="D2673" s="120" t="s">
        <v>490</v>
      </c>
      <c r="E2673" s="33" t="s">
        <v>42</v>
      </c>
      <c r="F2673" s="18" t="s">
        <v>62</v>
      </c>
      <c r="G2673" s="18" t="s">
        <v>2166</v>
      </c>
      <c r="H2673" s="34" t="s">
        <v>86</v>
      </c>
      <c r="I2673" s="18" t="s">
        <v>114</v>
      </c>
      <c r="J2673" s="31" t="s">
        <v>114</v>
      </c>
      <c r="K2673" s="31">
        <v>46179</v>
      </c>
      <c r="N2673" s="13" t="s">
        <v>30</v>
      </c>
      <c r="O2673" s="28" t="str">
        <f>IF(D2673="","",IF(COUNTIF(离职清单!C:C,D2673)&gt;0,"已离职","在职"))</f>
        <v>在职</v>
      </c>
      <c r="P2673" s="28">
        <f>IF(AND(O2673="在职",J2673="是"),COUNTIF(O$2:O2673,"在职"),"")</f>
        <v>2666</v>
      </c>
    </row>
    <row r="2674" ht="18" spans="1:16">
      <c r="A2674" s="10">
        <f t="shared" si="47"/>
        <v>2673</v>
      </c>
      <c r="B2674" s="31">
        <v>46179</v>
      </c>
      <c r="C2674" s="32" t="s">
        <v>2596</v>
      </c>
      <c r="D2674" s="120" t="s">
        <v>492</v>
      </c>
      <c r="E2674" s="33" t="s">
        <v>42</v>
      </c>
      <c r="F2674" s="18" t="s">
        <v>63</v>
      </c>
      <c r="G2674" s="18" t="s">
        <v>2166</v>
      </c>
      <c r="H2674" s="34" t="s">
        <v>86</v>
      </c>
      <c r="I2674" s="18" t="s">
        <v>114</v>
      </c>
      <c r="J2674" s="31" t="s">
        <v>114</v>
      </c>
      <c r="K2674" s="31">
        <v>46179</v>
      </c>
      <c r="N2674" s="13" t="s">
        <v>30</v>
      </c>
      <c r="O2674" s="28" t="str">
        <f>IF(D2674="","",IF(COUNTIF(离职清单!C:C,D2674)&gt;0,"已离职","在职"))</f>
        <v>在职</v>
      </c>
      <c r="P2674" s="28">
        <f>IF(AND(O2674="在职",J2674="是"),COUNTIF(O$2:O2674,"在职"),"")</f>
        <v>2667</v>
      </c>
    </row>
    <row r="2675" ht="18" spans="1:16">
      <c r="A2675" s="14">
        <f t="shared" si="47"/>
        <v>2674</v>
      </c>
      <c r="B2675" s="31">
        <v>46179</v>
      </c>
      <c r="C2675" s="32" t="s">
        <v>2597</v>
      </c>
      <c r="D2675" s="120" t="s">
        <v>477</v>
      </c>
      <c r="E2675" s="33" t="s">
        <v>42</v>
      </c>
      <c r="F2675" s="18" t="s">
        <v>63</v>
      </c>
      <c r="G2675" s="18" t="s">
        <v>2166</v>
      </c>
      <c r="H2675" s="34" t="s">
        <v>86</v>
      </c>
      <c r="I2675" s="18" t="s">
        <v>114</v>
      </c>
      <c r="J2675" s="31" t="s">
        <v>114</v>
      </c>
      <c r="K2675" s="31">
        <v>46179</v>
      </c>
      <c r="N2675" s="13" t="s">
        <v>30</v>
      </c>
      <c r="O2675" s="28" t="str">
        <f>IF(D2675="","",IF(COUNTIF(离职清单!C:C,D2675)&gt;0,"已离职","在职"))</f>
        <v>在职</v>
      </c>
      <c r="P2675" s="28">
        <f>IF(AND(O2675="在职",J2675="是"),COUNTIF(O$2:O2675,"在职"),"")</f>
        <v>2668</v>
      </c>
    </row>
    <row r="2676" ht="18" spans="1:16">
      <c r="A2676" s="10">
        <f t="shared" si="47"/>
        <v>2675</v>
      </c>
      <c r="B2676" s="31">
        <v>46179</v>
      </c>
      <c r="C2676" s="32" t="s">
        <v>2598</v>
      </c>
      <c r="D2676" s="120" t="s">
        <v>478</v>
      </c>
      <c r="E2676" s="33" t="s">
        <v>42</v>
      </c>
      <c r="F2676" s="18" t="s">
        <v>63</v>
      </c>
      <c r="G2676" s="18" t="s">
        <v>2166</v>
      </c>
      <c r="H2676" s="34" t="s">
        <v>86</v>
      </c>
      <c r="I2676" s="18" t="s">
        <v>114</v>
      </c>
      <c r="J2676" s="31" t="s">
        <v>105</v>
      </c>
      <c r="K2676" s="31"/>
      <c r="N2676" s="13" t="s">
        <v>30</v>
      </c>
      <c r="O2676" s="28" t="str">
        <f>IF(D2676="","",IF(COUNTIF(离职清单!C:C,D2676)&gt;0,"已离职","在职"))</f>
        <v>在职</v>
      </c>
      <c r="P2676" s="28" t="str">
        <f>IF(AND(O2676="在职",J2676="是"),COUNTIF(O$2:O2676,"在职"),"")</f>
        <v/>
      </c>
    </row>
    <row r="2677" ht="18" spans="1:16">
      <c r="A2677" s="14">
        <f t="shared" si="47"/>
        <v>2676</v>
      </c>
      <c r="B2677" s="31">
        <v>46179</v>
      </c>
      <c r="C2677" s="32" t="s">
        <v>2599</v>
      </c>
      <c r="D2677" s="120" t="s">
        <v>480</v>
      </c>
      <c r="E2677" s="33" t="s">
        <v>42</v>
      </c>
      <c r="F2677" s="18" t="s">
        <v>62</v>
      </c>
      <c r="G2677" s="18" t="s">
        <v>2164</v>
      </c>
      <c r="H2677" s="34" t="s">
        <v>85</v>
      </c>
      <c r="I2677" s="18" t="s">
        <v>105</v>
      </c>
      <c r="J2677" s="31" t="s">
        <v>105</v>
      </c>
      <c r="K2677" s="31"/>
      <c r="N2677" s="13" t="s">
        <v>30</v>
      </c>
      <c r="O2677" s="28" t="str">
        <f>IF(D2677="","",IF(COUNTIF(离职清单!C:C,D2677)&gt;0,"已离职","在职"))</f>
        <v>在职</v>
      </c>
      <c r="P2677" s="28" t="str">
        <f>IF(AND(O2677="在职",J2677="是"),COUNTIF(O$2:O2677,"在职"),"")</f>
        <v/>
      </c>
    </row>
    <row r="2678" ht="18" spans="1:16">
      <c r="A2678" s="10">
        <f t="shared" si="47"/>
        <v>2677</v>
      </c>
      <c r="B2678" s="31">
        <v>46179</v>
      </c>
      <c r="C2678" s="32" t="s">
        <v>2600</v>
      </c>
      <c r="D2678" s="120" t="s">
        <v>482</v>
      </c>
      <c r="E2678" s="33" t="s">
        <v>42</v>
      </c>
      <c r="F2678" s="18" t="s">
        <v>63</v>
      </c>
      <c r="G2678" s="18" t="s">
        <v>2164</v>
      </c>
      <c r="H2678" s="34" t="s">
        <v>85</v>
      </c>
      <c r="I2678" s="18" t="s">
        <v>105</v>
      </c>
      <c r="J2678" s="31" t="s">
        <v>105</v>
      </c>
      <c r="K2678" s="31"/>
      <c r="N2678" s="13" t="s">
        <v>30</v>
      </c>
      <c r="O2678" s="28" t="str">
        <f>IF(D2678="","",IF(COUNTIF(离职清单!C:C,D2678)&gt;0,"已离职","在职"))</f>
        <v>在职</v>
      </c>
      <c r="P2678" s="28" t="str">
        <f>IF(AND(O2678="在职",J2678="是"),COUNTIF(O$2:O2678,"在职"),"")</f>
        <v/>
      </c>
    </row>
    <row r="2679" ht="18" spans="1:16">
      <c r="A2679" s="14">
        <f t="shared" si="47"/>
        <v>2678</v>
      </c>
      <c r="B2679" s="31">
        <v>46179</v>
      </c>
      <c r="C2679" s="32" t="s">
        <v>2601</v>
      </c>
      <c r="D2679" s="120" t="s">
        <v>484</v>
      </c>
      <c r="E2679" s="33" t="s">
        <v>42</v>
      </c>
      <c r="F2679" s="18" t="s">
        <v>63</v>
      </c>
      <c r="G2679" s="18" t="s">
        <v>2164</v>
      </c>
      <c r="H2679" s="34" t="s">
        <v>85</v>
      </c>
      <c r="I2679" s="18" t="s">
        <v>2154</v>
      </c>
      <c r="J2679" s="31" t="s">
        <v>105</v>
      </c>
      <c r="K2679" s="31"/>
      <c r="N2679" s="13" t="s">
        <v>30</v>
      </c>
      <c r="O2679" s="28" t="str">
        <f>IF(D2679="","",IF(COUNTIF(离职清单!C:C,D2679)&gt;0,"已离职","在职"))</f>
        <v>在职</v>
      </c>
      <c r="P2679" s="28" t="str">
        <f>IF(AND(O2679="在职",J2679="是"),COUNTIF(O$2:O2679,"在职"),"")</f>
        <v/>
      </c>
    </row>
    <row r="2680" ht="18" spans="1:16">
      <c r="A2680" s="10">
        <f t="shared" si="47"/>
        <v>2679</v>
      </c>
      <c r="B2680" s="31">
        <v>46179</v>
      </c>
      <c r="C2680" s="32" t="s">
        <v>2602</v>
      </c>
      <c r="D2680" s="120" t="s">
        <v>486</v>
      </c>
      <c r="E2680" s="33" t="s">
        <v>42</v>
      </c>
      <c r="F2680" s="18" t="s">
        <v>63</v>
      </c>
      <c r="G2680" s="18" t="s">
        <v>2164</v>
      </c>
      <c r="H2680" s="34" t="s">
        <v>85</v>
      </c>
      <c r="I2680" s="18" t="s">
        <v>105</v>
      </c>
      <c r="J2680" s="31" t="s">
        <v>105</v>
      </c>
      <c r="K2680" s="31"/>
      <c r="N2680" s="13" t="s">
        <v>30</v>
      </c>
      <c r="O2680" s="28" t="str">
        <f>IF(D2680="","",IF(COUNTIF(离职清单!C:C,D2680)&gt;0,"已离职","在职"))</f>
        <v>在职</v>
      </c>
      <c r="P2680" s="28" t="str">
        <f>IF(AND(O2680="在职",J2680="是"),COUNTIF(O$2:O2680,"在职"),"")</f>
        <v/>
      </c>
    </row>
    <row r="2681" ht="18" spans="1:16">
      <c r="A2681" s="14">
        <f t="shared" si="47"/>
        <v>2680</v>
      </c>
      <c r="B2681" s="31">
        <v>46179</v>
      </c>
      <c r="C2681" s="32" t="s">
        <v>2603</v>
      </c>
      <c r="D2681" s="120" t="s">
        <v>488</v>
      </c>
      <c r="E2681" s="33" t="s">
        <v>42</v>
      </c>
      <c r="F2681" s="18" t="s">
        <v>63</v>
      </c>
      <c r="G2681" s="18" t="s">
        <v>2164</v>
      </c>
      <c r="H2681" s="34" t="s">
        <v>85</v>
      </c>
      <c r="I2681" s="18" t="s">
        <v>105</v>
      </c>
      <c r="J2681" s="31" t="s">
        <v>105</v>
      </c>
      <c r="K2681" s="31"/>
      <c r="N2681" s="13" t="s">
        <v>30</v>
      </c>
      <c r="O2681" s="28" t="str">
        <f>IF(D2681="","",IF(COUNTIF(离职清单!C:C,D2681)&gt;0,"已离职","在职"))</f>
        <v>在职</v>
      </c>
      <c r="P2681" s="28" t="str">
        <f>IF(AND(O2681="在职",J2681="是"),COUNTIF(O$2:O2681,"在职"),"")</f>
        <v/>
      </c>
    </row>
    <row r="2682" ht="18" spans="1:16">
      <c r="A2682" s="10">
        <f t="shared" si="47"/>
        <v>2681</v>
      </c>
      <c r="B2682" s="31">
        <v>46179</v>
      </c>
      <c r="C2682" s="32" t="s">
        <v>2409</v>
      </c>
      <c r="D2682" s="120" t="s">
        <v>490</v>
      </c>
      <c r="E2682" s="33" t="s">
        <v>42</v>
      </c>
      <c r="F2682" s="18" t="s">
        <v>62</v>
      </c>
      <c r="G2682" s="18" t="s">
        <v>2164</v>
      </c>
      <c r="H2682" s="34" t="s">
        <v>85</v>
      </c>
      <c r="I2682" s="18" t="s">
        <v>105</v>
      </c>
      <c r="J2682" s="31" t="s">
        <v>105</v>
      </c>
      <c r="K2682" s="31"/>
      <c r="N2682" s="13" t="s">
        <v>30</v>
      </c>
      <c r="O2682" s="28" t="str">
        <f>IF(D2682="","",IF(COUNTIF(离职清单!C:C,D2682)&gt;0,"已离职","在职"))</f>
        <v>在职</v>
      </c>
      <c r="P2682" s="28" t="str">
        <f>IF(AND(O2682="在职",J2682="是"),COUNTIF(O$2:O2682,"在职"),"")</f>
        <v/>
      </c>
    </row>
    <row r="2683" ht="18" spans="1:16">
      <c r="A2683" s="14">
        <f t="shared" si="47"/>
        <v>2682</v>
      </c>
      <c r="B2683" s="31">
        <v>46179</v>
      </c>
      <c r="C2683" s="32" t="s">
        <v>2604</v>
      </c>
      <c r="D2683" s="120" t="s">
        <v>492</v>
      </c>
      <c r="E2683" s="33" t="s">
        <v>42</v>
      </c>
      <c r="F2683" s="18" t="s">
        <v>62</v>
      </c>
      <c r="G2683" s="18" t="s">
        <v>2164</v>
      </c>
      <c r="H2683" s="34" t="s">
        <v>85</v>
      </c>
      <c r="I2683" s="18" t="s">
        <v>105</v>
      </c>
      <c r="J2683" s="31" t="s">
        <v>105</v>
      </c>
      <c r="K2683" s="31"/>
      <c r="N2683" s="13" t="s">
        <v>30</v>
      </c>
      <c r="O2683" s="28" t="str">
        <f>IF(D2683="","",IF(COUNTIF(离职清单!C:C,D2683)&gt;0,"已离职","在职"))</f>
        <v>在职</v>
      </c>
      <c r="P2683" s="28" t="str">
        <f>IF(AND(O2683="在职",J2683="是"),COUNTIF(O$2:O2683,"在职"),"")</f>
        <v/>
      </c>
    </row>
    <row r="2684" ht="18" spans="1:16">
      <c r="A2684" s="10">
        <f t="shared" si="47"/>
        <v>2683</v>
      </c>
      <c r="B2684" s="31">
        <v>46179</v>
      </c>
      <c r="C2684" s="32" t="s">
        <v>2605</v>
      </c>
      <c r="D2684" s="120" t="s">
        <v>477</v>
      </c>
      <c r="E2684" s="33" t="s">
        <v>42</v>
      </c>
      <c r="F2684" s="18" t="s">
        <v>63</v>
      </c>
      <c r="G2684" s="18" t="s">
        <v>2164</v>
      </c>
      <c r="H2684" s="34" t="s">
        <v>85</v>
      </c>
      <c r="I2684" s="18" t="s">
        <v>2154</v>
      </c>
      <c r="J2684" s="31" t="s">
        <v>105</v>
      </c>
      <c r="K2684" s="31"/>
      <c r="N2684" s="13" t="s">
        <v>30</v>
      </c>
      <c r="O2684" s="28" t="str">
        <f>IF(D2684="","",IF(COUNTIF(离职清单!C:C,D2684)&gt;0,"已离职","在职"))</f>
        <v>在职</v>
      </c>
      <c r="P2684" s="28" t="str">
        <f>IF(AND(O2684="在职",J2684="是"),COUNTIF(O$2:O2684,"在职"),"")</f>
        <v/>
      </c>
    </row>
    <row r="2685" ht="18" spans="1:16">
      <c r="A2685" s="14">
        <f t="shared" si="47"/>
        <v>2684</v>
      </c>
      <c r="B2685" s="31">
        <v>46179</v>
      </c>
      <c r="C2685" s="32" t="s">
        <v>2600</v>
      </c>
      <c r="D2685" s="120" t="s">
        <v>478</v>
      </c>
      <c r="E2685" s="33" t="s">
        <v>42</v>
      </c>
      <c r="F2685" s="18" t="s">
        <v>63</v>
      </c>
      <c r="G2685" s="18" t="s">
        <v>2164</v>
      </c>
      <c r="H2685" s="34" t="s">
        <v>85</v>
      </c>
      <c r="I2685" s="18" t="s">
        <v>105</v>
      </c>
      <c r="J2685" s="31" t="s">
        <v>105</v>
      </c>
      <c r="K2685" s="31"/>
      <c r="N2685" s="13" t="s">
        <v>30</v>
      </c>
      <c r="O2685" s="28" t="str">
        <f>IF(D2685="","",IF(COUNTIF(离职清单!C:C,D2685)&gt;0,"已离职","在职"))</f>
        <v>在职</v>
      </c>
      <c r="P2685" s="28" t="str">
        <f>IF(AND(O2685="在职",J2685="是"),COUNTIF(O$2:O2685,"在职"),"")</f>
        <v/>
      </c>
    </row>
    <row r="2686" ht="18" spans="1:16">
      <c r="A2686" s="10">
        <f t="shared" si="47"/>
        <v>2685</v>
      </c>
      <c r="B2686" s="31">
        <v>46179</v>
      </c>
      <c r="C2686" s="32" t="s">
        <v>2601</v>
      </c>
      <c r="D2686" s="120" t="s">
        <v>480</v>
      </c>
      <c r="E2686" s="33" t="s">
        <v>42</v>
      </c>
      <c r="F2686" s="18" t="s">
        <v>63</v>
      </c>
      <c r="G2686" s="18" t="s">
        <v>2164</v>
      </c>
      <c r="H2686" s="34" t="s">
        <v>85</v>
      </c>
      <c r="I2686" s="18" t="s">
        <v>2154</v>
      </c>
      <c r="J2686" s="31" t="s">
        <v>105</v>
      </c>
      <c r="K2686" s="31"/>
      <c r="N2686" s="13" t="s">
        <v>30</v>
      </c>
      <c r="O2686" s="28" t="str">
        <f>IF(D2686="","",IF(COUNTIF(离职清单!C:C,D2686)&gt;0,"已离职","在职"))</f>
        <v>在职</v>
      </c>
      <c r="P2686" s="28" t="str">
        <f>IF(AND(O2686="在职",J2686="是"),COUNTIF(O$2:O2686,"在职"),"")</f>
        <v/>
      </c>
    </row>
    <row r="2687" ht="18" spans="1:16">
      <c r="A2687" s="14">
        <f t="shared" si="47"/>
        <v>2686</v>
      </c>
      <c r="B2687" s="31">
        <v>46179</v>
      </c>
      <c r="C2687" s="32" t="s">
        <v>2606</v>
      </c>
      <c r="D2687" s="120" t="s">
        <v>482</v>
      </c>
      <c r="E2687" s="33" t="s">
        <v>42</v>
      </c>
      <c r="F2687" s="18" t="s">
        <v>62</v>
      </c>
      <c r="G2687" s="18" t="s">
        <v>129</v>
      </c>
      <c r="H2687" s="34" t="s">
        <v>85</v>
      </c>
      <c r="I2687" s="18" t="s">
        <v>114</v>
      </c>
      <c r="J2687" s="31" t="s">
        <v>114</v>
      </c>
      <c r="K2687" s="31">
        <v>46180</v>
      </c>
      <c r="N2687" s="13" t="s">
        <v>30</v>
      </c>
      <c r="O2687" s="28" t="str">
        <f>IF(D2687="","",IF(COUNTIF(离职清单!C:C,D2687)&gt;0,"已离职","在职"))</f>
        <v>在职</v>
      </c>
      <c r="P2687" s="28">
        <f>IF(AND(O2687="在职",J2687="是"),COUNTIF(O$2:O2687,"在职"),"")</f>
        <v>2680</v>
      </c>
    </row>
    <row r="2688" ht="18" spans="1:16">
      <c r="A2688" s="10">
        <f t="shared" si="47"/>
        <v>2687</v>
      </c>
      <c r="B2688" s="31">
        <v>46179</v>
      </c>
      <c r="C2688" s="32" t="s">
        <v>2607</v>
      </c>
      <c r="D2688" s="120" t="s">
        <v>484</v>
      </c>
      <c r="E2688" s="33" t="s">
        <v>42</v>
      </c>
      <c r="F2688" s="18" t="s">
        <v>62</v>
      </c>
      <c r="G2688" s="18" t="s">
        <v>129</v>
      </c>
      <c r="H2688" s="34" t="s">
        <v>85</v>
      </c>
      <c r="I2688" s="18" t="s">
        <v>114</v>
      </c>
      <c r="J2688" s="31" t="s">
        <v>114</v>
      </c>
      <c r="K2688" s="31">
        <v>46182</v>
      </c>
      <c r="N2688" s="13" t="s">
        <v>30</v>
      </c>
      <c r="O2688" s="28" t="str">
        <f>IF(D2688="","",IF(COUNTIF(离职清单!C:C,D2688)&gt;0,"已离职","在职"))</f>
        <v>在职</v>
      </c>
      <c r="P2688" s="28">
        <f>IF(AND(O2688="在职",J2688="是"),COUNTIF(O$2:O2688,"在职"),"")</f>
        <v>2681</v>
      </c>
    </row>
    <row r="2689" ht="18" spans="1:16">
      <c r="A2689" s="14">
        <f t="shared" si="47"/>
        <v>2688</v>
      </c>
      <c r="B2689" s="31">
        <v>46179</v>
      </c>
      <c r="C2689" s="32" t="s">
        <v>2522</v>
      </c>
      <c r="D2689" s="120" t="s">
        <v>486</v>
      </c>
      <c r="E2689" s="33" t="s">
        <v>42</v>
      </c>
      <c r="F2689" s="18" t="s">
        <v>63</v>
      </c>
      <c r="G2689" s="18" t="s">
        <v>129</v>
      </c>
      <c r="H2689" s="34" t="s">
        <v>85</v>
      </c>
      <c r="I2689" s="18" t="s">
        <v>2154</v>
      </c>
      <c r="J2689" s="31" t="s">
        <v>105</v>
      </c>
      <c r="K2689" s="31"/>
      <c r="N2689" s="13" t="s">
        <v>30</v>
      </c>
      <c r="O2689" s="28" t="str">
        <f>IF(D2689="","",IF(COUNTIF(离职清单!C:C,D2689)&gt;0,"已离职","在职"))</f>
        <v>在职</v>
      </c>
      <c r="P2689" s="28" t="str">
        <f>IF(AND(O2689="在职",J2689="是"),COUNTIF(O$2:O2689,"在职"),"")</f>
        <v/>
      </c>
    </row>
    <row r="2690" ht="18" spans="1:16">
      <c r="A2690" s="10">
        <f t="shared" si="47"/>
        <v>2689</v>
      </c>
      <c r="B2690" s="31">
        <v>46179</v>
      </c>
      <c r="C2690" s="32" t="s">
        <v>2608</v>
      </c>
      <c r="D2690" s="120" t="s">
        <v>488</v>
      </c>
      <c r="E2690" s="33" t="s">
        <v>42</v>
      </c>
      <c r="F2690" s="18" t="s">
        <v>63</v>
      </c>
      <c r="G2690" s="18" t="s">
        <v>129</v>
      </c>
      <c r="H2690" s="34" t="s">
        <v>85</v>
      </c>
      <c r="I2690" s="18" t="s">
        <v>105</v>
      </c>
      <c r="J2690" s="31" t="s">
        <v>105</v>
      </c>
      <c r="K2690" s="31"/>
      <c r="N2690" s="13" t="s">
        <v>30</v>
      </c>
      <c r="O2690" s="28" t="str">
        <f>IF(D2690="","",IF(COUNTIF(离职清单!C:C,D2690)&gt;0,"已离职","在职"))</f>
        <v>在职</v>
      </c>
      <c r="P2690" s="28" t="str">
        <f>IF(AND(O2690="在职",J2690="是"),COUNTIF(O$2:O2690,"在职"),"")</f>
        <v/>
      </c>
    </row>
    <row r="2691" ht="18" spans="1:16">
      <c r="A2691" s="14">
        <f t="shared" si="47"/>
        <v>2690</v>
      </c>
      <c r="B2691" s="31">
        <v>46179</v>
      </c>
      <c r="C2691" s="32" t="s">
        <v>2609</v>
      </c>
      <c r="D2691" s="120" t="s">
        <v>490</v>
      </c>
      <c r="E2691" s="33" t="s">
        <v>42</v>
      </c>
      <c r="F2691" s="18" t="s">
        <v>63</v>
      </c>
      <c r="G2691" s="18" t="s">
        <v>129</v>
      </c>
      <c r="H2691" s="34" t="s">
        <v>85</v>
      </c>
      <c r="I2691" s="18" t="s">
        <v>2154</v>
      </c>
      <c r="J2691" s="31" t="s">
        <v>105</v>
      </c>
      <c r="K2691" s="31"/>
      <c r="N2691" s="13" t="s">
        <v>30</v>
      </c>
      <c r="O2691" s="28" t="str">
        <f>IF(D2691="","",IF(COUNTIF(离职清单!C:C,D2691)&gt;0,"已离职","在职"))</f>
        <v>在职</v>
      </c>
      <c r="P2691" s="28" t="str">
        <f>IF(AND(O2691="在职",J2691="是"),COUNTIF(O$2:O2691,"在职"),"")</f>
        <v/>
      </c>
    </row>
    <row r="2692" ht="18" spans="1:16">
      <c r="A2692" s="10">
        <f t="shared" si="47"/>
        <v>2691</v>
      </c>
      <c r="B2692" s="31">
        <v>46179</v>
      </c>
      <c r="C2692" s="32" t="s">
        <v>2610</v>
      </c>
      <c r="D2692" s="120" t="s">
        <v>492</v>
      </c>
      <c r="E2692" s="33" t="s">
        <v>42</v>
      </c>
      <c r="F2692" s="18" t="s">
        <v>63</v>
      </c>
      <c r="G2692" s="18" t="s">
        <v>129</v>
      </c>
      <c r="H2692" s="34" t="s">
        <v>85</v>
      </c>
      <c r="I2692" s="18" t="s">
        <v>2154</v>
      </c>
      <c r="J2692" s="31" t="s">
        <v>105</v>
      </c>
      <c r="K2692" s="31"/>
      <c r="N2692" s="13" t="s">
        <v>30</v>
      </c>
      <c r="O2692" s="28" t="str">
        <f>IF(D2692="","",IF(COUNTIF(离职清单!C:C,D2692)&gt;0,"已离职","在职"))</f>
        <v>在职</v>
      </c>
      <c r="P2692" s="28" t="str">
        <f>IF(AND(O2692="在职",J2692="是"),COUNTIF(O$2:O2692,"在职"),"")</f>
        <v/>
      </c>
    </row>
    <row r="2693" ht="18" spans="1:16">
      <c r="A2693" s="14">
        <f t="shared" si="47"/>
        <v>2692</v>
      </c>
      <c r="B2693" s="31">
        <v>46179</v>
      </c>
      <c r="C2693" s="32" t="s">
        <v>2611</v>
      </c>
      <c r="D2693" s="120" t="s">
        <v>477</v>
      </c>
      <c r="E2693" s="33" t="s">
        <v>42</v>
      </c>
      <c r="F2693" s="18" t="s">
        <v>63</v>
      </c>
      <c r="G2693" s="18" t="s">
        <v>129</v>
      </c>
      <c r="H2693" s="34" t="s">
        <v>85</v>
      </c>
      <c r="I2693" s="18" t="s">
        <v>105</v>
      </c>
      <c r="J2693" s="31" t="s">
        <v>105</v>
      </c>
      <c r="K2693" s="31"/>
      <c r="N2693" s="13" t="s">
        <v>30</v>
      </c>
      <c r="O2693" s="28" t="str">
        <f>IF(D2693="","",IF(COUNTIF(离职清单!C:C,D2693)&gt;0,"已离职","在职"))</f>
        <v>在职</v>
      </c>
      <c r="P2693" s="28" t="str">
        <f>IF(AND(O2693="在职",J2693="是"),COUNTIF(O$2:O2693,"在职"),"")</f>
        <v/>
      </c>
    </row>
    <row r="2694" ht="18" spans="1:16">
      <c r="A2694" s="10">
        <f t="shared" si="47"/>
        <v>2693</v>
      </c>
      <c r="B2694" s="31">
        <v>46179</v>
      </c>
      <c r="C2694" s="32" t="s">
        <v>2445</v>
      </c>
      <c r="D2694" s="120" t="s">
        <v>478</v>
      </c>
      <c r="E2694" s="33" t="s">
        <v>42</v>
      </c>
      <c r="F2694" s="18" t="s">
        <v>63</v>
      </c>
      <c r="G2694" s="18" t="s">
        <v>129</v>
      </c>
      <c r="H2694" s="34" t="s">
        <v>85</v>
      </c>
      <c r="I2694" s="18" t="s">
        <v>105</v>
      </c>
      <c r="J2694" s="31" t="s">
        <v>105</v>
      </c>
      <c r="K2694" s="31"/>
      <c r="N2694" s="13" t="s">
        <v>30</v>
      </c>
      <c r="O2694" s="28" t="str">
        <f>IF(D2694="","",IF(COUNTIF(离职清单!C:C,D2694)&gt;0,"已离职","在职"))</f>
        <v>在职</v>
      </c>
      <c r="P2694" s="28" t="str">
        <f>IF(AND(O2694="在职",J2694="是"),COUNTIF(O$2:O2694,"在职"),"")</f>
        <v/>
      </c>
    </row>
    <row r="2695" ht="18" spans="1:16">
      <c r="A2695" s="14">
        <f t="shared" si="47"/>
        <v>2694</v>
      </c>
      <c r="B2695" s="31">
        <v>46179</v>
      </c>
      <c r="C2695" s="32" t="s">
        <v>2403</v>
      </c>
      <c r="D2695" s="120" t="s">
        <v>480</v>
      </c>
      <c r="E2695" s="33" t="s">
        <v>42</v>
      </c>
      <c r="F2695" s="18" t="s">
        <v>63</v>
      </c>
      <c r="G2695" s="18" t="s">
        <v>129</v>
      </c>
      <c r="H2695" s="34" t="s">
        <v>85</v>
      </c>
      <c r="I2695" s="18" t="s">
        <v>2154</v>
      </c>
      <c r="J2695" s="31" t="s">
        <v>105</v>
      </c>
      <c r="K2695" s="31"/>
      <c r="N2695" s="13" t="s">
        <v>30</v>
      </c>
      <c r="O2695" s="28" t="str">
        <f>IF(D2695="","",IF(COUNTIF(离职清单!C:C,D2695)&gt;0,"已离职","在职"))</f>
        <v>在职</v>
      </c>
      <c r="P2695" s="28" t="str">
        <f>IF(AND(O2695="在职",J2695="是"),COUNTIF(O$2:O2695,"在职"),"")</f>
        <v/>
      </c>
    </row>
    <row r="2696" ht="18" spans="1:16">
      <c r="A2696" s="10">
        <f t="shared" si="47"/>
        <v>2695</v>
      </c>
      <c r="B2696" s="31">
        <v>46179</v>
      </c>
      <c r="C2696" s="32" t="s">
        <v>2612</v>
      </c>
      <c r="D2696" s="120" t="s">
        <v>482</v>
      </c>
      <c r="E2696" s="33" t="s">
        <v>42</v>
      </c>
      <c r="F2696" s="18" t="s">
        <v>63</v>
      </c>
      <c r="G2696" s="18" t="s">
        <v>129</v>
      </c>
      <c r="H2696" s="34" t="s">
        <v>85</v>
      </c>
      <c r="I2696" s="18" t="s">
        <v>2154</v>
      </c>
      <c r="J2696" s="31" t="s">
        <v>105</v>
      </c>
      <c r="K2696" s="31"/>
      <c r="N2696" s="13" t="s">
        <v>30</v>
      </c>
      <c r="O2696" s="28" t="str">
        <f>IF(D2696="","",IF(COUNTIF(离职清单!C:C,D2696)&gt;0,"已离职","在职"))</f>
        <v>在职</v>
      </c>
      <c r="P2696" s="28" t="str">
        <f>IF(AND(O2696="在职",J2696="是"),COUNTIF(O$2:O2696,"在职"),"")</f>
        <v/>
      </c>
    </row>
    <row r="2697" ht="18" spans="1:16">
      <c r="A2697" s="14">
        <f t="shared" si="47"/>
        <v>2696</v>
      </c>
      <c r="B2697" s="31">
        <v>46179</v>
      </c>
      <c r="C2697" s="32" t="s">
        <v>2613</v>
      </c>
      <c r="D2697" s="120" t="s">
        <v>484</v>
      </c>
      <c r="E2697" s="33" t="s">
        <v>42</v>
      </c>
      <c r="F2697" s="18" t="s">
        <v>63</v>
      </c>
      <c r="G2697" s="18" t="s">
        <v>129</v>
      </c>
      <c r="H2697" s="34" t="s">
        <v>85</v>
      </c>
      <c r="I2697" s="18" t="s">
        <v>2154</v>
      </c>
      <c r="J2697" s="31" t="s">
        <v>105</v>
      </c>
      <c r="K2697" s="31"/>
      <c r="N2697" s="13" t="s">
        <v>30</v>
      </c>
      <c r="O2697" s="28" t="str">
        <f>IF(D2697="","",IF(COUNTIF(离职清单!C:C,D2697)&gt;0,"已离职","在职"))</f>
        <v>在职</v>
      </c>
      <c r="P2697" s="28" t="str">
        <f>IF(AND(O2697="在职",J2697="是"),COUNTIF(O$2:O2697,"在职"),"")</f>
        <v/>
      </c>
    </row>
    <row r="2698" ht="18" spans="1:16">
      <c r="A2698" s="10">
        <f t="shared" si="47"/>
        <v>2697</v>
      </c>
      <c r="B2698" s="31">
        <v>46179</v>
      </c>
      <c r="C2698" s="32" t="s">
        <v>2614</v>
      </c>
      <c r="D2698" s="120" t="s">
        <v>486</v>
      </c>
      <c r="E2698" s="33" t="s">
        <v>42</v>
      </c>
      <c r="F2698" s="18" t="s">
        <v>63</v>
      </c>
      <c r="G2698" s="18" t="s">
        <v>129</v>
      </c>
      <c r="H2698" s="34" t="s">
        <v>85</v>
      </c>
      <c r="I2698" s="18" t="s">
        <v>2154</v>
      </c>
      <c r="J2698" s="31" t="s">
        <v>105</v>
      </c>
      <c r="K2698" s="31"/>
      <c r="N2698" s="13" t="s">
        <v>30</v>
      </c>
      <c r="O2698" s="28" t="str">
        <f>IF(D2698="","",IF(COUNTIF(离职清单!C:C,D2698)&gt;0,"已离职","在职"))</f>
        <v>在职</v>
      </c>
      <c r="P2698" s="28" t="str">
        <f>IF(AND(O2698="在职",J2698="是"),COUNTIF(O$2:O2698,"在职"),"")</f>
        <v/>
      </c>
    </row>
    <row r="2699" ht="18" spans="1:16">
      <c r="A2699" s="14">
        <f t="shared" si="47"/>
        <v>2698</v>
      </c>
      <c r="B2699" s="31">
        <v>46179</v>
      </c>
      <c r="C2699" s="32" t="s">
        <v>2615</v>
      </c>
      <c r="D2699" s="120" t="s">
        <v>488</v>
      </c>
      <c r="E2699" s="33" t="s">
        <v>42</v>
      </c>
      <c r="F2699" s="18" t="s">
        <v>63</v>
      </c>
      <c r="G2699" s="18" t="s">
        <v>2164</v>
      </c>
      <c r="H2699" s="34" t="s">
        <v>85</v>
      </c>
      <c r="I2699" s="18" t="s">
        <v>105</v>
      </c>
      <c r="J2699" s="31" t="s">
        <v>105</v>
      </c>
      <c r="K2699" s="31"/>
      <c r="N2699" s="13" t="s">
        <v>30</v>
      </c>
      <c r="O2699" s="28" t="str">
        <f>IF(D2699="","",IF(COUNTIF(离职清单!C:C,D2699)&gt;0,"已离职","在职"))</f>
        <v>在职</v>
      </c>
      <c r="P2699" s="28" t="str">
        <f>IF(AND(O2699="在职",J2699="是"),COUNTIF(O$2:O2699,"在职"),"")</f>
        <v/>
      </c>
    </row>
    <row r="2700" ht="18" spans="1:16">
      <c r="A2700" s="10">
        <f t="shared" si="47"/>
        <v>2699</v>
      </c>
      <c r="B2700" s="31">
        <v>46179</v>
      </c>
      <c r="C2700" s="32" t="s">
        <v>2616</v>
      </c>
      <c r="D2700" s="120" t="s">
        <v>490</v>
      </c>
      <c r="E2700" s="33" t="s">
        <v>42</v>
      </c>
      <c r="F2700" s="18" t="s">
        <v>63</v>
      </c>
      <c r="G2700" s="18" t="s">
        <v>2164</v>
      </c>
      <c r="H2700" s="34" t="s">
        <v>85</v>
      </c>
      <c r="I2700" s="18" t="s">
        <v>105</v>
      </c>
      <c r="J2700" s="31" t="s">
        <v>105</v>
      </c>
      <c r="K2700" s="31"/>
      <c r="N2700" s="13" t="s">
        <v>30</v>
      </c>
      <c r="O2700" s="28" t="str">
        <f>IF(D2700="","",IF(COUNTIF(离职清单!C:C,D2700)&gt;0,"已离职","在职"))</f>
        <v>在职</v>
      </c>
      <c r="P2700" s="28" t="str">
        <f>IF(AND(O2700="在职",J2700="是"),COUNTIF(O$2:O2700,"在职"),"")</f>
        <v/>
      </c>
    </row>
    <row r="2701" ht="18" spans="1:16">
      <c r="A2701" s="14">
        <f t="shared" si="47"/>
        <v>2700</v>
      </c>
      <c r="B2701" s="31">
        <v>46179</v>
      </c>
      <c r="C2701" s="32" t="s">
        <v>2617</v>
      </c>
      <c r="D2701" s="120" t="s">
        <v>492</v>
      </c>
      <c r="E2701" s="33" t="s">
        <v>42</v>
      </c>
      <c r="F2701" s="18" t="s">
        <v>62</v>
      </c>
      <c r="G2701" s="18" t="s">
        <v>2164</v>
      </c>
      <c r="H2701" s="34" t="s">
        <v>85</v>
      </c>
      <c r="I2701" s="18" t="s">
        <v>105</v>
      </c>
      <c r="J2701" s="31" t="s">
        <v>105</v>
      </c>
      <c r="K2701" s="31"/>
      <c r="N2701" s="13" t="s">
        <v>30</v>
      </c>
      <c r="O2701" s="28" t="str">
        <f>IF(D2701="","",IF(COUNTIF(离职清单!C:C,D2701)&gt;0,"已离职","在职"))</f>
        <v>在职</v>
      </c>
      <c r="P2701" s="28" t="str">
        <f>IF(AND(O2701="在职",J2701="是"),COUNTIF(O$2:O2701,"在职"),"")</f>
        <v/>
      </c>
    </row>
    <row r="2702" ht="18" spans="1:16">
      <c r="A2702" s="10">
        <f t="shared" si="47"/>
        <v>2701</v>
      </c>
      <c r="B2702" s="31">
        <v>46179</v>
      </c>
      <c r="C2702" s="32" t="s">
        <v>2618</v>
      </c>
      <c r="D2702" s="120" t="s">
        <v>477</v>
      </c>
      <c r="E2702" s="33" t="s">
        <v>42</v>
      </c>
      <c r="F2702" s="18" t="s">
        <v>62</v>
      </c>
      <c r="G2702" s="18" t="s">
        <v>148</v>
      </c>
      <c r="H2702" s="34" t="s">
        <v>85</v>
      </c>
      <c r="I2702" s="18" t="s">
        <v>105</v>
      </c>
      <c r="J2702" s="31" t="s">
        <v>105</v>
      </c>
      <c r="K2702" s="31"/>
      <c r="N2702" s="13" t="s">
        <v>30</v>
      </c>
      <c r="O2702" s="28" t="str">
        <f>IF(D2702="","",IF(COUNTIF(离职清单!C:C,D2702)&gt;0,"已离职","在职"))</f>
        <v>在职</v>
      </c>
      <c r="P2702" s="28" t="str">
        <f>IF(AND(O2702="在职",J2702="是"),COUNTIF(O$2:O2702,"在职"),"")</f>
        <v/>
      </c>
    </row>
    <row r="2703" ht="18" spans="1:16">
      <c r="A2703" s="14">
        <f t="shared" si="47"/>
        <v>2702</v>
      </c>
      <c r="B2703" s="31">
        <v>46179</v>
      </c>
      <c r="C2703" s="32" t="s">
        <v>2619</v>
      </c>
      <c r="D2703" s="120" t="s">
        <v>478</v>
      </c>
      <c r="E2703" s="33" t="s">
        <v>42</v>
      </c>
      <c r="F2703" s="18" t="s">
        <v>62</v>
      </c>
      <c r="G2703" s="18" t="s">
        <v>233</v>
      </c>
      <c r="H2703" s="34" t="s">
        <v>85</v>
      </c>
      <c r="I2703" s="18" t="s">
        <v>114</v>
      </c>
      <c r="J2703" s="31" t="s">
        <v>114</v>
      </c>
      <c r="K2703" s="31">
        <v>46181</v>
      </c>
      <c r="N2703" s="13" t="s">
        <v>30</v>
      </c>
      <c r="O2703" s="28" t="str">
        <f>IF(D2703="","",IF(COUNTIF(离职清单!C:C,D2703)&gt;0,"已离职","在职"))</f>
        <v>在职</v>
      </c>
      <c r="P2703" s="28">
        <f>IF(AND(O2703="在职",J2703="是"),COUNTIF(O$2:O2703,"在职"),"")</f>
        <v>2696</v>
      </c>
    </row>
    <row r="2704" ht="18" spans="1:16">
      <c r="A2704" s="10">
        <f t="shared" si="47"/>
        <v>2703</v>
      </c>
      <c r="B2704" s="31">
        <v>46179</v>
      </c>
      <c r="C2704" s="32" t="s">
        <v>2620</v>
      </c>
      <c r="D2704" s="120" t="s">
        <v>480</v>
      </c>
      <c r="E2704" s="33" t="s">
        <v>42</v>
      </c>
      <c r="F2704" s="18" t="s">
        <v>64</v>
      </c>
      <c r="G2704" s="18" t="s">
        <v>2317</v>
      </c>
      <c r="H2704" s="34" t="s">
        <v>85</v>
      </c>
      <c r="I2704" s="18" t="s">
        <v>114</v>
      </c>
      <c r="J2704" s="31" t="s">
        <v>105</v>
      </c>
      <c r="K2704" s="31"/>
      <c r="N2704" s="13" t="s">
        <v>30</v>
      </c>
      <c r="O2704" s="28" t="str">
        <f>IF(D2704="","",IF(COUNTIF(离职清单!C:C,D2704)&gt;0,"已离职","在职"))</f>
        <v>在职</v>
      </c>
      <c r="P2704" s="28" t="str">
        <f>IF(AND(O2704="在职",J2704="是"),COUNTIF(O$2:O2704,"在职"),"")</f>
        <v/>
      </c>
    </row>
    <row r="2705" ht="18" spans="1:16">
      <c r="A2705" s="14">
        <f t="shared" si="47"/>
        <v>2704</v>
      </c>
      <c r="B2705" s="31">
        <v>46179</v>
      </c>
      <c r="C2705" s="32" t="s">
        <v>2621</v>
      </c>
      <c r="D2705" s="120" t="s">
        <v>482</v>
      </c>
      <c r="E2705" s="33" t="s">
        <v>42</v>
      </c>
      <c r="F2705" s="18" t="s">
        <v>63</v>
      </c>
      <c r="G2705" s="18" t="s">
        <v>148</v>
      </c>
      <c r="H2705" s="34" t="s">
        <v>85</v>
      </c>
      <c r="I2705" s="18" t="s">
        <v>2154</v>
      </c>
      <c r="J2705" s="31" t="s">
        <v>105</v>
      </c>
      <c r="K2705" s="31"/>
      <c r="N2705" s="13" t="s">
        <v>30</v>
      </c>
      <c r="O2705" s="28" t="str">
        <f>IF(D2705="","",IF(COUNTIF(离职清单!C:C,D2705)&gt;0,"已离职","在职"))</f>
        <v>在职</v>
      </c>
      <c r="P2705" s="28" t="str">
        <f>IF(AND(O2705="在职",J2705="是"),COUNTIF(O$2:O2705,"在职"),"")</f>
        <v/>
      </c>
    </row>
    <row r="2706" ht="18" spans="1:16">
      <c r="A2706" s="10">
        <f t="shared" si="47"/>
        <v>2705</v>
      </c>
      <c r="B2706" s="31">
        <v>46179</v>
      </c>
      <c r="C2706" s="32" t="s">
        <v>2602</v>
      </c>
      <c r="D2706" s="120" t="s">
        <v>484</v>
      </c>
      <c r="E2706" s="33" t="s">
        <v>42</v>
      </c>
      <c r="F2706" s="18" t="s">
        <v>63</v>
      </c>
      <c r="G2706" s="18" t="s">
        <v>2317</v>
      </c>
      <c r="H2706" s="34" t="s">
        <v>85</v>
      </c>
      <c r="I2706" s="18" t="s">
        <v>2154</v>
      </c>
      <c r="J2706" s="31" t="s">
        <v>105</v>
      </c>
      <c r="K2706" s="31"/>
      <c r="N2706" s="13" t="s">
        <v>30</v>
      </c>
      <c r="O2706" s="28" t="str">
        <f>IF(D2706="","",IF(COUNTIF(离职清单!C:C,D2706)&gt;0,"已离职","在职"))</f>
        <v>在职</v>
      </c>
      <c r="P2706" s="28" t="str">
        <f>IF(AND(O2706="在职",J2706="是"),COUNTIF(O$2:O2706,"在职"),"")</f>
        <v/>
      </c>
    </row>
    <row r="2707" ht="18" spans="1:16">
      <c r="A2707" s="14">
        <f t="shared" si="47"/>
        <v>2706</v>
      </c>
      <c r="B2707" s="31">
        <v>46179</v>
      </c>
      <c r="C2707" s="32" t="s">
        <v>2555</v>
      </c>
      <c r="D2707" s="120" t="s">
        <v>486</v>
      </c>
      <c r="E2707" s="33" t="s">
        <v>42</v>
      </c>
      <c r="F2707" s="18" t="s">
        <v>64</v>
      </c>
      <c r="G2707" s="18" t="s">
        <v>148</v>
      </c>
      <c r="H2707" s="34" t="s">
        <v>85</v>
      </c>
      <c r="I2707" s="18" t="s">
        <v>114</v>
      </c>
      <c r="J2707" s="31" t="s">
        <v>105</v>
      </c>
      <c r="K2707" s="31"/>
      <c r="N2707" s="13" t="s">
        <v>30</v>
      </c>
      <c r="O2707" s="28" t="str">
        <f>IF(D2707="","",IF(COUNTIF(离职清单!C:C,D2707)&gt;0,"已离职","在职"))</f>
        <v>在职</v>
      </c>
      <c r="P2707" s="28" t="str">
        <f>IF(AND(O2707="在职",J2707="是"),COUNTIF(O$2:O2707,"在职"),"")</f>
        <v/>
      </c>
    </row>
    <row r="2708" ht="18" spans="1:16">
      <c r="A2708" s="10">
        <f t="shared" si="47"/>
        <v>2707</v>
      </c>
      <c r="B2708" s="31">
        <v>46179</v>
      </c>
      <c r="C2708" s="32" t="s">
        <v>2622</v>
      </c>
      <c r="D2708" s="120" t="s">
        <v>488</v>
      </c>
      <c r="E2708" s="33" t="s">
        <v>42</v>
      </c>
      <c r="F2708" s="18" t="s">
        <v>63</v>
      </c>
      <c r="G2708" s="18" t="s">
        <v>148</v>
      </c>
      <c r="H2708" s="34" t="s">
        <v>85</v>
      </c>
      <c r="I2708" s="18" t="s">
        <v>2154</v>
      </c>
      <c r="J2708" s="31" t="s">
        <v>105</v>
      </c>
      <c r="K2708" s="31"/>
      <c r="N2708" s="13" t="s">
        <v>30</v>
      </c>
      <c r="O2708" s="28" t="str">
        <f>IF(D2708="","",IF(COUNTIF(离职清单!C:C,D2708)&gt;0,"已离职","在职"))</f>
        <v>在职</v>
      </c>
      <c r="P2708" s="28" t="str">
        <f>IF(AND(O2708="在职",J2708="是"),COUNTIF(O$2:O2708,"在职"),"")</f>
        <v/>
      </c>
    </row>
    <row r="2709" ht="18" spans="1:16">
      <c r="A2709" s="14">
        <f t="shared" si="47"/>
        <v>2708</v>
      </c>
      <c r="B2709" s="31">
        <v>46179</v>
      </c>
      <c r="C2709" s="32" t="s">
        <v>2623</v>
      </c>
      <c r="D2709" s="120" t="s">
        <v>490</v>
      </c>
      <c r="E2709" s="33" t="s">
        <v>42</v>
      </c>
      <c r="F2709" s="18" t="s">
        <v>64</v>
      </c>
      <c r="G2709" s="18" t="s">
        <v>2317</v>
      </c>
      <c r="H2709" s="34" t="s">
        <v>85</v>
      </c>
      <c r="I2709" s="18" t="s">
        <v>114</v>
      </c>
      <c r="J2709" s="31" t="s">
        <v>105</v>
      </c>
      <c r="K2709" s="31"/>
      <c r="N2709" s="13" t="s">
        <v>30</v>
      </c>
      <c r="O2709" s="28" t="str">
        <f>IF(D2709="","",IF(COUNTIF(离职清单!C:C,D2709)&gt;0,"已离职","在职"))</f>
        <v>在职</v>
      </c>
      <c r="P2709" s="28" t="str">
        <f>IF(AND(O2709="在职",J2709="是"),COUNTIF(O$2:O2709,"在职"),"")</f>
        <v/>
      </c>
    </row>
    <row r="2710" ht="18" spans="1:16">
      <c r="A2710" s="10">
        <f t="shared" si="47"/>
        <v>2709</v>
      </c>
      <c r="B2710" s="31">
        <v>46179</v>
      </c>
      <c r="C2710" s="32" t="s">
        <v>2624</v>
      </c>
      <c r="D2710" s="120" t="s">
        <v>492</v>
      </c>
      <c r="E2710" s="33" t="s">
        <v>42</v>
      </c>
      <c r="F2710" s="18" t="s">
        <v>63</v>
      </c>
      <c r="G2710" s="18" t="s">
        <v>148</v>
      </c>
      <c r="H2710" s="34" t="s">
        <v>85</v>
      </c>
      <c r="I2710" s="18" t="s">
        <v>2154</v>
      </c>
      <c r="J2710" s="31" t="s">
        <v>105</v>
      </c>
      <c r="K2710" s="31"/>
      <c r="N2710" s="13" t="s">
        <v>30</v>
      </c>
      <c r="O2710" s="28" t="str">
        <f>IF(D2710="","",IF(COUNTIF(离职清单!C:C,D2710)&gt;0,"已离职","在职"))</f>
        <v>在职</v>
      </c>
      <c r="P2710" s="28" t="str">
        <f>IF(AND(O2710="在职",J2710="是"),COUNTIF(O$2:O2710,"在职"),"")</f>
        <v/>
      </c>
    </row>
    <row r="2711" ht="18" spans="1:16">
      <c r="A2711" s="14">
        <f t="shared" si="47"/>
        <v>2710</v>
      </c>
      <c r="B2711" s="31">
        <v>46179</v>
      </c>
      <c r="C2711" s="32" t="s">
        <v>2625</v>
      </c>
      <c r="D2711" s="120" t="s">
        <v>477</v>
      </c>
      <c r="E2711" s="33" t="s">
        <v>42</v>
      </c>
      <c r="F2711" s="18" t="s">
        <v>63</v>
      </c>
      <c r="G2711" s="18" t="s">
        <v>148</v>
      </c>
      <c r="H2711" s="34" t="s">
        <v>85</v>
      </c>
      <c r="I2711" s="18" t="s">
        <v>114</v>
      </c>
      <c r="J2711" s="31" t="s">
        <v>114</v>
      </c>
      <c r="K2711" s="31">
        <v>46182</v>
      </c>
      <c r="N2711" s="13" t="s">
        <v>30</v>
      </c>
      <c r="O2711" s="28" t="str">
        <f>IF(D2711="","",IF(COUNTIF(离职清单!C:C,D2711)&gt;0,"已离职","在职"))</f>
        <v>在职</v>
      </c>
      <c r="P2711" s="28">
        <f>IF(AND(O2711="在职",J2711="是"),COUNTIF(O$2:O2711,"在职"),"")</f>
        <v>2704</v>
      </c>
    </row>
    <row r="2712" ht="18" spans="1:16">
      <c r="A2712" s="10">
        <f t="shared" si="47"/>
        <v>2711</v>
      </c>
      <c r="B2712" s="31">
        <v>46179</v>
      </c>
      <c r="C2712" s="32" t="s">
        <v>2626</v>
      </c>
      <c r="D2712" s="120" t="s">
        <v>477</v>
      </c>
      <c r="E2712" s="33" t="s">
        <v>42</v>
      </c>
      <c r="F2712" s="18" t="s">
        <v>63</v>
      </c>
      <c r="G2712" s="18" t="s">
        <v>148</v>
      </c>
      <c r="H2712" s="34" t="s">
        <v>85</v>
      </c>
      <c r="I2712" s="18" t="s">
        <v>114</v>
      </c>
      <c r="J2712" s="31" t="s">
        <v>114</v>
      </c>
      <c r="K2712" s="31">
        <v>46182</v>
      </c>
      <c r="N2712" s="13" t="s">
        <v>30</v>
      </c>
      <c r="O2712" s="28" t="str">
        <f>IF(D2712="","",IF(COUNTIF(离职清单!C:C,D2712)&gt;0,"已离职","在职"))</f>
        <v>在职</v>
      </c>
      <c r="P2712" s="28">
        <f>IF(AND(O2712="在职",J2712="是"),COUNTIF(O$2:O2712,"在职"),"")</f>
        <v>2705</v>
      </c>
    </row>
    <row r="2713" ht="18" spans="1:16">
      <c r="A2713" s="14">
        <f t="shared" si="47"/>
        <v>2712</v>
      </c>
      <c r="B2713" s="31">
        <v>46179</v>
      </c>
      <c r="C2713" s="32" t="s">
        <v>2627</v>
      </c>
      <c r="D2713" s="120" t="s">
        <v>478</v>
      </c>
      <c r="E2713" s="33" t="s">
        <v>42</v>
      </c>
      <c r="F2713" s="18" t="s">
        <v>63</v>
      </c>
      <c r="G2713" s="18" t="s">
        <v>148</v>
      </c>
      <c r="H2713" s="34" t="s">
        <v>85</v>
      </c>
      <c r="I2713" s="18" t="s">
        <v>2154</v>
      </c>
      <c r="J2713" s="31" t="s">
        <v>105</v>
      </c>
      <c r="K2713" s="31"/>
      <c r="N2713" s="13" t="s">
        <v>30</v>
      </c>
      <c r="O2713" s="28" t="str">
        <f>IF(D2713="","",IF(COUNTIF(离职清单!C:C,D2713)&gt;0,"已离职","在职"))</f>
        <v>在职</v>
      </c>
      <c r="P2713" s="28" t="str">
        <f>IF(AND(O2713="在职",J2713="是"),COUNTIF(O$2:O2713,"在职"),"")</f>
        <v/>
      </c>
    </row>
    <row r="2714" ht="18" spans="1:16">
      <c r="A2714" s="10">
        <f t="shared" si="47"/>
        <v>2713</v>
      </c>
      <c r="B2714" s="31">
        <v>46179</v>
      </c>
      <c r="C2714" s="32" t="s">
        <v>1257</v>
      </c>
      <c r="D2714" s="120" t="s">
        <v>480</v>
      </c>
      <c r="E2714" s="33" t="s">
        <v>42</v>
      </c>
      <c r="F2714" s="18" t="s">
        <v>63</v>
      </c>
      <c r="G2714" s="18" t="s">
        <v>148</v>
      </c>
      <c r="H2714" s="34" t="s">
        <v>85</v>
      </c>
      <c r="I2714" s="18" t="s">
        <v>114</v>
      </c>
      <c r="J2714" s="31" t="s">
        <v>105</v>
      </c>
      <c r="K2714" s="31"/>
      <c r="N2714" s="13" t="s">
        <v>30</v>
      </c>
      <c r="O2714" s="28" t="str">
        <f>IF(D2714="","",IF(COUNTIF(离职清单!C:C,D2714)&gt;0,"已离职","在职"))</f>
        <v>在职</v>
      </c>
      <c r="P2714" s="28" t="str">
        <f>IF(AND(O2714="在职",J2714="是"),COUNTIF(O$2:O2714,"在职"),"")</f>
        <v/>
      </c>
    </row>
    <row r="2715" ht="18" spans="1:16">
      <c r="A2715" s="14">
        <f t="shared" si="47"/>
        <v>2714</v>
      </c>
      <c r="B2715" s="31">
        <v>46179</v>
      </c>
      <c r="C2715" s="32" t="s">
        <v>2628</v>
      </c>
      <c r="D2715" s="120" t="s">
        <v>482</v>
      </c>
      <c r="E2715" s="33" t="s">
        <v>42</v>
      </c>
      <c r="F2715" s="18" t="s">
        <v>64</v>
      </c>
      <c r="G2715" s="18" t="s">
        <v>148</v>
      </c>
      <c r="H2715" s="34" t="s">
        <v>85</v>
      </c>
      <c r="I2715" s="18" t="s">
        <v>114</v>
      </c>
      <c r="J2715" s="31" t="s">
        <v>105</v>
      </c>
      <c r="K2715" s="31"/>
      <c r="N2715" s="13" t="s">
        <v>30</v>
      </c>
      <c r="O2715" s="28" t="str">
        <f>IF(D2715="","",IF(COUNTIF(离职清单!C:C,D2715)&gt;0,"已离职","在职"))</f>
        <v>在职</v>
      </c>
      <c r="P2715" s="28" t="str">
        <f>IF(AND(O2715="在职",J2715="是"),COUNTIF(O$2:O2715,"在职"),"")</f>
        <v/>
      </c>
    </row>
    <row r="2716" ht="18" spans="1:16">
      <c r="A2716" s="10">
        <f t="shared" si="47"/>
        <v>2715</v>
      </c>
      <c r="B2716" s="31">
        <v>46179</v>
      </c>
      <c r="C2716" s="32" t="s">
        <v>2629</v>
      </c>
      <c r="D2716" s="120" t="s">
        <v>484</v>
      </c>
      <c r="E2716" s="33" t="s">
        <v>42</v>
      </c>
      <c r="F2716" s="18" t="s">
        <v>63</v>
      </c>
      <c r="G2716" s="18" t="s">
        <v>2174</v>
      </c>
      <c r="H2716" s="34" t="s">
        <v>85</v>
      </c>
      <c r="I2716" s="18" t="s">
        <v>2154</v>
      </c>
      <c r="J2716" s="31" t="s">
        <v>105</v>
      </c>
      <c r="K2716" s="31"/>
      <c r="N2716" s="13" t="s">
        <v>30</v>
      </c>
      <c r="O2716" s="28" t="str">
        <f>IF(D2716="","",IF(COUNTIF(离职清单!C:C,D2716)&gt;0,"已离职","在职"))</f>
        <v>在职</v>
      </c>
      <c r="P2716" s="28" t="str">
        <f>IF(AND(O2716="在职",J2716="是"),COUNTIF(O$2:O2716,"在职"),"")</f>
        <v/>
      </c>
    </row>
    <row r="2717" ht="18" spans="1:16">
      <c r="A2717" s="14">
        <f t="shared" si="47"/>
        <v>2716</v>
      </c>
      <c r="B2717" s="31">
        <v>46179</v>
      </c>
      <c r="C2717" s="32" t="s">
        <v>2630</v>
      </c>
      <c r="D2717" s="120" t="s">
        <v>486</v>
      </c>
      <c r="E2717" s="33" t="s">
        <v>42</v>
      </c>
      <c r="F2717" s="18" t="s">
        <v>62</v>
      </c>
      <c r="G2717" s="18" t="s">
        <v>2174</v>
      </c>
      <c r="H2717" s="34" t="s">
        <v>85</v>
      </c>
      <c r="I2717" s="18" t="s">
        <v>105</v>
      </c>
      <c r="J2717" s="31" t="s">
        <v>105</v>
      </c>
      <c r="K2717" s="31"/>
      <c r="N2717" s="13" t="s">
        <v>30</v>
      </c>
      <c r="O2717" s="28" t="str">
        <f>IF(D2717="","",IF(COUNTIF(离职清单!C:C,D2717)&gt;0,"已离职","在职"))</f>
        <v>在职</v>
      </c>
      <c r="P2717" s="28" t="str">
        <f>IF(AND(O2717="在职",J2717="是"),COUNTIF(O$2:O2717,"在职"),"")</f>
        <v/>
      </c>
    </row>
    <row r="2718" ht="18" spans="1:16">
      <c r="A2718" s="10">
        <f t="shared" si="47"/>
        <v>2717</v>
      </c>
      <c r="B2718" s="31">
        <v>46179</v>
      </c>
      <c r="C2718" s="32" t="s">
        <v>2631</v>
      </c>
      <c r="D2718" s="120" t="s">
        <v>488</v>
      </c>
      <c r="E2718" s="33" t="s">
        <v>42</v>
      </c>
      <c r="F2718" s="18" t="s">
        <v>64</v>
      </c>
      <c r="G2718" s="18" t="s">
        <v>2174</v>
      </c>
      <c r="H2718" s="34" t="s">
        <v>85</v>
      </c>
      <c r="I2718" s="18" t="s">
        <v>114</v>
      </c>
      <c r="J2718" s="31" t="s">
        <v>105</v>
      </c>
      <c r="K2718" s="31"/>
      <c r="N2718" s="13" t="s">
        <v>30</v>
      </c>
      <c r="O2718" s="28" t="str">
        <f>IF(D2718="","",IF(COUNTIF(离职清单!C:C,D2718)&gt;0,"已离职","在职"))</f>
        <v>在职</v>
      </c>
      <c r="P2718" s="28" t="str">
        <f>IF(AND(O2718="在职",J2718="是"),COUNTIF(O$2:O2718,"在职"),"")</f>
        <v/>
      </c>
    </row>
    <row r="2719" ht="18" spans="1:16">
      <c r="A2719" s="14">
        <f t="shared" si="47"/>
        <v>2718</v>
      </c>
      <c r="B2719" s="31">
        <v>46179</v>
      </c>
      <c r="C2719" s="32" t="s">
        <v>2632</v>
      </c>
      <c r="D2719" s="120" t="s">
        <v>490</v>
      </c>
      <c r="E2719" s="33" t="s">
        <v>42</v>
      </c>
      <c r="F2719" s="18" t="s">
        <v>63</v>
      </c>
      <c r="G2719" s="18" t="s">
        <v>2232</v>
      </c>
      <c r="H2719" s="34" t="s">
        <v>85</v>
      </c>
      <c r="I2719" s="18" t="s">
        <v>105</v>
      </c>
      <c r="J2719" s="31" t="s">
        <v>105</v>
      </c>
      <c r="K2719" s="31"/>
      <c r="N2719" s="13" t="s">
        <v>30</v>
      </c>
      <c r="O2719" s="28" t="str">
        <f>IF(D2719="","",IF(COUNTIF(离职清单!C:C,D2719)&gt;0,"已离职","在职"))</f>
        <v>在职</v>
      </c>
      <c r="P2719" s="28" t="str">
        <f>IF(AND(O2719="在职",J2719="是"),COUNTIF(O$2:O2719,"在职"),"")</f>
        <v/>
      </c>
    </row>
    <row r="2720" ht="18" spans="1:16">
      <c r="A2720" s="10">
        <f t="shared" si="47"/>
        <v>2719</v>
      </c>
      <c r="B2720" s="31">
        <v>46179</v>
      </c>
      <c r="C2720" s="32" t="s">
        <v>2633</v>
      </c>
      <c r="D2720" s="120" t="s">
        <v>492</v>
      </c>
      <c r="E2720" s="33" t="s">
        <v>42</v>
      </c>
      <c r="F2720" s="18" t="s">
        <v>63</v>
      </c>
      <c r="G2720" s="18" t="s">
        <v>2232</v>
      </c>
      <c r="H2720" s="34" t="s">
        <v>85</v>
      </c>
      <c r="I2720" s="18" t="s">
        <v>2154</v>
      </c>
      <c r="J2720" s="31" t="s">
        <v>105</v>
      </c>
      <c r="K2720" s="31"/>
      <c r="N2720" s="13" t="s">
        <v>30</v>
      </c>
      <c r="O2720" s="28" t="str">
        <f>IF(D2720="","",IF(COUNTIF(离职清单!C:C,D2720)&gt;0,"已离职","在职"))</f>
        <v>在职</v>
      </c>
      <c r="P2720" s="28" t="str">
        <f>IF(AND(O2720="在职",J2720="是"),COUNTIF(O$2:O2720,"在职"),"")</f>
        <v/>
      </c>
    </row>
    <row r="2721" ht="18" spans="1:16">
      <c r="A2721" s="14">
        <f t="shared" si="47"/>
        <v>2720</v>
      </c>
      <c r="B2721" s="31">
        <v>46179</v>
      </c>
      <c r="C2721" s="32" t="s">
        <v>2634</v>
      </c>
      <c r="D2721" s="120" t="s">
        <v>477</v>
      </c>
      <c r="E2721" s="33" t="s">
        <v>42</v>
      </c>
      <c r="F2721" s="18" t="s">
        <v>62</v>
      </c>
      <c r="G2721" s="18" t="s">
        <v>148</v>
      </c>
      <c r="H2721" s="34" t="s">
        <v>85</v>
      </c>
      <c r="I2721" s="18" t="s">
        <v>2154</v>
      </c>
      <c r="J2721" s="31" t="s">
        <v>105</v>
      </c>
      <c r="K2721" s="31"/>
      <c r="N2721" s="13" t="s">
        <v>30</v>
      </c>
      <c r="O2721" s="28" t="str">
        <f>IF(D2721="","",IF(COUNTIF(离职清单!C:C,D2721)&gt;0,"已离职","在职"))</f>
        <v>在职</v>
      </c>
      <c r="P2721" s="28" t="str">
        <f>IF(AND(O2721="在职",J2721="是"),COUNTIF(O$2:O2721,"在职"),"")</f>
        <v/>
      </c>
    </row>
    <row r="2722" ht="18" spans="1:16">
      <c r="A2722" s="10">
        <f t="shared" si="47"/>
        <v>2721</v>
      </c>
      <c r="B2722" s="31">
        <v>46179</v>
      </c>
      <c r="C2722" s="32" t="s">
        <v>2635</v>
      </c>
      <c r="D2722" s="120" t="s">
        <v>478</v>
      </c>
      <c r="E2722" s="33" t="s">
        <v>42</v>
      </c>
      <c r="F2722" s="18" t="s">
        <v>62</v>
      </c>
      <c r="G2722" s="18" t="s">
        <v>148</v>
      </c>
      <c r="H2722" s="34" t="s">
        <v>85</v>
      </c>
      <c r="I2722" s="18" t="s">
        <v>114</v>
      </c>
      <c r="J2722" s="31" t="s">
        <v>105</v>
      </c>
      <c r="K2722" s="31"/>
      <c r="N2722" s="13" t="s">
        <v>30</v>
      </c>
      <c r="O2722" s="28" t="str">
        <f>IF(D2722="","",IF(COUNTIF(离职清单!C:C,D2722)&gt;0,"已离职","在职"))</f>
        <v>在职</v>
      </c>
      <c r="P2722" s="28" t="str">
        <f>IF(AND(O2722="在职",J2722="是"),COUNTIF(O$2:O2722,"在职"),"")</f>
        <v/>
      </c>
    </row>
    <row r="2723" ht="18" spans="1:16">
      <c r="A2723" s="14">
        <f t="shared" si="47"/>
        <v>2722</v>
      </c>
      <c r="B2723" s="31">
        <v>46179</v>
      </c>
      <c r="C2723" s="32" t="s">
        <v>2636</v>
      </c>
      <c r="D2723" s="120" t="s">
        <v>480</v>
      </c>
      <c r="E2723" s="33" t="s">
        <v>42</v>
      </c>
      <c r="F2723" s="18" t="s">
        <v>63</v>
      </c>
      <c r="G2723" s="18" t="s">
        <v>148</v>
      </c>
      <c r="H2723" s="34" t="s">
        <v>85</v>
      </c>
      <c r="I2723" s="18" t="s">
        <v>114</v>
      </c>
      <c r="J2723" s="31" t="s">
        <v>105</v>
      </c>
      <c r="K2723" s="31"/>
      <c r="N2723" s="13" t="s">
        <v>30</v>
      </c>
      <c r="O2723" s="28" t="str">
        <f>IF(D2723="","",IF(COUNTIF(离职清单!C:C,D2723)&gt;0,"已离职","在职"))</f>
        <v>在职</v>
      </c>
      <c r="P2723" s="28" t="str">
        <f>IF(AND(O2723="在职",J2723="是"),COUNTIF(O$2:O2723,"在职"),"")</f>
        <v/>
      </c>
    </row>
    <row r="2724" ht="18" spans="1:16">
      <c r="A2724" s="10">
        <f t="shared" si="47"/>
        <v>2723</v>
      </c>
      <c r="B2724" s="31">
        <v>46179</v>
      </c>
      <c r="C2724" s="32" t="s">
        <v>2637</v>
      </c>
      <c r="D2724" s="120" t="s">
        <v>482</v>
      </c>
      <c r="E2724" s="33" t="s">
        <v>42</v>
      </c>
      <c r="F2724" s="18" t="s">
        <v>63</v>
      </c>
      <c r="G2724" s="18" t="s">
        <v>148</v>
      </c>
      <c r="H2724" s="34" t="s">
        <v>85</v>
      </c>
      <c r="I2724" s="18" t="s">
        <v>105</v>
      </c>
      <c r="J2724" s="31" t="s">
        <v>105</v>
      </c>
      <c r="K2724" s="31"/>
      <c r="N2724" s="13" t="s">
        <v>30</v>
      </c>
      <c r="O2724" s="28" t="str">
        <f>IF(D2724="","",IF(COUNTIF(离职清单!C:C,D2724)&gt;0,"已离职","在职"))</f>
        <v>在职</v>
      </c>
      <c r="P2724" s="28" t="str">
        <f>IF(AND(O2724="在职",J2724="是"),COUNTIF(O$2:O2724,"在职"),"")</f>
        <v/>
      </c>
    </row>
    <row r="2725" ht="18" spans="1:16">
      <c r="A2725" s="14">
        <f t="shared" si="47"/>
        <v>2724</v>
      </c>
      <c r="B2725" s="31">
        <v>46179</v>
      </c>
      <c r="C2725" s="32" t="s">
        <v>2638</v>
      </c>
      <c r="D2725" s="120" t="s">
        <v>484</v>
      </c>
      <c r="E2725" s="33" t="s">
        <v>42</v>
      </c>
      <c r="F2725" s="18" t="s">
        <v>63</v>
      </c>
      <c r="G2725" s="18" t="s">
        <v>148</v>
      </c>
      <c r="H2725" s="34" t="s">
        <v>85</v>
      </c>
      <c r="I2725" s="18" t="s">
        <v>2154</v>
      </c>
      <c r="J2725" s="31" t="s">
        <v>105</v>
      </c>
      <c r="K2725" s="31"/>
      <c r="N2725" s="13" t="s">
        <v>30</v>
      </c>
      <c r="O2725" s="28" t="str">
        <f>IF(D2725="","",IF(COUNTIF(离职清单!C:C,D2725)&gt;0,"已离职","在职"))</f>
        <v>在职</v>
      </c>
      <c r="P2725" s="28" t="str">
        <f>IF(AND(O2725="在职",J2725="是"),COUNTIF(O$2:O2725,"在职"),"")</f>
        <v/>
      </c>
    </row>
    <row r="2726" ht="18" spans="1:16">
      <c r="A2726" s="10">
        <f t="shared" si="47"/>
        <v>2725</v>
      </c>
      <c r="B2726" s="31">
        <v>46179</v>
      </c>
      <c r="C2726" s="32" t="s">
        <v>2639</v>
      </c>
      <c r="D2726" s="120" t="s">
        <v>486</v>
      </c>
      <c r="E2726" s="33" t="s">
        <v>42</v>
      </c>
      <c r="F2726" s="18" t="s">
        <v>63</v>
      </c>
      <c r="G2726" s="18" t="s">
        <v>2174</v>
      </c>
      <c r="H2726" s="34" t="s">
        <v>85</v>
      </c>
      <c r="I2726" s="18" t="s">
        <v>2154</v>
      </c>
      <c r="J2726" s="31" t="s">
        <v>105</v>
      </c>
      <c r="K2726" s="31"/>
      <c r="N2726" s="13" t="s">
        <v>30</v>
      </c>
      <c r="O2726" s="28" t="str">
        <f>IF(D2726="","",IF(COUNTIF(离职清单!C:C,D2726)&gt;0,"已离职","在职"))</f>
        <v>在职</v>
      </c>
      <c r="P2726" s="28" t="str">
        <f>IF(AND(O2726="在职",J2726="是"),COUNTIF(O$2:O2726,"在职"),"")</f>
        <v/>
      </c>
    </row>
    <row r="2727" ht="18" spans="1:16">
      <c r="A2727" s="14">
        <f t="shared" si="47"/>
        <v>2726</v>
      </c>
      <c r="B2727" s="31">
        <v>46179</v>
      </c>
      <c r="C2727" s="32" t="s">
        <v>2640</v>
      </c>
      <c r="D2727" s="120" t="s">
        <v>488</v>
      </c>
      <c r="E2727" s="33" t="s">
        <v>43</v>
      </c>
      <c r="F2727" s="18" t="s">
        <v>62</v>
      </c>
      <c r="G2727" s="18" t="s">
        <v>2164</v>
      </c>
      <c r="H2727" s="34" t="s">
        <v>85</v>
      </c>
      <c r="I2727" s="18" t="s">
        <v>114</v>
      </c>
      <c r="J2727" s="31" t="s">
        <v>114</v>
      </c>
      <c r="K2727" s="31">
        <v>46187</v>
      </c>
      <c r="N2727" s="13" t="s">
        <v>30</v>
      </c>
      <c r="O2727" s="28" t="str">
        <f>IF(D2727="","",IF(COUNTIF(离职清单!C:C,D2727)&gt;0,"已离职","在职"))</f>
        <v>在职</v>
      </c>
      <c r="P2727" s="28">
        <f>IF(AND(O2727="在职",J2727="是"),COUNTIF(O$2:O2727,"在职"),"")</f>
        <v>2720</v>
      </c>
    </row>
    <row r="2728" ht="18" spans="1:16">
      <c r="A2728" s="10">
        <f t="shared" si="47"/>
        <v>2727</v>
      </c>
      <c r="B2728" s="31">
        <v>46179</v>
      </c>
      <c r="C2728" s="32" t="s">
        <v>2641</v>
      </c>
      <c r="D2728" s="120" t="s">
        <v>490</v>
      </c>
      <c r="E2728" s="33" t="s">
        <v>43</v>
      </c>
      <c r="F2728" s="18" t="s">
        <v>64</v>
      </c>
      <c r="G2728" s="18" t="s">
        <v>2164</v>
      </c>
      <c r="H2728" s="34" t="s">
        <v>85</v>
      </c>
      <c r="I2728" s="18" t="s">
        <v>114</v>
      </c>
      <c r="J2728" s="31" t="s">
        <v>105</v>
      </c>
      <c r="K2728" s="31"/>
      <c r="N2728" s="13" t="s">
        <v>30</v>
      </c>
      <c r="O2728" s="28" t="str">
        <f>IF(D2728="","",IF(COUNTIF(离职清单!C:C,D2728)&gt;0,"已离职","在职"))</f>
        <v>在职</v>
      </c>
      <c r="P2728" s="28" t="str">
        <f>IF(AND(O2728="在职",J2728="是"),COUNTIF(O$2:O2728,"在职"),"")</f>
        <v/>
      </c>
    </row>
    <row r="2729" ht="18" spans="1:16">
      <c r="A2729" s="14">
        <f t="shared" si="47"/>
        <v>2728</v>
      </c>
      <c r="B2729" s="31">
        <v>46179</v>
      </c>
      <c r="C2729" s="32" t="s">
        <v>2642</v>
      </c>
      <c r="D2729" s="120" t="s">
        <v>492</v>
      </c>
      <c r="E2729" s="33" t="s">
        <v>43</v>
      </c>
      <c r="F2729" s="18" t="s">
        <v>63</v>
      </c>
      <c r="G2729" s="18" t="s">
        <v>2164</v>
      </c>
      <c r="H2729" s="34" t="s">
        <v>85</v>
      </c>
      <c r="I2729" s="18" t="s">
        <v>2154</v>
      </c>
      <c r="J2729" s="31" t="s">
        <v>105</v>
      </c>
      <c r="K2729" s="31"/>
      <c r="N2729" s="13" t="s">
        <v>30</v>
      </c>
      <c r="O2729" s="28" t="str">
        <f>IF(D2729="","",IF(COUNTIF(离职清单!C:C,D2729)&gt;0,"已离职","在职"))</f>
        <v>在职</v>
      </c>
      <c r="P2729" s="28" t="str">
        <f>IF(AND(O2729="在职",J2729="是"),COUNTIF(O$2:O2729,"在职"),"")</f>
        <v/>
      </c>
    </row>
    <row r="2730" ht="18" spans="1:16">
      <c r="A2730" s="10">
        <f t="shared" si="47"/>
        <v>2729</v>
      </c>
      <c r="B2730" s="31">
        <v>46179</v>
      </c>
      <c r="C2730" s="32" t="s">
        <v>2643</v>
      </c>
      <c r="D2730" s="120" t="s">
        <v>477</v>
      </c>
      <c r="E2730" s="33" t="s">
        <v>43</v>
      </c>
      <c r="F2730" s="18" t="s">
        <v>62</v>
      </c>
      <c r="G2730" s="18" t="s">
        <v>2164</v>
      </c>
      <c r="H2730" s="34" t="s">
        <v>85</v>
      </c>
      <c r="I2730" s="18" t="s">
        <v>2154</v>
      </c>
      <c r="J2730" s="31" t="s">
        <v>105</v>
      </c>
      <c r="K2730" s="31"/>
      <c r="N2730" s="13" t="s">
        <v>30</v>
      </c>
      <c r="O2730" s="28" t="str">
        <f>IF(D2730="","",IF(COUNTIF(离职清单!C:C,D2730)&gt;0,"已离职","在职"))</f>
        <v>在职</v>
      </c>
      <c r="P2730" s="28" t="str">
        <f>IF(AND(O2730="在职",J2730="是"),COUNTIF(O$2:O2730,"在职"),"")</f>
        <v/>
      </c>
    </row>
    <row r="2731" ht="18" spans="1:16">
      <c r="A2731" s="14">
        <f t="shared" si="47"/>
        <v>2730</v>
      </c>
      <c r="B2731" s="31">
        <v>46179</v>
      </c>
      <c r="C2731" s="32" t="s">
        <v>2644</v>
      </c>
      <c r="D2731" s="120" t="s">
        <v>478</v>
      </c>
      <c r="E2731" s="33" t="s">
        <v>43</v>
      </c>
      <c r="F2731" s="18" t="s">
        <v>62</v>
      </c>
      <c r="G2731" s="18" t="s">
        <v>2164</v>
      </c>
      <c r="H2731" s="34" t="s">
        <v>85</v>
      </c>
      <c r="I2731" s="18" t="s">
        <v>2154</v>
      </c>
      <c r="J2731" s="31" t="s">
        <v>105</v>
      </c>
      <c r="K2731" s="31"/>
      <c r="N2731" s="13" t="s">
        <v>30</v>
      </c>
      <c r="O2731" s="28" t="str">
        <f>IF(D2731="","",IF(COUNTIF(离职清单!C:C,D2731)&gt;0,"已离职","在职"))</f>
        <v>在职</v>
      </c>
      <c r="P2731" s="28" t="str">
        <f>IF(AND(O2731="在职",J2731="是"),COUNTIF(O$2:O2731,"在职"),"")</f>
        <v/>
      </c>
    </row>
    <row r="2732" ht="18" spans="1:16">
      <c r="A2732" s="10">
        <f t="shared" ref="A2732:A2795" si="48">IF(B2732&lt;&gt;"",ROW()-1,"")</f>
        <v>2731</v>
      </c>
      <c r="B2732" s="31">
        <v>46179</v>
      </c>
      <c r="C2732" s="32" t="s">
        <v>437</v>
      </c>
      <c r="D2732" s="120" t="s">
        <v>480</v>
      </c>
      <c r="E2732" s="33" t="s">
        <v>43</v>
      </c>
      <c r="F2732" s="18" t="s">
        <v>63</v>
      </c>
      <c r="G2732" s="18" t="s">
        <v>2164</v>
      </c>
      <c r="H2732" s="34" t="s">
        <v>85</v>
      </c>
      <c r="I2732" s="18" t="s">
        <v>114</v>
      </c>
      <c r="J2732" s="31" t="s">
        <v>114</v>
      </c>
      <c r="K2732" s="31">
        <v>46181</v>
      </c>
      <c r="N2732" s="13" t="s">
        <v>30</v>
      </c>
      <c r="O2732" s="28" t="str">
        <f>IF(D2732="","",IF(COUNTIF(离职清单!C:C,D2732)&gt;0,"已离职","在职"))</f>
        <v>在职</v>
      </c>
      <c r="P2732" s="28">
        <f>IF(AND(O2732="在职",J2732="是"),COUNTIF(O$2:O2732,"在职"),"")</f>
        <v>2725</v>
      </c>
    </row>
    <row r="2733" ht="18" spans="1:16">
      <c r="A2733" s="14">
        <f t="shared" si="48"/>
        <v>2732</v>
      </c>
      <c r="B2733" s="31">
        <v>46179</v>
      </c>
      <c r="C2733" s="32" t="s">
        <v>2645</v>
      </c>
      <c r="D2733" s="120" t="s">
        <v>482</v>
      </c>
      <c r="E2733" s="33" t="s">
        <v>43</v>
      </c>
      <c r="F2733" s="18" t="s">
        <v>63</v>
      </c>
      <c r="G2733" s="18" t="s">
        <v>2164</v>
      </c>
      <c r="H2733" s="34" t="s">
        <v>85</v>
      </c>
      <c r="I2733" s="18" t="s">
        <v>114</v>
      </c>
      <c r="J2733" s="31" t="s">
        <v>105</v>
      </c>
      <c r="K2733" s="31"/>
      <c r="N2733" s="13" t="s">
        <v>30</v>
      </c>
      <c r="O2733" s="28" t="str">
        <f>IF(D2733="","",IF(COUNTIF(离职清单!C:C,D2733)&gt;0,"已离职","在职"))</f>
        <v>在职</v>
      </c>
      <c r="P2733" s="28" t="str">
        <f>IF(AND(O2733="在职",J2733="是"),COUNTIF(O$2:O2733,"在职"),"")</f>
        <v/>
      </c>
    </row>
    <row r="2734" ht="18" spans="1:16">
      <c r="A2734" s="10">
        <f t="shared" si="48"/>
        <v>2733</v>
      </c>
      <c r="B2734" s="31">
        <v>46179</v>
      </c>
      <c r="C2734" s="32" t="s">
        <v>2420</v>
      </c>
      <c r="D2734" s="120" t="s">
        <v>484</v>
      </c>
      <c r="E2734" s="33" t="s">
        <v>43</v>
      </c>
      <c r="F2734" s="18" t="s">
        <v>63</v>
      </c>
      <c r="G2734" s="18" t="s">
        <v>2164</v>
      </c>
      <c r="H2734" s="34" t="s">
        <v>85</v>
      </c>
      <c r="I2734" s="18" t="s">
        <v>114</v>
      </c>
      <c r="J2734" s="31" t="s">
        <v>114</v>
      </c>
      <c r="K2734" s="31">
        <v>46180</v>
      </c>
      <c r="N2734" s="13" t="s">
        <v>30</v>
      </c>
      <c r="O2734" s="28" t="str">
        <f>IF(D2734="","",IF(COUNTIF(离职清单!C:C,D2734)&gt;0,"已离职","在职"))</f>
        <v>在职</v>
      </c>
      <c r="P2734" s="28">
        <f>IF(AND(O2734="在职",J2734="是"),COUNTIF(O$2:O2734,"在职"),"")</f>
        <v>2727</v>
      </c>
    </row>
    <row r="2735" ht="18" spans="1:16">
      <c r="A2735" s="14">
        <f t="shared" si="48"/>
        <v>2734</v>
      </c>
      <c r="B2735" s="31">
        <v>46179</v>
      </c>
      <c r="C2735" s="32" t="s">
        <v>2646</v>
      </c>
      <c r="D2735" s="120" t="s">
        <v>486</v>
      </c>
      <c r="E2735" s="33" t="s">
        <v>43</v>
      </c>
      <c r="F2735" s="18" t="s">
        <v>63</v>
      </c>
      <c r="G2735" s="18" t="s">
        <v>2164</v>
      </c>
      <c r="H2735" s="34" t="s">
        <v>85</v>
      </c>
      <c r="I2735" s="18" t="s">
        <v>2154</v>
      </c>
      <c r="J2735" s="31" t="s">
        <v>105</v>
      </c>
      <c r="K2735" s="31"/>
      <c r="N2735" s="13" t="s">
        <v>30</v>
      </c>
      <c r="O2735" s="28" t="str">
        <f>IF(D2735="","",IF(COUNTIF(离职清单!C:C,D2735)&gt;0,"已离职","在职"))</f>
        <v>在职</v>
      </c>
      <c r="P2735" s="28" t="str">
        <f>IF(AND(O2735="在职",J2735="是"),COUNTIF(O$2:O2735,"在职"),"")</f>
        <v/>
      </c>
    </row>
    <row r="2736" ht="18" spans="1:16">
      <c r="A2736" s="10">
        <f t="shared" si="48"/>
        <v>2735</v>
      </c>
      <c r="B2736" s="31">
        <v>46179</v>
      </c>
      <c r="C2736" s="32" t="s">
        <v>2647</v>
      </c>
      <c r="D2736" s="120" t="s">
        <v>488</v>
      </c>
      <c r="E2736" s="33" t="s">
        <v>43</v>
      </c>
      <c r="F2736" s="18" t="s">
        <v>63</v>
      </c>
      <c r="G2736" s="18" t="s">
        <v>2164</v>
      </c>
      <c r="H2736" s="34" t="s">
        <v>85</v>
      </c>
      <c r="I2736" s="18" t="s">
        <v>114</v>
      </c>
      <c r="J2736" s="31" t="s">
        <v>114</v>
      </c>
      <c r="K2736" s="31">
        <v>46181</v>
      </c>
      <c r="N2736" s="13" t="s">
        <v>30</v>
      </c>
      <c r="O2736" s="28" t="str">
        <f>IF(D2736="","",IF(COUNTIF(离职清单!C:C,D2736)&gt;0,"已离职","在职"))</f>
        <v>在职</v>
      </c>
      <c r="P2736" s="28">
        <f>IF(AND(O2736="在职",J2736="是"),COUNTIF(O$2:O2736,"在职"),"")</f>
        <v>2729</v>
      </c>
    </row>
    <row r="2737" ht="18" spans="1:16">
      <c r="A2737" s="14">
        <f t="shared" si="48"/>
        <v>2736</v>
      </c>
      <c r="B2737" s="31">
        <v>46179</v>
      </c>
      <c r="C2737" s="32" t="s">
        <v>2648</v>
      </c>
      <c r="D2737" s="120" t="s">
        <v>490</v>
      </c>
      <c r="E2737" s="33" t="s">
        <v>43</v>
      </c>
      <c r="F2737" s="18" t="s">
        <v>63</v>
      </c>
      <c r="G2737" s="18" t="s">
        <v>2164</v>
      </c>
      <c r="H2737" s="34" t="s">
        <v>85</v>
      </c>
      <c r="I2737" s="18" t="s">
        <v>114</v>
      </c>
      <c r="J2737" s="31" t="s">
        <v>114</v>
      </c>
      <c r="K2737" s="31">
        <v>46182</v>
      </c>
      <c r="N2737" s="13" t="s">
        <v>30</v>
      </c>
      <c r="O2737" s="28" t="str">
        <f>IF(D2737="","",IF(COUNTIF(离职清单!C:C,D2737)&gt;0,"已离职","在职"))</f>
        <v>在职</v>
      </c>
      <c r="P2737" s="28">
        <f>IF(AND(O2737="在职",J2737="是"),COUNTIF(O$2:O2737,"在职"),"")</f>
        <v>2730</v>
      </c>
    </row>
    <row r="2738" ht="18" spans="1:16">
      <c r="A2738" s="10">
        <f t="shared" si="48"/>
        <v>2737</v>
      </c>
      <c r="B2738" s="31">
        <v>46179</v>
      </c>
      <c r="C2738" s="32" t="s">
        <v>2367</v>
      </c>
      <c r="D2738" s="120" t="s">
        <v>492</v>
      </c>
      <c r="E2738" s="33" t="s">
        <v>43</v>
      </c>
      <c r="F2738" s="18" t="s">
        <v>63</v>
      </c>
      <c r="G2738" s="18" t="s">
        <v>2181</v>
      </c>
      <c r="H2738" s="34" t="s">
        <v>85</v>
      </c>
      <c r="I2738" s="18" t="s">
        <v>2154</v>
      </c>
      <c r="J2738" s="31" t="s">
        <v>105</v>
      </c>
      <c r="K2738" s="31"/>
      <c r="N2738" s="13" t="s">
        <v>30</v>
      </c>
      <c r="O2738" s="28" t="str">
        <f>IF(D2738="","",IF(COUNTIF(离职清单!C:C,D2738)&gt;0,"已离职","在职"))</f>
        <v>在职</v>
      </c>
      <c r="P2738" s="28" t="str">
        <f>IF(AND(O2738="在职",J2738="是"),COUNTIF(O$2:O2738,"在职"),"")</f>
        <v/>
      </c>
    </row>
    <row r="2739" ht="18" spans="1:16">
      <c r="A2739" s="14">
        <f t="shared" si="48"/>
        <v>2738</v>
      </c>
      <c r="B2739" s="31">
        <v>46179</v>
      </c>
      <c r="C2739" s="32" t="s">
        <v>2649</v>
      </c>
      <c r="D2739" s="120" t="s">
        <v>477</v>
      </c>
      <c r="E2739" s="33" t="s">
        <v>43</v>
      </c>
      <c r="F2739" s="18" t="s">
        <v>63</v>
      </c>
      <c r="G2739" s="18" t="s">
        <v>2181</v>
      </c>
      <c r="H2739" s="34" t="s">
        <v>85</v>
      </c>
      <c r="I2739" s="18" t="s">
        <v>114</v>
      </c>
      <c r="J2739" s="31" t="s">
        <v>114</v>
      </c>
      <c r="K2739" s="31">
        <v>46185</v>
      </c>
      <c r="N2739" s="13" t="s">
        <v>30</v>
      </c>
      <c r="O2739" s="28" t="str">
        <f>IF(D2739="","",IF(COUNTIF(离职清单!C:C,D2739)&gt;0,"已离职","在职"))</f>
        <v>在职</v>
      </c>
      <c r="P2739" s="28">
        <f>IF(AND(O2739="在职",J2739="是"),COUNTIF(O$2:O2739,"在职"),"")</f>
        <v>2732</v>
      </c>
    </row>
    <row r="2740" ht="18" spans="1:16">
      <c r="A2740" s="10">
        <f t="shared" si="48"/>
        <v>2739</v>
      </c>
      <c r="B2740" s="31">
        <v>46179</v>
      </c>
      <c r="C2740" s="32" t="s">
        <v>2650</v>
      </c>
      <c r="D2740" s="120" t="s">
        <v>478</v>
      </c>
      <c r="E2740" s="33" t="s">
        <v>43</v>
      </c>
      <c r="F2740" s="18" t="s">
        <v>62</v>
      </c>
      <c r="G2740" s="18" t="s">
        <v>2232</v>
      </c>
      <c r="H2740" s="34" t="s">
        <v>85</v>
      </c>
      <c r="I2740" s="18" t="s">
        <v>2154</v>
      </c>
      <c r="J2740" s="31" t="s">
        <v>105</v>
      </c>
      <c r="K2740" s="31"/>
      <c r="N2740" s="13" t="s">
        <v>30</v>
      </c>
      <c r="O2740" s="28" t="str">
        <f>IF(D2740="","",IF(COUNTIF(离职清单!C:C,D2740)&gt;0,"已离职","在职"))</f>
        <v>在职</v>
      </c>
      <c r="P2740" s="28" t="str">
        <f>IF(AND(O2740="在职",J2740="是"),COUNTIF(O$2:O2740,"在职"),"")</f>
        <v/>
      </c>
    </row>
    <row r="2741" ht="18" spans="1:16">
      <c r="A2741" s="14">
        <f t="shared" si="48"/>
        <v>2740</v>
      </c>
      <c r="B2741" s="31">
        <v>46179</v>
      </c>
      <c r="C2741" s="32" t="s">
        <v>2651</v>
      </c>
      <c r="D2741" s="120" t="s">
        <v>480</v>
      </c>
      <c r="E2741" s="33" t="s">
        <v>43</v>
      </c>
      <c r="F2741" s="18" t="s">
        <v>63</v>
      </c>
      <c r="G2741" s="18" t="s">
        <v>2232</v>
      </c>
      <c r="H2741" s="34" t="s">
        <v>85</v>
      </c>
      <c r="I2741" s="18" t="s">
        <v>114</v>
      </c>
      <c r="J2741" s="31" t="s">
        <v>114</v>
      </c>
      <c r="K2741" s="31">
        <v>46180</v>
      </c>
      <c r="N2741" s="13" t="s">
        <v>30</v>
      </c>
      <c r="O2741" s="28" t="str">
        <f>IF(D2741="","",IF(COUNTIF(离职清单!C:C,D2741)&gt;0,"已离职","在职"))</f>
        <v>在职</v>
      </c>
      <c r="P2741" s="28">
        <f>IF(AND(O2741="在职",J2741="是"),COUNTIF(O$2:O2741,"在职"),"")</f>
        <v>2734</v>
      </c>
    </row>
    <row r="2742" ht="18" spans="1:16">
      <c r="A2742" s="10">
        <f t="shared" si="48"/>
        <v>2741</v>
      </c>
      <c r="B2742" s="31">
        <v>46179</v>
      </c>
      <c r="C2742" s="32" t="s">
        <v>2652</v>
      </c>
      <c r="D2742" s="120" t="s">
        <v>482</v>
      </c>
      <c r="E2742" s="33" t="s">
        <v>43</v>
      </c>
      <c r="F2742" s="18" t="s">
        <v>62</v>
      </c>
      <c r="G2742" s="18" t="s">
        <v>129</v>
      </c>
      <c r="H2742" s="34" t="s">
        <v>85</v>
      </c>
      <c r="I2742" s="18" t="s">
        <v>2154</v>
      </c>
      <c r="J2742" s="31" t="s">
        <v>105</v>
      </c>
      <c r="K2742" s="31"/>
      <c r="N2742" s="13" t="s">
        <v>30</v>
      </c>
      <c r="O2742" s="28" t="str">
        <f>IF(D2742="","",IF(COUNTIF(离职清单!C:C,D2742)&gt;0,"已离职","在职"))</f>
        <v>在职</v>
      </c>
      <c r="P2742" s="28" t="str">
        <f>IF(AND(O2742="在职",J2742="是"),COUNTIF(O$2:O2742,"在职"),"")</f>
        <v/>
      </c>
    </row>
    <row r="2743" ht="18" spans="1:16">
      <c r="A2743" s="14">
        <f t="shared" si="48"/>
        <v>2742</v>
      </c>
      <c r="B2743" s="31">
        <v>46179</v>
      </c>
      <c r="C2743" s="32" t="s">
        <v>2653</v>
      </c>
      <c r="D2743" s="120" t="s">
        <v>484</v>
      </c>
      <c r="E2743" s="33" t="s">
        <v>43</v>
      </c>
      <c r="F2743" s="18" t="s">
        <v>63</v>
      </c>
      <c r="G2743" s="18" t="s">
        <v>129</v>
      </c>
      <c r="H2743" s="34" t="s">
        <v>85</v>
      </c>
      <c r="I2743" s="18" t="s">
        <v>114</v>
      </c>
      <c r="J2743" s="31" t="s">
        <v>114</v>
      </c>
      <c r="K2743" s="31">
        <v>46182</v>
      </c>
      <c r="N2743" s="13" t="s">
        <v>30</v>
      </c>
      <c r="O2743" s="28" t="str">
        <f>IF(D2743="","",IF(COUNTIF(离职清单!C:C,D2743)&gt;0,"已离职","在职"))</f>
        <v>在职</v>
      </c>
      <c r="P2743" s="28">
        <f>IF(AND(O2743="在职",J2743="是"),COUNTIF(O$2:O2743,"在职"),"")</f>
        <v>2736</v>
      </c>
    </row>
    <row r="2744" ht="18" spans="1:16">
      <c r="A2744" s="10">
        <f t="shared" si="48"/>
        <v>2743</v>
      </c>
      <c r="B2744" s="31">
        <v>46179</v>
      </c>
      <c r="C2744" s="32" t="s">
        <v>2552</v>
      </c>
      <c r="D2744" s="120" t="s">
        <v>486</v>
      </c>
      <c r="E2744" s="33" t="s">
        <v>43</v>
      </c>
      <c r="F2744" s="18" t="s">
        <v>63</v>
      </c>
      <c r="G2744" s="18" t="s">
        <v>129</v>
      </c>
      <c r="H2744" s="34" t="s">
        <v>85</v>
      </c>
      <c r="I2744" s="18" t="s">
        <v>114</v>
      </c>
      <c r="J2744" s="31" t="s">
        <v>105</v>
      </c>
      <c r="K2744" s="31"/>
      <c r="N2744" s="13" t="s">
        <v>30</v>
      </c>
      <c r="O2744" s="28" t="str">
        <f>IF(D2744="","",IF(COUNTIF(离职清单!C:C,D2744)&gt;0,"已离职","在职"))</f>
        <v>在职</v>
      </c>
      <c r="P2744" s="28" t="str">
        <f>IF(AND(O2744="在职",J2744="是"),COUNTIF(O$2:O2744,"在职"),"")</f>
        <v/>
      </c>
    </row>
    <row r="2745" ht="18" spans="1:16">
      <c r="A2745" s="14">
        <f t="shared" si="48"/>
        <v>2744</v>
      </c>
      <c r="B2745" s="31">
        <v>46179</v>
      </c>
      <c r="C2745" s="32" t="s">
        <v>2654</v>
      </c>
      <c r="D2745" s="120" t="s">
        <v>488</v>
      </c>
      <c r="E2745" s="33" t="s">
        <v>43</v>
      </c>
      <c r="F2745" s="18" t="s">
        <v>63</v>
      </c>
      <c r="G2745" s="18" t="s">
        <v>129</v>
      </c>
      <c r="H2745" s="34" t="s">
        <v>85</v>
      </c>
      <c r="I2745" s="18" t="s">
        <v>114</v>
      </c>
      <c r="J2745" s="31" t="s">
        <v>114</v>
      </c>
      <c r="K2745" s="31">
        <v>46183</v>
      </c>
      <c r="N2745" s="13" t="s">
        <v>30</v>
      </c>
      <c r="O2745" s="28" t="str">
        <f>IF(D2745="","",IF(COUNTIF(离职清单!C:C,D2745)&gt;0,"已离职","在职"))</f>
        <v>在职</v>
      </c>
      <c r="P2745" s="28">
        <f>IF(AND(O2745="在职",J2745="是"),COUNTIF(O$2:O2745,"在职"),"")</f>
        <v>2738</v>
      </c>
    </row>
    <row r="2746" ht="18" spans="1:16">
      <c r="A2746" s="10">
        <f t="shared" si="48"/>
        <v>2745</v>
      </c>
      <c r="B2746" s="31">
        <v>46179</v>
      </c>
      <c r="C2746" s="32" t="s">
        <v>2528</v>
      </c>
      <c r="D2746" s="120" t="s">
        <v>490</v>
      </c>
      <c r="E2746" s="33" t="s">
        <v>43</v>
      </c>
      <c r="F2746" s="18" t="s">
        <v>63</v>
      </c>
      <c r="G2746" s="18" t="s">
        <v>2164</v>
      </c>
      <c r="H2746" s="34" t="s">
        <v>85</v>
      </c>
      <c r="I2746" s="18" t="s">
        <v>2154</v>
      </c>
      <c r="J2746" s="31" t="s">
        <v>105</v>
      </c>
      <c r="K2746" s="31"/>
      <c r="N2746" s="13" t="s">
        <v>30</v>
      </c>
      <c r="O2746" s="28" t="str">
        <f>IF(D2746="","",IF(COUNTIF(离职清单!C:C,D2746)&gt;0,"已离职","在职"))</f>
        <v>在职</v>
      </c>
      <c r="P2746" s="28" t="str">
        <f>IF(AND(O2746="在职",J2746="是"),COUNTIF(O$2:O2746,"在职"),"")</f>
        <v/>
      </c>
    </row>
    <row r="2747" ht="18" spans="1:16">
      <c r="A2747" s="14">
        <f t="shared" si="48"/>
        <v>2746</v>
      </c>
      <c r="B2747" s="31">
        <v>46179</v>
      </c>
      <c r="C2747" s="32" t="s">
        <v>2655</v>
      </c>
      <c r="D2747" s="120" t="s">
        <v>492</v>
      </c>
      <c r="E2747" s="33" t="s">
        <v>43</v>
      </c>
      <c r="F2747" s="18" t="s">
        <v>62</v>
      </c>
      <c r="G2747" s="18" t="s">
        <v>2164</v>
      </c>
      <c r="H2747" s="34" t="s">
        <v>85</v>
      </c>
      <c r="I2747" s="18" t="s">
        <v>2154</v>
      </c>
      <c r="J2747" s="31" t="s">
        <v>105</v>
      </c>
      <c r="K2747" s="31"/>
      <c r="N2747" s="13" t="s">
        <v>30</v>
      </c>
      <c r="O2747" s="28" t="str">
        <f>IF(D2747="","",IF(COUNTIF(离职清单!C:C,D2747)&gt;0,"已离职","在职"))</f>
        <v>在职</v>
      </c>
      <c r="P2747" s="28" t="str">
        <f>IF(AND(O2747="在职",J2747="是"),COUNTIF(O$2:O2747,"在职"),"")</f>
        <v/>
      </c>
    </row>
    <row r="2748" ht="18" spans="1:16">
      <c r="A2748" s="10">
        <f t="shared" si="48"/>
        <v>2747</v>
      </c>
      <c r="B2748" s="31">
        <v>46179</v>
      </c>
      <c r="C2748" s="32" t="s">
        <v>2369</v>
      </c>
      <c r="D2748" s="120" t="s">
        <v>477</v>
      </c>
      <c r="E2748" s="33" t="s">
        <v>43</v>
      </c>
      <c r="F2748" s="18" t="s">
        <v>63</v>
      </c>
      <c r="G2748" s="18" t="s">
        <v>2164</v>
      </c>
      <c r="H2748" s="34" t="s">
        <v>85</v>
      </c>
      <c r="I2748" s="18" t="s">
        <v>114</v>
      </c>
      <c r="J2748" s="31" t="s">
        <v>105</v>
      </c>
      <c r="K2748" s="31"/>
      <c r="N2748" s="13" t="s">
        <v>30</v>
      </c>
      <c r="O2748" s="28" t="str">
        <f>IF(D2748="","",IF(COUNTIF(离职清单!C:C,D2748)&gt;0,"已离职","在职"))</f>
        <v>在职</v>
      </c>
      <c r="P2748" s="28" t="str">
        <f>IF(AND(O2748="在职",J2748="是"),COUNTIF(O$2:O2748,"在职"),"")</f>
        <v/>
      </c>
    </row>
    <row r="2749" ht="18" spans="1:16">
      <c r="A2749" s="14">
        <f t="shared" si="48"/>
        <v>2748</v>
      </c>
      <c r="B2749" s="31">
        <v>46179</v>
      </c>
      <c r="C2749" s="32" t="s">
        <v>2562</v>
      </c>
      <c r="D2749" s="120" t="s">
        <v>478</v>
      </c>
      <c r="E2749" s="33" t="s">
        <v>42</v>
      </c>
      <c r="F2749" s="18" t="s">
        <v>63</v>
      </c>
      <c r="G2749" s="18" t="s">
        <v>1511</v>
      </c>
      <c r="H2749" s="34" t="s">
        <v>85</v>
      </c>
      <c r="I2749" s="18" t="s">
        <v>2154</v>
      </c>
      <c r="J2749" s="31" t="s">
        <v>105</v>
      </c>
      <c r="K2749" s="31"/>
      <c r="N2749" s="13" t="s">
        <v>30</v>
      </c>
      <c r="O2749" s="28" t="str">
        <f>IF(D2749="","",IF(COUNTIF(离职清单!C:C,D2749)&gt;0,"已离职","在职"))</f>
        <v>在职</v>
      </c>
      <c r="P2749" s="28" t="str">
        <f>IF(AND(O2749="在职",J2749="是"),COUNTIF(O$2:O2749,"在职"),"")</f>
        <v/>
      </c>
    </row>
    <row r="2750" ht="18" spans="1:16">
      <c r="A2750" s="10">
        <f t="shared" si="48"/>
        <v>2749</v>
      </c>
      <c r="B2750" s="31">
        <v>46179</v>
      </c>
      <c r="C2750" s="32" t="s">
        <v>2563</v>
      </c>
      <c r="D2750" s="120" t="s">
        <v>480</v>
      </c>
      <c r="E2750" s="33" t="s">
        <v>42</v>
      </c>
      <c r="F2750" s="18" t="s">
        <v>63</v>
      </c>
      <c r="G2750" s="18" t="s">
        <v>1511</v>
      </c>
      <c r="H2750" s="34" t="s">
        <v>85</v>
      </c>
      <c r="I2750" s="18" t="s">
        <v>2154</v>
      </c>
      <c r="J2750" s="31" t="s">
        <v>105</v>
      </c>
      <c r="K2750" s="31"/>
      <c r="N2750" s="13" t="s">
        <v>30</v>
      </c>
      <c r="O2750" s="28" t="str">
        <f>IF(D2750="","",IF(COUNTIF(离职清单!C:C,D2750)&gt;0,"已离职","在职"))</f>
        <v>在职</v>
      </c>
      <c r="P2750" s="28" t="str">
        <f>IF(AND(O2750="在职",J2750="是"),COUNTIF(O$2:O2750,"在职"),"")</f>
        <v/>
      </c>
    </row>
    <row r="2751" ht="18" spans="1:16">
      <c r="A2751" s="14">
        <f t="shared" si="48"/>
        <v>2750</v>
      </c>
      <c r="B2751" s="31">
        <v>46180</v>
      </c>
      <c r="C2751" s="32" t="s">
        <v>2642</v>
      </c>
      <c r="D2751" s="120" t="s">
        <v>482</v>
      </c>
      <c r="E2751" s="33" t="s">
        <v>43</v>
      </c>
      <c r="F2751" s="18" t="s">
        <v>63</v>
      </c>
      <c r="G2751" s="18" t="s">
        <v>2164</v>
      </c>
      <c r="H2751" s="34" t="s">
        <v>85</v>
      </c>
      <c r="I2751" s="18" t="s">
        <v>114</v>
      </c>
      <c r="J2751" s="31" t="s">
        <v>105</v>
      </c>
      <c r="K2751" s="31"/>
      <c r="N2751" s="13" t="s">
        <v>30</v>
      </c>
      <c r="O2751" s="28" t="str">
        <f>IF(D2751="","",IF(COUNTIF(离职清单!C:C,D2751)&gt;0,"已离职","在职"))</f>
        <v>在职</v>
      </c>
      <c r="P2751" s="28" t="str">
        <f>IF(AND(O2751="在职",J2751="是"),COUNTIF(O$2:O2751,"在职"),"")</f>
        <v/>
      </c>
    </row>
    <row r="2752" ht="18" spans="1:16">
      <c r="A2752" s="10">
        <f t="shared" si="48"/>
        <v>2751</v>
      </c>
      <c r="B2752" s="31">
        <v>46180</v>
      </c>
      <c r="C2752" s="32" t="s">
        <v>2656</v>
      </c>
      <c r="D2752" s="120" t="s">
        <v>484</v>
      </c>
      <c r="E2752" s="33" t="s">
        <v>43</v>
      </c>
      <c r="F2752" s="18" t="s">
        <v>63</v>
      </c>
      <c r="G2752" s="18" t="s">
        <v>2164</v>
      </c>
      <c r="H2752" s="34" t="s">
        <v>85</v>
      </c>
      <c r="I2752" s="18" t="s">
        <v>114</v>
      </c>
      <c r="J2752" s="31" t="s">
        <v>105</v>
      </c>
      <c r="K2752" s="31"/>
      <c r="N2752" s="13" t="s">
        <v>30</v>
      </c>
      <c r="O2752" s="28" t="str">
        <f>IF(D2752="","",IF(COUNTIF(离职清单!C:C,D2752)&gt;0,"已离职","在职"))</f>
        <v>在职</v>
      </c>
      <c r="P2752" s="28" t="str">
        <f>IF(AND(O2752="在职",J2752="是"),COUNTIF(O$2:O2752,"在职"),"")</f>
        <v/>
      </c>
    </row>
    <row r="2753" ht="18" spans="1:16">
      <c r="A2753" s="14">
        <f t="shared" si="48"/>
        <v>2752</v>
      </c>
      <c r="B2753" s="31">
        <v>46180</v>
      </c>
      <c r="C2753" s="32" t="s">
        <v>2657</v>
      </c>
      <c r="D2753" s="120" t="s">
        <v>486</v>
      </c>
      <c r="E2753" s="33" t="s">
        <v>43</v>
      </c>
      <c r="F2753" s="18" t="s">
        <v>63</v>
      </c>
      <c r="G2753" s="18" t="s">
        <v>2164</v>
      </c>
      <c r="H2753" s="34" t="s">
        <v>85</v>
      </c>
      <c r="I2753" s="18" t="s">
        <v>2154</v>
      </c>
      <c r="J2753" s="31" t="s">
        <v>105</v>
      </c>
      <c r="K2753" s="31"/>
      <c r="N2753" s="13" t="s">
        <v>30</v>
      </c>
      <c r="O2753" s="28" t="str">
        <f>IF(D2753="","",IF(COUNTIF(离职清单!C:C,D2753)&gt;0,"已离职","在职"))</f>
        <v>在职</v>
      </c>
      <c r="P2753" s="28" t="str">
        <f>IF(AND(O2753="在职",J2753="是"),COUNTIF(O$2:O2753,"在职"),"")</f>
        <v/>
      </c>
    </row>
    <row r="2754" ht="18" spans="1:16">
      <c r="A2754" s="10">
        <f t="shared" si="48"/>
        <v>2753</v>
      </c>
      <c r="B2754" s="31">
        <v>46180</v>
      </c>
      <c r="C2754" s="32" t="s">
        <v>2644</v>
      </c>
      <c r="D2754" s="120" t="s">
        <v>488</v>
      </c>
      <c r="E2754" s="33" t="s">
        <v>43</v>
      </c>
      <c r="F2754" s="18" t="s">
        <v>62</v>
      </c>
      <c r="G2754" s="18" t="s">
        <v>2164</v>
      </c>
      <c r="H2754" s="34" t="s">
        <v>85</v>
      </c>
      <c r="I2754" s="18" t="s">
        <v>2154</v>
      </c>
      <c r="J2754" s="31" t="s">
        <v>105</v>
      </c>
      <c r="K2754" s="31"/>
      <c r="N2754" s="13" t="s">
        <v>30</v>
      </c>
      <c r="O2754" s="28" t="str">
        <f>IF(D2754="","",IF(COUNTIF(离职清单!C:C,D2754)&gt;0,"已离职","在职"))</f>
        <v>在职</v>
      </c>
      <c r="P2754" s="28" t="str">
        <f>IF(AND(O2754="在职",J2754="是"),COUNTIF(O$2:O2754,"在职"),"")</f>
        <v/>
      </c>
    </row>
    <row r="2755" ht="18" spans="1:16">
      <c r="A2755" s="14">
        <f t="shared" si="48"/>
        <v>2754</v>
      </c>
      <c r="B2755" s="31">
        <v>46180</v>
      </c>
      <c r="C2755" s="32" t="s">
        <v>2540</v>
      </c>
      <c r="D2755" s="120" t="s">
        <v>490</v>
      </c>
      <c r="E2755" s="33" t="s">
        <v>43</v>
      </c>
      <c r="F2755" s="18" t="s">
        <v>63</v>
      </c>
      <c r="G2755" s="18" t="s">
        <v>2164</v>
      </c>
      <c r="H2755" s="34" t="s">
        <v>85</v>
      </c>
      <c r="I2755" s="18" t="s">
        <v>2154</v>
      </c>
      <c r="J2755" s="31" t="s">
        <v>105</v>
      </c>
      <c r="K2755" s="31"/>
      <c r="N2755" s="13" t="s">
        <v>30</v>
      </c>
      <c r="O2755" s="28" t="str">
        <f>IF(D2755="","",IF(COUNTIF(离职清单!C:C,D2755)&gt;0,"已离职","在职"))</f>
        <v>在职</v>
      </c>
      <c r="P2755" s="28" t="str">
        <f>IF(AND(O2755="在职",J2755="是"),COUNTIF(O$2:O2755,"在职"),"")</f>
        <v/>
      </c>
    </row>
    <row r="2756" ht="18" spans="1:16">
      <c r="A2756" s="10">
        <f t="shared" si="48"/>
        <v>2755</v>
      </c>
      <c r="B2756" s="31">
        <v>46180</v>
      </c>
      <c r="C2756" s="32" t="s">
        <v>2658</v>
      </c>
      <c r="D2756" s="120" t="s">
        <v>492</v>
      </c>
      <c r="E2756" s="33" t="s">
        <v>43</v>
      </c>
      <c r="F2756" s="18" t="s">
        <v>62</v>
      </c>
      <c r="G2756" s="18" t="s">
        <v>2164</v>
      </c>
      <c r="H2756" s="34" t="s">
        <v>85</v>
      </c>
      <c r="I2756" s="18" t="s">
        <v>2154</v>
      </c>
      <c r="J2756" s="31" t="s">
        <v>105</v>
      </c>
      <c r="K2756" s="31"/>
      <c r="N2756" s="13" t="s">
        <v>30</v>
      </c>
      <c r="O2756" s="28" t="str">
        <f>IF(D2756="","",IF(COUNTIF(离职清单!C:C,D2756)&gt;0,"已离职","在职"))</f>
        <v>在职</v>
      </c>
      <c r="P2756" s="28" t="str">
        <f>IF(AND(O2756="在职",J2756="是"),COUNTIF(O$2:O2756,"在职"),"")</f>
        <v/>
      </c>
    </row>
    <row r="2757" ht="18" spans="1:16">
      <c r="A2757" s="14">
        <f t="shared" si="48"/>
        <v>2756</v>
      </c>
      <c r="B2757" s="31">
        <v>46180</v>
      </c>
      <c r="C2757" s="32" t="s">
        <v>2659</v>
      </c>
      <c r="D2757" s="120" t="s">
        <v>477</v>
      </c>
      <c r="E2757" s="33" t="s">
        <v>43</v>
      </c>
      <c r="F2757" s="18" t="s">
        <v>64</v>
      </c>
      <c r="G2757" s="18" t="s">
        <v>2164</v>
      </c>
      <c r="H2757" s="34" t="s">
        <v>85</v>
      </c>
      <c r="I2757" s="18" t="s">
        <v>114</v>
      </c>
      <c r="J2757" s="31" t="s">
        <v>114</v>
      </c>
      <c r="K2757" s="31">
        <v>46183</v>
      </c>
      <c r="N2757" s="13" t="s">
        <v>30</v>
      </c>
      <c r="O2757" s="28" t="str">
        <f>IF(D2757="","",IF(COUNTIF(离职清单!C:C,D2757)&gt;0,"已离职","在职"))</f>
        <v>在职</v>
      </c>
      <c r="P2757" s="28">
        <f>IF(AND(O2757="在职",J2757="是"),COUNTIF(O$2:O2757,"在职"),"")</f>
        <v>2750</v>
      </c>
    </row>
    <row r="2758" ht="18" spans="1:16">
      <c r="A2758" s="10">
        <f t="shared" si="48"/>
        <v>2757</v>
      </c>
      <c r="B2758" s="31">
        <v>46180</v>
      </c>
      <c r="C2758" s="32" t="s">
        <v>2660</v>
      </c>
      <c r="D2758" s="120" t="s">
        <v>478</v>
      </c>
      <c r="E2758" s="33" t="s">
        <v>43</v>
      </c>
      <c r="F2758" s="18" t="s">
        <v>63</v>
      </c>
      <c r="G2758" s="18" t="s">
        <v>2164</v>
      </c>
      <c r="H2758" s="34" t="s">
        <v>85</v>
      </c>
      <c r="I2758" s="18" t="s">
        <v>114</v>
      </c>
      <c r="J2758" s="31" t="s">
        <v>105</v>
      </c>
      <c r="K2758" s="31"/>
      <c r="N2758" s="13" t="s">
        <v>30</v>
      </c>
      <c r="O2758" s="28" t="str">
        <f>IF(D2758="","",IF(COUNTIF(离职清单!C:C,D2758)&gt;0,"已离职","在职"))</f>
        <v>在职</v>
      </c>
      <c r="P2758" s="28" t="str">
        <f>IF(AND(O2758="在职",J2758="是"),COUNTIF(O$2:O2758,"在职"),"")</f>
        <v/>
      </c>
    </row>
    <row r="2759" ht="18" spans="1:16">
      <c r="A2759" s="14">
        <f t="shared" si="48"/>
        <v>2758</v>
      </c>
      <c r="B2759" s="31">
        <v>46180</v>
      </c>
      <c r="C2759" s="32" t="s">
        <v>2661</v>
      </c>
      <c r="D2759" s="120" t="s">
        <v>480</v>
      </c>
      <c r="E2759" s="33" t="s">
        <v>43</v>
      </c>
      <c r="F2759" s="18" t="s">
        <v>63</v>
      </c>
      <c r="G2759" s="18" t="s">
        <v>2164</v>
      </c>
      <c r="H2759" s="34" t="s">
        <v>85</v>
      </c>
      <c r="I2759" s="18" t="s">
        <v>114</v>
      </c>
      <c r="J2759" s="31" t="s">
        <v>105</v>
      </c>
      <c r="K2759" s="31"/>
      <c r="N2759" s="13" t="s">
        <v>30</v>
      </c>
      <c r="O2759" s="28" t="str">
        <f>IF(D2759="","",IF(COUNTIF(离职清单!C:C,D2759)&gt;0,"已离职","在职"))</f>
        <v>在职</v>
      </c>
      <c r="P2759" s="28" t="str">
        <f>IF(AND(O2759="在职",J2759="是"),COUNTIF(O$2:O2759,"在职"),"")</f>
        <v/>
      </c>
    </row>
    <row r="2760" ht="18" spans="1:16">
      <c r="A2760" s="10">
        <f t="shared" si="48"/>
        <v>2759</v>
      </c>
      <c r="B2760" s="31">
        <v>46180</v>
      </c>
      <c r="C2760" s="32" t="s">
        <v>2649</v>
      </c>
      <c r="D2760" s="120" t="s">
        <v>482</v>
      </c>
      <c r="E2760" s="33" t="s">
        <v>43</v>
      </c>
      <c r="F2760" s="18" t="s">
        <v>63</v>
      </c>
      <c r="G2760" s="18" t="s">
        <v>2181</v>
      </c>
      <c r="H2760" s="34" t="s">
        <v>85</v>
      </c>
      <c r="I2760" s="18" t="s">
        <v>2154</v>
      </c>
      <c r="J2760" s="31" t="s">
        <v>105</v>
      </c>
      <c r="K2760" s="31"/>
      <c r="N2760" s="13" t="s">
        <v>30</v>
      </c>
      <c r="O2760" s="28" t="str">
        <f>IF(D2760="","",IF(COUNTIF(离职清单!C:C,D2760)&gt;0,"已离职","在职"))</f>
        <v>在职</v>
      </c>
      <c r="P2760" s="28" t="str">
        <f>IF(AND(O2760="在职",J2760="是"),COUNTIF(O$2:O2760,"在职"),"")</f>
        <v/>
      </c>
    </row>
    <row r="2761" ht="18" spans="1:16">
      <c r="A2761" s="14">
        <f t="shared" si="48"/>
        <v>2760</v>
      </c>
      <c r="B2761" s="31">
        <v>46180</v>
      </c>
      <c r="C2761" s="32" t="s">
        <v>2662</v>
      </c>
      <c r="D2761" s="120" t="s">
        <v>484</v>
      </c>
      <c r="E2761" s="33" t="s">
        <v>43</v>
      </c>
      <c r="F2761" s="18" t="s">
        <v>63</v>
      </c>
      <c r="G2761" s="18" t="s">
        <v>2181</v>
      </c>
      <c r="H2761" s="34" t="s">
        <v>85</v>
      </c>
      <c r="I2761" s="18" t="s">
        <v>2154</v>
      </c>
      <c r="J2761" s="31" t="s">
        <v>105</v>
      </c>
      <c r="K2761" s="31"/>
      <c r="N2761" s="13" t="s">
        <v>30</v>
      </c>
      <c r="O2761" s="28" t="str">
        <f>IF(D2761="","",IF(COUNTIF(离职清单!C:C,D2761)&gt;0,"已离职","在职"))</f>
        <v>在职</v>
      </c>
      <c r="P2761" s="28" t="str">
        <f>IF(AND(O2761="在职",J2761="是"),COUNTIF(O$2:O2761,"在职"),"")</f>
        <v/>
      </c>
    </row>
    <row r="2762" ht="18" spans="1:16">
      <c r="A2762" s="10">
        <f t="shared" si="48"/>
        <v>2761</v>
      </c>
      <c r="B2762" s="31">
        <v>46180</v>
      </c>
      <c r="C2762" s="32" t="s">
        <v>2663</v>
      </c>
      <c r="D2762" s="120" t="s">
        <v>486</v>
      </c>
      <c r="E2762" s="33" t="s">
        <v>43</v>
      </c>
      <c r="F2762" s="18" t="s">
        <v>63</v>
      </c>
      <c r="G2762" s="18" t="s">
        <v>1056</v>
      </c>
      <c r="H2762" s="34" t="s">
        <v>85</v>
      </c>
      <c r="I2762" s="18" t="s">
        <v>2154</v>
      </c>
      <c r="J2762" s="31" t="s">
        <v>105</v>
      </c>
      <c r="K2762" s="31"/>
      <c r="N2762" s="13" t="s">
        <v>30</v>
      </c>
      <c r="O2762" s="28" t="str">
        <f>IF(D2762="","",IF(COUNTIF(离职清单!C:C,D2762)&gt;0,"已离职","在职"))</f>
        <v>在职</v>
      </c>
      <c r="P2762" s="28" t="str">
        <f>IF(AND(O2762="在职",J2762="是"),COUNTIF(O$2:O2762,"在职"),"")</f>
        <v/>
      </c>
    </row>
    <row r="2763" ht="18" spans="1:16">
      <c r="A2763" s="14">
        <f t="shared" si="48"/>
        <v>2762</v>
      </c>
      <c r="B2763" s="31">
        <v>46180</v>
      </c>
      <c r="C2763" s="32" t="s">
        <v>2664</v>
      </c>
      <c r="D2763" s="120" t="s">
        <v>488</v>
      </c>
      <c r="E2763" s="33" t="s">
        <v>43</v>
      </c>
      <c r="F2763" s="18" t="s">
        <v>63</v>
      </c>
      <c r="G2763" s="18" t="s">
        <v>1056</v>
      </c>
      <c r="H2763" s="34" t="s">
        <v>85</v>
      </c>
      <c r="I2763" s="18" t="s">
        <v>114</v>
      </c>
      <c r="J2763" s="31" t="s">
        <v>114</v>
      </c>
      <c r="K2763" s="31">
        <v>46182</v>
      </c>
      <c r="N2763" s="13" t="s">
        <v>30</v>
      </c>
      <c r="O2763" s="28" t="str">
        <f>IF(D2763="","",IF(COUNTIF(离职清单!C:C,D2763)&gt;0,"已离职","在职"))</f>
        <v>在职</v>
      </c>
      <c r="P2763" s="28">
        <f>IF(AND(O2763="在职",J2763="是"),COUNTIF(O$2:O2763,"在职"),"")</f>
        <v>2756</v>
      </c>
    </row>
    <row r="2764" ht="18" spans="1:16">
      <c r="A2764" s="10">
        <f t="shared" si="48"/>
        <v>2763</v>
      </c>
      <c r="B2764" s="31">
        <v>46180</v>
      </c>
      <c r="C2764" s="32" t="s">
        <v>2665</v>
      </c>
      <c r="D2764" s="120" t="s">
        <v>490</v>
      </c>
      <c r="E2764" s="33" t="s">
        <v>43</v>
      </c>
      <c r="F2764" s="18" t="s">
        <v>64</v>
      </c>
      <c r="G2764" s="18" t="s">
        <v>1056</v>
      </c>
      <c r="H2764" s="34" t="s">
        <v>85</v>
      </c>
      <c r="I2764" s="18" t="s">
        <v>114</v>
      </c>
      <c r="J2764" s="31" t="s">
        <v>105</v>
      </c>
      <c r="K2764" s="31"/>
      <c r="N2764" s="13" t="s">
        <v>30</v>
      </c>
      <c r="O2764" s="28" t="str">
        <f>IF(D2764="","",IF(COUNTIF(离职清单!C:C,D2764)&gt;0,"已离职","在职"))</f>
        <v>在职</v>
      </c>
      <c r="P2764" s="28" t="str">
        <f>IF(AND(O2764="在职",J2764="是"),COUNTIF(O$2:O2764,"在职"),"")</f>
        <v/>
      </c>
    </row>
    <row r="2765" ht="18" spans="1:16">
      <c r="A2765" s="14">
        <f t="shared" si="48"/>
        <v>2764</v>
      </c>
      <c r="B2765" s="31">
        <v>46180</v>
      </c>
      <c r="C2765" s="32" t="s">
        <v>1879</v>
      </c>
      <c r="D2765" s="120" t="s">
        <v>492</v>
      </c>
      <c r="E2765" s="33" t="s">
        <v>43</v>
      </c>
      <c r="F2765" s="18" t="s">
        <v>63</v>
      </c>
      <c r="G2765" s="18" t="s">
        <v>1056</v>
      </c>
      <c r="H2765" s="34" t="s">
        <v>85</v>
      </c>
      <c r="I2765" s="18" t="s">
        <v>114</v>
      </c>
      <c r="J2765" s="31" t="s">
        <v>105</v>
      </c>
      <c r="K2765" s="31"/>
      <c r="N2765" s="13" t="s">
        <v>30</v>
      </c>
      <c r="O2765" s="28" t="str">
        <f>IF(D2765="","",IF(COUNTIF(离职清单!C:C,D2765)&gt;0,"已离职","在职"))</f>
        <v>在职</v>
      </c>
      <c r="P2765" s="28" t="str">
        <f>IF(AND(O2765="在职",J2765="是"),COUNTIF(O$2:O2765,"在职"),"")</f>
        <v/>
      </c>
    </row>
    <row r="2766" ht="18" spans="1:16">
      <c r="A2766" s="10">
        <f t="shared" si="48"/>
        <v>2765</v>
      </c>
      <c r="B2766" s="31">
        <v>46180</v>
      </c>
      <c r="C2766" s="32" t="s">
        <v>2652</v>
      </c>
      <c r="D2766" s="120" t="s">
        <v>477</v>
      </c>
      <c r="E2766" s="33" t="s">
        <v>43</v>
      </c>
      <c r="F2766" s="18" t="s">
        <v>63</v>
      </c>
      <c r="G2766" s="18" t="s">
        <v>129</v>
      </c>
      <c r="H2766" s="34" t="s">
        <v>85</v>
      </c>
      <c r="I2766" s="18" t="s">
        <v>114</v>
      </c>
      <c r="J2766" s="31" t="s">
        <v>114</v>
      </c>
      <c r="K2766" s="31">
        <v>46184</v>
      </c>
      <c r="N2766" s="13" t="s">
        <v>30</v>
      </c>
      <c r="O2766" s="28" t="str">
        <f>IF(D2766="","",IF(COUNTIF(离职清单!C:C,D2766)&gt;0,"已离职","在职"))</f>
        <v>在职</v>
      </c>
      <c r="P2766" s="28">
        <f>IF(AND(O2766="在职",J2766="是"),COUNTIF(O$2:O2766,"在职"),"")</f>
        <v>2759</v>
      </c>
    </row>
    <row r="2767" ht="18" spans="1:16">
      <c r="A2767" s="14">
        <f t="shared" si="48"/>
        <v>2766</v>
      </c>
      <c r="B2767" s="31">
        <v>46180</v>
      </c>
      <c r="C2767" s="32" t="s">
        <v>2666</v>
      </c>
      <c r="D2767" s="120" t="s">
        <v>477</v>
      </c>
      <c r="E2767" s="33" t="s">
        <v>43</v>
      </c>
      <c r="F2767" s="18" t="s">
        <v>63</v>
      </c>
      <c r="G2767" s="18" t="s">
        <v>129</v>
      </c>
      <c r="H2767" s="34" t="s">
        <v>85</v>
      </c>
      <c r="I2767" s="18" t="s">
        <v>114</v>
      </c>
      <c r="J2767" s="31" t="s">
        <v>105</v>
      </c>
      <c r="K2767" s="31"/>
      <c r="N2767" s="13" t="s">
        <v>30</v>
      </c>
      <c r="O2767" s="28" t="str">
        <f>IF(D2767="","",IF(COUNTIF(离职清单!C:C,D2767)&gt;0,"已离职","在职"))</f>
        <v>在职</v>
      </c>
      <c r="P2767" s="28" t="str">
        <f>IF(AND(O2767="在职",J2767="是"),COUNTIF(O$2:O2767,"在职"),"")</f>
        <v/>
      </c>
    </row>
    <row r="2768" ht="18" spans="1:16">
      <c r="A2768" s="10">
        <f t="shared" si="48"/>
        <v>2767</v>
      </c>
      <c r="B2768" s="31">
        <v>46180</v>
      </c>
      <c r="C2768" s="32" t="s">
        <v>2667</v>
      </c>
      <c r="D2768" s="120" t="s">
        <v>478</v>
      </c>
      <c r="E2768" s="33" t="s">
        <v>43</v>
      </c>
      <c r="F2768" s="18" t="s">
        <v>63</v>
      </c>
      <c r="G2768" s="18" t="s">
        <v>2174</v>
      </c>
      <c r="H2768" s="34" t="s">
        <v>85</v>
      </c>
      <c r="I2768" s="18" t="s">
        <v>2154</v>
      </c>
      <c r="J2768" s="31" t="s">
        <v>105</v>
      </c>
      <c r="K2768" s="31"/>
      <c r="N2768" s="13" t="s">
        <v>30</v>
      </c>
      <c r="O2768" s="28" t="str">
        <f>IF(D2768="","",IF(COUNTIF(离职清单!C:C,D2768)&gt;0,"已离职","在职"))</f>
        <v>在职</v>
      </c>
      <c r="P2768" s="28" t="str">
        <f>IF(AND(O2768="在职",J2768="是"),COUNTIF(O$2:O2768,"在职"),"")</f>
        <v/>
      </c>
    </row>
    <row r="2769" ht="18" spans="1:16">
      <c r="A2769" s="14">
        <f t="shared" si="48"/>
        <v>2768</v>
      </c>
      <c r="B2769" s="31">
        <v>46180</v>
      </c>
      <c r="C2769" s="32" t="s">
        <v>2668</v>
      </c>
      <c r="D2769" s="120" t="s">
        <v>480</v>
      </c>
      <c r="E2769" s="33" t="s">
        <v>42</v>
      </c>
      <c r="F2769" s="18" t="s">
        <v>62</v>
      </c>
      <c r="G2769" s="18" t="s">
        <v>148</v>
      </c>
      <c r="H2769" s="34" t="s">
        <v>85</v>
      </c>
      <c r="I2769" s="18" t="s">
        <v>2154</v>
      </c>
      <c r="J2769" s="31" t="s">
        <v>105</v>
      </c>
      <c r="K2769" s="31"/>
      <c r="N2769" s="13" t="s">
        <v>30</v>
      </c>
      <c r="O2769" s="28" t="str">
        <f>IF(D2769="","",IF(COUNTIF(离职清单!C:C,D2769)&gt;0,"已离职","在职"))</f>
        <v>在职</v>
      </c>
      <c r="P2769" s="28" t="str">
        <f>IF(AND(O2769="在职",J2769="是"),COUNTIF(O$2:O2769,"在职"),"")</f>
        <v/>
      </c>
    </row>
    <row r="2770" ht="18" spans="1:16">
      <c r="A2770" s="10">
        <f t="shared" si="48"/>
        <v>2769</v>
      </c>
      <c r="B2770" s="31">
        <v>46180</v>
      </c>
      <c r="C2770" s="32" t="s">
        <v>2669</v>
      </c>
      <c r="D2770" s="120" t="s">
        <v>482</v>
      </c>
      <c r="E2770" s="33" t="s">
        <v>42</v>
      </c>
      <c r="F2770" s="18" t="s">
        <v>63</v>
      </c>
      <c r="G2770" s="18" t="s">
        <v>148</v>
      </c>
      <c r="H2770" s="34" t="s">
        <v>85</v>
      </c>
      <c r="I2770" s="18" t="s">
        <v>2154</v>
      </c>
      <c r="J2770" s="31" t="s">
        <v>105</v>
      </c>
      <c r="K2770" s="31"/>
      <c r="N2770" s="13" t="s">
        <v>30</v>
      </c>
      <c r="O2770" s="28" t="str">
        <f>IF(D2770="","",IF(COUNTIF(离职清单!C:C,D2770)&gt;0,"已离职","在职"))</f>
        <v>在职</v>
      </c>
      <c r="P2770" s="28" t="str">
        <f>IF(AND(O2770="在职",J2770="是"),COUNTIF(O$2:O2770,"在职"),"")</f>
        <v/>
      </c>
    </row>
    <row r="2771" ht="18" spans="1:16">
      <c r="A2771" s="14">
        <f t="shared" si="48"/>
        <v>2770</v>
      </c>
      <c r="B2771" s="31">
        <v>46180</v>
      </c>
      <c r="C2771" s="32" t="s">
        <v>2670</v>
      </c>
      <c r="D2771" s="120" t="s">
        <v>484</v>
      </c>
      <c r="E2771" s="33" t="s">
        <v>42</v>
      </c>
      <c r="F2771" s="18" t="s">
        <v>63</v>
      </c>
      <c r="G2771" s="18" t="s">
        <v>1511</v>
      </c>
      <c r="H2771" s="34" t="s">
        <v>85</v>
      </c>
      <c r="I2771" s="18" t="s">
        <v>114</v>
      </c>
      <c r="J2771" s="31" t="s">
        <v>105</v>
      </c>
      <c r="K2771" s="31"/>
      <c r="N2771" s="13" t="s">
        <v>30</v>
      </c>
      <c r="O2771" s="28" t="str">
        <f>IF(D2771="","",IF(COUNTIF(离职清单!C:C,D2771)&gt;0,"已离职","在职"))</f>
        <v>在职</v>
      </c>
      <c r="P2771" s="28" t="str">
        <f>IF(AND(O2771="在职",J2771="是"),COUNTIF(O$2:O2771,"在职"),"")</f>
        <v/>
      </c>
    </row>
    <row r="2772" ht="18" spans="1:16">
      <c r="A2772" s="10">
        <f t="shared" si="48"/>
        <v>2771</v>
      </c>
      <c r="B2772" s="31">
        <v>46180</v>
      </c>
      <c r="C2772" s="32" t="s">
        <v>2086</v>
      </c>
      <c r="D2772" s="120" t="s">
        <v>486</v>
      </c>
      <c r="E2772" s="33" t="s">
        <v>42</v>
      </c>
      <c r="F2772" s="18" t="s">
        <v>62</v>
      </c>
      <c r="G2772" s="18" t="s">
        <v>148</v>
      </c>
      <c r="H2772" s="34" t="s">
        <v>85</v>
      </c>
      <c r="I2772" s="18" t="s">
        <v>2154</v>
      </c>
      <c r="J2772" s="31" t="s">
        <v>105</v>
      </c>
      <c r="K2772" s="31"/>
      <c r="N2772" s="13" t="s">
        <v>30</v>
      </c>
      <c r="O2772" s="28" t="str">
        <f>IF(D2772="","",IF(COUNTIF(离职清单!C:C,D2772)&gt;0,"已离职","在职"))</f>
        <v>在职</v>
      </c>
      <c r="P2772" s="28" t="str">
        <f>IF(AND(O2772="在职",J2772="是"),COUNTIF(O$2:O2772,"在职"),"")</f>
        <v/>
      </c>
    </row>
    <row r="2773" ht="18" spans="1:16">
      <c r="A2773" s="14">
        <f t="shared" si="48"/>
        <v>2772</v>
      </c>
      <c r="B2773" s="31">
        <v>46180</v>
      </c>
      <c r="C2773" s="32" t="s">
        <v>2671</v>
      </c>
      <c r="D2773" s="120" t="s">
        <v>488</v>
      </c>
      <c r="E2773" s="33" t="s">
        <v>42</v>
      </c>
      <c r="F2773" s="18" t="s">
        <v>63</v>
      </c>
      <c r="G2773" s="18" t="s">
        <v>148</v>
      </c>
      <c r="H2773" s="34" t="s">
        <v>85</v>
      </c>
      <c r="I2773" s="18" t="s">
        <v>105</v>
      </c>
      <c r="J2773" s="31" t="s">
        <v>105</v>
      </c>
      <c r="K2773" s="31"/>
      <c r="N2773" s="13" t="s">
        <v>30</v>
      </c>
      <c r="O2773" s="28" t="str">
        <f>IF(D2773="","",IF(COUNTIF(离职清单!C:C,D2773)&gt;0,"已离职","在职"))</f>
        <v>在职</v>
      </c>
      <c r="P2773" s="28" t="str">
        <f>IF(AND(O2773="在职",J2773="是"),COUNTIF(O$2:O2773,"在职"),"")</f>
        <v/>
      </c>
    </row>
    <row r="2774" ht="18" spans="1:16">
      <c r="A2774" s="10">
        <f t="shared" si="48"/>
        <v>2773</v>
      </c>
      <c r="B2774" s="31">
        <v>46180</v>
      </c>
      <c r="C2774" s="32" t="s">
        <v>2672</v>
      </c>
      <c r="D2774" s="120" t="s">
        <v>490</v>
      </c>
      <c r="E2774" s="33" t="s">
        <v>42</v>
      </c>
      <c r="F2774" s="18" t="s">
        <v>62</v>
      </c>
      <c r="G2774" s="18" t="s">
        <v>148</v>
      </c>
      <c r="H2774" s="34" t="s">
        <v>85</v>
      </c>
      <c r="I2774" s="18" t="s">
        <v>105</v>
      </c>
      <c r="J2774" s="31" t="s">
        <v>105</v>
      </c>
      <c r="K2774" s="31"/>
      <c r="N2774" s="13" t="s">
        <v>30</v>
      </c>
      <c r="O2774" s="28" t="str">
        <f>IF(D2774="","",IF(COUNTIF(离职清单!C:C,D2774)&gt;0,"已离职","在职"))</f>
        <v>在职</v>
      </c>
      <c r="P2774" s="28" t="str">
        <f>IF(AND(O2774="在职",J2774="是"),COUNTIF(O$2:O2774,"在职"),"")</f>
        <v/>
      </c>
    </row>
    <row r="2775" ht="18" spans="1:16">
      <c r="A2775" s="14">
        <f t="shared" si="48"/>
        <v>2774</v>
      </c>
      <c r="B2775" s="31">
        <v>46180</v>
      </c>
      <c r="C2775" s="32" t="s">
        <v>2673</v>
      </c>
      <c r="D2775" s="120" t="s">
        <v>492</v>
      </c>
      <c r="E2775" s="33" t="s">
        <v>42</v>
      </c>
      <c r="F2775" s="18" t="s">
        <v>63</v>
      </c>
      <c r="G2775" s="18" t="s">
        <v>148</v>
      </c>
      <c r="H2775" s="34" t="s">
        <v>85</v>
      </c>
      <c r="I2775" s="18" t="s">
        <v>2154</v>
      </c>
      <c r="J2775" s="31" t="s">
        <v>105</v>
      </c>
      <c r="K2775" s="31"/>
      <c r="N2775" s="13" t="s">
        <v>30</v>
      </c>
      <c r="O2775" s="28" t="str">
        <f>IF(D2775="","",IF(COUNTIF(离职清单!C:C,D2775)&gt;0,"已离职","在职"))</f>
        <v>在职</v>
      </c>
      <c r="P2775" s="28" t="str">
        <f>IF(AND(O2775="在职",J2775="是"),COUNTIF(O$2:O2775,"在职"),"")</f>
        <v/>
      </c>
    </row>
    <row r="2776" ht="18" spans="1:16">
      <c r="A2776" s="10">
        <f t="shared" si="48"/>
        <v>2775</v>
      </c>
      <c r="B2776" s="31">
        <v>46180</v>
      </c>
      <c r="C2776" s="32" t="s">
        <v>1882</v>
      </c>
      <c r="D2776" s="120" t="s">
        <v>477</v>
      </c>
      <c r="E2776" s="33" t="s">
        <v>42</v>
      </c>
      <c r="F2776" s="18" t="s">
        <v>63</v>
      </c>
      <c r="G2776" s="18" t="s">
        <v>148</v>
      </c>
      <c r="H2776" s="34" t="s">
        <v>85</v>
      </c>
      <c r="I2776" s="18" t="s">
        <v>105</v>
      </c>
      <c r="J2776" s="31" t="s">
        <v>105</v>
      </c>
      <c r="K2776" s="31"/>
      <c r="N2776" s="13" t="s">
        <v>30</v>
      </c>
      <c r="O2776" s="28" t="str">
        <f>IF(D2776="","",IF(COUNTIF(离职清单!C:C,D2776)&gt;0,"已离职","在职"))</f>
        <v>在职</v>
      </c>
      <c r="P2776" s="28" t="str">
        <f>IF(AND(O2776="在职",J2776="是"),COUNTIF(O$2:O2776,"在职"),"")</f>
        <v/>
      </c>
    </row>
    <row r="2777" ht="18" spans="1:16">
      <c r="A2777" s="14">
        <f t="shared" si="48"/>
        <v>2776</v>
      </c>
      <c r="B2777" s="31">
        <v>46180</v>
      </c>
      <c r="C2777" s="32" t="s">
        <v>2674</v>
      </c>
      <c r="D2777" s="120" t="s">
        <v>478</v>
      </c>
      <c r="E2777" s="33" t="s">
        <v>42</v>
      </c>
      <c r="F2777" s="18" t="s">
        <v>62</v>
      </c>
      <c r="G2777" s="18" t="s">
        <v>124</v>
      </c>
      <c r="H2777" s="34" t="s">
        <v>85</v>
      </c>
      <c r="I2777" s="18" t="s">
        <v>105</v>
      </c>
      <c r="J2777" s="31" t="s">
        <v>105</v>
      </c>
      <c r="K2777" s="31"/>
      <c r="N2777" s="13" t="s">
        <v>30</v>
      </c>
      <c r="O2777" s="28" t="str">
        <f>IF(D2777="","",IF(COUNTIF(离职清单!C:C,D2777)&gt;0,"已离职","在职"))</f>
        <v>在职</v>
      </c>
      <c r="P2777" s="28" t="str">
        <f>IF(AND(O2777="在职",J2777="是"),COUNTIF(O$2:O2777,"在职"),"")</f>
        <v/>
      </c>
    </row>
    <row r="2778" ht="18" spans="1:16">
      <c r="A2778" s="10">
        <f t="shared" si="48"/>
        <v>2777</v>
      </c>
      <c r="B2778" s="31">
        <v>46180</v>
      </c>
      <c r="C2778" s="32" t="s">
        <v>2675</v>
      </c>
      <c r="D2778" s="120" t="s">
        <v>480</v>
      </c>
      <c r="E2778" s="33" t="s">
        <v>42</v>
      </c>
      <c r="F2778" s="18" t="s">
        <v>62</v>
      </c>
      <c r="G2778" s="18" t="s">
        <v>124</v>
      </c>
      <c r="H2778" s="34" t="s">
        <v>85</v>
      </c>
      <c r="I2778" s="18" t="s">
        <v>114</v>
      </c>
      <c r="J2778" s="31" t="s">
        <v>114</v>
      </c>
      <c r="K2778" s="31">
        <v>46181</v>
      </c>
      <c r="N2778" s="13" t="s">
        <v>30</v>
      </c>
      <c r="O2778" s="28" t="str">
        <f>IF(D2778="","",IF(COUNTIF(离职清单!C:C,D2778)&gt;0,"已离职","在职"))</f>
        <v>在职</v>
      </c>
      <c r="P2778" s="28">
        <f>IF(AND(O2778="在职",J2778="是"),COUNTIF(O$2:O2778,"在职"),"")</f>
        <v>2771</v>
      </c>
    </row>
    <row r="2779" ht="18" spans="1:16">
      <c r="A2779" s="14">
        <f t="shared" si="48"/>
        <v>2778</v>
      </c>
      <c r="B2779" s="31">
        <v>46180</v>
      </c>
      <c r="C2779" s="32" t="s">
        <v>2676</v>
      </c>
      <c r="D2779" s="120" t="s">
        <v>482</v>
      </c>
      <c r="E2779" s="33" t="s">
        <v>42</v>
      </c>
      <c r="F2779" s="18" t="s">
        <v>62</v>
      </c>
      <c r="G2779" s="18" t="s">
        <v>124</v>
      </c>
      <c r="H2779" s="34" t="s">
        <v>85</v>
      </c>
      <c r="I2779" s="18" t="s">
        <v>105</v>
      </c>
      <c r="J2779" s="31" t="s">
        <v>105</v>
      </c>
      <c r="K2779" s="31"/>
      <c r="N2779" s="13" t="s">
        <v>30</v>
      </c>
      <c r="O2779" s="28" t="str">
        <f>IF(D2779="","",IF(COUNTIF(离职清单!C:C,D2779)&gt;0,"已离职","在职"))</f>
        <v>在职</v>
      </c>
      <c r="P2779" s="28" t="str">
        <f>IF(AND(O2779="在职",J2779="是"),COUNTIF(O$2:O2779,"在职"),"")</f>
        <v/>
      </c>
    </row>
    <row r="2780" ht="18" spans="1:16">
      <c r="A2780" s="10">
        <f t="shared" si="48"/>
        <v>2779</v>
      </c>
      <c r="B2780" s="31">
        <v>46180</v>
      </c>
      <c r="C2780" s="32" t="s">
        <v>2544</v>
      </c>
      <c r="D2780" s="120" t="s">
        <v>484</v>
      </c>
      <c r="E2780" s="33" t="s">
        <v>42</v>
      </c>
      <c r="F2780" s="18" t="s">
        <v>62</v>
      </c>
      <c r="G2780" s="18" t="s">
        <v>124</v>
      </c>
      <c r="H2780" s="34" t="s">
        <v>85</v>
      </c>
      <c r="I2780" s="18" t="s">
        <v>114</v>
      </c>
      <c r="J2780" s="31" t="s">
        <v>114</v>
      </c>
      <c r="K2780" s="31">
        <v>46181</v>
      </c>
      <c r="N2780" s="13" t="s">
        <v>30</v>
      </c>
      <c r="O2780" s="28" t="str">
        <f>IF(D2780="","",IF(COUNTIF(离职清单!C:C,D2780)&gt;0,"已离职","在职"))</f>
        <v>在职</v>
      </c>
      <c r="P2780" s="28">
        <f>IF(AND(O2780="在职",J2780="是"),COUNTIF(O$2:O2780,"在职"),"")</f>
        <v>2773</v>
      </c>
    </row>
    <row r="2781" ht="18" spans="1:16">
      <c r="A2781" s="14">
        <f t="shared" si="48"/>
        <v>2780</v>
      </c>
      <c r="B2781" s="31">
        <v>46180</v>
      </c>
      <c r="C2781" s="32" t="s">
        <v>2677</v>
      </c>
      <c r="D2781" s="120" t="s">
        <v>486</v>
      </c>
      <c r="E2781" s="33" t="s">
        <v>42</v>
      </c>
      <c r="F2781" s="18" t="s">
        <v>63</v>
      </c>
      <c r="G2781" s="18" t="s">
        <v>124</v>
      </c>
      <c r="H2781" s="34" t="s">
        <v>85</v>
      </c>
      <c r="I2781" s="18" t="s">
        <v>105</v>
      </c>
      <c r="J2781" s="31" t="s">
        <v>105</v>
      </c>
      <c r="K2781" s="31"/>
      <c r="N2781" s="13" t="s">
        <v>30</v>
      </c>
      <c r="O2781" s="28" t="str">
        <f>IF(D2781="","",IF(COUNTIF(离职清单!C:C,D2781)&gt;0,"已离职","在职"))</f>
        <v>在职</v>
      </c>
      <c r="P2781" s="28" t="str">
        <f>IF(AND(O2781="在职",J2781="是"),COUNTIF(O$2:O2781,"在职"),"")</f>
        <v/>
      </c>
    </row>
    <row r="2782" ht="18" spans="1:16">
      <c r="A2782" s="10">
        <f t="shared" si="48"/>
        <v>2781</v>
      </c>
      <c r="B2782" s="31">
        <v>46180</v>
      </c>
      <c r="C2782" s="32" t="s">
        <v>2678</v>
      </c>
      <c r="D2782" s="120" t="s">
        <v>488</v>
      </c>
      <c r="E2782" s="33" t="s">
        <v>42</v>
      </c>
      <c r="F2782" s="18" t="s">
        <v>63</v>
      </c>
      <c r="G2782" s="18" t="s">
        <v>124</v>
      </c>
      <c r="H2782" s="34" t="s">
        <v>85</v>
      </c>
      <c r="I2782" s="18" t="s">
        <v>105</v>
      </c>
      <c r="J2782" s="31" t="s">
        <v>105</v>
      </c>
      <c r="K2782" s="31"/>
      <c r="N2782" s="13" t="s">
        <v>30</v>
      </c>
      <c r="O2782" s="28" t="str">
        <f>IF(D2782="","",IF(COUNTIF(离职清单!C:C,D2782)&gt;0,"已离职","在职"))</f>
        <v>在职</v>
      </c>
      <c r="P2782" s="28" t="str">
        <f>IF(AND(O2782="在职",J2782="是"),COUNTIF(O$2:O2782,"在职"),"")</f>
        <v/>
      </c>
    </row>
    <row r="2783" ht="18" spans="1:16">
      <c r="A2783" s="14">
        <f t="shared" si="48"/>
        <v>2782</v>
      </c>
      <c r="B2783" s="31">
        <v>46180</v>
      </c>
      <c r="C2783" s="32" t="s">
        <v>2679</v>
      </c>
      <c r="D2783" s="120" t="s">
        <v>490</v>
      </c>
      <c r="E2783" s="33" t="s">
        <v>42</v>
      </c>
      <c r="F2783" s="18" t="s">
        <v>63</v>
      </c>
      <c r="G2783" s="18" t="s">
        <v>124</v>
      </c>
      <c r="H2783" s="34" t="s">
        <v>85</v>
      </c>
      <c r="I2783" s="18" t="s">
        <v>105</v>
      </c>
      <c r="J2783" s="31" t="s">
        <v>105</v>
      </c>
      <c r="K2783" s="31"/>
      <c r="N2783" s="13" t="s">
        <v>30</v>
      </c>
      <c r="O2783" s="28" t="str">
        <f>IF(D2783="","",IF(COUNTIF(离职清单!C:C,D2783)&gt;0,"已离职","在职"))</f>
        <v>在职</v>
      </c>
      <c r="P2783" s="28" t="str">
        <f>IF(AND(O2783="在职",J2783="是"),COUNTIF(O$2:O2783,"在职"),"")</f>
        <v/>
      </c>
    </row>
    <row r="2784" ht="18" spans="1:16">
      <c r="A2784" s="10">
        <f t="shared" si="48"/>
        <v>2783</v>
      </c>
      <c r="B2784" s="31">
        <v>46180</v>
      </c>
      <c r="C2784" s="32" t="s">
        <v>398</v>
      </c>
      <c r="D2784" s="120" t="s">
        <v>492</v>
      </c>
      <c r="E2784" s="33" t="s">
        <v>42</v>
      </c>
      <c r="F2784" s="18" t="s">
        <v>63</v>
      </c>
      <c r="G2784" s="18" t="s">
        <v>124</v>
      </c>
      <c r="H2784" s="34" t="s">
        <v>85</v>
      </c>
      <c r="I2784" s="18" t="s">
        <v>114</v>
      </c>
      <c r="J2784" s="31" t="s">
        <v>114</v>
      </c>
      <c r="K2784" s="31">
        <v>46183</v>
      </c>
      <c r="N2784" s="13" t="s">
        <v>30</v>
      </c>
      <c r="O2784" s="28" t="str">
        <f>IF(D2784="","",IF(COUNTIF(离职清单!C:C,D2784)&gt;0,"已离职","在职"))</f>
        <v>在职</v>
      </c>
      <c r="P2784" s="28">
        <f>IF(AND(O2784="在职",J2784="是"),COUNTIF(O$2:O2784,"在职"),"")</f>
        <v>2777</v>
      </c>
    </row>
    <row r="2785" ht="18" spans="1:16">
      <c r="A2785" s="14">
        <f t="shared" si="48"/>
        <v>2784</v>
      </c>
      <c r="B2785" s="31">
        <v>46180</v>
      </c>
      <c r="C2785" s="32" t="s">
        <v>2680</v>
      </c>
      <c r="D2785" s="120" t="s">
        <v>477</v>
      </c>
      <c r="E2785" s="33" t="s">
        <v>42</v>
      </c>
      <c r="F2785" s="18" t="s">
        <v>62</v>
      </c>
      <c r="G2785" s="18" t="s">
        <v>148</v>
      </c>
      <c r="H2785" s="34" t="s">
        <v>85</v>
      </c>
      <c r="I2785" s="18" t="s">
        <v>105</v>
      </c>
      <c r="J2785" s="31" t="s">
        <v>105</v>
      </c>
      <c r="K2785" s="31"/>
      <c r="N2785" s="13" t="s">
        <v>30</v>
      </c>
      <c r="O2785" s="28" t="str">
        <f>IF(D2785="","",IF(COUNTIF(离职清单!C:C,D2785)&gt;0,"已离职","在职"))</f>
        <v>在职</v>
      </c>
      <c r="P2785" s="28" t="str">
        <f>IF(AND(O2785="在职",J2785="是"),COUNTIF(O$2:O2785,"在职"),"")</f>
        <v/>
      </c>
    </row>
    <row r="2786" ht="18" spans="1:16">
      <c r="A2786" s="10">
        <f t="shared" si="48"/>
        <v>2785</v>
      </c>
      <c r="B2786" s="31">
        <v>46180</v>
      </c>
      <c r="C2786" s="32" t="s">
        <v>2681</v>
      </c>
      <c r="D2786" s="120" t="s">
        <v>478</v>
      </c>
      <c r="E2786" s="33" t="s">
        <v>42</v>
      </c>
      <c r="F2786" s="18" t="s">
        <v>63</v>
      </c>
      <c r="G2786" s="18" t="s">
        <v>2164</v>
      </c>
      <c r="H2786" s="34" t="s">
        <v>85</v>
      </c>
      <c r="I2786" s="18" t="s">
        <v>105</v>
      </c>
      <c r="J2786" s="31" t="s">
        <v>105</v>
      </c>
      <c r="K2786" s="31"/>
      <c r="N2786" s="13" t="s">
        <v>30</v>
      </c>
      <c r="O2786" s="28" t="str">
        <f>IF(D2786="","",IF(COUNTIF(离职清单!C:C,D2786)&gt;0,"已离职","在职"))</f>
        <v>在职</v>
      </c>
      <c r="P2786" s="28" t="str">
        <f>IF(AND(O2786="在职",J2786="是"),COUNTIF(O$2:O2786,"在职"),"")</f>
        <v/>
      </c>
    </row>
    <row r="2787" ht="18" spans="1:16">
      <c r="A2787" s="14">
        <f t="shared" si="48"/>
        <v>2786</v>
      </c>
      <c r="B2787" s="31">
        <v>46180</v>
      </c>
      <c r="C2787" s="32" t="s">
        <v>2682</v>
      </c>
      <c r="D2787" s="120" t="s">
        <v>480</v>
      </c>
      <c r="E2787" s="33" t="s">
        <v>42</v>
      </c>
      <c r="F2787" s="18" t="s">
        <v>63</v>
      </c>
      <c r="G2787" s="18" t="s">
        <v>2164</v>
      </c>
      <c r="H2787" s="34" t="s">
        <v>85</v>
      </c>
      <c r="I2787" s="18" t="s">
        <v>105</v>
      </c>
      <c r="J2787" s="31" t="s">
        <v>105</v>
      </c>
      <c r="K2787" s="31"/>
      <c r="N2787" s="13" t="s">
        <v>30</v>
      </c>
      <c r="O2787" s="28" t="str">
        <f>IF(D2787="","",IF(COUNTIF(离职清单!C:C,D2787)&gt;0,"已离职","在职"))</f>
        <v>在职</v>
      </c>
      <c r="P2787" s="28" t="str">
        <f>IF(AND(O2787="在职",J2787="是"),COUNTIF(O$2:O2787,"在职"),"")</f>
        <v/>
      </c>
    </row>
    <row r="2788" ht="18" spans="1:16">
      <c r="A2788" s="10">
        <f t="shared" si="48"/>
        <v>2787</v>
      </c>
      <c r="B2788" s="31">
        <v>46180</v>
      </c>
      <c r="C2788" s="32" t="s">
        <v>2683</v>
      </c>
      <c r="D2788" s="120" t="s">
        <v>482</v>
      </c>
      <c r="E2788" s="33" t="s">
        <v>42</v>
      </c>
      <c r="F2788" s="18" t="s">
        <v>62</v>
      </c>
      <c r="G2788" s="18" t="s">
        <v>2164</v>
      </c>
      <c r="H2788" s="34" t="s">
        <v>85</v>
      </c>
      <c r="I2788" s="18" t="s">
        <v>105</v>
      </c>
      <c r="J2788" s="31" t="s">
        <v>105</v>
      </c>
      <c r="K2788" s="31"/>
      <c r="N2788" s="13" t="s">
        <v>30</v>
      </c>
      <c r="O2788" s="28" t="str">
        <f>IF(D2788="","",IF(COUNTIF(离职清单!C:C,D2788)&gt;0,"已离职","在职"))</f>
        <v>在职</v>
      </c>
      <c r="P2788" s="28" t="str">
        <f>IF(AND(O2788="在职",J2788="是"),COUNTIF(O$2:O2788,"在职"),"")</f>
        <v/>
      </c>
    </row>
    <row r="2789" ht="18" spans="1:16">
      <c r="A2789" s="14">
        <f t="shared" si="48"/>
        <v>2788</v>
      </c>
      <c r="B2789" s="31">
        <v>46180</v>
      </c>
      <c r="C2789" s="32" t="s">
        <v>2684</v>
      </c>
      <c r="D2789" s="120" t="s">
        <v>484</v>
      </c>
      <c r="E2789" s="33" t="s">
        <v>42</v>
      </c>
      <c r="F2789" s="18" t="s">
        <v>63</v>
      </c>
      <c r="G2789" s="18" t="s">
        <v>2164</v>
      </c>
      <c r="H2789" s="34" t="s">
        <v>85</v>
      </c>
      <c r="I2789" s="18" t="s">
        <v>2154</v>
      </c>
      <c r="J2789" s="31" t="s">
        <v>105</v>
      </c>
      <c r="K2789" s="31"/>
      <c r="N2789" s="13" t="s">
        <v>30</v>
      </c>
      <c r="O2789" s="28" t="str">
        <f>IF(D2789="","",IF(COUNTIF(离职清单!C:C,D2789)&gt;0,"已离职","在职"))</f>
        <v>在职</v>
      </c>
      <c r="P2789" s="28" t="str">
        <f>IF(AND(O2789="在职",J2789="是"),COUNTIF(O$2:O2789,"在职"),"")</f>
        <v/>
      </c>
    </row>
    <row r="2790" ht="18" spans="1:16">
      <c r="A2790" s="10">
        <f t="shared" si="48"/>
        <v>2789</v>
      </c>
      <c r="B2790" s="31">
        <v>46180</v>
      </c>
      <c r="C2790" s="32" t="s">
        <v>2602</v>
      </c>
      <c r="D2790" s="120" t="s">
        <v>486</v>
      </c>
      <c r="E2790" s="33" t="s">
        <v>42</v>
      </c>
      <c r="F2790" s="18" t="s">
        <v>63</v>
      </c>
      <c r="G2790" s="18" t="s">
        <v>2164</v>
      </c>
      <c r="H2790" s="34" t="s">
        <v>85</v>
      </c>
      <c r="I2790" s="18" t="s">
        <v>105</v>
      </c>
      <c r="J2790" s="31" t="s">
        <v>105</v>
      </c>
      <c r="K2790" s="31"/>
      <c r="N2790" s="13" t="s">
        <v>30</v>
      </c>
      <c r="O2790" s="28" t="str">
        <f>IF(D2790="","",IF(COUNTIF(离职清单!C:C,D2790)&gt;0,"已离职","在职"))</f>
        <v>在职</v>
      </c>
      <c r="P2790" s="28" t="str">
        <f>IF(AND(O2790="在职",J2790="是"),COUNTIF(O$2:O2790,"在职"),"")</f>
        <v/>
      </c>
    </row>
    <row r="2791" ht="18" spans="1:16">
      <c r="A2791" s="14">
        <f t="shared" si="48"/>
        <v>2790</v>
      </c>
      <c r="B2791" s="31">
        <v>46180</v>
      </c>
      <c r="C2791" s="32" t="s">
        <v>2602</v>
      </c>
      <c r="D2791" s="120" t="s">
        <v>488</v>
      </c>
      <c r="E2791" s="33" t="s">
        <v>42</v>
      </c>
      <c r="F2791" s="18" t="s">
        <v>63</v>
      </c>
      <c r="G2791" s="18" t="s">
        <v>1056</v>
      </c>
      <c r="H2791" s="34" t="s">
        <v>85</v>
      </c>
      <c r="I2791" s="18" t="s">
        <v>105</v>
      </c>
      <c r="J2791" s="31" t="s">
        <v>105</v>
      </c>
      <c r="K2791" s="31"/>
      <c r="N2791" s="13" t="s">
        <v>30</v>
      </c>
      <c r="O2791" s="28" t="str">
        <f>IF(D2791="","",IF(COUNTIF(离职清单!C:C,D2791)&gt;0,"已离职","在职"))</f>
        <v>在职</v>
      </c>
      <c r="P2791" s="28" t="str">
        <f>IF(AND(O2791="在职",J2791="是"),COUNTIF(O$2:O2791,"在职"),"")</f>
        <v/>
      </c>
    </row>
    <row r="2792" ht="18" spans="1:16">
      <c r="A2792" s="10">
        <f t="shared" si="48"/>
        <v>2791</v>
      </c>
      <c r="B2792" s="31">
        <v>46180</v>
      </c>
      <c r="C2792" s="32" t="s">
        <v>2685</v>
      </c>
      <c r="D2792" s="120" t="s">
        <v>490</v>
      </c>
      <c r="E2792" s="33" t="s">
        <v>42</v>
      </c>
      <c r="F2792" s="18" t="s">
        <v>63</v>
      </c>
      <c r="G2792" s="18" t="s">
        <v>1056</v>
      </c>
      <c r="H2792" s="34" t="s">
        <v>85</v>
      </c>
      <c r="I2792" s="18" t="s">
        <v>2154</v>
      </c>
      <c r="J2792" s="31" t="s">
        <v>105</v>
      </c>
      <c r="K2792" s="31"/>
      <c r="N2792" s="13" t="s">
        <v>30</v>
      </c>
      <c r="O2792" s="28" t="str">
        <f>IF(D2792="","",IF(COUNTIF(离职清单!C:C,D2792)&gt;0,"已离职","在职"))</f>
        <v>在职</v>
      </c>
      <c r="P2792" s="28" t="str">
        <f>IF(AND(O2792="在职",J2792="是"),COUNTIF(O$2:O2792,"在职"),"")</f>
        <v/>
      </c>
    </row>
    <row r="2793" ht="18" spans="1:16">
      <c r="A2793" s="14">
        <f t="shared" si="48"/>
        <v>2792</v>
      </c>
      <c r="B2793" s="31">
        <v>46180</v>
      </c>
      <c r="C2793" s="32" t="s">
        <v>2686</v>
      </c>
      <c r="D2793" s="120" t="s">
        <v>492</v>
      </c>
      <c r="E2793" s="33" t="s">
        <v>42</v>
      </c>
      <c r="F2793" s="18" t="s">
        <v>63</v>
      </c>
      <c r="G2793" s="18" t="s">
        <v>1056</v>
      </c>
      <c r="H2793" s="34" t="s">
        <v>85</v>
      </c>
      <c r="I2793" s="18" t="s">
        <v>2154</v>
      </c>
      <c r="J2793" s="31" t="s">
        <v>105</v>
      </c>
      <c r="K2793" s="31"/>
      <c r="N2793" s="13" t="s">
        <v>30</v>
      </c>
      <c r="O2793" s="28" t="str">
        <f>IF(D2793="","",IF(COUNTIF(离职清单!C:C,D2793)&gt;0,"已离职","在职"))</f>
        <v>在职</v>
      </c>
      <c r="P2793" s="28" t="str">
        <f>IF(AND(O2793="在职",J2793="是"),COUNTIF(O$2:O2793,"在职"),"")</f>
        <v/>
      </c>
    </row>
    <row r="2794" ht="18" spans="1:16">
      <c r="A2794" s="10">
        <f t="shared" si="48"/>
        <v>2793</v>
      </c>
      <c r="B2794" s="31">
        <v>46180</v>
      </c>
      <c r="C2794" s="32" t="s">
        <v>2687</v>
      </c>
      <c r="D2794" s="120" t="s">
        <v>477</v>
      </c>
      <c r="E2794" s="33" t="s">
        <v>42</v>
      </c>
      <c r="F2794" s="18" t="s">
        <v>62</v>
      </c>
      <c r="G2794" s="18" t="s">
        <v>1056</v>
      </c>
      <c r="H2794" s="34" t="s">
        <v>85</v>
      </c>
      <c r="I2794" s="18" t="s">
        <v>2154</v>
      </c>
      <c r="J2794" s="31" t="s">
        <v>105</v>
      </c>
      <c r="K2794" s="31"/>
      <c r="N2794" s="13" t="s">
        <v>30</v>
      </c>
      <c r="O2794" s="28" t="str">
        <f>IF(D2794="","",IF(COUNTIF(离职清单!C:C,D2794)&gt;0,"已离职","在职"))</f>
        <v>在职</v>
      </c>
      <c r="P2794" s="28" t="str">
        <f>IF(AND(O2794="在职",J2794="是"),COUNTIF(O$2:O2794,"在职"),"")</f>
        <v/>
      </c>
    </row>
    <row r="2795" ht="18" spans="1:16">
      <c r="A2795" s="14">
        <f t="shared" si="48"/>
        <v>2794</v>
      </c>
      <c r="B2795" s="31">
        <v>46180</v>
      </c>
      <c r="C2795" s="32" t="s">
        <v>2688</v>
      </c>
      <c r="D2795" s="120" t="s">
        <v>478</v>
      </c>
      <c r="E2795" s="33" t="s">
        <v>42</v>
      </c>
      <c r="F2795" s="18" t="s">
        <v>62</v>
      </c>
      <c r="G2795" s="18" t="s">
        <v>1056</v>
      </c>
      <c r="H2795" s="34" t="s">
        <v>85</v>
      </c>
      <c r="I2795" s="18" t="s">
        <v>105</v>
      </c>
      <c r="J2795" s="31" t="s">
        <v>105</v>
      </c>
      <c r="K2795" s="31"/>
      <c r="N2795" s="13" t="s">
        <v>30</v>
      </c>
      <c r="O2795" s="28" t="str">
        <f>IF(D2795="","",IF(COUNTIF(离职清单!C:C,D2795)&gt;0,"已离职","在职"))</f>
        <v>在职</v>
      </c>
      <c r="P2795" s="28" t="str">
        <f>IF(AND(O2795="在职",J2795="是"),COUNTIF(O$2:O2795,"在职"),"")</f>
        <v/>
      </c>
    </row>
    <row r="2796" ht="18" spans="1:16">
      <c r="A2796" s="10">
        <f t="shared" ref="A2796:A2859" si="49">IF(B2796&lt;&gt;"",ROW()-1,"")</f>
        <v>2795</v>
      </c>
      <c r="B2796" s="31">
        <v>46180</v>
      </c>
      <c r="C2796" s="32" t="s">
        <v>2689</v>
      </c>
      <c r="D2796" s="120" t="s">
        <v>480</v>
      </c>
      <c r="E2796" s="33" t="s">
        <v>42</v>
      </c>
      <c r="F2796" s="18" t="s">
        <v>63</v>
      </c>
      <c r="G2796" s="18" t="s">
        <v>1056</v>
      </c>
      <c r="H2796" s="34" t="s">
        <v>85</v>
      </c>
      <c r="I2796" s="18" t="s">
        <v>2154</v>
      </c>
      <c r="J2796" s="31" t="s">
        <v>105</v>
      </c>
      <c r="K2796" s="31"/>
      <c r="N2796" s="13" t="s">
        <v>30</v>
      </c>
      <c r="O2796" s="28" t="str">
        <f>IF(D2796="","",IF(COUNTIF(离职清单!C:C,D2796)&gt;0,"已离职","在职"))</f>
        <v>在职</v>
      </c>
      <c r="P2796" s="28" t="str">
        <f>IF(AND(O2796="在职",J2796="是"),COUNTIF(O$2:O2796,"在职"),"")</f>
        <v/>
      </c>
    </row>
    <row r="2797" ht="18" spans="1:16">
      <c r="A2797" s="14">
        <f t="shared" si="49"/>
        <v>2796</v>
      </c>
      <c r="B2797" s="31">
        <v>46180</v>
      </c>
      <c r="C2797" s="32" t="s">
        <v>2690</v>
      </c>
      <c r="D2797" s="120" t="s">
        <v>482</v>
      </c>
      <c r="E2797" s="33" t="s">
        <v>42</v>
      </c>
      <c r="F2797" s="18" t="s">
        <v>62</v>
      </c>
      <c r="G2797" s="18" t="s">
        <v>2195</v>
      </c>
      <c r="H2797" s="34" t="s">
        <v>85</v>
      </c>
      <c r="I2797" s="18" t="s">
        <v>105</v>
      </c>
      <c r="J2797" s="31" t="s">
        <v>105</v>
      </c>
      <c r="K2797" s="31"/>
      <c r="N2797" s="13" t="s">
        <v>30</v>
      </c>
      <c r="O2797" s="28" t="str">
        <f>IF(D2797="","",IF(COUNTIF(离职清单!C:C,D2797)&gt;0,"已离职","在职"))</f>
        <v>在职</v>
      </c>
      <c r="P2797" s="28" t="str">
        <f>IF(AND(O2797="在职",J2797="是"),COUNTIF(O$2:O2797,"在职"),"")</f>
        <v/>
      </c>
    </row>
    <row r="2798" ht="18" spans="1:16">
      <c r="A2798" s="10">
        <f t="shared" si="49"/>
        <v>2797</v>
      </c>
      <c r="B2798" s="31">
        <v>46180</v>
      </c>
      <c r="C2798" s="32" t="s">
        <v>2691</v>
      </c>
      <c r="D2798" s="120" t="s">
        <v>484</v>
      </c>
      <c r="E2798" s="33" t="s">
        <v>42</v>
      </c>
      <c r="F2798" s="18" t="s">
        <v>63</v>
      </c>
      <c r="G2798" s="18" t="s">
        <v>2195</v>
      </c>
      <c r="H2798" s="34" t="s">
        <v>85</v>
      </c>
      <c r="I2798" s="18" t="s">
        <v>2154</v>
      </c>
      <c r="J2798" s="31" t="s">
        <v>105</v>
      </c>
      <c r="K2798" s="31"/>
      <c r="N2798" s="13" t="s">
        <v>30</v>
      </c>
      <c r="O2798" s="28" t="str">
        <f>IF(D2798="","",IF(COUNTIF(离职清单!C:C,D2798)&gt;0,"已离职","在职"))</f>
        <v>在职</v>
      </c>
      <c r="P2798" s="28" t="str">
        <f>IF(AND(O2798="在职",J2798="是"),COUNTIF(O$2:O2798,"在职"),"")</f>
        <v/>
      </c>
    </row>
    <row r="2799" ht="18" spans="1:16">
      <c r="A2799" s="14">
        <f t="shared" si="49"/>
        <v>2798</v>
      </c>
      <c r="B2799" s="31">
        <v>46180</v>
      </c>
      <c r="C2799" s="32" t="s">
        <v>2615</v>
      </c>
      <c r="D2799" s="120" t="s">
        <v>486</v>
      </c>
      <c r="E2799" s="33" t="s">
        <v>42</v>
      </c>
      <c r="F2799" s="18" t="s">
        <v>63</v>
      </c>
      <c r="G2799" s="18" t="s">
        <v>2692</v>
      </c>
      <c r="H2799" s="34" t="s">
        <v>85</v>
      </c>
      <c r="I2799" s="18" t="s">
        <v>105</v>
      </c>
      <c r="J2799" s="31" t="s">
        <v>105</v>
      </c>
      <c r="K2799" s="31"/>
      <c r="N2799" s="13" t="s">
        <v>30</v>
      </c>
      <c r="O2799" s="28" t="str">
        <f>IF(D2799="","",IF(COUNTIF(离职清单!C:C,D2799)&gt;0,"已离职","在职"))</f>
        <v>在职</v>
      </c>
      <c r="P2799" s="28" t="str">
        <f>IF(AND(O2799="在职",J2799="是"),COUNTIF(O$2:O2799,"在职"),"")</f>
        <v/>
      </c>
    </row>
    <row r="2800" ht="18" spans="1:16">
      <c r="A2800" s="10">
        <f t="shared" si="49"/>
        <v>2799</v>
      </c>
      <c r="B2800" s="31">
        <v>46180</v>
      </c>
      <c r="C2800" s="32" t="s">
        <v>2615</v>
      </c>
      <c r="D2800" s="120" t="s">
        <v>488</v>
      </c>
      <c r="E2800" s="33" t="s">
        <v>42</v>
      </c>
      <c r="F2800" s="18" t="s">
        <v>63</v>
      </c>
      <c r="G2800" s="18" t="s">
        <v>2164</v>
      </c>
      <c r="H2800" s="34" t="s">
        <v>85</v>
      </c>
      <c r="I2800" s="18" t="s">
        <v>105</v>
      </c>
      <c r="J2800" s="31" t="s">
        <v>105</v>
      </c>
      <c r="K2800" s="31"/>
      <c r="N2800" s="13" t="s">
        <v>30</v>
      </c>
      <c r="O2800" s="28" t="str">
        <f>IF(D2800="","",IF(COUNTIF(离职清单!C:C,D2800)&gt;0,"已离职","在职"))</f>
        <v>在职</v>
      </c>
      <c r="P2800" s="28" t="str">
        <f>IF(AND(O2800="在职",J2800="是"),COUNTIF(O$2:O2800,"在职"),"")</f>
        <v/>
      </c>
    </row>
    <row r="2801" ht="18" spans="1:16">
      <c r="A2801" s="14">
        <f t="shared" si="49"/>
        <v>2800</v>
      </c>
      <c r="B2801" s="31">
        <v>46180</v>
      </c>
      <c r="C2801" s="32" t="s">
        <v>2693</v>
      </c>
      <c r="D2801" s="120" t="s">
        <v>490</v>
      </c>
      <c r="E2801" s="33" t="s">
        <v>42</v>
      </c>
      <c r="F2801" s="18" t="s">
        <v>63</v>
      </c>
      <c r="G2801" s="18" t="s">
        <v>2164</v>
      </c>
      <c r="H2801" s="34" t="s">
        <v>85</v>
      </c>
      <c r="I2801" s="18" t="s">
        <v>105</v>
      </c>
      <c r="J2801" s="31" t="s">
        <v>105</v>
      </c>
      <c r="K2801" s="31"/>
      <c r="N2801" s="13" t="s">
        <v>30</v>
      </c>
      <c r="O2801" s="28" t="str">
        <f>IF(D2801="","",IF(COUNTIF(离职清单!C:C,D2801)&gt;0,"已离职","在职"))</f>
        <v>在职</v>
      </c>
      <c r="P2801" s="28" t="str">
        <f>IF(AND(O2801="在职",J2801="是"),COUNTIF(O$2:O2801,"在职"),"")</f>
        <v/>
      </c>
    </row>
    <row r="2802" ht="18" spans="1:16">
      <c r="A2802" s="10">
        <f t="shared" si="49"/>
        <v>2801</v>
      </c>
      <c r="B2802" s="31">
        <v>46180</v>
      </c>
      <c r="C2802" s="32" t="s">
        <v>2694</v>
      </c>
      <c r="D2802" s="120" t="s">
        <v>492</v>
      </c>
      <c r="E2802" s="33" t="s">
        <v>42</v>
      </c>
      <c r="F2802" s="18" t="s">
        <v>63</v>
      </c>
      <c r="G2802" s="18" t="s">
        <v>2164</v>
      </c>
      <c r="H2802" s="34" t="s">
        <v>85</v>
      </c>
      <c r="I2802" s="18" t="s">
        <v>114</v>
      </c>
      <c r="J2802" s="31" t="s">
        <v>114</v>
      </c>
      <c r="K2802" s="31">
        <v>46185</v>
      </c>
      <c r="N2802" s="13" t="s">
        <v>30</v>
      </c>
      <c r="O2802" s="28" t="str">
        <f>IF(D2802="","",IF(COUNTIF(离职清单!C:C,D2802)&gt;0,"已离职","在职"))</f>
        <v>在职</v>
      </c>
      <c r="P2802" s="28">
        <f>IF(AND(O2802="在职",J2802="是"),COUNTIF(O$2:O2802,"在职"),"")</f>
        <v>2795</v>
      </c>
    </row>
    <row r="2803" ht="18" spans="1:16">
      <c r="A2803" s="14">
        <f t="shared" si="49"/>
        <v>2802</v>
      </c>
      <c r="B2803" s="31">
        <v>46180</v>
      </c>
      <c r="C2803" s="32" t="s">
        <v>2182</v>
      </c>
      <c r="D2803" s="120" t="s">
        <v>477</v>
      </c>
      <c r="E2803" s="33" t="s">
        <v>43</v>
      </c>
      <c r="F2803" s="18" t="s">
        <v>63</v>
      </c>
      <c r="G2803" s="18" t="s">
        <v>148</v>
      </c>
      <c r="H2803" s="34" t="s">
        <v>85</v>
      </c>
      <c r="I2803" s="18" t="s">
        <v>105</v>
      </c>
      <c r="J2803" s="31" t="s">
        <v>105</v>
      </c>
      <c r="K2803" s="31"/>
      <c r="N2803" s="13" t="s">
        <v>30</v>
      </c>
      <c r="O2803" s="28" t="str">
        <f>IF(D2803="","",IF(COUNTIF(离职清单!C:C,D2803)&gt;0,"已离职","在职"))</f>
        <v>在职</v>
      </c>
      <c r="P2803" s="28" t="str">
        <f>IF(AND(O2803="在职",J2803="是"),COUNTIF(O$2:O2803,"在职"),"")</f>
        <v/>
      </c>
    </row>
    <row r="2804" ht="18" spans="1:16">
      <c r="A2804" s="10">
        <f t="shared" si="49"/>
        <v>2803</v>
      </c>
      <c r="B2804" s="31">
        <v>46180</v>
      </c>
      <c r="C2804" s="32" t="s">
        <v>2482</v>
      </c>
      <c r="D2804" s="120" t="s">
        <v>478</v>
      </c>
      <c r="E2804" s="33" t="s">
        <v>43</v>
      </c>
      <c r="F2804" s="18" t="s">
        <v>63</v>
      </c>
      <c r="G2804" s="18" t="s">
        <v>148</v>
      </c>
      <c r="H2804" s="34" t="s">
        <v>85</v>
      </c>
      <c r="I2804" s="18" t="s">
        <v>114</v>
      </c>
      <c r="J2804" s="31" t="s">
        <v>114</v>
      </c>
      <c r="K2804" s="31">
        <v>46181</v>
      </c>
      <c r="N2804" s="13" t="s">
        <v>30</v>
      </c>
      <c r="O2804" s="28" t="str">
        <f>IF(D2804="","",IF(COUNTIF(离职清单!C:C,D2804)&gt;0,"已离职","在职"))</f>
        <v>在职</v>
      </c>
      <c r="P2804" s="28">
        <f>IF(AND(O2804="在职",J2804="是"),COUNTIF(O$2:O2804,"在职"),"")</f>
        <v>2797</v>
      </c>
    </row>
    <row r="2805" ht="18" spans="1:16">
      <c r="A2805" s="14">
        <f t="shared" si="49"/>
        <v>2804</v>
      </c>
      <c r="B2805" s="31">
        <v>46180</v>
      </c>
      <c r="C2805" s="32" t="s">
        <v>2695</v>
      </c>
      <c r="D2805" s="120" t="s">
        <v>480</v>
      </c>
      <c r="E2805" s="33" t="s">
        <v>43</v>
      </c>
      <c r="F2805" s="18" t="s">
        <v>63</v>
      </c>
      <c r="G2805" s="18" t="s">
        <v>148</v>
      </c>
      <c r="H2805" s="34" t="s">
        <v>85</v>
      </c>
      <c r="I2805" s="18" t="s">
        <v>2154</v>
      </c>
      <c r="J2805" s="31" t="s">
        <v>105</v>
      </c>
      <c r="K2805" s="31"/>
      <c r="N2805" s="13" t="s">
        <v>30</v>
      </c>
      <c r="O2805" s="28" t="str">
        <f>IF(D2805="","",IF(COUNTIF(离职清单!C:C,D2805)&gt;0,"已离职","在职"))</f>
        <v>在职</v>
      </c>
      <c r="P2805" s="28" t="str">
        <f>IF(AND(O2805="在职",J2805="是"),COUNTIF(O$2:O2805,"在职"),"")</f>
        <v/>
      </c>
    </row>
    <row r="2806" ht="18" spans="1:16">
      <c r="A2806" s="10">
        <f t="shared" si="49"/>
        <v>2805</v>
      </c>
      <c r="B2806" s="31">
        <v>46180</v>
      </c>
      <c r="C2806" s="32" t="s">
        <v>2579</v>
      </c>
      <c r="D2806" s="120" t="s">
        <v>482</v>
      </c>
      <c r="E2806" s="33" t="s">
        <v>43</v>
      </c>
      <c r="F2806" s="18" t="s">
        <v>62</v>
      </c>
      <c r="G2806" s="18" t="s">
        <v>148</v>
      </c>
      <c r="H2806" s="34" t="s">
        <v>85</v>
      </c>
      <c r="I2806" s="18" t="s">
        <v>2154</v>
      </c>
      <c r="J2806" s="31" t="s">
        <v>105</v>
      </c>
      <c r="K2806" s="31"/>
      <c r="N2806" s="13" t="s">
        <v>30</v>
      </c>
      <c r="O2806" s="28" t="str">
        <f>IF(D2806="","",IF(COUNTIF(离职清单!C:C,D2806)&gt;0,"已离职","在职"))</f>
        <v>在职</v>
      </c>
      <c r="P2806" s="28" t="str">
        <f>IF(AND(O2806="在职",J2806="是"),COUNTIF(O$2:O2806,"在职"),"")</f>
        <v/>
      </c>
    </row>
    <row r="2807" ht="18" spans="1:16">
      <c r="A2807" s="14">
        <f t="shared" si="49"/>
        <v>2806</v>
      </c>
      <c r="B2807" s="31">
        <v>46180</v>
      </c>
      <c r="C2807" s="32" t="s">
        <v>2696</v>
      </c>
      <c r="D2807" s="120" t="s">
        <v>484</v>
      </c>
      <c r="E2807" s="33" t="s">
        <v>43</v>
      </c>
      <c r="F2807" s="18" t="s">
        <v>63</v>
      </c>
      <c r="G2807" s="18" t="s">
        <v>148</v>
      </c>
      <c r="H2807" s="34" t="s">
        <v>85</v>
      </c>
      <c r="I2807" s="18" t="s">
        <v>105</v>
      </c>
      <c r="J2807" s="31" t="s">
        <v>105</v>
      </c>
      <c r="K2807" s="31"/>
      <c r="N2807" s="13" t="s">
        <v>30</v>
      </c>
      <c r="O2807" s="28" t="str">
        <f>IF(D2807="","",IF(COUNTIF(离职清单!C:C,D2807)&gt;0,"已离职","在职"))</f>
        <v>在职</v>
      </c>
      <c r="P2807" s="28" t="str">
        <f>IF(AND(O2807="在职",J2807="是"),COUNTIF(O$2:O2807,"在职"),"")</f>
        <v/>
      </c>
    </row>
    <row r="2808" ht="18" spans="1:16">
      <c r="A2808" s="10">
        <f t="shared" si="49"/>
        <v>2807</v>
      </c>
      <c r="B2808" s="31">
        <v>46180</v>
      </c>
      <c r="C2808" s="32" t="s">
        <v>2697</v>
      </c>
      <c r="D2808" s="120" t="s">
        <v>486</v>
      </c>
      <c r="E2808" s="33" t="s">
        <v>43</v>
      </c>
      <c r="F2808" s="18" t="s">
        <v>63</v>
      </c>
      <c r="G2808" s="18" t="s">
        <v>148</v>
      </c>
      <c r="H2808" s="34" t="s">
        <v>85</v>
      </c>
      <c r="I2808" s="18" t="s">
        <v>2154</v>
      </c>
      <c r="J2808" s="31" t="s">
        <v>105</v>
      </c>
      <c r="K2808" s="31"/>
      <c r="N2808" s="13" t="s">
        <v>30</v>
      </c>
      <c r="O2808" s="28" t="str">
        <f>IF(D2808="","",IF(COUNTIF(离职清单!C:C,D2808)&gt;0,"已离职","在职"))</f>
        <v>在职</v>
      </c>
      <c r="P2808" s="28" t="str">
        <f>IF(AND(O2808="在职",J2808="是"),COUNTIF(O$2:O2808,"在职"),"")</f>
        <v/>
      </c>
    </row>
    <row r="2809" ht="18" spans="1:16">
      <c r="A2809" s="14">
        <f t="shared" si="49"/>
        <v>2808</v>
      </c>
      <c r="B2809" s="31">
        <v>46180</v>
      </c>
      <c r="C2809" s="32" t="s">
        <v>2698</v>
      </c>
      <c r="D2809" s="120" t="s">
        <v>488</v>
      </c>
      <c r="E2809" s="33" t="s">
        <v>43</v>
      </c>
      <c r="F2809" s="18" t="s">
        <v>62</v>
      </c>
      <c r="G2809" s="18" t="s">
        <v>2153</v>
      </c>
      <c r="H2809" s="34" t="s">
        <v>85</v>
      </c>
      <c r="I2809" s="18" t="s">
        <v>114</v>
      </c>
      <c r="J2809" s="31" t="s">
        <v>105</v>
      </c>
      <c r="K2809" s="31"/>
      <c r="N2809" s="13" t="s">
        <v>30</v>
      </c>
      <c r="O2809" s="28" t="str">
        <f>IF(D2809="","",IF(COUNTIF(离职清单!C:C,D2809)&gt;0,"已离职","在职"))</f>
        <v>在职</v>
      </c>
      <c r="P2809" s="28" t="str">
        <f>IF(AND(O2809="在职",J2809="是"),COUNTIF(O$2:O2809,"在职"),"")</f>
        <v/>
      </c>
    </row>
    <row r="2810" ht="18" spans="1:16">
      <c r="A2810" s="10">
        <f t="shared" si="49"/>
        <v>2809</v>
      </c>
      <c r="B2810" s="31">
        <v>46180</v>
      </c>
      <c r="C2810" s="32" t="s">
        <v>2699</v>
      </c>
      <c r="D2810" s="120" t="s">
        <v>490</v>
      </c>
      <c r="E2810" s="33" t="s">
        <v>43</v>
      </c>
      <c r="F2810" s="18" t="s">
        <v>62</v>
      </c>
      <c r="G2810" s="18" t="s">
        <v>307</v>
      </c>
      <c r="H2810" s="34" t="s">
        <v>85</v>
      </c>
      <c r="I2810" s="18" t="s">
        <v>114</v>
      </c>
      <c r="J2810" s="31" t="s">
        <v>114</v>
      </c>
      <c r="K2810" s="31">
        <v>46183</v>
      </c>
      <c r="N2810" s="13" t="s">
        <v>30</v>
      </c>
      <c r="O2810" s="28" t="str">
        <f>IF(D2810="","",IF(COUNTIF(离职清单!C:C,D2810)&gt;0,"已离职","在职"))</f>
        <v>在职</v>
      </c>
      <c r="P2810" s="28">
        <f>IF(AND(O2810="在职",J2810="是"),COUNTIF(O$2:O2810,"在职"),"")</f>
        <v>2803</v>
      </c>
    </row>
    <row r="2811" ht="18" spans="1:16">
      <c r="A2811" s="14">
        <f t="shared" si="49"/>
        <v>2810</v>
      </c>
      <c r="B2811" s="31">
        <v>46180</v>
      </c>
      <c r="C2811" s="32" t="s">
        <v>2700</v>
      </c>
      <c r="D2811" s="120" t="s">
        <v>492</v>
      </c>
      <c r="E2811" s="33" t="s">
        <v>43</v>
      </c>
      <c r="F2811" s="18" t="s">
        <v>63</v>
      </c>
      <c r="G2811" s="18" t="s">
        <v>2250</v>
      </c>
      <c r="H2811" s="34" t="s">
        <v>85</v>
      </c>
      <c r="I2811" s="18" t="s">
        <v>105</v>
      </c>
      <c r="J2811" s="31" t="s">
        <v>105</v>
      </c>
      <c r="K2811" s="31"/>
      <c r="N2811" s="13" t="s">
        <v>30</v>
      </c>
      <c r="O2811" s="28" t="str">
        <f>IF(D2811="","",IF(COUNTIF(离职清单!C:C,D2811)&gt;0,"已离职","在职"))</f>
        <v>在职</v>
      </c>
      <c r="P2811" s="28" t="str">
        <f>IF(AND(O2811="在职",J2811="是"),COUNTIF(O$2:O2811,"在职"),"")</f>
        <v/>
      </c>
    </row>
    <row r="2812" ht="18" spans="1:16">
      <c r="A2812" s="10">
        <f t="shared" si="49"/>
        <v>2811</v>
      </c>
      <c r="B2812" s="31">
        <v>46180</v>
      </c>
      <c r="C2812" s="32" t="s">
        <v>2584</v>
      </c>
      <c r="D2812" s="120" t="s">
        <v>477</v>
      </c>
      <c r="E2812" s="33" t="s">
        <v>43</v>
      </c>
      <c r="F2812" s="18" t="s">
        <v>63</v>
      </c>
      <c r="G2812" s="18" t="s">
        <v>2250</v>
      </c>
      <c r="H2812" s="34" t="s">
        <v>85</v>
      </c>
      <c r="I2812" s="18" t="s">
        <v>114</v>
      </c>
      <c r="J2812" s="31" t="s">
        <v>114</v>
      </c>
      <c r="K2812" s="31">
        <v>46185</v>
      </c>
      <c r="N2812" s="13" t="s">
        <v>30</v>
      </c>
      <c r="O2812" s="28" t="str">
        <f>IF(D2812="","",IF(COUNTIF(离职清单!C:C,D2812)&gt;0,"已离职","在职"))</f>
        <v>在职</v>
      </c>
      <c r="P2812" s="28">
        <f>IF(AND(O2812="在职",J2812="是"),COUNTIF(O$2:O2812,"在职"),"")</f>
        <v>2805</v>
      </c>
    </row>
    <row r="2813" ht="18" spans="1:16">
      <c r="A2813" s="14">
        <f t="shared" si="49"/>
        <v>2812</v>
      </c>
      <c r="B2813" s="31">
        <v>46180</v>
      </c>
      <c r="C2813" s="32" t="s">
        <v>2650</v>
      </c>
      <c r="D2813" s="120" t="s">
        <v>478</v>
      </c>
      <c r="E2813" s="33" t="s">
        <v>43</v>
      </c>
      <c r="F2813" s="18" t="s">
        <v>62</v>
      </c>
      <c r="G2813" s="18" t="s">
        <v>2250</v>
      </c>
      <c r="H2813" s="34" t="s">
        <v>85</v>
      </c>
      <c r="I2813" s="18" t="s">
        <v>114</v>
      </c>
      <c r="J2813" s="31" t="s">
        <v>114</v>
      </c>
      <c r="K2813" s="31">
        <v>46181</v>
      </c>
      <c r="N2813" s="13" t="s">
        <v>30</v>
      </c>
      <c r="O2813" s="28" t="str">
        <f>IF(D2813="","",IF(COUNTIF(离职清单!C:C,D2813)&gt;0,"已离职","在职"))</f>
        <v>在职</v>
      </c>
      <c r="P2813" s="28">
        <f>IF(AND(O2813="在职",J2813="是"),COUNTIF(O$2:O2813,"在职"),"")</f>
        <v>2806</v>
      </c>
    </row>
    <row r="2814" ht="18" spans="1:16">
      <c r="A2814" s="10">
        <f t="shared" si="49"/>
        <v>2813</v>
      </c>
      <c r="B2814" s="31">
        <v>46180</v>
      </c>
      <c r="C2814" s="32" t="s">
        <v>2701</v>
      </c>
      <c r="D2814" s="120" t="s">
        <v>480</v>
      </c>
      <c r="E2814" s="33" t="s">
        <v>43</v>
      </c>
      <c r="F2814" s="18" t="s">
        <v>63</v>
      </c>
      <c r="G2814" s="18" t="s">
        <v>2250</v>
      </c>
      <c r="H2814" s="34" t="s">
        <v>85</v>
      </c>
      <c r="I2814" s="18" t="s">
        <v>2154</v>
      </c>
      <c r="J2814" s="31" t="s">
        <v>105</v>
      </c>
      <c r="K2814" s="31"/>
      <c r="N2814" s="13" t="s">
        <v>30</v>
      </c>
      <c r="O2814" s="28" t="str">
        <f>IF(D2814="","",IF(COUNTIF(离职清单!C:C,D2814)&gt;0,"已离职","在职"))</f>
        <v>在职</v>
      </c>
      <c r="P2814" s="28" t="str">
        <f>IF(AND(O2814="在职",J2814="是"),COUNTIF(O$2:O2814,"在职"),"")</f>
        <v/>
      </c>
    </row>
    <row r="2815" ht="18" spans="1:16">
      <c r="A2815" s="14">
        <f t="shared" si="49"/>
        <v>2814</v>
      </c>
      <c r="B2815" s="31">
        <v>46180</v>
      </c>
      <c r="C2815" s="32" t="s">
        <v>2702</v>
      </c>
      <c r="D2815" s="120" t="s">
        <v>482</v>
      </c>
      <c r="E2815" s="33" t="s">
        <v>43</v>
      </c>
      <c r="F2815" s="18" t="s">
        <v>62</v>
      </c>
      <c r="G2815" s="18" t="s">
        <v>2250</v>
      </c>
      <c r="H2815" s="34" t="s">
        <v>85</v>
      </c>
      <c r="I2815" s="18" t="s">
        <v>105</v>
      </c>
      <c r="J2815" s="31" t="s">
        <v>105</v>
      </c>
      <c r="K2815" s="31"/>
      <c r="N2815" s="13" t="s">
        <v>30</v>
      </c>
      <c r="O2815" s="28" t="str">
        <f>IF(D2815="","",IF(COUNTIF(离职清单!C:C,D2815)&gt;0,"已离职","在职"))</f>
        <v>在职</v>
      </c>
      <c r="P2815" s="28" t="str">
        <f>IF(AND(O2815="在职",J2815="是"),COUNTIF(O$2:O2815,"在职"),"")</f>
        <v/>
      </c>
    </row>
    <row r="2816" ht="18" spans="1:16">
      <c r="A2816" s="10">
        <f t="shared" si="49"/>
        <v>2815</v>
      </c>
      <c r="B2816" s="31">
        <v>46180</v>
      </c>
      <c r="C2816" s="32" t="s">
        <v>2667</v>
      </c>
      <c r="D2816" s="120" t="s">
        <v>484</v>
      </c>
      <c r="E2816" s="33" t="s">
        <v>43</v>
      </c>
      <c r="F2816" s="18" t="s">
        <v>64</v>
      </c>
      <c r="G2816" s="18" t="s">
        <v>2195</v>
      </c>
      <c r="H2816" s="34" t="s">
        <v>85</v>
      </c>
      <c r="I2816" s="18" t="s">
        <v>114</v>
      </c>
      <c r="J2816" s="31" t="s">
        <v>105</v>
      </c>
      <c r="K2816" s="31"/>
      <c r="N2816" s="13" t="s">
        <v>30</v>
      </c>
      <c r="O2816" s="28" t="str">
        <f>IF(D2816="","",IF(COUNTIF(离职清单!C:C,D2816)&gt;0,"已离职","在职"))</f>
        <v>在职</v>
      </c>
      <c r="P2816" s="28" t="str">
        <f>IF(AND(O2816="在职",J2816="是"),COUNTIF(O$2:O2816,"在职"),"")</f>
        <v/>
      </c>
    </row>
    <row r="2817" ht="18" spans="1:16">
      <c r="A2817" s="14">
        <f t="shared" si="49"/>
        <v>2816</v>
      </c>
      <c r="B2817" s="31">
        <v>46180</v>
      </c>
      <c r="C2817" s="32" t="s">
        <v>2703</v>
      </c>
      <c r="D2817" s="120" t="s">
        <v>486</v>
      </c>
      <c r="E2817" s="33" t="s">
        <v>43</v>
      </c>
      <c r="F2817" s="18" t="s">
        <v>62</v>
      </c>
      <c r="G2817" s="18" t="s">
        <v>2195</v>
      </c>
      <c r="H2817" s="34" t="s">
        <v>85</v>
      </c>
      <c r="I2817" s="18" t="s">
        <v>2154</v>
      </c>
      <c r="J2817" s="31" t="s">
        <v>105</v>
      </c>
      <c r="K2817" s="31"/>
      <c r="N2817" s="13" t="s">
        <v>30</v>
      </c>
      <c r="O2817" s="28" t="str">
        <f>IF(D2817="","",IF(COUNTIF(离职清单!C:C,D2817)&gt;0,"已离职","在职"))</f>
        <v>在职</v>
      </c>
      <c r="P2817" s="28" t="str">
        <f>IF(AND(O2817="在职",J2817="是"),COUNTIF(O$2:O2817,"在职"),"")</f>
        <v/>
      </c>
    </row>
    <row r="2818" ht="18" spans="1:16">
      <c r="A2818" s="10">
        <f t="shared" si="49"/>
        <v>2817</v>
      </c>
      <c r="B2818" s="31">
        <v>46180</v>
      </c>
      <c r="C2818" s="32" t="s">
        <v>2704</v>
      </c>
      <c r="D2818" s="120" t="s">
        <v>488</v>
      </c>
      <c r="E2818" s="33" t="s">
        <v>43</v>
      </c>
      <c r="F2818" s="18" t="s">
        <v>63</v>
      </c>
      <c r="G2818" s="18" t="s">
        <v>148</v>
      </c>
      <c r="H2818" s="34" t="s">
        <v>85</v>
      </c>
      <c r="I2818" s="18" t="s">
        <v>2154</v>
      </c>
      <c r="J2818" s="31" t="s">
        <v>105</v>
      </c>
      <c r="K2818" s="31"/>
      <c r="N2818" s="13" t="s">
        <v>30</v>
      </c>
      <c r="O2818" s="28" t="str">
        <f>IF(D2818="","",IF(COUNTIF(离职清单!C:C,D2818)&gt;0,"已离职","在职"))</f>
        <v>在职</v>
      </c>
      <c r="P2818" s="28" t="str">
        <f>IF(AND(O2818="在职",J2818="是"),COUNTIF(O$2:O2818,"在职"),"")</f>
        <v/>
      </c>
    </row>
    <row r="2819" ht="18" spans="1:16">
      <c r="A2819" s="14">
        <f t="shared" si="49"/>
        <v>2818</v>
      </c>
      <c r="B2819" s="31">
        <v>46180</v>
      </c>
      <c r="C2819" s="32" t="s">
        <v>2705</v>
      </c>
      <c r="D2819" s="120" t="s">
        <v>490</v>
      </c>
      <c r="E2819" s="33" t="s">
        <v>43</v>
      </c>
      <c r="F2819" s="18" t="s">
        <v>63</v>
      </c>
      <c r="G2819" s="18" t="s">
        <v>2250</v>
      </c>
      <c r="H2819" s="34" t="s">
        <v>85</v>
      </c>
      <c r="I2819" s="18" t="s">
        <v>105</v>
      </c>
      <c r="J2819" s="31" t="s">
        <v>105</v>
      </c>
      <c r="K2819" s="31"/>
      <c r="N2819" s="13" t="s">
        <v>30</v>
      </c>
      <c r="O2819" s="28" t="str">
        <f>IF(D2819="","",IF(COUNTIF(离职清单!C:C,D2819)&gt;0,"已离职","在职"))</f>
        <v>在职</v>
      </c>
      <c r="P2819" s="28" t="str">
        <f>IF(AND(O2819="在职",J2819="是"),COUNTIF(O$2:O2819,"在职"),"")</f>
        <v/>
      </c>
    </row>
    <row r="2820" ht="18" spans="1:16">
      <c r="A2820" s="10">
        <f t="shared" si="49"/>
        <v>2819</v>
      </c>
      <c r="B2820" s="31">
        <v>46180</v>
      </c>
      <c r="C2820" s="32" t="s">
        <v>2582</v>
      </c>
      <c r="D2820" s="120" t="s">
        <v>492</v>
      </c>
      <c r="E2820" s="33" t="s">
        <v>43</v>
      </c>
      <c r="F2820" s="18" t="s">
        <v>63</v>
      </c>
      <c r="G2820" s="18" t="s">
        <v>148</v>
      </c>
      <c r="H2820" s="34" t="s">
        <v>85</v>
      </c>
      <c r="I2820" s="18" t="s">
        <v>2154</v>
      </c>
      <c r="J2820" s="31" t="s">
        <v>105</v>
      </c>
      <c r="K2820" s="31"/>
      <c r="N2820" s="13" t="s">
        <v>30</v>
      </c>
      <c r="O2820" s="28" t="str">
        <f>IF(D2820="","",IF(COUNTIF(离职清单!C:C,D2820)&gt;0,"已离职","在职"))</f>
        <v>在职</v>
      </c>
      <c r="P2820" s="28" t="str">
        <f>IF(AND(O2820="在职",J2820="是"),COUNTIF(O$2:O2820,"在职"),"")</f>
        <v/>
      </c>
    </row>
    <row r="2821" ht="18" spans="1:16">
      <c r="A2821" s="14">
        <f t="shared" si="49"/>
        <v>2820</v>
      </c>
      <c r="B2821" s="31">
        <v>46180</v>
      </c>
      <c r="C2821" s="32" t="s">
        <v>2706</v>
      </c>
      <c r="D2821" s="120" t="s">
        <v>477</v>
      </c>
      <c r="E2821" s="33" t="s">
        <v>42</v>
      </c>
      <c r="F2821" s="18" t="s">
        <v>63</v>
      </c>
      <c r="G2821" s="18" t="s">
        <v>233</v>
      </c>
      <c r="H2821" s="34" t="s">
        <v>85</v>
      </c>
      <c r="I2821" s="18" t="s">
        <v>2154</v>
      </c>
      <c r="J2821" s="31" t="s">
        <v>105</v>
      </c>
      <c r="K2821" s="31"/>
      <c r="N2821" s="13" t="s">
        <v>30</v>
      </c>
      <c r="O2821" s="28" t="str">
        <f>IF(D2821="","",IF(COUNTIF(离职清单!C:C,D2821)&gt;0,"已离职","在职"))</f>
        <v>在职</v>
      </c>
      <c r="P2821" s="28" t="str">
        <f>IF(AND(O2821="在职",J2821="是"),COUNTIF(O$2:O2821,"在职"),"")</f>
        <v/>
      </c>
    </row>
    <row r="2822" ht="18" spans="1:16">
      <c r="A2822" s="10">
        <f t="shared" si="49"/>
        <v>2821</v>
      </c>
      <c r="B2822" s="31">
        <v>46180</v>
      </c>
      <c r="C2822" s="32" t="s">
        <v>2639</v>
      </c>
      <c r="D2822" s="120" t="s">
        <v>477</v>
      </c>
      <c r="E2822" s="33" t="s">
        <v>42</v>
      </c>
      <c r="F2822" s="18" t="s">
        <v>63</v>
      </c>
      <c r="G2822" s="18" t="s">
        <v>2174</v>
      </c>
      <c r="H2822" s="34" t="s">
        <v>85</v>
      </c>
      <c r="I2822" s="18" t="s">
        <v>2154</v>
      </c>
      <c r="J2822" s="31" t="s">
        <v>105</v>
      </c>
      <c r="K2822" s="31"/>
      <c r="N2822" s="13" t="s">
        <v>30</v>
      </c>
      <c r="O2822" s="28" t="str">
        <f>IF(D2822="","",IF(COUNTIF(离职清单!C:C,D2822)&gt;0,"已离职","在职"))</f>
        <v>在职</v>
      </c>
      <c r="P2822" s="28" t="str">
        <f>IF(AND(O2822="在职",J2822="是"),COUNTIF(O$2:O2822,"在职"),"")</f>
        <v/>
      </c>
    </row>
    <row r="2823" ht="18" spans="1:16">
      <c r="A2823" s="14">
        <f t="shared" si="49"/>
        <v>2822</v>
      </c>
      <c r="B2823" s="31">
        <v>46180</v>
      </c>
      <c r="C2823" s="32" t="s">
        <v>2707</v>
      </c>
      <c r="D2823" s="120" t="s">
        <v>478</v>
      </c>
      <c r="E2823" s="33" t="s">
        <v>42</v>
      </c>
      <c r="F2823" s="18" t="s">
        <v>63</v>
      </c>
      <c r="G2823" s="18" t="s">
        <v>2181</v>
      </c>
      <c r="H2823" s="34" t="s">
        <v>85</v>
      </c>
      <c r="I2823" s="18" t="s">
        <v>2154</v>
      </c>
      <c r="J2823" s="31" t="s">
        <v>105</v>
      </c>
      <c r="K2823" s="31"/>
      <c r="N2823" s="13" t="s">
        <v>30</v>
      </c>
      <c r="O2823" s="28" t="str">
        <f>IF(D2823="","",IF(COUNTIF(离职清单!C:C,D2823)&gt;0,"已离职","在职"))</f>
        <v>在职</v>
      </c>
      <c r="P2823" s="28" t="str">
        <f>IF(AND(O2823="在职",J2823="是"),COUNTIF(O$2:O2823,"在职"),"")</f>
        <v/>
      </c>
    </row>
    <row r="2824" ht="18" spans="1:16">
      <c r="A2824" s="10">
        <f t="shared" si="49"/>
        <v>2823</v>
      </c>
      <c r="B2824" s="31">
        <v>46180</v>
      </c>
      <c r="C2824" s="32" t="s">
        <v>2341</v>
      </c>
      <c r="D2824" s="120" t="s">
        <v>480</v>
      </c>
      <c r="E2824" s="33" t="s">
        <v>43</v>
      </c>
      <c r="F2824" s="18" t="s">
        <v>63</v>
      </c>
      <c r="G2824" s="18" t="s">
        <v>129</v>
      </c>
      <c r="H2824" s="34" t="s">
        <v>85</v>
      </c>
      <c r="I2824" s="18" t="s">
        <v>2154</v>
      </c>
      <c r="J2824" s="31" t="s">
        <v>105</v>
      </c>
      <c r="K2824" s="31"/>
      <c r="N2824" s="13" t="s">
        <v>30</v>
      </c>
      <c r="O2824" s="28" t="str">
        <f>IF(D2824="","",IF(COUNTIF(离职清单!C:C,D2824)&gt;0,"已离职","在职"))</f>
        <v>在职</v>
      </c>
      <c r="P2824" s="28" t="str">
        <f>IF(AND(O2824="在职",J2824="是"),COUNTIF(O$2:O2824,"在职"),"")</f>
        <v/>
      </c>
    </row>
    <row r="2825" ht="18" spans="1:16">
      <c r="A2825" s="14">
        <f t="shared" si="49"/>
        <v>2824</v>
      </c>
      <c r="B2825" s="31">
        <v>46180</v>
      </c>
      <c r="C2825" s="32" t="s">
        <v>2691</v>
      </c>
      <c r="D2825" s="120" t="s">
        <v>482</v>
      </c>
      <c r="E2825" s="33" t="s">
        <v>42</v>
      </c>
      <c r="F2825" s="18" t="s">
        <v>63</v>
      </c>
      <c r="G2825" s="18" t="s">
        <v>2250</v>
      </c>
      <c r="H2825" s="34" t="s">
        <v>85</v>
      </c>
      <c r="I2825" s="18" t="s">
        <v>2154</v>
      </c>
      <c r="J2825" s="31" t="s">
        <v>105</v>
      </c>
      <c r="K2825" s="31"/>
      <c r="N2825" s="13" t="s">
        <v>30</v>
      </c>
      <c r="O2825" s="28" t="str">
        <f>IF(D2825="","",IF(COUNTIF(离职清单!C:C,D2825)&gt;0,"已离职","在职"))</f>
        <v>在职</v>
      </c>
      <c r="P2825" s="28" t="str">
        <f>IF(AND(O2825="在职",J2825="是"),COUNTIF(O$2:O2825,"在职"),"")</f>
        <v/>
      </c>
    </row>
    <row r="2826" ht="18" spans="1:16">
      <c r="A2826" s="10">
        <f t="shared" si="49"/>
        <v>2825</v>
      </c>
      <c r="B2826" s="31">
        <v>46180</v>
      </c>
      <c r="C2826" s="32" t="s">
        <v>1668</v>
      </c>
      <c r="D2826" s="120" t="s">
        <v>484</v>
      </c>
      <c r="E2826" s="33" t="s">
        <v>43</v>
      </c>
      <c r="F2826" s="18" t="s">
        <v>62</v>
      </c>
      <c r="G2826" s="18" t="s">
        <v>2250</v>
      </c>
      <c r="H2826" s="34" t="s">
        <v>85</v>
      </c>
      <c r="I2826" s="18" t="s">
        <v>2154</v>
      </c>
      <c r="J2826" s="31" t="s">
        <v>105</v>
      </c>
      <c r="K2826" s="31"/>
      <c r="N2826" s="13" t="s">
        <v>30</v>
      </c>
      <c r="O2826" s="28" t="str">
        <f>IF(D2826="","",IF(COUNTIF(离职清单!C:C,D2826)&gt;0,"已离职","在职"))</f>
        <v>在职</v>
      </c>
      <c r="P2826" s="28" t="str">
        <f>IF(AND(O2826="在职",J2826="是"),COUNTIF(O$2:O2826,"在职"),"")</f>
        <v/>
      </c>
    </row>
    <row r="2827" ht="18" spans="1:16">
      <c r="A2827" s="14">
        <f t="shared" si="49"/>
        <v>2826</v>
      </c>
      <c r="B2827" s="31">
        <v>46180</v>
      </c>
      <c r="C2827" s="32" t="s">
        <v>2572</v>
      </c>
      <c r="D2827" s="120" t="s">
        <v>486</v>
      </c>
      <c r="E2827" s="33" t="s">
        <v>42</v>
      </c>
      <c r="F2827" s="18" t="s">
        <v>63</v>
      </c>
      <c r="G2827" s="18" t="s">
        <v>2250</v>
      </c>
      <c r="H2827" s="34" t="s">
        <v>85</v>
      </c>
      <c r="I2827" s="18" t="s">
        <v>2154</v>
      </c>
      <c r="J2827" s="31" t="s">
        <v>105</v>
      </c>
      <c r="K2827" s="31"/>
      <c r="N2827" s="13" t="s">
        <v>30</v>
      </c>
      <c r="O2827" s="28" t="str">
        <f>IF(D2827="","",IF(COUNTIF(离职清单!C:C,D2827)&gt;0,"已离职","在职"))</f>
        <v>在职</v>
      </c>
      <c r="P2827" s="28" t="str">
        <f>IF(AND(O2827="在职",J2827="是"),COUNTIF(O$2:O2827,"在职"),"")</f>
        <v/>
      </c>
    </row>
    <row r="2828" ht="18" spans="1:16">
      <c r="A2828" s="10">
        <f t="shared" si="49"/>
        <v>2827</v>
      </c>
      <c r="B2828" s="31">
        <v>46180</v>
      </c>
      <c r="C2828" s="32" t="s">
        <v>2708</v>
      </c>
      <c r="D2828" s="120" t="s">
        <v>488</v>
      </c>
      <c r="E2828" s="33" t="s">
        <v>42</v>
      </c>
      <c r="F2828" s="18" t="s">
        <v>63</v>
      </c>
      <c r="G2828" s="18" t="s">
        <v>2166</v>
      </c>
      <c r="H2828" s="34" t="s">
        <v>85</v>
      </c>
      <c r="I2828" s="18" t="s">
        <v>2154</v>
      </c>
      <c r="J2828" s="31" t="s">
        <v>105</v>
      </c>
      <c r="K2828" s="31"/>
      <c r="N2828" s="13" t="s">
        <v>30</v>
      </c>
      <c r="O2828" s="28" t="str">
        <f>IF(D2828="","",IF(COUNTIF(离职清单!C:C,D2828)&gt;0,"已离职","在职"))</f>
        <v>在职</v>
      </c>
      <c r="P2828" s="28" t="str">
        <f>IF(AND(O2828="在职",J2828="是"),COUNTIF(O$2:O2828,"在职"),"")</f>
        <v/>
      </c>
    </row>
    <row r="2829" ht="18" spans="1:16">
      <c r="A2829" s="14">
        <f t="shared" si="49"/>
        <v>2828</v>
      </c>
      <c r="B2829" s="31">
        <v>46180</v>
      </c>
      <c r="C2829" s="32" t="s">
        <v>2709</v>
      </c>
      <c r="D2829" s="120" t="s">
        <v>490</v>
      </c>
      <c r="E2829" s="33" t="s">
        <v>42</v>
      </c>
      <c r="F2829" s="18" t="s">
        <v>62</v>
      </c>
      <c r="G2829" s="18" t="s">
        <v>2156</v>
      </c>
      <c r="H2829" s="34" t="s">
        <v>85</v>
      </c>
      <c r="I2829" s="18" t="s">
        <v>2154</v>
      </c>
      <c r="J2829" s="31" t="s">
        <v>105</v>
      </c>
      <c r="K2829" s="31"/>
      <c r="N2829" s="13" t="s">
        <v>30</v>
      </c>
      <c r="O2829" s="28" t="str">
        <f>IF(D2829="","",IF(COUNTIF(离职清单!C:C,D2829)&gt;0,"已离职","在职"))</f>
        <v>在职</v>
      </c>
      <c r="P2829" s="28" t="str">
        <f>IF(AND(O2829="在职",J2829="是"),COUNTIF(O$2:O2829,"在职"),"")</f>
        <v/>
      </c>
    </row>
    <row r="2830" ht="18" spans="1:16">
      <c r="A2830" s="10">
        <f t="shared" si="49"/>
        <v>2829</v>
      </c>
      <c r="B2830" s="31">
        <v>46180</v>
      </c>
      <c r="C2830" s="32" t="s">
        <v>2710</v>
      </c>
      <c r="D2830" s="120" t="s">
        <v>492</v>
      </c>
      <c r="E2830" s="33" t="s">
        <v>42</v>
      </c>
      <c r="F2830" s="18" t="s">
        <v>62</v>
      </c>
      <c r="G2830" s="18" t="s">
        <v>2156</v>
      </c>
      <c r="H2830" s="34" t="s">
        <v>85</v>
      </c>
      <c r="I2830" s="18" t="s">
        <v>2154</v>
      </c>
      <c r="J2830" s="31" t="s">
        <v>105</v>
      </c>
      <c r="K2830" s="31"/>
      <c r="N2830" s="13" t="s">
        <v>30</v>
      </c>
      <c r="O2830" s="28" t="str">
        <f>IF(D2830="","",IF(COUNTIF(离职清单!C:C,D2830)&gt;0,"已离职","在职"))</f>
        <v>在职</v>
      </c>
      <c r="P2830" s="28" t="str">
        <f>IF(AND(O2830="在职",J2830="是"),COUNTIF(O$2:O2830,"在职"),"")</f>
        <v/>
      </c>
    </row>
    <row r="2831" ht="18" spans="1:16">
      <c r="A2831" s="14">
        <f t="shared" si="49"/>
        <v>2830</v>
      </c>
      <c r="B2831" s="31">
        <v>46180</v>
      </c>
      <c r="C2831" s="32" t="s">
        <v>2711</v>
      </c>
      <c r="D2831" s="120" t="s">
        <v>477</v>
      </c>
      <c r="E2831" s="33" t="s">
        <v>42</v>
      </c>
      <c r="F2831" s="18" t="s">
        <v>63</v>
      </c>
      <c r="G2831" s="18" t="s">
        <v>129</v>
      </c>
      <c r="H2831" s="34" t="s">
        <v>85</v>
      </c>
      <c r="I2831" s="18" t="s">
        <v>114</v>
      </c>
      <c r="J2831" s="31" t="s">
        <v>114</v>
      </c>
      <c r="K2831" s="31">
        <v>46182</v>
      </c>
      <c r="N2831" s="13" t="s">
        <v>30</v>
      </c>
      <c r="O2831" s="28" t="str">
        <f>IF(D2831="","",IF(COUNTIF(离职清单!C:C,D2831)&gt;0,"已离职","在职"))</f>
        <v>在职</v>
      </c>
      <c r="P2831" s="28">
        <f>IF(AND(O2831="在职",J2831="是"),COUNTIF(O$2:O2831,"在职"),"")</f>
        <v>2824</v>
      </c>
    </row>
    <row r="2832" ht="18" spans="1:16">
      <c r="A2832" s="10">
        <f t="shared" si="49"/>
        <v>2831</v>
      </c>
      <c r="B2832" s="31">
        <v>46180</v>
      </c>
      <c r="C2832" s="32" t="s">
        <v>2609</v>
      </c>
      <c r="D2832" s="120" t="s">
        <v>478</v>
      </c>
      <c r="E2832" s="33" t="s">
        <v>42</v>
      </c>
      <c r="F2832" s="18" t="s">
        <v>63</v>
      </c>
      <c r="G2832" s="18" t="s">
        <v>129</v>
      </c>
      <c r="H2832" s="34" t="s">
        <v>85</v>
      </c>
      <c r="I2832" s="18" t="s">
        <v>114</v>
      </c>
      <c r="J2832" s="31" t="s">
        <v>105</v>
      </c>
      <c r="K2832" s="31"/>
      <c r="N2832" s="13" t="s">
        <v>30</v>
      </c>
      <c r="O2832" s="28" t="str">
        <f>IF(D2832="","",IF(COUNTIF(离职清单!C:C,D2832)&gt;0,"已离职","在职"))</f>
        <v>在职</v>
      </c>
      <c r="P2832" s="28" t="str">
        <f>IF(AND(O2832="在职",J2832="是"),COUNTIF(O$2:O2832,"在职"),"")</f>
        <v/>
      </c>
    </row>
    <row r="2833" ht="18" spans="1:16">
      <c r="A2833" s="14">
        <f t="shared" si="49"/>
        <v>2832</v>
      </c>
      <c r="B2833" s="31">
        <v>46180</v>
      </c>
      <c r="C2833" s="32" t="s">
        <v>2712</v>
      </c>
      <c r="D2833" s="120" t="s">
        <v>480</v>
      </c>
      <c r="E2833" s="33" t="s">
        <v>42</v>
      </c>
      <c r="F2833" s="18" t="s">
        <v>63</v>
      </c>
      <c r="G2833" s="18" t="s">
        <v>2250</v>
      </c>
      <c r="H2833" s="34" t="s">
        <v>85</v>
      </c>
      <c r="I2833" s="18" t="s">
        <v>114</v>
      </c>
      <c r="J2833" s="31" t="s">
        <v>105</v>
      </c>
      <c r="K2833" s="31"/>
      <c r="N2833" s="13" t="s">
        <v>30</v>
      </c>
      <c r="O2833" s="28" t="str">
        <f>IF(D2833="","",IF(COUNTIF(离职清单!C:C,D2833)&gt;0,"已离职","在职"))</f>
        <v>在职</v>
      </c>
      <c r="P2833" s="28" t="str">
        <f>IF(AND(O2833="在职",J2833="是"),COUNTIF(O$2:O2833,"在职"),"")</f>
        <v/>
      </c>
    </row>
    <row r="2834" ht="18" spans="1:16">
      <c r="A2834" s="10">
        <f t="shared" si="49"/>
        <v>2833</v>
      </c>
      <c r="B2834" s="31">
        <v>46180</v>
      </c>
      <c r="C2834" s="32" t="s">
        <v>2405</v>
      </c>
      <c r="D2834" s="120" t="s">
        <v>482</v>
      </c>
      <c r="E2834" s="33" t="s">
        <v>42</v>
      </c>
      <c r="F2834" s="18" t="s">
        <v>63</v>
      </c>
      <c r="G2834" s="18" t="s">
        <v>2166</v>
      </c>
      <c r="H2834" s="34" t="s">
        <v>85</v>
      </c>
      <c r="I2834" s="18" t="s">
        <v>114</v>
      </c>
      <c r="J2834" s="31" t="s">
        <v>114</v>
      </c>
      <c r="K2834" s="31">
        <v>46185</v>
      </c>
      <c r="N2834" s="13" t="s">
        <v>30</v>
      </c>
      <c r="O2834" s="28" t="str">
        <f>IF(D2834="","",IF(COUNTIF(离职清单!C:C,D2834)&gt;0,"已离职","在职"))</f>
        <v>在职</v>
      </c>
      <c r="P2834" s="28">
        <f>IF(AND(O2834="在职",J2834="是"),COUNTIF(O$2:O2834,"在职"),"")</f>
        <v>2827</v>
      </c>
    </row>
    <row r="2835" ht="18" spans="1:16">
      <c r="A2835" s="14">
        <f t="shared" si="49"/>
        <v>2834</v>
      </c>
      <c r="B2835" s="31">
        <v>46180</v>
      </c>
      <c r="C2835" s="32" t="s">
        <v>2713</v>
      </c>
      <c r="D2835" s="120" t="s">
        <v>484</v>
      </c>
      <c r="E2835" s="33" t="s">
        <v>42</v>
      </c>
      <c r="F2835" s="18" t="s">
        <v>63</v>
      </c>
      <c r="G2835" s="18" t="s">
        <v>129</v>
      </c>
      <c r="H2835" s="34" t="s">
        <v>85</v>
      </c>
      <c r="I2835" s="18" t="s">
        <v>105</v>
      </c>
      <c r="J2835" s="31" t="s">
        <v>105</v>
      </c>
      <c r="K2835" s="31"/>
      <c r="N2835" s="13" t="s">
        <v>30</v>
      </c>
      <c r="O2835" s="28" t="str">
        <f>IF(D2835="","",IF(COUNTIF(离职清单!C:C,D2835)&gt;0,"已离职","在职"))</f>
        <v>在职</v>
      </c>
      <c r="P2835" s="28" t="str">
        <f>IF(AND(O2835="在职",J2835="是"),COUNTIF(O$2:O2835,"在职"),"")</f>
        <v/>
      </c>
    </row>
    <row r="2836" ht="18" spans="1:16">
      <c r="A2836" s="10">
        <f t="shared" si="49"/>
        <v>2835</v>
      </c>
      <c r="B2836" s="31">
        <v>46180</v>
      </c>
      <c r="C2836" s="32" t="s">
        <v>2629</v>
      </c>
      <c r="D2836" s="120" t="s">
        <v>486</v>
      </c>
      <c r="E2836" s="33" t="s">
        <v>42</v>
      </c>
      <c r="F2836" s="18" t="s">
        <v>63</v>
      </c>
      <c r="G2836" s="18" t="s">
        <v>2174</v>
      </c>
      <c r="H2836" s="34" t="s">
        <v>85</v>
      </c>
      <c r="I2836" s="18" t="s">
        <v>105</v>
      </c>
      <c r="J2836" s="31" t="s">
        <v>105</v>
      </c>
      <c r="K2836" s="31"/>
      <c r="N2836" s="13" t="s">
        <v>30</v>
      </c>
      <c r="O2836" s="28" t="str">
        <f>IF(D2836="","",IF(COUNTIF(离职清单!C:C,D2836)&gt;0,"已离职","在职"))</f>
        <v>在职</v>
      </c>
      <c r="P2836" s="28" t="str">
        <f>IF(AND(O2836="在职",J2836="是"),COUNTIF(O$2:O2836,"在职"),"")</f>
        <v/>
      </c>
    </row>
    <row r="2837" ht="18" spans="1:16">
      <c r="A2837" s="14">
        <f t="shared" si="49"/>
        <v>2836</v>
      </c>
      <c r="B2837" s="31">
        <v>46180</v>
      </c>
      <c r="C2837" s="32" t="s">
        <v>2714</v>
      </c>
      <c r="D2837" s="120" t="s">
        <v>488</v>
      </c>
      <c r="E2837" s="33" t="s">
        <v>42</v>
      </c>
      <c r="F2837" s="18" t="s">
        <v>63</v>
      </c>
      <c r="G2837" s="18" t="s">
        <v>2174</v>
      </c>
      <c r="H2837" s="34" t="s">
        <v>85</v>
      </c>
      <c r="I2837" s="18" t="s">
        <v>105</v>
      </c>
      <c r="J2837" s="31" t="s">
        <v>105</v>
      </c>
      <c r="K2837" s="31"/>
      <c r="N2837" s="13" t="s">
        <v>30</v>
      </c>
      <c r="O2837" s="28" t="str">
        <f>IF(D2837="","",IF(COUNTIF(离职清单!C:C,D2837)&gt;0,"已离职","在职"))</f>
        <v>在职</v>
      </c>
      <c r="P2837" s="28" t="str">
        <f>IF(AND(O2837="在职",J2837="是"),COUNTIF(O$2:O2837,"在职"),"")</f>
        <v/>
      </c>
    </row>
    <row r="2838" ht="18" spans="1:16">
      <c r="A2838" s="10">
        <f t="shared" si="49"/>
        <v>2837</v>
      </c>
      <c r="B2838" s="31">
        <v>46180</v>
      </c>
      <c r="C2838" s="32" t="s">
        <v>2715</v>
      </c>
      <c r="D2838" s="120" t="s">
        <v>490</v>
      </c>
      <c r="E2838" s="33" t="s">
        <v>42</v>
      </c>
      <c r="F2838" s="18" t="s">
        <v>62</v>
      </c>
      <c r="G2838" s="18" t="s">
        <v>2250</v>
      </c>
      <c r="H2838" s="34" t="s">
        <v>85</v>
      </c>
      <c r="I2838" s="18" t="s">
        <v>105</v>
      </c>
      <c r="J2838" s="31" t="s">
        <v>105</v>
      </c>
      <c r="K2838" s="31"/>
      <c r="N2838" s="13" t="s">
        <v>30</v>
      </c>
      <c r="O2838" s="28" t="str">
        <f>IF(D2838="","",IF(COUNTIF(离职清单!C:C,D2838)&gt;0,"已离职","在职"))</f>
        <v>在职</v>
      </c>
      <c r="P2838" s="28" t="str">
        <f>IF(AND(O2838="在职",J2838="是"),COUNTIF(O$2:O2838,"在职"),"")</f>
        <v/>
      </c>
    </row>
    <row r="2839" ht="18" spans="1:16">
      <c r="A2839" s="14">
        <f t="shared" si="49"/>
        <v>2838</v>
      </c>
      <c r="B2839" s="31">
        <v>46180</v>
      </c>
      <c r="C2839" s="32" t="s">
        <v>2716</v>
      </c>
      <c r="D2839" s="120" t="s">
        <v>492</v>
      </c>
      <c r="E2839" s="33" t="s">
        <v>43</v>
      </c>
      <c r="F2839" s="18" t="s">
        <v>64</v>
      </c>
      <c r="G2839" s="18" t="s">
        <v>148</v>
      </c>
      <c r="H2839" s="34" t="s">
        <v>86</v>
      </c>
      <c r="I2839" s="18" t="s">
        <v>105</v>
      </c>
      <c r="J2839" s="31" t="s">
        <v>105</v>
      </c>
      <c r="K2839" s="31"/>
      <c r="N2839" s="13" t="s">
        <v>30</v>
      </c>
      <c r="O2839" s="28" t="str">
        <f>IF(D2839="","",IF(COUNTIF(离职清单!C:C,D2839)&gt;0,"已离职","在职"))</f>
        <v>在职</v>
      </c>
      <c r="P2839" s="28" t="str">
        <f>IF(AND(O2839="在职",J2839="是"),COUNTIF(O$2:O2839,"在职"),"")</f>
        <v/>
      </c>
    </row>
    <row r="2840" ht="18" spans="1:16">
      <c r="A2840" s="10">
        <f t="shared" si="49"/>
        <v>2839</v>
      </c>
      <c r="B2840" s="31">
        <v>46180</v>
      </c>
      <c r="C2840" s="32" t="s">
        <v>2577</v>
      </c>
      <c r="D2840" s="120" t="s">
        <v>477</v>
      </c>
      <c r="E2840" s="33" t="s">
        <v>43</v>
      </c>
      <c r="F2840" s="18" t="s">
        <v>64</v>
      </c>
      <c r="G2840" s="18" t="s">
        <v>148</v>
      </c>
      <c r="H2840" s="34" t="s">
        <v>86</v>
      </c>
      <c r="I2840" s="18" t="s">
        <v>114</v>
      </c>
      <c r="J2840" s="31" t="s">
        <v>105</v>
      </c>
      <c r="K2840" s="31"/>
      <c r="N2840" s="13" t="s">
        <v>30</v>
      </c>
      <c r="O2840" s="28" t="str">
        <f>IF(D2840="","",IF(COUNTIF(离职清单!C:C,D2840)&gt;0,"已离职","在职"))</f>
        <v>在职</v>
      </c>
      <c r="P2840" s="28" t="str">
        <f>IF(AND(O2840="在职",J2840="是"),COUNTIF(O$2:O2840,"在职"),"")</f>
        <v/>
      </c>
    </row>
    <row r="2841" ht="18" spans="1:16">
      <c r="A2841" s="14">
        <f t="shared" si="49"/>
        <v>2840</v>
      </c>
      <c r="B2841" s="31">
        <v>46180</v>
      </c>
      <c r="C2841" s="32" t="s">
        <v>2717</v>
      </c>
      <c r="D2841" s="120" t="s">
        <v>478</v>
      </c>
      <c r="E2841" s="33" t="s">
        <v>42</v>
      </c>
      <c r="F2841" s="18" t="s">
        <v>63</v>
      </c>
      <c r="G2841" s="18" t="s">
        <v>2164</v>
      </c>
      <c r="H2841" s="34" t="s">
        <v>85</v>
      </c>
      <c r="I2841" s="18" t="s">
        <v>105</v>
      </c>
      <c r="J2841" s="31" t="s">
        <v>105</v>
      </c>
      <c r="K2841" s="31"/>
      <c r="N2841" s="13" t="s">
        <v>30</v>
      </c>
      <c r="O2841" s="28" t="str">
        <f>IF(D2841="","",IF(COUNTIF(离职清单!C:C,D2841)&gt;0,"已离职","在职"))</f>
        <v>在职</v>
      </c>
      <c r="P2841" s="28" t="str">
        <f>IF(AND(O2841="在职",J2841="是"),COUNTIF(O$2:O2841,"在职"),"")</f>
        <v/>
      </c>
    </row>
    <row r="2842" ht="18" spans="1:16">
      <c r="A2842" s="10">
        <f t="shared" si="49"/>
        <v>2841</v>
      </c>
      <c r="B2842" s="31">
        <v>46180</v>
      </c>
      <c r="C2842" s="32" t="s">
        <v>2718</v>
      </c>
      <c r="D2842" s="120" t="s">
        <v>480</v>
      </c>
      <c r="E2842" s="33" t="s">
        <v>42</v>
      </c>
      <c r="F2842" s="18" t="s">
        <v>63</v>
      </c>
      <c r="G2842" s="18" t="s">
        <v>2164</v>
      </c>
      <c r="H2842" s="34" t="s">
        <v>85</v>
      </c>
      <c r="I2842" s="18" t="s">
        <v>105</v>
      </c>
      <c r="J2842" s="31" t="s">
        <v>105</v>
      </c>
      <c r="K2842" s="31"/>
      <c r="N2842" s="13" t="s">
        <v>30</v>
      </c>
      <c r="O2842" s="28" t="str">
        <f>IF(D2842="","",IF(COUNTIF(离职清单!C:C,D2842)&gt;0,"已离职","在职"))</f>
        <v>在职</v>
      </c>
      <c r="P2842" s="28" t="str">
        <f>IF(AND(O2842="在职",J2842="是"),COUNTIF(O$2:O2842,"在职"),"")</f>
        <v/>
      </c>
    </row>
    <row r="2843" ht="18" spans="1:16">
      <c r="A2843" s="14">
        <f t="shared" si="49"/>
        <v>2842</v>
      </c>
      <c r="B2843" s="31">
        <v>46180</v>
      </c>
      <c r="C2843" s="32" t="s">
        <v>2719</v>
      </c>
      <c r="D2843" s="120" t="s">
        <v>482</v>
      </c>
      <c r="E2843" s="33" t="s">
        <v>42</v>
      </c>
      <c r="F2843" s="18" t="s">
        <v>63</v>
      </c>
      <c r="G2843" s="18" t="s">
        <v>2164</v>
      </c>
      <c r="H2843" s="34" t="s">
        <v>85</v>
      </c>
      <c r="I2843" s="18" t="s">
        <v>2154</v>
      </c>
      <c r="J2843" s="31" t="s">
        <v>105</v>
      </c>
      <c r="K2843" s="31"/>
      <c r="N2843" s="13" t="s">
        <v>30</v>
      </c>
      <c r="O2843" s="28" t="str">
        <f>IF(D2843="","",IF(COUNTIF(离职清单!C:C,D2843)&gt;0,"已离职","在职"))</f>
        <v>在职</v>
      </c>
      <c r="P2843" s="28" t="str">
        <f>IF(AND(O2843="在职",J2843="是"),COUNTIF(O$2:O2843,"在职"),"")</f>
        <v/>
      </c>
    </row>
    <row r="2844" ht="18" spans="1:16">
      <c r="A2844" s="10">
        <f t="shared" si="49"/>
        <v>2843</v>
      </c>
      <c r="B2844" s="31">
        <v>46181</v>
      </c>
      <c r="C2844" s="32" t="s">
        <v>2720</v>
      </c>
      <c r="D2844" s="120" t="s">
        <v>484</v>
      </c>
      <c r="E2844" s="33" t="s">
        <v>43</v>
      </c>
      <c r="F2844" s="18" t="s">
        <v>63</v>
      </c>
      <c r="G2844" s="18" t="s">
        <v>129</v>
      </c>
      <c r="H2844" s="34" t="s">
        <v>85</v>
      </c>
      <c r="I2844" s="18" t="s">
        <v>105</v>
      </c>
      <c r="J2844" s="31" t="s">
        <v>105</v>
      </c>
      <c r="K2844" s="31"/>
      <c r="N2844" s="13" t="s">
        <v>30</v>
      </c>
      <c r="O2844" s="28" t="str">
        <f>IF(D2844="","",IF(COUNTIF(离职清单!C:C,D2844)&gt;0,"已离职","在职"))</f>
        <v>在职</v>
      </c>
      <c r="P2844" s="28" t="str">
        <f>IF(AND(O2844="在职",J2844="是"),COUNTIF(O$2:O2844,"在职"),"")</f>
        <v/>
      </c>
    </row>
    <row r="2845" ht="18" spans="1:16">
      <c r="A2845" s="14">
        <f t="shared" si="49"/>
        <v>2844</v>
      </c>
      <c r="B2845" s="31">
        <v>46181</v>
      </c>
      <c r="C2845" s="32" t="s">
        <v>2721</v>
      </c>
      <c r="D2845" s="120" t="s">
        <v>486</v>
      </c>
      <c r="E2845" s="33" t="s">
        <v>43</v>
      </c>
      <c r="F2845" s="18" t="s">
        <v>63</v>
      </c>
      <c r="G2845" s="18" t="s">
        <v>2181</v>
      </c>
      <c r="H2845" s="34" t="s">
        <v>85</v>
      </c>
      <c r="I2845" s="18" t="s">
        <v>105</v>
      </c>
      <c r="J2845" s="31" t="s">
        <v>105</v>
      </c>
      <c r="K2845" s="31"/>
      <c r="N2845" s="13" t="s">
        <v>30</v>
      </c>
      <c r="O2845" s="28" t="str">
        <f>IF(D2845="","",IF(COUNTIF(离职清单!C:C,D2845)&gt;0,"已离职","在职"))</f>
        <v>在职</v>
      </c>
      <c r="P2845" s="28" t="str">
        <f>IF(AND(O2845="在职",J2845="是"),COUNTIF(O$2:O2845,"在职"),"")</f>
        <v/>
      </c>
    </row>
    <row r="2846" ht="18" spans="1:16">
      <c r="A2846" s="10">
        <f t="shared" si="49"/>
        <v>2845</v>
      </c>
      <c r="B2846" s="31">
        <v>46181</v>
      </c>
      <c r="C2846" s="32" t="s">
        <v>2722</v>
      </c>
      <c r="D2846" s="120" t="s">
        <v>488</v>
      </c>
      <c r="E2846" s="33" t="s">
        <v>43</v>
      </c>
      <c r="F2846" s="18" t="s">
        <v>63</v>
      </c>
      <c r="G2846" s="18" t="s">
        <v>2181</v>
      </c>
      <c r="H2846" s="34" t="s">
        <v>85</v>
      </c>
      <c r="I2846" s="18" t="s">
        <v>2154</v>
      </c>
      <c r="J2846" s="31" t="s">
        <v>105</v>
      </c>
      <c r="K2846" s="31"/>
      <c r="N2846" s="13" t="s">
        <v>30</v>
      </c>
      <c r="O2846" s="28" t="str">
        <f>IF(D2846="","",IF(COUNTIF(离职清单!C:C,D2846)&gt;0,"已离职","在职"))</f>
        <v>在职</v>
      </c>
      <c r="P2846" s="28" t="str">
        <f>IF(AND(O2846="在职",J2846="是"),COUNTIF(O$2:O2846,"在职"),"")</f>
        <v/>
      </c>
    </row>
    <row r="2847" ht="18" spans="1:16">
      <c r="A2847" s="14">
        <f t="shared" si="49"/>
        <v>2846</v>
      </c>
      <c r="B2847" s="31">
        <v>46181</v>
      </c>
      <c r="C2847" s="32" t="s">
        <v>2723</v>
      </c>
      <c r="D2847" s="120" t="s">
        <v>490</v>
      </c>
      <c r="E2847" s="33" t="s">
        <v>43</v>
      </c>
      <c r="F2847" s="18" t="s">
        <v>62</v>
      </c>
      <c r="G2847" s="18" t="s">
        <v>2181</v>
      </c>
      <c r="H2847" s="34" t="s">
        <v>85</v>
      </c>
      <c r="I2847" s="18" t="s">
        <v>114</v>
      </c>
      <c r="J2847" s="31" t="s">
        <v>105</v>
      </c>
      <c r="K2847" s="31"/>
      <c r="N2847" s="13" t="s">
        <v>30</v>
      </c>
      <c r="O2847" s="28" t="str">
        <f>IF(D2847="","",IF(COUNTIF(离职清单!C:C,D2847)&gt;0,"已离职","在职"))</f>
        <v>在职</v>
      </c>
      <c r="P2847" s="28" t="str">
        <f>IF(AND(O2847="在职",J2847="是"),COUNTIF(O$2:O2847,"在职"),"")</f>
        <v/>
      </c>
    </row>
    <row r="2848" ht="18" spans="1:16">
      <c r="A2848" s="10">
        <f t="shared" si="49"/>
        <v>2847</v>
      </c>
      <c r="B2848" s="31">
        <v>46181</v>
      </c>
      <c r="C2848" s="32" t="s">
        <v>2724</v>
      </c>
      <c r="D2848" s="120" t="s">
        <v>492</v>
      </c>
      <c r="E2848" s="33" t="s">
        <v>43</v>
      </c>
      <c r="F2848" s="18" t="s">
        <v>63</v>
      </c>
      <c r="G2848" s="18" t="s">
        <v>2250</v>
      </c>
      <c r="H2848" s="34" t="s">
        <v>85</v>
      </c>
      <c r="I2848" s="18" t="s">
        <v>114</v>
      </c>
      <c r="J2848" s="31" t="s">
        <v>114</v>
      </c>
      <c r="K2848" s="31">
        <v>46184</v>
      </c>
      <c r="N2848" s="13" t="s">
        <v>30</v>
      </c>
      <c r="O2848" s="28" t="str">
        <f>IF(D2848="","",IF(COUNTIF(离职清单!C:C,D2848)&gt;0,"已离职","在职"))</f>
        <v>在职</v>
      </c>
      <c r="P2848" s="28">
        <f>IF(AND(O2848="在职",J2848="是"),COUNTIF(O$2:O2848,"在职"),"")</f>
        <v>2841</v>
      </c>
    </row>
    <row r="2849" ht="18" spans="1:16">
      <c r="A2849" s="14">
        <f t="shared" si="49"/>
        <v>2848</v>
      </c>
      <c r="B2849" s="31">
        <v>46181</v>
      </c>
      <c r="C2849" s="32" t="s">
        <v>2725</v>
      </c>
      <c r="D2849" s="120" t="s">
        <v>477</v>
      </c>
      <c r="E2849" s="33" t="s">
        <v>43</v>
      </c>
      <c r="F2849" s="18" t="s">
        <v>63</v>
      </c>
      <c r="G2849" s="18" t="s">
        <v>2250</v>
      </c>
      <c r="H2849" s="34" t="s">
        <v>85</v>
      </c>
      <c r="I2849" s="18" t="s">
        <v>114</v>
      </c>
      <c r="J2849" s="31" t="s">
        <v>105</v>
      </c>
      <c r="K2849" s="31"/>
      <c r="N2849" s="13" t="s">
        <v>30</v>
      </c>
      <c r="O2849" s="28" t="str">
        <f>IF(D2849="","",IF(COUNTIF(离职清单!C:C,D2849)&gt;0,"已离职","在职"))</f>
        <v>在职</v>
      </c>
      <c r="P2849" s="28" t="str">
        <f>IF(AND(O2849="在职",J2849="是"),COUNTIF(O$2:O2849,"在职"),"")</f>
        <v/>
      </c>
    </row>
    <row r="2850" ht="18" spans="1:16">
      <c r="A2850" s="10">
        <f t="shared" si="49"/>
        <v>2849</v>
      </c>
      <c r="B2850" s="31">
        <v>46181</v>
      </c>
      <c r="C2850" s="32" t="s">
        <v>2183</v>
      </c>
      <c r="D2850" s="120" t="s">
        <v>478</v>
      </c>
      <c r="E2850" s="33" t="s">
        <v>43</v>
      </c>
      <c r="F2850" s="18" t="s">
        <v>64</v>
      </c>
      <c r="G2850" s="18" t="s">
        <v>2250</v>
      </c>
      <c r="H2850" s="34" t="s">
        <v>85</v>
      </c>
      <c r="I2850" s="18" t="s">
        <v>114</v>
      </c>
      <c r="J2850" s="31" t="s">
        <v>114</v>
      </c>
      <c r="K2850" s="31">
        <v>46184</v>
      </c>
      <c r="N2850" s="13" t="s">
        <v>30</v>
      </c>
      <c r="O2850" s="28" t="str">
        <f>IF(D2850="","",IF(COUNTIF(离职清单!C:C,D2850)&gt;0,"已离职","在职"))</f>
        <v>在职</v>
      </c>
      <c r="P2850" s="28">
        <f>IF(AND(O2850="在职",J2850="是"),COUNTIF(O$2:O2850,"在职"),"")</f>
        <v>2843</v>
      </c>
    </row>
    <row r="2851" ht="18" spans="1:16">
      <c r="A2851" s="14">
        <f t="shared" si="49"/>
        <v>2850</v>
      </c>
      <c r="B2851" s="31">
        <v>46181</v>
      </c>
      <c r="C2851" s="32" t="s">
        <v>1417</v>
      </c>
      <c r="D2851" s="120" t="s">
        <v>480</v>
      </c>
      <c r="E2851" s="33" t="s">
        <v>43</v>
      </c>
      <c r="F2851" s="18" t="s">
        <v>63</v>
      </c>
      <c r="G2851" s="18" t="s">
        <v>148</v>
      </c>
      <c r="H2851" s="34" t="s">
        <v>85</v>
      </c>
      <c r="I2851" s="18" t="s">
        <v>114</v>
      </c>
      <c r="J2851" s="31" t="s">
        <v>105</v>
      </c>
      <c r="K2851" s="31"/>
      <c r="N2851" s="13" t="s">
        <v>30</v>
      </c>
      <c r="O2851" s="28" t="str">
        <f>IF(D2851="","",IF(COUNTIF(离职清单!C:C,D2851)&gt;0,"已离职","在职"))</f>
        <v>在职</v>
      </c>
      <c r="P2851" s="28" t="str">
        <f>IF(AND(O2851="在职",J2851="是"),COUNTIF(O$2:O2851,"在职"),"")</f>
        <v/>
      </c>
    </row>
    <row r="2852" ht="18" spans="1:16">
      <c r="A2852" s="10">
        <f t="shared" si="49"/>
        <v>2851</v>
      </c>
      <c r="B2852" s="31">
        <v>46181</v>
      </c>
      <c r="C2852" s="32" t="s">
        <v>2726</v>
      </c>
      <c r="D2852" s="120" t="s">
        <v>482</v>
      </c>
      <c r="E2852" s="33" t="s">
        <v>43</v>
      </c>
      <c r="F2852" s="18" t="s">
        <v>63</v>
      </c>
      <c r="G2852" s="18" t="s">
        <v>2727</v>
      </c>
      <c r="H2852" s="34" t="s">
        <v>85</v>
      </c>
      <c r="I2852" s="18" t="s">
        <v>2154</v>
      </c>
      <c r="J2852" s="31" t="s">
        <v>105</v>
      </c>
      <c r="K2852" s="31"/>
      <c r="N2852" s="13" t="s">
        <v>30</v>
      </c>
      <c r="O2852" s="28" t="str">
        <f>IF(D2852="","",IF(COUNTIF(离职清单!C:C,D2852)&gt;0,"已离职","在职"))</f>
        <v>在职</v>
      </c>
      <c r="P2852" s="28" t="str">
        <f>IF(AND(O2852="在职",J2852="是"),COUNTIF(O$2:O2852,"在职"),"")</f>
        <v/>
      </c>
    </row>
    <row r="2853" ht="18" spans="1:16">
      <c r="A2853" s="14">
        <f t="shared" si="49"/>
        <v>2852</v>
      </c>
      <c r="B2853" s="31">
        <v>46181</v>
      </c>
      <c r="C2853" s="32" t="s">
        <v>2526</v>
      </c>
      <c r="D2853" s="120" t="s">
        <v>484</v>
      </c>
      <c r="E2853" s="33" t="s">
        <v>43</v>
      </c>
      <c r="F2853" s="18" t="s">
        <v>63</v>
      </c>
      <c r="G2853" s="18" t="s">
        <v>2156</v>
      </c>
      <c r="H2853" s="34" t="s">
        <v>85</v>
      </c>
      <c r="I2853" s="18" t="s">
        <v>2154</v>
      </c>
      <c r="J2853" s="31" t="s">
        <v>105</v>
      </c>
      <c r="K2853" s="31"/>
      <c r="N2853" s="13" t="s">
        <v>30</v>
      </c>
      <c r="O2853" s="28" t="str">
        <f>IF(D2853="","",IF(COUNTIF(离职清单!C:C,D2853)&gt;0,"已离职","在职"))</f>
        <v>在职</v>
      </c>
      <c r="P2853" s="28" t="str">
        <f>IF(AND(O2853="在职",J2853="是"),COUNTIF(O$2:O2853,"在职"),"")</f>
        <v/>
      </c>
    </row>
    <row r="2854" ht="18" spans="1:16">
      <c r="A2854" s="10">
        <f t="shared" si="49"/>
        <v>2853</v>
      </c>
      <c r="B2854" s="31">
        <v>46181</v>
      </c>
      <c r="C2854" s="32" t="s">
        <v>2728</v>
      </c>
      <c r="D2854" s="120" t="s">
        <v>486</v>
      </c>
      <c r="E2854" s="33" t="s">
        <v>43</v>
      </c>
      <c r="F2854" s="18" t="s">
        <v>63</v>
      </c>
      <c r="G2854" s="18" t="s">
        <v>1056</v>
      </c>
      <c r="H2854" s="34" t="s">
        <v>85</v>
      </c>
      <c r="I2854" s="18" t="s">
        <v>114</v>
      </c>
      <c r="J2854" s="31" t="s">
        <v>114</v>
      </c>
      <c r="K2854" s="31">
        <v>46183</v>
      </c>
      <c r="N2854" s="13" t="s">
        <v>30</v>
      </c>
      <c r="O2854" s="28" t="str">
        <f>IF(D2854="","",IF(COUNTIF(离职清单!C:C,D2854)&gt;0,"已离职","在职"))</f>
        <v>在职</v>
      </c>
      <c r="P2854" s="28">
        <f>IF(AND(O2854="在职",J2854="是"),COUNTIF(O$2:O2854,"在职"),"")</f>
        <v>2847</v>
      </c>
    </row>
    <row r="2855" ht="18" spans="1:16">
      <c r="A2855" s="14">
        <f t="shared" si="49"/>
        <v>2854</v>
      </c>
      <c r="B2855" s="31">
        <v>46181</v>
      </c>
      <c r="C2855" s="32" t="s">
        <v>2729</v>
      </c>
      <c r="D2855" s="120" t="s">
        <v>488</v>
      </c>
      <c r="E2855" s="33" t="s">
        <v>43</v>
      </c>
      <c r="F2855" s="18" t="s">
        <v>63</v>
      </c>
      <c r="G2855" s="18" t="s">
        <v>1056</v>
      </c>
      <c r="H2855" s="34" t="s">
        <v>85</v>
      </c>
      <c r="I2855" s="18" t="s">
        <v>2154</v>
      </c>
      <c r="J2855" s="31" t="s">
        <v>105</v>
      </c>
      <c r="K2855" s="31"/>
      <c r="N2855" s="13" t="s">
        <v>30</v>
      </c>
      <c r="O2855" s="28" t="str">
        <f>IF(D2855="","",IF(COUNTIF(离职清单!C:C,D2855)&gt;0,"已离职","在职"))</f>
        <v>在职</v>
      </c>
      <c r="P2855" s="28" t="str">
        <f>IF(AND(O2855="在职",J2855="是"),COUNTIF(O$2:O2855,"在职"),"")</f>
        <v/>
      </c>
    </row>
    <row r="2856" ht="18" spans="1:16">
      <c r="A2856" s="10">
        <f t="shared" si="49"/>
        <v>2855</v>
      </c>
      <c r="B2856" s="31">
        <v>46181</v>
      </c>
      <c r="C2856" s="32" t="s">
        <v>2730</v>
      </c>
      <c r="D2856" s="120" t="s">
        <v>490</v>
      </c>
      <c r="E2856" s="33" t="s">
        <v>43</v>
      </c>
      <c r="F2856" s="18" t="s">
        <v>64</v>
      </c>
      <c r="G2856" s="18" t="s">
        <v>148</v>
      </c>
      <c r="H2856" s="34" t="s">
        <v>85</v>
      </c>
      <c r="I2856" s="18" t="s">
        <v>105</v>
      </c>
      <c r="J2856" s="31" t="s">
        <v>105</v>
      </c>
      <c r="K2856" s="31"/>
      <c r="N2856" s="13" t="s">
        <v>30</v>
      </c>
      <c r="O2856" s="28" t="str">
        <f>IF(D2856="","",IF(COUNTIF(离职清单!C:C,D2856)&gt;0,"已离职","在职"))</f>
        <v>在职</v>
      </c>
      <c r="P2856" s="28" t="str">
        <f>IF(AND(O2856="在职",J2856="是"),COUNTIF(O$2:O2856,"在职"),"")</f>
        <v/>
      </c>
    </row>
    <row r="2857" ht="18" spans="1:16">
      <c r="A2857" s="14">
        <f t="shared" si="49"/>
        <v>2856</v>
      </c>
      <c r="B2857" s="31">
        <v>46181</v>
      </c>
      <c r="C2857" s="32" t="s">
        <v>2731</v>
      </c>
      <c r="D2857" s="120" t="s">
        <v>492</v>
      </c>
      <c r="E2857" s="33" t="s">
        <v>43</v>
      </c>
      <c r="F2857" s="18" t="s">
        <v>64</v>
      </c>
      <c r="G2857" s="18" t="s">
        <v>148</v>
      </c>
      <c r="H2857" s="34" t="s">
        <v>85</v>
      </c>
      <c r="I2857" s="18" t="s">
        <v>105</v>
      </c>
      <c r="J2857" s="31" t="s">
        <v>105</v>
      </c>
      <c r="K2857" s="31"/>
      <c r="N2857" s="13" t="s">
        <v>30</v>
      </c>
      <c r="O2857" s="28" t="str">
        <f>IF(D2857="","",IF(COUNTIF(离职清单!C:C,D2857)&gt;0,"已离职","在职"))</f>
        <v>在职</v>
      </c>
      <c r="P2857" s="28" t="str">
        <f>IF(AND(O2857="在职",J2857="是"),COUNTIF(O$2:O2857,"在职"),"")</f>
        <v/>
      </c>
    </row>
    <row r="2858" ht="18" spans="1:16">
      <c r="A2858" s="10">
        <f t="shared" si="49"/>
        <v>2857</v>
      </c>
      <c r="B2858" s="31">
        <v>46181</v>
      </c>
      <c r="C2858" s="32" t="s">
        <v>2723</v>
      </c>
      <c r="D2858" s="120" t="s">
        <v>477</v>
      </c>
      <c r="E2858" s="33" t="s">
        <v>43</v>
      </c>
      <c r="F2858" s="18" t="s">
        <v>62</v>
      </c>
      <c r="G2858" s="18" t="s">
        <v>148</v>
      </c>
      <c r="H2858" s="34" t="s">
        <v>85</v>
      </c>
      <c r="I2858" s="18" t="s">
        <v>2154</v>
      </c>
      <c r="J2858" s="31" t="s">
        <v>105</v>
      </c>
      <c r="K2858" s="31"/>
      <c r="N2858" s="13" t="s">
        <v>30</v>
      </c>
      <c r="O2858" s="28" t="str">
        <f>IF(D2858="","",IF(COUNTIF(离职清单!C:C,D2858)&gt;0,"已离职","在职"))</f>
        <v>在职</v>
      </c>
      <c r="P2858" s="28" t="str">
        <f>IF(AND(O2858="在职",J2858="是"),COUNTIF(O$2:O2858,"在职"),"")</f>
        <v/>
      </c>
    </row>
    <row r="2859" ht="18" spans="1:16">
      <c r="A2859" s="14">
        <f t="shared" si="49"/>
        <v>2858</v>
      </c>
      <c r="B2859" s="31">
        <v>46181</v>
      </c>
      <c r="C2859" s="32" t="s">
        <v>2722</v>
      </c>
      <c r="D2859" s="120" t="s">
        <v>478</v>
      </c>
      <c r="E2859" s="33" t="s">
        <v>43</v>
      </c>
      <c r="F2859" s="18" t="s">
        <v>63</v>
      </c>
      <c r="G2859" s="18" t="s">
        <v>148</v>
      </c>
      <c r="H2859" s="34" t="s">
        <v>85</v>
      </c>
      <c r="I2859" s="18" t="s">
        <v>2154</v>
      </c>
      <c r="J2859" s="31" t="s">
        <v>105</v>
      </c>
      <c r="K2859" s="31"/>
      <c r="N2859" s="13" t="s">
        <v>30</v>
      </c>
      <c r="O2859" s="28" t="str">
        <f>IF(D2859="","",IF(COUNTIF(离职清单!C:C,D2859)&gt;0,"已离职","在职"))</f>
        <v>在职</v>
      </c>
      <c r="P2859" s="28" t="str">
        <f>IF(AND(O2859="在职",J2859="是"),COUNTIF(O$2:O2859,"在职"),"")</f>
        <v/>
      </c>
    </row>
    <row r="2860" ht="18" spans="1:16">
      <c r="A2860" s="10">
        <f t="shared" ref="A2860:A2923" si="50">IF(B2860&lt;&gt;"",ROW()-1,"")</f>
        <v>2859</v>
      </c>
      <c r="B2860" s="31">
        <v>46181</v>
      </c>
      <c r="C2860" s="32" t="s">
        <v>2656</v>
      </c>
      <c r="D2860" s="120" t="s">
        <v>480</v>
      </c>
      <c r="E2860" s="33" t="s">
        <v>43</v>
      </c>
      <c r="F2860" s="18" t="s">
        <v>63</v>
      </c>
      <c r="G2860" s="18" t="s">
        <v>2221</v>
      </c>
      <c r="H2860" s="34" t="s">
        <v>85</v>
      </c>
      <c r="I2860" s="18" t="s">
        <v>114</v>
      </c>
      <c r="J2860" s="31" t="s">
        <v>105</v>
      </c>
      <c r="K2860" s="31"/>
      <c r="N2860" s="13" t="s">
        <v>30</v>
      </c>
      <c r="O2860" s="28" t="str">
        <f>IF(D2860="","",IF(COUNTIF(离职清单!C:C,D2860)&gt;0,"已离职","在职"))</f>
        <v>在职</v>
      </c>
      <c r="P2860" s="28" t="str">
        <f>IF(AND(O2860="在职",J2860="是"),COUNTIF(O$2:O2860,"在职"),"")</f>
        <v/>
      </c>
    </row>
    <row r="2861" ht="18" spans="1:16">
      <c r="A2861" s="14">
        <f t="shared" si="50"/>
        <v>2860</v>
      </c>
      <c r="B2861" s="31">
        <v>46181</v>
      </c>
      <c r="C2861" s="32" t="s">
        <v>2693</v>
      </c>
      <c r="D2861" s="120" t="s">
        <v>482</v>
      </c>
      <c r="E2861" s="33" t="s">
        <v>42</v>
      </c>
      <c r="F2861" s="18" t="s">
        <v>63</v>
      </c>
      <c r="G2861" s="18" t="s">
        <v>2164</v>
      </c>
      <c r="H2861" s="34" t="s">
        <v>85</v>
      </c>
      <c r="I2861" s="18" t="s">
        <v>114</v>
      </c>
      <c r="J2861" s="31" t="s">
        <v>105</v>
      </c>
      <c r="K2861" s="31"/>
      <c r="N2861" s="13" t="s">
        <v>30</v>
      </c>
      <c r="O2861" s="28" t="str">
        <f>IF(D2861="","",IF(COUNTIF(离职清单!C:C,D2861)&gt;0,"已离职","在职"))</f>
        <v>在职</v>
      </c>
      <c r="P2861" s="28" t="str">
        <f>IF(AND(O2861="在职",J2861="是"),COUNTIF(O$2:O2861,"在职"),"")</f>
        <v/>
      </c>
    </row>
    <row r="2862" ht="18" spans="1:16">
      <c r="A2862" s="10">
        <f t="shared" si="50"/>
        <v>2861</v>
      </c>
      <c r="B2862" s="31">
        <v>46181</v>
      </c>
      <c r="C2862" s="32" t="s">
        <v>2684</v>
      </c>
      <c r="D2862" s="120" t="s">
        <v>484</v>
      </c>
      <c r="E2862" s="33" t="s">
        <v>42</v>
      </c>
      <c r="F2862" s="18" t="s">
        <v>63</v>
      </c>
      <c r="G2862" s="18" t="s">
        <v>2164</v>
      </c>
      <c r="H2862" s="34" t="s">
        <v>85</v>
      </c>
      <c r="I2862" s="18" t="s">
        <v>105</v>
      </c>
      <c r="J2862" s="31" t="s">
        <v>105</v>
      </c>
      <c r="K2862" s="31"/>
      <c r="N2862" s="13" t="s">
        <v>30</v>
      </c>
      <c r="O2862" s="28" t="str">
        <f>IF(D2862="","",IF(COUNTIF(离职清单!C:C,D2862)&gt;0,"已离职","在职"))</f>
        <v>在职</v>
      </c>
      <c r="P2862" s="28" t="str">
        <f>IF(AND(O2862="在职",J2862="是"),COUNTIF(O$2:O2862,"在职"),"")</f>
        <v/>
      </c>
    </row>
    <row r="2863" ht="18" spans="1:16">
      <c r="A2863" s="14">
        <f t="shared" si="50"/>
        <v>2862</v>
      </c>
      <c r="B2863" s="31">
        <v>46181</v>
      </c>
      <c r="C2863" s="32" t="s">
        <v>1876</v>
      </c>
      <c r="D2863" s="120" t="s">
        <v>486</v>
      </c>
      <c r="E2863" s="33" t="s">
        <v>42</v>
      </c>
      <c r="F2863" s="18" t="s">
        <v>62</v>
      </c>
      <c r="G2863" s="18" t="s">
        <v>2164</v>
      </c>
      <c r="H2863" s="34" t="s">
        <v>85</v>
      </c>
      <c r="I2863" s="18" t="s">
        <v>2154</v>
      </c>
      <c r="J2863" s="31" t="s">
        <v>105</v>
      </c>
      <c r="K2863" s="31"/>
      <c r="N2863" s="13" t="s">
        <v>30</v>
      </c>
      <c r="O2863" s="28" t="str">
        <f>IF(D2863="","",IF(COUNTIF(离职清单!C:C,D2863)&gt;0,"已离职","在职"))</f>
        <v>在职</v>
      </c>
      <c r="P2863" s="28" t="str">
        <f>IF(AND(O2863="在职",J2863="是"),COUNTIF(O$2:O2863,"在职"),"")</f>
        <v/>
      </c>
    </row>
    <row r="2864" ht="18" spans="1:16">
      <c r="A2864" s="10">
        <f t="shared" si="50"/>
        <v>2863</v>
      </c>
      <c r="B2864" s="31">
        <v>46181</v>
      </c>
      <c r="C2864" s="32" t="s">
        <v>2732</v>
      </c>
      <c r="D2864" s="120" t="s">
        <v>488</v>
      </c>
      <c r="E2864" s="33" t="s">
        <v>42</v>
      </c>
      <c r="F2864" s="18" t="s">
        <v>63</v>
      </c>
      <c r="G2864" s="18" t="s">
        <v>2164</v>
      </c>
      <c r="H2864" s="34" t="s">
        <v>85</v>
      </c>
      <c r="I2864" s="18" t="s">
        <v>105</v>
      </c>
      <c r="J2864" s="31" t="s">
        <v>105</v>
      </c>
      <c r="K2864" s="31"/>
      <c r="N2864" s="13" t="s">
        <v>30</v>
      </c>
      <c r="O2864" s="28" t="str">
        <f>IF(D2864="","",IF(COUNTIF(离职清单!C:C,D2864)&gt;0,"已离职","在职"))</f>
        <v>在职</v>
      </c>
      <c r="P2864" s="28" t="str">
        <f>IF(AND(O2864="在职",J2864="是"),COUNTIF(O$2:O2864,"在职"),"")</f>
        <v/>
      </c>
    </row>
    <row r="2865" ht="18" spans="1:16">
      <c r="A2865" s="14">
        <f t="shared" si="50"/>
        <v>2864</v>
      </c>
      <c r="B2865" s="31">
        <v>46181</v>
      </c>
      <c r="C2865" s="32" t="s">
        <v>2733</v>
      </c>
      <c r="D2865" s="120" t="s">
        <v>490</v>
      </c>
      <c r="E2865" s="33" t="s">
        <v>42</v>
      </c>
      <c r="F2865" s="18" t="s">
        <v>63</v>
      </c>
      <c r="G2865" s="18" t="s">
        <v>1056</v>
      </c>
      <c r="H2865" s="34" t="s">
        <v>85</v>
      </c>
      <c r="I2865" s="18" t="s">
        <v>2154</v>
      </c>
      <c r="J2865" s="31" t="s">
        <v>105</v>
      </c>
      <c r="K2865" s="31"/>
      <c r="N2865" s="13" t="s">
        <v>30</v>
      </c>
      <c r="O2865" s="28" t="str">
        <f>IF(D2865="","",IF(COUNTIF(离职清单!C:C,D2865)&gt;0,"已离职","在职"))</f>
        <v>在职</v>
      </c>
      <c r="P2865" s="28" t="str">
        <f>IF(AND(O2865="在职",J2865="是"),COUNTIF(O$2:O2865,"在职"),"")</f>
        <v/>
      </c>
    </row>
    <row r="2866" ht="18" spans="1:16">
      <c r="A2866" s="10">
        <f t="shared" si="50"/>
        <v>2865</v>
      </c>
      <c r="B2866" s="31">
        <v>46181</v>
      </c>
      <c r="C2866" s="32" t="s">
        <v>2734</v>
      </c>
      <c r="D2866" s="120" t="s">
        <v>492</v>
      </c>
      <c r="E2866" s="33" t="s">
        <v>42</v>
      </c>
      <c r="F2866" s="18" t="s">
        <v>63</v>
      </c>
      <c r="G2866" s="18" t="s">
        <v>1056</v>
      </c>
      <c r="H2866" s="34" t="s">
        <v>85</v>
      </c>
      <c r="I2866" s="18" t="s">
        <v>2154</v>
      </c>
      <c r="J2866" s="31" t="s">
        <v>105</v>
      </c>
      <c r="K2866" s="31"/>
      <c r="N2866" s="13" t="s">
        <v>30</v>
      </c>
      <c r="O2866" s="28" t="str">
        <f>IF(D2866="","",IF(COUNTIF(离职清单!C:C,D2866)&gt;0,"已离职","在职"))</f>
        <v>在职</v>
      </c>
      <c r="P2866" s="28" t="str">
        <f>IF(AND(O2866="在职",J2866="是"),COUNTIF(O$2:O2866,"在职"),"")</f>
        <v/>
      </c>
    </row>
    <row r="2867" ht="18" spans="1:16">
      <c r="A2867" s="14">
        <f t="shared" si="50"/>
        <v>2866</v>
      </c>
      <c r="B2867" s="31">
        <v>46181</v>
      </c>
      <c r="C2867" s="32" t="s">
        <v>2306</v>
      </c>
      <c r="D2867" s="120" t="s">
        <v>477</v>
      </c>
      <c r="E2867" s="33" t="s">
        <v>42</v>
      </c>
      <c r="F2867" s="18" t="s">
        <v>62</v>
      </c>
      <c r="G2867" s="18" t="s">
        <v>1056</v>
      </c>
      <c r="H2867" s="34" t="s">
        <v>85</v>
      </c>
      <c r="I2867" s="18" t="s">
        <v>105</v>
      </c>
      <c r="J2867" s="31" t="s">
        <v>105</v>
      </c>
      <c r="K2867" s="31"/>
      <c r="N2867" s="13" t="s">
        <v>30</v>
      </c>
      <c r="O2867" s="28" t="str">
        <f>IF(D2867="","",IF(COUNTIF(离职清单!C:C,D2867)&gt;0,"已离职","在职"))</f>
        <v>在职</v>
      </c>
      <c r="P2867" s="28" t="str">
        <f>IF(AND(O2867="在职",J2867="是"),COUNTIF(O$2:O2867,"在职"),"")</f>
        <v/>
      </c>
    </row>
    <row r="2868" ht="18" spans="1:16">
      <c r="A2868" s="10">
        <f t="shared" si="50"/>
        <v>2867</v>
      </c>
      <c r="B2868" s="31">
        <v>46181</v>
      </c>
      <c r="C2868" s="32" t="s">
        <v>2735</v>
      </c>
      <c r="D2868" s="120" t="s">
        <v>478</v>
      </c>
      <c r="E2868" s="33" t="s">
        <v>42</v>
      </c>
      <c r="F2868" s="18" t="s">
        <v>63</v>
      </c>
      <c r="G2868" s="18" t="s">
        <v>1056</v>
      </c>
      <c r="H2868" s="34" t="s">
        <v>85</v>
      </c>
      <c r="I2868" s="18" t="s">
        <v>2154</v>
      </c>
      <c r="J2868" s="31" t="s">
        <v>105</v>
      </c>
      <c r="K2868" s="31"/>
      <c r="N2868" s="13" t="s">
        <v>30</v>
      </c>
      <c r="O2868" s="28" t="str">
        <f>IF(D2868="","",IF(COUNTIF(离职清单!C:C,D2868)&gt;0,"已离职","在职"))</f>
        <v>在职</v>
      </c>
      <c r="P2868" s="28" t="str">
        <f>IF(AND(O2868="在职",J2868="是"),COUNTIF(O$2:O2868,"在职"),"")</f>
        <v/>
      </c>
    </row>
    <row r="2869" ht="18" spans="1:16">
      <c r="A2869" s="14">
        <f t="shared" si="50"/>
        <v>2868</v>
      </c>
      <c r="B2869" s="31">
        <v>46181</v>
      </c>
      <c r="C2869" s="32" t="s">
        <v>2736</v>
      </c>
      <c r="D2869" s="120" t="s">
        <v>480</v>
      </c>
      <c r="E2869" s="33" t="s">
        <v>42</v>
      </c>
      <c r="F2869" s="18" t="s">
        <v>63</v>
      </c>
      <c r="G2869" s="18" t="s">
        <v>1056</v>
      </c>
      <c r="H2869" s="34" t="s">
        <v>85</v>
      </c>
      <c r="I2869" s="18" t="s">
        <v>2154</v>
      </c>
      <c r="J2869" s="31" t="s">
        <v>105</v>
      </c>
      <c r="K2869" s="31"/>
      <c r="N2869" s="13" t="s">
        <v>30</v>
      </c>
      <c r="O2869" s="28" t="str">
        <f>IF(D2869="","",IF(COUNTIF(离职清单!C:C,D2869)&gt;0,"已离职","在职"))</f>
        <v>在职</v>
      </c>
      <c r="P2869" s="28" t="str">
        <f>IF(AND(O2869="在职",J2869="是"),COUNTIF(O$2:O2869,"在职"),"")</f>
        <v/>
      </c>
    </row>
    <row r="2870" ht="18" spans="1:16">
      <c r="A2870" s="10">
        <f t="shared" si="50"/>
        <v>2869</v>
      </c>
      <c r="B2870" s="31">
        <v>46181</v>
      </c>
      <c r="C2870" s="32" t="s">
        <v>2737</v>
      </c>
      <c r="D2870" s="120" t="s">
        <v>482</v>
      </c>
      <c r="E2870" s="33" t="s">
        <v>42</v>
      </c>
      <c r="F2870" s="18" t="s">
        <v>63</v>
      </c>
      <c r="G2870" s="18" t="s">
        <v>1056</v>
      </c>
      <c r="H2870" s="34" t="s">
        <v>85</v>
      </c>
      <c r="I2870" s="18" t="s">
        <v>2154</v>
      </c>
      <c r="J2870" s="31" t="s">
        <v>105</v>
      </c>
      <c r="K2870" s="31"/>
      <c r="N2870" s="13" t="s">
        <v>30</v>
      </c>
      <c r="O2870" s="28" t="str">
        <f>IF(D2870="","",IF(COUNTIF(离职清单!C:C,D2870)&gt;0,"已离职","在职"))</f>
        <v>在职</v>
      </c>
      <c r="P2870" s="28" t="str">
        <f>IF(AND(O2870="在职",J2870="是"),COUNTIF(O$2:O2870,"在职"),"")</f>
        <v/>
      </c>
    </row>
    <row r="2871" ht="18" spans="1:16">
      <c r="A2871" s="14">
        <f t="shared" si="50"/>
        <v>2870</v>
      </c>
      <c r="B2871" s="31">
        <v>46181</v>
      </c>
      <c r="C2871" s="32" t="s">
        <v>2738</v>
      </c>
      <c r="D2871" s="120" t="s">
        <v>484</v>
      </c>
      <c r="E2871" s="33" t="s">
        <v>42</v>
      </c>
      <c r="F2871" s="18" t="s">
        <v>63</v>
      </c>
      <c r="G2871" s="18" t="s">
        <v>1056</v>
      </c>
      <c r="H2871" s="34" t="s">
        <v>85</v>
      </c>
      <c r="I2871" s="18" t="s">
        <v>2154</v>
      </c>
      <c r="J2871" s="31" t="s">
        <v>105</v>
      </c>
      <c r="K2871" s="31"/>
      <c r="N2871" s="13" t="s">
        <v>30</v>
      </c>
      <c r="O2871" s="28" t="str">
        <f>IF(D2871="","",IF(COUNTIF(离职清单!C:C,D2871)&gt;0,"已离职","在职"))</f>
        <v>在职</v>
      </c>
      <c r="P2871" s="28" t="str">
        <f>IF(AND(O2871="在职",J2871="是"),COUNTIF(O$2:O2871,"在职"),"")</f>
        <v/>
      </c>
    </row>
    <row r="2872" ht="18" spans="1:16">
      <c r="A2872" s="10">
        <f t="shared" si="50"/>
        <v>2871</v>
      </c>
      <c r="B2872" s="31">
        <v>46181</v>
      </c>
      <c r="C2872" s="32" t="s">
        <v>2680</v>
      </c>
      <c r="D2872" s="120" t="s">
        <v>486</v>
      </c>
      <c r="E2872" s="33" t="s">
        <v>42</v>
      </c>
      <c r="F2872" s="18" t="s">
        <v>62</v>
      </c>
      <c r="G2872" s="18" t="s">
        <v>124</v>
      </c>
      <c r="H2872" s="34" t="s">
        <v>86</v>
      </c>
      <c r="I2872" s="18" t="s">
        <v>2154</v>
      </c>
      <c r="J2872" s="31" t="s">
        <v>105</v>
      </c>
      <c r="K2872" s="31"/>
      <c r="N2872" s="13" t="s">
        <v>30</v>
      </c>
      <c r="O2872" s="28" t="str">
        <f>IF(D2872="","",IF(COUNTIF(离职清单!C:C,D2872)&gt;0,"已离职","在职"))</f>
        <v>在职</v>
      </c>
      <c r="P2872" s="28" t="str">
        <f>IF(AND(O2872="在职",J2872="是"),COUNTIF(O$2:O2872,"在职"),"")</f>
        <v/>
      </c>
    </row>
    <row r="2873" ht="18" spans="1:16">
      <c r="A2873" s="14">
        <f t="shared" si="50"/>
        <v>2872</v>
      </c>
      <c r="B2873" s="31">
        <v>46181</v>
      </c>
      <c r="C2873" s="32" t="s">
        <v>2673</v>
      </c>
      <c r="D2873" s="120" t="s">
        <v>488</v>
      </c>
      <c r="E2873" s="33" t="s">
        <v>42</v>
      </c>
      <c r="F2873" s="18" t="s">
        <v>63</v>
      </c>
      <c r="G2873" s="18" t="s">
        <v>148</v>
      </c>
      <c r="H2873" s="34" t="s">
        <v>85</v>
      </c>
      <c r="I2873" s="18" t="s">
        <v>2154</v>
      </c>
      <c r="J2873" s="31" t="s">
        <v>105</v>
      </c>
      <c r="K2873" s="31"/>
      <c r="N2873" s="13" t="s">
        <v>30</v>
      </c>
      <c r="O2873" s="28" t="str">
        <f>IF(D2873="","",IF(COUNTIF(离职清单!C:C,D2873)&gt;0,"已离职","在职"))</f>
        <v>在职</v>
      </c>
      <c r="P2873" s="28" t="str">
        <f>IF(AND(O2873="在职",J2873="是"),COUNTIF(O$2:O2873,"在职"),"")</f>
        <v/>
      </c>
    </row>
    <row r="2874" ht="18" spans="1:16">
      <c r="A2874" s="10">
        <f t="shared" si="50"/>
        <v>2873</v>
      </c>
      <c r="B2874" s="31">
        <v>46181</v>
      </c>
      <c r="C2874" s="32" t="s">
        <v>2739</v>
      </c>
      <c r="D2874" s="120" t="s">
        <v>490</v>
      </c>
      <c r="E2874" s="33" t="s">
        <v>42</v>
      </c>
      <c r="F2874" s="18" t="s">
        <v>63</v>
      </c>
      <c r="G2874" s="18" t="s">
        <v>148</v>
      </c>
      <c r="H2874" s="34" t="s">
        <v>85</v>
      </c>
      <c r="I2874" s="18" t="s">
        <v>2154</v>
      </c>
      <c r="J2874" s="31" t="s">
        <v>105</v>
      </c>
      <c r="K2874" s="31"/>
      <c r="N2874" s="13" t="s">
        <v>30</v>
      </c>
      <c r="O2874" s="28" t="str">
        <f>IF(D2874="","",IF(COUNTIF(离职清单!C:C,D2874)&gt;0,"已离职","在职"))</f>
        <v>在职</v>
      </c>
      <c r="P2874" s="28" t="str">
        <f>IF(AND(O2874="在职",J2874="是"),COUNTIF(O$2:O2874,"在职"),"")</f>
        <v/>
      </c>
    </row>
    <row r="2875" ht="18" spans="1:16">
      <c r="A2875" s="14">
        <f t="shared" si="50"/>
        <v>2874</v>
      </c>
      <c r="B2875" s="31">
        <v>46181</v>
      </c>
      <c r="C2875" s="32" t="s">
        <v>2740</v>
      </c>
      <c r="D2875" s="120" t="s">
        <v>492</v>
      </c>
      <c r="E2875" s="33" t="s">
        <v>42</v>
      </c>
      <c r="F2875" s="18" t="s">
        <v>63</v>
      </c>
      <c r="G2875" s="18" t="s">
        <v>2195</v>
      </c>
      <c r="H2875" s="34" t="s">
        <v>85</v>
      </c>
      <c r="I2875" s="18" t="s">
        <v>105</v>
      </c>
      <c r="J2875" s="31" t="s">
        <v>105</v>
      </c>
      <c r="K2875" s="31"/>
      <c r="N2875" s="13" t="s">
        <v>30</v>
      </c>
      <c r="O2875" s="28" t="str">
        <f>IF(D2875="","",IF(COUNTIF(离职清单!C:C,D2875)&gt;0,"已离职","在职"))</f>
        <v>在职</v>
      </c>
      <c r="P2875" s="28" t="str">
        <f>IF(AND(O2875="在职",J2875="是"),COUNTIF(O$2:O2875,"在职"),"")</f>
        <v/>
      </c>
    </row>
    <row r="2876" ht="18" spans="1:16">
      <c r="A2876" s="10">
        <f t="shared" si="50"/>
        <v>2875</v>
      </c>
      <c r="B2876" s="31">
        <v>46181</v>
      </c>
      <c r="C2876" s="32" t="s">
        <v>2741</v>
      </c>
      <c r="D2876" s="120" t="s">
        <v>477</v>
      </c>
      <c r="E2876" s="33" t="s">
        <v>42</v>
      </c>
      <c r="F2876" s="18" t="s">
        <v>62</v>
      </c>
      <c r="G2876" s="18" t="s">
        <v>2153</v>
      </c>
      <c r="H2876" s="34" t="s">
        <v>85</v>
      </c>
      <c r="I2876" s="18" t="s">
        <v>114</v>
      </c>
      <c r="J2876" s="31" t="s">
        <v>105</v>
      </c>
      <c r="K2876" s="31"/>
      <c r="N2876" s="13" t="s">
        <v>30</v>
      </c>
      <c r="O2876" s="28" t="str">
        <f>IF(D2876="","",IF(COUNTIF(离职清单!C:C,D2876)&gt;0,"已离职","在职"))</f>
        <v>在职</v>
      </c>
      <c r="P2876" s="28" t="str">
        <f>IF(AND(O2876="在职",J2876="是"),COUNTIF(O$2:O2876,"在职"),"")</f>
        <v/>
      </c>
    </row>
    <row r="2877" ht="18" spans="1:16">
      <c r="A2877" s="14">
        <f t="shared" si="50"/>
        <v>2876</v>
      </c>
      <c r="B2877" s="31">
        <v>46181</v>
      </c>
      <c r="C2877" s="32" t="s">
        <v>1514</v>
      </c>
      <c r="D2877" s="120" t="s">
        <v>477</v>
      </c>
      <c r="E2877" s="33" t="s">
        <v>42</v>
      </c>
      <c r="F2877" s="18" t="s">
        <v>63</v>
      </c>
      <c r="G2877" s="18" t="s">
        <v>148</v>
      </c>
      <c r="H2877" s="34" t="s">
        <v>85</v>
      </c>
      <c r="I2877" s="18" t="s">
        <v>105</v>
      </c>
      <c r="J2877" s="31" t="s">
        <v>105</v>
      </c>
      <c r="K2877" s="31"/>
      <c r="N2877" s="13" t="s">
        <v>30</v>
      </c>
      <c r="O2877" s="28" t="str">
        <f>IF(D2877="","",IF(COUNTIF(离职清单!C:C,D2877)&gt;0,"已离职","在职"))</f>
        <v>在职</v>
      </c>
      <c r="P2877" s="28" t="str">
        <f>IF(AND(O2877="在职",J2877="是"),COUNTIF(O$2:O2877,"在职"),"")</f>
        <v/>
      </c>
    </row>
    <row r="2878" ht="18" spans="1:16">
      <c r="A2878" s="10">
        <f t="shared" si="50"/>
        <v>2877</v>
      </c>
      <c r="B2878" s="31">
        <v>46181</v>
      </c>
      <c r="C2878" s="32" t="s">
        <v>2687</v>
      </c>
      <c r="D2878" s="120" t="s">
        <v>478</v>
      </c>
      <c r="E2878" s="33" t="s">
        <v>42</v>
      </c>
      <c r="F2878" s="18" t="s">
        <v>62</v>
      </c>
      <c r="G2878" s="18" t="s">
        <v>2195</v>
      </c>
      <c r="H2878" s="34" t="s">
        <v>85</v>
      </c>
      <c r="I2878" s="18" t="s">
        <v>2154</v>
      </c>
      <c r="J2878" s="31" t="s">
        <v>105</v>
      </c>
      <c r="K2878" s="31"/>
      <c r="N2878" s="13" t="s">
        <v>30</v>
      </c>
      <c r="O2878" s="28" t="str">
        <f>IF(D2878="","",IF(COUNTIF(离职清单!C:C,D2878)&gt;0,"已离职","在职"))</f>
        <v>在职</v>
      </c>
      <c r="P2878" s="28" t="str">
        <f>IF(AND(O2878="在职",J2878="是"),COUNTIF(O$2:O2878,"在职"),"")</f>
        <v/>
      </c>
    </row>
    <row r="2879" ht="18" spans="1:16">
      <c r="A2879" s="14">
        <f t="shared" si="50"/>
        <v>2878</v>
      </c>
      <c r="B2879" s="31">
        <v>46181</v>
      </c>
      <c r="C2879" s="32" t="s">
        <v>2570</v>
      </c>
      <c r="D2879" s="120" t="s">
        <v>480</v>
      </c>
      <c r="E2879" s="33" t="s">
        <v>42</v>
      </c>
      <c r="F2879" s="18" t="s">
        <v>63</v>
      </c>
      <c r="G2879" s="18" t="s">
        <v>2250</v>
      </c>
      <c r="H2879" s="34" t="s">
        <v>85</v>
      </c>
      <c r="I2879" s="18" t="s">
        <v>105</v>
      </c>
      <c r="J2879" s="31" t="s">
        <v>105</v>
      </c>
      <c r="K2879" s="31"/>
      <c r="N2879" s="13" t="s">
        <v>30</v>
      </c>
      <c r="O2879" s="28" t="str">
        <f>IF(D2879="","",IF(COUNTIF(离职清单!C:C,D2879)&gt;0,"已离职","在职"))</f>
        <v>在职</v>
      </c>
      <c r="P2879" s="28" t="str">
        <f>IF(AND(O2879="在职",J2879="是"),COUNTIF(O$2:O2879,"在职"),"")</f>
        <v/>
      </c>
    </row>
    <row r="2880" ht="18" spans="1:16">
      <c r="A2880" s="10">
        <f t="shared" si="50"/>
        <v>2879</v>
      </c>
      <c r="B2880" s="31">
        <v>46181</v>
      </c>
      <c r="C2880" s="32" t="s">
        <v>1459</v>
      </c>
      <c r="D2880" s="120" t="s">
        <v>482</v>
      </c>
      <c r="E2880" s="33" t="s">
        <v>42</v>
      </c>
      <c r="F2880" s="18" t="s">
        <v>62</v>
      </c>
      <c r="G2880" s="18" t="s">
        <v>148</v>
      </c>
      <c r="H2880" s="34" t="s">
        <v>85</v>
      </c>
      <c r="I2880" s="18" t="s">
        <v>105</v>
      </c>
      <c r="J2880" s="31" t="s">
        <v>105</v>
      </c>
      <c r="K2880" s="31"/>
      <c r="N2880" s="13" t="s">
        <v>30</v>
      </c>
      <c r="O2880" s="28" t="str">
        <f>IF(D2880="","",IF(COUNTIF(离职清单!C:C,D2880)&gt;0,"已离职","在职"))</f>
        <v>在职</v>
      </c>
      <c r="P2880" s="28" t="str">
        <f>IF(AND(O2880="在职",J2880="是"),COUNTIF(O$2:O2880,"在职"),"")</f>
        <v/>
      </c>
    </row>
    <row r="2881" ht="18" spans="1:16">
      <c r="A2881" s="14">
        <f t="shared" si="50"/>
        <v>2880</v>
      </c>
      <c r="B2881" s="31">
        <v>46181</v>
      </c>
      <c r="C2881" s="32" t="s">
        <v>2742</v>
      </c>
      <c r="D2881" s="120" t="s">
        <v>484</v>
      </c>
      <c r="E2881" s="33" t="s">
        <v>42</v>
      </c>
      <c r="F2881" s="18" t="s">
        <v>63</v>
      </c>
      <c r="G2881" s="18" t="s">
        <v>148</v>
      </c>
      <c r="H2881" s="34" t="s">
        <v>85</v>
      </c>
      <c r="I2881" s="18" t="s">
        <v>2154</v>
      </c>
      <c r="J2881" s="31" t="s">
        <v>105</v>
      </c>
      <c r="K2881" s="31"/>
      <c r="N2881" s="13" t="s">
        <v>30</v>
      </c>
      <c r="O2881" s="28" t="str">
        <f>IF(D2881="","",IF(COUNTIF(离职清单!C:C,D2881)&gt;0,"已离职","在职"))</f>
        <v>在职</v>
      </c>
      <c r="P2881" s="28" t="str">
        <f>IF(AND(O2881="在职",J2881="是"),COUNTIF(O$2:O2881,"在职"),"")</f>
        <v/>
      </c>
    </row>
    <row r="2882" ht="18" spans="1:16">
      <c r="A2882" s="10">
        <f t="shared" si="50"/>
        <v>2881</v>
      </c>
      <c r="B2882" s="31">
        <v>46181</v>
      </c>
      <c r="C2882" s="32" t="s">
        <v>2445</v>
      </c>
      <c r="D2882" s="120" t="s">
        <v>486</v>
      </c>
      <c r="E2882" s="33" t="s">
        <v>42</v>
      </c>
      <c r="F2882" s="18" t="s">
        <v>63</v>
      </c>
      <c r="G2882" s="18" t="s">
        <v>148</v>
      </c>
      <c r="H2882" s="34" t="s">
        <v>85</v>
      </c>
      <c r="I2882" s="18" t="s">
        <v>2154</v>
      </c>
      <c r="J2882" s="31" t="s">
        <v>105</v>
      </c>
      <c r="K2882" s="31"/>
      <c r="N2882" s="13" t="s">
        <v>30</v>
      </c>
      <c r="O2882" s="28" t="str">
        <f>IF(D2882="","",IF(COUNTIF(离职清单!C:C,D2882)&gt;0,"已离职","在职"))</f>
        <v>在职</v>
      </c>
      <c r="P2882" s="28" t="str">
        <f>IF(AND(O2882="在职",J2882="是"),COUNTIF(O$2:O2882,"在职"),"")</f>
        <v/>
      </c>
    </row>
    <row r="2883" ht="18" spans="1:16">
      <c r="A2883" s="14">
        <f t="shared" si="50"/>
        <v>2882</v>
      </c>
      <c r="B2883" s="31">
        <v>46181</v>
      </c>
      <c r="C2883" s="32" t="s">
        <v>2743</v>
      </c>
      <c r="D2883" s="120" t="s">
        <v>488</v>
      </c>
      <c r="E2883" s="33" t="s">
        <v>42</v>
      </c>
      <c r="F2883" s="18" t="s">
        <v>62</v>
      </c>
      <c r="G2883" s="18" t="s">
        <v>148</v>
      </c>
      <c r="H2883" s="34" t="s">
        <v>85</v>
      </c>
      <c r="I2883" s="18" t="s">
        <v>105</v>
      </c>
      <c r="J2883" s="31" t="s">
        <v>105</v>
      </c>
      <c r="K2883" s="31"/>
      <c r="N2883" s="13" t="s">
        <v>30</v>
      </c>
      <c r="O2883" s="28" t="str">
        <f>IF(D2883="","",IF(COUNTIF(离职清单!C:C,D2883)&gt;0,"已离职","在职"))</f>
        <v>在职</v>
      </c>
      <c r="P2883" s="28" t="str">
        <f>IF(AND(O2883="在职",J2883="是"),COUNTIF(O$2:O2883,"在职"),"")</f>
        <v/>
      </c>
    </row>
    <row r="2884" ht="18" spans="1:16">
      <c r="A2884" s="10">
        <f t="shared" si="50"/>
        <v>2883</v>
      </c>
      <c r="B2884" s="31">
        <v>46181</v>
      </c>
      <c r="C2884" s="32" t="s">
        <v>2744</v>
      </c>
      <c r="D2884" s="120" t="s">
        <v>490</v>
      </c>
      <c r="E2884" s="33" t="s">
        <v>42</v>
      </c>
      <c r="F2884" s="18" t="s">
        <v>62</v>
      </c>
      <c r="G2884" s="18" t="s">
        <v>148</v>
      </c>
      <c r="H2884" s="34" t="s">
        <v>85</v>
      </c>
      <c r="I2884" s="18" t="s">
        <v>2154</v>
      </c>
      <c r="J2884" s="31" t="s">
        <v>105</v>
      </c>
      <c r="K2884" s="31"/>
      <c r="N2884" s="13" t="s">
        <v>30</v>
      </c>
      <c r="O2884" s="28" t="str">
        <f>IF(D2884="","",IF(COUNTIF(离职清单!C:C,D2884)&gt;0,"已离职","在职"))</f>
        <v>在职</v>
      </c>
      <c r="P2884" s="28" t="str">
        <f>IF(AND(O2884="在职",J2884="是"),COUNTIF(O$2:O2884,"在职"),"")</f>
        <v/>
      </c>
    </row>
    <row r="2885" ht="18" spans="1:16">
      <c r="A2885" s="14">
        <f t="shared" si="50"/>
        <v>2884</v>
      </c>
      <c r="B2885" s="31">
        <v>46181</v>
      </c>
      <c r="C2885" s="32" t="s">
        <v>2745</v>
      </c>
      <c r="D2885" s="120" t="s">
        <v>492</v>
      </c>
      <c r="E2885" s="33" t="s">
        <v>42</v>
      </c>
      <c r="F2885" s="18" t="s">
        <v>63</v>
      </c>
      <c r="G2885" s="18" t="s">
        <v>2166</v>
      </c>
      <c r="H2885" s="34" t="s">
        <v>85</v>
      </c>
      <c r="I2885" s="18" t="s">
        <v>105</v>
      </c>
      <c r="J2885" s="31" t="s">
        <v>105</v>
      </c>
      <c r="K2885" s="31"/>
      <c r="N2885" s="13" t="s">
        <v>30</v>
      </c>
      <c r="O2885" s="28" t="str">
        <f>IF(D2885="","",IF(COUNTIF(离职清单!C:C,D2885)&gt;0,"已离职","在职"))</f>
        <v>在职</v>
      </c>
      <c r="P2885" s="28" t="str">
        <f>IF(AND(O2885="在职",J2885="是"),COUNTIF(O$2:O2885,"在职"),"")</f>
        <v/>
      </c>
    </row>
    <row r="2886" ht="18" spans="1:16">
      <c r="A2886" s="10">
        <f t="shared" si="50"/>
        <v>2885</v>
      </c>
      <c r="B2886" s="31">
        <v>46181</v>
      </c>
      <c r="C2886" s="32" t="s">
        <v>2746</v>
      </c>
      <c r="D2886" s="120" t="s">
        <v>477</v>
      </c>
      <c r="E2886" s="33" t="s">
        <v>42</v>
      </c>
      <c r="F2886" s="18" t="s">
        <v>63</v>
      </c>
      <c r="G2886" s="18" t="s">
        <v>2166</v>
      </c>
      <c r="H2886" s="34" t="s">
        <v>85</v>
      </c>
      <c r="I2886" s="18" t="s">
        <v>105</v>
      </c>
      <c r="J2886" s="31" t="s">
        <v>105</v>
      </c>
      <c r="K2886" s="31"/>
      <c r="N2886" s="13" t="s">
        <v>30</v>
      </c>
      <c r="O2886" s="28" t="str">
        <f>IF(D2886="","",IF(COUNTIF(离职清单!C:C,D2886)&gt;0,"已离职","在职"))</f>
        <v>在职</v>
      </c>
      <c r="P2886" s="28" t="str">
        <f>IF(AND(O2886="在职",J2886="是"),COUNTIF(O$2:O2886,"在职"),"")</f>
        <v/>
      </c>
    </row>
    <row r="2887" ht="18" spans="1:16">
      <c r="A2887" s="14">
        <f t="shared" si="50"/>
        <v>2886</v>
      </c>
      <c r="B2887" s="31">
        <v>46181</v>
      </c>
      <c r="C2887" s="32" t="s">
        <v>2747</v>
      </c>
      <c r="D2887" s="120" t="s">
        <v>478</v>
      </c>
      <c r="E2887" s="33" t="s">
        <v>42</v>
      </c>
      <c r="F2887" s="18" t="s">
        <v>63</v>
      </c>
      <c r="G2887" s="18" t="s">
        <v>1511</v>
      </c>
      <c r="H2887" s="34" t="s">
        <v>85</v>
      </c>
      <c r="I2887" s="18" t="s">
        <v>2154</v>
      </c>
      <c r="J2887" s="31" t="s">
        <v>105</v>
      </c>
      <c r="K2887" s="31"/>
      <c r="N2887" s="13" t="s">
        <v>30</v>
      </c>
      <c r="O2887" s="28" t="str">
        <f>IF(D2887="","",IF(COUNTIF(离职清单!C:C,D2887)&gt;0,"已离职","在职"))</f>
        <v>在职</v>
      </c>
      <c r="P2887" s="28" t="str">
        <f>IF(AND(O2887="在职",J2887="是"),COUNTIF(O$2:O2887,"在职"),"")</f>
        <v/>
      </c>
    </row>
    <row r="2888" ht="18" spans="1:16">
      <c r="A2888" s="10">
        <f t="shared" si="50"/>
        <v>2887</v>
      </c>
      <c r="B2888" s="31">
        <v>46181</v>
      </c>
      <c r="C2888" s="32" t="s">
        <v>2748</v>
      </c>
      <c r="D2888" s="120" t="s">
        <v>480</v>
      </c>
      <c r="E2888" s="33" t="s">
        <v>42</v>
      </c>
      <c r="F2888" s="18" t="s">
        <v>62</v>
      </c>
      <c r="G2888" s="18" t="s">
        <v>2156</v>
      </c>
      <c r="H2888" s="34" t="s">
        <v>85</v>
      </c>
      <c r="I2888" s="18" t="s">
        <v>105</v>
      </c>
      <c r="J2888" s="31" t="s">
        <v>105</v>
      </c>
      <c r="K2888" s="31"/>
      <c r="N2888" s="13" t="s">
        <v>30</v>
      </c>
      <c r="O2888" s="28" t="str">
        <f>IF(D2888="","",IF(COUNTIF(离职清单!C:C,D2888)&gt;0,"已离职","在职"))</f>
        <v>在职</v>
      </c>
      <c r="P2888" s="28" t="str">
        <f>IF(AND(O2888="在职",J2888="是"),COUNTIF(O$2:O2888,"在职"),"")</f>
        <v/>
      </c>
    </row>
    <row r="2889" ht="18" spans="1:16">
      <c r="A2889" s="14">
        <f t="shared" si="50"/>
        <v>2888</v>
      </c>
      <c r="B2889" s="31">
        <v>46181</v>
      </c>
      <c r="C2889" s="32" t="s">
        <v>2749</v>
      </c>
      <c r="D2889" s="120" t="s">
        <v>482</v>
      </c>
      <c r="E2889" s="33" t="s">
        <v>42</v>
      </c>
      <c r="F2889" s="18" t="s">
        <v>62</v>
      </c>
      <c r="G2889" s="18" t="s">
        <v>148</v>
      </c>
      <c r="H2889" s="34" t="s">
        <v>85</v>
      </c>
      <c r="I2889" s="18" t="s">
        <v>2154</v>
      </c>
      <c r="J2889" s="31" t="s">
        <v>105</v>
      </c>
      <c r="K2889" s="31"/>
      <c r="N2889" s="13" t="s">
        <v>30</v>
      </c>
      <c r="O2889" s="28" t="str">
        <f>IF(D2889="","",IF(COUNTIF(离职清单!C:C,D2889)&gt;0,"已离职","在职"))</f>
        <v>在职</v>
      </c>
      <c r="P2889" s="28" t="str">
        <f>IF(AND(O2889="在职",J2889="是"),COUNTIF(O$2:O2889,"在职"),"")</f>
        <v/>
      </c>
    </row>
    <row r="2890" ht="18" spans="1:16">
      <c r="A2890" s="10">
        <f t="shared" si="50"/>
        <v>2889</v>
      </c>
      <c r="B2890" s="31">
        <v>46181</v>
      </c>
      <c r="C2890" s="32" t="s">
        <v>2750</v>
      </c>
      <c r="D2890" s="120" t="s">
        <v>484</v>
      </c>
      <c r="E2890" s="33" t="s">
        <v>42</v>
      </c>
      <c r="F2890" s="18" t="s">
        <v>63</v>
      </c>
      <c r="G2890" s="18" t="s">
        <v>148</v>
      </c>
      <c r="H2890" s="34" t="s">
        <v>85</v>
      </c>
      <c r="I2890" s="18" t="s">
        <v>114</v>
      </c>
      <c r="J2890" s="31" t="s">
        <v>114</v>
      </c>
      <c r="K2890" s="31">
        <v>46183</v>
      </c>
      <c r="N2890" s="13" t="s">
        <v>30</v>
      </c>
      <c r="O2890" s="28" t="str">
        <f>IF(D2890="","",IF(COUNTIF(离职清单!C:C,D2890)&gt;0,"已离职","在职"))</f>
        <v>在职</v>
      </c>
      <c r="P2890" s="28">
        <f>IF(AND(O2890="在职",J2890="是"),COUNTIF(O$2:O2890,"在职"),"")</f>
        <v>2883</v>
      </c>
    </row>
    <row r="2891" ht="18" spans="1:16">
      <c r="A2891" s="14">
        <f t="shared" si="50"/>
        <v>2890</v>
      </c>
      <c r="B2891" s="31">
        <v>46181</v>
      </c>
      <c r="C2891" s="32" t="s">
        <v>1514</v>
      </c>
      <c r="D2891" s="120" t="s">
        <v>486</v>
      </c>
      <c r="E2891" s="33" t="s">
        <v>42</v>
      </c>
      <c r="F2891" s="18" t="s">
        <v>63</v>
      </c>
      <c r="G2891" s="18" t="s">
        <v>148</v>
      </c>
      <c r="H2891" s="34" t="s">
        <v>85</v>
      </c>
      <c r="I2891" s="18" t="s">
        <v>105</v>
      </c>
      <c r="J2891" s="31" t="s">
        <v>105</v>
      </c>
      <c r="K2891" s="31"/>
      <c r="N2891" s="13" t="s">
        <v>30</v>
      </c>
      <c r="O2891" s="28" t="str">
        <f>IF(D2891="","",IF(COUNTIF(离职清单!C:C,D2891)&gt;0,"已离职","在职"))</f>
        <v>在职</v>
      </c>
      <c r="P2891" s="28" t="str">
        <f>IF(AND(O2891="在职",J2891="是"),COUNTIF(O$2:O2891,"在职"),"")</f>
        <v/>
      </c>
    </row>
    <row r="2892" ht="18" spans="1:16">
      <c r="A2892" s="10">
        <f t="shared" si="50"/>
        <v>2891</v>
      </c>
      <c r="B2892" s="31">
        <v>46181</v>
      </c>
      <c r="C2892" s="32" t="s">
        <v>2520</v>
      </c>
      <c r="D2892" s="120" t="s">
        <v>488</v>
      </c>
      <c r="E2892" s="33" t="s">
        <v>42</v>
      </c>
      <c r="F2892" s="18" t="s">
        <v>63</v>
      </c>
      <c r="G2892" s="18" t="s">
        <v>2232</v>
      </c>
      <c r="H2892" s="34" t="s">
        <v>85</v>
      </c>
      <c r="I2892" s="18" t="s">
        <v>105</v>
      </c>
      <c r="J2892" s="31" t="s">
        <v>105</v>
      </c>
      <c r="K2892" s="31"/>
      <c r="N2892" s="13" t="s">
        <v>30</v>
      </c>
      <c r="O2892" s="28" t="str">
        <f>IF(D2892="","",IF(COUNTIF(离职清单!C:C,D2892)&gt;0,"已离职","在职"))</f>
        <v>在职</v>
      </c>
      <c r="P2892" s="28" t="str">
        <f>IF(AND(O2892="在职",J2892="是"),COUNTIF(O$2:O2892,"在职"),"")</f>
        <v/>
      </c>
    </row>
    <row r="2893" ht="18" spans="1:16">
      <c r="A2893" s="14">
        <f t="shared" si="50"/>
        <v>2892</v>
      </c>
      <c r="B2893" s="31">
        <v>46181</v>
      </c>
      <c r="C2893" s="32" t="s">
        <v>2693</v>
      </c>
      <c r="D2893" s="120" t="s">
        <v>490</v>
      </c>
      <c r="E2893" s="33" t="s">
        <v>42</v>
      </c>
      <c r="F2893" s="18" t="s">
        <v>63</v>
      </c>
      <c r="G2893" s="18" t="s">
        <v>2232</v>
      </c>
      <c r="H2893" s="34" t="s">
        <v>85</v>
      </c>
      <c r="I2893" s="18" t="s">
        <v>105</v>
      </c>
      <c r="J2893" s="31" t="s">
        <v>105</v>
      </c>
      <c r="K2893" s="31"/>
      <c r="N2893" s="13" t="s">
        <v>30</v>
      </c>
      <c r="O2893" s="28" t="str">
        <f>IF(D2893="","",IF(COUNTIF(离职清单!C:C,D2893)&gt;0,"已离职","在职"))</f>
        <v>在职</v>
      </c>
      <c r="P2893" s="28" t="str">
        <f>IF(AND(O2893="在职",J2893="是"),COUNTIF(O$2:O2893,"在职"),"")</f>
        <v/>
      </c>
    </row>
    <row r="2894" ht="18" spans="1:16">
      <c r="A2894" s="10">
        <f t="shared" si="50"/>
        <v>2893</v>
      </c>
      <c r="B2894" s="31">
        <v>46181</v>
      </c>
      <c r="C2894" s="32" t="s">
        <v>2464</v>
      </c>
      <c r="D2894" s="120" t="s">
        <v>492</v>
      </c>
      <c r="E2894" s="33" t="s">
        <v>42</v>
      </c>
      <c r="F2894" s="18" t="s">
        <v>64</v>
      </c>
      <c r="G2894" s="18" t="s">
        <v>2174</v>
      </c>
      <c r="H2894" s="34" t="s">
        <v>85</v>
      </c>
      <c r="I2894" s="18" t="s">
        <v>114</v>
      </c>
      <c r="J2894" s="31" t="s">
        <v>105</v>
      </c>
      <c r="K2894" s="31"/>
      <c r="N2894" s="13" t="s">
        <v>30</v>
      </c>
      <c r="O2894" s="28" t="str">
        <f>IF(D2894="","",IF(COUNTIF(离职清单!C:C,D2894)&gt;0,"已离职","在职"))</f>
        <v>在职</v>
      </c>
      <c r="P2894" s="28" t="str">
        <f>IF(AND(O2894="在职",J2894="是"),COUNTIF(O$2:O2894,"在职"),"")</f>
        <v/>
      </c>
    </row>
    <row r="2895" ht="18" spans="1:16">
      <c r="A2895" s="14">
        <f t="shared" si="50"/>
        <v>2894</v>
      </c>
      <c r="B2895" s="31">
        <v>46181</v>
      </c>
      <c r="C2895" s="32" t="s">
        <v>2751</v>
      </c>
      <c r="D2895" s="120" t="s">
        <v>477</v>
      </c>
      <c r="E2895" s="33" t="s">
        <v>42</v>
      </c>
      <c r="F2895" s="18" t="s">
        <v>62</v>
      </c>
      <c r="G2895" s="18" t="s">
        <v>2174</v>
      </c>
      <c r="H2895" s="34" t="s">
        <v>85</v>
      </c>
      <c r="I2895" s="18" t="s">
        <v>105</v>
      </c>
      <c r="J2895" s="31" t="s">
        <v>105</v>
      </c>
      <c r="K2895" s="31"/>
      <c r="N2895" s="13" t="s">
        <v>30</v>
      </c>
      <c r="O2895" s="28" t="str">
        <f>IF(D2895="","",IF(COUNTIF(离职清单!C:C,D2895)&gt;0,"已离职","在职"))</f>
        <v>在职</v>
      </c>
      <c r="P2895" s="28" t="str">
        <f>IF(AND(O2895="在职",J2895="是"),COUNTIF(O$2:O2895,"在职"),"")</f>
        <v/>
      </c>
    </row>
    <row r="2896" ht="18" spans="1:16">
      <c r="A2896" s="10">
        <f t="shared" si="50"/>
        <v>2895</v>
      </c>
      <c r="B2896" s="31">
        <v>46181</v>
      </c>
      <c r="C2896" s="32" t="s">
        <v>2752</v>
      </c>
      <c r="D2896" s="120" t="s">
        <v>478</v>
      </c>
      <c r="E2896" s="33" t="s">
        <v>42</v>
      </c>
      <c r="F2896" s="18" t="s">
        <v>63</v>
      </c>
      <c r="G2896" s="18" t="s">
        <v>2174</v>
      </c>
      <c r="H2896" s="34" t="s">
        <v>85</v>
      </c>
      <c r="I2896" s="18" t="s">
        <v>114</v>
      </c>
      <c r="J2896" s="31" t="s">
        <v>105</v>
      </c>
      <c r="K2896" s="31"/>
      <c r="N2896" s="13" t="s">
        <v>30</v>
      </c>
      <c r="O2896" s="28" t="str">
        <f>IF(D2896="","",IF(COUNTIF(离职清单!C:C,D2896)&gt;0,"已离职","在职"))</f>
        <v>在职</v>
      </c>
      <c r="P2896" s="28" t="str">
        <f>IF(AND(O2896="在职",J2896="是"),COUNTIF(O$2:O2896,"在职"),"")</f>
        <v/>
      </c>
    </row>
    <row r="2897" ht="18" spans="1:16">
      <c r="A2897" s="14">
        <f t="shared" si="50"/>
        <v>2896</v>
      </c>
      <c r="B2897" s="31">
        <v>46181</v>
      </c>
      <c r="C2897" s="32" t="s">
        <v>2486</v>
      </c>
      <c r="D2897" s="120" t="s">
        <v>480</v>
      </c>
      <c r="E2897" s="33" t="s">
        <v>42</v>
      </c>
      <c r="F2897" s="18" t="s">
        <v>63</v>
      </c>
      <c r="G2897" s="18" t="s">
        <v>129</v>
      </c>
      <c r="H2897" s="34" t="s">
        <v>85</v>
      </c>
      <c r="I2897" s="18" t="s">
        <v>105</v>
      </c>
      <c r="J2897" s="31" t="s">
        <v>105</v>
      </c>
      <c r="K2897" s="31"/>
      <c r="N2897" s="13" t="s">
        <v>30</v>
      </c>
      <c r="O2897" s="28" t="str">
        <f>IF(D2897="","",IF(COUNTIF(离职清单!C:C,D2897)&gt;0,"已离职","在职"))</f>
        <v>在职</v>
      </c>
      <c r="P2897" s="28" t="str">
        <f>IF(AND(O2897="在职",J2897="是"),COUNTIF(O$2:O2897,"在职"),"")</f>
        <v/>
      </c>
    </row>
    <row r="2898" ht="18" spans="1:16">
      <c r="A2898" s="10">
        <f t="shared" si="50"/>
        <v>2897</v>
      </c>
      <c r="B2898" s="31">
        <v>46181</v>
      </c>
      <c r="C2898" s="32" t="s">
        <v>2753</v>
      </c>
      <c r="D2898" s="120" t="s">
        <v>482</v>
      </c>
      <c r="E2898" s="33" t="s">
        <v>42</v>
      </c>
      <c r="F2898" s="18" t="s">
        <v>63</v>
      </c>
      <c r="G2898" s="18" t="s">
        <v>129</v>
      </c>
      <c r="H2898" s="34" t="s">
        <v>85</v>
      </c>
      <c r="I2898" s="18" t="s">
        <v>114</v>
      </c>
      <c r="J2898" s="31" t="s">
        <v>105</v>
      </c>
      <c r="K2898" s="31"/>
      <c r="N2898" s="13" t="s">
        <v>30</v>
      </c>
      <c r="O2898" s="28" t="str">
        <f>IF(D2898="","",IF(COUNTIF(离职清单!C:C,D2898)&gt;0,"已离职","在职"))</f>
        <v>在职</v>
      </c>
      <c r="P2898" s="28" t="str">
        <f>IF(AND(O2898="在职",J2898="是"),COUNTIF(O$2:O2898,"在职"),"")</f>
        <v/>
      </c>
    </row>
    <row r="2899" ht="18" spans="1:16">
      <c r="A2899" s="14">
        <f t="shared" si="50"/>
        <v>2898</v>
      </c>
      <c r="B2899" s="31">
        <v>46181</v>
      </c>
      <c r="C2899" s="32" t="s">
        <v>2734</v>
      </c>
      <c r="D2899" s="120" t="s">
        <v>484</v>
      </c>
      <c r="E2899" s="33" t="s">
        <v>42</v>
      </c>
      <c r="F2899" s="18" t="s">
        <v>63</v>
      </c>
      <c r="G2899" s="18" t="s">
        <v>2181</v>
      </c>
      <c r="H2899" s="34" t="s">
        <v>85</v>
      </c>
      <c r="I2899" s="18" t="s">
        <v>114</v>
      </c>
      <c r="J2899" s="31" t="s">
        <v>114</v>
      </c>
      <c r="K2899" s="31">
        <v>46183</v>
      </c>
      <c r="N2899" s="13" t="s">
        <v>30</v>
      </c>
      <c r="O2899" s="28" t="str">
        <f>IF(D2899="","",IF(COUNTIF(离职清单!C:C,D2899)&gt;0,"已离职","在职"))</f>
        <v>在职</v>
      </c>
      <c r="P2899" s="28">
        <f>IF(AND(O2899="在职",J2899="是"),COUNTIF(O$2:O2899,"在职"),"")</f>
        <v>2892</v>
      </c>
    </row>
    <row r="2900" ht="18" spans="1:16">
      <c r="A2900" s="10">
        <f t="shared" si="50"/>
        <v>2899</v>
      </c>
      <c r="B2900" s="31">
        <v>46181</v>
      </c>
      <c r="C2900" s="32" t="s">
        <v>2754</v>
      </c>
      <c r="D2900" s="120" t="s">
        <v>486</v>
      </c>
      <c r="E2900" s="33" t="s">
        <v>42</v>
      </c>
      <c r="F2900" s="18" t="s">
        <v>63</v>
      </c>
      <c r="G2900" s="18" t="s">
        <v>2692</v>
      </c>
      <c r="H2900" s="34" t="s">
        <v>85</v>
      </c>
      <c r="I2900" s="18" t="s">
        <v>105</v>
      </c>
      <c r="J2900" s="31" t="s">
        <v>105</v>
      </c>
      <c r="K2900" s="31"/>
      <c r="N2900" s="13" t="s">
        <v>30</v>
      </c>
      <c r="O2900" s="28" t="str">
        <f>IF(D2900="","",IF(COUNTIF(离职清单!C:C,D2900)&gt;0,"已离职","在职"))</f>
        <v>在职</v>
      </c>
      <c r="P2900" s="28" t="str">
        <f>IF(AND(O2900="在职",J2900="是"),COUNTIF(O$2:O2900,"在职"),"")</f>
        <v/>
      </c>
    </row>
    <row r="2901" ht="18" spans="1:16">
      <c r="A2901" s="14">
        <f t="shared" si="50"/>
        <v>2900</v>
      </c>
      <c r="B2901" s="31">
        <v>46181</v>
      </c>
      <c r="C2901" s="32" t="s">
        <v>2755</v>
      </c>
      <c r="D2901" s="120" t="s">
        <v>488</v>
      </c>
      <c r="E2901" s="33" t="s">
        <v>42</v>
      </c>
      <c r="F2901" s="18" t="s">
        <v>63</v>
      </c>
      <c r="G2901" s="18" t="s">
        <v>2692</v>
      </c>
      <c r="H2901" s="34" t="s">
        <v>85</v>
      </c>
      <c r="I2901" s="18" t="s">
        <v>105</v>
      </c>
      <c r="J2901" s="31" t="s">
        <v>105</v>
      </c>
      <c r="K2901" s="31"/>
      <c r="N2901" s="13" t="s">
        <v>30</v>
      </c>
      <c r="O2901" s="28" t="str">
        <f>IF(D2901="","",IF(COUNTIF(离职清单!C:C,D2901)&gt;0,"已离职","在职"))</f>
        <v>在职</v>
      </c>
      <c r="P2901" s="28" t="str">
        <f>IF(AND(O2901="在职",J2901="是"),COUNTIF(O$2:O2901,"在职"),"")</f>
        <v/>
      </c>
    </row>
    <row r="2902" ht="18" spans="1:16">
      <c r="A2902" s="10">
        <f t="shared" si="50"/>
        <v>2901</v>
      </c>
      <c r="B2902" s="31">
        <v>46181</v>
      </c>
      <c r="C2902" s="32" t="s">
        <v>2756</v>
      </c>
      <c r="D2902" s="120" t="s">
        <v>490</v>
      </c>
      <c r="E2902" s="33" t="s">
        <v>42</v>
      </c>
      <c r="F2902" s="18" t="s">
        <v>63</v>
      </c>
      <c r="G2902" s="18" t="s">
        <v>2692</v>
      </c>
      <c r="H2902" s="34" t="s">
        <v>85</v>
      </c>
      <c r="I2902" s="18" t="s">
        <v>105</v>
      </c>
      <c r="J2902" s="31" t="s">
        <v>105</v>
      </c>
      <c r="K2902" s="31"/>
      <c r="N2902" s="13" t="s">
        <v>30</v>
      </c>
      <c r="O2902" s="28" t="str">
        <f>IF(D2902="","",IF(COUNTIF(离职清单!C:C,D2902)&gt;0,"已离职","在职"))</f>
        <v>在职</v>
      </c>
      <c r="P2902" s="28" t="str">
        <f>IF(AND(O2902="在职",J2902="是"),COUNTIF(O$2:O2902,"在职"),"")</f>
        <v/>
      </c>
    </row>
    <row r="2903" ht="18" spans="1:16">
      <c r="A2903" s="14">
        <f t="shared" si="50"/>
        <v>2902</v>
      </c>
      <c r="B2903" s="31">
        <v>46181</v>
      </c>
      <c r="C2903" s="32" t="s">
        <v>2757</v>
      </c>
      <c r="D2903" s="120" t="s">
        <v>492</v>
      </c>
      <c r="E2903" s="33" t="s">
        <v>42</v>
      </c>
      <c r="F2903" s="18" t="s">
        <v>62</v>
      </c>
      <c r="G2903" s="18" t="s">
        <v>2221</v>
      </c>
      <c r="H2903" s="34" t="s">
        <v>85</v>
      </c>
      <c r="I2903" s="18" t="s">
        <v>114</v>
      </c>
      <c r="J2903" s="31" t="s">
        <v>114</v>
      </c>
      <c r="K2903" s="31">
        <v>46185</v>
      </c>
      <c r="N2903" s="13" t="s">
        <v>30</v>
      </c>
      <c r="O2903" s="28" t="str">
        <f>IF(D2903="","",IF(COUNTIF(离职清单!C:C,D2903)&gt;0,"已离职","在职"))</f>
        <v>在职</v>
      </c>
      <c r="P2903" s="28">
        <f>IF(AND(O2903="在职",J2903="是"),COUNTIF(O$2:O2903,"在职"),"")</f>
        <v>2896</v>
      </c>
    </row>
    <row r="2904" ht="18" spans="1:16">
      <c r="A2904" s="10">
        <f t="shared" si="50"/>
        <v>2903</v>
      </c>
      <c r="B2904" s="31">
        <v>46181</v>
      </c>
      <c r="C2904" s="32" t="s">
        <v>2758</v>
      </c>
      <c r="D2904" s="120" t="s">
        <v>477</v>
      </c>
      <c r="E2904" s="33" t="s">
        <v>42</v>
      </c>
      <c r="F2904" s="18" t="s">
        <v>62</v>
      </c>
      <c r="G2904" s="18" t="s">
        <v>2221</v>
      </c>
      <c r="H2904" s="34" t="s">
        <v>85</v>
      </c>
      <c r="I2904" s="18" t="s">
        <v>114</v>
      </c>
      <c r="J2904" s="31" t="s">
        <v>114</v>
      </c>
      <c r="K2904" s="31">
        <v>46183</v>
      </c>
      <c r="N2904" s="13" t="s">
        <v>30</v>
      </c>
      <c r="O2904" s="28" t="str">
        <f>IF(D2904="","",IF(COUNTIF(离职清单!C:C,D2904)&gt;0,"已离职","在职"))</f>
        <v>在职</v>
      </c>
      <c r="P2904" s="28">
        <f>IF(AND(O2904="在职",J2904="是"),COUNTIF(O$2:O2904,"在职"),"")</f>
        <v>2897</v>
      </c>
    </row>
    <row r="2905" ht="18" spans="1:16">
      <c r="A2905" s="14">
        <f t="shared" si="50"/>
        <v>2904</v>
      </c>
      <c r="B2905" s="31">
        <v>46181</v>
      </c>
      <c r="C2905" s="32" t="s">
        <v>2759</v>
      </c>
      <c r="D2905" s="120" t="s">
        <v>478</v>
      </c>
      <c r="E2905" s="33" t="s">
        <v>43</v>
      </c>
      <c r="F2905" s="18" t="s">
        <v>64</v>
      </c>
      <c r="G2905" s="18" t="s">
        <v>148</v>
      </c>
      <c r="H2905" s="34" t="s">
        <v>86</v>
      </c>
      <c r="I2905" s="18" t="s">
        <v>105</v>
      </c>
      <c r="J2905" s="31" t="s">
        <v>105</v>
      </c>
      <c r="K2905" s="31"/>
      <c r="N2905" s="13" t="s">
        <v>30</v>
      </c>
      <c r="O2905" s="28" t="str">
        <f>IF(D2905="","",IF(COUNTIF(离职清单!C:C,D2905)&gt;0,"已离职","在职"))</f>
        <v>在职</v>
      </c>
      <c r="P2905" s="28" t="str">
        <f>IF(AND(O2905="在职",J2905="是"),COUNTIF(O$2:O2905,"在职"),"")</f>
        <v/>
      </c>
    </row>
    <row r="2906" ht="18" spans="1:16">
      <c r="A2906" s="10">
        <f t="shared" si="50"/>
        <v>2905</v>
      </c>
      <c r="B2906" s="31">
        <v>46181</v>
      </c>
      <c r="C2906" s="32" t="s">
        <v>2760</v>
      </c>
      <c r="D2906" s="120" t="s">
        <v>480</v>
      </c>
      <c r="E2906" s="33" t="s">
        <v>43</v>
      </c>
      <c r="F2906" s="18" t="s">
        <v>63</v>
      </c>
      <c r="G2906" s="18" t="s">
        <v>2692</v>
      </c>
      <c r="H2906" s="34" t="s">
        <v>86</v>
      </c>
      <c r="I2906" s="18" t="s">
        <v>114</v>
      </c>
      <c r="J2906" s="31" t="s">
        <v>105</v>
      </c>
      <c r="K2906" s="31"/>
      <c r="N2906" s="13" t="s">
        <v>30</v>
      </c>
      <c r="O2906" s="28" t="str">
        <f>IF(D2906="","",IF(COUNTIF(离职清单!C:C,D2906)&gt;0,"已离职","在职"))</f>
        <v>在职</v>
      </c>
      <c r="P2906" s="28" t="str">
        <f>IF(AND(O2906="在职",J2906="是"),COUNTIF(O$2:O2906,"在职"),"")</f>
        <v/>
      </c>
    </row>
    <row r="2907" ht="18" spans="1:16">
      <c r="A2907" s="14">
        <f t="shared" si="50"/>
        <v>2906</v>
      </c>
      <c r="B2907" s="31">
        <v>46181</v>
      </c>
      <c r="C2907" s="32" t="s">
        <v>2761</v>
      </c>
      <c r="D2907" s="120" t="s">
        <v>482</v>
      </c>
      <c r="E2907" s="33" t="s">
        <v>43</v>
      </c>
      <c r="F2907" s="18" t="s">
        <v>64</v>
      </c>
      <c r="G2907" s="18" t="s">
        <v>148</v>
      </c>
      <c r="H2907" s="34" t="s">
        <v>86</v>
      </c>
      <c r="I2907" s="18" t="s">
        <v>105</v>
      </c>
      <c r="J2907" s="31" t="s">
        <v>105</v>
      </c>
      <c r="K2907" s="31"/>
      <c r="N2907" s="13" t="s">
        <v>30</v>
      </c>
      <c r="O2907" s="28" t="str">
        <f>IF(D2907="","",IF(COUNTIF(离职清单!C:C,D2907)&gt;0,"已离职","在职"))</f>
        <v>在职</v>
      </c>
      <c r="P2907" s="28" t="str">
        <f>IF(AND(O2907="在职",J2907="是"),COUNTIF(O$2:O2907,"在职"),"")</f>
        <v/>
      </c>
    </row>
    <row r="2908" ht="18" spans="1:16">
      <c r="A2908" s="10">
        <f t="shared" si="50"/>
        <v>2907</v>
      </c>
      <c r="B2908" s="31">
        <v>46181</v>
      </c>
      <c r="C2908" s="32" t="s">
        <v>2762</v>
      </c>
      <c r="D2908" s="120" t="s">
        <v>484</v>
      </c>
      <c r="E2908" s="33" t="s">
        <v>43</v>
      </c>
      <c r="F2908" s="18" t="s">
        <v>63</v>
      </c>
      <c r="G2908" s="18" t="s">
        <v>103</v>
      </c>
      <c r="H2908" s="34" t="s">
        <v>86</v>
      </c>
      <c r="I2908" s="18" t="s">
        <v>105</v>
      </c>
      <c r="J2908" s="31" t="s">
        <v>105</v>
      </c>
      <c r="K2908" s="31"/>
      <c r="N2908" s="13" t="s">
        <v>30</v>
      </c>
      <c r="O2908" s="28" t="str">
        <f>IF(D2908="","",IF(COUNTIF(离职清单!C:C,D2908)&gt;0,"已离职","在职"))</f>
        <v>在职</v>
      </c>
      <c r="P2908" s="28" t="str">
        <f>IF(AND(O2908="在职",J2908="是"),COUNTIF(O$2:O2908,"在职"),"")</f>
        <v/>
      </c>
    </row>
    <row r="2909" ht="18" spans="1:16">
      <c r="A2909" s="14">
        <f t="shared" si="50"/>
        <v>2908</v>
      </c>
      <c r="B2909" s="31">
        <v>46182</v>
      </c>
      <c r="C2909" s="32" t="s">
        <v>2763</v>
      </c>
      <c r="D2909" s="120" t="s">
        <v>486</v>
      </c>
      <c r="E2909" s="33" t="s">
        <v>42</v>
      </c>
      <c r="F2909" s="18" t="s">
        <v>63</v>
      </c>
      <c r="G2909" s="18" t="s">
        <v>2164</v>
      </c>
      <c r="H2909" s="34" t="s">
        <v>85</v>
      </c>
      <c r="I2909" s="18" t="s">
        <v>114</v>
      </c>
      <c r="J2909" s="31" t="s">
        <v>114</v>
      </c>
      <c r="K2909" s="31">
        <v>46188</v>
      </c>
      <c r="N2909" s="13" t="s">
        <v>30</v>
      </c>
      <c r="O2909" s="28" t="str">
        <f>IF(D2909="","",IF(COUNTIF(离职清单!C:C,D2909)&gt;0,"已离职","在职"))</f>
        <v>在职</v>
      </c>
      <c r="P2909" s="28">
        <f>IF(AND(O2909="在职",J2909="是"),COUNTIF(O$2:O2909,"在职"),"")</f>
        <v>2902</v>
      </c>
    </row>
    <row r="2910" ht="18" spans="1:16">
      <c r="A2910" s="10">
        <f t="shared" si="50"/>
        <v>2909</v>
      </c>
      <c r="B2910" s="31">
        <v>46182</v>
      </c>
      <c r="C2910" s="32" t="s">
        <v>2764</v>
      </c>
      <c r="D2910" s="120" t="s">
        <v>488</v>
      </c>
      <c r="E2910" s="33" t="s">
        <v>42</v>
      </c>
      <c r="F2910" s="18" t="s">
        <v>63</v>
      </c>
      <c r="G2910" s="18" t="s">
        <v>2164</v>
      </c>
      <c r="H2910" s="34" t="s">
        <v>85</v>
      </c>
      <c r="I2910" s="18" t="s">
        <v>2154</v>
      </c>
      <c r="J2910" s="31" t="s">
        <v>105</v>
      </c>
      <c r="K2910" s="31"/>
      <c r="N2910" s="13" t="s">
        <v>30</v>
      </c>
      <c r="O2910" s="28" t="str">
        <f>IF(D2910="","",IF(COUNTIF(离职清单!C:C,D2910)&gt;0,"已离职","在职"))</f>
        <v>在职</v>
      </c>
      <c r="P2910" s="28" t="str">
        <f>IF(AND(O2910="在职",J2910="是"),COUNTIF(O$2:O2910,"在职"),"")</f>
        <v/>
      </c>
    </row>
    <row r="2911" ht="18" spans="1:16">
      <c r="A2911" s="14">
        <f t="shared" si="50"/>
        <v>2910</v>
      </c>
      <c r="B2911" s="31">
        <v>46182</v>
      </c>
      <c r="C2911" s="32" t="s">
        <v>2765</v>
      </c>
      <c r="D2911" s="120" t="s">
        <v>490</v>
      </c>
      <c r="E2911" s="33" t="s">
        <v>42</v>
      </c>
      <c r="F2911" s="18" t="s">
        <v>63</v>
      </c>
      <c r="G2911" s="18" t="s">
        <v>2164</v>
      </c>
      <c r="H2911" s="34" t="s">
        <v>85</v>
      </c>
      <c r="I2911" s="18" t="s">
        <v>2154</v>
      </c>
      <c r="J2911" s="31" t="s">
        <v>105</v>
      </c>
      <c r="K2911" s="31"/>
      <c r="N2911" s="13" t="s">
        <v>30</v>
      </c>
      <c r="O2911" s="28" t="str">
        <f>IF(D2911="","",IF(COUNTIF(离职清单!C:C,D2911)&gt;0,"已离职","在职"))</f>
        <v>在职</v>
      </c>
      <c r="P2911" s="28" t="str">
        <f>IF(AND(O2911="在职",J2911="是"),COUNTIF(O$2:O2911,"在职"),"")</f>
        <v/>
      </c>
    </row>
    <row r="2912" ht="18" spans="1:16">
      <c r="A2912" s="10">
        <f t="shared" si="50"/>
        <v>2911</v>
      </c>
      <c r="B2912" s="31">
        <v>46182</v>
      </c>
      <c r="C2912" s="32" t="s">
        <v>2617</v>
      </c>
      <c r="D2912" s="120" t="s">
        <v>492</v>
      </c>
      <c r="E2912" s="33" t="s">
        <v>42</v>
      </c>
      <c r="F2912" s="18" t="s">
        <v>62</v>
      </c>
      <c r="G2912" s="18" t="s">
        <v>2164</v>
      </c>
      <c r="H2912" s="34" t="s">
        <v>85</v>
      </c>
      <c r="I2912" s="18" t="s">
        <v>2154</v>
      </c>
      <c r="J2912" s="31" t="s">
        <v>105</v>
      </c>
      <c r="K2912" s="31"/>
      <c r="N2912" s="13" t="s">
        <v>30</v>
      </c>
      <c r="O2912" s="28" t="str">
        <f>IF(D2912="","",IF(COUNTIF(离职清单!C:C,D2912)&gt;0,"已离职","在职"))</f>
        <v>在职</v>
      </c>
      <c r="P2912" s="28" t="str">
        <f>IF(AND(O2912="在职",J2912="是"),COUNTIF(O$2:O2912,"在职"),"")</f>
        <v/>
      </c>
    </row>
    <row r="2913" ht="18" spans="1:16">
      <c r="A2913" s="14">
        <f t="shared" si="50"/>
        <v>2912</v>
      </c>
      <c r="B2913" s="31">
        <v>46182</v>
      </c>
      <c r="C2913" s="32" t="s">
        <v>2766</v>
      </c>
      <c r="D2913" s="120" t="s">
        <v>477</v>
      </c>
      <c r="E2913" s="33" t="s">
        <v>42</v>
      </c>
      <c r="F2913" s="18" t="s">
        <v>63</v>
      </c>
      <c r="G2913" s="18" t="s">
        <v>2164</v>
      </c>
      <c r="H2913" s="34" t="s">
        <v>85</v>
      </c>
      <c r="I2913" s="18" t="s">
        <v>2154</v>
      </c>
      <c r="J2913" s="31" t="s">
        <v>105</v>
      </c>
      <c r="K2913" s="31"/>
      <c r="N2913" s="13" t="s">
        <v>30</v>
      </c>
      <c r="O2913" s="28" t="str">
        <f>IF(D2913="","",IF(COUNTIF(离职清单!C:C,D2913)&gt;0,"已离职","在职"))</f>
        <v>在职</v>
      </c>
      <c r="P2913" s="28" t="str">
        <f>IF(AND(O2913="在职",J2913="是"),COUNTIF(O$2:O2913,"在职"),"")</f>
        <v/>
      </c>
    </row>
    <row r="2914" ht="18" spans="1:16">
      <c r="A2914" s="10">
        <f t="shared" si="50"/>
        <v>2913</v>
      </c>
      <c r="B2914" s="31">
        <v>46182</v>
      </c>
      <c r="C2914" s="32" t="s">
        <v>2681</v>
      </c>
      <c r="D2914" s="120" t="s">
        <v>478</v>
      </c>
      <c r="E2914" s="33" t="s">
        <v>42</v>
      </c>
      <c r="F2914" s="18" t="s">
        <v>63</v>
      </c>
      <c r="G2914" s="18" t="s">
        <v>2164</v>
      </c>
      <c r="H2914" s="34" t="s">
        <v>85</v>
      </c>
      <c r="I2914" s="18" t="s">
        <v>105</v>
      </c>
      <c r="J2914" s="31" t="s">
        <v>105</v>
      </c>
      <c r="K2914" s="31"/>
      <c r="N2914" s="13" t="s">
        <v>30</v>
      </c>
      <c r="O2914" s="28" t="str">
        <f>IF(D2914="","",IF(COUNTIF(离职清单!C:C,D2914)&gt;0,"已离职","在职"))</f>
        <v>在职</v>
      </c>
      <c r="P2914" s="28" t="str">
        <f>IF(AND(O2914="在职",J2914="是"),COUNTIF(O$2:O2914,"在职"),"")</f>
        <v/>
      </c>
    </row>
    <row r="2915" ht="18" spans="1:16">
      <c r="A2915" s="14">
        <f t="shared" si="50"/>
        <v>2914</v>
      </c>
      <c r="B2915" s="31">
        <v>46182</v>
      </c>
      <c r="C2915" s="32" t="s">
        <v>2742</v>
      </c>
      <c r="D2915" s="120" t="s">
        <v>480</v>
      </c>
      <c r="E2915" s="33" t="s">
        <v>42</v>
      </c>
      <c r="F2915" s="18" t="s">
        <v>63</v>
      </c>
      <c r="G2915" s="18" t="s">
        <v>2164</v>
      </c>
      <c r="H2915" s="34" t="s">
        <v>85</v>
      </c>
      <c r="I2915" s="18" t="s">
        <v>2154</v>
      </c>
      <c r="J2915" s="31" t="s">
        <v>105</v>
      </c>
      <c r="K2915" s="31"/>
      <c r="N2915" s="13" t="s">
        <v>30</v>
      </c>
      <c r="O2915" s="28" t="str">
        <f>IF(D2915="","",IF(COUNTIF(离职清单!C:C,D2915)&gt;0,"已离职","在职"))</f>
        <v>在职</v>
      </c>
      <c r="P2915" s="28" t="str">
        <f>IF(AND(O2915="在职",J2915="是"),COUNTIF(O$2:O2915,"在职"),"")</f>
        <v/>
      </c>
    </row>
    <row r="2916" ht="18" spans="1:16">
      <c r="A2916" s="10">
        <f t="shared" si="50"/>
        <v>2915</v>
      </c>
      <c r="B2916" s="31">
        <v>46182</v>
      </c>
      <c r="C2916" s="32" t="s">
        <v>2767</v>
      </c>
      <c r="D2916" s="120" t="s">
        <v>482</v>
      </c>
      <c r="E2916" s="33" t="s">
        <v>42</v>
      </c>
      <c r="F2916" s="18" t="s">
        <v>63</v>
      </c>
      <c r="G2916" s="18" t="s">
        <v>2153</v>
      </c>
      <c r="H2916" s="34" t="s">
        <v>85</v>
      </c>
      <c r="I2916" s="18" t="s">
        <v>105</v>
      </c>
      <c r="J2916" s="31" t="s">
        <v>105</v>
      </c>
      <c r="K2916" s="31"/>
      <c r="N2916" s="13" t="s">
        <v>30</v>
      </c>
      <c r="O2916" s="28" t="str">
        <f>IF(D2916="","",IF(COUNTIF(离职清单!C:C,D2916)&gt;0,"已离职","在职"))</f>
        <v>在职</v>
      </c>
      <c r="P2916" s="28" t="str">
        <f>IF(AND(O2916="在职",J2916="是"),COUNTIF(O$2:O2916,"在职"),"")</f>
        <v/>
      </c>
    </row>
    <row r="2917" ht="18" spans="1:16">
      <c r="A2917" s="14">
        <f t="shared" si="50"/>
        <v>2916</v>
      </c>
      <c r="B2917" s="31">
        <v>46182</v>
      </c>
      <c r="C2917" s="32" t="s">
        <v>2680</v>
      </c>
      <c r="D2917" s="120" t="s">
        <v>484</v>
      </c>
      <c r="E2917" s="33" t="s">
        <v>42</v>
      </c>
      <c r="F2917" s="18" t="s">
        <v>63</v>
      </c>
      <c r="G2917" s="18" t="s">
        <v>1056</v>
      </c>
      <c r="H2917" s="34" t="s">
        <v>85</v>
      </c>
      <c r="I2917" s="18" t="s">
        <v>114</v>
      </c>
      <c r="J2917" s="31" t="s">
        <v>114</v>
      </c>
      <c r="K2917" s="31">
        <v>46183</v>
      </c>
      <c r="N2917" s="13" t="s">
        <v>30</v>
      </c>
      <c r="O2917" s="28" t="str">
        <f>IF(D2917="","",IF(COUNTIF(离职清单!C:C,D2917)&gt;0,"已离职","在职"))</f>
        <v>在职</v>
      </c>
      <c r="P2917" s="28">
        <f>IF(AND(O2917="在职",J2917="是"),COUNTIF(O$2:O2917,"在职"),"")</f>
        <v>2910</v>
      </c>
    </row>
    <row r="2918" ht="18" spans="1:16">
      <c r="A2918" s="10">
        <f t="shared" si="50"/>
        <v>2917</v>
      </c>
      <c r="B2918" s="31">
        <v>46182</v>
      </c>
      <c r="C2918" s="32" t="s">
        <v>2735</v>
      </c>
      <c r="D2918" s="120" t="s">
        <v>486</v>
      </c>
      <c r="E2918" s="33" t="s">
        <v>42</v>
      </c>
      <c r="F2918" s="18" t="s">
        <v>63</v>
      </c>
      <c r="G2918" s="18" t="s">
        <v>1056</v>
      </c>
      <c r="H2918" s="34" t="s">
        <v>85</v>
      </c>
      <c r="I2918" s="18" t="s">
        <v>105</v>
      </c>
      <c r="J2918" s="31" t="s">
        <v>105</v>
      </c>
      <c r="K2918" s="31"/>
      <c r="N2918" s="13" t="s">
        <v>30</v>
      </c>
      <c r="O2918" s="28" t="str">
        <f>IF(D2918="","",IF(COUNTIF(离职清单!C:C,D2918)&gt;0,"已离职","在职"))</f>
        <v>在职</v>
      </c>
      <c r="P2918" s="28" t="str">
        <f>IF(AND(O2918="在职",J2918="是"),COUNTIF(O$2:O2918,"在职"),"")</f>
        <v/>
      </c>
    </row>
    <row r="2919" ht="18" spans="1:16">
      <c r="A2919" s="14">
        <f t="shared" si="50"/>
        <v>2918</v>
      </c>
      <c r="B2919" s="31">
        <v>46182</v>
      </c>
      <c r="C2919" s="32" t="s">
        <v>2737</v>
      </c>
      <c r="D2919" s="120" t="s">
        <v>488</v>
      </c>
      <c r="E2919" s="33" t="s">
        <v>42</v>
      </c>
      <c r="F2919" s="18" t="s">
        <v>63</v>
      </c>
      <c r="G2919" s="18" t="s">
        <v>1056</v>
      </c>
      <c r="H2919" s="34" t="s">
        <v>85</v>
      </c>
      <c r="I2919" s="18" t="s">
        <v>114</v>
      </c>
      <c r="J2919" s="31" t="s">
        <v>105</v>
      </c>
      <c r="K2919" s="31"/>
      <c r="N2919" s="13" t="s">
        <v>30</v>
      </c>
      <c r="O2919" s="28" t="str">
        <f>IF(D2919="","",IF(COUNTIF(离职清单!C:C,D2919)&gt;0,"已离职","在职"))</f>
        <v>在职</v>
      </c>
      <c r="P2919" s="28" t="str">
        <f>IF(AND(O2919="在职",J2919="是"),COUNTIF(O$2:O2919,"在职"),"")</f>
        <v/>
      </c>
    </row>
    <row r="2920" ht="18" spans="1:16">
      <c r="A2920" s="10">
        <f t="shared" si="50"/>
        <v>2919</v>
      </c>
      <c r="B2920" s="31">
        <v>46182</v>
      </c>
      <c r="C2920" s="32" t="s">
        <v>2768</v>
      </c>
      <c r="D2920" s="120" t="s">
        <v>490</v>
      </c>
      <c r="E2920" s="33" t="s">
        <v>42</v>
      </c>
      <c r="F2920" s="18" t="s">
        <v>63</v>
      </c>
      <c r="G2920" s="18" t="s">
        <v>1056</v>
      </c>
      <c r="H2920" s="34" t="s">
        <v>85</v>
      </c>
      <c r="I2920" s="18" t="s">
        <v>2154</v>
      </c>
      <c r="J2920" s="31" t="s">
        <v>105</v>
      </c>
      <c r="K2920" s="31"/>
      <c r="N2920" s="13" t="s">
        <v>30</v>
      </c>
      <c r="O2920" s="28" t="str">
        <f>IF(D2920="","",IF(COUNTIF(离职清单!C:C,D2920)&gt;0,"已离职","在职"))</f>
        <v>在职</v>
      </c>
      <c r="P2920" s="28" t="str">
        <f>IF(AND(O2920="在职",J2920="是"),COUNTIF(O$2:O2920,"在职"),"")</f>
        <v/>
      </c>
    </row>
    <row r="2921" ht="18" spans="1:16">
      <c r="A2921" s="14">
        <f t="shared" si="50"/>
        <v>2920</v>
      </c>
      <c r="B2921" s="31">
        <v>46182</v>
      </c>
      <c r="C2921" s="32" t="s">
        <v>2769</v>
      </c>
      <c r="D2921" s="120" t="s">
        <v>492</v>
      </c>
      <c r="E2921" s="33" t="s">
        <v>42</v>
      </c>
      <c r="F2921" s="18" t="s">
        <v>63</v>
      </c>
      <c r="G2921" s="18" t="s">
        <v>1056</v>
      </c>
      <c r="H2921" s="34" t="s">
        <v>85</v>
      </c>
      <c r="I2921" s="18" t="s">
        <v>114</v>
      </c>
      <c r="J2921" s="31" t="s">
        <v>114</v>
      </c>
      <c r="K2921" s="31">
        <v>46184</v>
      </c>
      <c r="N2921" s="13" t="s">
        <v>30</v>
      </c>
      <c r="O2921" s="28" t="str">
        <f>IF(D2921="","",IF(COUNTIF(离职清单!C:C,D2921)&gt;0,"已离职","在职"))</f>
        <v>在职</v>
      </c>
      <c r="P2921" s="28">
        <f>IF(AND(O2921="在职",J2921="是"),COUNTIF(O$2:O2921,"在职"),"")</f>
        <v>2914</v>
      </c>
    </row>
    <row r="2922" ht="18" spans="1:16">
      <c r="A2922" s="10">
        <f t="shared" si="50"/>
        <v>2921</v>
      </c>
      <c r="B2922" s="31">
        <v>46182</v>
      </c>
      <c r="C2922" s="32" t="s">
        <v>1728</v>
      </c>
      <c r="D2922" s="120" t="s">
        <v>477</v>
      </c>
      <c r="E2922" s="33" t="s">
        <v>42</v>
      </c>
      <c r="F2922" s="18" t="s">
        <v>63</v>
      </c>
      <c r="G2922" s="18" t="s">
        <v>1056</v>
      </c>
      <c r="H2922" s="34" t="s">
        <v>85</v>
      </c>
      <c r="I2922" s="18" t="s">
        <v>105</v>
      </c>
      <c r="J2922" s="31" t="s">
        <v>105</v>
      </c>
      <c r="K2922" s="31"/>
      <c r="N2922" s="13" t="s">
        <v>30</v>
      </c>
      <c r="O2922" s="28" t="str">
        <f>IF(D2922="","",IF(COUNTIF(离职清单!C:C,D2922)&gt;0,"已离职","在职"))</f>
        <v>在职</v>
      </c>
      <c r="P2922" s="28" t="str">
        <f>IF(AND(O2922="在职",J2922="是"),COUNTIF(O$2:O2922,"在职"),"")</f>
        <v/>
      </c>
    </row>
    <row r="2923" ht="18" spans="1:16">
      <c r="A2923" s="14">
        <f t="shared" si="50"/>
        <v>2922</v>
      </c>
      <c r="B2923" s="31">
        <v>46182</v>
      </c>
      <c r="C2923" s="32" t="s">
        <v>2770</v>
      </c>
      <c r="D2923" s="120" t="s">
        <v>478</v>
      </c>
      <c r="E2923" s="33" t="s">
        <v>42</v>
      </c>
      <c r="F2923" s="18" t="s">
        <v>63</v>
      </c>
      <c r="G2923" s="18" t="s">
        <v>1056</v>
      </c>
      <c r="H2923" s="34" t="s">
        <v>85</v>
      </c>
      <c r="I2923" s="18" t="s">
        <v>2154</v>
      </c>
      <c r="J2923" s="31" t="s">
        <v>105</v>
      </c>
      <c r="K2923" s="31"/>
      <c r="N2923" s="13" t="s">
        <v>30</v>
      </c>
      <c r="O2923" s="28" t="str">
        <f>IF(D2923="","",IF(COUNTIF(离职清单!C:C,D2923)&gt;0,"已离职","在职"))</f>
        <v>在职</v>
      </c>
      <c r="P2923" s="28" t="str">
        <f>IF(AND(O2923="在职",J2923="是"),COUNTIF(O$2:O2923,"在职"),"")</f>
        <v/>
      </c>
    </row>
    <row r="2924" ht="18" spans="1:16">
      <c r="A2924" s="10">
        <f t="shared" ref="A2924:A2987" si="51">IF(B2924&lt;&gt;"",ROW()-1,"")</f>
        <v>2923</v>
      </c>
      <c r="B2924" s="31">
        <v>46182</v>
      </c>
      <c r="C2924" s="32" t="s">
        <v>2734</v>
      </c>
      <c r="D2924" s="120" t="s">
        <v>480</v>
      </c>
      <c r="E2924" s="33" t="s">
        <v>42</v>
      </c>
      <c r="F2924" s="18" t="s">
        <v>63</v>
      </c>
      <c r="G2924" s="18" t="s">
        <v>1056</v>
      </c>
      <c r="H2924" s="34" t="s">
        <v>85</v>
      </c>
      <c r="I2924" s="18" t="s">
        <v>2154</v>
      </c>
      <c r="J2924" s="31" t="s">
        <v>105</v>
      </c>
      <c r="K2924" s="31"/>
      <c r="N2924" s="13" t="s">
        <v>30</v>
      </c>
      <c r="O2924" s="28" t="str">
        <f>IF(D2924="","",IF(COUNTIF(离职清单!C:C,D2924)&gt;0,"已离职","在职"))</f>
        <v>在职</v>
      </c>
      <c r="P2924" s="28" t="str">
        <f>IF(AND(O2924="在职",J2924="是"),COUNTIF(O$2:O2924,"在职"),"")</f>
        <v/>
      </c>
    </row>
    <row r="2925" ht="18" spans="1:16">
      <c r="A2925" s="14">
        <f t="shared" si="51"/>
        <v>2924</v>
      </c>
      <c r="B2925" s="31">
        <v>46182</v>
      </c>
      <c r="C2925" s="32" t="s">
        <v>2771</v>
      </c>
      <c r="D2925" s="120" t="s">
        <v>482</v>
      </c>
      <c r="E2925" s="33" t="s">
        <v>42</v>
      </c>
      <c r="F2925" s="18" t="s">
        <v>63</v>
      </c>
      <c r="G2925" s="18" t="s">
        <v>1056</v>
      </c>
      <c r="H2925" s="34" t="s">
        <v>85</v>
      </c>
      <c r="I2925" s="18" t="s">
        <v>114</v>
      </c>
      <c r="J2925" s="31" t="s">
        <v>114</v>
      </c>
      <c r="K2925" s="31">
        <v>46188</v>
      </c>
      <c r="N2925" s="13" t="s">
        <v>30</v>
      </c>
      <c r="O2925" s="28" t="str">
        <f>IF(D2925="","",IF(COUNTIF(离职清单!C:C,D2925)&gt;0,"已离职","在职"))</f>
        <v>在职</v>
      </c>
      <c r="P2925" s="28">
        <f>IF(AND(O2925="在职",J2925="是"),COUNTIF(O$2:O2925,"在职"),"")</f>
        <v>2918</v>
      </c>
    </row>
    <row r="2926" ht="18" spans="1:16">
      <c r="A2926" s="10">
        <f t="shared" si="51"/>
        <v>2925</v>
      </c>
      <c r="B2926" s="31">
        <v>46182</v>
      </c>
      <c r="C2926" s="32" t="s">
        <v>2772</v>
      </c>
      <c r="D2926" s="120" t="s">
        <v>484</v>
      </c>
      <c r="E2926" s="33" t="s">
        <v>42</v>
      </c>
      <c r="F2926" s="18" t="s">
        <v>63</v>
      </c>
      <c r="G2926" s="18" t="s">
        <v>1056</v>
      </c>
      <c r="H2926" s="34" t="s">
        <v>85</v>
      </c>
      <c r="I2926" s="18" t="s">
        <v>2154</v>
      </c>
      <c r="J2926" s="31" t="s">
        <v>105</v>
      </c>
      <c r="K2926" s="31"/>
      <c r="N2926" s="13" t="s">
        <v>30</v>
      </c>
      <c r="O2926" s="28" t="str">
        <f>IF(D2926="","",IF(COUNTIF(离职清单!C:C,D2926)&gt;0,"已离职","在职"))</f>
        <v>在职</v>
      </c>
      <c r="P2926" s="28" t="str">
        <f>IF(AND(O2926="在职",J2926="是"),COUNTIF(O$2:O2926,"在职"),"")</f>
        <v/>
      </c>
    </row>
    <row r="2927" ht="18" spans="1:16">
      <c r="A2927" s="14">
        <f t="shared" si="51"/>
        <v>2926</v>
      </c>
      <c r="B2927" s="31">
        <v>46182</v>
      </c>
      <c r="C2927" s="32" t="s">
        <v>2773</v>
      </c>
      <c r="D2927" s="120" t="s">
        <v>486</v>
      </c>
      <c r="E2927" s="33" t="s">
        <v>42</v>
      </c>
      <c r="F2927" s="18" t="s">
        <v>63</v>
      </c>
      <c r="G2927" s="18" t="s">
        <v>2164</v>
      </c>
      <c r="H2927" s="34" t="s">
        <v>85</v>
      </c>
      <c r="I2927" s="18" t="s">
        <v>105</v>
      </c>
      <c r="J2927" s="31" t="s">
        <v>105</v>
      </c>
      <c r="K2927" s="31"/>
      <c r="N2927" s="13" t="s">
        <v>30</v>
      </c>
      <c r="O2927" s="28" t="str">
        <f>IF(D2927="","",IF(COUNTIF(离职清单!C:C,D2927)&gt;0,"已离职","在职"))</f>
        <v>在职</v>
      </c>
      <c r="P2927" s="28" t="str">
        <f>IF(AND(O2927="在职",J2927="是"),COUNTIF(O$2:O2927,"在职"),"")</f>
        <v/>
      </c>
    </row>
    <row r="2928" ht="18" spans="1:16">
      <c r="A2928" s="10">
        <f t="shared" si="51"/>
        <v>2927</v>
      </c>
      <c r="B2928" s="31">
        <v>46182</v>
      </c>
      <c r="C2928" s="32" t="s">
        <v>2187</v>
      </c>
      <c r="D2928" s="120" t="s">
        <v>488</v>
      </c>
      <c r="E2928" s="33" t="s">
        <v>42</v>
      </c>
      <c r="F2928" s="18" t="s">
        <v>63</v>
      </c>
      <c r="G2928" s="18" t="s">
        <v>1056</v>
      </c>
      <c r="H2928" s="34" t="s">
        <v>85</v>
      </c>
      <c r="I2928" s="18" t="s">
        <v>105</v>
      </c>
      <c r="J2928" s="31" t="s">
        <v>105</v>
      </c>
      <c r="K2928" s="31"/>
      <c r="N2928" s="13" t="s">
        <v>30</v>
      </c>
      <c r="O2928" s="28" t="str">
        <f>IF(D2928="","",IF(COUNTIF(离职清单!C:C,D2928)&gt;0,"已离职","在职"))</f>
        <v>在职</v>
      </c>
      <c r="P2928" s="28" t="str">
        <f>IF(AND(O2928="在职",J2928="是"),COUNTIF(O$2:O2928,"在职"),"")</f>
        <v/>
      </c>
    </row>
    <row r="2929" ht="18" spans="1:16">
      <c r="A2929" s="14">
        <f t="shared" si="51"/>
        <v>2928</v>
      </c>
      <c r="B2929" s="31">
        <v>46182</v>
      </c>
      <c r="C2929" s="32" t="s">
        <v>2774</v>
      </c>
      <c r="D2929" s="120" t="s">
        <v>490</v>
      </c>
      <c r="E2929" s="33" t="s">
        <v>42</v>
      </c>
      <c r="F2929" s="18" t="s">
        <v>63</v>
      </c>
      <c r="G2929" s="18" t="s">
        <v>2221</v>
      </c>
      <c r="H2929" s="34" t="s">
        <v>85</v>
      </c>
      <c r="I2929" s="18" t="s">
        <v>105</v>
      </c>
      <c r="J2929" s="31" t="s">
        <v>105</v>
      </c>
      <c r="K2929" s="31"/>
      <c r="N2929" s="13" t="s">
        <v>30</v>
      </c>
      <c r="O2929" s="28" t="str">
        <f>IF(D2929="","",IF(COUNTIF(离职清单!C:C,D2929)&gt;0,"已离职","在职"))</f>
        <v>在职</v>
      </c>
      <c r="P2929" s="28" t="str">
        <f>IF(AND(O2929="在职",J2929="是"),COUNTIF(O$2:O2929,"在职"),"")</f>
        <v/>
      </c>
    </row>
    <row r="2930" ht="18" spans="1:16">
      <c r="A2930" s="10">
        <f t="shared" si="51"/>
        <v>2929</v>
      </c>
      <c r="B2930" s="31">
        <v>46182</v>
      </c>
      <c r="C2930" s="32" t="s">
        <v>1416</v>
      </c>
      <c r="D2930" s="120" t="s">
        <v>492</v>
      </c>
      <c r="E2930" s="33" t="s">
        <v>42</v>
      </c>
      <c r="F2930" s="18" t="s">
        <v>62</v>
      </c>
      <c r="G2930" s="18" t="s">
        <v>2221</v>
      </c>
      <c r="H2930" s="34" t="s">
        <v>85</v>
      </c>
      <c r="I2930" s="18" t="s">
        <v>105</v>
      </c>
      <c r="J2930" s="31" t="s">
        <v>105</v>
      </c>
      <c r="K2930" s="31"/>
      <c r="N2930" s="13" t="s">
        <v>30</v>
      </c>
      <c r="O2930" s="28" t="str">
        <f>IF(D2930="","",IF(COUNTIF(离职清单!C:C,D2930)&gt;0,"已离职","在职"))</f>
        <v>在职</v>
      </c>
      <c r="P2930" s="28" t="str">
        <f>IF(AND(O2930="在职",J2930="是"),COUNTIF(O$2:O2930,"在职"),"")</f>
        <v/>
      </c>
    </row>
    <row r="2931" ht="18" spans="1:16">
      <c r="A2931" s="14">
        <f t="shared" si="51"/>
        <v>2930</v>
      </c>
      <c r="B2931" s="31">
        <v>46182</v>
      </c>
      <c r="C2931" s="32" t="s">
        <v>2520</v>
      </c>
      <c r="D2931" s="120" t="s">
        <v>477</v>
      </c>
      <c r="E2931" s="33" t="s">
        <v>42</v>
      </c>
      <c r="F2931" s="18" t="s">
        <v>63</v>
      </c>
      <c r="G2931" s="18" t="s">
        <v>2232</v>
      </c>
      <c r="H2931" s="34" t="s">
        <v>85</v>
      </c>
      <c r="I2931" s="18" t="s">
        <v>2154</v>
      </c>
      <c r="J2931" s="31" t="s">
        <v>105</v>
      </c>
      <c r="K2931" s="31"/>
      <c r="N2931" s="13" t="s">
        <v>30</v>
      </c>
      <c r="O2931" s="28" t="str">
        <f>IF(D2931="","",IF(COUNTIF(离职清单!C:C,D2931)&gt;0,"已离职","在职"))</f>
        <v>在职</v>
      </c>
      <c r="P2931" s="28" t="str">
        <f>IF(AND(O2931="在职",J2931="是"),COUNTIF(O$2:O2931,"在职"),"")</f>
        <v/>
      </c>
    </row>
    <row r="2932" ht="18" spans="1:16">
      <c r="A2932" s="10">
        <f t="shared" si="51"/>
        <v>2931</v>
      </c>
      <c r="B2932" s="31">
        <v>46182</v>
      </c>
      <c r="C2932" s="32" t="s">
        <v>2775</v>
      </c>
      <c r="D2932" s="120" t="s">
        <v>477</v>
      </c>
      <c r="E2932" s="33" t="s">
        <v>42</v>
      </c>
      <c r="F2932" s="18" t="s">
        <v>63</v>
      </c>
      <c r="G2932" s="18" t="s">
        <v>2232</v>
      </c>
      <c r="H2932" s="34" t="s">
        <v>85</v>
      </c>
      <c r="I2932" s="18" t="s">
        <v>2154</v>
      </c>
      <c r="J2932" s="31" t="s">
        <v>105</v>
      </c>
      <c r="K2932" s="31"/>
      <c r="N2932" s="13" t="s">
        <v>30</v>
      </c>
      <c r="O2932" s="28" t="str">
        <f>IF(D2932="","",IF(COUNTIF(离职清单!C:C,D2932)&gt;0,"已离职","在职"))</f>
        <v>在职</v>
      </c>
      <c r="P2932" s="28" t="str">
        <f>IF(AND(O2932="在职",J2932="是"),COUNTIF(O$2:O2932,"在职"),"")</f>
        <v/>
      </c>
    </row>
    <row r="2933" ht="18" spans="1:16">
      <c r="A2933" s="14">
        <f t="shared" si="51"/>
        <v>2932</v>
      </c>
      <c r="B2933" s="31">
        <v>46182</v>
      </c>
      <c r="C2933" s="32" t="s">
        <v>2776</v>
      </c>
      <c r="D2933" s="120" t="s">
        <v>478</v>
      </c>
      <c r="E2933" s="33" t="s">
        <v>42</v>
      </c>
      <c r="F2933" s="18" t="s">
        <v>63</v>
      </c>
      <c r="G2933" s="18" t="s">
        <v>2232</v>
      </c>
      <c r="H2933" s="34" t="s">
        <v>85</v>
      </c>
      <c r="I2933" s="18" t="s">
        <v>105</v>
      </c>
      <c r="J2933" s="31" t="s">
        <v>105</v>
      </c>
      <c r="K2933" s="31"/>
      <c r="N2933" s="13" t="s">
        <v>30</v>
      </c>
      <c r="O2933" s="28" t="str">
        <f>IF(D2933="","",IF(COUNTIF(离职清单!C:C,D2933)&gt;0,"已离职","在职"))</f>
        <v>在职</v>
      </c>
      <c r="P2933" s="28" t="str">
        <f>IF(AND(O2933="在职",J2933="是"),COUNTIF(O$2:O2933,"在职"),"")</f>
        <v/>
      </c>
    </row>
    <row r="2934" ht="18" spans="1:16">
      <c r="A2934" s="10">
        <f t="shared" si="51"/>
        <v>2933</v>
      </c>
      <c r="B2934" s="31">
        <v>46182</v>
      </c>
      <c r="C2934" s="32" t="s">
        <v>1416</v>
      </c>
      <c r="D2934" s="120" t="s">
        <v>480</v>
      </c>
      <c r="E2934" s="33" t="s">
        <v>42</v>
      </c>
      <c r="F2934" s="18" t="s">
        <v>62</v>
      </c>
      <c r="G2934" s="18" t="s">
        <v>2181</v>
      </c>
      <c r="H2934" s="34" t="s">
        <v>85</v>
      </c>
      <c r="I2934" s="18" t="s">
        <v>2154</v>
      </c>
      <c r="J2934" s="31" t="s">
        <v>105</v>
      </c>
      <c r="K2934" s="31"/>
      <c r="N2934" s="13" t="s">
        <v>30</v>
      </c>
      <c r="O2934" s="28" t="str">
        <f>IF(D2934="","",IF(COUNTIF(离职清单!C:C,D2934)&gt;0,"已离职","在职"))</f>
        <v>在职</v>
      </c>
      <c r="P2934" s="28" t="str">
        <f>IF(AND(O2934="在职",J2934="是"),COUNTIF(O$2:O2934,"在职"),"")</f>
        <v/>
      </c>
    </row>
    <row r="2935" ht="18" spans="1:16">
      <c r="A2935" s="14">
        <f t="shared" si="51"/>
        <v>2934</v>
      </c>
      <c r="B2935" s="31">
        <v>46182</v>
      </c>
      <c r="C2935" s="32" t="s">
        <v>2777</v>
      </c>
      <c r="D2935" s="120" t="s">
        <v>482</v>
      </c>
      <c r="E2935" s="33" t="s">
        <v>42</v>
      </c>
      <c r="F2935" s="18" t="s">
        <v>62</v>
      </c>
      <c r="G2935" s="18" t="s">
        <v>2181</v>
      </c>
      <c r="H2935" s="34" t="s">
        <v>85</v>
      </c>
      <c r="I2935" s="18" t="s">
        <v>2154</v>
      </c>
      <c r="J2935" s="31" t="s">
        <v>105</v>
      </c>
      <c r="K2935" s="31"/>
      <c r="N2935" s="13" t="s">
        <v>30</v>
      </c>
      <c r="O2935" s="28" t="str">
        <f>IF(D2935="","",IF(COUNTIF(离职清单!C:C,D2935)&gt;0,"已离职","在职"))</f>
        <v>在职</v>
      </c>
      <c r="P2935" s="28" t="str">
        <f>IF(AND(O2935="在职",J2935="是"),COUNTIF(O$2:O2935,"在职"),"")</f>
        <v/>
      </c>
    </row>
    <row r="2936" ht="18" spans="1:16">
      <c r="A2936" s="10">
        <f t="shared" si="51"/>
        <v>2935</v>
      </c>
      <c r="B2936" s="31">
        <v>46182</v>
      </c>
      <c r="C2936" s="32" t="s">
        <v>2778</v>
      </c>
      <c r="D2936" s="120" t="s">
        <v>484</v>
      </c>
      <c r="E2936" s="33" t="s">
        <v>42</v>
      </c>
      <c r="F2936" s="18" t="s">
        <v>62</v>
      </c>
      <c r="G2936" s="18" t="s">
        <v>2181</v>
      </c>
      <c r="H2936" s="34" t="s">
        <v>85</v>
      </c>
      <c r="I2936" s="18" t="s">
        <v>105</v>
      </c>
      <c r="J2936" s="31" t="s">
        <v>105</v>
      </c>
      <c r="K2936" s="31"/>
      <c r="N2936" s="13" t="s">
        <v>30</v>
      </c>
      <c r="O2936" s="28" t="str">
        <f>IF(D2936="","",IF(COUNTIF(离职清单!C:C,D2936)&gt;0,"已离职","在职"))</f>
        <v>在职</v>
      </c>
      <c r="P2936" s="28" t="str">
        <f>IF(AND(O2936="在职",J2936="是"),COUNTIF(O$2:O2936,"在职"),"")</f>
        <v/>
      </c>
    </row>
    <row r="2937" ht="18" spans="1:16">
      <c r="A2937" s="14">
        <f t="shared" si="51"/>
        <v>2936</v>
      </c>
      <c r="B2937" s="31">
        <v>46182</v>
      </c>
      <c r="C2937" s="32" t="s">
        <v>2779</v>
      </c>
      <c r="D2937" s="120" t="s">
        <v>486</v>
      </c>
      <c r="E2937" s="33" t="s">
        <v>42</v>
      </c>
      <c r="F2937" s="18" t="s">
        <v>62</v>
      </c>
      <c r="G2937" s="18" t="s">
        <v>2174</v>
      </c>
      <c r="H2937" s="34" t="s">
        <v>85</v>
      </c>
      <c r="I2937" s="18" t="s">
        <v>2154</v>
      </c>
      <c r="J2937" s="31" t="s">
        <v>105</v>
      </c>
      <c r="K2937" s="31"/>
      <c r="N2937" s="13" t="s">
        <v>30</v>
      </c>
      <c r="O2937" s="28" t="str">
        <f>IF(D2937="","",IF(COUNTIF(离职清单!C:C,D2937)&gt;0,"已离职","在职"))</f>
        <v>在职</v>
      </c>
      <c r="P2937" s="28" t="str">
        <f>IF(AND(O2937="在职",J2937="是"),COUNTIF(O$2:O2937,"在职"),"")</f>
        <v/>
      </c>
    </row>
    <row r="2938" ht="18" spans="1:16">
      <c r="A2938" s="10">
        <f t="shared" si="51"/>
        <v>2937</v>
      </c>
      <c r="B2938" s="31">
        <v>46182</v>
      </c>
      <c r="C2938" s="32" t="s">
        <v>2780</v>
      </c>
      <c r="D2938" s="120" t="s">
        <v>488</v>
      </c>
      <c r="E2938" s="33" t="s">
        <v>42</v>
      </c>
      <c r="F2938" s="18" t="s">
        <v>63</v>
      </c>
      <c r="G2938" s="18" t="s">
        <v>2174</v>
      </c>
      <c r="H2938" s="34" t="s">
        <v>85</v>
      </c>
      <c r="I2938" s="18" t="s">
        <v>2154</v>
      </c>
      <c r="J2938" s="31" t="s">
        <v>105</v>
      </c>
      <c r="K2938" s="31"/>
      <c r="N2938" s="13" t="s">
        <v>30</v>
      </c>
      <c r="O2938" s="28" t="str">
        <f>IF(D2938="","",IF(COUNTIF(离职清单!C:C,D2938)&gt;0,"已离职","在职"))</f>
        <v>在职</v>
      </c>
      <c r="P2938" s="28" t="str">
        <f>IF(AND(O2938="在职",J2938="是"),COUNTIF(O$2:O2938,"在职"),"")</f>
        <v/>
      </c>
    </row>
    <row r="2939" ht="18" spans="1:16">
      <c r="A2939" s="14">
        <f t="shared" si="51"/>
        <v>2938</v>
      </c>
      <c r="B2939" s="31">
        <v>46182</v>
      </c>
      <c r="C2939" s="32" t="s">
        <v>2768</v>
      </c>
      <c r="D2939" s="120" t="s">
        <v>490</v>
      </c>
      <c r="E2939" s="33" t="s">
        <v>42</v>
      </c>
      <c r="F2939" s="18" t="s">
        <v>63</v>
      </c>
      <c r="G2939" s="18" t="s">
        <v>2174</v>
      </c>
      <c r="H2939" s="34" t="s">
        <v>85</v>
      </c>
      <c r="I2939" s="18" t="s">
        <v>2154</v>
      </c>
      <c r="J2939" s="31" t="s">
        <v>105</v>
      </c>
      <c r="K2939" s="31"/>
      <c r="N2939" s="13" t="s">
        <v>30</v>
      </c>
      <c r="O2939" s="28" t="str">
        <f>IF(D2939="","",IF(COUNTIF(离职清单!C:C,D2939)&gt;0,"已离职","在职"))</f>
        <v>在职</v>
      </c>
      <c r="P2939" s="28" t="str">
        <f>IF(AND(O2939="在职",J2939="是"),COUNTIF(O$2:O2939,"在职"),"")</f>
        <v/>
      </c>
    </row>
    <row r="2940" ht="18" spans="1:16">
      <c r="A2940" s="10">
        <f t="shared" si="51"/>
        <v>2939</v>
      </c>
      <c r="B2940" s="31">
        <v>46182</v>
      </c>
      <c r="C2940" s="32" t="s">
        <v>2781</v>
      </c>
      <c r="D2940" s="120" t="s">
        <v>492</v>
      </c>
      <c r="E2940" s="33" t="s">
        <v>42</v>
      </c>
      <c r="F2940" s="18" t="s">
        <v>62</v>
      </c>
      <c r="G2940" s="18" t="s">
        <v>2174</v>
      </c>
      <c r="H2940" s="34" t="s">
        <v>85</v>
      </c>
      <c r="I2940" s="18" t="s">
        <v>105</v>
      </c>
      <c r="J2940" s="31" t="s">
        <v>105</v>
      </c>
      <c r="K2940" s="31"/>
      <c r="N2940" s="13" t="s">
        <v>30</v>
      </c>
      <c r="O2940" s="28" t="str">
        <f>IF(D2940="","",IF(COUNTIF(离职清单!C:C,D2940)&gt;0,"已离职","在职"))</f>
        <v>在职</v>
      </c>
      <c r="P2940" s="28" t="str">
        <f>IF(AND(O2940="在职",J2940="是"),COUNTIF(O$2:O2940,"在职"),"")</f>
        <v/>
      </c>
    </row>
    <row r="2941" ht="18" spans="1:16">
      <c r="A2941" s="14">
        <f t="shared" si="51"/>
        <v>2940</v>
      </c>
      <c r="B2941" s="31">
        <v>46182</v>
      </c>
      <c r="C2941" s="32" t="s">
        <v>2751</v>
      </c>
      <c r="D2941" s="120" t="s">
        <v>477</v>
      </c>
      <c r="E2941" s="33" t="s">
        <v>42</v>
      </c>
      <c r="F2941" s="18" t="s">
        <v>62</v>
      </c>
      <c r="G2941" s="18" t="s">
        <v>2174</v>
      </c>
      <c r="H2941" s="34" t="s">
        <v>85</v>
      </c>
      <c r="I2941" s="18" t="s">
        <v>105</v>
      </c>
      <c r="J2941" s="31" t="s">
        <v>105</v>
      </c>
      <c r="K2941" s="31"/>
      <c r="N2941" s="13" t="s">
        <v>30</v>
      </c>
      <c r="O2941" s="28" t="str">
        <f>IF(D2941="","",IF(COUNTIF(离职清单!C:C,D2941)&gt;0,"已离职","在职"))</f>
        <v>在职</v>
      </c>
      <c r="P2941" s="28" t="str">
        <f>IF(AND(O2941="在职",J2941="是"),COUNTIF(O$2:O2941,"在职"),"")</f>
        <v/>
      </c>
    </row>
    <row r="2942" ht="18" spans="1:16">
      <c r="A2942" s="10">
        <f t="shared" si="51"/>
        <v>2941</v>
      </c>
      <c r="B2942" s="31">
        <v>46182</v>
      </c>
      <c r="C2942" s="32" t="s">
        <v>2782</v>
      </c>
      <c r="D2942" s="120" t="s">
        <v>478</v>
      </c>
      <c r="E2942" s="33" t="s">
        <v>42</v>
      </c>
      <c r="F2942" s="18" t="s">
        <v>63</v>
      </c>
      <c r="G2942" s="18" t="s">
        <v>2174</v>
      </c>
      <c r="H2942" s="34" t="s">
        <v>85</v>
      </c>
      <c r="I2942" s="18" t="s">
        <v>2154</v>
      </c>
      <c r="J2942" s="31" t="s">
        <v>105</v>
      </c>
      <c r="K2942" s="31"/>
      <c r="N2942" s="13" t="s">
        <v>30</v>
      </c>
      <c r="O2942" s="28" t="str">
        <f>IF(D2942="","",IF(COUNTIF(离职清单!C:C,D2942)&gt;0,"已离职","在职"))</f>
        <v>在职</v>
      </c>
      <c r="P2942" s="28" t="str">
        <f>IF(AND(O2942="在职",J2942="是"),COUNTIF(O$2:O2942,"在职"),"")</f>
        <v/>
      </c>
    </row>
    <row r="2943" ht="18" spans="1:16">
      <c r="A2943" s="14">
        <f t="shared" si="51"/>
        <v>2942</v>
      </c>
      <c r="B2943" s="31">
        <v>46182</v>
      </c>
      <c r="C2943" s="32" t="s">
        <v>2783</v>
      </c>
      <c r="D2943" s="120" t="s">
        <v>480</v>
      </c>
      <c r="E2943" s="33" t="s">
        <v>42</v>
      </c>
      <c r="F2943" s="18" t="s">
        <v>63</v>
      </c>
      <c r="G2943" s="18" t="s">
        <v>2174</v>
      </c>
      <c r="H2943" s="34" t="s">
        <v>85</v>
      </c>
      <c r="I2943" s="18" t="s">
        <v>105</v>
      </c>
      <c r="J2943" s="31" t="s">
        <v>105</v>
      </c>
      <c r="K2943" s="31"/>
      <c r="N2943" s="13" t="s">
        <v>30</v>
      </c>
      <c r="O2943" s="28" t="str">
        <f>IF(D2943="","",IF(COUNTIF(离职清单!C:C,D2943)&gt;0,"已离职","在职"))</f>
        <v>在职</v>
      </c>
      <c r="P2943" s="28" t="str">
        <f>IF(AND(O2943="在职",J2943="是"),COUNTIF(O$2:O2943,"在职"),"")</f>
        <v/>
      </c>
    </row>
    <row r="2944" ht="18" spans="1:16">
      <c r="A2944" s="10">
        <f t="shared" si="51"/>
        <v>2943</v>
      </c>
      <c r="B2944" s="31">
        <v>46182</v>
      </c>
      <c r="C2944" s="32" t="s">
        <v>2784</v>
      </c>
      <c r="D2944" s="120" t="s">
        <v>482</v>
      </c>
      <c r="E2944" s="33" t="s">
        <v>42</v>
      </c>
      <c r="F2944" s="18" t="s">
        <v>62</v>
      </c>
      <c r="G2944" s="18" t="s">
        <v>129</v>
      </c>
      <c r="H2944" s="34" t="s">
        <v>85</v>
      </c>
      <c r="I2944" s="18" t="s">
        <v>105</v>
      </c>
      <c r="J2944" s="31" t="s">
        <v>105</v>
      </c>
      <c r="K2944" s="31"/>
      <c r="N2944" s="13" t="s">
        <v>30</v>
      </c>
      <c r="O2944" s="28" t="str">
        <f>IF(D2944="","",IF(COUNTIF(离职清单!C:C,D2944)&gt;0,"已离职","在职"))</f>
        <v>在职</v>
      </c>
      <c r="P2944" s="28" t="str">
        <f>IF(AND(O2944="在职",J2944="是"),COUNTIF(O$2:O2944,"在职"),"")</f>
        <v/>
      </c>
    </row>
    <row r="2945" ht="18" spans="1:16">
      <c r="A2945" s="14">
        <f t="shared" si="51"/>
        <v>2944</v>
      </c>
      <c r="B2945" s="31">
        <v>46182</v>
      </c>
      <c r="C2945" s="32" t="s">
        <v>2785</v>
      </c>
      <c r="D2945" s="120" t="s">
        <v>484</v>
      </c>
      <c r="E2945" s="33" t="s">
        <v>42</v>
      </c>
      <c r="F2945" s="18" t="s">
        <v>63</v>
      </c>
      <c r="G2945" s="18" t="s">
        <v>129</v>
      </c>
      <c r="H2945" s="34" t="s">
        <v>85</v>
      </c>
      <c r="I2945" s="18" t="s">
        <v>105</v>
      </c>
      <c r="J2945" s="31" t="s">
        <v>105</v>
      </c>
      <c r="K2945" s="31"/>
      <c r="N2945" s="13" t="s">
        <v>30</v>
      </c>
      <c r="O2945" s="28" t="str">
        <f>IF(D2945="","",IF(COUNTIF(离职清单!C:C,D2945)&gt;0,"已离职","在职"))</f>
        <v>在职</v>
      </c>
      <c r="P2945" s="28" t="str">
        <f>IF(AND(O2945="在职",J2945="是"),COUNTIF(O$2:O2945,"在职"),"")</f>
        <v/>
      </c>
    </row>
    <row r="2946" ht="18" spans="1:16">
      <c r="A2946" s="10">
        <f t="shared" si="51"/>
        <v>2945</v>
      </c>
      <c r="B2946" s="31">
        <v>46182</v>
      </c>
      <c r="C2946" s="32" t="s">
        <v>2786</v>
      </c>
      <c r="D2946" s="120" t="s">
        <v>486</v>
      </c>
      <c r="E2946" s="33" t="s">
        <v>42</v>
      </c>
      <c r="F2946" s="18" t="s">
        <v>63</v>
      </c>
      <c r="G2946" s="18" t="s">
        <v>129</v>
      </c>
      <c r="H2946" s="34" t="s">
        <v>85</v>
      </c>
      <c r="I2946" s="18" t="s">
        <v>114</v>
      </c>
      <c r="J2946" s="31" t="s">
        <v>114</v>
      </c>
      <c r="K2946" s="31">
        <v>46186</v>
      </c>
      <c r="N2946" s="13" t="s">
        <v>30</v>
      </c>
      <c r="O2946" s="28" t="str">
        <f>IF(D2946="","",IF(COUNTIF(离职清单!C:C,D2946)&gt;0,"已离职","在职"))</f>
        <v>在职</v>
      </c>
      <c r="P2946" s="28">
        <f>IF(AND(O2946="在职",J2946="是"),COUNTIF(O$2:O2946,"在职"),"")</f>
        <v>2939</v>
      </c>
    </row>
    <row r="2947" ht="18" spans="1:16">
      <c r="A2947" s="14">
        <f t="shared" si="51"/>
        <v>2946</v>
      </c>
      <c r="B2947" s="31">
        <v>46182</v>
      </c>
      <c r="C2947" s="32" t="s">
        <v>2253</v>
      </c>
      <c r="D2947" s="120" t="s">
        <v>488</v>
      </c>
      <c r="E2947" s="33" t="s">
        <v>42</v>
      </c>
      <c r="F2947" s="18" t="s">
        <v>64</v>
      </c>
      <c r="G2947" s="18" t="s">
        <v>129</v>
      </c>
      <c r="H2947" s="34" t="s">
        <v>85</v>
      </c>
      <c r="I2947" s="18" t="s">
        <v>114</v>
      </c>
      <c r="J2947" s="31" t="s">
        <v>105</v>
      </c>
      <c r="K2947" s="31"/>
      <c r="N2947" s="13" t="s">
        <v>30</v>
      </c>
      <c r="O2947" s="28" t="str">
        <f>IF(D2947="","",IF(COUNTIF(离职清单!C:C,D2947)&gt;0,"已离职","在职"))</f>
        <v>在职</v>
      </c>
      <c r="P2947" s="28" t="str">
        <f>IF(AND(O2947="在职",J2947="是"),COUNTIF(O$2:O2947,"在职"),"")</f>
        <v/>
      </c>
    </row>
    <row r="2948" ht="18" spans="1:16">
      <c r="A2948" s="10">
        <f t="shared" si="51"/>
        <v>2947</v>
      </c>
      <c r="B2948" s="31">
        <v>46182</v>
      </c>
      <c r="C2948" s="32" t="s">
        <v>2257</v>
      </c>
      <c r="D2948" s="120" t="s">
        <v>490</v>
      </c>
      <c r="E2948" s="33" t="s">
        <v>42</v>
      </c>
      <c r="F2948" s="18" t="s">
        <v>63</v>
      </c>
      <c r="G2948" s="18" t="s">
        <v>129</v>
      </c>
      <c r="H2948" s="34" t="s">
        <v>85</v>
      </c>
      <c r="I2948" s="18" t="s">
        <v>105</v>
      </c>
      <c r="J2948" s="31" t="s">
        <v>105</v>
      </c>
      <c r="K2948" s="31"/>
      <c r="N2948" s="13" t="s">
        <v>30</v>
      </c>
      <c r="O2948" s="28" t="str">
        <f>IF(D2948="","",IF(COUNTIF(离职清单!C:C,D2948)&gt;0,"已离职","在职"))</f>
        <v>在职</v>
      </c>
      <c r="P2948" s="28" t="str">
        <f>IF(AND(O2948="在职",J2948="是"),COUNTIF(O$2:O2948,"在职"),"")</f>
        <v/>
      </c>
    </row>
    <row r="2949" ht="18" spans="1:16">
      <c r="A2949" s="14">
        <f t="shared" si="51"/>
        <v>2948</v>
      </c>
      <c r="B2949" s="31">
        <v>46182</v>
      </c>
      <c r="C2949" s="32" t="s">
        <v>2787</v>
      </c>
      <c r="D2949" s="120" t="s">
        <v>492</v>
      </c>
      <c r="E2949" s="33" t="s">
        <v>42</v>
      </c>
      <c r="F2949" s="18" t="s">
        <v>63</v>
      </c>
      <c r="G2949" s="18" t="s">
        <v>129</v>
      </c>
      <c r="H2949" s="34" t="s">
        <v>85</v>
      </c>
      <c r="I2949" s="18" t="s">
        <v>114</v>
      </c>
      <c r="J2949" s="31" t="s">
        <v>114</v>
      </c>
      <c r="K2949" s="31">
        <v>46186</v>
      </c>
      <c r="N2949" s="13" t="s">
        <v>30</v>
      </c>
      <c r="O2949" s="28" t="str">
        <f>IF(D2949="","",IF(COUNTIF(离职清单!C:C,D2949)&gt;0,"已离职","在职"))</f>
        <v>在职</v>
      </c>
      <c r="P2949" s="28">
        <f>IF(AND(O2949="在职",J2949="是"),COUNTIF(O$2:O2949,"在职"),"")</f>
        <v>2942</v>
      </c>
    </row>
    <row r="2950" ht="18" spans="1:16">
      <c r="A2950" s="10">
        <f t="shared" si="51"/>
        <v>2949</v>
      </c>
      <c r="B2950" s="31">
        <v>46182</v>
      </c>
      <c r="C2950" s="32" t="s">
        <v>2187</v>
      </c>
      <c r="D2950" s="120" t="s">
        <v>477</v>
      </c>
      <c r="E2950" s="33" t="s">
        <v>42</v>
      </c>
      <c r="F2950" s="18" t="s">
        <v>63</v>
      </c>
      <c r="G2950" s="18" t="s">
        <v>129</v>
      </c>
      <c r="H2950" s="34" t="s">
        <v>85</v>
      </c>
      <c r="I2950" s="18" t="s">
        <v>2154</v>
      </c>
      <c r="J2950" s="31" t="s">
        <v>105</v>
      </c>
      <c r="K2950" s="31"/>
      <c r="N2950" s="13" t="s">
        <v>30</v>
      </c>
      <c r="O2950" s="28" t="str">
        <f>IF(D2950="","",IF(COUNTIF(离职清单!C:C,D2950)&gt;0,"已离职","在职"))</f>
        <v>在职</v>
      </c>
      <c r="P2950" s="28" t="str">
        <f>IF(AND(O2950="在职",J2950="是"),COUNTIF(O$2:O2950,"在职"),"")</f>
        <v/>
      </c>
    </row>
    <row r="2951" ht="18" spans="1:16">
      <c r="A2951" s="14">
        <f t="shared" si="51"/>
        <v>2950</v>
      </c>
      <c r="B2951" s="31">
        <v>46182</v>
      </c>
      <c r="C2951" s="32" t="s">
        <v>2788</v>
      </c>
      <c r="D2951" s="120" t="s">
        <v>478</v>
      </c>
      <c r="E2951" s="33" t="s">
        <v>42</v>
      </c>
      <c r="F2951" s="18" t="s">
        <v>62</v>
      </c>
      <c r="G2951" s="18" t="s">
        <v>2181</v>
      </c>
      <c r="H2951" s="34" t="s">
        <v>85</v>
      </c>
      <c r="I2951" s="18" t="s">
        <v>114</v>
      </c>
      <c r="J2951" s="31" t="s">
        <v>105</v>
      </c>
      <c r="K2951" s="31"/>
      <c r="N2951" s="13" t="s">
        <v>30</v>
      </c>
      <c r="O2951" s="28" t="str">
        <f>IF(D2951="","",IF(COUNTIF(离职清单!C:C,D2951)&gt;0,"已离职","在职"))</f>
        <v>在职</v>
      </c>
      <c r="P2951" s="28" t="str">
        <f>IF(AND(O2951="在职",J2951="是"),COUNTIF(O$2:O2951,"在职"),"")</f>
        <v/>
      </c>
    </row>
    <row r="2952" ht="18" spans="1:16">
      <c r="A2952" s="10">
        <f t="shared" si="51"/>
        <v>2951</v>
      </c>
      <c r="B2952" s="31">
        <v>46182</v>
      </c>
      <c r="C2952" s="32" t="s">
        <v>2789</v>
      </c>
      <c r="D2952" s="120" t="s">
        <v>480</v>
      </c>
      <c r="E2952" s="33" t="s">
        <v>42</v>
      </c>
      <c r="F2952" s="18" t="s">
        <v>62</v>
      </c>
      <c r="G2952" s="18" t="s">
        <v>2166</v>
      </c>
      <c r="H2952" s="34" t="s">
        <v>85</v>
      </c>
      <c r="I2952" s="18" t="s">
        <v>114</v>
      </c>
      <c r="J2952" s="31" t="s">
        <v>114</v>
      </c>
      <c r="K2952" s="31">
        <v>46185</v>
      </c>
      <c r="N2952" s="13" t="s">
        <v>30</v>
      </c>
      <c r="O2952" s="28" t="str">
        <f>IF(D2952="","",IF(COUNTIF(离职清单!C:C,D2952)&gt;0,"已离职","在职"))</f>
        <v>在职</v>
      </c>
      <c r="P2952" s="28">
        <f>IF(AND(O2952="在职",J2952="是"),COUNTIF(O$2:O2952,"在职"),"")</f>
        <v>2945</v>
      </c>
    </row>
    <row r="2953" ht="18" spans="1:16">
      <c r="A2953" s="14">
        <f t="shared" si="51"/>
        <v>2952</v>
      </c>
      <c r="B2953" s="31">
        <v>46182</v>
      </c>
      <c r="C2953" s="32" t="s">
        <v>2790</v>
      </c>
      <c r="D2953" s="120" t="s">
        <v>482</v>
      </c>
      <c r="E2953" s="33" t="s">
        <v>42</v>
      </c>
      <c r="F2953" s="18" t="s">
        <v>64</v>
      </c>
      <c r="G2953" s="18" t="s">
        <v>2166</v>
      </c>
      <c r="H2953" s="34" t="s">
        <v>85</v>
      </c>
      <c r="I2953" s="18" t="s">
        <v>114</v>
      </c>
      <c r="J2953" s="31" t="s">
        <v>105</v>
      </c>
      <c r="K2953" s="31"/>
      <c r="N2953" s="13" t="s">
        <v>30</v>
      </c>
      <c r="O2953" s="28" t="str">
        <f>IF(D2953="","",IF(COUNTIF(离职清单!C:C,D2953)&gt;0,"已离职","在职"))</f>
        <v>在职</v>
      </c>
      <c r="P2953" s="28" t="str">
        <f>IF(AND(O2953="在职",J2953="是"),COUNTIF(O$2:O2953,"在职"),"")</f>
        <v/>
      </c>
    </row>
    <row r="2954" ht="18" spans="1:16">
      <c r="A2954" s="10">
        <f t="shared" si="51"/>
        <v>2953</v>
      </c>
      <c r="B2954" s="31">
        <v>46182</v>
      </c>
      <c r="C2954" s="32" t="s">
        <v>2791</v>
      </c>
      <c r="D2954" s="120" t="s">
        <v>484</v>
      </c>
      <c r="E2954" s="33" t="s">
        <v>42</v>
      </c>
      <c r="F2954" s="18" t="s">
        <v>63</v>
      </c>
      <c r="G2954" s="18" t="s">
        <v>2250</v>
      </c>
      <c r="H2954" s="34" t="s">
        <v>85</v>
      </c>
      <c r="I2954" s="18" t="s">
        <v>105</v>
      </c>
      <c r="J2954" s="31" t="s">
        <v>105</v>
      </c>
      <c r="K2954" s="31"/>
      <c r="N2954" s="13" t="s">
        <v>30</v>
      </c>
      <c r="O2954" s="28" t="str">
        <f>IF(D2954="","",IF(COUNTIF(离职清单!C:C,D2954)&gt;0,"已离职","在职"))</f>
        <v>在职</v>
      </c>
      <c r="P2954" s="28" t="str">
        <f>IF(AND(O2954="在职",J2954="是"),COUNTIF(O$2:O2954,"在职"),"")</f>
        <v/>
      </c>
    </row>
    <row r="2955" ht="18" spans="1:16">
      <c r="A2955" s="14">
        <f t="shared" si="51"/>
        <v>2954</v>
      </c>
      <c r="B2955" s="31">
        <v>46182</v>
      </c>
      <c r="C2955" s="32" t="s">
        <v>2735</v>
      </c>
      <c r="D2955" s="120" t="s">
        <v>486</v>
      </c>
      <c r="E2955" s="33" t="s">
        <v>42</v>
      </c>
      <c r="F2955" s="18" t="s">
        <v>63</v>
      </c>
      <c r="G2955" s="18" t="s">
        <v>2250</v>
      </c>
      <c r="H2955" s="34" t="s">
        <v>85</v>
      </c>
      <c r="I2955" s="18" t="s">
        <v>2154</v>
      </c>
      <c r="J2955" s="31" t="s">
        <v>105</v>
      </c>
      <c r="K2955" s="31"/>
      <c r="N2955" s="13" t="s">
        <v>30</v>
      </c>
      <c r="O2955" s="28" t="str">
        <f>IF(D2955="","",IF(COUNTIF(离职清单!C:C,D2955)&gt;0,"已离职","在职"))</f>
        <v>在职</v>
      </c>
      <c r="P2955" s="28" t="str">
        <f>IF(AND(O2955="在职",J2955="是"),COUNTIF(O$2:O2955,"在职"),"")</f>
        <v/>
      </c>
    </row>
    <row r="2956" ht="18" spans="1:16">
      <c r="A2956" s="10">
        <f t="shared" si="51"/>
        <v>2955</v>
      </c>
      <c r="B2956" s="31">
        <v>46182</v>
      </c>
      <c r="C2956" s="32" t="s">
        <v>2691</v>
      </c>
      <c r="D2956" s="120" t="s">
        <v>488</v>
      </c>
      <c r="E2956" s="33" t="s">
        <v>42</v>
      </c>
      <c r="F2956" s="18" t="s">
        <v>63</v>
      </c>
      <c r="G2956" s="18" t="s">
        <v>2250</v>
      </c>
      <c r="H2956" s="34" t="s">
        <v>85</v>
      </c>
      <c r="I2956" s="18" t="s">
        <v>2154</v>
      </c>
      <c r="J2956" s="31" t="s">
        <v>105</v>
      </c>
      <c r="K2956" s="31"/>
      <c r="N2956" s="13" t="s">
        <v>30</v>
      </c>
      <c r="O2956" s="28" t="str">
        <f>IF(D2956="","",IF(COUNTIF(离职清单!C:C,D2956)&gt;0,"已离职","在职"))</f>
        <v>在职</v>
      </c>
      <c r="P2956" s="28" t="str">
        <f>IF(AND(O2956="在职",J2956="是"),COUNTIF(O$2:O2956,"在职"),"")</f>
        <v/>
      </c>
    </row>
    <row r="2957" ht="18" spans="1:16">
      <c r="A2957" s="14">
        <f t="shared" si="51"/>
        <v>2956</v>
      </c>
      <c r="B2957" s="31">
        <v>46182</v>
      </c>
      <c r="C2957" s="32" t="s">
        <v>2792</v>
      </c>
      <c r="D2957" s="120" t="s">
        <v>490</v>
      </c>
      <c r="E2957" s="33" t="s">
        <v>42</v>
      </c>
      <c r="F2957" s="18" t="s">
        <v>63</v>
      </c>
      <c r="G2957" s="18" t="s">
        <v>2250</v>
      </c>
      <c r="H2957" s="34" t="s">
        <v>85</v>
      </c>
      <c r="I2957" s="18" t="s">
        <v>2154</v>
      </c>
      <c r="J2957" s="31" t="s">
        <v>105</v>
      </c>
      <c r="K2957" s="31"/>
      <c r="N2957" s="13" t="s">
        <v>30</v>
      </c>
      <c r="O2957" s="28" t="str">
        <f>IF(D2957="","",IF(COUNTIF(离职清单!C:C,D2957)&gt;0,"已离职","在职"))</f>
        <v>在职</v>
      </c>
      <c r="P2957" s="28" t="str">
        <f>IF(AND(O2957="在职",J2957="是"),COUNTIF(O$2:O2957,"在职"),"")</f>
        <v/>
      </c>
    </row>
    <row r="2958" ht="18" spans="1:16">
      <c r="A2958" s="10">
        <f t="shared" si="51"/>
        <v>2957</v>
      </c>
      <c r="B2958" s="31">
        <v>46182</v>
      </c>
      <c r="C2958" s="32" t="s">
        <v>2793</v>
      </c>
      <c r="D2958" s="120" t="s">
        <v>492</v>
      </c>
      <c r="E2958" s="33" t="s">
        <v>42</v>
      </c>
      <c r="F2958" s="18" t="s">
        <v>62</v>
      </c>
      <c r="G2958" s="18" t="s">
        <v>2166</v>
      </c>
      <c r="H2958" s="34" t="s">
        <v>85</v>
      </c>
      <c r="I2958" s="18" t="s">
        <v>114</v>
      </c>
      <c r="J2958" s="31" t="s">
        <v>105</v>
      </c>
      <c r="K2958" s="31"/>
      <c r="N2958" s="13" t="s">
        <v>30</v>
      </c>
      <c r="O2958" s="28" t="str">
        <f>IF(D2958="","",IF(COUNTIF(离职清单!C:C,D2958)&gt;0,"已离职","在职"))</f>
        <v>在职</v>
      </c>
      <c r="P2958" s="28" t="str">
        <f>IF(AND(O2958="在职",J2958="是"),COUNTIF(O$2:O2958,"在职"),"")</f>
        <v/>
      </c>
    </row>
    <row r="2959" ht="18" spans="1:16">
      <c r="A2959" s="14">
        <f t="shared" si="51"/>
        <v>2958</v>
      </c>
      <c r="B2959" s="31">
        <v>46182</v>
      </c>
      <c r="C2959" s="32" t="s">
        <v>2794</v>
      </c>
      <c r="D2959" s="120" t="s">
        <v>477</v>
      </c>
      <c r="E2959" s="33" t="s">
        <v>42</v>
      </c>
      <c r="F2959" s="18" t="s">
        <v>63</v>
      </c>
      <c r="G2959" s="18" t="s">
        <v>2166</v>
      </c>
      <c r="H2959" s="34" t="s">
        <v>85</v>
      </c>
      <c r="I2959" s="18" t="s">
        <v>114</v>
      </c>
      <c r="J2959" s="31" t="s">
        <v>105</v>
      </c>
      <c r="K2959" s="31"/>
      <c r="N2959" s="13" t="s">
        <v>30</v>
      </c>
      <c r="O2959" s="28" t="str">
        <f>IF(D2959="","",IF(COUNTIF(离职清单!C:C,D2959)&gt;0,"已离职","在职"))</f>
        <v>在职</v>
      </c>
      <c r="P2959" s="28" t="str">
        <f>IF(AND(O2959="在职",J2959="是"),COUNTIF(O$2:O2959,"在职"),"")</f>
        <v/>
      </c>
    </row>
    <row r="2960" ht="18" spans="1:16">
      <c r="A2960" s="10">
        <f t="shared" si="51"/>
        <v>2959</v>
      </c>
      <c r="B2960" s="31">
        <v>46182</v>
      </c>
      <c r="C2960" s="32" t="s">
        <v>1510</v>
      </c>
      <c r="D2960" s="120" t="s">
        <v>478</v>
      </c>
      <c r="E2960" s="33" t="s">
        <v>42</v>
      </c>
      <c r="F2960" s="18" t="s">
        <v>64</v>
      </c>
      <c r="G2960" s="18" t="s">
        <v>2166</v>
      </c>
      <c r="H2960" s="34" t="s">
        <v>85</v>
      </c>
      <c r="I2960" s="18" t="s">
        <v>114</v>
      </c>
      <c r="J2960" s="31" t="s">
        <v>114</v>
      </c>
      <c r="K2960" s="31">
        <v>46183</v>
      </c>
      <c r="N2960" s="13" t="s">
        <v>30</v>
      </c>
      <c r="O2960" s="28" t="str">
        <f>IF(D2960="","",IF(COUNTIF(离职清单!C:C,D2960)&gt;0,"已离职","在职"))</f>
        <v>在职</v>
      </c>
      <c r="P2960" s="28">
        <f>IF(AND(O2960="在职",J2960="是"),COUNTIF(O$2:O2960,"在职"),"")</f>
        <v>2953</v>
      </c>
    </row>
    <row r="2961" ht="18" spans="1:16">
      <c r="A2961" s="14">
        <f t="shared" si="51"/>
        <v>2960</v>
      </c>
      <c r="B2961" s="31">
        <v>46182</v>
      </c>
      <c r="C2961" s="32" t="s">
        <v>2795</v>
      </c>
      <c r="D2961" s="120" t="s">
        <v>480</v>
      </c>
      <c r="E2961" s="33" t="s">
        <v>42</v>
      </c>
      <c r="F2961" s="18" t="s">
        <v>62</v>
      </c>
      <c r="G2961" s="18" t="s">
        <v>2156</v>
      </c>
      <c r="H2961" s="34" t="s">
        <v>85</v>
      </c>
      <c r="I2961" s="18" t="s">
        <v>2154</v>
      </c>
      <c r="J2961" s="31" t="s">
        <v>105</v>
      </c>
      <c r="K2961" s="31"/>
      <c r="N2961" s="13" t="s">
        <v>30</v>
      </c>
      <c r="O2961" s="28" t="str">
        <f>IF(D2961="","",IF(COUNTIF(离职清单!C:C,D2961)&gt;0,"已离职","在职"))</f>
        <v>在职</v>
      </c>
      <c r="P2961" s="28" t="str">
        <f>IF(AND(O2961="在职",J2961="是"),COUNTIF(O$2:O2961,"在职"),"")</f>
        <v/>
      </c>
    </row>
    <row r="2962" ht="18" spans="1:16">
      <c r="A2962" s="10">
        <f t="shared" si="51"/>
        <v>2961</v>
      </c>
      <c r="B2962" s="31">
        <v>46182</v>
      </c>
      <c r="C2962" s="32" t="s">
        <v>2796</v>
      </c>
      <c r="D2962" s="120" t="s">
        <v>482</v>
      </c>
      <c r="E2962" s="33" t="s">
        <v>42</v>
      </c>
      <c r="F2962" s="18" t="s">
        <v>64</v>
      </c>
      <c r="G2962" s="18" t="s">
        <v>2156</v>
      </c>
      <c r="H2962" s="34" t="s">
        <v>85</v>
      </c>
      <c r="I2962" s="18" t="s">
        <v>114</v>
      </c>
      <c r="J2962" s="31" t="s">
        <v>105</v>
      </c>
      <c r="K2962" s="31"/>
      <c r="N2962" s="13" t="s">
        <v>30</v>
      </c>
      <c r="O2962" s="28" t="str">
        <f>IF(D2962="","",IF(COUNTIF(离职清单!C:C,D2962)&gt;0,"已离职","在职"))</f>
        <v>在职</v>
      </c>
      <c r="P2962" s="28" t="str">
        <f>IF(AND(O2962="在职",J2962="是"),COUNTIF(O$2:O2962,"在职"),"")</f>
        <v/>
      </c>
    </row>
    <row r="2963" ht="18" spans="1:16">
      <c r="A2963" s="14">
        <f t="shared" si="51"/>
        <v>2962</v>
      </c>
      <c r="B2963" s="31">
        <v>46182</v>
      </c>
      <c r="C2963" s="32" t="s">
        <v>2797</v>
      </c>
      <c r="D2963" s="120" t="s">
        <v>484</v>
      </c>
      <c r="E2963" s="33" t="s">
        <v>42</v>
      </c>
      <c r="F2963" s="18" t="s">
        <v>63</v>
      </c>
      <c r="G2963" s="18" t="s">
        <v>2156</v>
      </c>
      <c r="H2963" s="34" t="s">
        <v>85</v>
      </c>
      <c r="I2963" s="18" t="s">
        <v>105</v>
      </c>
      <c r="J2963" s="31" t="s">
        <v>105</v>
      </c>
      <c r="K2963" s="31"/>
      <c r="N2963" s="13" t="s">
        <v>30</v>
      </c>
      <c r="O2963" s="28" t="str">
        <f>IF(D2963="","",IF(COUNTIF(离职清单!C:C,D2963)&gt;0,"已离职","在职"))</f>
        <v>在职</v>
      </c>
      <c r="P2963" s="28" t="str">
        <f>IF(AND(O2963="在职",J2963="是"),COUNTIF(O$2:O2963,"在职"),"")</f>
        <v/>
      </c>
    </row>
    <row r="2964" ht="18" spans="1:16">
      <c r="A2964" s="10">
        <f t="shared" si="51"/>
        <v>2963</v>
      </c>
      <c r="B2964" s="31">
        <v>46182</v>
      </c>
      <c r="C2964" s="32" t="s">
        <v>2798</v>
      </c>
      <c r="D2964" s="120" t="s">
        <v>486</v>
      </c>
      <c r="E2964" s="33" t="s">
        <v>42</v>
      </c>
      <c r="F2964" s="18" t="s">
        <v>63</v>
      </c>
      <c r="G2964" s="18" t="s">
        <v>2156</v>
      </c>
      <c r="H2964" s="34" t="s">
        <v>85</v>
      </c>
      <c r="I2964" s="18" t="s">
        <v>2154</v>
      </c>
      <c r="J2964" s="31" t="s">
        <v>105</v>
      </c>
      <c r="K2964" s="31"/>
      <c r="N2964" s="13" t="s">
        <v>30</v>
      </c>
      <c r="O2964" s="28" t="str">
        <f>IF(D2964="","",IF(COUNTIF(离职清单!C:C,D2964)&gt;0,"已离职","在职"))</f>
        <v>在职</v>
      </c>
      <c r="P2964" s="28" t="str">
        <f>IF(AND(O2964="在职",J2964="是"),COUNTIF(O$2:O2964,"在职"),"")</f>
        <v/>
      </c>
    </row>
    <row r="2965" ht="18" spans="1:16">
      <c r="A2965" s="14">
        <f t="shared" si="51"/>
        <v>2964</v>
      </c>
      <c r="B2965" s="31">
        <v>46182</v>
      </c>
      <c r="C2965" s="32" t="s">
        <v>2799</v>
      </c>
      <c r="D2965" s="120" t="s">
        <v>488</v>
      </c>
      <c r="E2965" s="33" t="s">
        <v>42</v>
      </c>
      <c r="F2965" s="18" t="s">
        <v>63</v>
      </c>
      <c r="G2965" s="18" t="s">
        <v>2349</v>
      </c>
      <c r="H2965" s="34" t="s">
        <v>85</v>
      </c>
      <c r="I2965" s="18" t="s">
        <v>2154</v>
      </c>
      <c r="J2965" s="31" t="s">
        <v>105</v>
      </c>
      <c r="K2965" s="31"/>
      <c r="N2965" s="13" t="s">
        <v>30</v>
      </c>
      <c r="O2965" s="28" t="str">
        <f>IF(D2965="","",IF(COUNTIF(离职清单!C:C,D2965)&gt;0,"已离职","在职"))</f>
        <v>在职</v>
      </c>
      <c r="P2965" s="28" t="str">
        <f>IF(AND(O2965="在职",J2965="是"),COUNTIF(O$2:O2965,"在职"),"")</f>
        <v/>
      </c>
    </row>
    <row r="2966" ht="18" spans="1:16">
      <c r="A2966" s="10">
        <f t="shared" si="51"/>
        <v>2965</v>
      </c>
      <c r="B2966" s="31">
        <v>46182</v>
      </c>
      <c r="C2966" s="32" t="s">
        <v>2800</v>
      </c>
      <c r="D2966" s="120" t="s">
        <v>490</v>
      </c>
      <c r="E2966" s="33" t="s">
        <v>42</v>
      </c>
      <c r="F2966" s="18" t="s">
        <v>64</v>
      </c>
      <c r="G2966" s="18" t="s">
        <v>2349</v>
      </c>
      <c r="H2966" s="34" t="s">
        <v>85</v>
      </c>
      <c r="I2966" s="18" t="s">
        <v>114</v>
      </c>
      <c r="J2966" s="31" t="s">
        <v>105</v>
      </c>
      <c r="K2966" s="31"/>
      <c r="N2966" s="13" t="s">
        <v>30</v>
      </c>
      <c r="O2966" s="28" t="str">
        <f>IF(D2966="","",IF(COUNTIF(离职清单!C:C,D2966)&gt;0,"已离职","在职"))</f>
        <v>在职</v>
      </c>
      <c r="P2966" s="28" t="str">
        <f>IF(AND(O2966="在职",J2966="是"),COUNTIF(O$2:O2966,"在职"),"")</f>
        <v/>
      </c>
    </row>
    <row r="2967" ht="18" spans="1:16">
      <c r="A2967" s="14">
        <f t="shared" si="51"/>
        <v>2966</v>
      </c>
      <c r="B2967" s="31">
        <v>46182</v>
      </c>
      <c r="C2967" s="32" t="s">
        <v>1763</v>
      </c>
      <c r="D2967" s="120" t="s">
        <v>492</v>
      </c>
      <c r="E2967" s="33" t="s">
        <v>42</v>
      </c>
      <c r="F2967" s="18" t="s">
        <v>64</v>
      </c>
      <c r="G2967" s="18" t="s">
        <v>1511</v>
      </c>
      <c r="H2967" s="34" t="s">
        <v>85</v>
      </c>
      <c r="I2967" s="18" t="s">
        <v>114</v>
      </c>
      <c r="J2967" s="31" t="s">
        <v>105</v>
      </c>
      <c r="K2967" s="31"/>
      <c r="N2967" s="13" t="s">
        <v>30</v>
      </c>
      <c r="O2967" s="28" t="str">
        <f>IF(D2967="","",IF(COUNTIF(离职清单!C:C,D2967)&gt;0,"已离职","在职"))</f>
        <v>在职</v>
      </c>
      <c r="P2967" s="28" t="str">
        <f>IF(AND(O2967="在职",J2967="是"),COUNTIF(O$2:O2967,"在职"),"")</f>
        <v/>
      </c>
    </row>
    <row r="2968" ht="18" spans="1:16">
      <c r="A2968" s="10">
        <f t="shared" si="51"/>
        <v>2967</v>
      </c>
      <c r="B2968" s="31">
        <v>46182</v>
      </c>
      <c r="C2968" s="32" t="s">
        <v>2801</v>
      </c>
      <c r="D2968" s="120" t="s">
        <v>477</v>
      </c>
      <c r="E2968" s="33" t="s">
        <v>42</v>
      </c>
      <c r="F2968" s="18" t="s">
        <v>64</v>
      </c>
      <c r="G2968" s="18" t="s">
        <v>1511</v>
      </c>
      <c r="H2968" s="34" t="s">
        <v>85</v>
      </c>
      <c r="I2968" s="18" t="s">
        <v>114</v>
      </c>
      <c r="J2968" s="31" t="s">
        <v>105</v>
      </c>
      <c r="K2968" s="31"/>
      <c r="N2968" s="13" t="s">
        <v>30</v>
      </c>
      <c r="O2968" s="28" t="str">
        <f>IF(D2968="","",IF(COUNTIF(离职清单!C:C,D2968)&gt;0,"已离职","在职"))</f>
        <v>在职</v>
      </c>
      <c r="P2968" s="28" t="str">
        <f>IF(AND(O2968="在职",J2968="是"),COUNTIF(O$2:O2968,"在职"),"")</f>
        <v/>
      </c>
    </row>
    <row r="2969" ht="18" spans="1:16">
      <c r="A2969" s="14">
        <f t="shared" si="51"/>
        <v>2968</v>
      </c>
      <c r="B2969" s="31">
        <v>46182</v>
      </c>
      <c r="C2969" s="32" t="s">
        <v>2799</v>
      </c>
      <c r="D2969" s="120" t="s">
        <v>478</v>
      </c>
      <c r="E2969" s="33" t="s">
        <v>42</v>
      </c>
      <c r="F2969" s="18" t="s">
        <v>63</v>
      </c>
      <c r="G2969" s="18" t="s">
        <v>1511</v>
      </c>
      <c r="H2969" s="34" t="s">
        <v>85</v>
      </c>
      <c r="I2969" s="18" t="s">
        <v>114</v>
      </c>
      <c r="J2969" s="31" t="s">
        <v>105</v>
      </c>
      <c r="K2969" s="31"/>
      <c r="N2969" s="13" t="s">
        <v>30</v>
      </c>
      <c r="O2969" s="28" t="str">
        <f>IF(D2969="","",IF(COUNTIF(离职清单!C:C,D2969)&gt;0,"已离职","在职"))</f>
        <v>在职</v>
      </c>
      <c r="P2969" s="28" t="str">
        <f>IF(AND(O2969="在职",J2969="是"),COUNTIF(O$2:O2969,"在职"),"")</f>
        <v/>
      </c>
    </row>
    <row r="2970" ht="18" spans="1:16">
      <c r="A2970" s="10">
        <f t="shared" si="51"/>
        <v>2969</v>
      </c>
      <c r="B2970" s="31">
        <v>46182</v>
      </c>
      <c r="C2970" s="32" t="s">
        <v>2687</v>
      </c>
      <c r="D2970" s="120" t="s">
        <v>480</v>
      </c>
      <c r="E2970" s="33" t="s">
        <v>42</v>
      </c>
      <c r="F2970" s="18" t="s">
        <v>62</v>
      </c>
      <c r="G2970" s="18" t="s">
        <v>2195</v>
      </c>
      <c r="H2970" s="34" t="s">
        <v>85</v>
      </c>
      <c r="I2970" s="18" t="s">
        <v>105</v>
      </c>
      <c r="J2970" s="31" t="s">
        <v>105</v>
      </c>
      <c r="K2970" s="31"/>
      <c r="N2970" s="13" t="s">
        <v>30</v>
      </c>
      <c r="O2970" s="28" t="str">
        <f>IF(D2970="","",IF(COUNTIF(离职清单!C:C,D2970)&gt;0,"已离职","在职"))</f>
        <v>在职</v>
      </c>
      <c r="P2970" s="28" t="str">
        <f>IF(AND(O2970="在职",J2970="是"),COUNTIF(O$2:O2970,"在职"),"")</f>
        <v/>
      </c>
    </row>
    <row r="2971" ht="18" spans="1:16">
      <c r="A2971" s="14">
        <f t="shared" si="51"/>
        <v>2970</v>
      </c>
      <c r="B2971" s="31">
        <v>46182</v>
      </c>
      <c r="C2971" s="32" t="s">
        <v>2802</v>
      </c>
      <c r="D2971" s="120" t="s">
        <v>482</v>
      </c>
      <c r="E2971" s="33" t="s">
        <v>42</v>
      </c>
      <c r="F2971" s="18" t="s">
        <v>62</v>
      </c>
      <c r="G2971" s="18" t="s">
        <v>2179</v>
      </c>
      <c r="H2971" s="34" t="s">
        <v>85</v>
      </c>
      <c r="I2971" s="18" t="s">
        <v>105</v>
      </c>
      <c r="J2971" s="31" t="s">
        <v>105</v>
      </c>
      <c r="K2971" s="31"/>
      <c r="N2971" s="13" t="s">
        <v>30</v>
      </c>
      <c r="O2971" s="28" t="str">
        <f>IF(D2971="","",IF(COUNTIF(离职清单!C:C,D2971)&gt;0,"已离职","在职"))</f>
        <v>在职</v>
      </c>
      <c r="P2971" s="28" t="str">
        <f>IF(AND(O2971="在职",J2971="是"),COUNTIF(O$2:O2971,"在职"),"")</f>
        <v/>
      </c>
    </row>
    <row r="2972" ht="18" spans="1:16">
      <c r="A2972" s="10">
        <f t="shared" si="51"/>
        <v>2971</v>
      </c>
      <c r="B2972" s="31">
        <v>46182</v>
      </c>
      <c r="C2972" s="32" t="s">
        <v>2803</v>
      </c>
      <c r="D2972" s="120" t="s">
        <v>484</v>
      </c>
      <c r="E2972" s="33" t="s">
        <v>42</v>
      </c>
      <c r="F2972" s="18" t="s">
        <v>62</v>
      </c>
      <c r="G2972" s="18" t="s">
        <v>2179</v>
      </c>
      <c r="H2972" s="34" t="s">
        <v>85</v>
      </c>
      <c r="I2972" s="18" t="s">
        <v>105</v>
      </c>
      <c r="J2972" s="31" t="s">
        <v>105</v>
      </c>
      <c r="K2972" s="31"/>
      <c r="N2972" s="13" t="s">
        <v>30</v>
      </c>
      <c r="O2972" s="28" t="str">
        <f>IF(D2972="","",IF(COUNTIF(离职清单!C:C,D2972)&gt;0,"已离职","在职"))</f>
        <v>在职</v>
      </c>
      <c r="P2972" s="28" t="str">
        <f>IF(AND(O2972="在职",J2972="是"),COUNTIF(O$2:O2972,"在职"),"")</f>
        <v/>
      </c>
    </row>
    <row r="2973" ht="18" spans="1:16">
      <c r="A2973" s="14">
        <f t="shared" si="51"/>
        <v>2972</v>
      </c>
      <c r="B2973" s="31">
        <v>46182</v>
      </c>
      <c r="C2973" s="32" t="s">
        <v>2770</v>
      </c>
      <c r="D2973" s="120" t="s">
        <v>486</v>
      </c>
      <c r="E2973" s="33" t="s">
        <v>42</v>
      </c>
      <c r="F2973" s="18" t="s">
        <v>63</v>
      </c>
      <c r="G2973" s="18" t="s">
        <v>2692</v>
      </c>
      <c r="H2973" s="34" t="s">
        <v>85</v>
      </c>
      <c r="I2973" s="18" t="s">
        <v>105</v>
      </c>
      <c r="J2973" s="31" t="s">
        <v>105</v>
      </c>
      <c r="K2973" s="31"/>
      <c r="N2973" s="13" t="s">
        <v>30</v>
      </c>
      <c r="O2973" s="28" t="str">
        <f>IF(D2973="","",IF(COUNTIF(离职清单!C:C,D2973)&gt;0,"已离职","在职"))</f>
        <v>在职</v>
      </c>
      <c r="P2973" s="28" t="str">
        <f>IF(AND(O2973="在职",J2973="是"),COUNTIF(O$2:O2973,"在职"),"")</f>
        <v/>
      </c>
    </row>
    <row r="2974" ht="18" spans="1:16">
      <c r="A2974" s="10">
        <f t="shared" si="51"/>
        <v>2973</v>
      </c>
      <c r="B2974" s="31">
        <v>46182</v>
      </c>
      <c r="C2974" s="32" t="s">
        <v>2804</v>
      </c>
      <c r="D2974" s="120" t="s">
        <v>488</v>
      </c>
      <c r="E2974" s="33" t="s">
        <v>42</v>
      </c>
      <c r="F2974" s="18" t="s">
        <v>63</v>
      </c>
      <c r="G2974" s="18" t="s">
        <v>2692</v>
      </c>
      <c r="H2974" s="34" t="s">
        <v>85</v>
      </c>
      <c r="I2974" s="18" t="s">
        <v>105</v>
      </c>
      <c r="J2974" s="31" t="s">
        <v>105</v>
      </c>
      <c r="K2974" s="31"/>
      <c r="N2974" s="13" t="s">
        <v>30</v>
      </c>
      <c r="O2974" s="28" t="str">
        <f>IF(D2974="","",IF(COUNTIF(离职清单!C:C,D2974)&gt;0,"已离职","在职"))</f>
        <v>在职</v>
      </c>
      <c r="P2974" s="28" t="str">
        <f>IF(AND(O2974="在职",J2974="是"),COUNTIF(O$2:O2974,"在职"),"")</f>
        <v/>
      </c>
    </row>
    <row r="2975" ht="18" spans="1:16">
      <c r="A2975" s="14">
        <f t="shared" si="51"/>
        <v>2974</v>
      </c>
      <c r="B2975" s="31">
        <v>46182</v>
      </c>
      <c r="C2975" s="32" t="s">
        <v>2756</v>
      </c>
      <c r="D2975" s="120" t="s">
        <v>490</v>
      </c>
      <c r="E2975" s="33" t="s">
        <v>42</v>
      </c>
      <c r="F2975" s="18" t="s">
        <v>63</v>
      </c>
      <c r="G2975" s="18" t="s">
        <v>2692</v>
      </c>
      <c r="H2975" s="34" t="s">
        <v>85</v>
      </c>
      <c r="I2975" s="18" t="s">
        <v>105</v>
      </c>
      <c r="J2975" s="31" t="s">
        <v>105</v>
      </c>
      <c r="K2975" s="31"/>
      <c r="N2975" s="13" t="s">
        <v>30</v>
      </c>
      <c r="O2975" s="28" t="str">
        <f>IF(D2975="","",IF(COUNTIF(离职清单!C:C,D2975)&gt;0,"已离职","在职"))</f>
        <v>在职</v>
      </c>
      <c r="P2975" s="28" t="str">
        <f>IF(AND(O2975="在职",J2975="是"),COUNTIF(O$2:O2975,"在职"),"")</f>
        <v/>
      </c>
    </row>
    <row r="2976" ht="18" spans="1:16">
      <c r="A2976" s="10">
        <f t="shared" si="51"/>
        <v>2975</v>
      </c>
      <c r="B2976" s="31">
        <v>46182</v>
      </c>
      <c r="C2976" s="32" t="s">
        <v>2445</v>
      </c>
      <c r="D2976" s="120" t="s">
        <v>492</v>
      </c>
      <c r="E2976" s="33" t="s">
        <v>42</v>
      </c>
      <c r="F2976" s="18" t="s">
        <v>63</v>
      </c>
      <c r="G2976" s="18" t="s">
        <v>148</v>
      </c>
      <c r="H2976" s="34" t="s">
        <v>85</v>
      </c>
      <c r="I2976" s="18" t="s">
        <v>105</v>
      </c>
      <c r="J2976" s="31" t="s">
        <v>105</v>
      </c>
      <c r="K2976" s="31"/>
      <c r="N2976" s="13" t="s">
        <v>30</v>
      </c>
      <c r="O2976" s="28" t="str">
        <f>IF(D2976="","",IF(COUNTIF(离职清单!C:C,D2976)&gt;0,"已离职","在职"))</f>
        <v>在职</v>
      </c>
      <c r="P2976" s="28" t="str">
        <f>IF(AND(O2976="在职",J2976="是"),COUNTIF(O$2:O2976,"在职"),"")</f>
        <v/>
      </c>
    </row>
    <row r="2977" ht="18" spans="1:16">
      <c r="A2977" s="14">
        <f t="shared" si="51"/>
        <v>2976</v>
      </c>
      <c r="B2977" s="31">
        <v>46182</v>
      </c>
      <c r="C2977" s="32" t="s">
        <v>2435</v>
      </c>
      <c r="D2977" s="120" t="s">
        <v>477</v>
      </c>
      <c r="E2977" s="33" t="s">
        <v>42</v>
      </c>
      <c r="F2977" s="18" t="s">
        <v>64</v>
      </c>
      <c r="G2977" s="18" t="s">
        <v>148</v>
      </c>
      <c r="H2977" s="34" t="s">
        <v>85</v>
      </c>
      <c r="I2977" s="18" t="s">
        <v>114</v>
      </c>
      <c r="J2977" s="31" t="s">
        <v>105</v>
      </c>
      <c r="K2977" s="31"/>
      <c r="N2977" s="13" t="s">
        <v>30</v>
      </c>
      <c r="O2977" s="28" t="str">
        <f>IF(D2977="","",IF(COUNTIF(离职清单!C:C,D2977)&gt;0,"已离职","在职"))</f>
        <v>在职</v>
      </c>
      <c r="P2977" s="28" t="str">
        <f>IF(AND(O2977="在职",J2977="是"),COUNTIF(O$2:O2977,"在职"),"")</f>
        <v/>
      </c>
    </row>
    <row r="2978" ht="18" spans="1:16">
      <c r="A2978" s="10">
        <f t="shared" si="51"/>
        <v>2977</v>
      </c>
      <c r="B2978" s="31">
        <v>46182</v>
      </c>
      <c r="C2978" s="32" t="s">
        <v>2805</v>
      </c>
      <c r="D2978" s="120" t="s">
        <v>478</v>
      </c>
      <c r="E2978" s="33" t="s">
        <v>42</v>
      </c>
      <c r="F2978" s="18" t="s">
        <v>62</v>
      </c>
      <c r="G2978" s="18" t="s">
        <v>148</v>
      </c>
      <c r="H2978" s="34" t="s">
        <v>85</v>
      </c>
      <c r="I2978" s="18" t="s">
        <v>105</v>
      </c>
      <c r="J2978" s="31" t="s">
        <v>105</v>
      </c>
      <c r="K2978" s="31"/>
      <c r="N2978" s="13" t="s">
        <v>30</v>
      </c>
      <c r="O2978" s="28" t="str">
        <f>IF(D2978="","",IF(COUNTIF(离职清单!C:C,D2978)&gt;0,"已离职","在职"))</f>
        <v>在职</v>
      </c>
      <c r="P2978" s="28" t="str">
        <f>IF(AND(O2978="在职",J2978="是"),COUNTIF(O$2:O2978,"在职"),"")</f>
        <v/>
      </c>
    </row>
    <row r="2979" ht="18" spans="1:16">
      <c r="A2979" s="14">
        <f t="shared" si="51"/>
        <v>2978</v>
      </c>
      <c r="B2979" s="31">
        <v>46182</v>
      </c>
      <c r="C2979" s="32" t="s">
        <v>2806</v>
      </c>
      <c r="D2979" s="120" t="s">
        <v>480</v>
      </c>
      <c r="E2979" s="33" t="s">
        <v>42</v>
      </c>
      <c r="F2979" s="18" t="s">
        <v>64</v>
      </c>
      <c r="G2979" s="18" t="s">
        <v>148</v>
      </c>
      <c r="H2979" s="34" t="s">
        <v>85</v>
      </c>
      <c r="I2979" s="18" t="s">
        <v>114</v>
      </c>
      <c r="J2979" s="31" t="s">
        <v>105</v>
      </c>
      <c r="K2979" s="31"/>
      <c r="N2979" s="13" t="s">
        <v>30</v>
      </c>
      <c r="O2979" s="28" t="str">
        <f>IF(D2979="","",IF(COUNTIF(离职清单!C:C,D2979)&gt;0,"已离职","在职"))</f>
        <v>在职</v>
      </c>
      <c r="P2979" s="28" t="str">
        <f>IF(AND(O2979="在职",J2979="是"),COUNTIF(O$2:O2979,"在职"),"")</f>
        <v/>
      </c>
    </row>
    <row r="2980" ht="18" spans="1:16">
      <c r="A2980" s="10">
        <f t="shared" si="51"/>
        <v>2979</v>
      </c>
      <c r="B2980" s="31">
        <v>46182</v>
      </c>
      <c r="C2980" s="32" t="s">
        <v>2742</v>
      </c>
      <c r="D2980" s="120" t="s">
        <v>482</v>
      </c>
      <c r="E2980" s="33" t="s">
        <v>42</v>
      </c>
      <c r="F2980" s="18" t="s">
        <v>64</v>
      </c>
      <c r="G2980" s="18" t="s">
        <v>148</v>
      </c>
      <c r="H2980" s="34" t="s">
        <v>85</v>
      </c>
      <c r="I2980" s="18" t="s">
        <v>114</v>
      </c>
      <c r="J2980" s="31" t="s">
        <v>105</v>
      </c>
      <c r="K2980" s="31"/>
      <c r="N2980" s="13" t="s">
        <v>30</v>
      </c>
      <c r="O2980" s="28" t="str">
        <f>IF(D2980="","",IF(COUNTIF(离职清单!C:C,D2980)&gt;0,"已离职","在职"))</f>
        <v>在职</v>
      </c>
      <c r="P2980" s="28" t="str">
        <f>IF(AND(O2980="在职",J2980="是"),COUNTIF(O$2:O2980,"在职"),"")</f>
        <v/>
      </c>
    </row>
    <row r="2981" ht="18" spans="1:16">
      <c r="A2981" s="14">
        <f t="shared" si="51"/>
        <v>2980</v>
      </c>
      <c r="B2981" s="31">
        <v>46182</v>
      </c>
      <c r="C2981" s="32" t="s">
        <v>2807</v>
      </c>
      <c r="D2981" s="120" t="s">
        <v>484</v>
      </c>
      <c r="E2981" s="33" t="s">
        <v>42</v>
      </c>
      <c r="F2981" s="18" t="s">
        <v>63</v>
      </c>
      <c r="G2981" s="18" t="s">
        <v>148</v>
      </c>
      <c r="H2981" s="34" t="s">
        <v>85</v>
      </c>
      <c r="I2981" s="18" t="s">
        <v>114</v>
      </c>
      <c r="J2981" s="31" t="s">
        <v>114</v>
      </c>
      <c r="K2981" s="31">
        <v>46184</v>
      </c>
      <c r="N2981" s="13" t="s">
        <v>30</v>
      </c>
      <c r="O2981" s="28" t="str">
        <f>IF(D2981="","",IF(COUNTIF(离职清单!C:C,D2981)&gt;0,"已离职","在职"))</f>
        <v>在职</v>
      </c>
      <c r="P2981" s="28">
        <f>IF(AND(O2981="在职",J2981="是"),COUNTIF(O$2:O2981,"在职"),"")</f>
        <v>2974</v>
      </c>
    </row>
    <row r="2982" ht="18" spans="1:16">
      <c r="A2982" s="10">
        <f t="shared" si="51"/>
        <v>2981</v>
      </c>
      <c r="B2982" s="31">
        <v>46182</v>
      </c>
      <c r="C2982" s="32" t="s">
        <v>2808</v>
      </c>
      <c r="D2982" s="120" t="s">
        <v>486</v>
      </c>
      <c r="E2982" s="33" t="s">
        <v>42</v>
      </c>
      <c r="F2982" s="18" t="s">
        <v>63</v>
      </c>
      <c r="G2982" s="18" t="s">
        <v>148</v>
      </c>
      <c r="H2982" s="34" t="s">
        <v>85</v>
      </c>
      <c r="I2982" s="18" t="s">
        <v>105</v>
      </c>
      <c r="J2982" s="31" t="s">
        <v>105</v>
      </c>
      <c r="K2982" s="31"/>
      <c r="N2982" s="13" t="s">
        <v>30</v>
      </c>
      <c r="O2982" s="28" t="str">
        <f>IF(D2982="","",IF(COUNTIF(离职清单!C:C,D2982)&gt;0,"已离职","在职"))</f>
        <v>在职</v>
      </c>
      <c r="P2982" s="28" t="str">
        <f>IF(AND(O2982="在职",J2982="是"),COUNTIF(O$2:O2982,"在职"),"")</f>
        <v/>
      </c>
    </row>
    <row r="2983" ht="18" spans="1:16">
      <c r="A2983" s="14">
        <f t="shared" si="51"/>
        <v>2982</v>
      </c>
      <c r="B2983" s="31">
        <v>46182</v>
      </c>
      <c r="C2983" s="32" t="s">
        <v>2744</v>
      </c>
      <c r="D2983" s="120" t="s">
        <v>488</v>
      </c>
      <c r="E2983" s="33" t="s">
        <v>42</v>
      </c>
      <c r="F2983" s="18" t="s">
        <v>63</v>
      </c>
      <c r="G2983" s="18" t="s">
        <v>148</v>
      </c>
      <c r="H2983" s="34" t="s">
        <v>85</v>
      </c>
      <c r="I2983" s="18" t="s">
        <v>114</v>
      </c>
      <c r="J2983" s="31" t="s">
        <v>114</v>
      </c>
      <c r="K2983" s="31">
        <v>46183</v>
      </c>
      <c r="N2983" s="13" t="s">
        <v>30</v>
      </c>
      <c r="O2983" s="28" t="str">
        <f>IF(D2983="","",IF(COUNTIF(离职清单!C:C,D2983)&gt;0,"已离职","在职"))</f>
        <v>在职</v>
      </c>
      <c r="P2983" s="28">
        <f>IF(AND(O2983="在职",J2983="是"),COUNTIF(O$2:O2983,"在职"),"")</f>
        <v>2976</v>
      </c>
    </row>
    <row r="2984" ht="18" spans="1:16">
      <c r="A2984" s="10">
        <f t="shared" si="51"/>
        <v>2983</v>
      </c>
      <c r="B2984" s="31">
        <v>46182</v>
      </c>
      <c r="C2984" s="32" t="s">
        <v>2809</v>
      </c>
      <c r="D2984" s="120" t="s">
        <v>490</v>
      </c>
      <c r="E2984" s="33" t="s">
        <v>42</v>
      </c>
      <c r="F2984" s="18" t="s">
        <v>62</v>
      </c>
      <c r="G2984" s="18" t="s">
        <v>148</v>
      </c>
      <c r="H2984" s="34" t="s">
        <v>85</v>
      </c>
      <c r="I2984" s="18" t="s">
        <v>105</v>
      </c>
      <c r="J2984" s="31" t="s">
        <v>105</v>
      </c>
      <c r="K2984" s="31"/>
      <c r="N2984" s="13" t="s">
        <v>30</v>
      </c>
      <c r="O2984" s="28" t="str">
        <f>IF(D2984="","",IF(COUNTIF(离职清单!C:C,D2984)&gt;0,"已离职","在职"))</f>
        <v>在职</v>
      </c>
      <c r="P2984" s="28" t="str">
        <f>IF(AND(O2984="在职",J2984="是"),COUNTIF(O$2:O2984,"在职"),"")</f>
        <v/>
      </c>
    </row>
    <row r="2985" ht="18" spans="1:16">
      <c r="A2985" s="14">
        <f t="shared" si="51"/>
        <v>2984</v>
      </c>
      <c r="B2985" s="31">
        <v>46182</v>
      </c>
      <c r="C2985" s="32" t="s">
        <v>2810</v>
      </c>
      <c r="D2985" s="120" t="s">
        <v>492</v>
      </c>
      <c r="E2985" s="33" t="s">
        <v>42</v>
      </c>
      <c r="F2985" s="18" t="s">
        <v>62</v>
      </c>
      <c r="G2985" s="18" t="s">
        <v>124</v>
      </c>
      <c r="H2985" s="34" t="s">
        <v>85</v>
      </c>
      <c r="I2985" s="18" t="s">
        <v>114</v>
      </c>
      <c r="J2985" s="31" t="s">
        <v>114</v>
      </c>
      <c r="K2985" s="31">
        <v>46184</v>
      </c>
      <c r="N2985" s="13" t="s">
        <v>30</v>
      </c>
      <c r="O2985" s="28" t="str">
        <f>IF(D2985="","",IF(COUNTIF(离职清单!C:C,D2985)&gt;0,"已离职","在职"))</f>
        <v>在职</v>
      </c>
      <c r="P2985" s="28">
        <f>IF(AND(O2985="在职",J2985="是"),COUNTIF(O$2:O2985,"在职"),"")</f>
        <v>2978</v>
      </c>
    </row>
    <row r="2986" ht="18" spans="1:16">
      <c r="A2986" s="10">
        <f t="shared" si="51"/>
        <v>2985</v>
      </c>
      <c r="B2986" s="31">
        <v>46182</v>
      </c>
      <c r="C2986" s="32" t="s">
        <v>2811</v>
      </c>
      <c r="D2986" s="120" t="s">
        <v>477</v>
      </c>
      <c r="E2986" s="33" t="s">
        <v>42</v>
      </c>
      <c r="F2986" s="18" t="s">
        <v>63</v>
      </c>
      <c r="G2986" s="18" t="s">
        <v>124</v>
      </c>
      <c r="H2986" s="34" t="s">
        <v>85</v>
      </c>
      <c r="I2986" s="18" t="s">
        <v>114</v>
      </c>
      <c r="J2986" s="31" t="s">
        <v>114</v>
      </c>
      <c r="K2986" s="31">
        <v>46184</v>
      </c>
      <c r="N2986" s="13" t="s">
        <v>30</v>
      </c>
      <c r="O2986" s="28" t="str">
        <f>IF(D2986="","",IF(COUNTIF(离职清单!C:C,D2986)&gt;0,"已离职","在职"))</f>
        <v>在职</v>
      </c>
      <c r="P2986" s="28">
        <f>IF(AND(O2986="在职",J2986="是"),COUNTIF(O$2:O2986,"在职"),"")</f>
        <v>2979</v>
      </c>
    </row>
    <row r="2987" ht="18" spans="1:16">
      <c r="A2987" s="14">
        <f t="shared" si="51"/>
        <v>2986</v>
      </c>
      <c r="B2987" s="31">
        <v>46182</v>
      </c>
      <c r="C2987" s="32" t="s">
        <v>2812</v>
      </c>
      <c r="D2987" s="120" t="s">
        <v>477</v>
      </c>
      <c r="E2987" s="33" t="s">
        <v>43</v>
      </c>
      <c r="F2987" s="18" t="s">
        <v>63</v>
      </c>
      <c r="G2987" s="18" t="s">
        <v>2164</v>
      </c>
      <c r="H2987" s="34" t="s">
        <v>85</v>
      </c>
      <c r="I2987" s="18" t="s">
        <v>2154</v>
      </c>
      <c r="J2987" s="31" t="s">
        <v>105</v>
      </c>
      <c r="K2987" s="31"/>
      <c r="N2987" s="13" t="s">
        <v>30</v>
      </c>
      <c r="O2987" s="28" t="str">
        <f>IF(D2987="","",IF(COUNTIF(离职清单!C:C,D2987)&gt;0,"已离职","在职"))</f>
        <v>在职</v>
      </c>
      <c r="P2987" s="28" t="str">
        <f>IF(AND(O2987="在职",J2987="是"),COUNTIF(O$2:O2987,"在职"),"")</f>
        <v/>
      </c>
    </row>
    <row r="2988" ht="18" spans="1:16">
      <c r="A2988" s="10">
        <f t="shared" ref="A2988:A3051" si="52">IF(B2988&lt;&gt;"",ROW()-1,"")</f>
        <v>2987</v>
      </c>
      <c r="B2988" s="31">
        <v>46182</v>
      </c>
      <c r="C2988" s="32" t="s">
        <v>2813</v>
      </c>
      <c r="D2988" s="120" t="s">
        <v>478</v>
      </c>
      <c r="E2988" s="33" t="s">
        <v>43</v>
      </c>
      <c r="F2988" s="18" t="s">
        <v>64</v>
      </c>
      <c r="G2988" s="18" t="s">
        <v>2164</v>
      </c>
      <c r="H2988" s="34" t="s">
        <v>85</v>
      </c>
      <c r="I2988" s="18" t="s">
        <v>114</v>
      </c>
      <c r="J2988" s="31" t="s">
        <v>105</v>
      </c>
      <c r="K2988" s="31"/>
      <c r="N2988" s="13" t="s">
        <v>30</v>
      </c>
      <c r="O2988" s="28" t="str">
        <f>IF(D2988="","",IF(COUNTIF(离职清单!C:C,D2988)&gt;0,"已离职","在职"))</f>
        <v>在职</v>
      </c>
      <c r="P2988" s="28" t="str">
        <f>IF(AND(O2988="在职",J2988="是"),COUNTIF(O$2:O2988,"在职"),"")</f>
        <v/>
      </c>
    </row>
    <row r="2989" ht="18" spans="1:16">
      <c r="A2989" s="14">
        <f t="shared" si="52"/>
        <v>2988</v>
      </c>
      <c r="B2989" s="31">
        <v>46182</v>
      </c>
      <c r="C2989" s="32" t="s">
        <v>2722</v>
      </c>
      <c r="D2989" s="120" t="s">
        <v>480</v>
      </c>
      <c r="E2989" s="33" t="s">
        <v>43</v>
      </c>
      <c r="F2989" s="18" t="s">
        <v>63</v>
      </c>
      <c r="G2989" s="18" t="s">
        <v>2181</v>
      </c>
      <c r="H2989" s="34" t="s">
        <v>85</v>
      </c>
      <c r="I2989" s="18" t="s">
        <v>105</v>
      </c>
      <c r="J2989" s="31" t="s">
        <v>105</v>
      </c>
      <c r="K2989" s="31"/>
      <c r="N2989" s="13" t="s">
        <v>30</v>
      </c>
      <c r="O2989" s="28" t="str">
        <f>IF(D2989="","",IF(COUNTIF(离职清单!C:C,D2989)&gt;0,"已离职","在职"))</f>
        <v>在职</v>
      </c>
      <c r="P2989" s="28" t="str">
        <f>IF(AND(O2989="在职",J2989="是"),COUNTIF(O$2:O2989,"在职"),"")</f>
        <v/>
      </c>
    </row>
    <row r="2990" ht="18" spans="1:16">
      <c r="A2990" s="10">
        <f t="shared" si="52"/>
        <v>2989</v>
      </c>
      <c r="B2990" s="31">
        <v>46182</v>
      </c>
      <c r="C2990" s="32" t="s">
        <v>2814</v>
      </c>
      <c r="D2990" s="120" t="s">
        <v>482</v>
      </c>
      <c r="E2990" s="33" t="s">
        <v>43</v>
      </c>
      <c r="F2990" s="18" t="s">
        <v>62</v>
      </c>
      <c r="G2990" s="18" t="s">
        <v>2174</v>
      </c>
      <c r="H2990" s="34" t="s">
        <v>85</v>
      </c>
      <c r="I2990" s="18" t="s">
        <v>114</v>
      </c>
      <c r="J2990" s="31" t="s">
        <v>105</v>
      </c>
      <c r="K2990" s="31"/>
      <c r="N2990" s="13" t="s">
        <v>30</v>
      </c>
      <c r="O2990" s="28" t="str">
        <f>IF(D2990="","",IF(COUNTIF(离职清单!C:C,D2990)&gt;0,"已离职","在职"))</f>
        <v>在职</v>
      </c>
      <c r="P2990" s="28" t="str">
        <f>IF(AND(O2990="在职",J2990="是"),COUNTIF(O$2:O2990,"在职"),"")</f>
        <v/>
      </c>
    </row>
    <row r="2991" ht="18" spans="1:16">
      <c r="A2991" s="14">
        <f t="shared" si="52"/>
        <v>2990</v>
      </c>
      <c r="B2991" s="31">
        <v>46182</v>
      </c>
      <c r="C2991" s="32" t="s">
        <v>2815</v>
      </c>
      <c r="D2991" s="120" t="s">
        <v>484</v>
      </c>
      <c r="E2991" s="33" t="s">
        <v>43</v>
      </c>
      <c r="F2991" s="18" t="s">
        <v>63</v>
      </c>
      <c r="G2991" s="18" t="s">
        <v>2174</v>
      </c>
      <c r="H2991" s="34" t="s">
        <v>85</v>
      </c>
      <c r="I2991" s="18" t="s">
        <v>2154</v>
      </c>
      <c r="J2991" s="31" t="s">
        <v>105</v>
      </c>
      <c r="K2991" s="31"/>
      <c r="N2991" s="13" t="s">
        <v>30</v>
      </c>
      <c r="O2991" s="28" t="str">
        <f>IF(D2991="","",IF(COUNTIF(离职清单!C:C,D2991)&gt;0,"已离职","在职"))</f>
        <v>在职</v>
      </c>
      <c r="P2991" s="28" t="str">
        <f>IF(AND(O2991="在职",J2991="是"),COUNTIF(O$2:O2991,"在职"),"")</f>
        <v/>
      </c>
    </row>
    <row r="2992" ht="18" spans="1:16">
      <c r="A2992" s="10">
        <f t="shared" si="52"/>
        <v>2991</v>
      </c>
      <c r="B2992" s="31">
        <v>46182</v>
      </c>
      <c r="C2992" s="32" t="s">
        <v>2816</v>
      </c>
      <c r="D2992" s="120" t="s">
        <v>486</v>
      </c>
      <c r="E2992" s="33" t="s">
        <v>43</v>
      </c>
      <c r="F2992" s="18" t="s">
        <v>62</v>
      </c>
      <c r="G2992" s="18" t="s">
        <v>129</v>
      </c>
      <c r="H2992" s="34" t="s">
        <v>85</v>
      </c>
      <c r="I2992" s="18" t="s">
        <v>2154</v>
      </c>
      <c r="J2992" s="31" t="s">
        <v>105</v>
      </c>
      <c r="K2992" s="31"/>
      <c r="N2992" s="13" t="s">
        <v>30</v>
      </c>
      <c r="O2992" s="28" t="str">
        <f>IF(D2992="","",IF(COUNTIF(离职清单!C:C,D2992)&gt;0,"已离职","在职"))</f>
        <v>在职</v>
      </c>
      <c r="P2992" s="28" t="str">
        <f>IF(AND(O2992="在职",J2992="是"),COUNTIF(O$2:O2992,"在职"),"")</f>
        <v/>
      </c>
    </row>
    <row r="2993" ht="18" spans="1:16">
      <c r="A2993" s="14">
        <f t="shared" si="52"/>
        <v>2992</v>
      </c>
      <c r="B2993" s="31">
        <v>46182</v>
      </c>
      <c r="C2993" s="32" t="s">
        <v>2817</v>
      </c>
      <c r="D2993" s="120" t="s">
        <v>488</v>
      </c>
      <c r="E2993" s="33" t="s">
        <v>43</v>
      </c>
      <c r="F2993" s="18" t="s">
        <v>63</v>
      </c>
      <c r="G2993" s="18" t="s">
        <v>129</v>
      </c>
      <c r="H2993" s="34" t="s">
        <v>85</v>
      </c>
      <c r="I2993" s="18" t="s">
        <v>114</v>
      </c>
      <c r="J2993" s="31" t="s">
        <v>114</v>
      </c>
      <c r="K2993" s="31">
        <v>46183</v>
      </c>
      <c r="N2993" s="13" t="s">
        <v>30</v>
      </c>
      <c r="O2993" s="28" t="str">
        <f>IF(D2993="","",IF(COUNTIF(离职清单!C:C,D2993)&gt;0,"已离职","在职"))</f>
        <v>在职</v>
      </c>
      <c r="P2993" s="28">
        <f>IF(AND(O2993="在职",J2993="是"),COUNTIF(O$2:O2993,"在职"),"")</f>
        <v>2986</v>
      </c>
    </row>
    <row r="2994" ht="18" spans="1:16">
      <c r="A2994" s="10">
        <f t="shared" si="52"/>
        <v>2993</v>
      </c>
      <c r="B2994" s="31">
        <v>46182</v>
      </c>
      <c r="C2994" s="32" t="s">
        <v>2286</v>
      </c>
      <c r="D2994" s="120" t="s">
        <v>490</v>
      </c>
      <c r="E2994" s="33" t="s">
        <v>43</v>
      </c>
      <c r="F2994" s="18" t="s">
        <v>63</v>
      </c>
      <c r="G2994" s="18" t="s">
        <v>129</v>
      </c>
      <c r="H2994" s="34" t="s">
        <v>85</v>
      </c>
      <c r="I2994" s="18" t="s">
        <v>114</v>
      </c>
      <c r="J2994" s="31" t="s">
        <v>114</v>
      </c>
      <c r="K2994" s="31">
        <v>46184</v>
      </c>
      <c r="N2994" s="13" t="s">
        <v>30</v>
      </c>
      <c r="O2994" s="28" t="str">
        <f>IF(D2994="","",IF(COUNTIF(离职清单!C:C,D2994)&gt;0,"已离职","在职"))</f>
        <v>在职</v>
      </c>
      <c r="P2994" s="28">
        <f>IF(AND(O2994="在职",J2994="是"),COUNTIF(O$2:O2994,"在职"),"")</f>
        <v>2987</v>
      </c>
    </row>
    <row r="2995" ht="18" spans="1:16">
      <c r="A2995" s="14">
        <f t="shared" si="52"/>
        <v>2994</v>
      </c>
      <c r="B2995" s="31">
        <v>46182</v>
      </c>
      <c r="C2995" s="32" t="s">
        <v>2729</v>
      </c>
      <c r="D2995" s="120" t="s">
        <v>492</v>
      </c>
      <c r="E2995" s="33" t="s">
        <v>43</v>
      </c>
      <c r="F2995" s="18" t="s">
        <v>63</v>
      </c>
      <c r="G2995" s="18" t="s">
        <v>1056</v>
      </c>
      <c r="H2995" s="34" t="s">
        <v>85</v>
      </c>
      <c r="I2995" s="18" t="s">
        <v>2154</v>
      </c>
      <c r="J2995" s="31" t="s">
        <v>105</v>
      </c>
      <c r="K2995" s="31"/>
      <c r="N2995" s="13" t="s">
        <v>30</v>
      </c>
      <c r="O2995" s="28" t="str">
        <f>IF(D2995="","",IF(COUNTIF(离职清单!C:C,D2995)&gt;0,"已离职","在职"))</f>
        <v>在职</v>
      </c>
      <c r="P2995" s="28" t="str">
        <f>IF(AND(O2995="在职",J2995="是"),COUNTIF(O$2:O2995,"在职"),"")</f>
        <v/>
      </c>
    </row>
    <row r="2996" ht="18" spans="1:16">
      <c r="A2996" s="10">
        <f t="shared" si="52"/>
        <v>2995</v>
      </c>
      <c r="B2996" s="31">
        <v>46182</v>
      </c>
      <c r="C2996" s="32" t="s">
        <v>2818</v>
      </c>
      <c r="D2996" s="120" t="s">
        <v>477</v>
      </c>
      <c r="E2996" s="33" t="s">
        <v>43</v>
      </c>
      <c r="F2996" s="18" t="s">
        <v>63</v>
      </c>
      <c r="G2996" s="18" t="s">
        <v>1056</v>
      </c>
      <c r="H2996" s="34" t="s">
        <v>85</v>
      </c>
      <c r="I2996" s="18" t="s">
        <v>2154</v>
      </c>
      <c r="J2996" s="31" t="s">
        <v>105</v>
      </c>
      <c r="K2996" s="31"/>
      <c r="N2996" s="13" t="s">
        <v>30</v>
      </c>
      <c r="O2996" s="28" t="str">
        <f>IF(D2996="","",IF(COUNTIF(离职清单!C:C,D2996)&gt;0,"已离职","在职"))</f>
        <v>在职</v>
      </c>
      <c r="P2996" s="28" t="str">
        <f>IF(AND(O2996="在职",J2996="是"),COUNTIF(O$2:O2996,"在职"),"")</f>
        <v/>
      </c>
    </row>
    <row r="2997" ht="18" spans="1:16">
      <c r="A2997" s="14">
        <f t="shared" si="52"/>
        <v>2996</v>
      </c>
      <c r="B2997" s="31">
        <v>46182</v>
      </c>
      <c r="C2997" s="32" t="s">
        <v>2819</v>
      </c>
      <c r="D2997" s="120" t="s">
        <v>478</v>
      </c>
      <c r="E2997" s="33" t="s">
        <v>43</v>
      </c>
      <c r="F2997" s="18" t="s">
        <v>63</v>
      </c>
      <c r="G2997" s="18" t="s">
        <v>1056</v>
      </c>
      <c r="H2997" s="34" t="s">
        <v>85</v>
      </c>
      <c r="I2997" s="18" t="s">
        <v>2154</v>
      </c>
      <c r="J2997" s="31" t="s">
        <v>105</v>
      </c>
      <c r="K2997" s="31"/>
      <c r="N2997" s="13" t="s">
        <v>30</v>
      </c>
      <c r="O2997" s="28" t="str">
        <f>IF(D2997="","",IF(COUNTIF(离职清单!C:C,D2997)&gt;0,"已离职","在职"))</f>
        <v>在职</v>
      </c>
      <c r="P2997" s="28" t="str">
        <f>IF(AND(O2997="在职",J2997="是"),COUNTIF(O$2:O2997,"在职"),"")</f>
        <v/>
      </c>
    </row>
    <row r="2998" ht="18" spans="1:16">
      <c r="A2998" s="10">
        <f t="shared" si="52"/>
        <v>2997</v>
      </c>
      <c r="B2998" s="31">
        <v>46182</v>
      </c>
      <c r="C2998" s="32" t="s">
        <v>2820</v>
      </c>
      <c r="D2998" s="120" t="s">
        <v>480</v>
      </c>
      <c r="E2998" s="33" t="s">
        <v>43</v>
      </c>
      <c r="F2998" s="18" t="s">
        <v>63</v>
      </c>
      <c r="G2998" s="18" t="s">
        <v>1056</v>
      </c>
      <c r="H2998" s="34" t="s">
        <v>85</v>
      </c>
      <c r="I2998" s="18" t="s">
        <v>2154</v>
      </c>
      <c r="J2998" s="31" t="s">
        <v>105</v>
      </c>
      <c r="K2998" s="31"/>
      <c r="N2998" s="13" t="s">
        <v>30</v>
      </c>
      <c r="O2998" s="28" t="str">
        <f>IF(D2998="","",IF(COUNTIF(离职清单!C:C,D2998)&gt;0,"已离职","在职"))</f>
        <v>在职</v>
      </c>
      <c r="P2998" s="28" t="str">
        <f>IF(AND(O2998="在职",J2998="是"),COUNTIF(O$2:O2998,"在职"),"")</f>
        <v/>
      </c>
    </row>
    <row r="2999" ht="18" spans="1:16">
      <c r="A2999" s="14">
        <f t="shared" si="52"/>
        <v>2998</v>
      </c>
      <c r="B2999" s="31">
        <v>46182</v>
      </c>
      <c r="C2999" s="32" t="s">
        <v>2821</v>
      </c>
      <c r="D2999" s="120" t="s">
        <v>482</v>
      </c>
      <c r="E2999" s="33" t="s">
        <v>43</v>
      </c>
      <c r="F2999" s="18" t="s">
        <v>63</v>
      </c>
      <c r="G2999" s="18" t="s">
        <v>233</v>
      </c>
      <c r="H2999" s="34" t="s">
        <v>85</v>
      </c>
      <c r="I2999" s="18" t="s">
        <v>114</v>
      </c>
      <c r="J2999" s="31" t="s">
        <v>114</v>
      </c>
      <c r="K2999" s="31">
        <v>46186</v>
      </c>
      <c r="N2999" s="13" t="s">
        <v>30</v>
      </c>
      <c r="O2999" s="28" t="str">
        <f>IF(D2999="","",IF(COUNTIF(离职清单!C:C,D2999)&gt;0,"已离职","在职"))</f>
        <v>在职</v>
      </c>
      <c r="P2999" s="28">
        <f>IF(AND(O2999="在职",J2999="是"),COUNTIF(O$2:O2999,"在职"),"")</f>
        <v>2992</v>
      </c>
    </row>
    <row r="3000" ht="18" spans="1:16">
      <c r="A3000" s="10">
        <f t="shared" si="52"/>
        <v>2999</v>
      </c>
      <c r="B3000" s="31">
        <v>46182</v>
      </c>
      <c r="C3000" s="32" t="s">
        <v>2822</v>
      </c>
      <c r="D3000" s="120" t="s">
        <v>484</v>
      </c>
      <c r="E3000" s="33" t="s">
        <v>43</v>
      </c>
      <c r="F3000" s="18" t="s">
        <v>63</v>
      </c>
      <c r="G3000" s="18" t="s">
        <v>2221</v>
      </c>
      <c r="H3000" s="34" t="s">
        <v>85</v>
      </c>
      <c r="I3000" s="18" t="s">
        <v>2154</v>
      </c>
      <c r="J3000" s="31" t="s">
        <v>105</v>
      </c>
      <c r="K3000" s="31"/>
      <c r="N3000" s="13" t="s">
        <v>30</v>
      </c>
      <c r="O3000" s="28" t="str">
        <f>IF(D3000="","",IF(COUNTIF(离职清单!C:C,D3000)&gt;0,"已离职","在职"))</f>
        <v>在职</v>
      </c>
      <c r="P3000" s="28" t="str">
        <f>IF(AND(O3000="在职",J3000="是"),COUNTIF(O$2:O3000,"在职"),"")</f>
        <v/>
      </c>
    </row>
    <row r="3001" ht="18" spans="1:16">
      <c r="A3001" s="14">
        <f t="shared" si="52"/>
        <v>3000</v>
      </c>
      <c r="B3001" s="31">
        <v>46182</v>
      </c>
      <c r="C3001" s="32" t="s">
        <v>2726</v>
      </c>
      <c r="D3001" s="120" t="s">
        <v>486</v>
      </c>
      <c r="E3001" s="33" t="s">
        <v>43</v>
      </c>
      <c r="F3001" s="18" t="s">
        <v>63</v>
      </c>
      <c r="G3001" s="18" t="s">
        <v>2727</v>
      </c>
      <c r="H3001" s="34" t="s">
        <v>85</v>
      </c>
      <c r="I3001" s="18" t="s">
        <v>2154</v>
      </c>
      <c r="J3001" s="31" t="s">
        <v>105</v>
      </c>
      <c r="K3001" s="31"/>
      <c r="N3001" s="13" t="s">
        <v>30</v>
      </c>
      <c r="O3001" s="28" t="str">
        <f>IF(D3001="","",IF(COUNTIF(离职清单!C:C,D3001)&gt;0,"已离职","在职"))</f>
        <v>在职</v>
      </c>
      <c r="P3001" s="28" t="str">
        <f>IF(AND(O3001="在职",J3001="是"),COUNTIF(O$2:O3001,"在职"),"")</f>
        <v/>
      </c>
    </row>
    <row r="3002" ht="18" spans="1:16">
      <c r="A3002" s="10">
        <f t="shared" si="52"/>
        <v>3001</v>
      </c>
      <c r="B3002" s="31">
        <v>46182</v>
      </c>
      <c r="C3002" s="32" t="s">
        <v>2823</v>
      </c>
      <c r="D3002" s="120" t="s">
        <v>488</v>
      </c>
      <c r="E3002" s="33" t="s">
        <v>43</v>
      </c>
      <c r="F3002" s="18" t="s">
        <v>63</v>
      </c>
      <c r="G3002" s="18" t="s">
        <v>2250</v>
      </c>
      <c r="H3002" s="34" t="s">
        <v>85</v>
      </c>
      <c r="I3002" s="18" t="s">
        <v>105</v>
      </c>
      <c r="J3002" s="31" t="s">
        <v>105</v>
      </c>
      <c r="K3002" s="31"/>
      <c r="N3002" s="13" t="s">
        <v>30</v>
      </c>
      <c r="O3002" s="28" t="str">
        <f>IF(D3002="","",IF(COUNTIF(离职清单!C:C,D3002)&gt;0,"已离职","在职"))</f>
        <v>在职</v>
      </c>
      <c r="P3002" s="28" t="str">
        <f>IF(AND(O3002="在职",J3002="是"),COUNTIF(O$2:O3002,"在职"),"")</f>
        <v/>
      </c>
    </row>
    <row r="3003" ht="18" spans="1:16">
      <c r="A3003" s="14">
        <f t="shared" si="52"/>
        <v>3002</v>
      </c>
      <c r="B3003" s="31">
        <v>46182</v>
      </c>
      <c r="C3003" s="32" t="s">
        <v>2824</v>
      </c>
      <c r="D3003" s="120" t="s">
        <v>490</v>
      </c>
      <c r="E3003" s="33" t="s">
        <v>43</v>
      </c>
      <c r="F3003" s="18" t="s">
        <v>63</v>
      </c>
      <c r="G3003" s="18" t="s">
        <v>2250</v>
      </c>
      <c r="H3003" s="34" t="s">
        <v>85</v>
      </c>
      <c r="I3003" s="18" t="s">
        <v>2154</v>
      </c>
      <c r="J3003" s="31" t="s">
        <v>105</v>
      </c>
      <c r="K3003" s="31"/>
      <c r="N3003" s="13" t="s">
        <v>30</v>
      </c>
      <c r="O3003" s="28" t="str">
        <f>IF(D3003="","",IF(COUNTIF(离职清单!C:C,D3003)&gt;0,"已离职","在职"))</f>
        <v>在职</v>
      </c>
      <c r="P3003" s="28" t="str">
        <f>IF(AND(O3003="在职",J3003="是"),COUNTIF(O$2:O3003,"在职"),"")</f>
        <v/>
      </c>
    </row>
    <row r="3004" ht="18" spans="1:16">
      <c r="A3004" s="10">
        <f t="shared" si="52"/>
        <v>3003</v>
      </c>
      <c r="B3004" s="31">
        <v>46182</v>
      </c>
      <c r="C3004" s="32" t="s">
        <v>2825</v>
      </c>
      <c r="D3004" s="120" t="s">
        <v>492</v>
      </c>
      <c r="E3004" s="33" t="s">
        <v>43</v>
      </c>
      <c r="F3004" s="18" t="s">
        <v>63</v>
      </c>
      <c r="G3004" s="18" t="s">
        <v>148</v>
      </c>
      <c r="H3004" s="34" t="s">
        <v>85</v>
      </c>
      <c r="I3004" s="18" t="s">
        <v>2154</v>
      </c>
      <c r="J3004" s="31" t="s">
        <v>105</v>
      </c>
      <c r="K3004" s="31"/>
      <c r="N3004" s="13" t="s">
        <v>30</v>
      </c>
      <c r="O3004" s="28" t="str">
        <f>IF(D3004="","",IF(COUNTIF(离职清单!C:C,D3004)&gt;0,"已离职","在职"))</f>
        <v>在职</v>
      </c>
      <c r="P3004" s="28" t="str">
        <f>IF(AND(O3004="在职",J3004="是"),COUNTIF(O$2:O3004,"在职"),"")</f>
        <v/>
      </c>
    </row>
    <row r="3005" ht="18" spans="1:16">
      <c r="A3005" s="14">
        <f t="shared" si="52"/>
        <v>3004</v>
      </c>
      <c r="B3005" s="31">
        <v>46182</v>
      </c>
      <c r="C3005" s="32" t="s">
        <v>2826</v>
      </c>
      <c r="D3005" s="120" t="s">
        <v>477</v>
      </c>
      <c r="E3005" s="33" t="s">
        <v>43</v>
      </c>
      <c r="F3005" s="18" t="s">
        <v>63</v>
      </c>
      <c r="G3005" s="18" t="s">
        <v>148</v>
      </c>
      <c r="H3005" s="34" t="s">
        <v>85</v>
      </c>
      <c r="I3005" s="18" t="s">
        <v>105</v>
      </c>
      <c r="J3005" s="31" t="s">
        <v>105</v>
      </c>
      <c r="K3005" s="31"/>
      <c r="N3005" s="13" t="s">
        <v>30</v>
      </c>
      <c r="O3005" s="28" t="str">
        <f>IF(D3005="","",IF(COUNTIF(离职清单!C:C,D3005)&gt;0,"已离职","在职"))</f>
        <v>在职</v>
      </c>
      <c r="P3005" s="28" t="str">
        <f>IF(AND(O3005="在职",J3005="是"),COUNTIF(O$2:O3005,"在职"),"")</f>
        <v/>
      </c>
    </row>
    <row r="3006" ht="18" spans="1:16">
      <c r="A3006" s="10">
        <f t="shared" si="52"/>
        <v>3005</v>
      </c>
      <c r="B3006" s="31">
        <v>46182</v>
      </c>
      <c r="C3006" s="32" t="s">
        <v>2827</v>
      </c>
      <c r="D3006" s="120" t="s">
        <v>478</v>
      </c>
      <c r="E3006" s="33" t="s">
        <v>43</v>
      </c>
      <c r="F3006" s="18" t="s">
        <v>62</v>
      </c>
      <c r="G3006" s="18" t="s">
        <v>148</v>
      </c>
      <c r="H3006" s="34" t="s">
        <v>85</v>
      </c>
      <c r="I3006" s="18" t="s">
        <v>2154</v>
      </c>
      <c r="J3006" s="31" t="s">
        <v>105</v>
      </c>
      <c r="K3006" s="31"/>
      <c r="N3006" s="13" t="s">
        <v>30</v>
      </c>
      <c r="O3006" s="28" t="str">
        <f>IF(D3006="","",IF(COUNTIF(离职清单!C:C,D3006)&gt;0,"已离职","在职"))</f>
        <v>在职</v>
      </c>
      <c r="P3006" s="28" t="str">
        <f>IF(AND(O3006="在职",J3006="是"),COUNTIF(O$2:O3006,"在职"),"")</f>
        <v/>
      </c>
    </row>
    <row r="3007" ht="18" spans="1:16">
      <c r="A3007" s="14">
        <f t="shared" si="52"/>
        <v>3006</v>
      </c>
      <c r="B3007" s="31">
        <v>46182</v>
      </c>
      <c r="C3007" s="32" t="s">
        <v>2828</v>
      </c>
      <c r="D3007" s="120" t="s">
        <v>480</v>
      </c>
      <c r="E3007" s="33" t="s">
        <v>43</v>
      </c>
      <c r="F3007" s="18" t="s">
        <v>63</v>
      </c>
      <c r="G3007" s="18" t="s">
        <v>124</v>
      </c>
      <c r="H3007" s="34" t="s">
        <v>85</v>
      </c>
      <c r="I3007" s="18" t="s">
        <v>114</v>
      </c>
      <c r="J3007" s="31" t="s">
        <v>114</v>
      </c>
      <c r="K3007" s="31">
        <v>46184</v>
      </c>
      <c r="N3007" s="13" t="s">
        <v>30</v>
      </c>
      <c r="O3007" s="28" t="str">
        <f>IF(D3007="","",IF(COUNTIF(离职清单!C:C,D3007)&gt;0,"已离职","在职"))</f>
        <v>在职</v>
      </c>
      <c r="P3007" s="28">
        <f>IF(AND(O3007="在职",J3007="是"),COUNTIF(O$2:O3007,"在职"),"")</f>
        <v>3000</v>
      </c>
    </row>
    <row r="3008" ht="18" spans="1:16">
      <c r="A3008" s="10">
        <f t="shared" si="52"/>
        <v>3007</v>
      </c>
      <c r="B3008" s="31">
        <v>46182</v>
      </c>
      <c r="C3008" s="32" t="s">
        <v>2829</v>
      </c>
      <c r="D3008" s="120" t="s">
        <v>482</v>
      </c>
      <c r="E3008" s="33" t="s">
        <v>43</v>
      </c>
      <c r="F3008" s="18" t="s">
        <v>63</v>
      </c>
      <c r="G3008" s="18" t="s">
        <v>124</v>
      </c>
      <c r="H3008" s="34" t="s">
        <v>85</v>
      </c>
      <c r="I3008" s="18" t="s">
        <v>114</v>
      </c>
      <c r="J3008" s="31" t="s">
        <v>114</v>
      </c>
      <c r="K3008" s="31">
        <v>46184</v>
      </c>
      <c r="N3008" s="13" t="s">
        <v>30</v>
      </c>
      <c r="O3008" s="28" t="str">
        <f>IF(D3008="","",IF(COUNTIF(离职清单!C:C,D3008)&gt;0,"已离职","在职"))</f>
        <v>在职</v>
      </c>
      <c r="P3008" s="28">
        <f>IF(AND(O3008="在职",J3008="是"),COUNTIF(O$2:O3008,"在职"),"")</f>
        <v>3001</v>
      </c>
    </row>
    <row r="3009" ht="18" spans="1:16">
      <c r="A3009" s="14">
        <f t="shared" si="52"/>
        <v>3008</v>
      </c>
      <c r="B3009" s="31">
        <v>46182</v>
      </c>
      <c r="C3009" s="32" t="s">
        <v>2830</v>
      </c>
      <c r="D3009" s="120" t="s">
        <v>484</v>
      </c>
      <c r="E3009" s="33" t="s">
        <v>43</v>
      </c>
      <c r="F3009" s="18" t="s">
        <v>62</v>
      </c>
      <c r="G3009" s="18" t="s">
        <v>124</v>
      </c>
      <c r="H3009" s="34" t="s">
        <v>85</v>
      </c>
      <c r="I3009" s="18" t="s">
        <v>2154</v>
      </c>
      <c r="J3009" s="31" t="s">
        <v>105</v>
      </c>
      <c r="K3009" s="31"/>
      <c r="N3009" s="13" t="s">
        <v>30</v>
      </c>
      <c r="O3009" s="28" t="str">
        <f>IF(D3009="","",IF(COUNTIF(离职清单!C:C,D3009)&gt;0,"已离职","在职"))</f>
        <v>在职</v>
      </c>
      <c r="P3009" s="28" t="str">
        <f>IF(AND(O3009="在职",J3009="是"),COUNTIF(O$2:O3009,"在职"),"")</f>
        <v/>
      </c>
    </row>
    <row r="3010" ht="18" spans="1:16">
      <c r="A3010" s="10">
        <f t="shared" si="52"/>
        <v>3009</v>
      </c>
      <c r="B3010" s="31">
        <v>46182</v>
      </c>
      <c r="C3010" s="32" t="s">
        <v>2831</v>
      </c>
      <c r="D3010" s="120" t="s">
        <v>486</v>
      </c>
      <c r="E3010" s="33" t="s">
        <v>43</v>
      </c>
      <c r="F3010" s="18" t="s">
        <v>63</v>
      </c>
      <c r="G3010" s="18" t="s">
        <v>148</v>
      </c>
      <c r="H3010" s="34" t="s">
        <v>85</v>
      </c>
      <c r="I3010" s="18" t="s">
        <v>2154</v>
      </c>
      <c r="J3010" s="31" t="s">
        <v>105</v>
      </c>
      <c r="K3010" s="31"/>
      <c r="N3010" s="13" t="s">
        <v>30</v>
      </c>
      <c r="O3010" s="28" t="str">
        <f>IF(D3010="","",IF(COUNTIF(离职清单!C:C,D3010)&gt;0,"已离职","在职"))</f>
        <v>在职</v>
      </c>
      <c r="P3010" s="28" t="str">
        <f>IF(AND(O3010="在职",J3010="是"),COUNTIF(O$2:O3010,"在职"),"")</f>
        <v/>
      </c>
    </row>
    <row r="3011" ht="18" spans="1:16">
      <c r="A3011" s="14">
        <f t="shared" si="52"/>
        <v>3010</v>
      </c>
      <c r="B3011" s="31">
        <v>46182</v>
      </c>
      <c r="C3011" s="32" t="s">
        <v>2832</v>
      </c>
      <c r="D3011" s="120" t="s">
        <v>488</v>
      </c>
      <c r="E3011" s="33" t="s">
        <v>43</v>
      </c>
      <c r="F3011" s="18" t="s">
        <v>62</v>
      </c>
      <c r="G3011" s="18" t="s">
        <v>148</v>
      </c>
      <c r="H3011" s="34" t="s">
        <v>85</v>
      </c>
      <c r="I3011" s="18" t="s">
        <v>2154</v>
      </c>
      <c r="J3011" s="31" t="s">
        <v>105</v>
      </c>
      <c r="K3011" s="31"/>
      <c r="N3011" s="13" t="s">
        <v>30</v>
      </c>
      <c r="O3011" s="28" t="str">
        <f>IF(D3011="","",IF(COUNTIF(离职清单!C:C,D3011)&gt;0,"已离职","在职"))</f>
        <v>在职</v>
      </c>
      <c r="P3011" s="28" t="str">
        <f>IF(AND(O3011="在职",J3011="是"),COUNTIF(O$2:O3011,"在职"),"")</f>
        <v/>
      </c>
    </row>
    <row r="3012" ht="18" spans="1:16">
      <c r="A3012" s="10">
        <f t="shared" si="52"/>
        <v>3011</v>
      </c>
      <c r="B3012" s="31">
        <v>46182</v>
      </c>
      <c r="C3012" s="32" t="s">
        <v>2833</v>
      </c>
      <c r="D3012" s="120" t="s">
        <v>490</v>
      </c>
      <c r="E3012" s="33" t="s">
        <v>43</v>
      </c>
      <c r="F3012" s="18" t="s">
        <v>63</v>
      </c>
      <c r="G3012" s="18" t="s">
        <v>148</v>
      </c>
      <c r="H3012" s="34" t="s">
        <v>85</v>
      </c>
      <c r="I3012" s="18" t="s">
        <v>105</v>
      </c>
      <c r="J3012" s="31" t="s">
        <v>105</v>
      </c>
      <c r="K3012" s="31"/>
      <c r="N3012" s="13" t="s">
        <v>30</v>
      </c>
      <c r="O3012" s="28" t="str">
        <f>IF(D3012="","",IF(COUNTIF(离职清单!C:C,D3012)&gt;0,"已离职","在职"))</f>
        <v>在职</v>
      </c>
      <c r="P3012" s="28" t="str">
        <f>IF(AND(O3012="在职",J3012="是"),COUNTIF(O$2:O3012,"在职"),"")</f>
        <v/>
      </c>
    </row>
    <row r="3013" ht="18" spans="1:16">
      <c r="A3013" s="14">
        <f t="shared" si="52"/>
        <v>3012</v>
      </c>
      <c r="B3013" s="31">
        <v>46182</v>
      </c>
      <c r="C3013" s="32" t="s">
        <v>1647</v>
      </c>
      <c r="D3013" s="120" t="s">
        <v>492</v>
      </c>
      <c r="E3013" s="33" t="s">
        <v>43</v>
      </c>
      <c r="F3013" s="18" t="s">
        <v>62</v>
      </c>
      <c r="G3013" s="18" t="s">
        <v>148</v>
      </c>
      <c r="H3013" s="34" t="s">
        <v>85</v>
      </c>
      <c r="I3013" s="18" t="s">
        <v>114</v>
      </c>
      <c r="J3013" s="31" t="s">
        <v>105</v>
      </c>
      <c r="K3013" s="31"/>
      <c r="N3013" s="13" t="s">
        <v>30</v>
      </c>
      <c r="O3013" s="28" t="str">
        <f>IF(D3013="","",IF(COUNTIF(离职清单!C:C,D3013)&gt;0,"已离职","在职"))</f>
        <v>在职</v>
      </c>
      <c r="P3013" s="28" t="str">
        <f>IF(AND(O3013="在职",J3013="是"),COUNTIF(O$2:O3013,"在职"),"")</f>
        <v/>
      </c>
    </row>
    <row r="3014" ht="18" spans="1:16">
      <c r="A3014" s="10">
        <f t="shared" si="52"/>
        <v>3013</v>
      </c>
      <c r="B3014" s="31">
        <v>46182</v>
      </c>
      <c r="C3014" s="32" t="s">
        <v>2834</v>
      </c>
      <c r="D3014" s="120" t="s">
        <v>477</v>
      </c>
      <c r="E3014" s="33" t="s">
        <v>43</v>
      </c>
      <c r="F3014" s="18" t="s">
        <v>63</v>
      </c>
      <c r="G3014" s="18" t="s">
        <v>2156</v>
      </c>
      <c r="H3014" s="34" t="s">
        <v>85</v>
      </c>
      <c r="I3014" s="18" t="s">
        <v>105</v>
      </c>
      <c r="J3014" s="31" t="s">
        <v>105</v>
      </c>
      <c r="K3014" s="31"/>
      <c r="N3014" s="13" t="s">
        <v>30</v>
      </c>
      <c r="O3014" s="28" t="str">
        <f>IF(D3014="","",IF(COUNTIF(离职清单!C:C,D3014)&gt;0,"已离职","在职"))</f>
        <v>在职</v>
      </c>
      <c r="P3014" s="28" t="str">
        <f>IF(AND(O3014="在职",J3014="是"),COUNTIF(O$2:O3014,"在职"),"")</f>
        <v/>
      </c>
    </row>
    <row r="3015" ht="18" spans="1:16">
      <c r="A3015" s="14">
        <f t="shared" si="52"/>
        <v>3014</v>
      </c>
      <c r="B3015" s="31">
        <v>46182</v>
      </c>
      <c r="C3015" s="32" t="s">
        <v>2835</v>
      </c>
      <c r="D3015" s="120" t="s">
        <v>478</v>
      </c>
      <c r="E3015" s="33" t="s">
        <v>43</v>
      </c>
      <c r="F3015" s="18" t="s">
        <v>62</v>
      </c>
      <c r="G3015" s="18" t="s">
        <v>2156</v>
      </c>
      <c r="H3015" s="34" t="s">
        <v>85</v>
      </c>
      <c r="I3015" s="18" t="s">
        <v>105</v>
      </c>
      <c r="J3015" s="31" t="s">
        <v>105</v>
      </c>
      <c r="K3015" s="31"/>
      <c r="N3015" s="13" t="s">
        <v>30</v>
      </c>
      <c r="O3015" s="28" t="str">
        <f>IF(D3015="","",IF(COUNTIF(离职清单!C:C,D3015)&gt;0,"已离职","在职"))</f>
        <v>在职</v>
      </c>
      <c r="P3015" s="28" t="str">
        <f>IF(AND(O3015="在职",J3015="是"),COUNTIF(O$2:O3015,"在职"),"")</f>
        <v/>
      </c>
    </row>
    <row r="3016" ht="18" spans="1:16">
      <c r="A3016" s="10">
        <f t="shared" si="52"/>
        <v>3015</v>
      </c>
      <c r="B3016" s="31">
        <v>46182</v>
      </c>
      <c r="C3016" s="32" t="s">
        <v>2590</v>
      </c>
      <c r="D3016" s="120" t="s">
        <v>480</v>
      </c>
      <c r="E3016" s="33" t="s">
        <v>43</v>
      </c>
      <c r="F3016" s="18" t="s">
        <v>62</v>
      </c>
      <c r="G3016" s="18" t="s">
        <v>148</v>
      </c>
      <c r="H3016" s="34" t="s">
        <v>85</v>
      </c>
      <c r="I3016" s="18" t="s">
        <v>2154</v>
      </c>
      <c r="J3016" s="31" t="s">
        <v>105</v>
      </c>
      <c r="K3016" s="31"/>
      <c r="N3016" s="13" t="s">
        <v>30</v>
      </c>
      <c r="O3016" s="28" t="str">
        <f>IF(D3016="","",IF(COUNTIF(离职清单!C:C,D3016)&gt;0,"已离职","在职"))</f>
        <v>在职</v>
      </c>
      <c r="P3016" s="28" t="str">
        <f>IF(AND(O3016="在职",J3016="是"),COUNTIF(O$2:O3016,"在职"),"")</f>
        <v/>
      </c>
    </row>
    <row r="3017" ht="18" spans="1:16">
      <c r="A3017" s="14">
        <f t="shared" si="52"/>
        <v>3016</v>
      </c>
      <c r="B3017" s="31">
        <v>46182</v>
      </c>
      <c r="C3017" s="32" t="s">
        <v>2836</v>
      </c>
      <c r="D3017" s="120" t="s">
        <v>482</v>
      </c>
      <c r="E3017" s="33" t="s">
        <v>43</v>
      </c>
      <c r="F3017" s="18" t="s">
        <v>63</v>
      </c>
      <c r="G3017" s="18" t="s">
        <v>148</v>
      </c>
      <c r="H3017" s="34" t="s">
        <v>85</v>
      </c>
      <c r="I3017" s="18" t="s">
        <v>2154</v>
      </c>
      <c r="J3017" s="31" t="s">
        <v>105</v>
      </c>
      <c r="K3017" s="31"/>
      <c r="N3017" s="13" t="s">
        <v>30</v>
      </c>
      <c r="O3017" s="28" t="str">
        <f>IF(D3017="","",IF(COUNTIF(离职清单!C:C,D3017)&gt;0,"已离职","在职"))</f>
        <v>在职</v>
      </c>
      <c r="P3017" s="28" t="str">
        <f>IF(AND(O3017="在职",J3017="是"),COUNTIF(O$2:O3017,"在职"),"")</f>
        <v/>
      </c>
    </row>
    <row r="3018" ht="18" spans="1:16">
      <c r="A3018" s="10">
        <f t="shared" si="52"/>
        <v>3017</v>
      </c>
      <c r="B3018" s="31">
        <v>46182</v>
      </c>
      <c r="C3018" s="32" t="s">
        <v>2722</v>
      </c>
      <c r="D3018" s="120" t="s">
        <v>484</v>
      </c>
      <c r="E3018" s="33" t="s">
        <v>43</v>
      </c>
      <c r="F3018" s="18" t="s">
        <v>63</v>
      </c>
      <c r="G3018" s="18" t="s">
        <v>148</v>
      </c>
      <c r="H3018" s="34" t="s">
        <v>85</v>
      </c>
      <c r="I3018" s="18" t="s">
        <v>2154</v>
      </c>
      <c r="J3018" s="31" t="s">
        <v>105</v>
      </c>
      <c r="K3018" s="31"/>
      <c r="N3018" s="13" t="s">
        <v>30</v>
      </c>
      <c r="O3018" s="28" t="str">
        <f>IF(D3018="","",IF(COUNTIF(离职清单!C:C,D3018)&gt;0,"已离职","在职"))</f>
        <v>在职</v>
      </c>
      <c r="P3018" s="28" t="str">
        <f>IF(AND(O3018="在职",J3018="是"),COUNTIF(O$2:O3018,"在职"),"")</f>
        <v/>
      </c>
    </row>
    <row r="3019" ht="18" spans="1:16">
      <c r="A3019" s="14">
        <f t="shared" si="52"/>
        <v>3018</v>
      </c>
      <c r="B3019" s="31">
        <v>46182</v>
      </c>
      <c r="C3019" s="32" t="s">
        <v>1736</v>
      </c>
      <c r="D3019" s="120" t="s">
        <v>486</v>
      </c>
      <c r="E3019" s="33" t="s">
        <v>43</v>
      </c>
      <c r="F3019" s="18" t="s">
        <v>64</v>
      </c>
      <c r="G3019" s="18" t="s">
        <v>148</v>
      </c>
      <c r="H3019" s="34" t="s">
        <v>85</v>
      </c>
      <c r="I3019" s="18" t="s">
        <v>105</v>
      </c>
      <c r="J3019" s="31" t="s">
        <v>105</v>
      </c>
      <c r="K3019" s="31"/>
      <c r="N3019" s="13" t="s">
        <v>30</v>
      </c>
      <c r="O3019" s="28" t="str">
        <f>IF(D3019="","",IF(COUNTIF(离职清单!C:C,D3019)&gt;0,"已离职","在职"))</f>
        <v>在职</v>
      </c>
      <c r="P3019" s="28" t="str">
        <f>IF(AND(O3019="在职",J3019="是"),COUNTIF(O$2:O3019,"在职"),"")</f>
        <v/>
      </c>
    </row>
    <row r="3020" ht="18" spans="1:16">
      <c r="A3020" s="10">
        <f t="shared" si="52"/>
        <v>3019</v>
      </c>
      <c r="B3020" s="31">
        <v>46182</v>
      </c>
      <c r="C3020" s="32" t="s">
        <v>2723</v>
      </c>
      <c r="D3020" s="120" t="s">
        <v>488</v>
      </c>
      <c r="E3020" s="33" t="s">
        <v>43</v>
      </c>
      <c r="F3020" s="18" t="s">
        <v>62</v>
      </c>
      <c r="G3020" s="18" t="s">
        <v>148</v>
      </c>
      <c r="H3020" s="34" t="s">
        <v>85</v>
      </c>
      <c r="I3020" s="18" t="s">
        <v>105</v>
      </c>
      <c r="J3020" s="31" t="s">
        <v>105</v>
      </c>
      <c r="K3020" s="31"/>
      <c r="N3020" s="13" t="s">
        <v>30</v>
      </c>
      <c r="O3020" s="28" t="str">
        <f>IF(D3020="","",IF(COUNTIF(离职清单!C:C,D3020)&gt;0,"已离职","在职"))</f>
        <v>在职</v>
      </c>
      <c r="P3020" s="28" t="str">
        <f>IF(AND(O3020="在职",J3020="是"),COUNTIF(O$2:O3020,"在职"),"")</f>
        <v/>
      </c>
    </row>
    <row r="3021" ht="18" spans="1:16">
      <c r="A3021" s="14">
        <f t="shared" si="52"/>
        <v>3020</v>
      </c>
      <c r="B3021" s="31">
        <v>46183</v>
      </c>
      <c r="C3021" s="32" t="s">
        <v>2837</v>
      </c>
      <c r="D3021" s="120" t="s">
        <v>490</v>
      </c>
      <c r="E3021" s="33" t="s">
        <v>42</v>
      </c>
      <c r="F3021" s="18" t="s">
        <v>62</v>
      </c>
      <c r="G3021" s="18" t="s">
        <v>2181</v>
      </c>
      <c r="H3021" s="34" t="s">
        <v>85</v>
      </c>
      <c r="I3021" s="18" t="s">
        <v>2154</v>
      </c>
      <c r="J3021" s="31" t="s">
        <v>105</v>
      </c>
      <c r="K3021" s="31"/>
      <c r="N3021" s="13" t="s">
        <v>30</v>
      </c>
      <c r="O3021" s="28" t="str">
        <f>IF(D3021="","",IF(COUNTIF(离职清单!C:C,D3021)&gt;0,"已离职","在职"))</f>
        <v>在职</v>
      </c>
      <c r="P3021" s="28" t="str">
        <f>IF(AND(O3021="在职",J3021="是"),COUNTIF(O$2:O3021,"在职"),"")</f>
        <v/>
      </c>
    </row>
    <row r="3022" ht="18" spans="1:16">
      <c r="A3022" s="10">
        <f t="shared" si="52"/>
        <v>3021</v>
      </c>
      <c r="B3022" s="31">
        <v>46183</v>
      </c>
      <c r="C3022" s="32" t="s">
        <v>2838</v>
      </c>
      <c r="D3022" s="120" t="s">
        <v>492</v>
      </c>
      <c r="E3022" s="33" t="s">
        <v>42</v>
      </c>
      <c r="F3022" s="18" t="s">
        <v>62</v>
      </c>
      <c r="G3022" s="18" t="s">
        <v>1056</v>
      </c>
      <c r="H3022" s="34" t="s">
        <v>85</v>
      </c>
      <c r="I3022" s="18" t="s">
        <v>2154</v>
      </c>
      <c r="J3022" s="31" t="s">
        <v>105</v>
      </c>
      <c r="K3022" s="31"/>
      <c r="N3022" s="13" t="s">
        <v>30</v>
      </c>
      <c r="O3022" s="28" t="str">
        <f>IF(D3022="","",IF(COUNTIF(离职清单!C:C,D3022)&gt;0,"已离职","在职"))</f>
        <v>在职</v>
      </c>
      <c r="P3022" s="28" t="str">
        <f>IF(AND(O3022="在职",J3022="是"),COUNTIF(O$2:O3022,"在职"),"")</f>
        <v/>
      </c>
    </row>
    <row r="3023" ht="18" spans="1:16">
      <c r="A3023" s="14">
        <f t="shared" si="52"/>
        <v>3022</v>
      </c>
      <c r="B3023" s="31">
        <v>46183</v>
      </c>
      <c r="C3023" s="32" t="s">
        <v>2839</v>
      </c>
      <c r="D3023" s="120" t="s">
        <v>477</v>
      </c>
      <c r="E3023" s="33" t="s">
        <v>42</v>
      </c>
      <c r="F3023" s="18" t="s">
        <v>63</v>
      </c>
      <c r="G3023" s="18" t="s">
        <v>1056</v>
      </c>
      <c r="H3023" s="34" t="s">
        <v>85</v>
      </c>
      <c r="I3023" s="18" t="s">
        <v>2154</v>
      </c>
      <c r="J3023" s="31" t="s">
        <v>105</v>
      </c>
      <c r="K3023" s="31"/>
      <c r="N3023" s="13" t="s">
        <v>30</v>
      </c>
      <c r="O3023" s="28" t="str">
        <f>IF(D3023="","",IF(COUNTIF(离职清单!C:C,D3023)&gt;0,"已离职","在职"))</f>
        <v>在职</v>
      </c>
      <c r="P3023" s="28" t="str">
        <f>IF(AND(O3023="在职",J3023="是"),COUNTIF(O$2:O3023,"在职"),"")</f>
        <v/>
      </c>
    </row>
    <row r="3024" ht="18" spans="1:16">
      <c r="A3024" s="10">
        <f t="shared" si="52"/>
        <v>3023</v>
      </c>
      <c r="B3024" s="31">
        <v>46183</v>
      </c>
      <c r="C3024" s="32" t="s">
        <v>2839</v>
      </c>
      <c r="D3024" s="120" t="s">
        <v>478</v>
      </c>
      <c r="E3024" s="33" t="s">
        <v>42</v>
      </c>
      <c r="F3024" s="18" t="s">
        <v>63</v>
      </c>
      <c r="G3024" s="18" t="s">
        <v>1056</v>
      </c>
      <c r="H3024" s="34" t="s">
        <v>85</v>
      </c>
      <c r="I3024" s="18" t="s">
        <v>2154</v>
      </c>
      <c r="J3024" s="31" t="s">
        <v>105</v>
      </c>
      <c r="K3024" s="31"/>
      <c r="N3024" s="13" t="s">
        <v>30</v>
      </c>
      <c r="O3024" s="28" t="str">
        <f>IF(D3024="","",IF(COUNTIF(离职清单!C:C,D3024)&gt;0,"已离职","在职"))</f>
        <v>在职</v>
      </c>
      <c r="P3024" s="28" t="str">
        <f>IF(AND(O3024="在职",J3024="是"),COUNTIF(O$2:O3024,"在职"),"")</f>
        <v/>
      </c>
    </row>
    <row r="3025" ht="18" spans="1:16">
      <c r="A3025" s="14">
        <f t="shared" si="52"/>
        <v>3024</v>
      </c>
      <c r="B3025" s="31">
        <v>46183</v>
      </c>
      <c r="C3025" s="32" t="s">
        <v>2838</v>
      </c>
      <c r="D3025" s="120" t="s">
        <v>480</v>
      </c>
      <c r="E3025" s="33" t="s">
        <v>42</v>
      </c>
      <c r="F3025" s="18" t="s">
        <v>62</v>
      </c>
      <c r="G3025" s="18" t="s">
        <v>1056</v>
      </c>
      <c r="H3025" s="34" t="s">
        <v>85</v>
      </c>
      <c r="I3025" s="18" t="s">
        <v>2154</v>
      </c>
      <c r="J3025" s="31" t="s">
        <v>105</v>
      </c>
      <c r="K3025" s="31"/>
      <c r="N3025" s="13" t="s">
        <v>30</v>
      </c>
      <c r="O3025" s="28" t="str">
        <f>IF(D3025="","",IF(COUNTIF(离职清单!C:C,D3025)&gt;0,"已离职","在职"))</f>
        <v>在职</v>
      </c>
      <c r="P3025" s="28" t="str">
        <f>IF(AND(O3025="在职",J3025="是"),COUNTIF(O$2:O3025,"在职"),"")</f>
        <v/>
      </c>
    </row>
    <row r="3026" ht="18" spans="1:16">
      <c r="A3026" s="10">
        <f t="shared" si="52"/>
        <v>3025</v>
      </c>
      <c r="B3026" s="31">
        <v>46183</v>
      </c>
      <c r="C3026" s="32" t="s">
        <v>2840</v>
      </c>
      <c r="D3026" s="120" t="s">
        <v>482</v>
      </c>
      <c r="E3026" s="33" t="s">
        <v>42</v>
      </c>
      <c r="F3026" s="18" t="s">
        <v>63</v>
      </c>
      <c r="G3026" s="18" t="s">
        <v>129</v>
      </c>
      <c r="H3026" s="34" t="s">
        <v>85</v>
      </c>
      <c r="I3026" s="18" t="s">
        <v>2154</v>
      </c>
      <c r="J3026" s="31" t="s">
        <v>105</v>
      </c>
      <c r="K3026" s="31"/>
      <c r="N3026" s="13" t="s">
        <v>30</v>
      </c>
      <c r="O3026" s="28" t="str">
        <f>IF(D3026="","",IF(COUNTIF(离职清单!C:C,D3026)&gt;0,"已离职","在职"))</f>
        <v>在职</v>
      </c>
      <c r="P3026" s="28" t="str">
        <f>IF(AND(O3026="在职",J3026="是"),COUNTIF(O$2:O3026,"在职"),"")</f>
        <v/>
      </c>
    </row>
    <row r="3027" ht="18" spans="1:16">
      <c r="A3027" s="14">
        <f t="shared" si="52"/>
        <v>3026</v>
      </c>
      <c r="B3027" s="31">
        <v>46183</v>
      </c>
      <c r="C3027" s="32" t="s">
        <v>2841</v>
      </c>
      <c r="D3027" s="120" t="s">
        <v>484</v>
      </c>
      <c r="E3027" s="33" t="s">
        <v>42</v>
      </c>
      <c r="F3027" s="18" t="s">
        <v>63</v>
      </c>
      <c r="G3027" s="18" t="s">
        <v>129</v>
      </c>
      <c r="H3027" s="34" t="s">
        <v>85</v>
      </c>
      <c r="I3027" s="18" t="s">
        <v>2154</v>
      </c>
      <c r="J3027" s="31" t="s">
        <v>105</v>
      </c>
      <c r="K3027" s="31"/>
      <c r="N3027" s="13" t="s">
        <v>30</v>
      </c>
      <c r="O3027" s="28" t="str">
        <f>IF(D3027="","",IF(COUNTIF(离职清单!C:C,D3027)&gt;0,"已离职","在职"))</f>
        <v>在职</v>
      </c>
      <c r="P3027" s="28" t="str">
        <f>IF(AND(O3027="在职",J3027="是"),COUNTIF(O$2:O3027,"在职"),"")</f>
        <v/>
      </c>
    </row>
    <row r="3028" ht="18" spans="1:16">
      <c r="A3028" s="10">
        <f t="shared" si="52"/>
        <v>3027</v>
      </c>
      <c r="B3028" s="31">
        <v>46183</v>
      </c>
      <c r="C3028" s="32" t="s">
        <v>2763</v>
      </c>
      <c r="D3028" s="120" t="s">
        <v>486</v>
      </c>
      <c r="E3028" s="33" t="s">
        <v>42</v>
      </c>
      <c r="F3028" s="18" t="s">
        <v>63</v>
      </c>
      <c r="G3028" s="18" t="s">
        <v>129</v>
      </c>
      <c r="H3028" s="34" t="s">
        <v>85</v>
      </c>
      <c r="I3028" s="18" t="s">
        <v>2154</v>
      </c>
      <c r="J3028" s="31" t="s">
        <v>105</v>
      </c>
      <c r="K3028" s="31"/>
      <c r="N3028" s="13" t="s">
        <v>30</v>
      </c>
      <c r="O3028" s="28" t="str">
        <f>IF(D3028="","",IF(COUNTIF(离职清单!C:C,D3028)&gt;0,"已离职","在职"))</f>
        <v>在职</v>
      </c>
      <c r="P3028" s="28" t="str">
        <f>IF(AND(O3028="在职",J3028="是"),COUNTIF(O$2:O3028,"在职"),"")</f>
        <v/>
      </c>
    </row>
    <row r="3029" ht="18" spans="1:16">
      <c r="A3029" s="14">
        <f t="shared" si="52"/>
        <v>3028</v>
      </c>
      <c r="B3029" s="31">
        <v>46183</v>
      </c>
      <c r="C3029" s="32" t="s">
        <v>2842</v>
      </c>
      <c r="D3029" s="120" t="s">
        <v>488</v>
      </c>
      <c r="E3029" s="33" t="s">
        <v>42</v>
      </c>
      <c r="F3029" s="18" t="s">
        <v>63</v>
      </c>
      <c r="G3029" s="18" t="s">
        <v>2232</v>
      </c>
      <c r="H3029" s="34" t="s">
        <v>85</v>
      </c>
      <c r="I3029" s="18" t="s">
        <v>114</v>
      </c>
      <c r="J3029" s="31" t="s">
        <v>105</v>
      </c>
      <c r="K3029" s="31"/>
      <c r="N3029" s="13" t="s">
        <v>30</v>
      </c>
      <c r="O3029" s="28" t="str">
        <f>IF(D3029="","",IF(COUNTIF(离职清单!C:C,D3029)&gt;0,"已离职","在职"))</f>
        <v>在职</v>
      </c>
      <c r="P3029" s="28" t="str">
        <f>IF(AND(O3029="在职",J3029="是"),COUNTIF(O$2:O3029,"在职"),"")</f>
        <v/>
      </c>
    </row>
    <row r="3030" ht="18" spans="1:16">
      <c r="A3030" s="10">
        <f t="shared" si="52"/>
        <v>3029</v>
      </c>
      <c r="B3030" s="31">
        <v>46183</v>
      </c>
      <c r="C3030" s="32" t="s">
        <v>1771</v>
      </c>
      <c r="D3030" s="120" t="s">
        <v>490</v>
      </c>
      <c r="E3030" s="33" t="s">
        <v>42</v>
      </c>
      <c r="F3030" s="18" t="s">
        <v>62</v>
      </c>
      <c r="G3030" s="18" t="s">
        <v>2181</v>
      </c>
      <c r="H3030" s="34" t="s">
        <v>85</v>
      </c>
      <c r="I3030" s="18" t="s">
        <v>114</v>
      </c>
      <c r="J3030" s="31" t="s">
        <v>114</v>
      </c>
      <c r="K3030" s="31">
        <v>46187</v>
      </c>
      <c r="N3030" s="13" t="s">
        <v>30</v>
      </c>
      <c r="O3030" s="28" t="str">
        <f>IF(D3030="","",IF(COUNTIF(离职清单!C:C,D3030)&gt;0,"已离职","在职"))</f>
        <v>在职</v>
      </c>
      <c r="P3030" s="28">
        <f>IF(AND(O3030="在职",J3030="是"),COUNTIF(O$2:O3030,"在职"),"")</f>
        <v>3023</v>
      </c>
    </row>
    <row r="3031" ht="18" spans="1:16">
      <c r="A3031" s="14">
        <f t="shared" si="52"/>
        <v>3030</v>
      </c>
      <c r="B3031" s="31">
        <v>46183</v>
      </c>
      <c r="C3031" s="32" t="s">
        <v>1772</v>
      </c>
      <c r="D3031" s="120" t="s">
        <v>492</v>
      </c>
      <c r="E3031" s="33" t="s">
        <v>42</v>
      </c>
      <c r="F3031" s="18" t="s">
        <v>63</v>
      </c>
      <c r="G3031" s="18" t="s">
        <v>2181</v>
      </c>
      <c r="H3031" s="34" t="s">
        <v>85</v>
      </c>
      <c r="I3031" s="18" t="s">
        <v>114</v>
      </c>
      <c r="J3031" s="31" t="s">
        <v>114</v>
      </c>
      <c r="K3031" s="31">
        <v>46187</v>
      </c>
      <c r="N3031" s="13" t="s">
        <v>30</v>
      </c>
      <c r="O3031" s="28" t="str">
        <f>IF(D3031="","",IF(COUNTIF(离职清单!C:C,D3031)&gt;0,"已离职","在职"))</f>
        <v>在职</v>
      </c>
      <c r="P3031" s="28">
        <f>IF(AND(O3031="在职",J3031="是"),COUNTIF(O$2:O3031,"在职"),"")</f>
        <v>3024</v>
      </c>
    </row>
    <row r="3032" ht="18" spans="1:16">
      <c r="A3032" s="10">
        <f t="shared" si="52"/>
        <v>3031</v>
      </c>
      <c r="B3032" s="31">
        <v>46183</v>
      </c>
      <c r="C3032" s="32" t="s">
        <v>2843</v>
      </c>
      <c r="D3032" s="120" t="s">
        <v>477</v>
      </c>
      <c r="E3032" s="33" t="s">
        <v>42</v>
      </c>
      <c r="F3032" s="18" t="s">
        <v>62</v>
      </c>
      <c r="G3032" s="18" t="s">
        <v>2181</v>
      </c>
      <c r="H3032" s="34" t="s">
        <v>85</v>
      </c>
      <c r="I3032" s="18" t="s">
        <v>114</v>
      </c>
      <c r="J3032" s="31" t="s">
        <v>114</v>
      </c>
      <c r="K3032" s="31">
        <v>46185</v>
      </c>
      <c r="N3032" s="13" t="s">
        <v>30</v>
      </c>
      <c r="O3032" s="28" t="str">
        <f>IF(D3032="","",IF(COUNTIF(离职清单!C:C,D3032)&gt;0,"已离职","在职"))</f>
        <v>在职</v>
      </c>
      <c r="P3032" s="28">
        <f>IF(AND(O3032="在职",J3032="是"),COUNTIF(O$2:O3032,"在职"),"")</f>
        <v>3025</v>
      </c>
    </row>
    <row r="3033" ht="18" spans="1:16">
      <c r="A3033" s="14">
        <f t="shared" si="52"/>
        <v>3032</v>
      </c>
      <c r="B3033" s="31">
        <v>46183</v>
      </c>
      <c r="C3033" s="32" t="s">
        <v>2844</v>
      </c>
      <c r="D3033" s="120" t="s">
        <v>478</v>
      </c>
      <c r="E3033" s="33" t="s">
        <v>42</v>
      </c>
      <c r="F3033" s="18" t="s">
        <v>63</v>
      </c>
      <c r="G3033" s="18" t="s">
        <v>1056</v>
      </c>
      <c r="H3033" s="34" t="s">
        <v>85</v>
      </c>
      <c r="I3033" s="18" t="s">
        <v>114</v>
      </c>
      <c r="J3033" s="31" t="s">
        <v>114</v>
      </c>
      <c r="K3033" s="31">
        <v>46188</v>
      </c>
      <c r="N3033" s="13" t="s">
        <v>30</v>
      </c>
      <c r="O3033" s="28" t="str">
        <f>IF(D3033="","",IF(COUNTIF(离职清单!C:C,D3033)&gt;0,"已离职","在职"))</f>
        <v>在职</v>
      </c>
      <c r="P3033" s="28">
        <f>IF(AND(O3033="在职",J3033="是"),COUNTIF(O$2:O3033,"在职"),"")</f>
        <v>3026</v>
      </c>
    </row>
    <row r="3034" ht="18" spans="1:16">
      <c r="A3034" s="10">
        <f t="shared" si="52"/>
        <v>3033</v>
      </c>
      <c r="B3034" s="31">
        <v>46183</v>
      </c>
      <c r="C3034" s="32" t="s">
        <v>2845</v>
      </c>
      <c r="D3034" s="120" t="s">
        <v>480</v>
      </c>
      <c r="E3034" s="33" t="s">
        <v>42</v>
      </c>
      <c r="F3034" s="18" t="s">
        <v>63</v>
      </c>
      <c r="G3034" s="18" t="s">
        <v>1056</v>
      </c>
      <c r="H3034" s="34" t="s">
        <v>85</v>
      </c>
      <c r="I3034" s="18" t="s">
        <v>114</v>
      </c>
      <c r="J3034" s="31" t="s">
        <v>105</v>
      </c>
      <c r="K3034" s="31"/>
      <c r="N3034" s="13" t="s">
        <v>30</v>
      </c>
      <c r="O3034" s="28" t="str">
        <f>IF(D3034="","",IF(COUNTIF(离职清单!C:C,D3034)&gt;0,"已离职","在职"))</f>
        <v>在职</v>
      </c>
      <c r="P3034" s="28" t="str">
        <f>IF(AND(O3034="在职",J3034="是"),COUNTIF(O$2:O3034,"在职"),"")</f>
        <v/>
      </c>
    </row>
    <row r="3035" ht="18" spans="1:16">
      <c r="A3035" s="14">
        <f t="shared" si="52"/>
        <v>3034</v>
      </c>
      <c r="B3035" s="31">
        <v>46183</v>
      </c>
      <c r="C3035" s="32" t="s">
        <v>2846</v>
      </c>
      <c r="D3035" s="120" t="s">
        <v>482</v>
      </c>
      <c r="E3035" s="33" t="s">
        <v>42</v>
      </c>
      <c r="F3035" s="18" t="s">
        <v>63</v>
      </c>
      <c r="G3035" s="18" t="s">
        <v>1056</v>
      </c>
      <c r="H3035" s="34" t="s">
        <v>85</v>
      </c>
      <c r="I3035" s="18" t="s">
        <v>114</v>
      </c>
      <c r="J3035" s="31" t="s">
        <v>105</v>
      </c>
      <c r="K3035" s="31"/>
      <c r="N3035" s="13" t="s">
        <v>30</v>
      </c>
      <c r="O3035" s="28" t="str">
        <f>IF(D3035="","",IF(COUNTIF(离职清单!C:C,D3035)&gt;0,"已离职","在职"))</f>
        <v>在职</v>
      </c>
      <c r="P3035" s="28" t="str">
        <f>IF(AND(O3035="在职",J3035="是"),COUNTIF(O$2:O3035,"在职"),"")</f>
        <v/>
      </c>
    </row>
    <row r="3036" ht="18" spans="1:16">
      <c r="A3036" s="10">
        <f t="shared" si="52"/>
        <v>3035</v>
      </c>
      <c r="B3036" s="31">
        <v>46183</v>
      </c>
      <c r="C3036" s="32" t="s">
        <v>2847</v>
      </c>
      <c r="D3036" s="120" t="s">
        <v>484</v>
      </c>
      <c r="E3036" s="33" t="s">
        <v>42</v>
      </c>
      <c r="F3036" s="18" t="s">
        <v>62</v>
      </c>
      <c r="G3036" s="18" t="s">
        <v>1056</v>
      </c>
      <c r="H3036" s="34" t="s">
        <v>85</v>
      </c>
      <c r="I3036" s="18" t="s">
        <v>114</v>
      </c>
      <c r="J3036" s="31" t="s">
        <v>105</v>
      </c>
      <c r="K3036" s="31"/>
      <c r="N3036" s="13" t="s">
        <v>30</v>
      </c>
      <c r="O3036" s="28" t="str">
        <f>IF(D3036="","",IF(COUNTIF(离职清单!C:C,D3036)&gt;0,"已离职","在职"))</f>
        <v>在职</v>
      </c>
      <c r="P3036" s="28" t="str">
        <f>IF(AND(O3036="在职",J3036="是"),COUNTIF(O$2:O3036,"在职"),"")</f>
        <v/>
      </c>
    </row>
    <row r="3037" ht="18" spans="1:16">
      <c r="A3037" s="14">
        <f t="shared" si="52"/>
        <v>3036</v>
      </c>
      <c r="B3037" s="31">
        <v>46183</v>
      </c>
      <c r="C3037" s="32" t="s">
        <v>2848</v>
      </c>
      <c r="D3037" s="120" t="s">
        <v>486</v>
      </c>
      <c r="E3037" s="33" t="s">
        <v>42</v>
      </c>
      <c r="F3037" s="18" t="s">
        <v>63</v>
      </c>
      <c r="G3037" s="18" t="s">
        <v>129</v>
      </c>
      <c r="H3037" s="34" t="s">
        <v>85</v>
      </c>
      <c r="I3037" s="18" t="s">
        <v>114</v>
      </c>
      <c r="J3037" s="31" t="s">
        <v>105</v>
      </c>
      <c r="K3037" s="31"/>
      <c r="N3037" s="13" t="s">
        <v>30</v>
      </c>
      <c r="O3037" s="28" t="str">
        <f>IF(D3037="","",IF(COUNTIF(离职清单!C:C,D3037)&gt;0,"已离职","在职"))</f>
        <v>在职</v>
      </c>
      <c r="P3037" s="28" t="str">
        <f>IF(AND(O3037="在职",J3037="是"),COUNTIF(O$2:O3037,"在职"),"")</f>
        <v/>
      </c>
    </row>
    <row r="3038" ht="18" spans="1:16">
      <c r="A3038" s="10">
        <f t="shared" si="52"/>
        <v>3037</v>
      </c>
      <c r="B3038" s="31">
        <v>46183</v>
      </c>
      <c r="C3038" s="32" t="s">
        <v>2849</v>
      </c>
      <c r="D3038" s="120" t="s">
        <v>488</v>
      </c>
      <c r="E3038" s="33" t="s">
        <v>42</v>
      </c>
      <c r="F3038" s="18" t="s">
        <v>63</v>
      </c>
      <c r="G3038" s="18" t="s">
        <v>1056</v>
      </c>
      <c r="H3038" s="34" t="s">
        <v>85</v>
      </c>
      <c r="I3038" s="18" t="s">
        <v>105</v>
      </c>
      <c r="J3038" s="31" t="s">
        <v>105</v>
      </c>
      <c r="K3038" s="31"/>
      <c r="N3038" s="13" t="s">
        <v>30</v>
      </c>
      <c r="O3038" s="28" t="str">
        <f>IF(D3038="","",IF(COUNTIF(离职清单!C:C,D3038)&gt;0,"已离职","在职"))</f>
        <v>在职</v>
      </c>
      <c r="P3038" s="28" t="str">
        <f>IF(AND(O3038="在职",J3038="是"),COUNTIF(O$2:O3038,"在职"),"")</f>
        <v/>
      </c>
    </row>
    <row r="3039" ht="18" spans="1:16">
      <c r="A3039" s="14">
        <f t="shared" si="52"/>
        <v>3038</v>
      </c>
      <c r="B3039" s="31">
        <v>46183</v>
      </c>
      <c r="C3039" s="32" t="s">
        <v>2850</v>
      </c>
      <c r="D3039" s="120" t="s">
        <v>490</v>
      </c>
      <c r="E3039" s="33" t="s">
        <v>42</v>
      </c>
      <c r="F3039" s="18" t="s">
        <v>63</v>
      </c>
      <c r="G3039" s="18" t="s">
        <v>1056</v>
      </c>
      <c r="H3039" s="34" t="s">
        <v>85</v>
      </c>
      <c r="I3039" s="18" t="s">
        <v>105</v>
      </c>
      <c r="J3039" s="31" t="s">
        <v>105</v>
      </c>
      <c r="K3039" s="31"/>
      <c r="N3039" s="13" t="s">
        <v>30</v>
      </c>
      <c r="O3039" s="28" t="str">
        <f>IF(D3039="","",IF(COUNTIF(离职清单!C:C,D3039)&gt;0,"已离职","在职"))</f>
        <v>在职</v>
      </c>
      <c r="P3039" s="28" t="str">
        <f>IF(AND(O3039="在职",J3039="是"),COUNTIF(O$2:O3039,"在职"),"")</f>
        <v/>
      </c>
    </row>
    <row r="3040" ht="18" spans="1:16">
      <c r="A3040" s="10">
        <f t="shared" si="52"/>
        <v>3039</v>
      </c>
      <c r="B3040" s="31">
        <v>46183</v>
      </c>
      <c r="C3040" s="32" t="s">
        <v>2851</v>
      </c>
      <c r="D3040" s="120" t="s">
        <v>492</v>
      </c>
      <c r="E3040" s="33" t="s">
        <v>42</v>
      </c>
      <c r="F3040" s="18" t="s">
        <v>62</v>
      </c>
      <c r="G3040" s="18" t="s">
        <v>1056</v>
      </c>
      <c r="H3040" s="34" t="s">
        <v>85</v>
      </c>
      <c r="I3040" s="18" t="s">
        <v>105</v>
      </c>
      <c r="J3040" s="31" t="s">
        <v>105</v>
      </c>
      <c r="K3040" s="31"/>
      <c r="N3040" s="13" t="s">
        <v>30</v>
      </c>
      <c r="O3040" s="28" t="str">
        <f>IF(D3040="","",IF(COUNTIF(离职清单!C:C,D3040)&gt;0,"已离职","在职"))</f>
        <v>在职</v>
      </c>
      <c r="P3040" s="28" t="str">
        <f>IF(AND(O3040="在职",J3040="是"),COUNTIF(O$2:O3040,"在职"),"")</f>
        <v/>
      </c>
    </row>
    <row r="3041" ht="18" spans="1:16">
      <c r="A3041" s="14">
        <f t="shared" si="52"/>
        <v>3040</v>
      </c>
      <c r="B3041" s="31">
        <v>46183</v>
      </c>
      <c r="C3041" s="32" t="s">
        <v>2852</v>
      </c>
      <c r="D3041" s="120" t="s">
        <v>477</v>
      </c>
      <c r="E3041" s="33" t="s">
        <v>42</v>
      </c>
      <c r="F3041" s="18" t="s">
        <v>63</v>
      </c>
      <c r="G3041" s="18" t="s">
        <v>1056</v>
      </c>
      <c r="H3041" s="34" t="s">
        <v>85</v>
      </c>
      <c r="I3041" s="18" t="s">
        <v>105</v>
      </c>
      <c r="J3041" s="31" t="s">
        <v>105</v>
      </c>
      <c r="K3041" s="31"/>
      <c r="N3041" s="13" t="s">
        <v>30</v>
      </c>
      <c r="O3041" s="28" t="str">
        <f>IF(D3041="","",IF(COUNTIF(离职清单!C:C,D3041)&gt;0,"已离职","在职"))</f>
        <v>在职</v>
      </c>
      <c r="P3041" s="28" t="str">
        <f>IF(AND(O3041="在职",J3041="是"),COUNTIF(O$2:O3041,"在职"),"")</f>
        <v/>
      </c>
    </row>
    <row r="3042" ht="18" spans="1:16">
      <c r="A3042" s="10">
        <f t="shared" si="52"/>
        <v>3041</v>
      </c>
      <c r="B3042" s="31">
        <v>46183</v>
      </c>
      <c r="C3042" s="32" t="s">
        <v>2853</v>
      </c>
      <c r="D3042" s="120" t="s">
        <v>477</v>
      </c>
      <c r="E3042" s="33" t="s">
        <v>42</v>
      </c>
      <c r="F3042" s="18" t="s">
        <v>63</v>
      </c>
      <c r="G3042" s="18" t="s">
        <v>2221</v>
      </c>
      <c r="H3042" s="34" t="s">
        <v>85</v>
      </c>
      <c r="I3042" s="18" t="s">
        <v>105</v>
      </c>
      <c r="J3042" s="31" t="s">
        <v>105</v>
      </c>
      <c r="K3042" s="31"/>
      <c r="N3042" s="13" t="s">
        <v>30</v>
      </c>
      <c r="O3042" s="28" t="str">
        <f>IF(D3042="","",IF(COUNTIF(离职清单!C:C,D3042)&gt;0,"已离职","在职"))</f>
        <v>在职</v>
      </c>
      <c r="P3042" s="28" t="str">
        <f>IF(AND(O3042="在职",J3042="是"),COUNTIF(O$2:O3042,"在职"),"")</f>
        <v/>
      </c>
    </row>
    <row r="3043" ht="18" spans="1:16">
      <c r="A3043" s="14">
        <f t="shared" si="52"/>
        <v>3042</v>
      </c>
      <c r="B3043" s="31">
        <v>46183</v>
      </c>
      <c r="C3043" s="32" t="s">
        <v>2854</v>
      </c>
      <c r="D3043" s="120" t="s">
        <v>478</v>
      </c>
      <c r="E3043" s="33" t="s">
        <v>43</v>
      </c>
      <c r="F3043" s="18" t="s">
        <v>63</v>
      </c>
      <c r="G3043" s="18" t="s">
        <v>2164</v>
      </c>
      <c r="H3043" s="34" t="s">
        <v>85</v>
      </c>
      <c r="I3043" s="18" t="s">
        <v>105</v>
      </c>
      <c r="J3043" s="31" t="s">
        <v>105</v>
      </c>
      <c r="K3043" s="31"/>
      <c r="N3043" s="13" t="s">
        <v>30</v>
      </c>
      <c r="O3043" s="28" t="str">
        <f>IF(D3043="","",IF(COUNTIF(离职清单!C:C,D3043)&gt;0,"已离职","在职"))</f>
        <v>在职</v>
      </c>
      <c r="P3043" s="28" t="str">
        <f>IF(AND(O3043="在职",J3043="是"),COUNTIF(O$2:O3043,"在职"),"")</f>
        <v/>
      </c>
    </row>
    <row r="3044" ht="18" spans="1:16">
      <c r="A3044" s="10">
        <f t="shared" si="52"/>
        <v>3043</v>
      </c>
      <c r="B3044" s="31">
        <v>46183</v>
      </c>
      <c r="C3044" s="32" t="s">
        <v>2855</v>
      </c>
      <c r="D3044" s="120" t="s">
        <v>480</v>
      </c>
      <c r="E3044" s="33" t="s">
        <v>43</v>
      </c>
      <c r="F3044" s="18" t="s">
        <v>63</v>
      </c>
      <c r="G3044" s="18" t="s">
        <v>2164</v>
      </c>
      <c r="H3044" s="34" t="s">
        <v>85</v>
      </c>
      <c r="I3044" s="18" t="s">
        <v>105</v>
      </c>
      <c r="J3044" s="31" t="s">
        <v>105</v>
      </c>
      <c r="K3044" s="31"/>
      <c r="N3044" s="13" t="s">
        <v>30</v>
      </c>
      <c r="O3044" s="28" t="str">
        <f>IF(D3044="","",IF(COUNTIF(离职清单!C:C,D3044)&gt;0,"已离职","在职"))</f>
        <v>在职</v>
      </c>
      <c r="P3044" s="28" t="str">
        <f>IF(AND(O3044="在职",J3044="是"),COUNTIF(O$2:O3044,"在职"),"")</f>
        <v/>
      </c>
    </row>
    <row r="3045" ht="18" spans="1:16">
      <c r="A3045" s="14">
        <f t="shared" si="52"/>
        <v>3044</v>
      </c>
      <c r="B3045" s="31">
        <v>46183</v>
      </c>
      <c r="C3045" s="32" t="s">
        <v>2856</v>
      </c>
      <c r="D3045" s="120" t="s">
        <v>482</v>
      </c>
      <c r="E3045" s="33" t="s">
        <v>43</v>
      </c>
      <c r="F3045" s="18" t="s">
        <v>63</v>
      </c>
      <c r="G3045" s="18" t="s">
        <v>2232</v>
      </c>
      <c r="H3045" s="34" t="s">
        <v>85</v>
      </c>
      <c r="I3045" s="18" t="s">
        <v>105</v>
      </c>
      <c r="J3045" s="31" t="s">
        <v>105</v>
      </c>
      <c r="K3045" s="31"/>
      <c r="N3045" s="13" t="s">
        <v>30</v>
      </c>
      <c r="O3045" s="28" t="str">
        <f>IF(D3045="","",IF(COUNTIF(离职清单!C:C,D3045)&gt;0,"已离职","在职"))</f>
        <v>在职</v>
      </c>
      <c r="P3045" s="28" t="str">
        <f>IF(AND(O3045="在职",J3045="是"),COUNTIF(O$2:O3045,"在职"),"")</f>
        <v/>
      </c>
    </row>
    <row r="3046" ht="18" spans="1:16">
      <c r="A3046" s="10">
        <f t="shared" si="52"/>
        <v>3045</v>
      </c>
      <c r="B3046" s="31">
        <v>46183</v>
      </c>
      <c r="C3046" s="32" t="s">
        <v>2857</v>
      </c>
      <c r="D3046" s="120" t="s">
        <v>484</v>
      </c>
      <c r="E3046" s="33" t="s">
        <v>43</v>
      </c>
      <c r="F3046" s="18" t="s">
        <v>63</v>
      </c>
      <c r="G3046" s="18" t="s">
        <v>2164</v>
      </c>
      <c r="H3046" s="34" t="s">
        <v>85</v>
      </c>
      <c r="I3046" s="18" t="s">
        <v>2154</v>
      </c>
      <c r="J3046" s="31" t="s">
        <v>105</v>
      </c>
      <c r="K3046" s="31"/>
      <c r="N3046" s="13" t="s">
        <v>30</v>
      </c>
      <c r="O3046" s="28" t="str">
        <f>IF(D3046="","",IF(COUNTIF(离职清单!C:C,D3046)&gt;0,"已离职","在职"))</f>
        <v>在职</v>
      </c>
      <c r="P3046" s="28" t="str">
        <f>IF(AND(O3046="在职",J3046="是"),COUNTIF(O$2:O3046,"在职"),"")</f>
        <v/>
      </c>
    </row>
    <row r="3047" ht="18" spans="1:16">
      <c r="A3047" s="14">
        <f t="shared" si="52"/>
        <v>3046</v>
      </c>
      <c r="B3047" s="31">
        <v>46183</v>
      </c>
      <c r="C3047" s="32" t="s">
        <v>2858</v>
      </c>
      <c r="D3047" s="120" t="s">
        <v>486</v>
      </c>
      <c r="E3047" s="33" t="s">
        <v>43</v>
      </c>
      <c r="F3047" s="18" t="s">
        <v>63</v>
      </c>
      <c r="G3047" s="18" t="s">
        <v>2164</v>
      </c>
      <c r="H3047" s="34" t="s">
        <v>85</v>
      </c>
      <c r="I3047" s="18" t="s">
        <v>105</v>
      </c>
      <c r="J3047" s="31" t="s">
        <v>105</v>
      </c>
      <c r="K3047" s="31"/>
      <c r="N3047" s="13" t="s">
        <v>30</v>
      </c>
      <c r="O3047" s="28" t="str">
        <f>IF(D3047="","",IF(COUNTIF(离职清单!C:C,D3047)&gt;0,"已离职","在职"))</f>
        <v>在职</v>
      </c>
      <c r="P3047" s="28" t="str">
        <f>IF(AND(O3047="在职",J3047="是"),COUNTIF(O$2:O3047,"在职"),"")</f>
        <v/>
      </c>
    </row>
    <row r="3048" ht="18" spans="1:16">
      <c r="A3048" s="10">
        <f t="shared" si="52"/>
        <v>3047</v>
      </c>
      <c r="B3048" s="31">
        <v>46183</v>
      </c>
      <c r="C3048" s="32" t="s">
        <v>2859</v>
      </c>
      <c r="D3048" s="120" t="s">
        <v>488</v>
      </c>
      <c r="E3048" s="33" t="s">
        <v>43</v>
      </c>
      <c r="F3048" s="18" t="s">
        <v>62</v>
      </c>
      <c r="G3048" s="18" t="s">
        <v>129</v>
      </c>
      <c r="H3048" s="34" t="s">
        <v>85</v>
      </c>
      <c r="I3048" s="18" t="s">
        <v>105</v>
      </c>
      <c r="J3048" s="31" t="s">
        <v>105</v>
      </c>
      <c r="K3048" s="31"/>
      <c r="N3048" s="13" t="s">
        <v>30</v>
      </c>
      <c r="O3048" s="28" t="str">
        <f>IF(D3048="","",IF(COUNTIF(离职清单!C:C,D3048)&gt;0,"已离职","在职"))</f>
        <v>在职</v>
      </c>
      <c r="P3048" s="28" t="str">
        <f>IF(AND(O3048="在职",J3048="是"),COUNTIF(O$2:O3048,"在职"),"")</f>
        <v/>
      </c>
    </row>
    <row r="3049" ht="18" spans="1:16">
      <c r="A3049" s="14">
        <f t="shared" si="52"/>
        <v>3048</v>
      </c>
      <c r="B3049" s="31">
        <v>46183</v>
      </c>
      <c r="C3049" s="32" t="s">
        <v>2860</v>
      </c>
      <c r="D3049" s="120" t="s">
        <v>490</v>
      </c>
      <c r="E3049" s="33" t="s">
        <v>43</v>
      </c>
      <c r="F3049" s="18" t="s">
        <v>62</v>
      </c>
      <c r="G3049" s="18" t="s">
        <v>129</v>
      </c>
      <c r="H3049" s="34" t="s">
        <v>85</v>
      </c>
      <c r="I3049" s="18" t="s">
        <v>105</v>
      </c>
      <c r="J3049" s="31" t="s">
        <v>105</v>
      </c>
      <c r="K3049" s="31"/>
      <c r="N3049" s="13" t="s">
        <v>30</v>
      </c>
      <c r="O3049" s="28" t="str">
        <f>IF(D3049="","",IF(COUNTIF(离职清单!C:C,D3049)&gt;0,"已离职","在职"))</f>
        <v>在职</v>
      </c>
      <c r="P3049" s="28" t="str">
        <f>IF(AND(O3049="在职",J3049="是"),COUNTIF(O$2:O3049,"在职"),"")</f>
        <v/>
      </c>
    </row>
    <row r="3050" ht="18" spans="1:16">
      <c r="A3050" s="10">
        <f t="shared" si="52"/>
        <v>3049</v>
      </c>
      <c r="B3050" s="31">
        <v>46183</v>
      </c>
      <c r="C3050" s="32" t="s">
        <v>2861</v>
      </c>
      <c r="D3050" s="120" t="s">
        <v>492</v>
      </c>
      <c r="E3050" s="33" t="s">
        <v>43</v>
      </c>
      <c r="F3050" s="18" t="s">
        <v>62</v>
      </c>
      <c r="G3050" s="18" t="s">
        <v>148</v>
      </c>
      <c r="H3050" s="34" t="s">
        <v>85</v>
      </c>
      <c r="I3050" s="18" t="s">
        <v>105</v>
      </c>
      <c r="J3050" s="31" t="s">
        <v>105</v>
      </c>
      <c r="K3050" s="31"/>
      <c r="N3050" s="13" t="s">
        <v>30</v>
      </c>
      <c r="O3050" s="28" t="str">
        <f>IF(D3050="","",IF(COUNTIF(离职清单!C:C,D3050)&gt;0,"已离职","在职"))</f>
        <v>在职</v>
      </c>
      <c r="P3050" s="28" t="str">
        <f>IF(AND(O3050="在职",J3050="是"),COUNTIF(O$2:O3050,"在职"),"")</f>
        <v/>
      </c>
    </row>
    <row r="3051" ht="18" spans="1:16">
      <c r="A3051" s="14">
        <f t="shared" si="52"/>
        <v>3050</v>
      </c>
      <c r="B3051" s="31">
        <v>46183</v>
      </c>
      <c r="C3051" s="32" t="s">
        <v>2862</v>
      </c>
      <c r="D3051" s="120" t="s">
        <v>477</v>
      </c>
      <c r="E3051" s="33" t="s">
        <v>43</v>
      </c>
      <c r="F3051" s="18" t="s">
        <v>63</v>
      </c>
      <c r="G3051" s="18" t="s">
        <v>148</v>
      </c>
      <c r="H3051" s="34" t="s">
        <v>85</v>
      </c>
      <c r="I3051" s="18" t="s">
        <v>105</v>
      </c>
      <c r="J3051" s="31" t="s">
        <v>105</v>
      </c>
      <c r="K3051" s="31"/>
      <c r="N3051" s="13" t="s">
        <v>30</v>
      </c>
      <c r="O3051" s="28" t="str">
        <f>IF(D3051="","",IF(COUNTIF(离职清单!C:C,D3051)&gt;0,"已离职","在职"))</f>
        <v>在职</v>
      </c>
      <c r="P3051" s="28" t="str">
        <f>IF(AND(O3051="在职",J3051="是"),COUNTIF(O$2:O3051,"在职"),"")</f>
        <v/>
      </c>
    </row>
    <row r="3052" ht="18" spans="1:16">
      <c r="A3052" s="10">
        <f t="shared" ref="A3052:A3115" si="53">IF(B3052&lt;&gt;"",ROW()-1,"")</f>
        <v>3051</v>
      </c>
      <c r="B3052" s="31">
        <v>46183</v>
      </c>
      <c r="C3052" s="32" t="s">
        <v>2827</v>
      </c>
      <c r="D3052" s="120" t="s">
        <v>478</v>
      </c>
      <c r="E3052" s="33" t="s">
        <v>43</v>
      </c>
      <c r="F3052" s="18" t="s">
        <v>62</v>
      </c>
      <c r="G3052" s="18" t="s">
        <v>148</v>
      </c>
      <c r="H3052" s="34" t="s">
        <v>85</v>
      </c>
      <c r="I3052" s="18" t="s">
        <v>2154</v>
      </c>
      <c r="J3052" s="31" t="s">
        <v>105</v>
      </c>
      <c r="K3052" s="31"/>
      <c r="N3052" s="13" t="s">
        <v>30</v>
      </c>
      <c r="O3052" s="28" t="str">
        <f>IF(D3052="","",IF(COUNTIF(离职清单!C:C,D3052)&gt;0,"已离职","在职"))</f>
        <v>在职</v>
      </c>
      <c r="P3052" s="28" t="str">
        <f>IF(AND(O3052="在职",J3052="是"),COUNTIF(O$2:O3052,"在职"),"")</f>
        <v/>
      </c>
    </row>
    <row r="3053" ht="18" spans="1:16">
      <c r="A3053" s="14">
        <f t="shared" si="53"/>
        <v>3052</v>
      </c>
      <c r="B3053" s="31">
        <v>46183</v>
      </c>
      <c r="C3053" s="32" t="s">
        <v>2863</v>
      </c>
      <c r="D3053" s="120" t="s">
        <v>480</v>
      </c>
      <c r="E3053" s="33" t="s">
        <v>43</v>
      </c>
      <c r="F3053" s="18" t="s">
        <v>64</v>
      </c>
      <c r="G3053" s="18" t="s">
        <v>148</v>
      </c>
      <c r="H3053" s="34" t="s">
        <v>85</v>
      </c>
      <c r="I3053" s="18" t="s">
        <v>105</v>
      </c>
      <c r="J3053" s="31" t="s">
        <v>105</v>
      </c>
      <c r="K3053" s="31"/>
      <c r="N3053" s="13" t="s">
        <v>30</v>
      </c>
      <c r="O3053" s="28" t="str">
        <f>IF(D3053="","",IF(COUNTIF(离职清单!C:C,D3053)&gt;0,"已离职","在职"))</f>
        <v>在职</v>
      </c>
      <c r="P3053" s="28" t="str">
        <f>IF(AND(O3053="在职",J3053="是"),COUNTIF(O$2:O3053,"在职"),"")</f>
        <v/>
      </c>
    </row>
    <row r="3054" ht="18" spans="1:16">
      <c r="A3054" s="10">
        <f t="shared" si="53"/>
        <v>3053</v>
      </c>
      <c r="B3054" s="31">
        <v>46183</v>
      </c>
      <c r="C3054" s="32" t="s">
        <v>2864</v>
      </c>
      <c r="D3054" s="120" t="s">
        <v>482</v>
      </c>
      <c r="E3054" s="33" t="s">
        <v>43</v>
      </c>
      <c r="F3054" s="18" t="s">
        <v>63</v>
      </c>
      <c r="G3054" s="18" t="s">
        <v>148</v>
      </c>
      <c r="H3054" s="34" t="s">
        <v>85</v>
      </c>
      <c r="I3054" s="18" t="s">
        <v>2154</v>
      </c>
      <c r="J3054" s="31" t="s">
        <v>105</v>
      </c>
      <c r="K3054" s="31"/>
      <c r="N3054" s="13" t="s">
        <v>30</v>
      </c>
      <c r="O3054" s="28" t="str">
        <f>IF(D3054="","",IF(COUNTIF(离职清单!C:C,D3054)&gt;0,"已离职","在职"))</f>
        <v>在职</v>
      </c>
      <c r="P3054" s="28" t="str">
        <f>IF(AND(O3054="在职",J3054="是"),COUNTIF(O$2:O3054,"在职"),"")</f>
        <v/>
      </c>
    </row>
    <row r="3055" ht="18" spans="1:16">
      <c r="A3055" s="14">
        <f t="shared" si="53"/>
        <v>3054</v>
      </c>
      <c r="B3055" s="31">
        <v>46183</v>
      </c>
      <c r="C3055" s="32" t="s">
        <v>2827</v>
      </c>
      <c r="D3055" s="120" t="s">
        <v>484</v>
      </c>
      <c r="E3055" s="33" t="s">
        <v>43</v>
      </c>
      <c r="F3055" s="18" t="s">
        <v>62</v>
      </c>
      <c r="G3055" s="18" t="s">
        <v>2221</v>
      </c>
      <c r="H3055" s="34" t="s">
        <v>85</v>
      </c>
      <c r="I3055" s="18" t="s">
        <v>114</v>
      </c>
      <c r="J3055" s="31" t="s">
        <v>105</v>
      </c>
      <c r="K3055" s="31"/>
      <c r="N3055" s="13" t="s">
        <v>30</v>
      </c>
      <c r="O3055" s="28" t="str">
        <f>IF(D3055="","",IF(COUNTIF(离职清单!C:C,D3055)&gt;0,"已离职","在职"))</f>
        <v>在职</v>
      </c>
      <c r="P3055" s="28" t="str">
        <f>IF(AND(O3055="在职",J3055="是"),COUNTIF(O$2:O3055,"在职"),"")</f>
        <v/>
      </c>
    </row>
    <row r="3056" ht="18" spans="1:16">
      <c r="A3056" s="10">
        <f t="shared" si="53"/>
        <v>3055</v>
      </c>
      <c r="B3056" s="31">
        <v>46183</v>
      </c>
      <c r="C3056" s="32" t="s">
        <v>2865</v>
      </c>
      <c r="D3056" s="120" t="s">
        <v>486</v>
      </c>
      <c r="E3056" s="33" t="s">
        <v>43</v>
      </c>
      <c r="F3056" s="18" t="s">
        <v>63</v>
      </c>
      <c r="G3056" s="18" t="s">
        <v>2232</v>
      </c>
      <c r="H3056" s="34" t="s">
        <v>85</v>
      </c>
      <c r="I3056" s="18" t="s">
        <v>105</v>
      </c>
      <c r="J3056" s="31" t="s">
        <v>105</v>
      </c>
      <c r="K3056" s="31"/>
      <c r="N3056" s="13" t="s">
        <v>30</v>
      </c>
      <c r="O3056" s="28" t="str">
        <f>IF(D3056="","",IF(COUNTIF(离职清单!C:C,D3056)&gt;0,"已离职","在职"))</f>
        <v>在职</v>
      </c>
      <c r="P3056" s="28" t="str">
        <f>IF(AND(O3056="在职",J3056="是"),COUNTIF(O$2:O3056,"在职"),"")</f>
        <v/>
      </c>
    </row>
    <row r="3057" ht="18" spans="1:16">
      <c r="A3057" s="14">
        <f t="shared" si="53"/>
        <v>3056</v>
      </c>
      <c r="B3057" s="31">
        <v>46183</v>
      </c>
      <c r="C3057" s="32" t="s">
        <v>2822</v>
      </c>
      <c r="D3057" s="120" t="s">
        <v>488</v>
      </c>
      <c r="E3057" s="33" t="s">
        <v>43</v>
      </c>
      <c r="F3057" s="18" t="s">
        <v>63</v>
      </c>
      <c r="G3057" s="18" t="s">
        <v>2221</v>
      </c>
      <c r="H3057" s="34" t="s">
        <v>85</v>
      </c>
      <c r="I3057" s="18" t="s">
        <v>2154</v>
      </c>
      <c r="J3057" s="31" t="s">
        <v>105</v>
      </c>
      <c r="K3057" s="31"/>
      <c r="N3057" s="13" t="s">
        <v>30</v>
      </c>
      <c r="O3057" s="28" t="str">
        <f>IF(D3057="","",IF(COUNTIF(离职清单!C:C,D3057)&gt;0,"已离职","在职"))</f>
        <v>在职</v>
      </c>
      <c r="P3057" s="28" t="str">
        <f>IF(AND(O3057="在职",J3057="是"),COUNTIF(O$2:O3057,"在职"),"")</f>
        <v/>
      </c>
    </row>
    <row r="3058" ht="18" spans="1:16">
      <c r="A3058" s="10">
        <f t="shared" si="53"/>
        <v>3057</v>
      </c>
      <c r="B3058" s="31">
        <v>46183</v>
      </c>
      <c r="C3058" s="32" t="s">
        <v>2866</v>
      </c>
      <c r="D3058" s="120" t="s">
        <v>490</v>
      </c>
      <c r="E3058" s="33" t="s">
        <v>43</v>
      </c>
      <c r="F3058" s="18" t="s">
        <v>64</v>
      </c>
      <c r="G3058" s="18" t="s">
        <v>148</v>
      </c>
      <c r="H3058" s="34" t="s">
        <v>85</v>
      </c>
      <c r="I3058" s="18" t="s">
        <v>105</v>
      </c>
      <c r="J3058" s="31" t="s">
        <v>105</v>
      </c>
      <c r="K3058" s="31"/>
      <c r="N3058" s="13" t="s">
        <v>30</v>
      </c>
      <c r="O3058" s="28" t="str">
        <f>IF(D3058="","",IF(COUNTIF(离职清单!C:C,D3058)&gt;0,"已离职","在职"))</f>
        <v>在职</v>
      </c>
      <c r="P3058" s="28" t="str">
        <f>IF(AND(O3058="在职",J3058="是"),COUNTIF(O$2:O3058,"在职"),"")</f>
        <v/>
      </c>
    </row>
    <row r="3059" ht="18" spans="1:16">
      <c r="A3059" s="14">
        <f t="shared" si="53"/>
        <v>3058</v>
      </c>
      <c r="B3059" s="31">
        <v>46183</v>
      </c>
      <c r="C3059" s="32" t="s">
        <v>2470</v>
      </c>
      <c r="D3059" s="120" t="s">
        <v>492</v>
      </c>
      <c r="E3059" s="33" t="s">
        <v>43</v>
      </c>
      <c r="F3059" s="18" t="s">
        <v>62</v>
      </c>
      <c r="G3059" s="18" t="s">
        <v>148</v>
      </c>
      <c r="H3059" s="34" t="s">
        <v>85</v>
      </c>
      <c r="I3059" s="18" t="s">
        <v>2154</v>
      </c>
      <c r="J3059" s="31" t="s">
        <v>105</v>
      </c>
      <c r="K3059" s="31"/>
      <c r="N3059" s="13" t="s">
        <v>30</v>
      </c>
      <c r="O3059" s="28" t="str">
        <f>IF(D3059="","",IF(COUNTIF(离职清单!C:C,D3059)&gt;0,"已离职","在职"))</f>
        <v>在职</v>
      </c>
      <c r="P3059" s="28" t="str">
        <f>IF(AND(O3059="在职",J3059="是"),COUNTIF(O$2:O3059,"在职"),"")</f>
        <v/>
      </c>
    </row>
    <row r="3060" ht="18" spans="1:16">
      <c r="A3060" s="10">
        <f t="shared" si="53"/>
        <v>3059</v>
      </c>
      <c r="B3060" s="31">
        <v>46183</v>
      </c>
      <c r="C3060" s="32" t="s">
        <v>2723</v>
      </c>
      <c r="D3060" s="120" t="s">
        <v>477</v>
      </c>
      <c r="E3060" s="33" t="s">
        <v>43</v>
      </c>
      <c r="F3060" s="18" t="s">
        <v>62</v>
      </c>
      <c r="G3060" s="18" t="s">
        <v>148</v>
      </c>
      <c r="H3060" s="34" t="s">
        <v>85</v>
      </c>
      <c r="I3060" s="18" t="s">
        <v>2154</v>
      </c>
      <c r="J3060" s="31" t="s">
        <v>105</v>
      </c>
      <c r="K3060" s="31"/>
      <c r="N3060" s="13" t="s">
        <v>30</v>
      </c>
      <c r="O3060" s="28" t="str">
        <f>IF(D3060="","",IF(COUNTIF(离职清单!C:C,D3060)&gt;0,"已离职","在职"))</f>
        <v>在职</v>
      </c>
      <c r="P3060" s="28" t="str">
        <f>IF(AND(O3060="在职",J3060="是"),COUNTIF(O$2:O3060,"在职"),"")</f>
        <v/>
      </c>
    </row>
    <row r="3061" ht="18" spans="1:16">
      <c r="A3061" s="14">
        <f t="shared" si="53"/>
        <v>3060</v>
      </c>
      <c r="B3061" s="31">
        <v>46183</v>
      </c>
      <c r="C3061" s="32" t="s">
        <v>2722</v>
      </c>
      <c r="D3061" s="120" t="s">
        <v>478</v>
      </c>
      <c r="E3061" s="33" t="s">
        <v>43</v>
      </c>
      <c r="F3061" s="18" t="s">
        <v>63</v>
      </c>
      <c r="G3061" s="18" t="s">
        <v>148</v>
      </c>
      <c r="H3061" s="34" t="s">
        <v>85</v>
      </c>
      <c r="I3061" s="18" t="s">
        <v>2154</v>
      </c>
      <c r="J3061" s="31" t="s">
        <v>105</v>
      </c>
      <c r="K3061" s="31"/>
      <c r="N3061" s="13" t="s">
        <v>30</v>
      </c>
      <c r="O3061" s="28" t="str">
        <f>IF(D3061="","",IF(COUNTIF(离职清单!C:C,D3061)&gt;0,"已离职","在职"))</f>
        <v>在职</v>
      </c>
      <c r="P3061" s="28" t="str">
        <f>IF(AND(O3061="在职",J3061="是"),COUNTIF(O$2:O3061,"在职"),"")</f>
        <v/>
      </c>
    </row>
    <row r="3062" ht="18" spans="1:16">
      <c r="A3062" s="10">
        <f t="shared" si="53"/>
        <v>3061</v>
      </c>
      <c r="B3062" s="31">
        <v>46183</v>
      </c>
      <c r="C3062" s="32" t="s">
        <v>2668</v>
      </c>
      <c r="D3062" s="120" t="s">
        <v>480</v>
      </c>
      <c r="E3062" s="33" t="s">
        <v>42</v>
      </c>
      <c r="F3062" s="18" t="s">
        <v>62</v>
      </c>
      <c r="G3062" s="18" t="s">
        <v>148</v>
      </c>
      <c r="H3062" s="34" t="s">
        <v>85</v>
      </c>
      <c r="I3062" s="18" t="s">
        <v>114</v>
      </c>
      <c r="J3062" s="31" t="s">
        <v>105</v>
      </c>
      <c r="K3062" s="31"/>
      <c r="N3062" s="13" t="s">
        <v>30</v>
      </c>
      <c r="O3062" s="28" t="str">
        <f>IF(D3062="","",IF(COUNTIF(离职清单!C:C,D3062)&gt;0,"已离职","在职"))</f>
        <v>在职</v>
      </c>
      <c r="P3062" s="28" t="str">
        <f>IF(AND(O3062="在职",J3062="是"),COUNTIF(O$2:O3062,"在职"),"")</f>
        <v/>
      </c>
    </row>
    <row r="3063" ht="18" spans="1:16">
      <c r="A3063" s="14">
        <f t="shared" si="53"/>
        <v>3062</v>
      </c>
      <c r="B3063" s="31">
        <v>46183</v>
      </c>
      <c r="C3063" s="32" t="s">
        <v>2618</v>
      </c>
      <c r="D3063" s="120" t="s">
        <v>482</v>
      </c>
      <c r="E3063" s="33" t="s">
        <v>42</v>
      </c>
      <c r="F3063" s="18" t="s">
        <v>62</v>
      </c>
      <c r="G3063" s="18" t="s">
        <v>2174</v>
      </c>
      <c r="H3063" s="34" t="s">
        <v>85</v>
      </c>
      <c r="I3063" s="18" t="s">
        <v>2154</v>
      </c>
      <c r="J3063" s="31" t="s">
        <v>105</v>
      </c>
      <c r="K3063" s="31"/>
      <c r="N3063" s="13" t="s">
        <v>30</v>
      </c>
      <c r="O3063" s="28" t="str">
        <f>IF(D3063="","",IF(COUNTIF(离职清单!C:C,D3063)&gt;0,"已离职","在职"))</f>
        <v>在职</v>
      </c>
      <c r="P3063" s="28" t="str">
        <f>IF(AND(O3063="在职",J3063="是"),COUNTIF(O$2:O3063,"在职"),"")</f>
        <v/>
      </c>
    </row>
    <row r="3064" ht="18" spans="1:16">
      <c r="A3064" s="10">
        <f t="shared" si="53"/>
        <v>3063</v>
      </c>
      <c r="B3064" s="31">
        <v>46183</v>
      </c>
      <c r="C3064" s="32" t="s">
        <v>2867</v>
      </c>
      <c r="D3064" s="120" t="s">
        <v>484</v>
      </c>
      <c r="E3064" s="33" t="s">
        <v>42</v>
      </c>
      <c r="F3064" s="18" t="s">
        <v>63</v>
      </c>
      <c r="G3064" s="18" t="s">
        <v>2174</v>
      </c>
      <c r="H3064" s="34" t="s">
        <v>85</v>
      </c>
      <c r="I3064" s="18" t="s">
        <v>2154</v>
      </c>
      <c r="J3064" s="31" t="s">
        <v>105</v>
      </c>
      <c r="K3064" s="31"/>
      <c r="N3064" s="13" t="s">
        <v>30</v>
      </c>
      <c r="O3064" s="28" t="str">
        <f>IF(D3064="","",IF(COUNTIF(离职清单!C:C,D3064)&gt;0,"已离职","在职"))</f>
        <v>在职</v>
      </c>
      <c r="P3064" s="28" t="str">
        <f>IF(AND(O3064="在职",J3064="是"),COUNTIF(O$2:O3064,"在职"),"")</f>
        <v/>
      </c>
    </row>
    <row r="3065" ht="18" spans="1:16">
      <c r="A3065" s="14">
        <f t="shared" si="53"/>
        <v>3064</v>
      </c>
      <c r="B3065" s="31">
        <v>46183</v>
      </c>
      <c r="C3065" s="32" t="s">
        <v>2868</v>
      </c>
      <c r="D3065" s="120" t="s">
        <v>486</v>
      </c>
      <c r="E3065" s="33" t="s">
        <v>42</v>
      </c>
      <c r="F3065" s="18" t="s">
        <v>62</v>
      </c>
      <c r="G3065" s="18" t="s">
        <v>2174</v>
      </c>
      <c r="H3065" s="34" t="s">
        <v>85</v>
      </c>
      <c r="I3065" s="18" t="s">
        <v>105</v>
      </c>
      <c r="J3065" s="31" t="s">
        <v>105</v>
      </c>
      <c r="K3065" s="31"/>
      <c r="N3065" s="13" t="s">
        <v>30</v>
      </c>
      <c r="O3065" s="28" t="str">
        <f>IF(D3065="","",IF(COUNTIF(离职清单!C:C,D3065)&gt;0,"已离职","在职"))</f>
        <v>在职</v>
      </c>
      <c r="P3065" s="28" t="str">
        <f>IF(AND(O3065="在职",J3065="是"),COUNTIF(O$2:O3065,"在职"),"")</f>
        <v/>
      </c>
    </row>
    <row r="3066" ht="18" spans="1:16">
      <c r="A3066" s="10">
        <f t="shared" si="53"/>
        <v>3065</v>
      </c>
      <c r="B3066" s="31">
        <v>46183</v>
      </c>
      <c r="C3066" s="32" t="s">
        <v>2373</v>
      </c>
      <c r="D3066" s="120" t="s">
        <v>488</v>
      </c>
      <c r="E3066" s="33" t="s">
        <v>42</v>
      </c>
      <c r="F3066" s="18" t="s">
        <v>63</v>
      </c>
      <c r="G3066" s="18" t="s">
        <v>2195</v>
      </c>
      <c r="H3066" s="34" t="s">
        <v>85</v>
      </c>
      <c r="I3066" s="18" t="s">
        <v>105</v>
      </c>
      <c r="J3066" s="31" t="s">
        <v>105</v>
      </c>
      <c r="K3066" s="31"/>
      <c r="N3066" s="13" t="s">
        <v>30</v>
      </c>
      <c r="O3066" s="28" t="str">
        <f>IF(D3066="","",IF(COUNTIF(离职清单!C:C,D3066)&gt;0,"已离职","在职"))</f>
        <v>在职</v>
      </c>
      <c r="P3066" s="28" t="str">
        <f>IF(AND(O3066="在职",J3066="是"),COUNTIF(O$2:O3066,"在职"),"")</f>
        <v/>
      </c>
    </row>
    <row r="3067" ht="18" spans="1:16">
      <c r="A3067" s="14">
        <f t="shared" si="53"/>
        <v>3066</v>
      </c>
      <c r="B3067" s="31">
        <v>46183</v>
      </c>
      <c r="C3067" s="32" t="s">
        <v>2869</v>
      </c>
      <c r="D3067" s="120" t="s">
        <v>490</v>
      </c>
      <c r="E3067" s="33" t="s">
        <v>42</v>
      </c>
      <c r="F3067" s="18" t="s">
        <v>62</v>
      </c>
      <c r="G3067" s="18" t="s">
        <v>2174</v>
      </c>
      <c r="H3067" s="34" t="s">
        <v>85</v>
      </c>
      <c r="I3067" s="18" t="s">
        <v>2154</v>
      </c>
      <c r="J3067" s="31" t="s">
        <v>105</v>
      </c>
      <c r="K3067" s="31"/>
      <c r="N3067" s="13" t="s">
        <v>30</v>
      </c>
      <c r="O3067" s="28" t="str">
        <f>IF(D3067="","",IF(COUNTIF(离职清单!C:C,D3067)&gt;0,"已离职","在职"))</f>
        <v>在职</v>
      </c>
      <c r="P3067" s="28" t="str">
        <f>IF(AND(O3067="在职",J3067="是"),COUNTIF(O$2:O3067,"在职"),"")</f>
        <v/>
      </c>
    </row>
    <row r="3068" ht="18" spans="1:16">
      <c r="A3068" s="10">
        <f t="shared" si="53"/>
        <v>3067</v>
      </c>
      <c r="B3068" s="31">
        <v>46183</v>
      </c>
      <c r="C3068" s="32" t="s">
        <v>2870</v>
      </c>
      <c r="D3068" s="120" t="s">
        <v>492</v>
      </c>
      <c r="E3068" s="33" t="s">
        <v>42</v>
      </c>
      <c r="F3068" s="18" t="s">
        <v>63</v>
      </c>
      <c r="G3068" s="18" t="s">
        <v>2174</v>
      </c>
      <c r="H3068" s="34" t="s">
        <v>85</v>
      </c>
      <c r="I3068" s="18" t="s">
        <v>2154</v>
      </c>
      <c r="J3068" s="31" t="s">
        <v>105</v>
      </c>
      <c r="K3068" s="31"/>
      <c r="N3068" s="13" t="s">
        <v>30</v>
      </c>
      <c r="O3068" s="28" t="str">
        <f>IF(D3068="","",IF(COUNTIF(离职清单!C:C,D3068)&gt;0,"已离职","在职"))</f>
        <v>在职</v>
      </c>
      <c r="P3068" s="28" t="str">
        <f>IF(AND(O3068="在职",J3068="是"),COUNTIF(O$2:O3068,"在职"),"")</f>
        <v/>
      </c>
    </row>
    <row r="3069" ht="18" spans="1:16">
      <c r="A3069" s="14">
        <f t="shared" si="53"/>
        <v>3068</v>
      </c>
      <c r="B3069" s="31">
        <v>46183</v>
      </c>
      <c r="C3069" s="32" t="s">
        <v>2871</v>
      </c>
      <c r="D3069" s="120" t="s">
        <v>477</v>
      </c>
      <c r="E3069" s="33" t="s">
        <v>42</v>
      </c>
      <c r="F3069" s="18" t="s">
        <v>63</v>
      </c>
      <c r="G3069" s="18" t="s">
        <v>2370</v>
      </c>
      <c r="H3069" s="34" t="s">
        <v>85</v>
      </c>
      <c r="I3069" s="18" t="s">
        <v>2154</v>
      </c>
      <c r="J3069" s="31" t="s">
        <v>105</v>
      </c>
      <c r="K3069" s="31"/>
      <c r="N3069" s="13" t="s">
        <v>30</v>
      </c>
      <c r="O3069" s="28" t="str">
        <f>IF(D3069="","",IF(COUNTIF(离职清单!C:C,D3069)&gt;0,"已离职","在职"))</f>
        <v>在职</v>
      </c>
      <c r="P3069" s="28" t="str">
        <f>IF(AND(O3069="在职",J3069="是"),COUNTIF(O$2:O3069,"在职"),"")</f>
        <v/>
      </c>
    </row>
    <row r="3070" ht="18" spans="1:16">
      <c r="A3070" s="10">
        <f t="shared" si="53"/>
        <v>3069</v>
      </c>
      <c r="B3070" s="31">
        <v>46183</v>
      </c>
      <c r="C3070" s="32" t="s">
        <v>2872</v>
      </c>
      <c r="D3070" s="120" t="s">
        <v>478</v>
      </c>
      <c r="E3070" s="33" t="s">
        <v>42</v>
      </c>
      <c r="F3070" s="18" t="s">
        <v>63</v>
      </c>
      <c r="G3070" s="18" t="s">
        <v>2692</v>
      </c>
      <c r="H3070" s="34" t="s">
        <v>85</v>
      </c>
      <c r="I3070" s="18" t="s">
        <v>105</v>
      </c>
      <c r="J3070" s="31" t="s">
        <v>105</v>
      </c>
      <c r="K3070" s="31"/>
      <c r="N3070" s="13" t="s">
        <v>30</v>
      </c>
      <c r="O3070" s="28" t="str">
        <f>IF(D3070="","",IF(COUNTIF(离职清单!C:C,D3070)&gt;0,"已离职","在职"))</f>
        <v>在职</v>
      </c>
      <c r="P3070" s="28" t="str">
        <f>IF(AND(O3070="在职",J3070="是"),COUNTIF(O$2:O3070,"在职"),"")</f>
        <v/>
      </c>
    </row>
    <row r="3071" ht="18" spans="1:16">
      <c r="A3071" s="14">
        <f t="shared" si="53"/>
        <v>3070</v>
      </c>
      <c r="B3071" s="31">
        <v>46183</v>
      </c>
      <c r="C3071" s="32" t="s">
        <v>2873</v>
      </c>
      <c r="D3071" s="120" t="s">
        <v>480</v>
      </c>
      <c r="E3071" s="33" t="s">
        <v>42</v>
      </c>
      <c r="F3071" s="18" t="s">
        <v>63</v>
      </c>
      <c r="G3071" s="18" t="s">
        <v>148</v>
      </c>
      <c r="H3071" s="34" t="s">
        <v>85</v>
      </c>
      <c r="I3071" s="18" t="s">
        <v>114</v>
      </c>
      <c r="J3071" s="31" t="s">
        <v>114</v>
      </c>
      <c r="K3071" s="31">
        <v>46186</v>
      </c>
      <c r="N3071" s="13" t="s">
        <v>30</v>
      </c>
      <c r="O3071" s="28" t="str">
        <f>IF(D3071="","",IF(COUNTIF(离职清单!C:C,D3071)&gt;0,"已离职","在职"))</f>
        <v>在职</v>
      </c>
      <c r="P3071" s="28">
        <f>IF(AND(O3071="在职",J3071="是"),COUNTIF(O$2:O3071,"在职"),"")</f>
        <v>3064</v>
      </c>
    </row>
    <row r="3072" ht="18" spans="1:16">
      <c r="A3072" s="10">
        <f t="shared" si="53"/>
        <v>3071</v>
      </c>
      <c r="B3072" s="31">
        <v>46183</v>
      </c>
      <c r="C3072" s="32" t="s">
        <v>2841</v>
      </c>
      <c r="D3072" s="120" t="s">
        <v>482</v>
      </c>
      <c r="E3072" s="33" t="s">
        <v>42</v>
      </c>
      <c r="F3072" s="18" t="s">
        <v>63</v>
      </c>
      <c r="G3072" s="18" t="s">
        <v>148</v>
      </c>
      <c r="H3072" s="34" t="s">
        <v>85</v>
      </c>
      <c r="I3072" s="18" t="s">
        <v>114</v>
      </c>
      <c r="J3072" s="31" t="s">
        <v>114</v>
      </c>
      <c r="K3072" s="31">
        <v>46186</v>
      </c>
      <c r="N3072" s="13" t="s">
        <v>30</v>
      </c>
      <c r="O3072" s="28" t="str">
        <f>IF(D3072="","",IF(COUNTIF(离职清单!C:C,D3072)&gt;0,"已离职","在职"))</f>
        <v>在职</v>
      </c>
      <c r="P3072" s="28">
        <f>IF(AND(O3072="在职",J3072="是"),COUNTIF(O$2:O3072,"在职"),"")</f>
        <v>3065</v>
      </c>
    </row>
    <row r="3073" ht="18" spans="1:16">
      <c r="A3073" s="14">
        <f t="shared" si="53"/>
        <v>3072</v>
      </c>
      <c r="B3073" s="31">
        <v>46183</v>
      </c>
      <c r="C3073" s="32" t="s">
        <v>2874</v>
      </c>
      <c r="D3073" s="120" t="s">
        <v>484</v>
      </c>
      <c r="E3073" s="33" t="s">
        <v>42</v>
      </c>
      <c r="F3073" s="18" t="s">
        <v>63</v>
      </c>
      <c r="G3073" s="18" t="s">
        <v>148</v>
      </c>
      <c r="H3073" s="34" t="s">
        <v>85</v>
      </c>
      <c r="I3073" s="18" t="s">
        <v>114</v>
      </c>
      <c r="J3073" s="31" t="s">
        <v>114</v>
      </c>
      <c r="K3073" s="31">
        <v>46186</v>
      </c>
      <c r="N3073" s="13" t="s">
        <v>30</v>
      </c>
      <c r="O3073" s="28" t="str">
        <f>IF(D3073="","",IF(COUNTIF(离职清单!C:C,D3073)&gt;0,"已离职","在职"))</f>
        <v>在职</v>
      </c>
      <c r="P3073" s="28">
        <f>IF(AND(O3073="在职",J3073="是"),COUNTIF(O$2:O3073,"在职"),"")</f>
        <v>3066</v>
      </c>
    </row>
    <row r="3074" ht="18" spans="1:16">
      <c r="A3074" s="10">
        <f t="shared" si="53"/>
        <v>3073</v>
      </c>
      <c r="B3074" s="31">
        <v>46183</v>
      </c>
      <c r="C3074" s="32" t="s">
        <v>2875</v>
      </c>
      <c r="D3074" s="120" t="s">
        <v>486</v>
      </c>
      <c r="E3074" s="33" t="s">
        <v>42</v>
      </c>
      <c r="F3074" s="18" t="s">
        <v>63</v>
      </c>
      <c r="G3074" s="18" t="s">
        <v>148</v>
      </c>
      <c r="H3074" s="34" t="s">
        <v>85</v>
      </c>
      <c r="I3074" s="18" t="s">
        <v>114</v>
      </c>
      <c r="J3074" s="31" t="s">
        <v>105</v>
      </c>
      <c r="K3074" s="31"/>
      <c r="N3074" s="13" t="s">
        <v>30</v>
      </c>
      <c r="O3074" s="28" t="str">
        <f>IF(D3074="","",IF(COUNTIF(离职清单!C:C,D3074)&gt;0,"已离职","在职"))</f>
        <v>在职</v>
      </c>
      <c r="P3074" s="28" t="str">
        <f>IF(AND(O3074="在职",J3074="是"),COUNTIF(O$2:O3074,"在职"),"")</f>
        <v/>
      </c>
    </row>
    <row r="3075" ht="18" spans="1:16">
      <c r="A3075" s="14">
        <f t="shared" si="53"/>
        <v>3074</v>
      </c>
      <c r="B3075" s="31">
        <v>46183</v>
      </c>
      <c r="C3075" s="32" t="s">
        <v>2753</v>
      </c>
      <c r="D3075" s="120" t="s">
        <v>488</v>
      </c>
      <c r="E3075" s="33" t="s">
        <v>42</v>
      </c>
      <c r="F3075" s="18" t="s">
        <v>63</v>
      </c>
      <c r="G3075" s="18" t="s">
        <v>148</v>
      </c>
      <c r="H3075" s="34" t="s">
        <v>85</v>
      </c>
      <c r="I3075" s="18" t="s">
        <v>114</v>
      </c>
      <c r="J3075" s="31" t="s">
        <v>114</v>
      </c>
      <c r="K3075" s="31">
        <v>46186</v>
      </c>
      <c r="N3075" s="13" t="s">
        <v>30</v>
      </c>
      <c r="O3075" s="28" t="str">
        <f>IF(D3075="","",IF(COUNTIF(离职清单!C:C,D3075)&gt;0,"已离职","在职"))</f>
        <v>在职</v>
      </c>
      <c r="P3075" s="28">
        <f>IF(AND(O3075="在职",J3075="是"),COUNTIF(O$2:O3075,"在职"),"")</f>
        <v>3068</v>
      </c>
    </row>
    <row r="3076" ht="18" spans="1:16">
      <c r="A3076" s="10">
        <f t="shared" si="53"/>
        <v>3075</v>
      </c>
      <c r="B3076" s="31">
        <v>46183</v>
      </c>
      <c r="C3076" s="32" t="s">
        <v>2808</v>
      </c>
      <c r="D3076" s="120" t="s">
        <v>490</v>
      </c>
      <c r="E3076" s="33" t="s">
        <v>42</v>
      </c>
      <c r="F3076" s="18" t="s">
        <v>63</v>
      </c>
      <c r="G3076" s="18" t="s">
        <v>148</v>
      </c>
      <c r="H3076" s="34" t="s">
        <v>85</v>
      </c>
      <c r="I3076" s="18" t="s">
        <v>2154</v>
      </c>
      <c r="J3076" s="31" t="s">
        <v>105</v>
      </c>
      <c r="K3076" s="31"/>
      <c r="N3076" s="13" t="s">
        <v>30</v>
      </c>
      <c r="O3076" s="28" t="str">
        <f>IF(D3076="","",IF(COUNTIF(离职清单!C:C,D3076)&gt;0,"已离职","在职"))</f>
        <v>在职</v>
      </c>
      <c r="P3076" s="28" t="str">
        <f>IF(AND(O3076="在职",J3076="是"),COUNTIF(O$2:O3076,"在职"),"")</f>
        <v/>
      </c>
    </row>
    <row r="3077" ht="18" spans="1:16">
      <c r="A3077" s="14">
        <f t="shared" si="53"/>
        <v>3076</v>
      </c>
      <c r="B3077" s="31">
        <v>46183</v>
      </c>
      <c r="C3077" s="32" t="s">
        <v>2876</v>
      </c>
      <c r="D3077" s="120" t="s">
        <v>492</v>
      </c>
      <c r="E3077" s="33" t="s">
        <v>42</v>
      </c>
      <c r="F3077" s="18" t="s">
        <v>62</v>
      </c>
      <c r="G3077" s="18" t="s">
        <v>148</v>
      </c>
      <c r="H3077" s="34" t="s">
        <v>85</v>
      </c>
      <c r="I3077" s="18" t="s">
        <v>114</v>
      </c>
      <c r="J3077" s="31" t="s">
        <v>114</v>
      </c>
      <c r="K3077" s="31">
        <v>46188</v>
      </c>
      <c r="N3077" s="13" t="s">
        <v>30</v>
      </c>
      <c r="O3077" s="28" t="str">
        <f>IF(D3077="","",IF(COUNTIF(离职清单!C:C,D3077)&gt;0,"已离职","在职"))</f>
        <v>在职</v>
      </c>
      <c r="P3077" s="28">
        <f>IF(AND(O3077="在职",J3077="是"),COUNTIF(O$2:O3077,"在职"),"")</f>
        <v>3070</v>
      </c>
    </row>
    <row r="3078" ht="18" spans="1:16">
      <c r="A3078" s="10">
        <f t="shared" si="53"/>
        <v>3077</v>
      </c>
      <c r="B3078" s="31">
        <v>46183</v>
      </c>
      <c r="C3078" s="32" t="s">
        <v>2877</v>
      </c>
      <c r="D3078" s="120" t="s">
        <v>477</v>
      </c>
      <c r="E3078" s="33" t="s">
        <v>42</v>
      </c>
      <c r="F3078" s="18" t="s">
        <v>63</v>
      </c>
      <c r="G3078" s="18" t="s">
        <v>148</v>
      </c>
      <c r="H3078" s="34" t="s">
        <v>85</v>
      </c>
      <c r="I3078" s="18" t="s">
        <v>2154</v>
      </c>
      <c r="J3078" s="31" t="s">
        <v>105</v>
      </c>
      <c r="K3078" s="31"/>
      <c r="N3078" s="13" t="s">
        <v>30</v>
      </c>
      <c r="O3078" s="28" t="str">
        <f>IF(D3078="","",IF(COUNTIF(离职清单!C:C,D3078)&gt;0,"已离职","在职"))</f>
        <v>在职</v>
      </c>
      <c r="P3078" s="28" t="str">
        <f>IF(AND(O3078="在职",J3078="是"),COUNTIF(O$2:O3078,"在职"),"")</f>
        <v/>
      </c>
    </row>
    <row r="3079" ht="18" spans="1:16">
      <c r="A3079" s="14">
        <f t="shared" si="53"/>
        <v>3078</v>
      </c>
      <c r="B3079" s="31">
        <v>46183</v>
      </c>
      <c r="C3079" s="32" t="s">
        <v>2739</v>
      </c>
      <c r="D3079" s="120" t="s">
        <v>478</v>
      </c>
      <c r="E3079" s="33" t="s">
        <v>42</v>
      </c>
      <c r="F3079" s="18" t="s">
        <v>63</v>
      </c>
      <c r="G3079" s="18" t="s">
        <v>148</v>
      </c>
      <c r="H3079" s="34" t="s">
        <v>85</v>
      </c>
      <c r="I3079" s="18" t="s">
        <v>2154</v>
      </c>
      <c r="J3079" s="31" t="s">
        <v>105</v>
      </c>
      <c r="K3079" s="31"/>
      <c r="N3079" s="13" t="s">
        <v>30</v>
      </c>
      <c r="O3079" s="28" t="str">
        <f>IF(D3079="","",IF(COUNTIF(离职清单!C:C,D3079)&gt;0,"已离职","在职"))</f>
        <v>在职</v>
      </c>
      <c r="P3079" s="28" t="str">
        <f>IF(AND(O3079="在职",J3079="是"),COUNTIF(O$2:O3079,"在职"),"")</f>
        <v/>
      </c>
    </row>
    <row r="3080" ht="18" spans="1:16">
      <c r="A3080" s="10">
        <f t="shared" si="53"/>
        <v>3079</v>
      </c>
      <c r="B3080" s="31">
        <v>46183</v>
      </c>
      <c r="C3080" s="32" t="s">
        <v>2878</v>
      </c>
      <c r="D3080" s="120" t="s">
        <v>480</v>
      </c>
      <c r="E3080" s="33" t="s">
        <v>42</v>
      </c>
      <c r="F3080" s="18" t="s">
        <v>63</v>
      </c>
      <c r="G3080" s="18" t="s">
        <v>148</v>
      </c>
      <c r="H3080" s="34" t="s">
        <v>85</v>
      </c>
      <c r="I3080" s="18" t="s">
        <v>2154</v>
      </c>
      <c r="J3080" s="31" t="s">
        <v>105</v>
      </c>
      <c r="K3080" s="31"/>
      <c r="N3080" s="13" t="s">
        <v>30</v>
      </c>
      <c r="O3080" s="28" t="str">
        <f>IF(D3080="","",IF(COUNTIF(离职清单!C:C,D3080)&gt;0,"已离职","在职"))</f>
        <v>在职</v>
      </c>
      <c r="P3080" s="28" t="str">
        <f>IF(AND(O3080="在职",J3080="是"),COUNTIF(O$2:O3080,"在职"),"")</f>
        <v/>
      </c>
    </row>
    <row r="3081" ht="18" spans="1:16">
      <c r="A3081" s="14">
        <f t="shared" si="53"/>
        <v>3080</v>
      </c>
      <c r="B3081" s="31">
        <v>46183</v>
      </c>
      <c r="C3081" s="32" t="s">
        <v>2879</v>
      </c>
      <c r="D3081" s="120" t="s">
        <v>482</v>
      </c>
      <c r="E3081" s="33" t="s">
        <v>43</v>
      </c>
      <c r="F3081" s="18" t="s">
        <v>63</v>
      </c>
      <c r="G3081" s="18" t="s">
        <v>2195</v>
      </c>
      <c r="H3081" s="34" t="s">
        <v>85</v>
      </c>
      <c r="I3081" s="18" t="s">
        <v>2154</v>
      </c>
      <c r="J3081" s="31" t="s">
        <v>105</v>
      </c>
      <c r="K3081" s="31"/>
      <c r="N3081" s="13" t="s">
        <v>30</v>
      </c>
      <c r="O3081" s="28" t="str">
        <f>IF(D3081="","",IF(COUNTIF(离职清单!C:C,D3081)&gt;0,"已离职","在职"))</f>
        <v>在职</v>
      </c>
      <c r="P3081" s="28" t="str">
        <f>IF(AND(O3081="在职",J3081="是"),COUNTIF(O$2:O3081,"在职"),"")</f>
        <v/>
      </c>
    </row>
    <row r="3082" ht="18" spans="1:16">
      <c r="A3082" s="10">
        <f t="shared" si="53"/>
        <v>3081</v>
      </c>
      <c r="B3082" s="31">
        <v>46183</v>
      </c>
      <c r="C3082" s="32" t="s">
        <v>2880</v>
      </c>
      <c r="D3082" s="120" t="s">
        <v>484</v>
      </c>
      <c r="E3082" s="33" t="s">
        <v>43</v>
      </c>
      <c r="F3082" s="18" t="s">
        <v>62</v>
      </c>
      <c r="G3082" s="18" t="s">
        <v>2317</v>
      </c>
      <c r="H3082" s="34" t="s">
        <v>85</v>
      </c>
      <c r="I3082" s="18" t="s">
        <v>105</v>
      </c>
      <c r="J3082" s="31" t="s">
        <v>105</v>
      </c>
      <c r="K3082" s="31"/>
      <c r="N3082" s="13" t="s">
        <v>30</v>
      </c>
      <c r="O3082" s="28" t="str">
        <f>IF(D3082="","",IF(COUNTIF(离职清单!C:C,D3082)&gt;0,"已离职","在职"))</f>
        <v>在职</v>
      </c>
      <c r="P3082" s="28" t="str">
        <f>IF(AND(O3082="在职",J3082="是"),COUNTIF(O$2:O3082,"在职"),"")</f>
        <v/>
      </c>
    </row>
    <row r="3083" ht="18" spans="1:16">
      <c r="A3083" s="14">
        <f t="shared" si="53"/>
        <v>3082</v>
      </c>
      <c r="B3083" s="31">
        <v>46183</v>
      </c>
      <c r="C3083" s="32" t="s">
        <v>2881</v>
      </c>
      <c r="D3083" s="120" t="s">
        <v>486</v>
      </c>
      <c r="E3083" s="33" t="s">
        <v>43</v>
      </c>
      <c r="F3083" s="18" t="s">
        <v>63</v>
      </c>
      <c r="G3083" s="18" t="s">
        <v>2174</v>
      </c>
      <c r="H3083" s="34" t="s">
        <v>85</v>
      </c>
      <c r="I3083" s="18" t="s">
        <v>2154</v>
      </c>
      <c r="J3083" s="31" t="s">
        <v>105</v>
      </c>
      <c r="K3083" s="31"/>
      <c r="N3083" s="13" t="s">
        <v>30</v>
      </c>
      <c r="O3083" s="28" t="str">
        <f>IF(D3083="","",IF(COUNTIF(离职清单!C:C,D3083)&gt;0,"已离职","在职"))</f>
        <v>在职</v>
      </c>
      <c r="P3083" s="28" t="str">
        <f>IF(AND(O3083="在职",J3083="是"),COUNTIF(O$2:O3083,"在职"),"")</f>
        <v/>
      </c>
    </row>
    <row r="3084" ht="18" spans="1:16">
      <c r="A3084" s="10">
        <f t="shared" si="53"/>
        <v>3083</v>
      </c>
      <c r="B3084" s="31">
        <v>46183</v>
      </c>
      <c r="C3084" s="32" t="s">
        <v>2882</v>
      </c>
      <c r="D3084" s="120" t="s">
        <v>488</v>
      </c>
      <c r="E3084" s="33" t="s">
        <v>43</v>
      </c>
      <c r="F3084" s="18" t="s">
        <v>63</v>
      </c>
      <c r="G3084" s="18" t="s">
        <v>1056</v>
      </c>
      <c r="H3084" s="34" t="s">
        <v>85</v>
      </c>
      <c r="I3084" s="18" t="s">
        <v>2154</v>
      </c>
      <c r="J3084" s="31" t="s">
        <v>105</v>
      </c>
      <c r="K3084" s="31"/>
      <c r="N3084" s="13" t="s">
        <v>30</v>
      </c>
      <c r="O3084" s="28" t="str">
        <f>IF(D3084="","",IF(COUNTIF(离职清单!C:C,D3084)&gt;0,"已离职","在职"))</f>
        <v>在职</v>
      </c>
      <c r="P3084" s="28" t="str">
        <f>IF(AND(O3084="在职",J3084="是"),COUNTIF(O$2:O3084,"在职"),"")</f>
        <v/>
      </c>
    </row>
    <row r="3085" ht="18" spans="1:16">
      <c r="A3085" s="14">
        <f t="shared" si="53"/>
        <v>3084</v>
      </c>
      <c r="B3085" s="31">
        <v>46183</v>
      </c>
      <c r="C3085" s="32" t="s">
        <v>2883</v>
      </c>
      <c r="D3085" s="120" t="s">
        <v>490</v>
      </c>
      <c r="E3085" s="33" t="s">
        <v>43</v>
      </c>
      <c r="F3085" s="18" t="s">
        <v>62</v>
      </c>
      <c r="G3085" s="18" t="s">
        <v>1056</v>
      </c>
      <c r="H3085" s="34" t="s">
        <v>85</v>
      </c>
      <c r="I3085" s="18" t="s">
        <v>105</v>
      </c>
      <c r="J3085" s="31" t="s">
        <v>105</v>
      </c>
      <c r="K3085" s="31"/>
      <c r="N3085" s="13" t="s">
        <v>30</v>
      </c>
      <c r="O3085" s="28" t="str">
        <f>IF(D3085="","",IF(COUNTIF(离职清单!C:C,D3085)&gt;0,"已离职","在职"))</f>
        <v>在职</v>
      </c>
      <c r="P3085" s="28" t="str">
        <f>IF(AND(O3085="在职",J3085="是"),COUNTIF(O$2:O3085,"在职"),"")</f>
        <v/>
      </c>
    </row>
    <row r="3086" ht="18" spans="1:16">
      <c r="A3086" s="10">
        <f t="shared" si="53"/>
        <v>3085</v>
      </c>
      <c r="B3086" s="31">
        <v>46183</v>
      </c>
      <c r="C3086" s="32" t="s">
        <v>2884</v>
      </c>
      <c r="D3086" s="120" t="s">
        <v>492</v>
      </c>
      <c r="E3086" s="33" t="s">
        <v>43</v>
      </c>
      <c r="F3086" s="18" t="s">
        <v>62</v>
      </c>
      <c r="G3086" s="18" t="s">
        <v>1056</v>
      </c>
      <c r="H3086" s="34" t="s">
        <v>85</v>
      </c>
      <c r="I3086" s="18" t="s">
        <v>2154</v>
      </c>
      <c r="J3086" s="31" t="s">
        <v>105</v>
      </c>
      <c r="K3086" s="31"/>
      <c r="N3086" s="13" t="s">
        <v>30</v>
      </c>
      <c r="O3086" s="28" t="str">
        <f>IF(D3086="","",IF(COUNTIF(离职清单!C:C,D3086)&gt;0,"已离职","在职"))</f>
        <v>在职</v>
      </c>
      <c r="P3086" s="28" t="str">
        <f>IF(AND(O3086="在职",J3086="是"),COUNTIF(O$2:O3086,"在职"),"")</f>
        <v/>
      </c>
    </row>
    <row r="3087" ht="18" spans="1:16">
      <c r="A3087" s="14">
        <f t="shared" si="53"/>
        <v>3086</v>
      </c>
      <c r="B3087" s="31">
        <v>46183</v>
      </c>
      <c r="C3087" s="32" t="s">
        <v>2885</v>
      </c>
      <c r="D3087" s="120" t="s">
        <v>477</v>
      </c>
      <c r="E3087" s="33" t="s">
        <v>43</v>
      </c>
      <c r="F3087" s="18" t="s">
        <v>62</v>
      </c>
      <c r="G3087" s="18" t="s">
        <v>1056</v>
      </c>
      <c r="H3087" s="34" t="s">
        <v>85</v>
      </c>
      <c r="I3087" s="18" t="s">
        <v>2154</v>
      </c>
      <c r="J3087" s="31" t="s">
        <v>105</v>
      </c>
      <c r="K3087" s="31"/>
      <c r="N3087" s="13" t="s">
        <v>30</v>
      </c>
      <c r="O3087" s="28" t="str">
        <f>IF(D3087="","",IF(COUNTIF(离职清单!C:C,D3087)&gt;0,"已离职","在职"))</f>
        <v>在职</v>
      </c>
      <c r="P3087" s="28" t="str">
        <f>IF(AND(O3087="在职",J3087="是"),COUNTIF(O$2:O3087,"在职"),"")</f>
        <v/>
      </c>
    </row>
    <row r="3088" ht="18" spans="1:16">
      <c r="A3088" s="10">
        <f t="shared" si="53"/>
        <v>3087</v>
      </c>
      <c r="B3088" s="31">
        <v>46183</v>
      </c>
      <c r="C3088" s="32" t="s">
        <v>2886</v>
      </c>
      <c r="D3088" s="120" t="s">
        <v>478</v>
      </c>
      <c r="E3088" s="33" t="s">
        <v>43</v>
      </c>
      <c r="F3088" s="18" t="s">
        <v>62</v>
      </c>
      <c r="G3088" s="18" t="s">
        <v>1056</v>
      </c>
      <c r="H3088" s="34" t="s">
        <v>85</v>
      </c>
      <c r="I3088" s="18" t="s">
        <v>114</v>
      </c>
      <c r="J3088" s="31" t="s">
        <v>114</v>
      </c>
      <c r="K3088" s="31">
        <v>46186</v>
      </c>
      <c r="N3088" s="13" t="s">
        <v>30</v>
      </c>
      <c r="O3088" s="28" t="str">
        <f>IF(D3088="","",IF(COUNTIF(离职清单!C:C,D3088)&gt;0,"已离职","在职"))</f>
        <v>在职</v>
      </c>
      <c r="P3088" s="28">
        <f>IF(AND(O3088="在职",J3088="是"),COUNTIF(O$2:O3088,"在职"),"")</f>
        <v>3081</v>
      </c>
    </row>
    <row r="3089" ht="18" spans="1:16">
      <c r="A3089" s="14">
        <f t="shared" si="53"/>
        <v>3088</v>
      </c>
      <c r="B3089" s="31">
        <v>46183</v>
      </c>
      <c r="C3089" s="32" t="s">
        <v>2887</v>
      </c>
      <c r="D3089" s="120" t="s">
        <v>480</v>
      </c>
      <c r="E3089" s="33" t="s">
        <v>43</v>
      </c>
      <c r="F3089" s="18" t="s">
        <v>63</v>
      </c>
      <c r="G3089" s="18" t="s">
        <v>1056</v>
      </c>
      <c r="H3089" s="34" t="s">
        <v>85</v>
      </c>
      <c r="I3089" s="18" t="s">
        <v>2154</v>
      </c>
      <c r="J3089" s="31" t="s">
        <v>105</v>
      </c>
      <c r="K3089" s="31"/>
      <c r="N3089" s="13" t="s">
        <v>30</v>
      </c>
      <c r="O3089" s="28" t="str">
        <f>IF(D3089="","",IF(COUNTIF(离职清单!C:C,D3089)&gt;0,"已离职","在职"))</f>
        <v>在职</v>
      </c>
      <c r="P3089" s="28" t="str">
        <f>IF(AND(O3089="在职",J3089="是"),COUNTIF(O$2:O3089,"在职"),"")</f>
        <v/>
      </c>
    </row>
    <row r="3090" ht="18" spans="1:16">
      <c r="A3090" s="10">
        <f t="shared" si="53"/>
        <v>3089</v>
      </c>
      <c r="B3090" s="31">
        <v>46183</v>
      </c>
      <c r="C3090" s="32" t="s">
        <v>2888</v>
      </c>
      <c r="D3090" s="120" t="s">
        <v>482</v>
      </c>
      <c r="E3090" s="33" t="s">
        <v>43</v>
      </c>
      <c r="F3090" s="18" t="s">
        <v>63</v>
      </c>
      <c r="G3090" s="18" t="s">
        <v>1056</v>
      </c>
      <c r="H3090" s="34" t="s">
        <v>85</v>
      </c>
      <c r="I3090" s="18" t="s">
        <v>2154</v>
      </c>
      <c r="J3090" s="31" t="s">
        <v>105</v>
      </c>
      <c r="K3090" s="31"/>
      <c r="N3090" s="13" t="s">
        <v>30</v>
      </c>
      <c r="O3090" s="28" t="str">
        <f>IF(D3090="","",IF(COUNTIF(离职清单!C:C,D3090)&gt;0,"已离职","在职"))</f>
        <v>在职</v>
      </c>
      <c r="P3090" s="28" t="str">
        <f>IF(AND(O3090="在职",J3090="是"),COUNTIF(O$2:O3090,"在职"),"")</f>
        <v/>
      </c>
    </row>
    <row r="3091" ht="18" spans="1:16">
      <c r="A3091" s="14">
        <f t="shared" si="53"/>
        <v>3090</v>
      </c>
      <c r="B3091" s="31">
        <v>46183</v>
      </c>
      <c r="C3091" s="32" t="s">
        <v>2329</v>
      </c>
      <c r="D3091" s="120" t="s">
        <v>484</v>
      </c>
      <c r="E3091" s="33" t="s">
        <v>43</v>
      </c>
      <c r="F3091" s="18" t="s">
        <v>62</v>
      </c>
      <c r="G3091" s="18" t="s">
        <v>1056</v>
      </c>
      <c r="H3091" s="34" t="s">
        <v>85</v>
      </c>
      <c r="I3091" s="18" t="s">
        <v>105</v>
      </c>
      <c r="J3091" s="31" t="s">
        <v>105</v>
      </c>
      <c r="K3091" s="31"/>
      <c r="N3091" s="13" t="s">
        <v>30</v>
      </c>
      <c r="O3091" s="28" t="str">
        <f>IF(D3091="","",IF(COUNTIF(离职清单!C:C,D3091)&gt;0,"已离职","在职"))</f>
        <v>在职</v>
      </c>
      <c r="P3091" s="28" t="str">
        <f>IF(AND(O3091="在职",J3091="是"),COUNTIF(O$2:O3091,"在职"),"")</f>
        <v/>
      </c>
    </row>
    <row r="3092" ht="18" spans="1:16">
      <c r="A3092" s="10">
        <f t="shared" si="53"/>
        <v>3091</v>
      </c>
      <c r="B3092" s="31">
        <v>46183</v>
      </c>
      <c r="C3092" s="32" t="s">
        <v>2729</v>
      </c>
      <c r="D3092" s="120" t="s">
        <v>486</v>
      </c>
      <c r="E3092" s="33" t="s">
        <v>43</v>
      </c>
      <c r="F3092" s="18" t="s">
        <v>63</v>
      </c>
      <c r="G3092" s="18" t="s">
        <v>1056</v>
      </c>
      <c r="H3092" s="34" t="s">
        <v>85</v>
      </c>
      <c r="I3092" s="18" t="s">
        <v>114</v>
      </c>
      <c r="J3092" s="31" t="s">
        <v>105</v>
      </c>
      <c r="K3092" s="31"/>
      <c r="N3092" s="13" t="s">
        <v>30</v>
      </c>
      <c r="O3092" s="28" t="str">
        <f>IF(D3092="","",IF(COUNTIF(离职清单!C:C,D3092)&gt;0,"已离职","在职"))</f>
        <v>在职</v>
      </c>
      <c r="P3092" s="28" t="str">
        <f>IF(AND(O3092="在职",J3092="是"),COUNTIF(O$2:O3092,"在职"),"")</f>
        <v/>
      </c>
    </row>
    <row r="3093" ht="18" spans="1:16">
      <c r="A3093" s="14">
        <f t="shared" si="53"/>
        <v>3092</v>
      </c>
      <c r="B3093" s="31">
        <v>46183</v>
      </c>
      <c r="C3093" s="32" t="s">
        <v>2818</v>
      </c>
      <c r="D3093" s="120" t="s">
        <v>488</v>
      </c>
      <c r="E3093" s="33" t="s">
        <v>43</v>
      </c>
      <c r="F3093" s="18" t="s">
        <v>63</v>
      </c>
      <c r="G3093" s="18" t="s">
        <v>1056</v>
      </c>
      <c r="H3093" s="34" t="s">
        <v>85</v>
      </c>
      <c r="I3093" s="18" t="s">
        <v>105</v>
      </c>
      <c r="J3093" s="31" t="s">
        <v>105</v>
      </c>
      <c r="K3093" s="31"/>
      <c r="N3093" s="13" t="s">
        <v>30</v>
      </c>
      <c r="O3093" s="28" t="str">
        <f>IF(D3093="","",IF(COUNTIF(离职清单!C:C,D3093)&gt;0,"已离职","在职"))</f>
        <v>在职</v>
      </c>
      <c r="P3093" s="28" t="str">
        <f>IF(AND(O3093="在职",J3093="是"),COUNTIF(O$2:O3093,"在职"),"")</f>
        <v/>
      </c>
    </row>
    <row r="3094" ht="18" spans="1:16">
      <c r="A3094" s="10">
        <f t="shared" si="53"/>
        <v>3093</v>
      </c>
      <c r="B3094" s="31">
        <v>46183</v>
      </c>
      <c r="C3094" s="32" t="s">
        <v>2819</v>
      </c>
      <c r="D3094" s="120" t="s">
        <v>490</v>
      </c>
      <c r="E3094" s="33" t="s">
        <v>43</v>
      </c>
      <c r="F3094" s="18" t="s">
        <v>63</v>
      </c>
      <c r="G3094" s="18" t="s">
        <v>1056</v>
      </c>
      <c r="H3094" s="34" t="s">
        <v>85</v>
      </c>
      <c r="I3094" s="18" t="s">
        <v>105</v>
      </c>
      <c r="J3094" s="31" t="s">
        <v>105</v>
      </c>
      <c r="K3094" s="31"/>
      <c r="N3094" s="13" t="s">
        <v>30</v>
      </c>
      <c r="O3094" s="28" t="str">
        <f>IF(D3094="","",IF(COUNTIF(离职清单!C:C,D3094)&gt;0,"已离职","在职"))</f>
        <v>在职</v>
      </c>
      <c r="P3094" s="28" t="str">
        <f>IF(AND(O3094="在职",J3094="是"),COUNTIF(O$2:O3094,"在职"),"")</f>
        <v/>
      </c>
    </row>
    <row r="3095" ht="18" spans="1:16">
      <c r="A3095" s="14">
        <f t="shared" si="53"/>
        <v>3094</v>
      </c>
      <c r="B3095" s="31">
        <v>46183</v>
      </c>
      <c r="C3095" s="32" t="s">
        <v>2820</v>
      </c>
      <c r="D3095" s="120" t="s">
        <v>492</v>
      </c>
      <c r="E3095" s="33" t="s">
        <v>43</v>
      </c>
      <c r="F3095" s="18" t="s">
        <v>63</v>
      </c>
      <c r="G3095" s="18" t="s">
        <v>1056</v>
      </c>
      <c r="H3095" s="34" t="s">
        <v>85</v>
      </c>
      <c r="I3095" s="18" t="s">
        <v>2154</v>
      </c>
      <c r="J3095" s="31" t="s">
        <v>105</v>
      </c>
      <c r="K3095" s="31"/>
      <c r="N3095" s="13" t="s">
        <v>30</v>
      </c>
      <c r="O3095" s="28" t="str">
        <f>IF(D3095="","",IF(COUNTIF(离职清单!C:C,D3095)&gt;0,"已离职","在职"))</f>
        <v>在职</v>
      </c>
      <c r="P3095" s="28" t="str">
        <f>IF(AND(O3095="在职",J3095="是"),COUNTIF(O$2:O3095,"在职"),"")</f>
        <v/>
      </c>
    </row>
    <row r="3096" ht="18" spans="1:16">
      <c r="A3096" s="10">
        <f t="shared" si="53"/>
        <v>3095</v>
      </c>
      <c r="B3096" s="31">
        <v>46183</v>
      </c>
      <c r="C3096" s="32" t="s">
        <v>2889</v>
      </c>
      <c r="D3096" s="120" t="s">
        <v>477</v>
      </c>
      <c r="E3096" s="33" t="s">
        <v>43</v>
      </c>
      <c r="F3096" s="18" t="s">
        <v>62</v>
      </c>
      <c r="G3096" s="18" t="s">
        <v>1056</v>
      </c>
      <c r="H3096" s="34" t="s">
        <v>85</v>
      </c>
      <c r="I3096" s="18" t="s">
        <v>105</v>
      </c>
      <c r="J3096" s="31" t="s">
        <v>105</v>
      </c>
      <c r="K3096" s="31"/>
      <c r="N3096" s="13" t="s">
        <v>30</v>
      </c>
      <c r="O3096" s="28" t="str">
        <f>IF(D3096="","",IF(COUNTIF(离职清单!C:C,D3096)&gt;0,"已离职","在职"))</f>
        <v>在职</v>
      </c>
      <c r="P3096" s="28" t="str">
        <f>IF(AND(O3096="在职",J3096="是"),COUNTIF(O$2:O3096,"在职"),"")</f>
        <v/>
      </c>
    </row>
    <row r="3097" ht="18" spans="1:16">
      <c r="A3097" s="14">
        <f t="shared" si="53"/>
        <v>3096</v>
      </c>
      <c r="B3097" s="31">
        <v>46183</v>
      </c>
      <c r="C3097" s="32" t="s">
        <v>2388</v>
      </c>
      <c r="D3097" s="120" t="s">
        <v>477</v>
      </c>
      <c r="E3097" s="33" t="s">
        <v>43</v>
      </c>
      <c r="F3097" s="18" t="s">
        <v>63</v>
      </c>
      <c r="G3097" s="18" t="s">
        <v>2186</v>
      </c>
      <c r="H3097" s="34" t="s">
        <v>85</v>
      </c>
      <c r="I3097" s="18" t="s">
        <v>2154</v>
      </c>
      <c r="J3097" s="31" t="s">
        <v>105</v>
      </c>
      <c r="K3097" s="31"/>
      <c r="N3097" s="13" t="s">
        <v>30</v>
      </c>
      <c r="O3097" s="28" t="str">
        <f>IF(D3097="","",IF(COUNTIF(离职清单!C:C,D3097)&gt;0,"已离职","在职"))</f>
        <v>在职</v>
      </c>
      <c r="P3097" s="28" t="str">
        <f>IF(AND(O3097="在职",J3097="是"),COUNTIF(O$2:O3097,"在职"),"")</f>
        <v/>
      </c>
    </row>
    <row r="3098" ht="18" spans="1:16">
      <c r="A3098" s="10">
        <f t="shared" si="53"/>
        <v>3097</v>
      </c>
      <c r="B3098" s="31">
        <v>46183</v>
      </c>
      <c r="C3098" s="32" t="s">
        <v>2890</v>
      </c>
      <c r="D3098" s="120" t="s">
        <v>478</v>
      </c>
      <c r="E3098" s="33" t="s">
        <v>42</v>
      </c>
      <c r="F3098" s="18" t="s">
        <v>63</v>
      </c>
      <c r="G3098" s="18" t="s">
        <v>1511</v>
      </c>
      <c r="H3098" s="34" t="s">
        <v>85</v>
      </c>
      <c r="I3098" s="18" t="s">
        <v>2154</v>
      </c>
      <c r="J3098" s="31" t="s">
        <v>105</v>
      </c>
      <c r="K3098" s="31"/>
      <c r="N3098" s="13" t="s">
        <v>30</v>
      </c>
      <c r="O3098" s="28" t="str">
        <f>IF(D3098="","",IF(COUNTIF(离职清单!C:C,D3098)&gt;0,"已离职","在职"))</f>
        <v>在职</v>
      </c>
      <c r="P3098" s="28" t="str">
        <f>IF(AND(O3098="在职",J3098="是"),COUNTIF(O$2:O3098,"在职"),"")</f>
        <v/>
      </c>
    </row>
    <row r="3099" ht="18" spans="1:16">
      <c r="A3099" s="14">
        <f t="shared" si="53"/>
        <v>3098</v>
      </c>
      <c r="B3099" s="31">
        <v>46183</v>
      </c>
      <c r="C3099" s="32" t="s">
        <v>2891</v>
      </c>
      <c r="D3099" s="120" t="s">
        <v>480</v>
      </c>
      <c r="E3099" s="33" t="s">
        <v>42</v>
      </c>
      <c r="F3099" s="18" t="s">
        <v>63</v>
      </c>
      <c r="G3099" s="18" t="s">
        <v>1511</v>
      </c>
      <c r="H3099" s="34" t="s">
        <v>85</v>
      </c>
      <c r="I3099" s="18" t="s">
        <v>105</v>
      </c>
      <c r="J3099" s="31" t="s">
        <v>105</v>
      </c>
      <c r="K3099" s="31"/>
      <c r="N3099" s="13" t="s">
        <v>30</v>
      </c>
      <c r="O3099" s="28" t="str">
        <f>IF(D3099="","",IF(COUNTIF(离职清单!C:C,D3099)&gt;0,"已离职","在职"))</f>
        <v>在职</v>
      </c>
      <c r="P3099" s="28" t="str">
        <f>IF(AND(O3099="在职",J3099="是"),COUNTIF(O$2:O3099,"在职"),"")</f>
        <v/>
      </c>
    </row>
    <row r="3100" ht="18" spans="1:16">
      <c r="A3100" s="10">
        <f t="shared" si="53"/>
        <v>3099</v>
      </c>
      <c r="B3100" s="31">
        <v>46183</v>
      </c>
      <c r="C3100" s="32" t="s">
        <v>2892</v>
      </c>
      <c r="D3100" s="120" t="s">
        <v>482</v>
      </c>
      <c r="E3100" s="33" t="s">
        <v>42</v>
      </c>
      <c r="F3100" s="18" t="s">
        <v>63</v>
      </c>
      <c r="G3100" s="18" t="s">
        <v>1511</v>
      </c>
      <c r="H3100" s="34" t="s">
        <v>85</v>
      </c>
      <c r="I3100" s="18" t="s">
        <v>114</v>
      </c>
      <c r="J3100" s="31" t="s">
        <v>105</v>
      </c>
      <c r="K3100" s="31"/>
      <c r="N3100" s="13" t="s">
        <v>30</v>
      </c>
      <c r="O3100" s="28" t="str">
        <f>IF(D3100="","",IF(COUNTIF(离职清单!C:C,D3100)&gt;0,"已离职","在职"))</f>
        <v>在职</v>
      </c>
      <c r="P3100" s="28" t="str">
        <f>IF(AND(O3100="在职",J3100="是"),COUNTIF(O$2:O3100,"在职"),"")</f>
        <v/>
      </c>
    </row>
    <row r="3101" ht="18" spans="1:16">
      <c r="A3101" s="14">
        <f t="shared" si="53"/>
        <v>3100</v>
      </c>
      <c r="B3101" s="31">
        <v>46183</v>
      </c>
      <c r="C3101" s="32" t="s">
        <v>2893</v>
      </c>
      <c r="D3101" s="120" t="s">
        <v>484</v>
      </c>
      <c r="E3101" s="33" t="s">
        <v>42</v>
      </c>
      <c r="F3101" s="18" t="s">
        <v>63</v>
      </c>
      <c r="G3101" s="18" t="s">
        <v>1511</v>
      </c>
      <c r="H3101" s="34" t="s">
        <v>85</v>
      </c>
      <c r="I3101" s="18" t="s">
        <v>105</v>
      </c>
      <c r="J3101" s="31" t="s">
        <v>105</v>
      </c>
      <c r="K3101" s="31"/>
      <c r="N3101" s="13" t="s">
        <v>30</v>
      </c>
      <c r="O3101" s="28" t="str">
        <f>IF(D3101="","",IF(COUNTIF(离职清单!C:C,D3101)&gt;0,"已离职","在职"))</f>
        <v>在职</v>
      </c>
      <c r="P3101" s="28" t="str">
        <f>IF(AND(O3101="在职",J3101="是"),COUNTIF(O$2:O3101,"在职"),"")</f>
        <v/>
      </c>
    </row>
    <row r="3102" ht="18" spans="1:16">
      <c r="A3102" s="10">
        <f t="shared" si="53"/>
        <v>3101</v>
      </c>
      <c r="B3102" s="31">
        <v>46183</v>
      </c>
      <c r="C3102" s="32" t="s">
        <v>2894</v>
      </c>
      <c r="D3102" s="120" t="s">
        <v>486</v>
      </c>
      <c r="E3102" s="33" t="s">
        <v>42</v>
      </c>
      <c r="F3102" s="18" t="s">
        <v>63</v>
      </c>
      <c r="G3102" s="18" t="s">
        <v>1511</v>
      </c>
      <c r="H3102" s="34" t="s">
        <v>85</v>
      </c>
      <c r="I3102" s="18" t="s">
        <v>105</v>
      </c>
      <c r="J3102" s="31" t="s">
        <v>105</v>
      </c>
      <c r="K3102" s="31"/>
      <c r="N3102" s="13" t="s">
        <v>30</v>
      </c>
      <c r="O3102" s="28" t="str">
        <f>IF(D3102="","",IF(COUNTIF(离职清单!C:C,D3102)&gt;0,"已离职","在职"))</f>
        <v>在职</v>
      </c>
      <c r="P3102" s="28" t="str">
        <f>IF(AND(O3102="在职",J3102="是"),COUNTIF(O$2:O3102,"在职"),"")</f>
        <v/>
      </c>
    </row>
    <row r="3103" ht="18" spans="1:16">
      <c r="A3103" s="14">
        <f t="shared" si="53"/>
        <v>3102</v>
      </c>
      <c r="B3103" s="31">
        <v>46183</v>
      </c>
      <c r="C3103" s="32" t="s">
        <v>2431</v>
      </c>
      <c r="D3103" s="120" t="s">
        <v>488</v>
      </c>
      <c r="E3103" s="33" t="s">
        <v>42</v>
      </c>
      <c r="F3103" s="18" t="s">
        <v>64</v>
      </c>
      <c r="G3103" s="18" t="s">
        <v>1511</v>
      </c>
      <c r="H3103" s="34" t="s">
        <v>85</v>
      </c>
      <c r="I3103" s="18" t="s">
        <v>2154</v>
      </c>
      <c r="J3103" s="31" t="s">
        <v>105</v>
      </c>
      <c r="K3103" s="31"/>
      <c r="N3103" s="13" t="s">
        <v>30</v>
      </c>
      <c r="O3103" s="28" t="str">
        <f>IF(D3103="","",IF(COUNTIF(离职清单!C:C,D3103)&gt;0,"已离职","在职"))</f>
        <v>在职</v>
      </c>
      <c r="P3103" s="28" t="str">
        <f>IF(AND(O3103="在职",J3103="是"),COUNTIF(O$2:O3103,"在职"),"")</f>
        <v/>
      </c>
    </row>
    <row r="3104" ht="18" spans="1:16">
      <c r="A3104" s="10">
        <f t="shared" si="53"/>
        <v>3103</v>
      </c>
      <c r="B3104" s="31">
        <v>46183</v>
      </c>
      <c r="C3104" s="32" t="s">
        <v>2895</v>
      </c>
      <c r="D3104" s="120" t="s">
        <v>490</v>
      </c>
      <c r="E3104" s="33" t="s">
        <v>42</v>
      </c>
      <c r="F3104" s="18" t="s">
        <v>63</v>
      </c>
      <c r="G3104" s="18" t="s">
        <v>1511</v>
      </c>
      <c r="H3104" s="34" t="s">
        <v>85</v>
      </c>
      <c r="I3104" s="18" t="s">
        <v>105</v>
      </c>
      <c r="J3104" s="31" t="s">
        <v>105</v>
      </c>
      <c r="K3104" s="31"/>
      <c r="N3104" s="13" t="s">
        <v>30</v>
      </c>
      <c r="O3104" s="28" t="str">
        <f>IF(D3104="","",IF(COUNTIF(离职清单!C:C,D3104)&gt;0,"已离职","在职"))</f>
        <v>在职</v>
      </c>
      <c r="P3104" s="28" t="str">
        <f>IF(AND(O3104="在职",J3104="是"),COUNTIF(O$2:O3104,"在职"),"")</f>
        <v/>
      </c>
    </row>
    <row r="3105" ht="18" spans="1:16">
      <c r="A3105" s="14">
        <f t="shared" si="53"/>
        <v>3104</v>
      </c>
      <c r="B3105" s="31">
        <v>46183</v>
      </c>
      <c r="C3105" s="32" t="s">
        <v>2896</v>
      </c>
      <c r="D3105" s="120" t="s">
        <v>492</v>
      </c>
      <c r="E3105" s="33" t="s">
        <v>42</v>
      </c>
      <c r="F3105" s="18" t="s">
        <v>63</v>
      </c>
      <c r="G3105" s="18" t="s">
        <v>1511</v>
      </c>
      <c r="H3105" s="34" t="s">
        <v>85</v>
      </c>
      <c r="I3105" s="18" t="s">
        <v>105</v>
      </c>
      <c r="J3105" s="31" t="s">
        <v>105</v>
      </c>
      <c r="K3105" s="31"/>
      <c r="N3105" s="13" t="s">
        <v>30</v>
      </c>
      <c r="O3105" s="28" t="str">
        <f>IF(D3105="","",IF(COUNTIF(离职清单!C:C,D3105)&gt;0,"已离职","在职"))</f>
        <v>在职</v>
      </c>
      <c r="P3105" s="28" t="str">
        <f>IF(AND(O3105="在职",J3105="是"),COUNTIF(O$2:O3105,"在职"),"")</f>
        <v/>
      </c>
    </row>
    <row r="3106" ht="18" spans="1:16">
      <c r="A3106" s="10">
        <f t="shared" si="53"/>
        <v>3105</v>
      </c>
      <c r="B3106" s="31">
        <v>46183</v>
      </c>
      <c r="C3106" s="32" t="s">
        <v>2897</v>
      </c>
      <c r="D3106" s="120" t="s">
        <v>477</v>
      </c>
      <c r="E3106" s="33" t="s">
        <v>42</v>
      </c>
      <c r="F3106" s="18" t="s">
        <v>62</v>
      </c>
      <c r="G3106" s="18" t="s">
        <v>2250</v>
      </c>
      <c r="H3106" s="34" t="s">
        <v>85</v>
      </c>
      <c r="I3106" s="18" t="s">
        <v>105</v>
      </c>
      <c r="J3106" s="31" t="s">
        <v>105</v>
      </c>
      <c r="K3106" s="31"/>
      <c r="N3106" s="13" t="s">
        <v>30</v>
      </c>
      <c r="O3106" s="28" t="str">
        <f>IF(D3106="","",IF(COUNTIF(离职清单!C:C,D3106)&gt;0,"已离职","在职"))</f>
        <v>在职</v>
      </c>
      <c r="P3106" s="28" t="str">
        <f>IF(AND(O3106="在职",J3106="是"),COUNTIF(O$2:O3106,"在职"),"")</f>
        <v/>
      </c>
    </row>
    <row r="3107" ht="18" spans="1:16">
      <c r="A3107" s="14">
        <f t="shared" si="53"/>
        <v>3106</v>
      </c>
      <c r="B3107" s="31">
        <v>46183</v>
      </c>
      <c r="C3107" s="32" t="s">
        <v>2898</v>
      </c>
      <c r="D3107" s="120" t="s">
        <v>478</v>
      </c>
      <c r="E3107" s="33" t="s">
        <v>42</v>
      </c>
      <c r="F3107" s="18" t="s">
        <v>63</v>
      </c>
      <c r="G3107" s="18" t="s">
        <v>2250</v>
      </c>
      <c r="H3107" s="34" t="s">
        <v>85</v>
      </c>
      <c r="I3107" s="18" t="s">
        <v>2154</v>
      </c>
      <c r="J3107" s="31" t="s">
        <v>105</v>
      </c>
      <c r="K3107" s="31"/>
      <c r="N3107" s="13" t="s">
        <v>30</v>
      </c>
      <c r="O3107" s="28" t="str">
        <f>IF(D3107="","",IF(COUNTIF(离职清单!C:C,D3107)&gt;0,"已离职","在职"))</f>
        <v>在职</v>
      </c>
      <c r="P3107" s="28" t="str">
        <f>IF(AND(O3107="在职",J3107="是"),COUNTIF(O$2:O3107,"在职"),"")</f>
        <v/>
      </c>
    </row>
    <row r="3108" ht="18" spans="1:16">
      <c r="A3108" s="10">
        <f t="shared" si="53"/>
        <v>3107</v>
      </c>
      <c r="B3108" s="31">
        <v>46183</v>
      </c>
      <c r="C3108" s="32" t="s">
        <v>2618</v>
      </c>
      <c r="D3108" s="120" t="s">
        <v>480</v>
      </c>
      <c r="E3108" s="33" t="s">
        <v>42</v>
      </c>
      <c r="F3108" s="18" t="s">
        <v>62</v>
      </c>
      <c r="G3108" s="18" t="s">
        <v>2250</v>
      </c>
      <c r="H3108" s="34" t="s">
        <v>85</v>
      </c>
      <c r="I3108" s="18" t="s">
        <v>105</v>
      </c>
      <c r="J3108" s="31" t="s">
        <v>105</v>
      </c>
      <c r="K3108" s="31"/>
      <c r="N3108" s="13" t="s">
        <v>30</v>
      </c>
      <c r="O3108" s="28" t="str">
        <f>IF(D3108="","",IF(COUNTIF(离职清单!C:C,D3108)&gt;0,"已离职","在职"))</f>
        <v>在职</v>
      </c>
      <c r="P3108" s="28" t="str">
        <f>IF(AND(O3108="在职",J3108="是"),COUNTIF(O$2:O3108,"在职"),"")</f>
        <v/>
      </c>
    </row>
    <row r="3109" ht="18" spans="1:16">
      <c r="A3109" s="14">
        <f t="shared" si="53"/>
        <v>3108</v>
      </c>
      <c r="B3109" s="31">
        <v>46183</v>
      </c>
      <c r="C3109" s="32" t="s">
        <v>2899</v>
      </c>
      <c r="D3109" s="120" t="s">
        <v>482</v>
      </c>
      <c r="E3109" s="33" t="s">
        <v>42</v>
      </c>
      <c r="F3109" s="18" t="s">
        <v>63</v>
      </c>
      <c r="G3109" s="18" t="s">
        <v>2166</v>
      </c>
      <c r="H3109" s="34" t="s">
        <v>85</v>
      </c>
      <c r="I3109" s="18" t="s">
        <v>2154</v>
      </c>
      <c r="J3109" s="31" t="s">
        <v>105</v>
      </c>
      <c r="K3109" s="31"/>
      <c r="N3109" s="13" t="s">
        <v>30</v>
      </c>
      <c r="O3109" s="28" t="str">
        <f>IF(D3109="","",IF(COUNTIF(离职清单!C:C,D3109)&gt;0,"已离职","在职"))</f>
        <v>在职</v>
      </c>
      <c r="P3109" s="28" t="str">
        <f>IF(AND(O3109="在职",J3109="是"),COUNTIF(O$2:O3109,"在职"),"")</f>
        <v/>
      </c>
    </row>
    <row r="3110" ht="18" spans="1:16">
      <c r="A3110" s="10">
        <f t="shared" si="53"/>
        <v>3109</v>
      </c>
      <c r="B3110" s="31">
        <v>46183</v>
      </c>
      <c r="C3110" s="32" t="s">
        <v>2900</v>
      </c>
      <c r="D3110" s="120" t="s">
        <v>484</v>
      </c>
      <c r="E3110" s="33" t="s">
        <v>42</v>
      </c>
      <c r="F3110" s="18" t="s">
        <v>63</v>
      </c>
      <c r="G3110" s="18" t="s">
        <v>2166</v>
      </c>
      <c r="H3110" s="34" t="s">
        <v>85</v>
      </c>
      <c r="I3110" s="18" t="s">
        <v>105</v>
      </c>
      <c r="J3110" s="31" t="s">
        <v>105</v>
      </c>
      <c r="K3110" s="31"/>
      <c r="N3110" s="13" t="s">
        <v>30</v>
      </c>
      <c r="O3110" s="28" t="str">
        <f>IF(D3110="","",IF(COUNTIF(离职清单!C:C,D3110)&gt;0,"已离职","在职"))</f>
        <v>在职</v>
      </c>
      <c r="P3110" s="28" t="str">
        <f>IF(AND(O3110="在职",J3110="是"),COUNTIF(O$2:O3110,"在职"),"")</f>
        <v/>
      </c>
    </row>
    <row r="3111" ht="18" spans="1:16">
      <c r="A3111" s="14">
        <f t="shared" si="53"/>
        <v>3110</v>
      </c>
      <c r="B3111" s="31">
        <v>46183</v>
      </c>
      <c r="C3111" s="32" t="s">
        <v>2901</v>
      </c>
      <c r="D3111" s="120" t="s">
        <v>486</v>
      </c>
      <c r="E3111" s="33" t="s">
        <v>42</v>
      </c>
      <c r="F3111" s="18" t="s">
        <v>63</v>
      </c>
      <c r="G3111" s="18" t="s">
        <v>2166</v>
      </c>
      <c r="H3111" s="34" t="s">
        <v>85</v>
      </c>
      <c r="I3111" s="18" t="s">
        <v>105</v>
      </c>
      <c r="J3111" s="31" t="s">
        <v>105</v>
      </c>
      <c r="K3111" s="31"/>
      <c r="N3111" s="13" t="s">
        <v>30</v>
      </c>
      <c r="O3111" s="28" t="str">
        <f>IF(D3111="","",IF(COUNTIF(离职清单!C:C,D3111)&gt;0,"已离职","在职"))</f>
        <v>在职</v>
      </c>
      <c r="P3111" s="28" t="str">
        <f>IF(AND(O3111="在职",J3111="是"),COUNTIF(O$2:O3111,"在职"),"")</f>
        <v/>
      </c>
    </row>
    <row r="3112" ht="18" spans="1:16">
      <c r="A3112" s="10">
        <f t="shared" si="53"/>
        <v>3111</v>
      </c>
      <c r="B3112" s="31">
        <v>46183</v>
      </c>
      <c r="C3112" s="32" t="s">
        <v>2686</v>
      </c>
      <c r="D3112" s="120" t="s">
        <v>488</v>
      </c>
      <c r="E3112" s="33" t="s">
        <v>42</v>
      </c>
      <c r="F3112" s="18" t="s">
        <v>63</v>
      </c>
      <c r="G3112" s="18" t="s">
        <v>2153</v>
      </c>
      <c r="H3112" s="34" t="s">
        <v>85</v>
      </c>
      <c r="I3112" s="18" t="s">
        <v>2154</v>
      </c>
      <c r="J3112" s="31" t="s">
        <v>105</v>
      </c>
      <c r="K3112" s="31"/>
      <c r="N3112" s="13" t="s">
        <v>30</v>
      </c>
      <c r="O3112" s="28" t="str">
        <f>IF(D3112="","",IF(COUNTIF(离职清单!C:C,D3112)&gt;0,"已离职","在职"))</f>
        <v>在职</v>
      </c>
      <c r="P3112" s="28" t="str">
        <f>IF(AND(O3112="在职",J3112="是"),COUNTIF(O$2:O3112,"在职"),"")</f>
        <v/>
      </c>
    </row>
    <row r="3113" ht="18" spans="1:16">
      <c r="A3113" s="14">
        <f t="shared" si="53"/>
        <v>3112</v>
      </c>
      <c r="B3113" s="31">
        <v>46183</v>
      </c>
      <c r="C3113" s="32" t="s">
        <v>2902</v>
      </c>
      <c r="D3113" s="120" t="s">
        <v>490</v>
      </c>
      <c r="E3113" s="33" t="s">
        <v>42</v>
      </c>
      <c r="F3113" s="18" t="s">
        <v>63</v>
      </c>
      <c r="G3113" s="18" t="s">
        <v>2156</v>
      </c>
      <c r="H3113" s="34" t="s">
        <v>85</v>
      </c>
      <c r="I3113" s="18" t="s">
        <v>2154</v>
      </c>
      <c r="J3113" s="31" t="s">
        <v>105</v>
      </c>
      <c r="K3113" s="31"/>
      <c r="N3113" s="13" t="s">
        <v>30</v>
      </c>
      <c r="O3113" s="28" t="str">
        <f>IF(D3113="","",IF(COUNTIF(离职清单!C:C,D3113)&gt;0,"已离职","在职"))</f>
        <v>在职</v>
      </c>
      <c r="P3113" s="28" t="str">
        <f>IF(AND(O3113="在职",J3113="是"),COUNTIF(O$2:O3113,"在职"),"")</f>
        <v/>
      </c>
    </row>
    <row r="3114" ht="18" spans="1:16">
      <c r="A3114" s="10">
        <f t="shared" si="53"/>
        <v>3113</v>
      </c>
      <c r="B3114" s="31">
        <v>46183</v>
      </c>
      <c r="C3114" s="32" t="s">
        <v>2903</v>
      </c>
      <c r="D3114" s="120" t="s">
        <v>492</v>
      </c>
      <c r="E3114" s="33" t="s">
        <v>42</v>
      </c>
      <c r="F3114" s="18" t="s">
        <v>63</v>
      </c>
      <c r="G3114" s="18" t="s">
        <v>2156</v>
      </c>
      <c r="H3114" s="34" t="s">
        <v>85</v>
      </c>
      <c r="I3114" s="18" t="s">
        <v>105</v>
      </c>
      <c r="J3114" s="31" t="s">
        <v>105</v>
      </c>
      <c r="K3114" s="31"/>
      <c r="N3114" s="13" t="s">
        <v>30</v>
      </c>
      <c r="O3114" s="28" t="str">
        <f>IF(D3114="","",IF(COUNTIF(离职清单!C:C,D3114)&gt;0,"已离职","在职"))</f>
        <v>在职</v>
      </c>
      <c r="P3114" s="28" t="str">
        <f>IF(AND(O3114="在职",J3114="是"),COUNTIF(O$2:O3114,"在职"),"")</f>
        <v/>
      </c>
    </row>
    <row r="3115" ht="18" spans="1:16">
      <c r="A3115" s="14">
        <f t="shared" si="53"/>
        <v>3114</v>
      </c>
      <c r="B3115" s="31">
        <v>46183</v>
      </c>
      <c r="C3115" s="32" t="s">
        <v>2904</v>
      </c>
      <c r="D3115" s="120" t="s">
        <v>477</v>
      </c>
      <c r="E3115" s="33" t="s">
        <v>42</v>
      </c>
      <c r="F3115" s="18" t="s">
        <v>63</v>
      </c>
      <c r="G3115" s="18" t="s">
        <v>2156</v>
      </c>
      <c r="H3115" s="34" t="s">
        <v>85</v>
      </c>
      <c r="I3115" s="18" t="s">
        <v>2154</v>
      </c>
      <c r="J3115" s="31" t="s">
        <v>105</v>
      </c>
      <c r="K3115" s="31"/>
      <c r="N3115" s="13" t="s">
        <v>30</v>
      </c>
      <c r="O3115" s="28" t="str">
        <f>IF(D3115="","",IF(COUNTIF(离职清单!C:C,D3115)&gt;0,"已离职","在职"))</f>
        <v>在职</v>
      </c>
      <c r="P3115" s="28" t="str">
        <f>IF(AND(O3115="在职",J3115="是"),COUNTIF(O$2:O3115,"在职"),"")</f>
        <v/>
      </c>
    </row>
    <row r="3116" ht="18" spans="1:16">
      <c r="A3116" s="10">
        <f t="shared" ref="A3116:A3179" si="54">IF(B3116&lt;&gt;"",ROW()-1,"")</f>
        <v>3115</v>
      </c>
      <c r="B3116" s="31">
        <v>46183</v>
      </c>
      <c r="C3116" s="32" t="s">
        <v>2905</v>
      </c>
      <c r="D3116" s="120" t="s">
        <v>478</v>
      </c>
      <c r="E3116" s="33" t="s">
        <v>42</v>
      </c>
      <c r="F3116" s="18" t="s">
        <v>62</v>
      </c>
      <c r="G3116" s="18" t="s">
        <v>2156</v>
      </c>
      <c r="H3116" s="34" t="s">
        <v>85</v>
      </c>
      <c r="I3116" s="18" t="s">
        <v>105</v>
      </c>
      <c r="J3116" s="31" t="s">
        <v>105</v>
      </c>
      <c r="K3116" s="31"/>
      <c r="N3116" s="13" t="s">
        <v>30</v>
      </c>
      <c r="O3116" s="28" t="str">
        <f>IF(D3116="","",IF(COUNTIF(离职清单!C:C,D3116)&gt;0,"已离职","在职"))</f>
        <v>在职</v>
      </c>
      <c r="P3116" s="28" t="str">
        <f>IF(AND(O3116="在职",J3116="是"),COUNTIF(O$2:O3116,"在职"),"")</f>
        <v/>
      </c>
    </row>
    <row r="3117" ht="18" spans="1:16">
      <c r="A3117" s="14">
        <f t="shared" si="54"/>
        <v>3116</v>
      </c>
      <c r="B3117" s="31">
        <v>46183</v>
      </c>
      <c r="C3117" s="32" t="s">
        <v>2906</v>
      </c>
      <c r="D3117" s="120" t="s">
        <v>480</v>
      </c>
      <c r="E3117" s="33" t="s">
        <v>42</v>
      </c>
      <c r="F3117" s="18" t="s">
        <v>63</v>
      </c>
      <c r="G3117" s="18" t="s">
        <v>2156</v>
      </c>
      <c r="H3117" s="34" t="s">
        <v>85</v>
      </c>
      <c r="I3117" s="18" t="s">
        <v>2154</v>
      </c>
      <c r="J3117" s="31" t="s">
        <v>105</v>
      </c>
      <c r="K3117" s="31"/>
      <c r="N3117" s="13" t="s">
        <v>30</v>
      </c>
      <c r="O3117" s="28" t="str">
        <f>IF(D3117="","",IF(COUNTIF(离职清单!C:C,D3117)&gt;0,"已离职","在职"))</f>
        <v>在职</v>
      </c>
      <c r="P3117" s="28" t="str">
        <f>IF(AND(O3117="在职",J3117="是"),COUNTIF(O$2:O3117,"在职"),"")</f>
        <v/>
      </c>
    </row>
    <row r="3118" ht="18" spans="1:16">
      <c r="A3118" s="10">
        <f t="shared" si="54"/>
        <v>3117</v>
      </c>
      <c r="B3118" s="31">
        <v>46183</v>
      </c>
      <c r="C3118" s="32" t="s">
        <v>2907</v>
      </c>
      <c r="D3118" s="120" t="s">
        <v>482</v>
      </c>
      <c r="E3118" s="33" t="s">
        <v>42</v>
      </c>
      <c r="F3118" s="18" t="s">
        <v>63</v>
      </c>
      <c r="G3118" s="18" t="s">
        <v>2156</v>
      </c>
      <c r="H3118" s="34" t="s">
        <v>85</v>
      </c>
      <c r="I3118" s="18" t="s">
        <v>2154</v>
      </c>
      <c r="J3118" s="31" t="s">
        <v>105</v>
      </c>
      <c r="K3118" s="31"/>
      <c r="N3118" s="13" t="s">
        <v>30</v>
      </c>
      <c r="O3118" s="28" t="str">
        <f>IF(D3118="","",IF(COUNTIF(离职清单!C:C,D3118)&gt;0,"已离职","在职"))</f>
        <v>在职</v>
      </c>
      <c r="P3118" s="28" t="str">
        <f>IF(AND(O3118="在职",J3118="是"),COUNTIF(O$2:O3118,"在职"),"")</f>
        <v/>
      </c>
    </row>
    <row r="3119" ht="18" spans="1:16">
      <c r="A3119" s="14">
        <f t="shared" si="54"/>
        <v>3118</v>
      </c>
      <c r="B3119" s="31">
        <v>46183</v>
      </c>
      <c r="C3119" s="32" t="s">
        <v>2795</v>
      </c>
      <c r="D3119" s="120" t="s">
        <v>484</v>
      </c>
      <c r="E3119" s="33" t="s">
        <v>42</v>
      </c>
      <c r="F3119" s="18" t="s">
        <v>62</v>
      </c>
      <c r="G3119" s="18" t="s">
        <v>2156</v>
      </c>
      <c r="H3119" s="34" t="s">
        <v>85</v>
      </c>
      <c r="I3119" s="18" t="s">
        <v>105</v>
      </c>
      <c r="J3119" s="31" t="s">
        <v>105</v>
      </c>
      <c r="K3119" s="31"/>
      <c r="N3119" s="13" t="s">
        <v>30</v>
      </c>
      <c r="O3119" s="28" t="str">
        <f>IF(D3119="","",IF(COUNTIF(离职清单!C:C,D3119)&gt;0,"已离职","在职"))</f>
        <v>在职</v>
      </c>
      <c r="P3119" s="28" t="str">
        <f>IF(AND(O3119="在职",J3119="是"),COUNTIF(O$2:O3119,"在职"),"")</f>
        <v/>
      </c>
    </row>
    <row r="3120" ht="18" spans="1:16">
      <c r="A3120" s="10">
        <f t="shared" si="54"/>
        <v>3119</v>
      </c>
      <c r="B3120" s="31">
        <v>46183</v>
      </c>
      <c r="C3120" s="32" t="s">
        <v>2908</v>
      </c>
      <c r="D3120" s="120" t="s">
        <v>486</v>
      </c>
      <c r="E3120" s="33" t="s">
        <v>42</v>
      </c>
      <c r="F3120" s="18" t="s">
        <v>62</v>
      </c>
      <c r="G3120" s="18" t="s">
        <v>2156</v>
      </c>
      <c r="H3120" s="34" t="s">
        <v>85</v>
      </c>
      <c r="I3120" s="18" t="s">
        <v>2154</v>
      </c>
      <c r="J3120" s="31" t="s">
        <v>105</v>
      </c>
      <c r="K3120" s="31"/>
      <c r="N3120" s="13" t="s">
        <v>30</v>
      </c>
      <c r="O3120" s="28" t="str">
        <f>IF(D3120="","",IF(COUNTIF(离职清单!C:C,D3120)&gt;0,"已离职","在职"))</f>
        <v>在职</v>
      </c>
      <c r="P3120" s="28" t="str">
        <f>IF(AND(O3120="在职",J3120="是"),COUNTIF(O$2:O3120,"在职"),"")</f>
        <v/>
      </c>
    </row>
    <row r="3121" ht="18" spans="1:16">
      <c r="A3121" s="14">
        <f t="shared" si="54"/>
        <v>3120</v>
      </c>
      <c r="B3121" s="31">
        <v>46183</v>
      </c>
      <c r="C3121" s="32" t="s">
        <v>2909</v>
      </c>
      <c r="D3121" s="120" t="s">
        <v>488</v>
      </c>
      <c r="E3121" s="33" t="s">
        <v>43</v>
      </c>
      <c r="F3121" s="18" t="s">
        <v>63</v>
      </c>
      <c r="G3121" s="18" t="s">
        <v>2692</v>
      </c>
      <c r="H3121" s="34" t="s">
        <v>86</v>
      </c>
      <c r="I3121" s="18" t="s">
        <v>105</v>
      </c>
      <c r="J3121" s="31" t="s">
        <v>105</v>
      </c>
      <c r="K3121" s="31"/>
      <c r="N3121" s="13" t="s">
        <v>30</v>
      </c>
      <c r="O3121" s="28" t="str">
        <f>IF(D3121="","",IF(COUNTIF(离职清单!C:C,D3121)&gt;0,"已离职","在职"))</f>
        <v>在职</v>
      </c>
      <c r="P3121" s="28" t="str">
        <f>IF(AND(O3121="在职",J3121="是"),COUNTIF(O$2:O3121,"在职"),"")</f>
        <v/>
      </c>
    </row>
    <row r="3122" ht="18" spans="1:16">
      <c r="A3122" s="10">
        <f t="shared" si="54"/>
        <v>3121</v>
      </c>
      <c r="B3122" s="31">
        <v>46183</v>
      </c>
      <c r="C3122" s="32" t="s">
        <v>2910</v>
      </c>
      <c r="D3122" s="120" t="s">
        <v>490</v>
      </c>
      <c r="E3122" s="33" t="s">
        <v>43</v>
      </c>
      <c r="F3122" s="18" t="s">
        <v>63</v>
      </c>
      <c r="G3122" s="18" t="s">
        <v>124</v>
      </c>
      <c r="H3122" s="34" t="s">
        <v>86</v>
      </c>
      <c r="I3122" s="18" t="s">
        <v>114</v>
      </c>
      <c r="J3122" s="31" t="s">
        <v>114</v>
      </c>
      <c r="K3122" s="31">
        <v>46183</v>
      </c>
      <c r="N3122" s="13" t="s">
        <v>30</v>
      </c>
      <c r="O3122" s="28" t="str">
        <f>IF(D3122="","",IF(COUNTIF(离职清单!C:C,D3122)&gt;0,"已离职","在职"))</f>
        <v>在职</v>
      </c>
      <c r="P3122" s="28">
        <f>IF(AND(O3122="在职",J3122="是"),COUNTIF(O$2:O3122,"在职"),"")</f>
        <v>3115</v>
      </c>
    </row>
    <row r="3123" ht="18" spans="1:16">
      <c r="A3123" s="14">
        <f t="shared" si="54"/>
        <v>3122</v>
      </c>
      <c r="B3123" s="31">
        <v>46183</v>
      </c>
      <c r="C3123" s="32" t="s">
        <v>2911</v>
      </c>
      <c r="D3123" s="120" t="s">
        <v>492</v>
      </c>
      <c r="E3123" s="33" t="s">
        <v>43</v>
      </c>
      <c r="F3123" s="18" t="s">
        <v>63</v>
      </c>
      <c r="G3123" s="18" t="s">
        <v>2370</v>
      </c>
      <c r="H3123" s="34" t="s">
        <v>85</v>
      </c>
      <c r="I3123" s="18" t="s">
        <v>105</v>
      </c>
      <c r="J3123" s="31" t="s">
        <v>105</v>
      </c>
      <c r="K3123" s="31"/>
      <c r="N3123" s="13" t="s">
        <v>30</v>
      </c>
      <c r="O3123" s="28" t="str">
        <f>IF(D3123="","",IF(COUNTIF(离职清单!C:C,D3123)&gt;0,"已离职","在职"))</f>
        <v>在职</v>
      </c>
      <c r="P3123" s="28" t="str">
        <f>IF(AND(O3123="在职",J3123="是"),COUNTIF(O$2:O3123,"在职"),"")</f>
        <v/>
      </c>
    </row>
    <row r="3124" ht="18" spans="1:16">
      <c r="A3124" s="10">
        <f t="shared" si="54"/>
        <v>3123</v>
      </c>
      <c r="B3124" s="31">
        <v>46183</v>
      </c>
      <c r="C3124" s="32" t="s">
        <v>2912</v>
      </c>
      <c r="D3124" s="120" t="s">
        <v>477</v>
      </c>
      <c r="E3124" s="33" t="s">
        <v>43</v>
      </c>
      <c r="F3124" s="18" t="s">
        <v>63</v>
      </c>
      <c r="G3124" s="18" t="s">
        <v>2370</v>
      </c>
      <c r="H3124" s="34" t="s">
        <v>85</v>
      </c>
      <c r="I3124" s="18" t="s">
        <v>105</v>
      </c>
      <c r="J3124" s="31" t="s">
        <v>105</v>
      </c>
      <c r="K3124" s="31"/>
      <c r="N3124" s="13" t="s">
        <v>30</v>
      </c>
      <c r="O3124" s="28" t="str">
        <f>IF(D3124="","",IF(COUNTIF(离职清单!C:C,D3124)&gt;0,"已离职","在职"))</f>
        <v>在职</v>
      </c>
      <c r="P3124" s="28" t="str">
        <f>IF(AND(O3124="在职",J3124="是"),COUNTIF(O$2:O3124,"在职"),"")</f>
        <v/>
      </c>
    </row>
    <row r="3125" ht="18" spans="1:16">
      <c r="A3125" s="14">
        <f t="shared" si="54"/>
        <v>3124</v>
      </c>
      <c r="B3125" s="31">
        <v>46183</v>
      </c>
      <c r="C3125" s="32" t="s">
        <v>2824</v>
      </c>
      <c r="D3125" s="120" t="s">
        <v>478</v>
      </c>
      <c r="E3125" s="33" t="s">
        <v>43</v>
      </c>
      <c r="F3125" s="18" t="s">
        <v>63</v>
      </c>
      <c r="G3125" s="18" t="s">
        <v>2250</v>
      </c>
      <c r="H3125" s="34" t="s">
        <v>85</v>
      </c>
      <c r="I3125" s="18" t="s">
        <v>114</v>
      </c>
      <c r="J3125" s="31" t="s">
        <v>114</v>
      </c>
      <c r="K3125" s="31">
        <v>46185</v>
      </c>
      <c r="N3125" s="13" t="s">
        <v>30</v>
      </c>
      <c r="O3125" s="28" t="str">
        <f>IF(D3125="","",IF(COUNTIF(离职清单!C:C,D3125)&gt;0,"已离职","在职"))</f>
        <v>在职</v>
      </c>
      <c r="P3125" s="28">
        <f>IF(AND(O3125="在职",J3125="是"),COUNTIF(O$2:O3125,"在职"),"")</f>
        <v>3118</v>
      </c>
    </row>
    <row r="3126" ht="18" spans="1:16">
      <c r="A3126" s="10">
        <f t="shared" si="54"/>
        <v>3125</v>
      </c>
      <c r="B3126" s="31">
        <v>46183</v>
      </c>
      <c r="C3126" s="32" t="s">
        <v>2888</v>
      </c>
      <c r="D3126" s="120" t="s">
        <v>480</v>
      </c>
      <c r="E3126" s="33" t="s">
        <v>43</v>
      </c>
      <c r="F3126" s="18" t="s">
        <v>63</v>
      </c>
      <c r="G3126" s="18" t="s">
        <v>2250</v>
      </c>
      <c r="H3126" s="34" t="s">
        <v>85</v>
      </c>
      <c r="I3126" s="18" t="s">
        <v>2154</v>
      </c>
      <c r="J3126" s="31" t="s">
        <v>105</v>
      </c>
      <c r="K3126" s="31"/>
      <c r="N3126" s="13" t="s">
        <v>30</v>
      </c>
      <c r="O3126" s="28" t="str">
        <f>IF(D3126="","",IF(COUNTIF(离职清单!C:C,D3126)&gt;0,"已离职","在职"))</f>
        <v>在职</v>
      </c>
      <c r="P3126" s="28" t="str">
        <f>IF(AND(O3126="在职",J3126="是"),COUNTIF(O$2:O3126,"在职"),"")</f>
        <v/>
      </c>
    </row>
    <row r="3127" ht="18" spans="1:16">
      <c r="A3127" s="14">
        <f t="shared" si="54"/>
        <v>3126</v>
      </c>
      <c r="B3127" s="31">
        <v>46183</v>
      </c>
      <c r="C3127" s="32" t="s">
        <v>2913</v>
      </c>
      <c r="D3127" s="120" t="s">
        <v>482</v>
      </c>
      <c r="E3127" s="33" t="s">
        <v>43</v>
      </c>
      <c r="F3127" s="18" t="s">
        <v>62</v>
      </c>
      <c r="G3127" s="18" t="s">
        <v>124</v>
      </c>
      <c r="H3127" s="34" t="s">
        <v>85</v>
      </c>
      <c r="I3127" s="18" t="s">
        <v>2154</v>
      </c>
      <c r="J3127" s="31" t="s">
        <v>105</v>
      </c>
      <c r="K3127" s="31"/>
      <c r="N3127" s="13" t="s">
        <v>30</v>
      </c>
      <c r="O3127" s="28" t="str">
        <f>IF(D3127="","",IF(COUNTIF(离职清单!C:C,D3127)&gt;0,"已离职","在职"))</f>
        <v>在职</v>
      </c>
      <c r="P3127" s="28" t="str">
        <f>IF(AND(O3127="在职",J3127="是"),COUNTIF(O$2:O3127,"在职"),"")</f>
        <v/>
      </c>
    </row>
    <row r="3128" ht="18" spans="1:16">
      <c r="A3128" s="10">
        <f t="shared" si="54"/>
        <v>3127</v>
      </c>
      <c r="B3128" s="31">
        <v>46183</v>
      </c>
      <c r="C3128" s="32" t="s">
        <v>2914</v>
      </c>
      <c r="D3128" s="120" t="s">
        <v>484</v>
      </c>
      <c r="E3128" s="33" t="s">
        <v>43</v>
      </c>
      <c r="F3128" s="18" t="s">
        <v>63</v>
      </c>
      <c r="G3128" s="18" t="s">
        <v>124</v>
      </c>
      <c r="H3128" s="34" t="s">
        <v>85</v>
      </c>
      <c r="I3128" s="18" t="s">
        <v>2154</v>
      </c>
      <c r="J3128" s="31" t="s">
        <v>105</v>
      </c>
      <c r="K3128" s="31"/>
      <c r="N3128" s="13" t="s">
        <v>30</v>
      </c>
      <c r="O3128" s="28" t="str">
        <f>IF(D3128="","",IF(COUNTIF(离职清单!C:C,D3128)&gt;0,"已离职","在职"))</f>
        <v>在职</v>
      </c>
      <c r="P3128" s="28" t="str">
        <f>IF(AND(O3128="在职",J3128="是"),COUNTIF(O$2:O3128,"在职"),"")</f>
        <v/>
      </c>
    </row>
    <row r="3129" ht="18" spans="1:16">
      <c r="A3129" s="14">
        <f t="shared" si="54"/>
        <v>3128</v>
      </c>
      <c r="B3129" s="31">
        <v>46183</v>
      </c>
      <c r="C3129" s="32" t="s">
        <v>2915</v>
      </c>
      <c r="D3129" s="120" t="s">
        <v>486</v>
      </c>
      <c r="E3129" s="33" t="s">
        <v>43</v>
      </c>
      <c r="F3129" s="18" t="s">
        <v>63</v>
      </c>
      <c r="G3129" s="18" t="s">
        <v>124</v>
      </c>
      <c r="H3129" s="34" t="s">
        <v>85</v>
      </c>
      <c r="I3129" s="18" t="s">
        <v>2154</v>
      </c>
      <c r="J3129" s="31" t="s">
        <v>105</v>
      </c>
      <c r="K3129" s="31"/>
      <c r="N3129" s="13" t="s">
        <v>30</v>
      </c>
      <c r="O3129" s="28" t="str">
        <f>IF(D3129="","",IF(COUNTIF(离职清单!C:C,D3129)&gt;0,"已离职","在职"))</f>
        <v>在职</v>
      </c>
      <c r="P3129" s="28" t="str">
        <f>IF(AND(O3129="在职",J3129="是"),COUNTIF(O$2:O3129,"在职"),"")</f>
        <v/>
      </c>
    </row>
    <row r="3130" ht="18" spans="1:16">
      <c r="A3130" s="10">
        <f t="shared" si="54"/>
        <v>3129</v>
      </c>
      <c r="B3130" s="31">
        <v>46183</v>
      </c>
      <c r="C3130" s="32" t="s">
        <v>2916</v>
      </c>
      <c r="D3130" s="120" t="s">
        <v>488</v>
      </c>
      <c r="E3130" s="33" t="s">
        <v>43</v>
      </c>
      <c r="F3130" s="18" t="s">
        <v>63</v>
      </c>
      <c r="G3130" s="18" t="s">
        <v>124</v>
      </c>
      <c r="H3130" s="34" t="s">
        <v>85</v>
      </c>
      <c r="I3130" s="18" t="s">
        <v>105</v>
      </c>
      <c r="J3130" s="31" t="s">
        <v>105</v>
      </c>
      <c r="K3130" s="31"/>
      <c r="N3130" s="13" t="s">
        <v>30</v>
      </c>
      <c r="O3130" s="28" t="str">
        <f>IF(D3130="","",IF(COUNTIF(离职清单!C:C,D3130)&gt;0,"已离职","在职"))</f>
        <v>在职</v>
      </c>
      <c r="P3130" s="28" t="str">
        <f>IF(AND(O3130="在职",J3130="是"),COUNTIF(O$2:O3130,"在职"),"")</f>
        <v/>
      </c>
    </row>
    <row r="3131" ht="18" spans="1:16">
      <c r="A3131" s="14">
        <f t="shared" si="54"/>
        <v>3130</v>
      </c>
      <c r="B3131" s="31">
        <v>46183</v>
      </c>
      <c r="C3131" s="32" t="s">
        <v>2917</v>
      </c>
      <c r="D3131" s="120" t="s">
        <v>490</v>
      </c>
      <c r="E3131" s="33" t="s">
        <v>43</v>
      </c>
      <c r="F3131" s="18" t="s">
        <v>63</v>
      </c>
      <c r="G3131" s="18" t="s">
        <v>2153</v>
      </c>
      <c r="H3131" s="34" t="s">
        <v>85</v>
      </c>
      <c r="I3131" s="18" t="s">
        <v>2154</v>
      </c>
      <c r="J3131" s="31" t="s">
        <v>105</v>
      </c>
      <c r="K3131" s="31"/>
      <c r="N3131" s="13" t="s">
        <v>30</v>
      </c>
      <c r="O3131" s="28" t="str">
        <f>IF(D3131="","",IF(COUNTIF(离职清单!C:C,D3131)&gt;0,"已离职","在职"))</f>
        <v>在职</v>
      </c>
      <c r="P3131" s="28" t="str">
        <f>IF(AND(O3131="在职",J3131="是"),COUNTIF(O$2:O3131,"在职"),"")</f>
        <v/>
      </c>
    </row>
    <row r="3132" ht="18" spans="1:16">
      <c r="A3132" s="10">
        <f t="shared" si="54"/>
        <v>3131</v>
      </c>
      <c r="B3132" s="31">
        <v>46183</v>
      </c>
      <c r="C3132" s="32" t="s">
        <v>2918</v>
      </c>
      <c r="D3132" s="120" t="s">
        <v>492</v>
      </c>
      <c r="E3132" s="33" t="s">
        <v>43</v>
      </c>
      <c r="F3132" s="18" t="s">
        <v>62</v>
      </c>
      <c r="G3132" s="18" t="s">
        <v>2153</v>
      </c>
      <c r="H3132" s="34" t="s">
        <v>85</v>
      </c>
      <c r="I3132" s="18" t="s">
        <v>105</v>
      </c>
      <c r="J3132" s="31" t="s">
        <v>105</v>
      </c>
      <c r="K3132" s="31"/>
      <c r="N3132" s="13" t="s">
        <v>30</v>
      </c>
      <c r="O3132" s="28" t="str">
        <f>IF(D3132="","",IF(COUNTIF(离职清单!C:C,D3132)&gt;0,"已离职","在职"))</f>
        <v>在职</v>
      </c>
      <c r="P3132" s="28" t="str">
        <f>IF(AND(O3132="在职",J3132="是"),COUNTIF(O$2:O3132,"在职"),"")</f>
        <v/>
      </c>
    </row>
    <row r="3133" ht="18" spans="1:16">
      <c r="A3133" s="14">
        <f t="shared" si="54"/>
        <v>3132</v>
      </c>
      <c r="B3133" s="31">
        <v>46183</v>
      </c>
      <c r="C3133" s="32" t="s">
        <v>2919</v>
      </c>
      <c r="D3133" s="120" t="s">
        <v>477</v>
      </c>
      <c r="E3133" s="33" t="s">
        <v>43</v>
      </c>
      <c r="F3133" s="18" t="s">
        <v>62</v>
      </c>
      <c r="G3133" s="18" t="s">
        <v>2153</v>
      </c>
      <c r="H3133" s="34" t="s">
        <v>85</v>
      </c>
      <c r="I3133" s="18" t="s">
        <v>114</v>
      </c>
      <c r="J3133" s="31" t="s">
        <v>114</v>
      </c>
      <c r="K3133" s="31">
        <v>46184</v>
      </c>
      <c r="N3133" s="13" t="s">
        <v>30</v>
      </c>
      <c r="O3133" s="28" t="str">
        <f>IF(D3133="","",IF(COUNTIF(离职清单!C:C,D3133)&gt;0,"已离职","在职"))</f>
        <v>在职</v>
      </c>
      <c r="P3133" s="28">
        <f>IF(AND(O3133="在职",J3133="是"),COUNTIF(O$2:O3133,"在职"),"")</f>
        <v>3126</v>
      </c>
    </row>
    <row r="3134" ht="18" spans="1:16">
      <c r="A3134" s="10">
        <f t="shared" si="54"/>
        <v>3133</v>
      </c>
      <c r="B3134" s="31">
        <v>46183</v>
      </c>
      <c r="C3134" s="32" t="s">
        <v>2798</v>
      </c>
      <c r="D3134" s="120" t="s">
        <v>478</v>
      </c>
      <c r="E3134" s="33" t="s">
        <v>42</v>
      </c>
      <c r="F3134" s="18" t="s">
        <v>63</v>
      </c>
      <c r="G3134" s="18" t="s">
        <v>2156</v>
      </c>
      <c r="H3134" s="34" t="s">
        <v>85</v>
      </c>
      <c r="I3134" s="18" t="s">
        <v>105</v>
      </c>
      <c r="J3134" s="31" t="s">
        <v>105</v>
      </c>
      <c r="K3134" s="31"/>
      <c r="N3134" s="13" t="s">
        <v>30</v>
      </c>
      <c r="O3134" s="28" t="str">
        <f>IF(D3134="","",IF(COUNTIF(离职清单!C:C,D3134)&gt;0,"已离职","在职"))</f>
        <v>在职</v>
      </c>
      <c r="P3134" s="28" t="str">
        <f>IF(AND(O3134="在职",J3134="是"),COUNTIF(O$2:O3134,"在职"),"")</f>
        <v/>
      </c>
    </row>
    <row r="3135" ht="18" spans="1:16">
      <c r="A3135" s="14">
        <f t="shared" si="54"/>
        <v>3134</v>
      </c>
      <c r="B3135" s="31">
        <v>46183</v>
      </c>
      <c r="C3135" s="32" t="s">
        <v>2920</v>
      </c>
      <c r="D3135" s="120" t="s">
        <v>480</v>
      </c>
      <c r="E3135" s="33" t="s">
        <v>43</v>
      </c>
      <c r="F3135" s="18" t="s">
        <v>62</v>
      </c>
      <c r="G3135" s="18" t="s">
        <v>2156</v>
      </c>
      <c r="H3135" s="34" t="s">
        <v>85</v>
      </c>
      <c r="I3135" s="18" t="s">
        <v>2154</v>
      </c>
      <c r="J3135" s="31" t="s">
        <v>105</v>
      </c>
      <c r="K3135" s="31"/>
      <c r="N3135" s="13" t="s">
        <v>30</v>
      </c>
      <c r="O3135" s="28" t="str">
        <f>IF(D3135="","",IF(COUNTIF(离职清单!C:C,D3135)&gt;0,"已离职","在职"))</f>
        <v>在职</v>
      </c>
      <c r="P3135" s="28" t="str">
        <f>IF(AND(O3135="在职",J3135="是"),COUNTIF(O$2:O3135,"在职"),"")</f>
        <v/>
      </c>
    </row>
    <row r="3136" ht="18" spans="1:16">
      <c r="A3136" s="10">
        <f t="shared" si="54"/>
        <v>3135</v>
      </c>
      <c r="B3136" s="31">
        <v>46183</v>
      </c>
      <c r="C3136" s="32" t="s">
        <v>2921</v>
      </c>
      <c r="D3136" s="120" t="s">
        <v>482</v>
      </c>
      <c r="E3136" s="33" t="s">
        <v>43</v>
      </c>
      <c r="F3136" s="18" t="s">
        <v>62</v>
      </c>
      <c r="G3136" s="18" t="s">
        <v>2156</v>
      </c>
      <c r="H3136" s="34" t="s">
        <v>85</v>
      </c>
      <c r="I3136" s="18" t="s">
        <v>105</v>
      </c>
      <c r="J3136" s="31" t="s">
        <v>105</v>
      </c>
      <c r="K3136" s="31"/>
      <c r="N3136" s="13" t="s">
        <v>30</v>
      </c>
      <c r="O3136" s="28" t="str">
        <f>IF(D3136="","",IF(COUNTIF(离职清单!C:C,D3136)&gt;0,"已离职","在职"))</f>
        <v>在职</v>
      </c>
      <c r="P3136" s="28" t="str">
        <f>IF(AND(O3136="在职",J3136="是"),COUNTIF(O$2:O3136,"在职"),"")</f>
        <v/>
      </c>
    </row>
    <row r="3137" ht="18" spans="1:16">
      <c r="A3137" s="14">
        <f t="shared" si="54"/>
        <v>3136</v>
      </c>
      <c r="B3137" s="31">
        <v>46183</v>
      </c>
      <c r="C3137" s="32" t="s">
        <v>2922</v>
      </c>
      <c r="D3137" s="120" t="s">
        <v>484</v>
      </c>
      <c r="E3137" s="33" t="s">
        <v>43</v>
      </c>
      <c r="F3137" s="18" t="s">
        <v>63</v>
      </c>
      <c r="G3137" s="18" t="s">
        <v>2156</v>
      </c>
      <c r="H3137" s="34" t="s">
        <v>85</v>
      </c>
      <c r="I3137" s="18" t="s">
        <v>105</v>
      </c>
      <c r="J3137" s="31" t="s">
        <v>105</v>
      </c>
      <c r="K3137" s="31"/>
      <c r="N3137" s="13" t="s">
        <v>30</v>
      </c>
      <c r="O3137" s="28" t="str">
        <f>IF(D3137="","",IF(COUNTIF(离职清单!C:C,D3137)&gt;0,"已离职","在职"))</f>
        <v>在职</v>
      </c>
      <c r="P3137" s="28" t="str">
        <f>IF(AND(O3137="在职",J3137="是"),COUNTIF(O$2:O3137,"在职"),"")</f>
        <v/>
      </c>
    </row>
    <row r="3138" ht="18" spans="1:16">
      <c r="A3138" s="10">
        <f t="shared" si="54"/>
        <v>3137</v>
      </c>
      <c r="B3138" s="31">
        <v>46183</v>
      </c>
      <c r="C3138" s="32" t="s">
        <v>2923</v>
      </c>
      <c r="D3138" s="120" t="s">
        <v>486</v>
      </c>
      <c r="E3138" s="33" t="s">
        <v>43</v>
      </c>
      <c r="F3138" s="18" t="s">
        <v>63</v>
      </c>
      <c r="G3138" s="18" t="s">
        <v>2924</v>
      </c>
      <c r="H3138" s="34" t="s">
        <v>85</v>
      </c>
      <c r="I3138" s="18" t="s">
        <v>2154</v>
      </c>
      <c r="J3138" s="31" t="s">
        <v>105</v>
      </c>
      <c r="K3138" s="31"/>
      <c r="N3138" s="13" t="s">
        <v>30</v>
      </c>
      <c r="O3138" s="28" t="str">
        <f>IF(D3138="","",IF(COUNTIF(离职清单!C:C,D3138)&gt;0,"已离职","在职"))</f>
        <v>在职</v>
      </c>
      <c r="P3138" s="28" t="str">
        <f>IF(AND(O3138="在职",J3138="是"),COUNTIF(O$2:O3138,"在职"),"")</f>
        <v/>
      </c>
    </row>
    <row r="3139" ht="18" spans="1:16">
      <c r="A3139" s="14">
        <f t="shared" si="54"/>
        <v>3138</v>
      </c>
      <c r="B3139" s="31">
        <v>46183</v>
      </c>
      <c r="C3139" s="32" t="s">
        <v>2925</v>
      </c>
      <c r="D3139" s="120" t="s">
        <v>488</v>
      </c>
      <c r="E3139" s="33" t="s">
        <v>43</v>
      </c>
      <c r="F3139" s="18" t="s">
        <v>62</v>
      </c>
      <c r="G3139" s="18" t="s">
        <v>103</v>
      </c>
      <c r="H3139" s="34" t="s">
        <v>85</v>
      </c>
      <c r="I3139" s="18" t="s">
        <v>2154</v>
      </c>
      <c r="J3139" s="31" t="s">
        <v>105</v>
      </c>
      <c r="K3139" s="31"/>
      <c r="N3139" s="13" t="s">
        <v>30</v>
      </c>
      <c r="O3139" s="28" t="str">
        <f>IF(D3139="","",IF(COUNTIF(离职清单!C:C,D3139)&gt;0,"已离职","在职"))</f>
        <v>在职</v>
      </c>
      <c r="P3139" s="28" t="str">
        <f>IF(AND(O3139="在职",J3139="是"),COUNTIF(O$2:O3139,"在职"),"")</f>
        <v/>
      </c>
    </row>
    <row r="3140" ht="18" spans="1:16">
      <c r="A3140" s="10">
        <f t="shared" si="54"/>
        <v>3139</v>
      </c>
      <c r="B3140" s="31">
        <v>46183</v>
      </c>
      <c r="C3140" s="32" t="s">
        <v>2926</v>
      </c>
      <c r="D3140" s="120" t="s">
        <v>490</v>
      </c>
      <c r="E3140" s="33" t="s">
        <v>43</v>
      </c>
      <c r="F3140" s="18" t="s">
        <v>63</v>
      </c>
      <c r="G3140" s="18" t="s">
        <v>2250</v>
      </c>
      <c r="H3140" s="34" t="s">
        <v>85</v>
      </c>
      <c r="I3140" s="18" t="s">
        <v>114</v>
      </c>
      <c r="J3140" s="31" t="s">
        <v>114</v>
      </c>
      <c r="K3140" s="31">
        <v>46188</v>
      </c>
      <c r="N3140" s="13" t="s">
        <v>30</v>
      </c>
      <c r="O3140" s="28" t="str">
        <f>IF(D3140="","",IF(COUNTIF(离职清单!C:C,D3140)&gt;0,"已离职","在职"))</f>
        <v>在职</v>
      </c>
      <c r="P3140" s="28">
        <f>IF(AND(O3140="在职",J3140="是"),COUNTIF(O$2:O3140,"在职"),"")</f>
        <v>3133</v>
      </c>
    </row>
    <row r="3141" ht="18" spans="1:16">
      <c r="A3141" s="14">
        <f t="shared" si="54"/>
        <v>3140</v>
      </c>
      <c r="B3141" s="31">
        <v>46183</v>
      </c>
      <c r="C3141" s="32" t="s">
        <v>2927</v>
      </c>
      <c r="D3141" s="120" t="s">
        <v>492</v>
      </c>
      <c r="E3141" s="33" t="s">
        <v>42</v>
      </c>
      <c r="F3141" s="18" t="s">
        <v>63</v>
      </c>
      <c r="G3141" s="18" t="s">
        <v>2164</v>
      </c>
      <c r="H3141" s="34" t="s">
        <v>85</v>
      </c>
      <c r="I3141" s="18" t="s">
        <v>114</v>
      </c>
      <c r="J3141" s="31" t="s">
        <v>105</v>
      </c>
      <c r="K3141" s="31"/>
      <c r="N3141" s="13" t="s">
        <v>30</v>
      </c>
      <c r="O3141" s="28" t="str">
        <f>IF(D3141="","",IF(COUNTIF(离职清单!C:C,D3141)&gt;0,"已离职","在职"))</f>
        <v>在职</v>
      </c>
      <c r="P3141" s="28" t="str">
        <f>IF(AND(O3141="在职",J3141="是"),COUNTIF(O$2:O3141,"在职"),"")</f>
        <v/>
      </c>
    </row>
    <row r="3142" ht="18" spans="1:16">
      <c r="A3142" s="10">
        <f t="shared" si="54"/>
        <v>3141</v>
      </c>
      <c r="B3142" s="31">
        <v>46183</v>
      </c>
      <c r="C3142" s="32" t="s">
        <v>2928</v>
      </c>
      <c r="D3142" s="120" t="s">
        <v>477</v>
      </c>
      <c r="E3142" s="33" t="s">
        <v>42</v>
      </c>
      <c r="F3142" s="18" t="s">
        <v>64</v>
      </c>
      <c r="G3142" s="18" t="s">
        <v>2164</v>
      </c>
      <c r="H3142" s="34" t="s">
        <v>85</v>
      </c>
      <c r="I3142" s="18" t="s">
        <v>114</v>
      </c>
      <c r="J3142" s="31" t="s">
        <v>114</v>
      </c>
      <c r="K3142" s="31">
        <v>46187</v>
      </c>
      <c r="N3142" s="13" t="s">
        <v>30</v>
      </c>
      <c r="O3142" s="28" t="str">
        <f>IF(D3142="","",IF(COUNTIF(离职清单!C:C,D3142)&gt;0,"已离职","在职"))</f>
        <v>在职</v>
      </c>
      <c r="P3142" s="28">
        <f>IF(AND(O3142="在职",J3142="是"),COUNTIF(O$2:O3142,"在职"),"")</f>
        <v>3135</v>
      </c>
    </row>
    <row r="3143" ht="18" spans="1:16">
      <c r="A3143" s="14">
        <f t="shared" si="54"/>
        <v>3142</v>
      </c>
      <c r="B3143" s="31">
        <v>46183</v>
      </c>
      <c r="C3143" s="32" t="s">
        <v>2801</v>
      </c>
      <c r="D3143" s="120" t="s">
        <v>478</v>
      </c>
      <c r="E3143" s="33" t="s">
        <v>42</v>
      </c>
      <c r="F3143" s="18" t="s">
        <v>63</v>
      </c>
      <c r="G3143" s="18" t="s">
        <v>2164</v>
      </c>
      <c r="H3143" s="34" t="s">
        <v>85</v>
      </c>
      <c r="I3143" s="18" t="s">
        <v>105</v>
      </c>
      <c r="J3143" s="31" t="s">
        <v>105</v>
      </c>
      <c r="K3143" s="31"/>
      <c r="N3143" s="13" t="s">
        <v>30</v>
      </c>
      <c r="O3143" s="28" t="str">
        <f>IF(D3143="","",IF(COUNTIF(离职清单!C:C,D3143)&gt;0,"已离职","在职"))</f>
        <v>在职</v>
      </c>
      <c r="P3143" s="28" t="str">
        <f>IF(AND(O3143="在职",J3143="是"),COUNTIF(O$2:O3143,"在职"),"")</f>
        <v/>
      </c>
    </row>
    <row r="3144" ht="18" spans="1:16">
      <c r="A3144" s="10">
        <f t="shared" si="54"/>
        <v>3143</v>
      </c>
      <c r="B3144" s="31">
        <v>46183</v>
      </c>
      <c r="C3144" s="32" t="s">
        <v>2409</v>
      </c>
      <c r="D3144" s="120" t="s">
        <v>480</v>
      </c>
      <c r="E3144" s="33" t="s">
        <v>42</v>
      </c>
      <c r="F3144" s="18" t="s">
        <v>64</v>
      </c>
      <c r="G3144" s="18" t="s">
        <v>2164</v>
      </c>
      <c r="H3144" s="34" t="s">
        <v>85</v>
      </c>
      <c r="I3144" s="18" t="s">
        <v>114</v>
      </c>
      <c r="J3144" s="31" t="s">
        <v>105</v>
      </c>
      <c r="K3144" s="31"/>
      <c r="N3144" s="13" t="s">
        <v>30</v>
      </c>
      <c r="O3144" s="28" t="str">
        <f>IF(D3144="","",IF(COUNTIF(离职清单!C:C,D3144)&gt;0,"已离职","在职"))</f>
        <v>在职</v>
      </c>
      <c r="P3144" s="28" t="str">
        <f>IF(AND(O3144="在职",J3144="是"),COUNTIF(O$2:O3144,"在职"),"")</f>
        <v/>
      </c>
    </row>
    <row r="3145" ht="18" spans="1:16">
      <c r="A3145" s="14">
        <f t="shared" si="54"/>
        <v>3144</v>
      </c>
      <c r="B3145" s="31">
        <v>46183</v>
      </c>
      <c r="C3145" s="32" t="s">
        <v>2718</v>
      </c>
      <c r="D3145" s="120" t="s">
        <v>482</v>
      </c>
      <c r="E3145" s="33" t="s">
        <v>42</v>
      </c>
      <c r="F3145" s="18" t="s">
        <v>64</v>
      </c>
      <c r="G3145" s="18" t="s">
        <v>2164</v>
      </c>
      <c r="H3145" s="34" t="s">
        <v>85</v>
      </c>
      <c r="I3145" s="18" t="s">
        <v>114</v>
      </c>
      <c r="J3145" s="31" t="s">
        <v>105</v>
      </c>
      <c r="K3145" s="31"/>
      <c r="N3145" s="13" t="s">
        <v>30</v>
      </c>
      <c r="O3145" s="28" t="str">
        <f>IF(D3145="","",IF(COUNTIF(离职清单!C:C,D3145)&gt;0,"已离职","在职"))</f>
        <v>在职</v>
      </c>
      <c r="P3145" s="28" t="str">
        <f>IF(AND(O3145="在职",J3145="是"),COUNTIF(O$2:O3145,"在职"),"")</f>
        <v/>
      </c>
    </row>
    <row r="3146" ht="18" spans="1:16">
      <c r="A3146" s="10">
        <f t="shared" si="54"/>
        <v>3145</v>
      </c>
      <c r="B3146" s="31">
        <v>46183</v>
      </c>
      <c r="C3146" s="32" t="s">
        <v>2682</v>
      </c>
      <c r="D3146" s="120" t="s">
        <v>484</v>
      </c>
      <c r="E3146" s="33" t="s">
        <v>42</v>
      </c>
      <c r="F3146" s="18" t="s">
        <v>64</v>
      </c>
      <c r="G3146" s="18" t="s">
        <v>2164</v>
      </c>
      <c r="H3146" s="34" t="s">
        <v>85</v>
      </c>
      <c r="I3146" s="18" t="s">
        <v>114</v>
      </c>
      <c r="J3146" s="31" t="s">
        <v>105</v>
      </c>
      <c r="K3146" s="31"/>
      <c r="N3146" s="13" t="s">
        <v>30</v>
      </c>
      <c r="O3146" s="28" t="str">
        <f>IF(D3146="","",IF(COUNTIF(离职清单!C:C,D3146)&gt;0,"已离职","在职"))</f>
        <v>在职</v>
      </c>
      <c r="P3146" s="28" t="str">
        <f>IF(AND(O3146="在职",J3146="是"),COUNTIF(O$2:O3146,"在职"),"")</f>
        <v/>
      </c>
    </row>
    <row r="3147" ht="18" spans="1:16">
      <c r="A3147" s="14">
        <f t="shared" si="54"/>
        <v>3146</v>
      </c>
      <c r="B3147" s="31">
        <v>46183</v>
      </c>
      <c r="C3147" s="32" t="s">
        <v>2306</v>
      </c>
      <c r="D3147" s="120" t="s">
        <v>486</v>
      </c>
      <c r="E3147" s="33" t="s">
        <v>42</v>
      </c>
      <c r="F3147" s="18" t="s">
        <v>62</v>
      </c>
      <c r="G3147" s="18" t="s">
        <v>2164</v>
      </c>
      <c r="H3147" s="34" t="s">
        <v>85</v>
      </c>
      <c r="I3147" s="18" t="s">
        <v>105</v>
      </c>
      <c r="J3147" s="31" t="s">
        <v>105</v>
      </c>
      <c r="K3147" s="31"/>
      <c r="N3147" s="13" t="s">
        <v>30</v>
      </c>
      <c r="O3147" s="28" t="str">
        <f>IF(D3147="","",IF(COUNTIF(离职清单!C:C,D3147)&gt;0,"已离职","在职"))</f>
        <v>在职</v>
      </c>
      <c r="P3147" s="28" t="str">
        <f>IF(AND(O3147="在职",J3147="是"),COUNTIF(O$2:O3147,"在职"),"")</f>
        <v/>
      </c>
    </row>
    <row r="3148" ht="18" spans="1:16">
      <c r="A3148" s="10">
        <f t="shared" si="54"/>
        <v>3147</v>
      </c>
      <c r="B3148" s="31">
        <v>46183</v>
      </c>
      <c r="C3148" s="32" t="s">
        <v>2319</v>
      </c>
      <c r="D3148" s="120" t="s">
        <v>488</v>
      </c>
      <c r="E3148" s="33" t="s">
        <v>42</v>
      </c>
      <c r="F3148" s="18" t="s">
        <v>64</v>
      </c>
      <c r="G3148" s="18" t="s">
        <v>2164</v>
      </c>
      <c r="H3148" s="34" t="s">
        <v>85</v>
      </c>
      <c r="I3148" s="18" t="s">
        <v>114</v>
      </c>
      <c r="J3148" s="31" t="s">
        <v>105</v>
      </c>
      <c r="K3148" s="31"/>
      <c r="N3148" s="13" t="s">
        <v>30</v>
      </c>
      <c r="O3148" s="28" t="str">
        <f>IF(D3148="","",IF(COUNTIF(离职清单!C:C,D3148)&gt;0,"已离职","在职"))</f>
        <v>在职</v>
      </c>
      <c r="P3148" s="28" t="str">
        <f>IF(AND(O3148="在职",J3148="是"),COUNTIF(O$2:O3148,"在职"),"")</f>
        <v/>
      </c>
    </row>
    <row r="3149" ht="18" spans="1:16">
      <c r="A3149" s="14">
        <f t="shared" si="54"/>
        <v>3148</v>
      </c>
      <c r="B3149" s="31">
        <v>46183</v>
      </c>
      <c r="C3149" s="32" t="s">
        <v>2460</v>
      </c>
      <c r="D3149" s="120" t="s">
        <v>490</v>
      </c>
      <c r="E3149" s="33" t="s">
        <v>42</v>
      </c>
      <c r="F3149" s="18" t="s">
        <v>63</v>
      </c>
      <c r="G3149" s="18" t="s">
        <v>2164</v>
      </c>
      <c r="H3149" s="34" t="s">
        <v>85</v>
      </c>
      <c r="I3149" s="18" t="s">
        <v>105</v>
      </c>
      <c r="J3149" s="31" t="s">
        <v>105</v>
      </c>
      <c r="K3149" s="31"/>
      <c r="N3149" s="13" t="s">
        <v>30</v>
      </c>
      <c r="O3149" s="28" t="str">
        <f>IF(D3149="","",IF(COUNTIF(离职清单!C:C,D3149)&gt;0,"已离职","在职"))</f>
        <v>在职</v>
      </c>
      <c r="P3149" s="28" t="str">
        <f>IF(AND(O3149="在职",J3149="是"),COUNTIF(O$2:O3149,"在职"),"")</f>
        <v/>
      </c>
    </row>
    <row r="3150" ht="18" spans="1:16">
      <c r="A3150" s="10">
        <f t="shared" si="54"/>
        <v>3149</v>
      </c>
      <c r="B3150" s="31">
        <v>46183</v>
      </c>
      <c r="C3150" s="32" t="s">
        <v>2808</v>
      </c>
      <c r="D3150" s="120" t="s">
        <v>492</v>
      </c>
      <c r="E3150" s="33" t="s">
        <v>42</v>
      </c>
      <c r="F3150" s="18" t="s">
        <v>63</v>
      </c>
      <c r="G3150" s="18" t="s">
        <v>2164</v>
      </c>
      <c r="H3150" s="34" t="s">
        <v>85</v>
      </c>
      <c r="I3150" s="18" t="s">
        <v>114</v>
      </c>
      <c r="J3150" s="31" t="s">
        <v>105</v>
      </c>
      <c r="K3150" s="31"/>
      <c r="N3150" s="13" t="s">
        <v>30</v>
      </c>
      <c r="O3150" s="28" t="str">
        <f>IF(D3150="","",IF(COUNTIF(离职清单!C:C,D3150)&gt;0,"已离职","在职"))</f>
        <v>在职</v>
      </c>
      <c r="P3150" s="28" t="str">
        <f>IF(AND(O3150="在职",J3150="是"),COUNTIF(O$2:O3150,"在职"),"")</f>
        <v/>
      </c>
    </row>
    <row r="3151" ht="18" spans="1:16">
      <c r="A3151" s="14">
        <f t="shared" si="54"/>
        <v>3150</v>
      </c>
      <c r="B3151" s="31">
        <v>46183</v>
      </c>
      <c r="C3151" s="32" t="s">
        <v>2929</v>
      </c>
      <c r="D3151" s="120" t="s">
        <v>477</v>
      </c>
      <c r="E3151" s="33" t="s">
        <v>42</v>
      </c>
      <c r="F3151" s="18" t="s">
        <v>63</v>
      </c>
      <c r="G3151" s="18" t="s">
        <v>2164</v>
      </c>
      <c r="H3151" s="34" t="s">
        <v>85</v>
      </c>
      <c r="I3151" s="18" t="s">
        <v>114</v>
      </c>
      <c r="J3151" s="31" t="s">
        <v>114</v>
      </c>
      <c r="K3151" s="31">
        <v>46185</v>
      </c>
      <c r="N3151" s="13" t="s">
        <v>30</v>
      </c>
      <c r="O3151" s="28" t="str">
        <f>IF(D3151="","",IF(COUNTIF(离职清单!C:C,D3151)&gt;0,"已离职","在职"))</f>
        <v>在职</v>
      </c>
      <c r="P3151" s="28">
        <f>IF(AND(O3151="在职",J3151="是"),COUNTIF(O$2:O3151,"在职"),"")</f>
        <v>3144</v>
      </c>
    </row>
    <row r="3152" ht="18" spans="1:16">
      <c r="A3152" s="10">
        <f t="shared" si="54"/>
        <v>3151</v>
      </c>
      <c r="B3152" s="31">
        <v>46183</v>
      </c>
      <c r="C3152" s="32" t="s">
        <v>2765</v>
      </c>
      <c r="D3152" s="120" t="s">
        <v>477</v>
      </c>
      <c r="E3152" s="33" t="s">
        <v>42</v>
      </c>
      <c r="F3152" s="18" t="s">
        <v>63</v>
      </c>
      <c r="G3152" s="18" t="s">
        <v>2164</v>
      </c>
      <c r="H3152" s="34" t="s">
        <v>85</v>
      </c>
      <c r="I3152" s="18" t="s">
        <v>105</v>
      </c>
      <c r="J3152" s="31" t="s">
        <v>105</v>
      </c>
      <c r="K3152" s="31"/>
      <c r="N3152" s="13" t="s">
        <v>30</v>
      </c>
      <c r="O3152" s="28" t="str">
        <f>IF(D3152="","",IF(COUNTIF(离职清单!C:C,D3152)&gt;0,"已离职","在职"))</f>
        <v>在职</v>
      </c>
      <c r="P3152" s="28" t="str">
        <f>IF(AND(O3152="在职",J3152="是"),COUNTIF(O$2:O3152,"在职"),"")</f>
        <v/>
      </c>
    </row>
    <row r="3153" ht="18" spans="1:16">
      <c r="A3153" s="14">
        <f t="shared" si="54"/>
        <v>3152</v>
      </c>
      <c r="B3153" s="31">
        <v>46183</v>
      </c>
      <c r="C3153" s="32" t="s">
        <v>2735</v>
      </c>
      <c r="D3153" s="120" t="s">
        <v>478</v>
      </c>
      <c r="E3153" s="33" t="s">
        <v>42</v>
      </c>
      <c r="F3153" s="18" t="s">
        <v>64</v>
      </c>
      <c r="G3153" s="18" t="s">
        <v>2250</v>
      </c>
      <c r="H3153" s="34" t="s">
        <v>85</v>
      </c>
      <c r="I3153" s="18" t="s">
        <v>114</v>
      </c>
      <c r="J3153" s="31" t="s">
        <v>105</v>
      </c>
      <c r="K3153" s="31"/>
      <c r="N3153" s="13" t="s">
        <v>30</v>
      </c>
      <c r="O3153" s="28" t="str">
        <f>IF(D3153="","",IF(COUNTIF(离职清单!C:C,D3153)&gt;0,"已离职","在职"))</f>
        <v>在职</v>
      </c>
      <c r="P3153" s="28" t="str">
        <f>IF(AND(O3153="在职",J3153="是"),COUNTIF(O$2:O3153,"在职"),"")</f>
        <v/>
      </c>
    </row>
    <row r="3154" ht="18" spans="1:16">
      <c r="A3154" s="10">
        <f t="shared" si="54"/>
        <v>3153</v>
      </c>
      <c r="B3154" s="31">
        <v>46184</v>
      </c>
      <c r="C3154" s="32" t="s">
        <v>2252</v>
      </c>
      <c r="D3154" s="120" t="s">
        <v>480</v>
      </c>
      <c r="E3154" s="33" t="s">
        <v>43</v>
      </c>
      <c r="F3154" s="18" t="s">
        <v>63</v>
      </c>
      <c r="G3154" s="18" t="s">
        <v>2250</v>
      </c>
      <c r="H3154" s="34" t="s">
        <v>85</v>
      </c>
      <c r="I3154" s="18" t="s">
        <v>105</v>
      </c>
      <c r="J3154" s="31" t="s">
        <v>105</v>
      </c>
      <c r="K3154" s="31"/>
      <c r="N3154" s="13" t="s">
        <v>30</v>
      </c>
      <c r="O3154" s="28" t="str">
        <f>IF(D3154="","",IF(COUNTIF(离职清单!C:C,D3154)&gt;0,"已离职","在职"))</f>
        <v>在职</v>
      </c>
      <c r="P3154" s="28" t="str">
        <f>IF(AND(O3154="在职",J3154="是"),COUNTIF(O$2:O3154,"在职"),"")</f>
        <v/>
      </c>
    </row>
    <row r="3155" ht="18" spans="1:16">
      <c r="A3155" s="14">
        <f t="shared" si="54"/>
        <v>3154</v>
      </c>
      <c r="B3155" s="31">
        <v>46184</v>
      </c>
      <c r="C3155" s="32" t="s">
        <v>2930</v>
      </c>
      <c r="D3155" s="120" t="s">
        <v>482</v>
      </c>
      <c r="E3155" s="33" t="s">
        <v>43</v>
      </c>
      <c r="F3155" s="18" t="s">
        <v>63</v>
      </c>
      <c r="G3155" s="18" t="s">
        <v>2250</v>
      </c>
      <c r="H3155" s="34" t="s">
        <v>85</v>
      </c>
      <c r="I3155" s="18" t="s">
        <v>114</v>
      </c>
      <c r="J3155" s="31" t="s">
        <v>114</v>
      </c>
      <c r="K3155" s="31">
        <v>46188</v>
      </c>
      <c r="N3155" s="13" t="s">
        <v>30</v>
      </c>
      <c r="O3155" s="28" t="str">
        <f>IF(D3155="","",IF(COUNTIF(离职清单!C:C,D3155)&gt;0,"已离职","在职"))</f>
        <v>在职</v>
      </c>
      <c r="P3155" s="28">
        <f>IF(AND(O3155="在职",J3155="是"),COUNTIF(O$2:O3155,"在职"),"")</f>
        <v>3148</v>
      </c>
    </row>
    <row r="3156" ht="18" spans="1:16">
      <c r="A3156" s="10">
        <f t="shared" si="54"/>
        <v>3155</v>
      </c>
      <c r="B3156" s="31">
        <v>46184</v>
      </c>
      <c r="C3156" s="32" t="s">
        <v>2931</v>
      </c>
      <c r="D3156" s="120" t="s">
        <v>484</v>
      </c>
      <c r="E3156" s="33" t="s">
        <v>43</v>
      </c>
      <c r="F3156" s="18" t="s">
        <v>63</v>
      </c>
      <c r="G3156" s="18" t="s">
        <v>2250</v>
      </c>
      <c r="H3156" s="34" t="s">
        <v>85</v>
      </c>
      <c r="I3156" s="18" t="s">
        <v>105</v>
      </c>
      <c r="J3156" s="31" t="s">
        <v>105</v>
      </c>
      <c r="K3156" s="31"/>
      <c r="N3156" s="13" t="s">
        <v>30</v>
      </c>
      <c r="O3156" s="28" t="str">
        <f>IF(D3156="","",IF(COUNTIF(离职清单!C:C,D3156)&gt;0,"已离职","在职"))</f>
        <v>在职</v>
      </c>
      <c r="P3156" s="28" t="str">
        <f>IF(AND(O3156="在职",J3156="是"),COUNTIF(O$2:O3156,"在职"),"")</f>
        <v/>
      </c>
    </row>
    <row r="3157" ht="18" spans="1:16">
      <c r="A3157" s="14">
        <f t="shared" si="54"/>
        <v>3156</v>
      </c>
      <c r="B3157" s="31">
        <v>46184</v>
      </c>
      <c r="C3157" s="32" t="s">
        <v>2932</v>
      </c>
      <c r="D3157" s="120" t="s">
        <v>486</v>
      </c>
      <c r="E3157" s="33" t="s">
        <v>43</v>
      </c>
      <c r="F3157" s="18" t="s">
        <v>63</v>
      </c>
      <c r="G3157" s="18" t="s">
        <v>2250</v>
      </c>
      <c r="H3157" s="34" t="s">
        <v>85</v>
      </c>
      <c r="I3157" s="18" t="s">
        <v>105</v>
      </c>
      <c r="J3157" s="31" t="s">
        <v>105</v>
      </c>
      <c r="K3157" s="31"/>
      <c r="N3157" s="13" t="s">
        <v>30</v>
      </c>
      <c r="O3157" s="28" t="str">
        <f>IF(D3157="","",IF(COUNTIF(离职清单!C:C,D3157)&gt;0,"已离职","在职"))</f>
        <v>在职</v>
      </c>
      <c r="P3157" s="28" t="str">
        <f>IF(AND(O3157="在职",J3157="是"),COUNTIF(O$2:O3157,"在职"),"")</f>
        <v/>
      </c>
    </row>
    <row r="3158" ht="18" spans="1:16">
      <c r="A3158" s="10">
        <f t="shared" si="54"/>
        <v>3157</v>
      </c>
      <c r="B3158" s="31">
        <v>46184</v>
      </c>
      <c r="C3158" s="32" t="s">
        <v>2933</v>
      </c>
      <c r="D3158" s="120" t="s">
        <v>488</v>
      </c>
      <c r="E3158" s="33" t="s">
        <v>43</v>
      </c>
      <c r="F3158" s="18" t="s">
        <v>62</v>
      </c>
      <c r="G3158" s="18" t="s">
        <v>2250</v>
      </c>
      <c r="H3158" s="34" t="s">
        <v>85</v>
      </c>
      <c r="I3158" s="18" t="s">
        <v>105</v>
      </c>
      <c r="J3158" s="31" t="s">
        <v>105</v>
      </c>
      <c r="K3158" s="31"/>
      <c r="N3158" s="13" t="s">
        <v>30</v>
      </c>
      <c r="O3158" s="28" t="str">
        <f>IF(D3158="","",IF(COUNTIF(离职清单!C:C,D3158)&gt;0,"已离职","在职"))</f>
        <v>在职</v>
      </c>
      <c r="P3158" s="28" t="str">
        <f>IF(AND(O3158="在职",J3158="是"),COUNTIF(O$2:O3158,"在职"),"")</f>
        <v/>
      </c>
    </row>
    <row r="3159" ht="18" spans="1:16">
      <c r="A3159" s="14">
        <f t="shared" si="54"/>
        <v>3158</v>
      </c>
      <c r="B3159" s="31">
        <v>46184</v>
      </c>
      <c r="C3159" s="32" t="s">
        <v>2934</v>
      </c>
      <c r="D3159" s="120" t="s">
        <v>490</v>
      </c>
      <c r="E3159" s="33" t="s">
        <v>43</v>
      </c>
      <c r="F3159" s="18" t="s">
        <v>63</v>
      </c>
      <c r="G3159" s="18" t="s">
        <v>2250</v>
      </c>
      <c r="H3159" s="34" t="s">
        <v>85</v>
      </c>
      <c r="I3159" s="18" t="s">
        <v>105</v>
      </c>
      <c r="J3159" s="31" t="s">
        <v>105</v>
      </c>
      <c r="K3159" s="31"/>
      <c r="N3159" s="13" t="s">
        <v>30</v>
      </c>
      <c r="O3159" s="28" t="str">
        <f>IF(D3159="","",IF(COUNTIF(离职清单!C:C,D3159)&gt;0,"已离职","在职"))</f>
        <v>在职</v>
      </c>
      <c r="P3159" s="28" t="str">
        <f>IF(AND(O3159="在职",J3159="是"),COUNTIF(O$2:O3159,"在职"),"")</f>
        <v/>
      </c>
    </row>
    <row r="3160" ht="18" spans="1:16">
      <c r="A3160" s="10">
        <f t="shared" si="54"/>
        <v>3159</v>
      </c>
      <c r="B3160" s="31">
        <v>46184</v>
      </c>
      <c r="C3160" s="32" t="s">
        <v>2935</v>
      </c>
      <c r="D3160" s="120" t="s">
        <v>492</v>
      </c>
      <c r="E3160" s="33" t="s">
        <v>43</v>
      </c>
      <c r="F3160" s="18" t="s">
        <v>62</v>
      </c>
      <c r="G3160" s="18" t="s">
        <v>2153</v>
      </c>
      <c r="H3160" s="34" t="s">
        <v>85</v>
      </c>
      <c r="I3160" s="18" t="s">
        <v>2154</v>
      </c>
      <c r="J3160" s="31" t="s">
        <v>105</v>
      </c>
      <c r="K3160" s="31"/>
      <c r="N3160" s="13" t="s">
        <v>30</v>
      </c>
      <c r="O3160" s="28" t="str">
        <f>IF(D3160="","",IF(COUNTIF(离职清单!C:C,D3160)&gt;0,"已离职","在职"))</f>
        <v>在职</v>
      </c>
      <c r="P3160" s="28" t="str">
        <f>IF(AND(O3160="在职",J3160="是"),COUNTIF(O$2:O3160,"在职"),"")</f>
        <v/>
      </c>
    </row>
    <row r="3161" ht="18" spans="1:16">
      <c r="A3161" s="14">
        <f t="shared" si="54"/>
        <v>3160</v>
      </c>
      <c r="B3161" s="31">
        <v>46184</v>
      </c>
      <c r="C3161" s="32" t="s">
        <v>2917</v>
      </c>
      <c r="D3161" s="120" t="s">
        <v>477</v>
      </c>
      <c r="E3161" s="33" t="s">
        <v>43</v>
      </c>
      <c r="F3161" s="18" t="s">
        <v>63</v>
      </c>
      <c r="G3161" s="18" t="s">
        <v>2153</v>
      </c>
      <c r="H3161" s="34" t="s">
        <v>85</v>
      </c>
      <c r="I3161" s="18" t="s">
        <v>105</v>
      </c>
      <c r="J3161" s="31" t="s">
        <v>105</v>
      </c>
      <c r="K3161" s="31"/>
      <c r="N3161" s="13" t="s">
        <v>30</v>
      </c>
      <c r="O3161" s="28" t="str">
        <f>IF(D3161="","",IF(COUNTIF(离职清单!C:C,D3161)&gt;0,"已离职","在职"))</f>
        <v>在职</v>
      </c>
      <c r="P3161" s="28" t="str">
        <f>IF(AND(O3161="在职",J3161="是"),COUNTIF(O$2:O3161,"在职"),"")</f>
        <v/>
      </c>
    </row>
    <row r="3162" ht="18" spans="1:16">
      <c r="A3162" s="10">
        <f t="shared" si="54"/>
        <v>3161</v>
      </c>
      <c r="B3162" s="31">
        <v>46184</v>
      </c>
      <c r="C3162" s="32" t="s">
        <v>2936</v>
      </c>
      <c r="D3162" s="120" t="s">
        <v>478</v>
      </c>
      <c r="E3162" s="33" t="s">
        <v>43</v>
      </c>
      <c r="F3162" s="18" t="s">
        <v>62</v>
      </c>
      <c r="G3162" s="18" t="s">
        <v>124</v>
      </c>
      <c r="H3162" s="34" t="s">
        <v>85</v>
      </c>
      <c r="I3162" s="18" t="s">
        <v>105</v>
      </c>
      <c r="J3162" s="31" t="s">
        <v>105</v>
      </c>
      <c r="K3162" s="31"/>
      <c r="N3162" s="13" t="s">
        <v>30</v>
      </c>
      <c r="O3162" s="28" t="str">
        <f>IF(D3162="","",IF(COUNTIF(离职清单!C:C,D3162)&gt;0,"已离职","在职"))</f>
        <v>在职</v>
      </c>
      <c r="P3162" s="28" t="str">
        <f>IF(AND(O3162="在职",J3162="是"),COUNTIF(O$2:O3162,"在职"),"")</f>
        <v/>
      </c>
    </row>
    <row r="3163" ht="18" spans="1:16">
      <c r="A3163" s="14">
        <f t="shared" si="54"/>
        <v>3162</v>
      </c>
      <c r="B3163" s="31">
        <v>46184</v>
      </c>
      <c r="C3163" s="32" t="s">
        <v>2937</v>
      </c>
      <c r="D3163" s="120" t="s">
        <v>480</v>
      </c>
      <c r="E3163" s="33" t="s">
        <v>43</v>
      </c>
      <c r="F3163" s="18" t="s">
        <v>62</v>
      </c>
      <c r="G3163" s="18" t="s">
        <v>148</v>
      </c>
      <c r="H3163" s="34" t="s">
        <v>85</v>
      </c>
      <c r="I3163" s="18" t="s">
        <v>2154</v>
      </c>
      <c r="J3163" s="31" t="s">
        <v>105</v>
      </c>
      <c r="K3163" s="31"/>
      <c r="N3163" s="13" t="s">
        <v>30</v>
      </c>
      <c r="O3163" s="28" t="str">
        <f>IF(D3163="","",IF(COUNTIF(离职清单!C:C,D3163)&gt;0,"已离职","在职"))</f>
        <v>在职</v>
      </c>
      <c r="P3163" s="28" t="str">
        <f>IF(AND(O3163="在职",J3163="是"),COUNTIF(O$2:O3163,"在职"),"")</f>
        <v/>
      </c>
    </row>
    <row r="3164" ht="18" spans="1:16">
      <c r="A3164" s="10">
        <f t="shared" si="54"/>
        <v>3163</v>
      </c>
      <c r="B3164" s="31">
        <v>46184</v>
      </c>
      <c r="C3164" s="32" t="s">
        <v>2938</v>
      </c>
      <c r="D3164" s="120" t="s">
        <v>482</v>
      </c>
      <c r="E3164" s="33" t="s">
        <v>43</v>
      </c>
      <c r="F3164" s="18" t="s">
        <v>62</v>
      </c>
      <c r="G3164" s="18" t="s">
        <v>148</v>
      </c>
      <c r="H3164" s="34" t="s">
        <v>85</v>
      </c>
      <c r="I3164" s="18" t="s">
        <v>2154</v>
      </c>
      <c r="J3164" s="31" t="s">
        <v>105</v>
      </c>
      <c r="K3164" s="31"/>
      <c r="N3164" s="13" t="s">
        <v>30</v>
      </c>
      <c r="O3164" s="28" t="str">
        <f>IF(D3164="","",IF(COUNTIF(离职清单!C:C,D3164)&gt;0,"已离职","在职"))</f>
        <v>在职</v>
      </c>
      <c r="P3164" s="28" t="str">
        <f>IF(AND(O3164="在职",J3164="是"),COUNTIF(O$2:O3164,"在职"),"")</f>
        <v/>
      </c>
    </row>
    <row r="3165" ht="18" spans="1:16">
      <c r="A3165" s="14">
        <f t="shared" si="54"/>
        <v>3164</v>
      </c>
      <c r="B3165" s="31">
        <v>46184</v>
      </c>
      <c r="C3165" s="32" t="s">
        <v>2939</v>
      </c>
      <c r="D3165" s="120" t="s">
        <v>484</v>
      </c>
      <c r="E3165" s="33" t="s">
        <v>43</v>
      </c>
      <c r="F3165" s="18" t="s">
        <v>63</v>
      </c>
      <c r="G3165" s="18" t="s">
        <v>148</v>
      </c>
      <c r="H3165" s="34" t="s">
        <v>85</v>
      </c>
      <c r="I3165" s="18" t="s">
        <v>2154</v>
      </c>
      <c r="J3165" s="31" t="s">
        <v>105</v>
      </c>
      <c r="K3165" s="31"/>
      <c r="N3165" s="13" t="s">
        <v>30</v>
      </c>
      <c r="O3165" s="28" t="str">
        <f>IF(D3165="","",IF(COUNTIF(离职清单!C:C,D3165)&gt;0,"已离职","在职"))</f>
        <v>在职</v>
      </c>
      <c r="P3165" s="28" t="str">
        <f>IF(AND(O3165="在职",J3165="是"),COUNTIF(O$2:O3165,"在职"),"")</f>
        <v/>
      </c>
    </row>
    <row r="3166" ht="18" spans="1:16">
      <c r="A3166" s="10">
        <f t="shared" si="54"/>
        <v>3165</v>
      </c>
      <c r="B3166" s="31">
        <v>46184</v>
      </c>
      <c r="C3166" s="32" t="s">
        <v>2940</v>
      </c>
      <c r="D3166" s="120" t="s">
        <v>486</v>
      </c>
      <c r="E3166" s="33" t="s">
        <v>43</v>
      </c>
      <c r="F3166" s="18" t="s">
        <v>62</v>
      </c>
      <c r="G3166" s="18" t="s">
        <v>148</v>
      </c>
      <c r="H3166" s="34" t="s">
        <v>85</v>
      </c>
      <c r="I3166" s="18" t="s">
        <v>114</v>
      </c>
      <c r="J3166" s="31" t="s">
        <v>114</v>
      </c>
      <c r="K3166" s="31">
        <v>46186</v>
      </c>
      <c r="N3166" s="13" t="s">
        <v>30</v>
      </c>
      <c r="O3166" s="28" t="str">
        <f>IF(D3166="","",IF(COUNTIF(离职清单!C:C,D3166)&gt;0,"已离职","在职"))</f>
        <v>在职</v>
      </c>
      <c r="P3166" s="28">
        <f>IF(AND(O3166="在职",J3166="是"),COUNTIF(O$2:O3166,"在职"),"")</f>
        <v>3159</v>
      </c>
    </row>
    <row r="3167" ht="18" spans="1:16">
      <c r="A3167" s="14">
        <f t="shared" si="54"/>
        <v>3166</v>
      </c>
      <c r="B3167" s="31">
        <v>46184</v>
      </c>
      <c r="C3167" s="32" t="s">
        <v>2470</v>
      </c>
      <c r="D3167" s="120" t="s">
        <v>488</v>
      </c>
      <c r="E3167" s="33" t="s">
        <v>43</v>
      </c>
      <c r="F3167" s="18" t="s">
        <v>63</v>
      </c>
      <c r="G3167" s="18" t="s">
        <v>148</v>
      </c>
      <c r="H3167" s="34" t="s">
        <v>85</v>
      </c>
      <c r="I3167" s="18" t="s">
        <v>114</v>
      </c>
      <c r="J3167" s="31" t="s">
        <v>105</v>
      </c>
      <c r="K3167" s="31"/>
      <c r="N3167" s="13" t="s">
        <v>30</v>
      </c>
      <c r="O3167" s="28" t="str">
        <f>IF(D3167="","",IF(COUNTIF(离职清单!C:C,D3167)&gt;0,"已离职","在职"))</f>
        <v>在职</v>
      </c>
      <c r="P3167" s="28" t="str">
        <f>IF(AND(O3167="在职",J3167="是"),COUNTIF(O$2:O3167,"在职"),"")</f>
        <v/>
      </c>
    </row>
    <row r="3168" ht="18" spans="1:16">
      <c r="A3168" s="10">
        <f t="shared" si="54"/>
        <v>3167</v>
      </c>
      <c r="B3168" s="31">
        <v>46184</v>
      </c>
      <c r="C3168" s="32" t="s">
        <v>2864</v>
      </c>
      <c r="D3168" s="120" t="s">
        <v>490</v>
      </c>
      <c r="E3168" s="33" t="s">
        <v>43</v>
      </c>
      <c r="F3168" s="18" t="s">
        <v>63</v>
      </c>
      <c r="G3168" s="18" t="s">
        <v>148</v>
      </c>
      <c r="H3168" s="34" t="s">
        <v>85</v>
      </c>
      <c r="I3168" s="18" t="s">
        <v>2154</v>
      </c>
      <c r="J3168" s="31" t="s">
        <v>105</v>
      </c>
      <c r="K3168" s="31"/>
      <c r="N3168" s="13" t="s">
        <v>30</v>
      </c>
      <c r="O3168" s="28" t="str">
        <f>IF(D3168="","",IF(COUNTIF(离职清单!C:C,D3168)&gt;0,"已离职","在职"))</f>
        <v>在职</v>
      </c>
      <c r="P3168" s="28" t="str">
        <f>IF(AND(O3168="在职",J3168="是"),COUNTIF(O$2:O3168,"在职"),"")</f>
        <v/>
      </c>
    </row>
    <row r="3169" ht="18" spans="1:16">
      <c r="A3169" s="14">
        <f t="shared" si="54"/>
        <v>3168</v>
      </c>
      <c r="B3169" s="31">
        <v>46184</v>
      </c>
      <c r="C3169" s="32" t="s">
        <v>2866</v>
      </c>
      <c r="D3169" s="120" t="s">
        <v>492</v>
      </c>
      <c r="E3169" s="33" t="s">
        <v>43</v>
      </c>
      <c r="F3169" s="18" t="s">
        <v>64</v>
      </c>
      <c r="G3169" s="18" t="s">
        <v>148</v>
      </c>
      <c r="H3169" s="34" t="s">
        <v>85</v>
      </c>
      <c r="I3169" s="18" t="s">
        <v>105</v>
      </c>
      <c r="J3169" s="31" t="s">
        <v>105</v>
      </c>
      <c r="K3169" s="31"/>
      <c r="N3169" s="13" t="s">
        <v>30</v>
      </c>
      <c r="O3169" s="28" t="str">
        <f>IF(D3169="","",IF(COUNTIF(离职清单!C:C,D3169)&gt;0,"已离职","在职"))</f>
        <v>在职</v>
      </c>
      <c r="P3169" s="28" t="str">
        <f>IF(AND(O3169="在职",J3169="是"),COUNTIF(O$2:O3169,"在职"),"")</f>
        <v/>
      </c>
    </row>
    <row r="3170" ht="18" spans="1:16">
      <c r="A3170" s="10">
        <f t="shared" si="54"/>
        <v>3169</v>
      </c>
      <c r="B3170" s="31">
        <v>46184</v>
      </c>
      <c r="C3170" s="32" t="s">
        <v>2941</v>
      </c>
      <c r="D3170" s="120" t="s">
        <v>477</v>
      </c>
      <c r="E3170" s="33" t="s">
        <v>42</v>
      </c>
      <c r="F3170" s="18" t="s">
        <v>62</v>
      </c>
      <c r="G3170" s="18" t="s">
        <v>2156</v>
      </c>
      <c r="H3170" s="34" t="s">
        <v>85</v>
      </c>
      <c r="I3170" s="18" t="s">
        <v>2154</v>
      </c>
      <c r="J3170" s="31" t="s">
        <v>105</v>
      </c>
      <c r="K3170" s="31"/>
      <c r="N3170" s="13" t="s">
        <v>30</v>
      </c>
      <c r="O3170" s="28" t="str">
        <f>IF(D3170="","",IF(COUNTIF(离职清单!C:C,D3170)&gt;0,"已离职","在职"))</f>
        <v>在职</v>
      </c>
      <c r="P3170" s="28" t="str">
        <f>IF(AND(O3170="在职",J3170="是"),COUNTIF(O$2:O3170,"在职"),"")</f>
        <v/>
      </c>
    </row>
    <row r="3171" ht="18" spans="1:16">
      <c r="A3171" s="14">
        <f t="shared" si="54"/>
        <v>3170</v>
      </c>
      <c r="B3171" s="31">
        <v>46184</v>
      </c>
      <c r="C3171" s="32" t="s">
        <v>2942</v>
      </c>
      <c r="D3171" s="120" t="s">
        <v>478</v>
      </c>
      <c r="E3171" s="33" t="s">
        <v>42</v>
      </c>
      <c r="F3171" s="18" t="s">
        <v>63</v>
      </c>
      <c r="G3171" s="18" t="s">
        <v>2156</v>
      </c>
      <c r="H3171" s="34" t="s">
        <v>85</v>
      </c>
      <c r="I3171" s="18" t="s">
        <v>2154</v>
      </c>
      <c r="J3171" s="31" t="s">
        <v>105</v>
      </c>
      <c r="K3171" s="31"/>
      <c r="N3171" s="13" t="s">
        <v>30</v>
      </c>
      <c r="O3171" s="28" t="str">
        <f>IF(D3171="","",IF(COUNTIF(离职清单!C:C,D3171)&gt;0,"已离职","在职"))</f>
        <v>在职</v>
      </c>
      <c r="P3171" s="28" t="str">
        <f>IF(AND(O3171="在职",J3171="是"),COUNTIF(O$2:O3171,"在职"),"")</f>
        <v/>
      </c>
    </row>
    <row r="3172" ht="18" spans="1:16">
      <c r="A3172" s="10">
        <f t="shared" si="54"/>
        <v>3171</v>
      </c>
      <c r="B3172" s="31">
        <v>46184</v>
      </c>
      <c r="C3172" s="32" t="s">
        <v>2943</v>
      </c>
      <c r="D3172" s="120" t="s">
        <v>480</v>
      </c>
      <c r="E3172" s="33" t="s">
        <v>42</v>
      </c>
      <c r="F3172" s="18" t="s">
        <v>63</v>
      </c>
      <c r="G3172" s="18" t="s">
        <v>2250</v>
      </c>
      <c r="H3172" s="34" t="s">
        <v>85</v>
      </c>
      <c r="I3172" s="18" t="s">
        <v>2154</v>
      </c>
      <c r="J3172" s="31" t="s">
        <v>105</v>
      </c>
      <c r="K3172" s="31"/>
      <c r="N3172" s="13" t="s">
        <v>30</v>
      </c>
      <c r="O3172" s="28" t="str">
        <f>IF(D3172="","",IF(COUNTIF(离职清单!C:C,D3172)&gt;0,"已离职","在职"))</f>
        <v>在职</v>
      </c>
      <c r="P3172" s="28" t="str">
        <f>IF(AND(O3172="在职",J3172="是"),COUNTIF(O$2:O3172,"在职"),"")</f>
        <v/>
      </c>
    </row>
    <row r="3173" ht="18" spans="1:16">
      <c r="A3173" s="14">
        <f t="shared" si="54"/>
        <v>3172</v>
      </c>
      <c r="B3173" s="31">
        <v>46184</v>
      </c>
      <c r="C3173" s="32" t="s">
        <v>2944</v>
      </c>
      <c r="D3173" s="120" t="s">
        <v>482</v>
      </c>
      <c r="E3173" s="33" t="s">
        <v>42</v>
      </c>
      <c r="F3173" s="18" t="s">
        <v>63</v>
      </c>
      <c r="G3173" s="18" t="s">
        <v>2945</v>
      </c>
      <c r="H3173" s="34" t="s">
        <v>85</v>
      </c>
      <c r="I3173" s="18" t="s">
        <v>2154</v>
      </c>
      <c r="J3173" s="31" t="s">
        <v>105</v>
      </c>
      <c r="K3173" s="31"/>
      <c r="N3173" s="13" t="s">
        <v>30</v>
      </c>
      <c r="O3173" s="28" t="str">
        <f>IF(D3173="","",IF(COUNTIF(离职清单!C:C,D3173)&gt;0,"已离职","在职"))</f>
        <v>在职</v>
      </c>
      <c r="P3173" s="28" t="str">
        <f>IF(AND(O3173="在职",J3173="是"),COUNTIF(O$2:O3173,"在职"),"")</f>
        <v/>
      </c>
    </row>
    <row r="3174" ht="18" spans="1:16">
      <c r="A3174" s="10">
        <f t="shared" si="54"/>
        <v>3173</v>
      </c>
      <c r="B3174" s="31">
        <v>46184</v>
      </c>
      <c r="C3174" s="32" t="s">
        <v>2946</v>
      </c>
      <c r="D3174" s="120" t="s">
        <v>484</v>
      </c>
      <c r="E3174" s="33" t="s">
        <v>42</v>
      </c>
      <c r="F3174" s="18" t="s">
        <v>63</v>
      </c>
      <c r="G3174" s="18" t="s">
        <v>2153</v>
      </c>
      <c r="H3174" s="34" t="s">
        <v>85</v>
      </c>
      <c r="I3174" s="18" t="s">
        <v>2154</v>
      </c>
      <c r="J3174" s="31" t="s">
        <v>105</v>
      </c>
      <c r="K3174" s="31"/>
      <c r="N3174" s="13" t="s">
        <v>30</v>
      </c>
      <c r="O3174" s="28" t="str">
        <f>IF(D3174="","",IF(COUNTIF(离职清单!C:C,D3174)&gt;0,"已离职","在职"))</f>
        <v>在职</v>
      </c>
      <c r="P3174" s="28" t="str">
        <f>IF(AND(O3174="在职",J3174="是"),COUNTIF(O$2:O3174,"在职"),"")</f>
        <v/>
      </c>
    </row>
    <row r="3175" ht="18" spans="1:16">
      <c r="A3175" s="14">
        <f t="shared" si="54"/>
        <v>3174</v>
      </c>
      <c r="B3175" s="31">
        <v>46184</v>
      </c>
      <c r="C3175" s="32" t="s">
        <v>2376</v>
      </c>
      <c r="D3175" s="120" t="s">
        <v>486</v>
      </c>
      <c r="E3175" s="33" t="s">
        <v>42</v>
      </c>
      <c r="F3175" s="18" t="s">
        <v>63</v>
      </c>
      <c r="G3175" s="18" t="s">
        <v>2153</v>
      </c>
      <c r="H3175" s="34" t="s">
        <v>85</v>
      </c>
      <c r="I3175" s="18" t="s">
        <v>2154</v>
      </c>
      <c r="J3175" s="31" t="s">
        <v>105</v>
      </c>
      <c r="K3175" s="31"/>
      <c r="N3175" s="13" t="s">
        <v>30</v>
      </c>
      <c r="O3175" s="28" t="str">
        <f>IF(D3175="","",IF(COUNTIF(离职清单!C:C,D3175)&gt;0,"已离职","在职"))</f>
        <v>在职</v>
      </c>
      <c r="P3175" s="28" t="str">
        <f>IF(AND(O3175="在职",J3175="是"),COUNTIF(O$2:O3175,"在职"),"")</f>
        <v/>
      </c>
    </row>
    <row r="3176" ht="18" spans="1:16">
      <c r="A3176" s="10">
        <f t="shared" si="54"/>
        <v>3175</v>
      </c>
      <c r="B3176" s="31">
        <v>46184</v>
      </c>
      <c r="C3176" s="32" t="s">
        <v>2947</v>
      </c>
      <c r="D3176" s="120" t="s">
        <v>488</v>
      </c>
      <c r="E3176" s="33" t="s">
        <v>42</v>
      </c>
      <c r="F3176" s="18" t="s">
        <v>63</v>
      </c>
      <c r="G3176" s="18" t="s">
        <v>2153</v>
      </c>
      <c r="H3176" s="34" t="s">
        <v>85</v>
      </c>
      <c r="I3176" s="18" t="s">
        <v>2154</v>
      </c>
      <c r="J3176" s="31" t="s">
        <v>105</v>
      </c>
      <c r="K3176" s="31"/>
      <c r="N3176" s="13" t="s">
        <v>30</v>
      </c>
      <c r="O3176" s="28" t="str">
        <f>IF(D3176="","",IF(COUNTIF(离职清单!C:C,D3176)&gt;0,"已离职","在职"))</f>
        <v>在职</v>
      </c>
      <c r="P3176" s="28" t="str">
        <f>IF(AND(O3176="在职",J3176="是"),COUNTIF(O$2:O3176,"在职"),"")</f>
        <v/>
      </c>
    </row>
    <row r="3177" ht="18" spans="1:16">
      <c r="A3177" s="14">
        <f t="shared" si="54"/>
        <v>3176</v>
      </c>
      <c r="B3177" s="31">
        <v>46184</v>
      </c>
      <c r="C3177" s="32" t="s">
        <v>2948</v>
      </c>
      <c r="D3177" s="120" t="s">
        <v>490</v>
      </c>
      <c r="E3177" s="33" t="s">
        <v>42</v>
      </c>
      <c r="F3177" s="18" t="s">
        <v>63</v>
      </c>
      <c r="G3177" s="18" t="s">
        <v>2153</v>
      </c>
      <c r="H3177" s="34" t="s">
        <v>85</v>
      </c>
      <c r="I3177" s="18" t="s">
        <v>2154</v>
      </c>
      <c r="J3177" s="31" t="s">
        <v>105</v>
      </c>
      <c r="K3177" s="31"/>
      <c r="N3177" s="13" t="s">
        <v>30</v>
      </c>
      <c r="O3177" s="28" t="str">
        <f>IF(D3177="","",IF(COUNTIF(离职清单!C:C,D3177)&gt;0,"已离职","在职"))</f>
        <v>在职</v>
      </c>
      <c r="P3177" s="28" t="str">
        <f>IF(AND(O3177="在职",J3177="是"),COUNTIF(O$2:O3177,"在职"),"")</f>
        <v/>
      </c>
    </row>
    <row r="3178" ht="18" spans="1:16">
      <c r="A3178" s="10">
        <f t="shared" si="54"/>
        <v>3177</v>
      </c>
      <c r="B3178" s="31">
        <v>46184</v>
      </c>
      <c r="C3178" s="32" t="s">
        <v>2949</v>
      </c>
      <c r="D3178" s="120" t="s">
        <v>492</v>
      </c>
      <c r="E3178" s="33" t="s">
        <v>42</v>
      </c>
      <c r="F3178" s="18" t="s">
        <v>63</v>
      </c>
      <c r="G3178" s="18" t="s">
        <v>2179</v>
      </c>
      <c r="H3178" s="34" t="s">
        <v>85</v>
      </c>
      <c r="I3178" s="18" t="s">
        <v>2154</v>
      </c>
      <c r="J3178" s="31" t="s">
        <v>105</v>
      </c>
      <c r="K3178" s="31"/>
      <c r="N3178" s="13" t="s">
        <v>30</v>
      </c>
      <c r="O3178" s="28" t="str">
        <f>IF(D3178="","",IF(COUNTIF(离职清单!C:C,D3178)&gt;0,"已离职","在职"))</f>
        <v>在职</v>
      </c>
      <c r="P3178" s="28" t="str">
        <f>IF(AND(O3178="在职",J3178="是"),COUNTIF(O$2:O3178,"在职"),"")</f>
        <v/>
      </c>
    </row>
    <row r="3179" ht="18" spans="1:16">
      <c r="A3179" s="14">
        <f t="shared" si="54"/>
        <v>3178</v>
      </c>
      <c r="B3179" s="31">
        <v>46184</v>
      </c>
      <c r="C3179" s="32" t="s">
        <v>2950</v>
      </c>
      <c r="D3179" s="120" t="s">
        <v>477</v>
      </c>
      <c r="E3179" s="33" t="s">
        <v>42</v>
      </c>
      <c r="F3179" s="18" t="s">
        <v>63</v>
      </c>
      <c r="G3179" s="18" t="s">
        <v>2250</v>
      </c>
      <c r="H3179" s="34" t="s">
        <v>85</v>
      </c>
      <c r="I3179" s="18" t="s">
        <v>114</v>
      </c>
      <c r="J3179" s="31" t="s">
        <v>114</v>
      </c>
      <c r="K3179" s="31">
        <v>46185</v>
      </c>
      <c r="N3179" s="13" t="s">
        <v>30</v>
      </c>
      <c r="O3179" s="28" t="str">
        <f>IF(D3179="","",IF(COUNTIF(离职清单!C:C,D3179)&gt;0,"已离职","在职"))</f>
        <v>在职</v>
      </c>
      <c r="P3179" s="28">
        <f>IF(AND(O3179="在职",J3179="是"),COUNTIF(O$2:O3179,"在职"),"")</f>
        <v>3172</v>
      </c>
    </row>
    <row r="3180" ht="18" spans="1:16">
      <c r="A3180" s="10">
        <f t="shared" ref="A3180:A3243" si="55">IF(B3180&lt;&gt;"",ROW()-1,"")</f>
        <v>3179</v>
      </c>
      <c r="B3180" s="31">
        <v>46184</v>
      </c>
      <c r="C3180" s="32" t="s">
        <v>2618</v>
      </c>
      <c r="D3180" s="120" t="s">
        <v>478</v>
      </c>
      <c r="E3180" s="33" t="s">
        <v>42</v>
      </c>
      <c r="F3180" s="18" t="s">
        <v>63</v>
      </c>
      <c r="G3180" s="18" t="s">
        <v>2250</v>
      </c>
      <c r="H3180" s="34" t="s">
        <v>85</v>
      </c>
      <c r="I3180" s="18" t="s">
        <v>114</v>
      </c>
      <c r="J3180" s="31" t="s">
        <v>114</v>
      </c>
      <c r="K3180" s="31">
        <v>46187</v>
      </c>
      <c r="N3180" s="13" t="s">
        <v>30</v>
      </c>
      <c r="O3180" s="28" t="str">
        <f>IF(D3180="","",IF(COUNTIF(离职清单!C:C,D3180)&gt;0,"已离职","在职"))</f>
        <v>在职</v>
      </c>
      <c r="P3180" s="28">
        <f>IF(AND(O3180="在职",J3180="是"),COUNTIF(O$2:O3180,"在职"),"")</f>
        <v>3173</v>
      </c>
    </row>
    <row r="3181" ht="18" spans="1:16">
      <c r="A3181" s="14">
        <f t="shared" si="55"/>
        <v>3180</v>
      </c>
      <c r="B3181" s="31">
        <v>46184</v>
      </c>
      <c r="C3181" s="32" t="s">
        <v>2686</v>
      </c>
      <c r="D3181" s="120" t="s">
        <v>480</v>
      </c>
      <c r="E3181" s="33" t="s">
        <v>42</v>
      </c>
      <c r="F3181" s="18" t="s">
        <v>63</v>
      </c>
      <c r="G3181" s="18" t="s">
        <v>2153</v>
      </c>
      <c r="H3181" s="34" t="s">
        <v>85</v>
      </c>
      <c r="I3181" s="18" t="s">
        <v>114</v>
      </c>
      <c r="J3181" s="31" t="s">
        <v>105</v>
      </c>
      <c r="K3181" s="31"/>
      <c r="N3181" s="13" t="s">
        <v>30</v>
      </c>
      <c r="O3181" s="28" t="str">
        <f>IF(D3181="","",IF(COUNTIF(离职清单!C:C,D3181)&gt;0,"已离职","在职"))</f>
        <v>在职</v>
      </c>
      <c r="P3181" s="28" t="str">
        <f>IF(AND(O3181="在职",J3181="是"),COUNTIF(O$2:O3181,"在职"),"")</f>
        <v/>
      </c>
    </row>
    <row r="3182" ht="18" spans="1:16">
      <c r="A3182" s="10">
        <f t="shared" si="55"/>
        <v>3181</v>
      </c>
      <c r="B3182" s="31">
        <v>46184</v>
      </c>
      <c r="C3182" s="32" t="s">
        <v>2951</v>
      </c>
      <c r="D3182" s="120" t="s">
        <v>482</v>
      </c>
      <c r="E3182" s="33" t="s">
        <v>42</v>
      </c>
      <c r="F3182" s="18" t="s">
        <v>63</v>
      </c>
      <c r="G3182" s="18" t="s">
        <v>2250</v>
      </c>
      <c r="H3182" s="34" t="s">
        <v>85</v>
      </c>
      <c r="I3182" s="18" t="s">
        <v>105</v>
      </c>
      <c r="J3182" s="31" t="s">
        <v>105</v>
      </c>
      <c r="K3182" s="31"/>
      <c r="N3182" s="13" t="s">
        <v>30</v>
      </c>
      <c r="O3182" s="28" t="str">
        <f>IF(D3182="","",IF(COUNTIF(离职清单!C:C,D3182)&gt;0,"已离职","在职"))</f>
        <v>在职</v>
      </c>
      <c r="P3182" s="28" t="str">
        <f>IF(AND(O3182="在职",J3182="是"),COUNTIF(O$2:O3182,"在职"),"")</f>
        <v/>
      </c>
    </row>
    <row r="3183" ht="18" spans="1:16">
      <c r="A3183" s="14">
        <f t="shared" si="55"/>
        <v>3182</v>
      </c>
      <c r="B3183" s="31">
        <v>46184</v>
      </c>
      <c r="C3183" s="32" t="s">
        <v>2952</v>
      </c>
      <c r="D3183" s="120" t="s">
        <v>484</v>
      </c>
      <c r="E3183" s="33" t="s">
        <v>42</v>
      </c>
      <c r="F3183" s="18" t="s">
        <v>62</v>
      </c>
      <c r="G3183" s="18" t="s">
        <v>2349</v>
      </c>
      <c r="H3183" s="34" t="s">
        <v>85</v>
      </c>
      <c r="I3183" s="18" t="s">
        <v>105</v>
      </c>
      <c r="J3183" s="31" t="s">
        <v>105</v>
      </c>
      <c r="K3183" s="31"/>
      <c r="N3183" s="13" t="s">
        <v>30</v>
      </c>
      <c r="O3183" s="28" t="str">
        <f>IF(D3183="","",IF(COUNTIF(离职清单!C:C,D3183)&gt;0,"已离职","在职"))</f>
        <v>在职</v>
      </c>
      <c r="P3183" s="28" t="str">
        <f>IF(AND(O3183="在职",J3183="是"),COUNTIF(O$2:O3183,"在职"),"")</f>
        <v/>
      </c>
    </row>
    <row r="3184" ht="18" spans="1:16">
      <c r="A3184" s="10">
        <f t="shared" si="55"/>
        <v>3183</v>
      </c>
      <c r="B3184" s="31">
        <v>46184</v>
      </c>
      <c r="C3184" s="32" t="s">
        <v>2800</v>
      </c>
      <c r="D3184" s="120" t="s">
        <v>486</v>
      </c>
      <c r="E3184" s="33" t="s">
        <v>42</v>
      </c>
      <c r="F3184" s="18" t="s">
        <v>62</v>
      </c>
      <c r="G3184" s="18" t="s">
        <v>2153</v>
      </c>
      <c r="H3184" s="34" t="s">
        <v>85</v>
      </c>
      <c r="I3184" s="18" t="s">
        <v>105</v>
      </c>
      <c r="J3184" s="31" t="s">
        <v>105</v>
      </c>
      <c r="K3184" s="31"/>
      <c r="N3184" s="13" t="s">
        <v>30</v>
      </c>
      <c r="O3184" s="28" t="str">
        <f>IF(D3184="","",IF(COUNTIF(离职清单!C:C,D3184)&gt;0,"已离职","在职"))</f>
        <v>在职</v>
      </c>
      <c r="P3184" s="28" t="str">
        <f>IF(AND(O3184="在职",J3184="是"),COUNTIF(O$2:O3184,"在职"),"")</f>
        <v/>
      </c>
    </row>
    <row r="3185" ht="18" spans="1:16">
      <c r="A3185" s="14">
        <f t="shared" si="55"/>
        <v>3184</v>
      </c>
      <c r="B3185" s="31">
        <v>46184</v>
      </c>
      <c r="C3185" s="32" t="s">
        <v>2953</v>
      </c>
      <c r="D3185" s="120" t="s">
        <v>488</v>
      </c>
      <c r="E3185" s="33" t="s">
        <v>42</v>
      </c>
      <c r="F3185" s="18" t="s">
        <v>63</v>
      </c>
      <c r="G3185" s="18" t="s">
        <v>2153</v>
      </c>
      <c r="H3185" s="34" t="s">
        <v>85</v>
      </c>
      <c r="I3185" s="18" t="s">
        <v>105</v>
      </c>
      <c r="J3185" s="31" t="s">
        <v>105</v>
      </c>
      <c r="K3185" s="31"/>
      <c r="N3185" s="13" t="s">
        <v>30</v>
      </c>
      <c r="O3185" s="28" t="str">
        <f>IF(D3185="","",IF(COUNTIF(离职清单!C:C,D3185)&gt;0,"已离职","在职"))</f>
        <v>在职</v>
      </c>
      <c r="P3185" s="28" t="str">
        <f>IF(AND(O3185="在职",J3185="是"),COUNTIF(O$2:O3185,"在职"),"")</f>
        <v/>
      </c>
    </row>
    <row r="3186" ht="18" spans="1:16">
      <c r="A3186" s="10">
        <f t="shared" si="55"/>
        <v>3185</v>
      </c>
      <c r="B3186" s="31">
        <v>46184</v>
      </c>
      <c r="C3186" s="32" t="s">
        <v>2570</v>
      </c>
      <c r="D3186" s="120" t="s">
        <v>490</v>
      </c>
      <c r="E3186" s="33" t="s">
        <v>42</v>
      </c>
      <c r="F3186" s="18" t="s">
        <v>63</v>
      </c>
      <c r="G3186" s="18" t="s">
        <v>2153</v>
      </c>
      <c r="H3186" s="34" t="s">
        <v>85</v>
      </c>
      <c r="I3186" s="18" t="s">
        <v>105</v>
      </c>
      <c r="J3186" s="31" t="s">
        <v>105</v>
      </c>
      <c r="K3186" s="31"/>
      <c r="N3186" s="13" t="s">
        <v>30</v>
      </c>
      <c r="O3186" s="28" t="str">
        <f>IF(D3186="","",IF(COUNTIF(离职清单!C:C,D3186)&gt;0,"已离职","在职"))</f>
        <v>在职</v>
      </c>
      <c r="P3186" s="28" t="str">
        <f>IF(AND(O3186="在职",J3186="是"),COUNTIF(O$2:O3186,"在职"),"")</f>
        <v/>
      </c>
    </row>
    <row r="3187" ht="18" spans="1:16">
      <c r="A3187" s="14">
        <f t="shared" si="55"/>
        <v>3186</v>
      </c>
      <c r="B3187" s="31">
        <v>46184</v>
      </c>
      <c r="C3187" s="32" t="s">
        <v>2954</v>
      </c>
      <c r="D3187" s="120" t="s">
        <v>492</v>
      </c>
      <c r="E3187" s="33" t="s">
        <v>42</v>
      </c>
      <c r="F3187" s="18" t="s">
        <v>63</v>
      </c>
      <c r="G3187" s="18" t="s">
        <v>2153</v>
      </c>
      <c r="H3187" s="34" t="s">
        <v>85</v>
      </c>
      <c r="I3187" s="18" t="s">
        <v>105</v>
      </c>
      <c r="J3187" s="31" t="s">
        <v>105</v>
      </c>
      <c r="K3187" s="31"/>
      <c r="N3187" s="13" t="s">
        <v>30</v>
      </c>
      <c r="O3187" s="28" t="str">
        <f>IF(D3187="","",IF(COUNTIF(离职清单!C:C,D3187)&gt;0,"已离职","在职"))</f>
        <v>在职</v>
      </c>
      <c r="P3187" s="28" t="str">
        <f>IF(AND(O3187="在职",J3187="是"),COUNTIF(O$2:O3187,"在职"),"")</f>
        <v/>
      </c>
    </row>
    <row r="3188" ht="18" spans="1:16">
      <c r="A3188" s="10">
        <f t="shared" si="55"/>
        <v>3187</v>
      </c>
      <c r="B3188" s="31">
        <v>46184</v>
      </c>
      <c r="C3188" s="32" t="s">
        <v>2802</v>
      </c>
      <c r="D3188" s="120" t="s">
        <v>477</v>
      </c>
      <c r="E3188" s="33" t="s">
        <v>42</v>
      </c>
      <c r="F3188" s="18" t="s">
        <v>62</v>
      </c>
      <c r="G3188" s="18" t="s">
        <v>2179</v>
      </c>
      <c r="H3188" s="34" t="s">
        <v>85</v>
      </c>
      <c r="I3188" s="18" t="s">
        <v>105</v>
      </c>
      <c r="J3188" s="31" t="s">
        <v>105</v>
      </c>
      <c r="K3188" s="31"/>
      <c r="N3188" s="13" t="s">
        <v>30</v>
      </c>
      <c r="O3188" s="28" t="str">
        <f>IF(D3188="","",IF(COUNTIF(离职清单!C:C,D3188)&gt;0,"已离职","在职"))</f>
        <v>在职</v>
      </c>
      <c r="P3188" s="28" t="str">
        <f>IF(AND(O3188="在职",J3188="是"),COUNTIF(O$2:O3188,"在职"),"")</f>
        <v/>
      </c>
    </row>
    <row r="3189" ht="18" spans="1:16">
      <c r="A3189" s="14">
        <f t="shared" si="55"/>
        <v>3188</v>
      </c>
      <c r="B3189" s="31">
        <v>46184</v>
      </c>
      <c r="C3189" s="32" t="s">
        <v>2316</v>
      </c>
      <c r="D3189" s="120" t="s">
        <v>478</v>
      </c>
      <c r="E3189" s="33" t="s">
        <v>42</v>
      </c>
      <c r="F3189" s="18" t="s">
        <v>63</v>
      </c>
      <c r="G3189" s="18" t="s">
        <v>2179</v>
      </c>
      <c r="H3189" s="34" t="s">
        <v>85</v>
      </c>
      <c r="I3189" s="18" t="s">
        <v>105</v>
      </c>
      <c r="J3189" s="31" t="s">
        <v>105</v>
      </c>
      <c r="K3189" s="31"/>
      <c r="N3189" s="13" t="s">
        <v>30</v>
      </c>
      <c r="O3189" s="28" t="str">
        <f>IF(D3189="","",IF(COUNTIF(离职清单!C:C,D3189)&gt;0,"已离职","在职"))</f>
        <v>在职</v>
      </c>
      <c r="P3189" s="28" t="str">
        <f>IF(AND(O3189="在职",J3189="是"),COUNTIF(O$2:O3189,"在职"),"")</f>
        <v/>
      </c>
    </row>
    <row r="3190" ht="18" spans="1:16">
      <c r="A3190" s="10">
        <f t="shared" si="55"/>
        <v>3189</v>
      </c>
      <c r="B3190" s="31">
        <v>46184</v>
      </c>
      <c r="C3190" s="32" t="s">
        <v>2955</v>
      </c>
      <c r="D3190" s="120" t="s">
        <v>480</v>
      </c>
      <c r="E3190" s="33" t="s">
        <v>42</v>
      </c>
      <c r="F3190" s="18" t="s">
        <v>63</v>
      </c>
      <c r="G3190" s="18" t="s">
        <v>1511</v>
      </c>
      <c r="H3190" s="34" t="s">
        <v>85</v>
      </c>
      <c r="I3190" s="18" t="s">
        <v>105</v>
      </c>
      <c r="J3190" s="31" t="s">
        <v>105</v>
      </c>
      <c r="K3190" s="31"/>
      <c r="N3190" s="13" t="s">
        <v>30</v>
      </c>
      <c r="O3190" s="28" t="str">
        <f>IF(D3190="","",IF(COUNTIF(离职清单!C:C,D3190)&gt;0,"已离职","在职"))</f>
        <v>在职</v>
      </c>
      <c r="P3190" s="28" t="str">
        <f>IF(AND(O3190="在职",J3190="是"),COUNTIF(O$2:O3190,"在职"),"")</f>
        <v/>
      </c>
    </row>
    <row r="3191" ht="18" spans="1:16">
      <c r="A3191" s="14">
        <f t="shared" si="55"/>
        <v>3190</v>
      </c>
      <c r="B3191" s="31">
        <v>46184</v>
      </c>
      <c r="C3191" s="32" t="s">
        <v>2956</v>
      </c>
      <c r="D3191" s="120" t="s">
        <v>482</v>
      </c>
      <c r="E3191" s="33" t="s">
        <v>42</v>
      </c>
      <c r="F3191" s="18" t="s">
        <v>62</v>
      </c>
      <c r="G3191" s="18" t="s">
        <v>1511</v>
      </c>
      <c r="H3191" s="34" t="s">
        <v>85</v>
      </c>
      <c r="I3191" s="18" t="s">
        <v>2154</v>
      </c>
      <c r="J3191" s="31" t="s">
        <v>105</v>
      </c>
      <c r="K3191" s="31"/>
      <c r="N3191" s="13" t="s">
        <v>30</v>
      </c>
      <c r="O3191" s="28" t="str">
        <f>IF(D3191="","",IF(COUNTIF(离职清单!C:C,D3191)&gt;0,"已离职","在职"))</f>
        <v>在职</v>
      </c>
      <c r="P3191" s="28" t="str">
        <f>IF(AND(O3191="在职",J3191="是"),COUNTIF(O$2:O3191,"在职"),"")</f>
        <v/>
      </c>
    </row>
    <row r="3192" ht="18" spans="1:16">
      <c r="A3192" s="10">
        <f t="shared" si="55"/>
        <v>3191</v>
      </c>
      <c r="B3192" s="31">
        <v>46184</v>
      </c>
      <c r="C3192" s="32" t="s">
        <v>2957</v>
      </c>
      <c r="D3192" s="120" t="s">
        <v>484</v>
      </c>
      <c r="E3192" s="33" t="s">
        <v>42</v>
      </c>
      <c r="F3192" s="18" t="s">
        <v>63</v>
      </c>
      <c r="G3192" s="18" t="s">
        <v>1511</v>
      </c>
      <c r="H3192" s="34" t="s">
        <v>85</v>
      </c>
      <c r="I3192" s="18" t="s">
        <v>105</v>
      </c>
      <c r="J3192" s="31" t="s">
        <v>105</v>
      </c>
      <c r="K3192" s="31"/>
      <c r="N3192" s="13" t="s">
        <v>30</v>
      </c>
      <c r="O3192" s="28" t="str">
        <f>IF(D3192="","",IF(COUNTIF(离职清单!C:C,D3192)&gt;0,"已离职","在职"))</f>
        <v>在职</v>
      </c>
      <c r="P3192" s="28" t="str">
        <f>IF(AND(O3192="在职",J3192="是"),COUNTIF(O$2:O3192,"在职"),"")</f>
        <v/>
      </c>
    </row>
    <row r="3193" ht="18" spans="1:16">
      <c r="A3193" s="14">
        <f t="shared" si="55"/>
        <v>3192</v>
      </c>
      <c r="B3193" s="31">
        <v>46184</v>
      </c>
      <c r="C3193" s="32" t="s">
        <v>2958</v>
      </c>
      <c r="D3193" s="120" t="s">
        <v>486</v>
      </c>
      <c r="E3193" s="33" t="s">
        <v>42</v>
      </c>
      <c r="F3193" s="18" t="s">
        <v>63</v>
      </c>
      <c r="G3193" s="18" t="s">
        <v>1511</v>
      </c>
      <c r="H3193" s="34" t="s">
        <v>85</v>
      </c>
      <c r="I3193" s="18" t="s">
        <v>2154</v>
      </c>
      <c r="J3193" s="31" t="s">
        <v>105</v>
      </c>
      <c r="K3193" s="31"/>
      <c r="N3193" s="13" t="s">
        <v>30</v>
      </c>
      <c r="O3193" s="28" t="str">
        <f>IF(D3193="","",IF(COUNTIF(离职清单!C:C,D3193)&gt;0,"已离职","在职"))</f>
        <v>在职</v>
      </c>
      <c r="P3193" s="28" t="str">
        <f>IF(AND(O3193="在职",J3193="是"),COUNTIF(O$2:O3193,"在职"),"")</f>
        <v/>
      </c>
    </row>
    <row r="3194" ht="18" spans="1:16">
      <c r="A3194" s="10">
        <f t="shared" si="55"/>
        <v>3193</v>
      </c>
      <c r="B3194" s="31">
        <v>46184</v>
      </c>
      <c r="C3194" s="32" t="s">
        <v>2890</v>
      </c>
      <c r="D3194" s="120" t="s">
        <v>488</v>
      </c>
      <c r="E3194" s="33" t="s">
        <v>42</v>
      </c>
      <c r="F3194" s="18" t="s">
        <v>63</v>
      </c>
      <c r="G3194" s="18" t="s">
        <v>1511</v>
      </c>
      <c r="H3194" s="34" t="s">
        <v>85</v>
      </c>
      <c r="I3194" s="18" t="s">
        <v>105</v>
      </c>
      <c r="J3194" s="31" t="s">
        <v>105</v>
      </c>
      <c r="K3194" s="31"/>
      <c r="N3194" s="13" t="s">
        <v>30</v>
      </c>
      <c r="O3194" s="28" t="str">
        <f>IF(D3194="","",IF(COUNTIF(离职清单!C:C,D3194)&gt;0,"已离职","在职"))</f>
        <v>在职</v>
      </c>
      <c r="P3194" s="28" t="str">
        <f>IF(AND(O3194="在职",J3194="是"),COUNTIF(O$2:O3194,"在职"),"")</f>
        <v/>
      </c>
    </row>
    <row r="3195" ht="18" spans="1:16">
      <c r="A3195" s="14">
        <f t="shared" si="55"/>
        <v>3194</v>
      </c>
      <c r="B3195" s="31">
        <v>46184</v>
      </c>
      <c r="C3195" s="32" t="s">
        <v>2959</v>
      </c>
      <c r="D3195" s="120" t="s">
        <v>490</v>
      </c>
      <c r="E3195" s="33" t="s">
        <v>42</v>
      </c>
      <c r="F3195" s="18" t="s">
        <v>63</v>
      </c>
      <c r="G3195" s="18" t="s">
        <v>1511</v>
      </c>
      <c r="H3195" s="34" t="s">
        <v>85</v>
      </c>
      <c r="I3195" s="18" t="s">
        <v>2154</v>
      </c>
      <c r="J3195" s="31" t="s">
        <v>105</v>
      </c>
      <c r="K3195" s="31"/>
      <c r="N3195" s="13" t="s">
        <v>30</v>
      </c>
      <c r="O3195" s="28" t="str">
        <f>IF(D3195="","",IF(COUNTIF(离职清单!C:C,D3195)&gt;0,"已离职","在职"))</f>
        <v>在职</v>
      </c>
      <c r="P3195" s="28" t="str">
        <f>IF(AND(O3195="在职",J3195="是"),COUNTIF(O$2:O3195,"在职"),"")</f>
        <v/>
      </c>
    </row>
    <row r="3196" ht="18" spans="1:16">
      <c r="A3196" s="10">
        <f t="shared" si="55"/>
        <v>3195</v>
      </c>
      <c r="B3196" s="31">
        <v>46184</v>
      </c>
      <c r="C3196" s="32" t="s">
        <v>2739</v>
      </c>
      <c r="D3196" s="120" t="s">
        <v>492</v>
      </c>
      <c r="E3196" s="33" t="s">
        <v>42</v>
      </c>
      <c r="F3196" s="18" t="s">
        <v>63</v>
      </c>
      <c r="G3196" s="18" t="s">
        <v>148</v>
      </c>
      <c r="H3196" s="34" t="s">
        <v>85</v>
      </c>
      <c r="I3196" s="18" t="s">
        <v>2154</v>
      </c>
      <c r="J3196" s="31" t="s">
        <v>105</v>
      </c>
      <c r="K3196" s="31"/>
      <c r="N3196" s="13" t="s">
        <v>30</v>
      </c>
      <c r="O3196" s="28" t="str">
        <f>IF(D3196="","",IF(COUNTIF(离职清单!C:C,D3196)&gt;0,"已离职","在职"))</f>
        <v>在职</v>
      </c>
      <c r="P3196" s="28" t="str">
        <f>IF(AND(O3196="在职",J3196="是"),COUNTIF(O$2:O3196,"在职"),"")</f>
        <v/>
      </c>
    </row>
    <row r="3197" ht="18" spans="1:16">
      <c r="A3197" s="14">
        <f t="shared" si="55"/>
        <v>3196</v>
      </c>
      <c r="B3197" s="31">
        <v>46184</v>
      </c>
      <c r="C3197" s="32" t="s">
        <v>2877</v>
      </c>
      <c r="D3197" s="120" t="s">
        <v>477</v>
      </c>
      <c r="E3197" s="33" t="s">
        <v>42</v>
      </c>
      <c r="F3197" s="18" t="s">
        <v>63</v>
      </c>
      <c r="G3197" s="18" t="s">
        <v>148</v>
      </c>
      <c r="H3197" s="34" t="s">
        <v>85</v>
      </c>
      <c r="I3197" s="18" t="s">
        <v>2154</v>
      </c>
      <c r="J3197" s="31" t="s">
        <v>105</v>
      </c>
      <c r="K3197" s="31"/>
      <c r="N3197" s="13" t="s">
        <v>30</v>
      </c>
      <c r="O3197" s="28" t="str">
        <f>IF(D3197="","",IF(COUNTIF(离职清单!C:C,D3197)&gt;0,"已离职","在职"))</f>
        <v>在职</v>
      </c>
      <c r="P3197" s="28" t="str">
        <f>IF(AND(O3197="在职",J3197="是"),COUNTIF(O$2:O3197,"在职"),"")</f>
        <v/>
      </c>
    </row>
    <row r="3198" ht="18" spans="1:16">
      <c r="A3198" s="10">
        <f t="shared" si="55"/>
        <v>3197</v>
      </c>
      <c r="B3198" s="31">
        <v>46184</v>
      </c>
      <c r="C3198" s="32" t="s">
        <v>2382</v>
      </c>
      <c r="D3198" s="120" t="s">
        <v>478</v>
      </c>
      <c r="E3198" s="33" t="s">
        <v>42</v>
      </c>
      <c r="F3198" s="18" t="s">
        <v>63</v>
      </c>
      <c r="G3198" s="18" t="s">
        <v>148</v>
      </c>
      <c r="H3198" s="34" t="s">
        <v>85</v>
      </c>
      <c r="I3198" s="18" t="s">
        <v>105</v>
      </c>
      <c r="J3198" s="31" t="s">
        <v>105</v>
      </c>
      <c r="K3198" s="31"/>
      <c r="N3198" s="13" t="s">
        <v>30</v>
      </c>
      <c r="O3198" s="28" t="str">
        <f>IF(D3198="","",IF(COUNTIF(离职清单!C:C,D3198)&gt;0,"已离职","在职"))</f>
        <v>在职</v>
      </c>
      <c r="P3198" s="28" t="str">
        <f>IF(AND(O3198="在职",J3198="是"),COUNTIF(O$2:O3198,"在职"),"")</f>
        <v/>
      </c>
    </row>
    <row r="3199" ht="18" spans="1:16">
      <c r="A3199" s="14">
        <f t="shared" si="55"/>
        <v>3198</v>
      </c>
      <c r="B3199" s="31">
        <v>46184</v>
      </c>
      <c r="C3199" s="32" t="s">
        <v>2960</v>
      </c>
      <c r="D3199" s="120" t="s">
        <v>480</v>
      </c>
      <c r="E3199" s="33" t="s">
        <v>42</v>
      </c>
      <c r="F3199" s="18" t="s">
        <v>62</v>
      </c>
      <c r="G3199" s="18" t="s">
        <v>148</v>
      </c>
      <c r="H3199" s="34" t="s">
        <v>85</v>
      </c>
      <c r="I3199" s="18" t="s">
        <v>105</v>
      </c>
      <c r="J3199" s="31" t="s">
        <v>105</v>
      </c>
      <c r="K3199" s="31"/>
      <c r="N3199" s="13" t="s">
        <v>30</v>
      </c>
      <c r="O3199" s="28" t="str">
        <f>IF(D3199="","",IF(COUNTIF(离职清单!C:C,D3199)&gt;0,"已离职","在职"))</f>
        <v>在职</v>
      </c>
      <c r="P3199" s="28" t="str">
        <f>IF(AND(O3199="在职",J3199="是"),COUNTIF(O$2:O3199,"在职"),"")</f>
        <v/>
      </c>
    </row>
    <row r="3200" ht="18" spans="1:16">
      <c r="A3200" s="10">
        <f t="shared" si="55"/>
        <v>3199</v>
      </c>
      <c r="B3200" s="31">
        <v>46184</v>
      </c>
      <c r="C3200" s="32" t="s">
        <v>1055</v>
      </c>
      <c r="D3200" s="120" t="s">
        <v>482</v>
      </c>
      <c r="E3200" s="33" t="s">
        <v>42</v>
      </c>
      <c r="F3200" s="18" t="s">
        <v>62</v>
      </c>
      <c r="G3200" s="18" t="s">
        <v>148</v>
      </c>
      <c r="H3200" s="34" t="s">
        <v>85</v>
      </c>
      <c r="I3200" s="18" t="s">
        <v>105</v>
      </c>
      <c r="J3200" s="31" t="s">
        <v>105</v>
      </c>
      <c r="K3200" s="31"/>
      <c r="N3200" s="13" t="s">
        <v>30</v>
      </c>
      <c r="O3200" s="28" t="str">
        <f>IF(D3200="","",IF(COUNTIF(离职清单!C:C,D3200)&gt;0,"已离职","在职"))</f>
        <v>在职</v>
      </c>
      <c r="P3200" s="28" t="str">
        <f>IF(AND(O3200="在职",J3200="是"),COUNTIF(O$2:O3200,"在职"),"")</f>
        <v/>
      </c>
    </row>
    <row r="3201" ht="18" spans="1:16">
      <c r="A3201" s="14">
        <f t="shared" si="55"/>
        <v>3200</v>
      </c>
      <c r="B3201" s="31">
        <v>46184</v>
      </c>
      <c r="C3201" s="32" t="s">
        <v>2961</v>
      </c>
      <c r="D3201" s="120" t="s">
        <v>484</v>
      </c>
      <c r="E3201" s="33" t="s">
        <v>42</v>
      </c>
      <c r="F3201" s="18" t="s">
        <v>63</v>
      </c>
      <c r="G3201" s="18" t="s">
        <v>148</v>
      </c>
      <c r="H3201" s="34" t="s">
        <v>85</v>
      </c>
      <c r="I3201" s="18" t="s">
        <v>105</v>
      </c>
      <c r="J3201" s="31" t="s">
        <v>105</v>
      </c>
      <c r="K3201" s="31"/>
      <c r="N3201" s="13" t="s">
        <v>30</v>
      </c>
      <c r="O3201" s="28" t="str">
        <f>IF(D3201="","",IF(COUNTIF(离职清单!C:C,D3201)&gt;0,"已离职","在职"))</f>
        <v>在职</v>
      </c>
      <c r="P3201" s="28" t="str">
        <f>IF(AND(O3201="在职",J3201="是"),COUNTIF(O$2:O3201,"在职"),"")</f>
        <v/>
      </c>
    </row>
    <row r="3202" ht="18" spans="1:16">
      <c r="A3202" s="10">
        <f t="shared" si="55"/>
        <v>3201</v>
      </c>
      <c r="B3202" s="31">
        <v>46184</v>
      </c>
      <c r="C3202" s="32" t="s">
        <v>2962</v>
      </c>
      <c r="D3202" s="120" t="s">
        <v>486</v>
      </c>
      <c r="E3202" s="33" t="s">
        <v>42</v>
      </c>
      <c r="F3202" s="18" t="s">
        <v>63</v>
      </c>
      <c r="G3202" s="18" t="s">
        <v>148</v>
      </c>
      <c r="H3202" s="34" t="s">
        <v>85</v>
      </c>
      <c r="I3202" s="18" t="s">
        <v>105</v>
      </c>
      <c r="J3202" s="31" t="s">
        <v>105</v>
      </c>
      <c r="K3202" s="31"/>
      <c r="N3202" s="13" t="s">
        <v>30</v>
      </c>
      <c r="O3202" s="28" t="str">
        <f>IF(D3202="","",IF(COUNTIF(离职清单!C:C,D3202)&gt;0,"已离职","在职"))</f>
        <v>在职</v>
      </c>
      <c r="P3202" s="28" t="str">
        <f>IF(AND(O3202="在职",J3202="是"),COUNTIF(O$2:O3202,"在职"),"")</f>
        <v/>
      </c>
    </row>
    <row r="3203" ht="18" spans="1:16">
      <c r="A3203" s="14">
        <f t="shared" si="55"/>
        <v>3202</v>
      </c>
      <c r="B3203" s="31">
        <v>46184</v>
      </c>
      <c r="C3203" s="32" t="s">
        <v>2963</v>
      </c>
      <c r="D3203" s="120" t="s">
        <v>488</v>
      </c>
      <c r="E3203" s="33" t="s">
        <v>42</v>
      </c>
      <c r="F3203" s="18" t="s">
        <v>63</v>
      </c>
      <c r="G3203" s="18" t="s">
        <v>148</v>
      </c>
      <c r="H3203" s="34" t="s">
        <v>85</v>
      </c>
      <c r="I3203" s="18" t="s">
        <v>2154</v>
      </c>
      <c r="J3203" s="31" t="s">
        <v>105</v>
      </c>
      <c r="K3203" s="31"/>
      <c r="N3203" s="13" t="s">
        <v>30</v>
      </c>
      <c r="O3203" s="28" t="str">
        <f>IF(D3203="","",IF(COUNTIF(离职清单!C:C,D3203)&gt;0,"已离职","在职"))</f>
        <v>在职</v>
      </c>
      <c r="P3203" s="28" t="str">
        <f>IF(AND(O3203="在职",J3203="是"),COUNTIF(O$2:O3203,"在职"),"")</f>
        <v/>
      </c>
    </row>
    <row r="3204" ht="18" spans="1:16">
      <c r="A3204" s="10">
        <f t="shared" si="55"/>
        <v>3203</v>
      </c>
      <c r="B3204" s="31">
        <v>46184</v>
      </c>
      <c r="C3204" s="32" t="s">
        <v>2964</v>
      </c>
      <c r="D3204" s="120" t="s">
        <v>490</v>
      </c>
      <c r="E3204" s="33" t="s">
        <v>42</v>
      </c>
      <c r="F3204" s="18" t="s">
        <v>63</v>
      </c>
      <c r="G3204" s="18" t="s">
        <v>148</v>
      </c>
      <c r="H3204" s="34" t="s">
        <v>85</v>
      </c>
      <c r="I3204" s="18" t="s">
        <v>105</v>
      </c>
      <c r="J3204" s="31" t="s">
        <v>105</v>
      </c>
      <c r="K3204" s="31"/>
      <c r="N3204" s="13" t="s">
        <v>30</v>
      </c>
      <c r="O3204" s="28" t="str">
        <f>IF(D3204="","",IF(COUNTIF(离职清单!C:C,D3204)&gt;0,"已离职","在职"))</f>
        <v>在职</v>
      </c>
      <c r="P3204" s="28" t="str">
        <f>IF(AND(O3204="在职",J3204="是"),COUNTIF(O$2:O3204,"在职"),"")</f>
        <v/>
      </c>
    </row>
    <row r="3205" ht="18" spans="1:16">
      <c r="A3205" s="14">
        <f t="shared" si="55"/>
        <v>3204</v>
      </c>
      <c r="B3205" s="31">
        <v>46184</v>
      </c>
      <c r="C3205" s="32" t="s">
        <v>2965</v>
      </c>
      <c r="D3205" s="120" t="s">
        <v>492</v>
      </c>
      <c r="E3205" s="33" t="s">
        <v>42</v>
      </c>
      <c r="F3205" s="18" t="s">
        <v>63</v>
      </c>
      <c r="G3205" s="18" t="s">
        <v>148</v>
      </c>
      <c r="H3205" s="34" t="s">
        <v>85</v>
      </c>
      <c r="I3205" s="18" t="s">
        <v>114</v>
      </c>
      <c r="J3205" s="31" t="s">
        <v>105</v>
      </c>
      <c r="K3205" s="31"/>
      <c r="N3205" s="13" t="s">
        <v>30</v>
      </c>
      <c r="O3205" s="28" t="str">
        <f>IF(D3205="","",IF(COUNTIF(离职清单!C:C,D3205)&gt;0,"已离职","在职"))</f>
        <v>在职</v>
      </c>
      <c r="P3205" s="28" t="str">
        <f>IF(AND(O3205="在职",J3205="是"),COUNTIF(O$2:O3205,"在职"),"")</f>
        <v/>
      </c>
    </row>
    <row r="3206" ht="18" spans="1:16">
      <c r="A3206" s="10">
        <f t="shared" si="55"/>
        <v>3205</v>
      </c>
      <c r="B3206" s="31">
        <v>46184</v>
      </c>
      <c r="C3206" s="32" t="s">
        <v>2460</v>
      </c>
      <c r="D3206" s="120" t="s">
        <v>477</v>
      </c>
      <c r="E3206" s="33" t="s">
        <v>42</v>
      </c>
      <c r="F3206" s="18" t="s">
        <v>63</v>
      </c>
      <c r="G3206" s="18" t="s">
        <v>148</v>
      </c>
      <c r="H3206" s="34" t="s">
        <v>85</v>
      </c>
      <c r="I3206" s="18" t="s">
        <v>114</v>
      </c>
      <c r="J3206" s="31" t="s">
        <v>114</v>
      </c>
      <c r="K3206" s="31">
        <v>46188</v>
      </c>
      <c r="N3206" s="13" t="s">
        <v>30</v>
      </c>
      <c r="O3206" s="28" t="str">
        <f>IF(D3206="","",IF(COUNTIF(离职清单!C:C,D3206)&gt;0,"已离职","在职"))</f>
        <v>在职</v>
      </c>
      <c r="P3206" s="28">
        <f>IF(AND(O3206="在职",J3206="是"),COUNTIF(O$2:O3206,"在职"),"")</f>
        <v>3199</v>
      </c>
    </row>
    <row r="3207" ht="18" spans="1:16">
      <c r="A3207" s="14">
        <f t="shared" si="55"/>
        <v>3206</v>
      </c>
      <c r="B3207" s="31">
        <v>46184</v>
      </c>
      <c r="C3207" s="32" t="s">
        <v>2966</v>
      </c>
      <c r="D3207" s="120" t="s">
        <v>477</v>
      </c>
      <c r="E3207" s="33" t="s">
        <v>42</v>
      </c>
      <c r="F3207" s="18" t="s">
        <v>63</v>
      </c>
      <c r="G3207" s="18" t="s">
        <v>148</v>
      </c>
      <c r="H3207" s="34" t="s">
        <v>85</v>
      </c>
      <c r="I3207" s="18" t="s">
        <v>2154</v>
      </c>
      <c r="J3207" s="31" t="s">
        <v>105</v>
      </c>
      <c r="K3207" s="31"/>
      <c r="N3207" s="13" t="s">
        <v>30</v>
      </c>
      <c r="O3207" s="28" t="str">
        <f>IF(D3207="","",IF(COUNTIF(离职清单!C:C,D3207)&gt;0,"已离职","在职"))</f>
        <v>在职</v>
      </c>
      <c r="P3207" s="28" t="str">
        <f>IF(AND(O3207="在职",J3207="是"),COUNTIF(O$2:O3207,"在职"),"")</f>
        <v/>
      </c>
    </row>
    <row r="3208" ht="18" spans="1:16">
      <c r="A3208" s="10">
        <f t="shared" si="55"/>
        <v>3207</v>
      </c>
      <c r="B3208" s="31">
        <v>46184</v>
      </c>
      <c r="C3208" s="32" t="s">
        <v>2967</v>
      </c>
      <c r="D3208" s="120" t="s">
        <v>478</v>
      </c>
      <c r="E3208" s="33" t="s">
        <v>42</v>
      </c>
      <c r="F3208" s="18" t="s">
        <v>63</v>
      </c>
      <c r="G3208" s="18" t="s">
        <v>2370</v>
      </c>
      <c r="H3208" s="34" t="s">
        <v>85</v>
      </c>
      <c r="I3208" s="18" t="s">
        <v>105</v>
      </c>
      <c r="J3208" s="31" t="s">
        <v>105</v>
      </c>
      <c r="K3208" s="31"/>
      <c r="N3208" s="13" t="s">
        <v>30</v>
      </c>
      <c r="O3208" s="28" t="str">
        <f>IF(D3208="","",IF(COUNTIF(离职清单!C:C,D3208)&gt;0,"已离职","在职"))</f>
        <v>在职</v>
      </c>
      <c r="P3208" s="28" t="str">
        <f>IF(AND(O3208="在职",J3208="是"),COUNTIF(O$2:O3208,"在职"),"")</f>
        <v/>
      </c>
    </row>
    <row r="3209" ht="18" spans="1:16">
      <c r="A3209" s="14">
        <f t="shared" si="55"/>
        <v>3208</v>
      </c>
      <c r="B3209" s="31">
        <v>46184</v>
      </c>
      <c r="C3209" s="32" t="s">
        <v>2871</v>
      </c>
      <c r="D3209" s="120" t="s">
        <v>480</v>
      </c>
      <c r="E3209" s="33" t="s">
        <v>42</v>
      </c>
      <c r="F3209" s="18" t="s">
        <v>63</v>
      </c>
      <c r="G3209" s="18" t="s">
        <v>2370</v>
      </c>
      <c r="H3209" s="34" t="s">
        <v>85</v>
      </c>
      <c r="I3209" s="18" t="s">
        <v>114</v>
      </c>
      <c r="J3209" s="31" t="s">
        <v>114</v>
      </c>
      <c r="K3209" s="31">
        <v>46185</v>
      </c>
      <c r="N3209" s="13" t="s">
        <v>30</v>
      </c>
      <c r="O3209" s="28" t="str">
        <f>IF(D3209="","",IF(COUNTIF(离职清单!C:C,D3209)&gt;0,"已离职","在职"))</f>
        <v>在职</v>
      </c>
      <c r="P3209" s="28">
        <f>IF(AND(O3209="在职",J3209="是"),COUNTIF(O$2:O3209,"在职"),"")</f>
        <v>3202</v>
      </c>
    </row>
    <row r="3210" ht="18" spans="1:16">
      <c r="A3210" s="10">
        <f t="shared" si="55"/>
        <v>3209</v>
      </c>
      <c r="B3210" s="31">
        <v>46184</v>
      </c>
      <c r="C3210" s="32" t="s">
        <v>2968</v>
      </c>
      <c r="D3210" s="120" t="s">
        <v>482</v>
      </c>
      <c r="E3210" s="33" t="s">
        <v>42</v>
      </c>
      <c r="F3210" s="18" t="s">
        <v>63</v>
      </c>
      <c r="G3210" s="18" t="s">
        <v>2166</v>
      </c>
      <c r="H3210" s="34" t="s">
        <v>86</v>
      </c>
      <c r="I3210" s="18" t="s">
        <v>105</v>
      </c>
      <c r="J3210" s="31" t="s">
        <v>105</v>
      </c>
      <c r="K3210" s="31"/>
      <c r="N3210" s="13" t="s">
        <v>30</v>
      </c>
      <c r="O3210" s="28" t="str">
        <f>IF(D3210="","",IF(COUNTIF(离职清单!C:C,D3210)&gt;0,"已离职","在职"))</f>
        <v>在职</v>
      </c>
      <c r="P3210" s="28" t="str">
        <f>IF(AND(O3210="在职",J3210="是"),COUNTIF(O$2:O3210,"在职"),"")</f>
        <v/>
      </c>
    </row>
    <row r="3211" ht="18" spans="1:16">
      <c r="A3211" s="14">
        <f t="shared" si="55"/>
        <v>3210</v>
      </c>
      <c r="B3211" s="31">
        <v>46184</v>
      </c>
      <c r="C3211" s="32" t="s">
        <v>2969</v>
      </c>
      <c r="D3211" s="120" t="s">
        <v>484</v>
      </c>
      <c r="E3211" s="33" t="s">
        <v>42</v>
      </c>
      <c r="F3211" s="18" t="s">
        <v>63</v>
      </c>
      <c r="G3211" s="18" t="s">
        <v>2166</v>
      </c>
      <c r="H3211" s="34" t="s">
        <v>86</v>
      </c>
      <c r="I3211" s="18" t="s">
        <v>114</v>
      </c>
      <c r="J3211" s="31" t="s">
        <v>105</v>
      </c>
      <c r="K3211" s="31"/>
      <c r="N3211" s="13" t="s">
        <v>30</v>
      </c>
      <c r="O3211" s="28" t="str">
        <f>IF(D3211="","",IF(COUNTIF(离职清单!C:C,D3211)&gt;0,"已离职","在职"))</f>
        <v>在职</v>
      </c>
      <c r="P3211" s="28" t="str">
        <f>IF(AND(O3211="在职",J3211="是"),COUNTIF(O$2:O3211,"在职"),"")</f>
        <v/>
      </c>
    </row>
    <row r="3212" ht="18" spans="1:16">
      <c r="A3212" s="10">
        <f t="shared" si="55"/>
        <v>3211</v>
      </c>
      <c r="B3212" s="31">
        <v>46184</v>
      </c>
      <c r="C3212" s="32" t="s">
        <v>1578</v>
      </c>
      <c r="D3212" s="120" t="s">
        <v>486</v>
      </c>
      <c r="E3212" s="33" t="s">
        <v>42</v>
      </c>
      <c r="F3212" s="18" t="s">
        <v>63</v>
      </c>
      <c r="G3212" s="18" t="s">
        <v>148</v>
      </c>
      <c r="H3212" s="34" t="s">
        <v>86</v>
      </c>
      <c r="I3212" s="18" t="s">
        <v>105</v>
      </c>
      <c r="J3212" s="31" t="s">
        <v>105</v>
      </c>
      <c r="K3212" s="31"/>
      <c r="N3212" s="13" t="s">
        <v>30</v>
      </c>
      <c r="O3212" s="28" t="str">
        <f>IF(D3212="","",IF(COUNTIF(离职清单!C:C,D3212)&gt;0,"已离职","在职"))</f>
        <v>在职</v>
      </c>
      <c r="P3212" s="28" t="str">
        <f>IF(AND(O3212="在职",J3212="是"),COUNTIF(O$2:O3212,"在职"),"")</f>
        <v/>
      </c>
    </row>
    <row r="3213" ht="18" spans="1:16">
      <c r="A3213" s="14">
        <f t="shared" si="55"/>
        <v>3212</v>
      </c>
      <c r="B3213" s="31">
        <v>46184</v>
      </c>
      <c r="C3213" s="32" t="s">
        <v>2776</v>
      </c>
      <c r="D3213" s="120" t="s">
        <v>488</v>
      </c>
      <c r="E3213" s="33" t="s">
        <v>42</v>
      </c>
      <c r="F3213" s="18" t="s">
        <v>63</v>
      </c>
      <c r="G3213" s="18" t="s">
        <v>2164</v>
      </c>
      <c r="H3213" s="34" t="s">
        <v>86</v>
      </c>
      <c r="I3213" s="18" t="s">
        <v>105</v>
      </c>
      <c r="J3213" s="31" t="s">
        <v>105</v>
      </c>
      <c r="K3213" s="31"/>
      <c r="N3213" s="13" t="s">
        <v>30</v>
      </c>
      <c r="O3213" s="28" t="str">
        <f>IF(D3213="","",IF(COUNTIF(离职清单!C:C,D3213)&gt;0,"已离职","在职"))</f>
        <v>在职</v>
      </c>
      <c r="P3213" s="28" t="str">
        <f>IF(AND(O3213="在职",J3213="是"),COUNTIF(O$2:O3213,"在职"),"")</f>
        <v/>
      </c>
    </row>
    <row r="3214" ht="18" spans="1:16">
      <c r="A3214" s="10">
        <f t="shared" si="55"/>
        <v>3213</v>
      </c>
      <c r="B3214" s="31">
        <v>46184</v>
      </c>
      <c r="C3214" s="32" t="s">
        <v>2970</v>
      </c>
      <c r="D3214" s="120" t="s">
        <v>490</v>
      </c>
      <c r="E3214" s="33" t="s">
        <v>42</v>
      </c>
      <c r="F3214" s="18" t="s">
        <v>62</v>
      </c>
      <c r="G3214" s="18" t="s">
        <v>129</v>
      </c>
      <c r="H3214" s="34" t="s">
        <v>85</v>
      </c>
      <c r="I3214" s="18" t="s">
        <v>2154</v>
      </c>
      <c r="J3214" s="31" t="s">
        <v>105</v>
      </c>
      <c r="K3214" s="31"/>
      <c r="N3214" s="13" t="s">
        <v>30</v>
      </c>
      <c r="O3214" s="28" t="str">
        <f>IF(D3214="","",IF(COUNTIF(离职清单!C:C,D3214)&gt;0,"已离职","在职"))</f>
        <v>在职</v>
      </c>
      <c r="P3214" s="28" t="str">
        <f>IF(AND(O3214="在职",J3214="是"),COUNTIF(O$2:O3214,"在职"),"")</f>
        <v/>
      </c>
    </row>
    <row r="3215" ht="18" spans="1:16">
      <c r="A3215" s="14">
        <f t="shared" si="55"/>
        <v>3214</v>
      </c>
      <c r="B3215" s="31">
        <v>46184</v>
      </c>
      <c r="C3215" s="32" t="s">
        <v>2971</v>
      </c>
      <c r="D3215" s="120" t="s">
        <v>492</v>
      </c>
      <c r="E3215" s="33" t="s">
        <v>42</v>
      </c>
      <c r="F3215" s="18" t="s">
        <v>62</v>
      </c>
      <c r="G3215" s="18" t="s">
        <v>129</v>
      </c>
      <c r="H3215" s="34" t="s">
        <v>85</v>
      </c>
      <c r="I3215" s="18" t="s">
        <v>2154</v>
      </c>
      <c r="J3215" s="31" t="s">
        <v>105</v>
      </c>
      <c r="K3215" s="31"/>
      <c r="N3215" s="13" t="s">
        <v>30</v>
      </c>
      <c r="O3215" s="28" t="str">
        <f>IF(D3215="","",IF(COUNTIF(离职清单!C:C,D3215)&gt;0,"已离职","在职"))</f>
        <v>在职</v>
      </c>
      <c r="P3215" s="28" t="str">
        <f>IF(AND(O3215="在职",J3215="是"),COUNTIF(O$2:O3215,"在职"),"")</f>
        <v/>
      </c>
    </row>
    <row r="3216" ht="18" spans="1:16">
      <c r="A3216" s="10">
        <f t="shared" si="55"/>
        <v>3215</v>
      </c>
      <c r="B3216" s="31">
        <v>46184</v>
      </c>
      <c r="C3216" s="32" t="s">
        <v>2972</v>
      </c>
      <c r="D3216" s="120" t="s">
        <v>477</v>
      </c>
      <c r="E3216" s="33" t="s">
        <v>42</v>
      </c>
      <c r="F3216" s="18" t="s">
        <v>62</v>
      </c>
      <c r="G3216" s="18" t="s">
        <v>129</v>
      </c>
      <c r="H3216" s="34" t="s">
        <v>85</v>
      </c>
      <c r="I3216" s="18" t="s">
        <v>105</v>
      </c>
      <c r="J3216" s="31" t="s">
        <v>105</v>
      </c>
      <c r="K3216" s="31"/>
      <c r="N3216" s="13" t="s">
        <v>30</v>
      </c>
      <c r="O3216" s="28" t="str">
        <f>IF(D3216="","",IF(COUNTIF(离职清单!C:C,D3216)&gt;0,"已离职","在职"))</f>
        <v>在职</v>
      </c>
      <c r="P3216" s="28" t="str">
        <f>IF(AND(O3216="在职",J3216="是"),COUNTIF(O$2:O3216,"在职"),"")</f>
        <v/>
      </c>
    </row>
    <row r="3217" ht="18" spans="1:16">
      <c r="A3217" s="14">
        <f t="shared" si="55"/>
        <v>3216</v>
      </c>
      <c r="B3217" s="31">
        <v>46184</v>
      </c>
      <c r="C3217" s="32" t="s">
        <v>1239</v>
      </c>
      <c r="D3217" s="120" t="s">
        <v>478</v>
      </c>
      <c r="E3217" s="33" t="s">
        <v>42</v>
      </c>
      <c r="F3217" s="18" t="s">
        <v>64</v>
      </c>
      <c r="G3217" s="18" t="s">
        <v>129</v>
      </c>
      <c r="H3217" s="34" t="s">
        <v>85</v>
      </c>
      <c r="I3217" s="18" t="s">
        <v>114</v>
      </c>
      <c r="J3217" s="31" t="s">
        <v>105</v>
      </c>
      <c r="K3217" s="31"/>
      <c r="N3217" s="13" t="s">
        <v>30</v>
      </c>
      <c r="O3217" s="28" t="str">
        <f>IF(D3217="","",IF(COUNTIF(离职清单!C:C,D3217)&gt;0,"已离职","在职"))</f>
        <v>在职</v>
      </c>
      <c r="P3217" s="28" t="str">
        <f>IF(AND(O3217="在职",J3217="是"),COUNTIF(O$2:O3217,"在职"),"")</f>
        <v/>
      </c>
    </row>
    <row r="3218" ht="18" spans="1:16">
      <c r="A3218" s="10">
        <f t="shared" si="55"/>
        <v>3217</v>
      </c>
      <c r="B3218" s="31">
        <v>46184</v>
      </c>
      <c r="C3218" s="32" t="s">
        <v>2973</v>
      </c>
      <c r="D3218" s="120" t="s">
        <v>480</v>
      </c>
      <c r="E3218" s="33" t="s">
        <v>42</v>
      </c>
      <c r="F3218" s="18" t="s">
        <v>63</v>
      </c>
      <c r="G3218" s="18" t="s">
        <v>129</v>
      </c>
      <c r="H3218" s="34" t="s">
        <v>85</v>
      </c>
      <c r="I3218" s="18" t="s">
        <v>114</v>
      </c>
      <c r="J3218" s="31" t="s">
        <v>114</v>
      </c>
      <c r="K3218" s="31">
        <v>46188</v>
      </c>
      <c r="N3218" s="13" t="s">
        <v>30</v>
      </c>
      <c r="O3218" s="28" t="str">
        <f>IF(D3218="","",IF(COUNTIF(离职清单!C:C,D3218)&gt;0,"已离职","在职"))</f>
        <v>在职</v>
      </c>
      <c r="P3218" s="28">
        <f>IF(AND(O3218="在职",J3218="是"),COUNTIF(O$2:O3218,"在职"),"")</f>
        <v>3211</v>
      </c>
    </row>
    <row r="3219" ht="18" spans="1:16">
      <c r="A3219" s="14">
        <f t="shared" si="55"/>
        <v>3218</v>
      </c>
      <c r="B3219" s="31">
        <v>46184</v>
      </c>
      <c r="C3219" s="32" t="s">
        <v>2974</v>
      </c>
      <c r="D3219" s="120" t="s">
        <v>482</v>
      </c>
      <c r="E3219" s="33" t="s">
        <v>42</v>
      </c>
      <c r="F3219" s="18" t="s">
        <v>64</v>
      </c>
      <c r="G3219" s="18" t="s">
        <v>129</v>
      </c>
      <c r="H3219" s="34" t="s">
        <v>85</v>
      </c>
      <c r="I3219" s="18" t="s">
        <v>114</v>
      </c>
      <c r="J3219" s="31" t="s">
        <v>105</v>
      </c>
      <c r="K3219" s="31"/>
      <c r="N3219" s="13" t="s">
        <v>30</v>
      </c>
      <c r="O3219" s="28" t="str">
        <f>IF(D3219="","",IF(COUNTIF(离职清单!C:C,D3219)&gt;0,"已离职","在职"))</f>
        <v>在职</v>
      </c>
      <c r="P3219" s="28" t="str">
        <f>IF(AND(O3219="在职",J3219="是"),COUNTIF(O$2:O3219,"在职"),"")</f>
        <v/>
      </c>
    </row>
    <row r="3220" ht="18" spans="1:16">
      <c r="A3220" s="10">
        <f t="shared" si="55"/>
        <v>3219</v>
      </c>
      <c r="B3220" s="31">
        <v>46184</v>
      </c>
      <c r="C3220" s="32" t="s">
        <v>2975</v>
      </c>
      <c r="D3220" s="120" t="s">
        <v>484</v>
      </c>
      <c r="E3220" s="33" t="s">
        <v>42</v>
      </c>
      <c r="F3220" s="18" t="s">
        <v>63</v>
      </c>
      <c r="G3220" s="18" t="s">
        <v>129</v>
      </c>
      <c r="H3220" s="34" t="s">
        <v>85</v>
      </c>
      <c r="I3220" s="18" t="s">
        <v>2154</v>
      </c>
      <c r="J3220" s="31" t="s">
        <v>105</v>
      </c>
      <c r="K3220" s="31"/>
      <c r="N3220" s="13" t="s">
        <v>30</v>
      </c>
      <c r="O3220" s="28" t="str">
        <f>IF(D3220="","",IF(COUNTIF(离职清单!C:C,D3220)&gt;0,"已离职","在职"))</f>
        <v>在职</v>
      </c>
      <c r="P3220" s="28" t="str">
        <f>IF(AND(O3220="在职",J3220="是"),COUNTIF(O$2:O3220,"在职"),"")</f>
        <v/>
      </c>
    </row>
    <row r="3221" ht="18" spans="1:16">
      <c r="A3221" s="14">
        <f t="shared" si="55"/>
        <v>3220</v>
      </c>
      <c r="B3221" s="31">
        <v>46184</v>
      </c>
      <c r="C3221" s="32" t="s">
        <v>2234</v>
      </c>
      <c r="D3221" s="120" t="s">
        <v>486</v>
      </c>
      <c r="E3221" s="33" t="s">
        <v>42</v>
      </c>
      <c r="F3221" s="18" t="s">
        <v>63</v>
      </c>
      <c r="G3221" s="18" t="s">
        <v>2317</v>
      </c>
      <c r="H3221" s="34" t="s">
        <v>85</v>
      </c>
      <c r="I3221" s="18" t="s">
        <v>2154</v>
      </c>
      <c r="J3221" s="31" t="s">
        <v>105</v>
      </c>
      <c r="K3221" s="31"/>
      <c r="N3221" s="13" t="s">
        <v>30</v>
      </c>
      <c r="O3221" s="28" t="str">
        <f>IF(D3221="","",IF(COUNTIF(离职清单!C:C,D3221)&gt;0,"已离职","在职"))</f>
        <v>在职</v>
      </c>
      <c r="P3221" s="28" t="str">
        <f>IF(AND(O3221="在职",J3221="是"),COUNTIF(O$2:O3221,"在职"),"")</f>
        <v/>
      </c>
    </row>
    <row r="3222" ht="18" spans="1:16">
      <c r="A3222" s="10">
        <f t="shared" si="55"/>
        <v>3221</v>
      </c>
      <c r="B3222" s="31">
        <v>46184</v>
      </c>
      <c r="C3222" s="32" t="s">
        <v>2976</v>
      </c>
      <c r="D3222" s="120" t="s">
        <v>488</v>
      </c>
      <c r="E3222" s="33" t="s">
        <v>42</v>
      </c>
      <c r="F3222" s="18" t="s">
        <v>63</v>
      </c>
      <c r="G3222" s="18" t="s">
        <v>1056</v>
      </c>
      <c r="H3222" s="34" t="s">
        <v>85</v>
      </c>
      <c r="I3222" s="18" t="s">
        <v>105</v>
      </c>
      <c r="J3222" s="31" t="s">
        <v>105</v>
      </c>
      <c r="K3222" s="31"/>
      <c r="N3222" s="13" t="s">
        <v>30</v>
      </c>
      <c r="O3222" s="28" t="str">
        <f>IF(D3222="","",IF(COUNTIF(离职清单!C:C,D3222)&gt;0,"已离职","在职"))</f>
        <v>在职</v>
      </c>
      <c r="P3222" s="28" t="str">
        <f>IF(AND(O3222="在职",J3222="是"),COUNTIF(O$2:O3222,"在职"),"")</f>
        <v/>
      </c>
    </row>
    <row r="3223" ht="18" spans="1:16">
      <c r="A3223" s="14">
        <f t="shared" si="55"/>
        <v>3222</v>
      </c>
      <c r="B3223" s="31">
        <v>46184</v>
      </c>
      <c r="C3223" s="32" t="s">
        <v>1981</v>
      </c>
      <c r="D3223" s="120" t="s">
        <v>490</v>
      </c>
      <c r="E3223" s="33" t="s">
        <v>42</v>
      </c>
      <c r="F3223" s="18" t="s">
        <v>64</v>
      </c>
      <c r="G3223" s="18" t="s">
        <v>1056</v>
      </c>
      <c r="H3223" s="34" t="s">
        <v>85</v>
      </c>
      <c r="I3223" s="18" t="s">
        <v>114</v>
      </c>
      <c r="J3223" s="31" t="s">
        <v>105</v>
      </c>
      <c r="K3223" s="31"/>
      <c r="N3223" s="13" t="s">
        <v>30</v>
      </c>
      <c r="O3223" s="28" t="str">
        <f>IF(D3223="","",IF(COUNTIF(离职清单!C:C,D3223)&gt;0,"已离职","在职"))</f>
        <v>在职</v>
      </c>
      <c r="P3223" s="28" t="str">
        <f>IF(AND(O3223="在职",J3223="是"),COUNTIF(O$2:O3223,"在职"),"")</f>
        <v/>
      </c>
    </row>
    <row r="3224" ht="18" spans="1:16">
      <c r="A3224" s="10">
        <f t="shared" si="55"/>
        <v>3223</v>
      </c>
      <c r="B3224" s="31">
        <v>46184</v>
      </c>
      <c r="C3224" s="32" t="s">
        <v>2977</v>
      </c>
      <c r="D3224" s="120" t="s">
        <v>492</v>
      </c>
      <c r="E3224" s="33" t="s">
        <v>42</v>
      </c>
      <c r="F3224" s="18" t="s">
        <v>63</v>
      </c>
      <c r="G3224" s="18" t="s">
        <v>1056</v>
      </c>
      <c r="H3224" s="34" t="s">
        <v>85</v>
      </c>
      <c r="I3224" s="18" t="s">
        <v>105</v>
      </c>
      <c r="J3224" s="31" t="s">
        <v>105</v>
      </c>
      <c r="K3224" s="31"/>
      <c r="N3224" s="13" t="s">
        <v>30</v>
      </c>
      <c r="O3224" s="28" t="str">
        <f>IF(D3224="","",IF(COUNTIF(离职清单!C:C,D3224)&gt;0,"已离职","在职"))</f>
        <v>在职</v>
      </c>
      <c r="P3224" s="28" t="str">
        <f>IF(AND(O3224="在职",J3224="是"),COUNTIF(O$2:O3224,"在职"),"")</f>
        <v/>
      </c>
    </row>
    <row r="3225" ht="18" spans="1:16">
      <c r="A3225" s="14">
        <f t="shared" si="55"/>
        <v>3224</v>
      </c>
      <c r="B3225" s="31">
        <v>46184</v>
      </c>
      <c r="C3225" s="32" t="s">
        <v>2978</v>
      </c>
      <c r="D3225" s="120" t="s">
        <v>477</v>
      </c>
      <c r="E3225" s="33" t="s">
        <v>42</v>
      </c>
      <c r="F3225" s="18" t="s">
        <v>63</v>
      </c>
      <c r="G3225" s="18" t="s">
        <v>1056</v>
      </c>
      <c r="H3225" s="34" t="s">
        <v>85</v>
      </c>
      <c r="I3225" s="18" t="s">
        <v>2154</v>
      </c>
      <c r="J3225" s="31" t="s">
        <v>105</v>
      </c>
      <c r="K3225" s="31"/>
      <c r="N3225" s="13" t="s">
        <v>30</v>
      </c>
      <c r="O3225" s="28" t="str">
        <f>IF(D3225="","",IF(COUNTIF(离职清单!C:C,D3225)&gt;0,"已离职","在职"))</f>
        <v>在职</v>
      </c>
      <c r="P3225" s="28" t="str">
        <f>IF(AND(O3225="在职",J3225="是"),COUNTIF(O$2:O3225,"在职"),"")</f>
        <v/>
      </c>
    </row>
    <row r="3226" ht="18" spans="1:16">
      <c r="A3226" s="10">
        <f t="shared" si="55"/>
        <v>3225</v>
      </c>
      <c r="B3226" s="31">
        <v>46184</v>
      </c>
      <c r="C3226" s="32" t="s">
        <v>2868</v>
      </c>
      <c r="D3226" s="120" t="s">
        <v>478</v>
      </c>
      <c r="E3226" s="33" t="s">
        <v>42</v>
      </c>
      <c r="F3226" s="18" t="s">
        <v>62</v>
      </c>
      <c r="G3226" s="18" t="s">
        <v>1056</v>
      </c>
      <c r="H3226" s="34" t="s">
        <v>85</v>
      </c>
      <c r="I3226" s="18" t="s">
        <v>2154</v>
      </c>
      <c r="J3226" s="31" t="s">
        <v>105</v>
      </c>
      <c r="K3226" s="31"/>
      <c r="N3226" s="13" t="s">
        <v>30</v>
      </c>
      <c r="O3226" s="28" t="str">
        <f>IF(D3226="","",IF(COUNTIF(离职清单!C:C,D3226)&gt;0,"已离职","在职"))</f>
        <v>在职</v>
      </c>
      <c r="P3226" s="28" t="str">
        <f>IF(AND(O3226="在职",J3226="是"),COUNTIF(O$2:O3226,"在职"),"")</f>
        <v/>
      </c>
    </row>
    <row r="3227" ht="18" spans="1:16">
      <c r="A3227" s="14">
        <f t="shared" si="55"/>
        <v>3226</v>
      </c>
      <c r="B3227" s="31">
        <v>46184</v>
      </c>
      <c r="C3227" s="32" t="s">
        <v>2979</v>
      </c>
      <c r="D3227" s="120" t="s">
        <v>480</v>
      </c>
      <c r="E3227" s="33" t="s">
        <v>42</v>
      </c>
      <c r="F3227" s="18" t="s">
        <v>63</v>
      </c>
      <c r="G3227" s="18" t="s">
        <v>1056</v>
      </c>
      <c r="H3227" s="34" t="s">
        <v>85</v>
      </c>
      <c r="I3227" s="18" t="s">
        <v>105</v>
      </c>
      <c r="J3227" s="31" t="s">
        <v>105</v>
      </c>
      <c r="K3227" s="31"/>
      <c r="N3227" s="13" t="s">
        <v>30</v>
      </c>
      <c r="O3227" s="28" t="str">
        <f>IF(D3227="","",IF(COUNTIF(离职清单!C:C,D3227)&gt;0,"已离职","在职"))</f>
        <v>在职</v>
      </c>
      <c r="P3227" s="28" t="str">
        <f>IF(AND(O3227="在职",J3227="是"),COUNTIF(O$2:O3227,"在职"),"")</f>
        <v/>
      </c>
    </row>
    <row r="3228" ht="18" spans="1:16">
      <c r="A3228" s="10">
        <f t="shared" si="55"/>
        <v>3227</v>
      </c>
      <c r="B3228" s="31">
        <v>46184</v>
      </c>
      <c r="C3228" s="32" t="s">
        <v>1882</v>
      </c>
      <c r="D3228" s="120" t="s">
        <v>482</v>
      </c>
      <c r="E3228" s="33" t="s">
        <v>42</v>
      </c>
      <c r="F3228" s="18" t="s">
        <v>64</v>
      </c>
      <c r="G3228" s="18" t="s">
        <v>1056</v>
      </c>
      <c r="H3228" s="34" t="s">
        <v>85</v>
      </c>
      <c r="I3228" s="18" t="s">
        <v>114</v>
      </c>
      <c r="J3228" s="31" t="s">
        <v>105</v>
      </c>
      <c r="K3228" s="31"/>
      <c r="N3228" s="13" t="s">
        <v>30</v>
      </c>
      <c r="O3228" s="28" t="str">
        <f>IF(D3228="","",IF(COUNTIF(离职清单!C:C,D3228)&gt;0,"已离职","在职"))</f>
        <v>在职</v>
      </c>
      <c r="P3228" s="28" t="str">
        <f>IF(AND(O3228="在职",J3228="是"),COUNTIF(O$2:O3228,"在职"),"")</f>
        <v/>
      </c>
    </row>
    <row r="3229" ht="18" spans="1:16">
      <c r="A3229" s="14">
        <f t="shared" si="55"/>
        <v>3228</v>
      </c>
      <c r="B3229" s="31">
        <v>46184</v>
      </c>
      <c r="C3229" s="32" t="s">
        <v>2979</v>
      </c>
      <c r="D3229" s="120" t="s">
        <v>484</v>
      </c>
      <c r="E3229" s="33" t="s">
        <v>42</v>
      </c>
      <c r="F3229" s="18" t="s">
        <v>63</v>
      </c>
      <c r="G3229" s="18" t="s">
        <v>1056</v>
      </c>
      <c r="H3229" s="34" t="s">
        <v>85</v>
      </c>
      <c r="I3229" s="18" t="s">
        <v>105</v>
      </c>
      <c r="J3229" s="31" t="s">
        <v>105</v>
      </c>
      <c r="K3229" s="31"/>
      <c r="N3229" s="13" t="s">
        <v>30</v>
      </c>
      <c r="O3229" s="28" t="str">
        <f>IF(D3229="","",IF(COUNTIF(离职清单!C:C,D3229)&gt;0,"已离职","在职"))</f>
        <v>在职</v>
      </c>
      <c r="P3229" s="28" t="str">
        <f>IF(AND(O3229="在职",J3229="是"),COUNTIF(O$2:O3229,"在职"),"")</f>
        <v/>
      </c>
    </row>
    <row r="3230" ht="18" spans="1:16">
      <c r="A3230" s="10">
        <f t="shared" si="55"/>
        <v>3229</v>
      </c>
      <c r="B3230" s="31">
        <v>46184</v>
      </c>
      <c r="C3230" s="32" t="s">
        <v>2980</v>
      </c>
      <c r="D3230" s="120" t="s">
        <v>486</v>
      </c>
      <c r="E3230" s="33" t="s">
        <v>42</v>
      </c>
      <c r="F3230" s="18" t="s">
        <v>64</v>
      </c>
      <c r="G3230" s="18" t="s">
        <v>1056</v>
      </c>
      <c r="H3230" s="34" t="s">
        <v>85</v>
      </c>
      <c r="I3230" s="18" t="s">
        <v>114</v>
      </c>
      <c r="J3230" s="31" t="s">
        <v>105</v>
      </c>
      <c r="K3230" s="31"/>
      <c r="N3230" s="13" t="s">
        <v>30</v>
      </c>
      <c r="O3230" s="28" t="str">
        <f>IF(D3230="","",IF(COUNTIF(离职清单!C:C,D3230)&gt;0,"已离职","在职"))</f>
        <v>在职</v>
      </c>
      <c r="P3230" s="28" t="str">
        <f>IF(AND(O3230="在职",J3230="是"),COUNTIF(O$2:O3230,"在职"),"")</f>
        <v/>
      </c>
    </row>
    <row r="3231" ht="18" spans="1:16">
      <c r="A3231" s="14">
        <f t="shared" si="55"/>
        <v>3230</v>
      </c>
      <c r="B3231" s="31">
        <v>46184</v>
      </c>
      <c r="C3231" s="32" t="s">
        <v>2981</v>
      </c>
      <c r="D3231" s="120" t="s">
        <v>488</v>
      </c>
      <c r="E3231" s="33" t="s">
        <v>42</v>
      </c>
      <c r="F3231" s="18" t="s">
        <v>63</v>
      </c>
      <c r="G3231" s="18" t="s">
        <v>1056</v>
      </c>
      <c r="H3231" s="34" t="s">
        <v>85</v>
      </c>
      <c r="I3231" s="18" t="s">
        <v>105</v>
      </c>
      <c r="J3231" s="31" t="s">
        <v>105</v>
      </c>
      <c r="K3231" s="31"/>
      <c r="N3231" s="13" t="s">
        <v>30</v>
      </c>
      <c r="O3231" s="28" t="str">
        <f>IF(D3231="","",IF(COUNTIF(离职清单!C:C,D3231)&gt;0,"已离职","在职"))</f>
        <v>在职</v>
      </c>
      <c r="P3231" s="28" t="str">
        <f>IF(AND(O3231="在职",J3231="是"),COUNTIF(O$2:O3231,"在职"),"")</f>
        <v/>
      </c>
    </row>
    <row r="3232" ht="18" spans="1:16">
      <c r="A3232" s="10">
        <f t="shared" si="55"/>
        <v>3231</v>
      </c>
      <c r="B3232" s="31">
        <v>46184</v>
      </c>
      <c r="C3232" s="32" t="s">
        <v>2234</v>
      </c>
      <c r="D3232" s="120" t="s">
        <v>490</v>
      </c>
      <c r="E3232" s="33" t="s">
        <v>42</v>
      </c>
      <c r="F3232" s="18" t="s">
        <v>62</v>
      </c>
      <c r="G3232" s="18" t="s">
        <v>2181</v>
      </c>
      <c r="H3232" s="34" t="s">
        <v>85</v>
      </c>
      <c r="I3232" s="18" t="s">
        <v>114</v>
      </c>
      <c r="J3232" s="31" t="s">
        <v>114</v>
      </c>
      <c r="K3232" s="31">
        <v>46188</v>
      </c>
      <c r="N3232" s="13" t="s">
        <v>30</v>
      </c>
      <c r="O3232" s="28" t="str">
        <f>IF(D3232="","",IF(COUNTIF(离职清单!C:C,D3232)&gt;0,"已离职","在职"))</f>
        <v>在职</v>
      </c>
      <c r="P3232" s="28">
        <f>IF(AND(O3232="在职",J3232="是"),COUNTIF(O$2:O3232,"在职"),"")</f>
        <v>3225</v>
      </c>
    </row>
    <row r="3233" ht="18" spans="1:16">
      <c r="A3233" s="14">
        <f t="shared" si="55"/>
        <v>3232</v>
      </c>
      <c r="B3233" s="31">
        <v>46184</v>
      </c>
      <c r="C3233" s="32" t="s">
        <v>2739</v>
      </c>
      <c r="D3233" s="120" t="s">
        <v>492</v>
      </c>
      <c r="E3233" s="33" t="s">
        <v>42</v>
      </c>
      <c r="F3233" s="18" t="s">
        <v>63</v>
      </c>
      <c r="G3233" s="18" t="s">
        <v>2181</v>
      </c>
      <c r="H3233" s="34" t="s">
        <v>85</v>
      </c>
      <c r="I3233" s="18" t="s">
        <v>114</v>
      </c>
      <c r="J3233" s="31" t="s">
        <v>105</v>
      </c>
      <c r="K3233" s="31"/>
      <c r="N3233" s="13" t="s">
        <v>30</v>
      </c>
      <c r="O3233" s="28" t="str">
        <f>IF(D3233="","",IF(COUNTIF(离职清单!C:C,D3233)&gt;0,"已离职","在职"))</f>
        <v>在职</v>
      </c>
      <c r="P3233" s="28" t="str">
        <f>IF(AND(O3233="在职",J3233="是"),COUNTIF(O$2:O3233,"在职"),"")</f>
        <v/>
      </c>
    </row>
    <row r="3234" ht="18" spans="1:16">
      <c r="A3234" s="10">
        <f t="shared" si="55"/>
        <v>3233</v>
      </c>
      <c r="B3234" s="31">
        <v>46184</v>
      </c>
      <c r="C3234" s="32" t="s">
        <v>2982</v>
      </c>
      <c r="D3234" s="120" t="s">
        <v>477</v>
      </c>
      <c r="E3234" s="33" t="s">
        <v>42</v>
      </c>
      <c r="F3234" s="18" t="s">
        <v>63</v>
      </c>
      <c r="G3234" s="18" t="s">
        <v>2181</v>
      </c>
      <c r="H3234" s="34" t="s">
        <v>85</v>
      </c>
      <c r="I3234" s="18" t="s">
        <v>114</v>
      </c>
      <c r="J3234" s="31" t="s">
        <v>105</v>
      </c>
      <c r="K3234" s="31"/>
      <c r="N3234" s="13" t="s">
        <v>30</v>
      </c>
      <c r="O3234" s="28" t="str">
        <f>IF(D3234="","",IF(COUNTIF(离职清单!C:C,D3234)&gt;0,"已离职","在职"))</f>
        <v>在职</v>
      </c>
      <c r="P3234" s="28" t="str">
        <f>IF(AND(O3234="在职",J3234="是"),COUNTIF(O$2:O3234,"在职"),"")</f>
        <v/>
      </c>
    </row>
    <row r="3235" ht="18" spans="1:16">
      <c r="A3235" s="14">
        <f t="shared" si="55"/>
        <v>3234</v>
      </c>
      <c r="B3235" s="31">
        <v>46184</v>
      </c>
      <c r="C3235" s="32" t="s">
        <v>2681</v>
      </c>
      <c r="D3235" s="120" t="s">
        <v>478</v>
      </c>
      <c r="E3235" s="33" t="s">
        <v>42</v>
      </c>
      <c r="F3235" s="18" t="s">
        <v>63</v>
      </c>
      <c r="G3235" s="18" t="s">
        <v>2164</v>
      </c>
      <c r="H3235" s="34" t="s">
        <v>85</v>
      </c>
      <c r="I3235" s="18" t="s">
        <v>114</v>
      </c>
      <c r="J3235" s="31" t="s">
        <v>114</v>
      </c>
      <c r="K3235" s="31">
        <v>46185</v>
      </c>
      <c r="N3235" s="13" t="s">
        <v>30</v>
      </c>
      <c r="O3235" s="28" t="str">
        <f>IF(D3235="","",IF(COUNTIF(离职清单!C:C,D3235)&gt;0,"已离职","在职"))</f>
        <v>在职</v>
      </c>
      <c r="P3235" s="28">
        <f>IF(AND(O3235="在职",J3235="是"),COUNTIF(O$2:O3235,"在职"),"")</f>
        <v>3228</v>
      </c>
    </row>
    <row r="3236" ht="18" spans="1:16">
      <c r="A3236" s="10">
        <f t="shared" si="55"/>
        <v>3235</v>
      </c>
      <c r="B3236" s="31">
        <v>46184</v>
      </c>
      <c r="C3236" s="32" t="s">
        <v>2983</v>
      </c>
      <c r="D3236" s="120" t="s">
        <v>480</v>
      </c>
      <c r="E3236" s="33" t="s">
        <v>42</v>
      </c>
      <c r="F3236" s="18" t="s">
        <v>63</v>
      </c>
      <c r="G3236" s="18" t="s">
        <v>2164</v>
      </c>
      <c r="H3236" s="34" t="s">
        <v>85</v>
      </c>
      <c r="I3236" s="18" t="s">
        <v>114</v>
      </c>
      <c r="J3236" s="31" t="s">
        <v>114</v>
      </c>
      <c r="K3236" s="31">
        <v>46187</v>
      </c>
      <c r="N3236" s="13" t="s">
        <v>30</v>
      </c>
      <c r="O3236" s="28" t="str">
        <f>IF(D3236="","",IF(COUNTIF(离职清单!C:C,D3236)&gt;0,"已离职","在职"))</f>
        <v>在职</v>
      </c>
      <c r="P3236" s="28">
        <f>IF(AND(O3236="在职",J3236="是"),COUNTIF(O$2:O3236,"在职"),"")</f>
        <v>3229</v>
      </c>
    </row>
    <row r="3237" ht="18" spans="1:16">
      <c r="A3237" s="14">
        <f t="shared" si="55"/>
        <v>3236</v>
      </c>
      <c r="B3237" s="31">
        <v>46184</v>
      </c>
      <c r="C3237" s="32" t="s">
        <v>2448</v>
      </c>
      <c r="D3237" s="120" t="s">
        <v>482</v>
      </c>
      <c r="E3237" s="33" t="s">
        <v>42</v>
      </c>
      <c r="F3237" s="18" t="s">
        <v>63</v>
      </c>
      <c r="G3237" s="18" t="s">
        <v>2195</v>
      </c>
      <c r="H3237" s="34" t="s">
        <v>85</v>
      </c>
      <c r="I3237" s="18" t="s">
        <v>105</v>
      </c>
      <c r="J3237" s="31" t="s">
        <v>105</v>
      </c>
      <c r="K3237" s="31"/>
      <c r="N3237" s="13" t="s">
        <v>30</v>
      </c>
      <c r="O3237" s="28" t="str">
        <f>IF(D3237="","",IF(COUNTIF(离职清单!C:C,D3237)&gt;0,"已离职","在职"))</f>
        <v>在职</v>
      </c>
      <c r="P3237" s="28" t="str">
        <f>IF(AND(O3237="在职",J3237="是"),COUNTIF(O$2:O3237,"在职"),"")</f>
        <v/>
      </c>
    </row>
    <row r="3238" ht="18" spans="1:16">
      <c r="A3238" s="10">
        <f t="shared" si="55"/>
        <v>3237</v>
      </c>
      <c r="B3238" s="31">
        <v>46184</v>
      </c>
      <c r="C3238" s="32" t="s">
        <v>2691</v>
      </c>
      <c r="D3238" s="120" t="s">
        <v>484</v>
      </c>
      <c r="E3238" s="33" t="s">
        <v>42</v>
      </c>
      <c r="F3238" s="18" t="s">
        <v>63</v>
      </c>
      <c r="G3238" s="18" t="s">
        <v>2195</v>
      </c>
      <c r="H3238" s="34" t="s">
        <v>85</v>
      </c>
      <c r="I3238" s="18" t="s">
        <v>2154</v>
      </c>
      <c r="J3238" s="31" t="s">
        <v>105</v>
      </c>
      <c r="K3238" s="31"/>
      <c r="N3238" s="13" t="s">
        <v>30</v>
      </c>
      <c r="O3238" s="28" t="str">
        <f>IF(D3238="","",IF(COUNTIF(离职清单!C:C,D3238)&gt;0,"已离职","在职"))</f>
        <v>在职</v>
      </c>
      <c r="P3238" s="28" t="str">
        <f>IF(AND(O3238="在职",J3238="是"),COUNTIF(O$2:O3238,"在职"),"")</f>
        <v/>
      </c>
    </row>
    <row r="3239" ht="18" spans="1:16">
      <c r="A3239" s="14">
        <f t="shared" si="55"/>
        <v>3238</v>
      </c>
      <c r="B3239" s="31">
        <v>46184</v>
      </c>
      <c r="C3239" s="32" t="s">
        <v>2984</v>
      </c>
      <c r="D3239" s="120" t="s">
        <v>486</v>
      </c>
      <c r="E3239" s="33" t="s">
        <v>42</v>
      </c>
      <c r="F3239" s="18" t="s">
        <v>63</v>
      </c>
      <c r="G3239" s="18" t="s">
        <v>2195</v>
      </c>
      <c r="H3239" s="34" t="s">
        <v>85</v>
      </c>
      <c r="I3239" s="18" t="s">
        <v>105</v>
      </c>
      <c r="J3239" s="31" t="s">
        <v>105</v>
      </c>
      <c r="K3239" s="31"/>
      <c r="N3239" s="13" t="s">
        <v>30</v>
      </c>
      <c r="O3239" s="28" t="str">
        <f>IF(D3239="","",IF(COUNTIF(离职清单!C:C,D3239)&gt;0,"已离职","在职"))</f>
        <v>在职</v>
      </c>
      <c r="P3239" s="28" t="str">
        <f>IF(AND(O3239="在职",J3239="是"),COUNTIF(O$2:O3239,"在职"),"")</f>
        <v/>
      </c>
    </row>
    <row r="3240" ht="18" spans="1:16">
      <c r="A3240" s="10">
        <f t="shared" si="55"/>
        <v>3239</v>
      </c>
      <c r="B3240" s="31">
        <v>46184</v>
      </c>
      <c r="C3240" s="32" t="s">
        <v>2985</v>
      </c>
      <c r="D3240" s="120" t="s">
        <v>488</v>
      </c>
      <c r="E3240" s="33" t="s">
        <v>42</v>
      </c>
      <c r="F3240" s="18" t="s">
        <v>63</v>
      </c>
      <c r="G3240" s="18" t="s">
        <v>2195</v>
      </c>
      <c r="H3240" s="34" t="s">
        <v>85</v>
      </c>
      <c r="I3240" s="18" t="s">
        <v>105</v>
      </c>
      <c r="J3240" s="31" t="s">
        <v>105</v>
      </c>
      <c r="K3240" s="31"/>
      <c r="N3240" s="13" t="s">
        <v>30</v>
      </c>
      <c r="O3240" s="28" t="str">
        <f>IF(D3240="","",IF(COUNTIF(离职清单!C:C,D3240)&gt;0,"已离职","在职"))</f>
        <v>在职</v>
      </c>
      <c r="P3240" s="28" t="str">
        <f>IF(AND(O3240="在职",J3240="是"),COUNTIF(O$2:O3240,"在职"),"")</f>
        <v/>
      </c>
    </row>
    <row r="3241" ht="18" spans="1:16">
      <c r="A3241" s="14">
        <f t="shared" si="55"/>
        <v>3240</v>
      </c>
      <c r="B3241" s="31">
        <v>46184</v>
      </c>
      <c r="C3241" s="32" t="s">
        <v>2869</v>
      </c>
      <c r="D3241" s="120" t="s">
        <v>490</v>
      </c>
      <c r="E3241" s="33" t="s">
        <v>42</v>
      </c>
      <c r="F3241" s="18" t="s">
        <v>62</v>
      </c>
      <c r="G3241" s="18" t="s">
        <v>2174</v>
      </c>
      <c r="H3241" s="34" t="s">
        <v>85</v>
      </c>
      <c r="I3241" s="18" t="s">
        <v>2154</v>
      </c>
      <c r="J3241" s="31" t="s">
        <v>105</v>
      </c>
      <c r="K3241" s="31"/>
      <c r="N3241" s="13" t="s">
        <v>30</v>
      </c>
      <c r="O3241" s="28" t="str">
        <f>IF(D3241="","",IF(COUNTIF(离职清单!C:C,D3241)&gt;0,"已离职","在职"))</f>
        <v>在职</v>
      </c>
      <c r="P3241" s="28" t="str">
        <f>IF(AND(O3241="在职",J3241="是"),COUNTIF(O$2:O3241,"在职"),"")</f>
        <v/>
      </c>
    </row>
    <row r="3242" ht="18" spans="1:16">
      <c r="A3242" s="10">
        <f t="shared" si="55"/>
        <v>3241</v>
      </c>
      <c r="B3242" s="31">
        <v>46184</v>
      </c>
      <c r="C3242" s="32" t="s">
        <v>2986</v>
      </c>
      <c r="D3242" s="120" t="s">
        <v>492</v>
      </c>
      <c r="E3242" s="33" t="s">
        <v>42</v>
      </c>
      <c r="F3242" s="18" t="s">
        <v>63</v>
      </c>
      <c r="G3242" s="18" t="s">
        <v>2174</v>
      </c>
      <c r="H3242" s="34" t="s">
        <v>85</v>
      </c>
      <c r="I3242" s="18" t="s">
        <v>2154</v>
      </c>
      <c r="J3242" s="31" t="s">
        <v>105</v>
      </c>
      <c r="K3242" s="31"/>
      <c r="N3242" s="13" t="s">
        <v>30</v>
      </c>
      <c r="O3242" s="28" t="str">
        <f>IF(D3242="","",IF(COUNTIF(离职清单!C:C,D3242)&gt;0,"已离职","在职"))</f>
        <v>在职</v>
      </c>
      <c r="P3242" s="28" t="str">
        <f>IF(AND(O3242="在职",J3242="是"),COUNTIF(O$2:O3242,"在职"),"")</f>
        <v/>
      </c>
    </row>
    <row r="3243" ht="18" spans="1:16">
      <c r="A3243" s="14">
        <f t="shared" si="55"/>
        <v>3242</v>
      </c>
      <c r="B3243" s="31">
        <v>46184</v>
      </c>
      <c r="C3243" s="32" t="s">
        <v>2870</v>
      </c>
      <c r="D3243" s="120" t="s">
        <v>477</v>
      </c>
      <c r="E3243" s="33" t="s">
        <v>42</v>
      </c>
      <c r="F3243" s="18" t="s">
        <v>63</v>
      </c>
      <c r="G3243" s="18" t="s">
        <v>2174</v>
      </c>
      <c r="H3243" s="34" t="s">
        <v>85</v>
      </c>
      <c r="I3243" s="18" t="s">
        <v>105</v>
      </c>
      <c r="J3243" s="31" t="s">
        <v>105</v>
      </c>
      <c r="K3243" s="31"/>
      <c r="N3243" s="13" t="s">
        <v>30</v>
      </c>
      <c r="O3243" s="28" t="str">
        <f>IF(D3243="","",IF(COUNTIF(离职清单!C:C,D3243)&gt;0,"已离职","在职"))</f>
        <v>在职</v>
      </c>
      <c r="P3243" s="28" t="str">
        <f>IF(AND(O3243="在职",J3243="是"),COUNTIF(O$2:O3243,"在职"),"")</f>
        <v/>
      </c>
    </row>
    <row r="3244" ht="18" spans="1:16">
      <c r="A3244" s="10">
        <f t="shared" ref="A3244:A3307" si="56">IF(B3244&lt;&gt;"",ROW()-1,"")</f>
        <v>3243</v>
      </c>
      <c r="B3244" s="31">
        <v>46184</v>
      </c>
      <c r="C3244" s="32" t="s">
        <v>2987</v>
      </c>
      <c r="D3244" s="120" t="s">
        <v>478</v>
      </c>
      <c r="E3244" s="33" t="s">
        <v>42</v>
      </c>
      <c r="F3244" s="18" t="s">
        <v>62</v>
      </c>
      <c r="G3244" s="18" t="s">
        <v>2174</v>
      </c>
      <c r="H3244" s="34" t="s">
        <v>85</v>
      </c>
      <c r="I3244" s="18" t="s">
        <v>2154</v>
      </c>
      <c r="J3244" s="31" t="s">
        <v>105</v>
      </c>
      <c r="K3244" s="31"/>
      <c r="N3244" s="13" t="s">
        <v>30</v>
      </c>
      <c r="O3244" s="28" t="str">
        <f>IF(D3244="","",IF(COUNTIF(离职清单!C:C,D3244)&gt;0,"已离职","在职"))</f>
        <v>在职</v>
      </c>
      <c r="P3244" s="28" t="str">
        <f>IF(AND(O3244="在职",J3244="是"),COUNTIF(O$2:O3244,"在职"),"")</f>
        <v/>
      </c>
    </row>
    <row r="3245" ht="18" spans="1:16">
      <c r="A3245" s="14">
        <f t="shared" si="56"/>
        <v>3244</v>
      </c>
      <c r="B3245" s="31">
        <v>46184</v>
      </c>
      <c r="C3245" s="32" t="s">
        <v>2867</v>
      </c>
      <c r="D3245" s="120" t="s">
        <v>480</v>
      </c>
      <c r="E3245" s="33" t="s">
        <v>42</v>
      </c>
      <c r="F3245" s="18" t="s">
        <v>63</v>
      </c>
      <c r="G3245" s="18" t="s">
        <v>2174</v>
      </c>
      <c r="H3245" s="34" t="s">
        <v>85</v>
      </c>
      <c r="I3245" s="18" t="s">
        <v>105</v>
      </c>
      <c r="J3245" s="31" t="s">
        <v>105</v>
      </c>
      <c r="K3245" s="31"/>
      <c r="N3245" s="13" t="s">
        <v>30</v>
      </c>
      <c r="O3245" s="28" t="str">
        <f>IF(D3245="","",IF(COUNTIF(离职清单!C:C,D3245)&gt;0,"已离职","在职"))</f>
        <v>在职</v>
      </c>
      <c r="P3245" s="28" t="str">
        <f>IF(AND(O3245="在职",J3245="是"),COUNTIF(O$2:O3245,"在职"),"")</f>
        <v/>
      </c>
    </row>
    <row r="3246" ht="18" spans="1:16">
      <c r="A3246" s="10">
        <f t="shared" si="56"/>
        <v>3245</v>
      </c>
      <c r="B3246" s="31">
        <v>46184</v>
      </c>
      <c r="C3246" s="32" t="s">
        <v>2988</v>
      </c>
      <c r="D3246" s="120" t="s">
        <v>482</v>
      </c>
      <c r="E3246" s="33" t="s">
        <v>42</v>
      </c>
      <c r="F3246" s="18" t="s">
        <v>63</v>
      </c>
      <c r="G3246" s="18" t="s">
        <v>2174</v>
      </c>
      <c r="H3246" s="34" t="s">
        <v>85</v>
      </c>
      <c r="I3246" s="18" t="s">
        <v>105</v>
      </c>
      <c r="J3246" s="31" t="s">
        <v>105</v>
      </c>
      <c r="K3246" s="31"/>
      <c r="N3246" s="13" t="s">
        <v>30</v>
      </c>
      <c r="O3246" s="28" t="str">
        <f>IF(D3246="","",IF(COUNTIF(离职清单!C:C,D3246)&gt;0,"已离职","在职"))</f>
        <v>在职</v>
      </c>
      <c r="P3246" s="28" t="str">
        <f>IF(AND(O3246="在职",J3246="是"),COUNTIF(O$2:O3246,"在职"),"")</f>
        <v/>
      </c>
    </row>
    <row r="3247" ht="18" spans="1:16">
      <c r="A3247" s="14">
        <f t="shared" si="56"/>
        <v>3246</v>
      </c>
      <c r="B3247" s="31">
        <v>46184</v>
      </c>
      <c r="C3247" s="32" t="s">
        <v>1871</v>
      </c>
      <c r="D3247" s="120" t="s">
        <v>484</v>
      </c>
      <c r="E3247" s="33" t="s">
        <v>42</v>
      </c>
      <c r="F3247" s="18" t="s">
        <v>63</v>
      </c>
      <c r="G3247" s="18" t="s">
        <v>2232</v>
      </c>
      <c r="H3247" s="34" t="s">
        <v>85</v>
      </c>
      <c r="I3247" s="18" t="s">
        <v>2154</v>
      </c>
      <c r="J3247" s="31" t="s">
        <v>105</v>
      </c>
      <c r="K3247" s="31"/>
      <c r="N3247" s="13" t="s">
        <v>30</v>
      </c>
      <c r="O3247" s="28" t="str">
        <f>IF(D3247="","",IF(COUNTIF(离职清单!C:C,D3247)&gt;0,"已离职","在职"))</f>
        <v>在职</v>
      </c>
      <c r="P3247" s="28" t="str">
        <f>IF(AND(O3247="在职",J3247="是"),COUNTIF(O$2:O3247,"在职"),"")</f>
        <v/>
      </c>
    </row>
    <row r="3248" ht="18" spans="1:16">
      <c r="A3248" s="10">
        <f t="shared" si="56"/>
        <v>3247</v>
      </c>
      <c r="B3248" s="31">
        <v>46184</v>
      </c>
      <c r="C3248" s="32" t="s">
        <v>2877</v>
      </c>
      <c r="D3248" s="120" t="s">
        <v>486</v>
      </c>
      <c r="E3248" s="33" t="s">
        <v>42</v>
      </c>
      <c r="F3248" s="18" t="s">
        <v>63</v>
      </c>
      <c r="G3248" s="18" t="s">
        <v>2181</v>
      </c>
      <c r="H3248" s="34" t="s">
        <v>85</v>
      </c>
      <c r="I3248" s="18" t="s">
        <v>105</v>
      </c>
      <c r="J3248" s="31" t="s">
        <v>105</v>
      </c>
      <c r="K3248" s="31"/>
      <c r="N3248" s="13" t="s">
        <v>30</v>
      </c>
      <c r="O3248" s="28" t="str">
        <f>IF(D3248="","",IF(COUNTIF(离职清单!C:C,D3248)&gt;0,"已离职","在职"))</f>
        <v>在职</v>
      </c>
      <c r="P3248" s="28" t="str">
        <f>IF(AND(O3248="在职",J3248="是"),COUNTIF(O$2:O3248,"在职"),"")</f>
        <v/>
      </c>
    </row>
    <row r="3249" ht="18" spans="1:16">
      <c r="A3249" s="14">
        <f t="shared" si="56"/>
        <v>3248</v>
      </c>
      <c r="B3249" s="31">
        <v>46184</v>
      </c>
      <c r="C3249" s="32" t="s">
        <v>2989</v>
      </c>
      <c r="D3249" s="120" t="s">
        <v>488</v>
      </c>
      <c r="E3249" s="33" t="s">
        <v>42</v>
      </c>
      <c r="F3249" s="18" t="s">
        <v>63</v>
      </c>
      <c r="G3249" s="18" t="s">
        <v>2181</v>
      </c>
      <c r="H3249" s="34" t="s">
        <v>85</v>
      </c>
      <c r="I3249" s="18" t="s">
        <v>2154</v>
      </c>
      <c r="J3249" s="31" t="s">
        <v>105</v>
      </c>
      <c r="K3249" s="31"/>
      <c r="N3249" s="13" t="s">
        <v>30</v>
      </c>
      <c r="O3249" s="28" t="str">
        <f>IF(D3249="","",IF(COUNTIF(离职清单!C:C,D3249)&gt;0,"已离职","在职"))</f>
        <v>在职</v>
      </c>
      <c r="P3249" s="28" t="str">
        <f>IF(AND(O3249="在职",J3249="是"),COUNTIF(O$2:O3249,"在职"),"")</f>
        <v/>
      </c>
    </row>
    <row r="3250" ht="18" spans="1:16">
      <c r="A3250" s="10">
        <f t="shared" si="56"/>
        <v>3249</v>
      </c>
      <c r="B3250" s="31">
        <v>46184</v>
      </c>
      <c r="C3250" s="32" t="s">
        <v>2990</v>
      </c>
      <c r="D3250" s="120" t="s">
        <v>490</v>
      </c>
      <c r="E3250" s="33" t="s">
        <v>42</v>
      </c>
      <c r="F3250" s="18" t="s">
        <v>63</v>
      </c>
      <c r="G3250" s="18" t="s">
        <v>2164</v>
      </c>
      <c r="H3250" s="34" t="s">
        <v>85</v>
      </c>
      <c r="I3250" s="18" t="s">
        <v>2154</v>
      </c>
      <c r="J3250" s="31" t="s">
        <v>105</v>
      </c>
      <c r="K3250" s="31"/>
      <c r="N3250" s="13" t="s">
        <v>30</v>
      </c>
      <c r="O3250" s="28" t="str">
        <f>IF(D3250="","",IF(COUNTIF(离职清单!C:C,D3250)&gt;0,"已离职","在职"))</f>
        <v>在职</v>
      </c>
      <c r="P3250" s="28" t="str">
        <f>IF(AND(O3250="在职",J3250="是"),COUNTIF(O$2:O3250,"在职"),"")</f>
        <v/>
      </c>
    </row>
    <row r="3251" ht="18" spans="1:16">
      <c r="A3251" s="14">
        <f t="shared" si="56"/>
        <v>3250</v>
      </c>
      <c r="B3251" s="31">
        <v>46184</v>
      </c>
      <c r="C3251" s="32" t="s">
        <v>2868</v>
      </c>
      <c r="D3251" s="120" t="s">
        <v>492</v>
      </c>
      <c r="E3251" s="33" t="s">
        <v>42</v>
      </c>
      <c r="F3251" s="18" t="s">
        <v>62</v>
      </c>
      <c r="G3251" s="18" t="s">
        <v>2164</v>
      </c>
      <c r="H3251" s="34" t="s">
        <v>85</v>
      </c>
      <c r="I3251" s="18" t="s">
        <v>105</v>
      </c>
      <c r="J3251" s="31" t="s">
        <v>105</v>
      </c>
      <c r="K3251" s="31"/>
      <c r="N3251" s="13" t="s">
        <v>30</v>
      </c>
      <c r="O3251" s="28" t="str">
        <f>IF(D3251="","",IF(COUNTIF(离职清单!C:C,D3251)&gt;0,"已离职","在职"))</f>
        <v>在职</v>
      </c>
      <c r="P3251" s="28" t="str">
        <f>IF(AND(O3251="在职",J3251="是"),COUNTIF(O$2:O3251,"在职"),"")</f>
        <v/>
      </c>
    </row>
    <row r="3252" ht="18" spans="1:16">
      <c r="A3252" s="10">
        <f t="shared" si="56"/>
        <v>3251</v>
      </c>
      <c r="B3252" s="31">
        <v>46184</v>
      </c>
      <c r="C3252" s="32" t="s">
        <v>2765</v>
      </c>
      <c r="D3252" s="120" t="s">
        <v>477</v>
      </c>
      <c r="E3252" s="33" t="s">
        <v>42</v>
      </c>
      <c r="F3252" s="18" t="s">
        <v>63</v>
      </c>
      <c r="G3252" s="18" t="s">
        <v>2164</v>
      </c>
      <c r="H3252" s="34" t="s">
        <v>85</v>
      </c>
      <c r="I3252" s="18" t="s">
        <v>2154</v>
      </c>
      <c r="J3252" s="31" t="s">
        <v>105</v>
      </c>
      <c r="K3252" s="31"/>
      <c r="N3252" s="13" t="s">
        <v>30</v>
      </c>
      <c r="O3252" s="28" t="str">
        <f>IF(D3252="","",IF(COUNTIF(离职清单!C:C,D3252)&gt;0,"已离职","在职"))</f>
        <v>在职</v>
      </c>
      <c r="P3252" s="28" t="str">
        <f>IF(AND(O3252="在职",J3252="是"),COUNTIF(O$2:O3252,"在职"),"")</f>
        <v/>
      </c>
    </row>
    <row r="3253" ht="18" spans="1:16">
      <c r="A3253" s="14">
        <f t="shared" si="56"/>
        <v>3252</v>
      </c>
      <c r="B3253" s="31">
        <v>46184</v>
      </c>
      <c r="C3253" s="32" t="s">
        <v>2927</v>
      </c>
      <c r="D3253" s="120" t="s">
        <v>478</v>
      </c>
      <c r="E3253" s="33" t="s">
        <v>42</v>
      </c>
      <c r="F3253" s="18" t="s">
        <v>63</v>
      </c>
      <c r="G3253" s="18" t="s">
        <v>2164</v>
      </c>
      <c r="H3253" s="34" t="s">
        <v>85</v>
      </c>
      <c r="I3253" s="18" t="s">
        <v>2154</v>
      </c>
      <c r="J3253" s="31" t="s">
        <v>105</v>
      </c>
      <c r="K3253" s="31"/>
      <c r="N3253" s="13" t="s">
        <v>30</v>
      </c>
      <c r="O3253" s="28" t="str">
        <f>IF(D3253="","",IF(COUNTIF(离职清单!C:C,D3253)&gt;0,"已离职","在职"))</f>
        <v>在职</v>
      </c>
      <c r="P3253" s="28" t="str">
        <f>IF(AND(O3253="在职",J3253="是"),COUNTIF(O$2:O3253,"在职"),"")</f>
        <v/>
      </c>
    </row>
    <row r="3254" ht="18" spans="1:16">
      <c r="A3254" s="10">
        <f t="shared" si="56"/>
        <v>3253</v>
      </c>
      <c r="B3254" s="31">
        <v>46184</v>
      </c>
      <c r="C3254" s="32" t="s">
        <v>2991</v>
      </c>
      <c r="D3254" s="120" t="s">
        <v>480</v>
      </c>
      <c r="E3254" s="33" t="s">
        <v>43</v>
      </c>
      <c r="F3254" s="18" t="s">
        <v>63</v>
      </c>
      <c r="G3254" s="18" t="s">
        <v>2181</v>
      </c>
      <c r="H3254" s="34" t="s">
        <v>85</v>
      </c>
      <c r="I3254" s="18" t="s">
        <v>114</v>
      </c>
      <c r="J3254" s="31" t="s">
        <v>114</v>
      </c>
      <c r="K3254" s="31">
        <v>46185</v>
      </c>
      <c r="N3254" s="13" t="s">
        <v>30</v>
      </c>
      <c r="O3254" s="28" t="str">
        <f>IF(D3254="","",IF(COUNTIF(离职清单!C:C,D3254)&gt;0,"已离职","在职"))</f>
        <v>在职</v>
      </c>
      <c r="P3254" s="28">
        <f>IF(AND(O3254="在职",J3254="是"),COUNTIF(O$2:O3254,"在职"),"")</f>
        <v>3247</v>
      </c>
    </row>
    <row r="3255" ht="18" spans="1:16">
      <c r="A3255" s="14">
        <f t="shared" si="56"/>
        <v>3254</v>
      </c>
      <c r="B3255" s="31">
        <v>46184</v>
      </c>
      <c r="C3255" s="32" t="s">
        <v>2992</v>
      </c>
      <c r="D3255" s="120" t="s">
        <v>482</v>
      </c>
      <c r="E3255" s="33" t="s">
        <v>43</v>
      </c>
      <c r="F3255" s="18" t="s">
        <v>64</v>
      </c>
      <c r="G3255" s="18" t="s">
        <v>2181</v>
      </c>
      <c r="H3255" s="34" t="s">
        <v>85</v>
      </c>
      <c r="I3255" s="18" t="s">
        <v>114</v>
      </c>
      <c r="J3255" s="31" t="s">
        <v>105</v>
      </c>
      <c r="K3255" s="31"/>
      <c r="N3255" s="13" t="s">
        <v>30</v>
      </c>
      <c r="O3255" s="28" t="str">
        <f>IF(D3255="","",IF(COUNTIF(离职清单!C:C,D3255)&gt;0,"已离职","在职"))</f>
        <v>在职</v>
      </c>
      <c r="P3255" s="28" t="str">
        <f>IF(AND(O3255="在职",J3255="是"),COUNTIF(O$2:O3255,"在职"),"")</f>
        <v/>
      </c>
    </row>
    <row r="3256" ht="18" spans="1:16">
      <c r="A3256" s="10">
        <f t="shared" si="56"/>
        <v>3255</v>
      </c>
      <c r="B3256" s="31">
        <v>46184</v>
      </c>
      <c r="C3256" s="32" t="s">
        <v>2993</v>
      </c>
      <c r="D3256" s="120" t="s">
        <v>484</v>
      </c>
      <c r="E3256" s="33" t="s">
        <v>43</v>
      </c>
      <c r="F3256" s="18" t="s">
        <v>62</v>
      </c>
      <c r="G3256" s="18" t="s">
        <v>129</v>
      </c>
      <c r="H3256" s="34" t="s">
        <v>85</v>
      </c>
      <c r="I3256" s="18" t="s">
        <v>2154</v>
      </c>
      <c r="J3256" s="31" t="s">
        <v>105</v>
      </c>
      <c r="K3256" s="31"/>
      <c r="N3256" s="13" t="s">
        <v>30</v>
      </c>
      <c r="O3256" s="28" t="str">
        <f>IF(D3256="","",IF(COUNTIF(离职清单!C:C,D3256)&gt;0,"已离职","在职"))</f>
        <v>在职</v>
      </c>
      <c r="P3256" s="28" t="str">
        <f>IF(AND(O3256="在职",J3256="是"),COUNTIF(O$2:O3256,"在职"),"")</f>
        <v/>
      </c>
    </row>
    <row r="3257" ht="18" spans="1:16">
      <c r="A3257" s="14">
        <f t="shared" si="56"/>
        <v>3256</v>
      </c>
      <c r="B3257" s="31">
        <v>46184</v>
      </c>
      <c r="C3257" s="32" t="s">
        <v>2994</v>
      </c>
      <c r="D3257" s="120" t="s">
        <v>486</v>
      </c>
      <c r="E3257" s="33" t="s">
        <v>43</v>
      </c>
      <c r="F3257" s="18" t="s">
        <v>62</v>
      </c>
      <c r="G3257" s="18" t="s">
        <v>129</v>
      </c>
      <c r="H3257" s="34" t="s">
        <v>85</v>
      </c>
      <c r="I3257" s="18" t="s">
        <v>114</v>
      </c>
      <c r="J3257" s="31" t="s">
        <v>114</v>
      </c>
      <c r="K3257" s="31">
        <v>46188</v>
      </c>
      <c r="N3257" s="13" t="s">
        <v>30</v>
      </c>
      <c r="O3257" s="28" t="str">
        <f>IF(D3257="","",IF(COUNTIF(离职清单!C:C,D3257)&gt;0,"已离职","在职"))</f>
        <v>在职</v>
      </c>
      <c r="P3257" s="28">
        <f>IF(AND(O3257="在职",J3257="是"),COUNTIF(O$2:O3257,"在职"),"")</f>
        <v>3250</v>
      </c>
    </row>
    <row r="3258" ht="18" spans="1:16">
      <c r="A3258" s="10">
        <f t="shared" si="56"/>
        <v>3257</v>
      </c>
      <c r="B3258" s="31">
        <v>46184</v>
      </c>
      <c r="C3258" s="32" t="s">
        <v>2995</v>
      </c>
      <c r="D3258" s="120" t="s">
        <v>488</v>
      </c>
      <c r="E3258" s="33" t="s">
        <v>43</v>
      </c>
      <c r="F3258" s="18" t="s">
        <v>62</v>
      </c>
      <c r="G3258" s="18" t="s">
        <v>129</v>
      </c>
      <c r="H3258" s="34" t="s">
        <v>85</v>
      </c>
      <c r="I3258" s="18" t="s">
        <v>114</v>
      </c>
      <c r="J3258" s="31" t="s">
        <v>114</v>
      </c>
      <c r="K3258" s="31">
        <v>46188</v>
      </c>
      <c r="N3258" s="13" t="s">
        <v>30</v>
      </c>
      <c r="O3258" s="28" t="str">
        <f>IF(D3258="","",IF(COUNTIF(离职清单!C:C,D3258)&gt;0,"已离职","在职"))</f>
        <v>在职</v>
      </c>
      <c r="P3258" s="28">
        <f>IF(AND(O3258="在职",J3258="是"),COUNTIF(O$2:O3258,"在职"),"")</f>
        <v>3251</v>
      </c>
    </row>
    <row r="3259" ht="18" spans="1:16">
      <c r="A3259" s="14">
        <f t="shared" si="56"/>
        <v>3258</v>
      </c>
      <c r="B3259" s="31">
        <v>46184</v>
      </c>
      <c r="C3259" s="32" t="s">
        <v>2996</v>
      </c>
      <c r="D3259" s="120" t="s">
        <v>490</v>
      </c>
      <c r="E3259" s="33" t="s">
        <v>43</v>
      </c>
      <c r="F3259" s="18" t="s">
        <v>62</v>
      </c>
      <c r="G3259" s="18" t="s">
        <v>129</v>
      </c>
      <c r="H3259" s="34" t="s">
        <v>85</v>
      </c>
      <c r="I3259" s="18" t="s">
        <v>2154</v>
      </c>
      <c r="J3259" s="31" t="s">
        <v>105</v>
      </c>
      <c r="K3259" s="31"/>
      <c r="N3259" s="13" t="s">
        <v>30</v>
      </c>
      <c r="O3259" s="28" t="str">
        <f>IF(D3259="","",IF(COUNTIF(离职清单!C:C,D3259)&gt;0,"已离职","在职"))</f>
        <v>在职</v>
      </c>
      <c r="P3259" s="28" t="str">
        <f>IF(AND(O3259="在职",J3259="是"),COUNTIF(O$2:O3259,"在职"),"")</f>
        <v/>
      </c>
    </row>
    <row r="3260" ht="18" spans="1:16">
      <c r="A3260" s="10">
        <f t="shared" si="56"/>
        <v>3259</v>
      </c>
      <c r="B3260" s="31">
        <v>46184</v>
      </c>
      <c r="C3260" s="32" t="s">
        <v>2997</v>
      </c>
      <c r="D3260" s="120" t="s">
        <v>492</v>
      </c>
      <c r="E3260" s="33" t="s">
        <v>43</v>
      </c>
      <c r="F3260" s="18" t="s">
        <v>63</v>
      </c>
      <c r="G3260" s="18" t="s">
        <v>129</v>
      </c>
      <c r="H3260" s="34" t="s">
        <v>85</v>
      </c>
      <c r="I3260" s="18" t="s">
        <v>114</v>
      </c>
      <c r="J3260" s="31" t="s">
        <v>114</v>
      </c>
      <c r="K3260" s="31">
        <v>46185</v>
      </c>
      <c r="N3260" s="13" t="s">
        <v>30</v>
      </c>
      <c r="O3260" s="28" t="str">
        <f>IF(D3260="","",IF(COUNTIF(离职清单!C:C,D3260)&gt;0,"已离职","在职"))</f>
        <v>在职</v>
      </c>
      <c r="P3260" s="28">
        <f>IF(AND(O3260="在职",J3260="是"),COUNTIF(O$2:O3260,"在职"),"")</f>
        <v>3253</v>
      </c>
    </row>
    <row r="3261" ht="18" spans="1:16">
      <c r="A3261" s="14">
        <f t="shared" si="56"/>
        <v>3260</v>
      </c>
      <c r="B3261" s="31">
        <v>46184</v>
      </c>
      <c r="C3261" s="32" t="s">
        <v>2998</v>
      </c>
      <c r="D3261" s="120" t="s">
        <v>477</v>
      </c>
      <c r="E3261" s="33" t="s">
        <v>43</v>
      </c>
      <c r="F3261" s="18" t="s">
        <v>63</v>
      </c>
      <c r="G3261" s="18" t="s">
        <v>129</v>
      </c>
      <c r="H3261" s="34" t="s">
        <v>85</v>
      </c>
      <c r="I3261" s="18" t="s">
        <v>114</v>
      </c>
      <c r="J3261" s="31" t="s">
        <v>114</v>
      </c>
      <c r="K3261" s="31">
        <v>46186</v>
      </c>
      <c r="N3261" s="13" t="s">
        <v>30</v>
      </c>
      <c r="O3261" s="28" t="str">
        <f>IF(D3261="","",IF(COUNTIF(离职清单!C:C,D3261)&gt;0,"已离职","在职"))</f>
        <v>在职</v>
      </c>
      <c r="P3261" s="28">
        <f>IF(AND(O3261="在职",J3261="是"),COUNTIF(O$2:O3261,"在职"),"")</f>
        <v>3254</v>
      </c>
    </row>
    <row r="3262" ht="18" spans="1:16">
      <c r="A3262" s="10">
        <f t="shared" si="56"/>
        <v>3261</v>
      </c>
      <c r="B3262" s="31">
        <v>46184</v>
      </c>
      <c r="C3262" s="32" t="s">
        <v>2999</v>
      </c>
      <c r="D3262" s="120" t="s">
        <v>477</v>
      </c>
      <c r="E3262" s="33" t="s">
        <v>43</v>
      </c>
      <c r="F3262" s="18" t="s">
        <v>64</v>
      </c>
      <c r="G3262" s="18" t="s">
        <v>129</v>
      </c>
      <c r="H3262" s="34" t="s">
        <v>85</v>
      </c>
      <c r="I3262" s="18" t="s">
        <v>114</v>
      </c>
      <c r="J3262" s="31" t="s">
        <v>114</v>
      </c>
      <c r="K3262" s="31">
        <v>46186</v>
      </c>
      <c r="N3262" s="13" t="s">
        <v>30</v>
      </c>
      <c r="O3262" s="28" t="str">
        <f>IF(D3262="","",IF(COUNTIF(离职清单!C:C,D3262)&gt;0,"已离职","在职"))</f>
        <v>在职</v>
      </c>
      <c r="P3262" s="28">
        <f>IF(AND(O3262="在职",J3262="是"),COUNTIF(O$2:O3262,"在职"),"")</f>
        <v>3255</v>
      </c>
    </row>
    <row r="3263" ht="18" spans="1:16">
      <c r="A3263" s="14">
        <f t="shared" si="56"/>
        <v>3262</v>
      </c>
      <c r="B3263" s="31">
        <v>46184</v>
      </c>
      <c r="C3263" s="32" t="s">
        <v>3000</v>
      </c>
      <c r="D3263" s="120" t="s">
        <v>478</v>
      </c>
      <c r="E3263" s="33" t="s">
        <v>43</v>
      </c>
      <c r="F3263" s="18" t="s">
        <v>63</v>
      </c>
      <c r="G3263" s="18" t="s">
        <v>129</v>
      </c>
      <c r="H3263" s="34" t="s">
        <v>85</v>
      </c>
      <c r="I3263" s="18" t="s">
        <v>114</v>
      </c>
      <c r="J3263" s="31" t="s">
        <v>114</v>
      </c>
      <c r="K3263" s="31">
        <v>46185</v>
      </c>
      <c r="N3263" s="13" t="s">
        <v>30</v>
      </c>
      <c r="O3263" s="28" t="str">
        <f>IF(D3263="","",IF(COUNTIF(离职清单!C:C,D3263)&gt;0,"已离职","在职"))</f>
        <v>在职</v>
      </c>
      <c r="P3263" s="28">
        <f>IF(AND(O3263="在职",J3263="是"),COUNTIF(O$2:O3263,"在职"),"")</f>
        <v>3256</v>
      </c>
    </row>
    <row r="3264" ht="18" spans="1:16">
      <c r="A3264" s="10">
        <f t="shared" si="56"/>
        <v>3263</v>
      </c>
      <c r="B3264" s="31">
        <v>46184</v>
      </c>
      <c r="C3264" s="32" t="s">
        <v>3001</v>
      </c>
      <c r="D3264" s="120" t="s">
        <v>480</v>
      </c>
      <c r="E3264" s="33" t="s">
        <v>43</v>
      </c>
      <c r="F3264" s="18" t="s">
        <v>64</v>
      </c>
      <c r="G3264" s="18" t="s">
        <v>129</v>
      </c>
      <c r="H3264" s="34" t="s">
        <v>85</v>
      </c>
      <c r="I3264" s="18" t="s">
        <v>114</v>
      </c>
      <c r="J3264" s="31" t="s">
        <v>105</v>
      </c>
      <c r="K3264" s="31"/>
      <c r="N3264" s="13" t="s">
        <v>30</v>
      </c>
      <c r="O3264" s="28" t="str">
        <f>IF(D3264="","",IF(COUNTIF(离职清单!C:C,D3264)&gt;0,"已离职","在职"))</f>
        <v>在职</v>
      </c>
      <c r="P3264" s="28" t="str">
        <f>IF(AND(O3264="在职",J3264="是"),COUNTIF(O$2:O3264,"在职"),"")</f>
        <v/>
      </c>
    </row>
    <row r="3265" ht="18" spans="1:16">
      <c r="A3265" s="14">
        <f t="shared" si="56"/>
        <v>3264</v>
      </c>
      <c r="B3265" s="31">
        <v>46184</v>
      </c>
      <c r="C3265" s="32" t="s">
        <v>789</v>
      </c>
      <c r="D3265" s="120" t="s">
        <v>482</v>
      </c>
      <c r="E3265" s="33" t="s">
        <v>43</v>
      </c>
      <c r="F3265" s="18" t="s">
        <v>63</v>
      </c>
      <c r="G3265" s="18" t="s">
        <v>129</v>
      </c>
      <c r="H3265" s="34" t="s">
        <v>85</v>
      </c>
      <c r="I3265" s="18" t="s">
        <v>114</v>
      </c>
      <c r="J3265" s="31" t="s">
        <v>105</v>
      </c>
      <c r="K3265" s="31"/>
      <c r="N3265" s="13" t="s">
        <v>30</v>
      </c>
      <c r="O3265" s="28" t="str">
        <f>IF(D3265="","",IF(COUNTIF(离职清单!C:C,D3265)&gt;0,"已离职","在职"))</f>
        <v>在职</v>
      </c>
      <c r="P3265" s="28" t="str">
        <f>IF(AND(O3265="在职",J3265="是"),COUNTIF(O$2:O3265,"在职"),"")</f>
        <v/>
      </c>
    </row>
    <row r="3266" ht="18" spans="1:16">
      <c r="A3266" s="10">
        <f t="shared" si="56"/>
        <v>3265</v>
      </c>
      <c r="B3266" s="31">
        <v>46184</v>
      </c>
      <c r="C3266" s="32" t="s">
        <v>3002</v>
      </c>
      <c r="D3266" s="120" t="s">
        <v>484</v>
      </c>
      <c r="E3266" s="33" t="s">
        <v>43</v>
      </c>
      <c r="F3266" s="18" t="s">
        <v>63</v>
      </c>
      <c r="G3266" s="18" t="s">
        <v>129</v>
      </c>
      <c r="H3266" s="34" t="s">
        <v>85</v>
      </c>
      <c r="I3266" s="18" t="s">
        <v>105</v>
      </c>
      <c r="J3266" s="31" t="s">
        <v>105</v>
      </c>
      <c r="K3266" s="31"/>
      <c r="N3266" s="13" t="s">
        <v>30</v>
      </c>
      <c r="O3266" s="28" t="str">
        <f>IF(D3266="","",IF(COUNTIF(离职清单!C:C,D3266)&gt;0,"已离职","在职"))</f>
        <v>在职</v>
      </c>
      <c r="P3266" s="28" t="str">
        <f>IF(AND(O3266="在职",J3266="是"),COUNTIF(O$2:O3266,"在职"),"")</f>
        <v/>
      </c>
    </row>
    <row r="3267" ht="18" spans="1:16">
      <c r="A3267" s="14">
        <f t="shared" si="56"/>
        <v>3266</v>
      </c>
      <c r="B3267" s="31">
        <v>46184</v>
      </c>
      <c r="C3267" s="32" t="s">
        <v>3003</v>
      </c>
      <c r="D3267" s="120" t="s">
        <v>486</v>
      </c>
      <c r="E3267" s="33" t="s">
        <v>43</v>
      </c>
      <c r="F3267" s="18" t="s">
        <v>63</v>
      </c>
      <c r="G3267" s="18" t="s">
        <v>129</v>
      </c>
      <c r="H3267" s="34" t="s">
        <v>85</v>
      </c>
      <c r="I3267" s="18" t="s">
        <v>105</v>
      </c>
      <c r="J3267" s="31" t="s">
        <v>105</v>
      </c>
      <c r="K3267" s="31"/>
      <c r="N3267" s="13" t="s">
        <v>30</v>
      </c>
      <c r="O3267" s="28" t="str">
        <f>IF(D3267="","",IF(COUNTIF(离职清单!C:C,D3267)&gt;0,"已离职","在职"))</f>
        <v>在职</v>
      </c>
      <c r="P3267" s="28" t="str">
        <f>IF(AND(O3267="在职",J3267="是"),COUNTIF(O$2:O3267,"在职"),"")</f>
        <v/>
      </c>
    </row>
    <row r="3268" ht="18" spans="1:16">
      <c r="A3268" s="10">
        <f t="shared" si="56"/>
        <v>3267</v>
      </c>
      <c r="B3268" s="31">
        <v>46184</v>
      </c>
      <c r="C3268" s="32" t="s">
        <v>3004</v>
      </c>
      <c r="D3268" s="120" t="s">
        <v>488</v>
      </c>
      <c r="E3268" s="33" t="s">
        <v>43</v>
      </c>
      <c r="F3268" s="18" t="s">
        <v>64</v>
      </c>
      <c r="G3268" s="18" t="s">
        <v>129</v>
      </c>
      <c r="H3268" s="34" t="s">
        <v>85</v>
      </c>
      <c r="I3268" s="18" t="s">
        <v>114</v>
      </c>
      <c r="J3268" s="31" t="s">
        <v>105</v>
      </c>
      <c r="K3268" s="31"/>
      <c r="N3268" s="13" t="s">
        <v>30</v>
      </c>
      <c r="O3268" s="28" t="str">
        <f>IF(D3268="","",IF(COUNTIF(离职清单!C:C,D3268)&gt;0,"已离职","在职"))</f>
        <v>在职</v>
      </c>
      <c r="P3268" s="28" t="str">
        <f>IF(AND(O3268="在职",J3268="是"),COUNTIF(O$2:O3268,"在职"),"")</f>
        <v/>
      </c>
    </row>
    <row r="3269" ht="18" spans="1:16">
      <c r="A3269" s="14">
        <f t="shared" si="56"/>
        <v>3268</v>
      </c>
      <c r="B3269" s="31">
        <v>46184</v>
      </c>
      <c r="C3269" s="32" t="s">
        <v>3005</v>
      </c>
      <c r="D3269" s="120" t="s">
        <v>490</v>
      </c>
      <c r="E3269" s="33" t="s">
        <v>43</v>
      </c>
      <c r="F3269" s="18" t="s">
        <v>63</v>
      </c>
      <c r="G3269" s="18" t="s">
        <v>129</v>
      </c>
      <c r="H3269" s="34" t="s">
        <v>85</v>
      </c>
      <c r="I3269" s="18" t="s">
        <v>105</v>
      </c>
      <c r="J3269" s="31" t="s">
        <v>105</v>
      </c>
      <c r="K3269" s="31"/>
      <c r="N3269" s="13" t="s">
        <v>30</v>
      </c>
      <c r="O3269" s="28" t="str">
        <f>IF(D3269="","",IF(COUNTIF(离职清单!C:C,D3269)&gt;0,"已离职","在职"))</f>
        <v>在职</v>
      </c>
      <c r="P3269" s="28" t="str">
        <f>IF(AND(O3269="在职",J3269="是"),COUNTIF(O$2:O3269,"在职"),"")</f>
        <v/>
      </c>
    </row>
    <row r="3270" ht="18" spans="1:16">
      <c r="A3270" s="10">
        <f t="shared" si="56"/>
        <v>3269</v>
      </c>
      <c r="B3270" s="31">
        <v>46184</v>
      </c>
      <c r="C3270" s="32" t="s">
        <v>2403</v>
      </c>
      <c r="D3270" s="120" t="s">
        <v>492</v>
      </c>
      <c r="E3270" s="33" t="s">
        <v>42</v>
      </c>
      <c r="F3270" s="18" t="s">
        <v>63</v>
      </c>
      <c r="G3270" s="18" t="s">
        <v>2370</v>
      </c>
      <c r="H3270" s="34" t="s">
        <v>85</v>
      </c>
      <c r="I3270" s="18" t="s">
        <v>105</v>
      </c>
      <c r="J3270" s="31" t="s">
        <v>105</v>
      </c>
      <c r="K3270" s="31"/>
      <c r="N3270" s="13" t="s">
        <v>30</v>
      </c>
      <c r="O3270" s="28" t="str">
        <f>IF(D3270="","",IF(COUNTIF(离职清单!C:C,D3270)&gt;0,"已离职","在职"))</f>
        <v>在职</v>
      </c>
      <c r="P3270" s="28" t="str">
        <f>IF(AND(O3270="在职",J3270="是"),COUNTIF(O$2:O3270,"在职"),"")</f>
        <v/>
      </c>
    </row>
    <row r="3271" ht="18" spans="1:16">
      <c r="A3271" s="14">
        <f t="shared" si="56"/>
        <v>3270</v>
      </c>
      <c r="B3271" s="31">
        <v>46184</v>
      </c>
      <c r="C3271" s="32" t="s">
        <v>2879</v>
      </c>
      <c r="D3271" s="120" t="s">
        <v>477</v>
      </c>
      <c r="E3271" s="33" t="s">
        <v>43</v>
      </c>
      <c r="F3271" s="18" t="s">
        <v>63</v>
      </c>
      <c r="G3271" s="18" t="s">
        <v>2195</v>
      </c>
      <c r="H3271" s="34" t="s">
        <v>85</v>
      </c>
      <c r="I3271" s="18" t="s">
        <v>105</v>
      </c>
      <c r="J3271" s="31" t="s">
        <v>105</v>
      </c>
      <c r="K3271" s="31"/>
      <c r="N3271" s="13" t="s">
        <v>30</v>
      </c>
      <c r="O3271" s="28" t="str">
        <f>IF(D3271="","",IF(COUNTIF(离职清单!C:C,D3271)&gt;0,"已离职","在职"))</f>
        <v>在职</v>
      </c>
      <c r="P3271" s="28" t="str">
        <f>IF(AND(O3271="在职",J3271="是"),COUNTIF(O$2:O3271,"在职"),"")</f>
        <v/>
      </c>
    </row>
    <row r="3272" ht="18" spans="1:16">
      <c r="A3272" s="10">
        <f t="shared" si="56"/>
        <v>3271</v>
      </c>
      <c r="B3272" s="31">
        <v>46184</v>
      </c>
      <c r="C3272" s="32" t="s">
        <v>2881</v>
      </c>
      <c r="D3272" s="120" t="s">
        <v>478</v>
      </c>
      <c r="E3272" s="33" t="s">
        <v>43</v>
      </c>
      <c r="F3272" s="18" t="s">
        <v>63</v>
      </c>
      <c r="G3272" s="18" t="s">
        <v>2174</v>
      </c>
      <c r="H3272" s="34" t="s">
        <v>85</v>
      </c>
      <c r="I3272" s="18" t="s">
        <v>105</v>
      </c>
      <c r="J3272" s="31" t="s">
        <v>105</v>
      </c>
      <c r="K3272" s="31"/>
      <c r="N3272" s="13" t="s">
        <v>30</v>
      </c>
      <c r="O3272" s="28" t="str">
        <f>IF(D3272="","",IF(COUNTIF(离职清单!C:C,D3272)&gt;0,"已离职","在职"))</f>
        <v>在职</v>
      </c>
      <c r="P3272" s="28" t="str">
        <f>IF(AND(O3272="在职",J3272="是"),COUNTIF(O$2:O3272,"在职"),"")</f>
        <v/>
      </c>
    </row>
    <row r="3273" ht="18" spans="1:16">
      <c r="A3273" s="14">
        <f t="shared" si="56"/>
        <v>3272</v>
      </c>
      <c r="B3273" s="31">
        <v>46184</v>
      </c>
      <c r="C3273" s="32" t="s">
        <v>2884</v>
      </c>
      <c r="D3273" s="120" t="s">
        <v>480</v>
      </c>
      <c r="E3273" s="33" t="s">
        <v>43</v>
      </c>
      <c r="F3273" s="18" t="s">
        <v>62</v>
      </c>
      <c r="G3273" s="18" t="s">
        <v>1056</v>
      </c>
      <c r="H3273" s="34" t="s">
        <v>85</v>
      </c>
      <c r="I3273" s="18" t="s">
        <v>114</v>
      </c>
      <c r="J3273" s="31" t="s">
        <v>105</v>
      </c>
      <c r="K3273" s="31"/>
      <c r="N3273" s="13" t="s">
        <v>30</v>
      </c>
      <c r="O3273" s="28" t="str">
        <f>IF(D3273="","",IF(COUNTIF(离职清单!C:C,D3273)&gt;0,"已离职","在职"))</f>
        <v>在职</v>
      </c>
      <c r="P3273" s="28" t="str">
        <f>IF(AND(O3273="在职",J3273="是"),COUNTIF(O$2:O3273,"在职"),"")</f>
        <v/>
      </c>
    </row>
    <row r="3274" ht="18" spans="1:16">
      <c r="A3274" s="10">
        <f t="shared" si="56"/>
        <v>3273</v>
      </c>
      <c r="B3274" s="31">
        <v>46184</v>
      </c>
      <c r="C3274" s="32" t="s">
        <v>3006</v>
      </c>
      <c r="D3274" s="120" t="s">
        <v>482</v>
      </c>
      <c r="E3274" s="33" t="s">
        <v>43</v>
      </c>
      <c r="F3274" s="18" t="s">
        <v>62</v>
      </c>
      <c r="G3274" s="18" t="s">
        <v>1056</v>
      </c>
      <c r="H3274" s="34" t="s">
        <v>85</v>
      </c>
      <c r="I3274" s="18" t="s">
        <v>114</v>
      </c>
      <c r="J3274" s="31" t="s">
        <v>105</v>
      </c>
      <c r="K3274" s="31"/>
      <c r="N3274" s="13" t="s">
        <v>30</v>
      </c>
      <c r="O3274" s="28" t="str">
        <f>IF(D3274="","",IF(COUNTIF(离职清单!C:C,D3274)&gt;0,"已离职","在职"))</f>
        <v>在职</v>
      </c>
      <c r="P3274" s="28" t="str">
        <f>IF(AND(O3274="在职",J3274="是"),COUNTIF(O$2:O3274,"在职"),"")</f>
        <v/>
      </c>
    </row>
    <row r="3275" ht="18" spans="1:16">
      <c r="A3275" s="14">
        <f t="shared" si="56"/>
        <v>3274</v>
      </c>
      <c r="B3275" s="31">
        <v>46184</v>
      </c>
      <c r="C3275" s="32" t="s">
        <v>3007</v>
      </c>
      <c r="D3275" s="120" t="s">
        <v>484</v>
      </c>
      <c r="E3275" s="33" t="s">
        <v>43</v>
      </c>
      <c r="F3275" s="18" t="s">
        <v>62</v>
      </c>
      <c r="G3275" s="18" t="s">
        <v>1056</v>
      </c>
      <c r="H3275" s="34" t="s">
        <v>85</v>
      </c>
      <c r="I3275" s="18" t="s">
        <v>105</v>
      </c>
      <c r="J3275" s="31" t="s">
        <v>105</v>
      </c>
      <c r="K3275" s="31"/>
      <c r="N3275" s="13" t="s">
        <v>30</v>
      </c>
      <c r="O3275" s="28" t="str">
        <f>IF(D3275="","",IF(COUNTIF(离职清单!C:C,D3275)&gt;0,"已离职","在职"))</f>
        <v>在职</v>
      </c>
      <c r="P3275" s="28" t="str">
        <f>IF(AND(O3275="在职",J3275="是"),COUNTIF(O$2:O3275,"在职"),"")</f>
        <v/>
      </c>
    </row>
    <row r="3276" ht="18" spans="1:16">
      <c r="A3276" s="10">
        <f t="shared" si="56"/>
        <v>3275</v>
      </c>
      <c r="B3276" s="31">
        <v>46184</v>
      </c>
      <c r="C3276" s="32" t="s">
        <v>2887</v>
      </c>
      <c r="D3276" s="120" t="s">
        <v>486</v>
      </c>
      <c r="E3276" s="33" t="s">
        <v>43</v>
      </c>
      <c r="F3276" s="18" t="s">
        <v>63</v>
      </c>
      <c r="G3276" s="18" t="s">
        <v>1056</v>
      </c>
      <c r="H3276" s="34" t="s">
        <v>85</v>
      </c>
      <c r="I3276" s="18" t="s">
        <v>105</v>
      </c>
      <c r="J3276" s="31" t="s">
        <v>105</v>
      </c>
      <c r="K3276" s="31"/>
      <c r="N3276" s="13" t="s">
        <v>30</v>
      </c>
      <c r="O3276" s="28" t="str">
        <f>IF(D3276="","",IF(COUNTIF(离职清单!C:C,D3276)&gt;0,"已离职","在职"))</f>
        <v>在职</v>
      </c>
      <c r="P3276" s="28" t="str">
        <f>IF(AND(O3276="在职",J3276="是"),COUNTIF(O$2:O3276,"在职"),"")</f>
        <v/>
      </c>
    </row>
    <row r="3277" ht="18" spans="1:16">
      <c r="A3277" s="14">
        <f t="shared" si="56"/>
        <v>3276</v>
      </c>
      <c r="B3277" s="31">
        <v>46184</v>
      </c>
      <c r="C3277" s="32" t="s">
        <v>3008</v>
      </c>
      <c r="D3277" s="120" t="s">
        <v>488</v>
      </c>
      <c r="E3277" s="33" t="s">
        <v>43</v>
      </c>
      <c r="F3277" s="18" t="s">
        <v>62</v>
      </c>
      <c r="G3277" s="18" t="s">
        <v>1056</v>
      </c>
      <c r="H3277" s="34" t="s">
        <v>85</v>
      </c>
      <c r="I3277" s="18" t="s">
        <v>105</v>
      </c>
      <c r="J3277" s="31" t="s">
        <v>105</v>
      </c>
      <c r="K3277" s="31"/>
      <c r="N3277" s="13" t="s">
        <v>30</v>
      </c>
      <c r="O3277" s="28" t="str">
        <f>IF(D3277="","",IF(COUNTIF(离职清单!C:C,D3277)&gt;0,"已离职","在职"))</f>
        <v>在职</v>
      </c>
      <c r="P3277" s="28" t="str">
        <f>IF(AND(O3277="在职",J3277="是"),COUNTIF(O$2:O3277,"在职"),"")</f>
        <v/>
      </c>
    </row>
    <row r="3278" ht="18" spans="1:16">
      <c r="A3278" s="10">
        <f t="shared" si="56"/>
        <v>3277</v>
      </c>
      <c r="B3278" s="31">
        <v>46184</v>
      </c>
      <c r="C3278" s="32" t="s">
        <v>3009</v>
      </c>
      <c r="D3278" s="120" t="s">
        <v>490</v>
      </c>
      <c r="E3278" s="33" t="s">
        <v>43</v>
      </c>
      <c r="F3278" s="18" t="s">
        <v>63</v>
      </c>
      <c r="G3278" s="18" t="s">
        <v>2164</v>
      </c>
      <c r="H3278" s="34" t="s">
        <v>85</v>
      </c>
      <c r="I3278" s="18" t="s">
        <v>2154</v>
      </c>
      <c r="J3278" s="31" t="s">
        <v>105</v>
      </c>
      <c r="K3278" s="31"/>
      <c r="N3278" s="13" t="s">
        <v>30</v>
      </c>
      <c r="O3278" s="28" t="str">
        <f>IF(D3278="","",IF(COUNTIF(离职清单!C:C,D3278)&gt;0,"已离职","在职"))</f>
        <v>在职</v>
      </c>
      <c r="P3278" s="28" t="str">
        <f>IF(AND(O3278="在职",J3278="是"),COUNTIF(O$2:O3278,"在职"),"")</f>
        <v/>
      </c>
    </row>
    <row r="3279" ht="18" spans="1:16">
      <c r="A3279" s="14">
        <f t="shared" si="56"/>
        <v>3278</v>
      </c>
      <c r="B3279" s="31">
        <v>46184</v>
      </c>
      <c r="C3279" s="32" t="s">
        <v>3010</v>
      </c>
      <c r="D3279" s="120" t="s">
        <v>492</v>
      </c>
      <c r="E3279" s="33" t="s">
        <v>43</v>
      </c>
      <c r="F3279" s="18" t="s">
        <v>62</v>
      </c>
      <c r="G3279" s="18" t="s">
        <v>2164</v>
      </c>
      <c r="H3279" s="34" t="s">
        <v>85</v>
      </c>
      <c r="I3279" s="18" t="s">
        <v>2154</v>
      </c>
      <c r="J3279" s="31" t="s">
        <v>105</v>
      </c>
      <c r="K3279" s="31"/>
      <c r="N3279" s="13" t="s">
        <v>30</v>
      </c>
      <c r="O3279" s="28" t="str">
        <f>IF(D3279="","",IF(COUNTIF(离职清单!C:C,D3279)&gt;0,"已离职","在职"))</f>
        <v>在职</v>
      </c>
      <c r="P3279" s="28" t="str">
        <f>IF(AND(O3279="在职",J3279="是"),COUNTIF(O$2:O3279,"在职"),"")</f>
        <v/>
      </c>
    </row>
    <row r="3280" ht="18" spans="1:16">
      <c r="A3280" s="10">
        <f t="shared" si="56"/>
        <v>3279</v>
      </c>
      <c r="B3280" s="31">
        <v>46184</v>
      </c>
      <c r="C3280" s="32" t="s">
        <v>3011</v>
      </c>
      <c r="D3280" s="120" t="s">
        <v>477</v>
      </c>
      <c r="E3280" s="33" t="s">
        <v>43</v>
      </c>
      <c r="F3280" s="18" t="s">
        <v>62</v>
      </c>
      <c r="G3280" s="18" t="s">
        <v>2164</v>
      </c>
      <c r="H3280" s="34" t="s">
        <v>85</v>
      </c>
      <c r="I3280" s="18" t="s">
        <v>114</v>
      </c>
      <c r="J3280" s="31" t="s">
        <v>105</v>
      </c>
      <c r="K3280" s="31"/>
      <c r="N3280" s="13" t="s">
        <v>30</v>
      </c>
      <c r="O3280" s="28" t="str">
        <f>IF(D3280="","",IF(COUNTIF(离职清单!C:C,D3280)&gt;0,"已离职","在职"))</f>
        <v>在职</v>
      </c>
      <c r="P3280" s="28" t="str">
        <f>IF(AND(O3280="在职",J3280="是"),COUNTIF(O$2:O3280,"在职"),"")</f>
        <v/>
      </c>
    </row>
    <row r="3281" ht="18" spans="1:16">
      <c r="A3281" s="14">
        <f t="shared" si="56"/>
        <v>3280</v>
      </c>
      <c r="B3281" s="31">
        <v>46184</v>
      </c>
      <c r="C3281" s="32" t="s">
        <v>2993</v>
      </c>
      <c r="D3281" s="120" t="s">
        <v>478</v>
      </c>
      <c r="E3281" s="33" t="s">
        <v>43</v>
      </c>
      <c r="F3281" s="18" t="s">
        <v>62</v>
      </c>
      <c r="G3281" s="18" t="s">
        <v>2164</v>
      </c>
      <c r="H3281" s="34" t="s">
        <v>85</v>
      </c>
      <c r="I3281" s="18" t="s">
        <v>2154</v>
      </c>
      <c r="J3281" s="31" t="s">
        <v>105</v>
      </c>
      <c r="K3281" s="31"/>
      <c r="N3281" s="13" t="s">
        <v>30</v>
      </c>
      <c r="O3281" s="28" t="str">
        <f>IF(D3281="","",IF(COUNTIF(离职清单!C:C,D3281)&gt;0,"已离职","在职"))</f>
        <v>在职</v>
      </c>
      <c r="P3281" s="28" t="str">
        <f>IF(AND(O3281="在职",J3281="是"),COUNTIF(O$2:O3281,"在职"),"")</f>
        <v/>
      </c>
    </row>
    <row r="3282" ht="18" spans="1:16">
      <c r="A3282" s="10">
        <f t="shared" si="56"/>
        <v>3281</v>
      </c>
      <c r="B3282" s="31">
        <v>46184</v>
      </c>
      <c r="C3282" s="32" t="s">
        <v>3012</v>
      </c>
      <c r="D3282" s="120" t="s">
        <v>480</v>
      </c>
      <c r="E3282" s="33" t="s">
        <v>43</v>
      </c>
      <c r="F3282" s="18" t="s">
        <v>63</v>
      </c>
      <c r="G3282" s="18" t="s">
        <v>2164</v>
      </c>
      <c r="H3282" s="34" t="s">
        <v>85</v>
      </c>
      <c r="I3282" s="18" t="s">
        <v>114</v>
      </c>
      <c r="J3282" s="31" t="s">
        <v>105</v>
      </c>
      <c r="K3282" s="31"/>
      <c r="N3282" s="13" t="s">
        <v>30</v>
      </c>
      <c r="O3282" s="28" t="str">
        <f>IF(D3282="","",IF(COUNTIF(离职清单!C:C,D3282)&gt;0,"已离职","在职"))</f>
        <v>在职</v>
      </c>
      <c r="P3282" s="28" t="str">
        <f>IF(AND(O3282="在职",J3282="是"),COUNTIF(O$2:O3282,"在职"),"")</f>
        <v/>
      </c>
    </row>
    <row r="3283" ht="18" spans="1:16">
      <c r="A3283" s="14">
        <f t="shared" si="56"/>
        <v>3282</v>
      </c>
      <c r="B3283" s="31">
        <v>46184</v>
      </c>
      <c r="C3283" s="32" t="s">
        <v>2702</v>
      </c>
      <c r="D3283" s="120" t="s">
        <v>482</v>
      </c>
      <c r="E3283" s="33" t="s">
        <v>43</v>
      </c>
      <c r="F3283" s="18" t="s">
        <v>62</v>
      </c>
      <c r="G3283" s="18" t="s">
        <v>2164</v>
      </c>
      <c r="H3283" s="34" t="s">
        <v>85</v>
      </c>
      <c r="I3283" s="18" t="s">
        <v>105</v>
      </c>
      <c r="J3283" s="31" t="s">
        <v>105</v>
      </c>
      <c r="K3283" s="31"/>
      <c r="N3283" s="13" t="s">
        <v>30</v>
      </c>
      <c r="O3283" s="28" t="str">
        <f>IF(D3283="","",IF(COUNTIF(离职清单!C:C,D3283)&gt;0,"已离职","在职"))</f>
        <v>在职</v>
      </c>
      <c r="P3283" s="28" t="str">
        <f>IF(AND(O3283="在职",J3283="是"),COUNTIF(O$2:O3283,"在职"),"")</f>
        <v/>
      </c>
    </row>
    <row r="3284" ht="18" spans="1:16">
      <c r="A3284" s="10">
        <f t="shared" si="56"/>
        <v>3283</v>
      </c>
      <c r="B3284" s="31">
        <v>46184</v>
      </c>
      <c r="C3284" s="32" t="s">
        <v>3013</v>
      </c>
      <c r="D3284" s="120" t="s">
        <v>484</v>
      </c>
      <c r="E3284" s="33" t="s">
        <v>43</v>
      </c>
      <c r="F3284" s="18" t="s">
        <v>63</v>
      </c>
      <c r="G3284" s="18" t="s">
        <v>2164</v>
      </c>
      <c r="H3284" s="34" t="s">
        <v>85</v>
      </c>
      <c r="I3284" s="18" t="s">
        <v>105</v>
      </c>
      <c r="J3284" s="31" t="s">
        <v>105</v>
      </c>
      <c r="K3284" s="31"/>
      <c r="N3284" s="13" t="s">
        <v>30</v>
      </c>
      <c r="O3284" s="28" t="str">
        <f>IF(D3284="","",IF(COUNTIF(离职清单!C:C,D3284)&gt;0,"已离职","在职"))</f>
        <v>在职</v>
      </c>
      <c r="P3284" s="28" t="str">
        <f>IF(AND(O3284="在职",J3284="是"),COUNTIF(O$2:O3284,"在职"),"")</f>
        <v/>
      </c>
    </row>
    <row r="3285" ht="18" spans="1:16">
      <c r="A3285" s="14">
        <f t="shared" si="56"/>
        <v>3284</v>
      </c>
      <c r="B3285" s="31">
        <v>46184</v>
      </c>
      <c r="C3285" s="32" t="s">
        <v>3014</v>
      </c>
      <c r="D3285" s="120" t="s">
        <v>486</v>
      </c>
      <c r="E3285" s="33" t="s">
        <v>43</v>
      </c>
      <c r="F3285" s="18" t="s">
        <v>63</v>
      </c>
      <c r="G3285" s="18" t="s">
        <v>2164</v>
      </c>
      <c r="H3285" s="34" t="s">
        <v>85</v>
      </c>
      <c r="I3285" s="18" t="s">
        <v>2154</v>
      </c>
      <c r="J3285" s="31" t="s">
        <v>105</v>
      </c>
      <c r="K3285" s="31"/>
      <c r="N3285" s="13" t="s">
        <v>30</v>
      </c>
      <c r="O3285" s="28" t="str">
        <f>IF(D3285="","",IF(COUNTIF(离职清单!C:C,D3285)&gt;0,"已离职","在职"))</f>
        <v>在职</v>
      </c>
      <c r="P3285" s="28" t="str">
        <f>IF(AND(O3285="在职",J3285="是"),COUNTIF(O$2:O3285,"在职"),"")</f>
        <v/>
      </c>
    </row>
    <row r="3286" ht="18" spans="1:16">
      <c r="A3286" s="10">
        <f t="shared" si="56"/>
        <v>3285</v>
      </c>
      <c r="B3286" s="31">
        <v>46184</v>
      </c>
      <c r="C3286" s="32" t="s">
        <v>2858</v>
      </c>
      <c r="D3286" s="120" t="s">
        <v>488</v>
      </c>
      <c r="E3286" s="33" t="s">
        <v>43</v>
      </c>
      <c r="F3286" s="18" t="s">
        <v>63</v>
      </c>
      <c r="G3286" s="18" t="s">
        <v>2164</v>
      </c>
      <c r="H3286" s="34" t="s">
        <v>85</v>
      </c>
      <c r="I3286" s="18" t="s">
        <v>105</v>
      </c>
      <c r="J3286" s="31" t="s">
        <v>105</v>
      </c>
      <c r="K3286" s="31"/>
      <c r="N3286" s="13" t="s">
        <v>30</v>
      </c>
      <c r="O3286" s="28" t="str">
        <f>IF(D3286="","",IF(COUNTIF(离职清单!C:C,D3286)&gt;0,"已离职","在职"))</f>
        <v>在职</v>
      </c>
      <c r="P3286" s="28" t="str">
        <f>IF(AND(O3286="在职",J3286="是"),COUNTIF(O$2:O3286,"在职"),"")</f>
        <v/>
      </c>
    </row>
    <row r="3287" ht="18" spans="1:16">
      <c r="A3287" s="14">
        <f t="shared" si="56"/>
        <v>3286</v>
      </c>
      <c r="B3287" s="31">
        <v>46185</v>
      </c>
      <c r="C3287" s="32" t="s">
        <v>2934</v>
      </c>
      <c r="D3287" s="120" t="s">
        <v>490</v>
      </c>
      <c r="E3287" s="33" t="s">
        <v>43</v>
      </c>
      <c r="F3287" s="18" t="s">
        <v>63</v>
      </c>
      <c r="G3287" s="18" t="s">
        <v>2250</v>
      </c>
      <c r="H3287" s="34" t="s">
        <v>85</v>
      </c>
      <c r="I3287" s="18" t="s">
        <v>2154</v>
      </c>
      <c r="J3287" s="31" t="s">
        <v>105</v>
      </c>
      <c r="K3287" s="31"/>
      <c r="N3287" s="13" t="s">
        <v>30</v>
      </c>
      <c r="O3287" s="28" t="str">
        <f>IF(D3287="","",IF(COUNTIF(离职清单!C:C,D3287)&gt;0,"已离职","在职"))</f>
        <v>在职</v>
      </c>
      <c r="P3287" s="28" t="str">
        <f>IF(AND(O3287="在职",J3287="是"),COUNTIF(O$2:O3287,"在职"),"")</f>
        <v/>
      </c>
    </row>
    <row r="3288" ht="18" spans="1:16">
      <c r="A3288" s="10">
        <f t="shared" si="56"/>
        <v>3287</v>
      </c>
      <c r="B3288" s="31">
        <v>46185</v>
      </c>
      <c r="C3288" s="32" t="s">
        <v>3015</v>
      </c>
      <c r="D3288" s="120" t="s">
        <v>492</v>
      </c>
      <c r="E3288" s="33" t="s">
        <v>43</v>
      </c>
      <c r="F3288" s="18" t="s">
        <v>63</v>
      </c>
      <c r="G3288" s="18" t="s">
        <v>2250</v>
      </c>
      <c r="H3288" s="34" t="s">
        <v>85</v>
      </c>
      <c r="I3288" s="18" t="s">
        <v>105</v>
      </c>
      <c r="J3288" s="31" t="s">
        <v>105</v>
      </c>
      <c r="K3288" s="31"/>
      <c r="N3288" s="13" t="s">
        <v>30</v>
      </c>
      <c r="O3288" s="28" t="str">
        <f>IF(D3288="","",IF(COUNTIF(离职清单!C:C,D3288)&gt;0,"已离职","在职"))</f>
        <v>在职</v>
      </c>
      <c r="P3288" s="28" t="str">
        <f>IF(AND(O3288="在职",J3288="是"),COUNTIF(O$2:O3288,"在职"),"")</f>
        <v/>
      </c>
    </row>
    <row r="3289" ht="18" spans="1:16">
      <c r="A3289" s="14">
        <f t="shared" si="56"/>
        <v>3288</v>
      </c>
      <c r="B3289" s="31">
        <v>46185</v>
      </c>
      <c r="C3289" s="32" t="s">
        <v>2252</v>
      </c>
      <c r="D3289" s="120" t="s">
        <v>477</v>
      </c>
      <c r="E3289" s="33" t="s">
        <v>43</v>
      </c>
      <c r="F3289" s="18" t="s">
        <v>63</v>
      </c>
      <c r="G3289" s="18" t="s">
        <v>2250</v>
      </c>
      <c r="H3289" s="34" t="s">
        <v>85</v>
      </c>
      <c r="I3289" s="18" t="s">
        <v>105</v>
      </c>
      <c r="J3289" s="31" t="s">
        <v>105</v>
      </c>
      <c r="K3289" s="31"/>
      <c r="N3289" s="13" t="s">
        <v>30</v>
      </c>
      <c r="O3289" s="28" t="str">
        <f>IF(D3289="","",IF(COUNTIF(离职清单!C:C,D3289)&gt;0,"已离职","在职"))</f>
        <v>在职</v>
      </c>
      <c r="P3289" s="28" t="str">
        <f>IF(AND(O3289="在职",J3289="是"),COUNTIF(O$2:O3289,"在职"),"")</f>
        <v/>
      </c>
    </row>
    <row r="3290" ht="18" spans="1:16">
      <c r="A3290" s="10">
        <f t="shared" si="56"/>
        <v>3289</v>
      </c>
      <c r="B3290" s="31">
        <v>46185</v>
      </c>
      <c r="C3290" s="32" t="s">
        <v>2888</v>
      </c>
      <c r="D3290" s="120" t="s">
        <v>478</v>
      </c>
      <c r="E3290" s="33" t="s">
        <v>43</v>
      </c>
      <c r="F3290" s="18" t="s">
        <v>63</v>
      </c>
      <c r="G3290" s="18" t="s">
        <v>2250</v>
      </c>
      <c r="H3290" s="34" t="s">
        <v>85</v>
      </c>
      <c r="I3290" s="18" t="s">
        <v>105</v>
      </c>
      <c r="J3290" s="31" t="s">
        <v>105</v>
      </c>
      <c r="K3290" s="31"/>
      <c r="N3290" s="13" t="s">
        <v>30</v>
      </c>
      <c r="O3290" s="28" t="str">
        <f>IF(D3290="","",IF(COUNTIF(离职清单!C:C,D3290)&gt;0,"已离职","在职"))</f>
        <v>在职</v>
      </c>
      <c r="P3290" s="28" t="str">
        <f>IF(AND(O3290="在职",J3290="是"),COUNTIF(O$2:O3290,"在职"),"")</f>
        <v/>
      </c>
    </row>
    <row r="3291" ht="18" spans="1:16">
      <c r="A3291" s="14">
        <f t="shared" si="56"/>
        <v>3290</v>
      </c>
      <c r="B3291" s="31">
        <v>46185</v>
      </c>
      <c r="C3291" s="32" t="s">
        <v>3016</v>
      </c>
      <c r="D3291" s="120" t="s">
        <v>480</v>
      </c>
      <c r="E3291" s="33" t="s">
        <v>43</v>
      </c>
      <c r="F3291" s="18" t="s">
        <v>63</v>
      </c>
      <c r="G3291" s="18" t="s">
        <v>2349</v>
      </c>
      <c r="H3291" s="34" t="s">
        <v>85</v>
      </c>
      <c r="I3291" s="18" t="s">
        <v>2154</v>
      </c>
      <c r="J3291" s="31" t="s">
        <v>105</v>
      </c>
      <c r="K3291" s="31"/>
      <c r="N3291" s="13" t="s">
        <v>30</v>
      </c>
      <c r="O3291" s="28" t="str">
        <f>IF(D3291="","",IF(COUNTIF(离职清单!C:C,D3291)&gt;0,"已离职","在职"))</f>
        <v>在职</v>
      </c>
      <c r="P3291" s="28" t="str">
        <f>IF(AND(O3291="在职",J3291="是"),COUNTIF(O$2:O3291,"在职"),"")</f>
        <v/>
      </c>
    </row>
    <row r="3292" ht="18" spans="1:16">
      <c r="A3292" s="10">
        <f t="shared" si="56"/>
        <v>3291</v>
      </c>
      <c r="B3292" s="31">
        <v>46185</v>
      </c>
      <c r="C3292" s="32" t="s">
        <v>3017</v>
      </c>
      <c r="D3292" s="120" t="s">
        <v>482</v>
      </c>
      <c r="E3292" s="33" t="s">
        <v>43</v>
      </c>
      <c r="F3292" s="18" t="s">
        <v>62</v>
      </c>
      <c r="G3292" s="18" t="s">
        <v>2166</v>
      </c>
      <c r="H3292" s="34" t="s">
        <v>85</v>
      </c>
      <c r="I3292" s="18" t="s">
        <v>114</v>
      </c>
      <c r="J3292" s="31" t="s">
        <v>114</v>
      </c>
      <c r="K3292" s="31">
        <v>46187</v>
      </c>
      <c r="N3292" s="13" t="s">
        <v>30</v>
      </c>
      <c r="O3292" s="28" t="str">
        <f>IF(D3292="","",IF(COUNTIF(离职清单!C:C,D3292)&gt;0,"已离职","在职"))</f>
        <v>在职</v>
      </c>
      <c r="P3292" s="28">
        <f>IF(AND(O3292="在职",J3292="是"),COUNTIF(O$2:O3292,"在职"),"")</f>
        <v>3285</v>
      </c>
    </row>
    <row r="3293" ht="18" spans="1:16">
      <c r="A3293" s="14">
        <f t="shared" si="56"/>
        <v>3292</v>
      </c>
      <c r="B3293" s="31">
        <v>46185</v>
      </c>
      <c r="C3293" s="32" t="s">
        <v>3018</v>
      </c>
      <c r="D3293" s="120" t="s">
        <v>484</v>
      </c>
      <c r="E3293" s="33" t="s">
        <v>43</v>
      </c>
      <c r="F3293" s="18" t="s">
        <v>62</v>
      </c>
      <c r="G3293" s="18" t="s">
        <v>2166</v>
      </c>
      <c r="H3293" s="34" t="s">
        <v>85</v>
      </c>
      <c r="I3293" s="18" t="s">
        <v>2154</v>
      </c>
      <c r="J3293" s="31" t="s">
        <v>105</v>
      </c>
      <c r="K3293" s="31"/>
      <c r="N3293" s="13" t="s">
        <v>30</v>
      </c>
      <c r="O3293" s="28" t="str">
        <f>IF(D3293="","",IF(COUNTIF(离职清单!C:C,D3293)&gt;0,"已离职","在职"))</f>
        <v>在职</v>
      </c>
      <c r="P3293" s="28" t="str">
        <f>IF(AND(O3293="在职",J3293="是"),COUNTIF(O$2:O3293,"在职"),"")</f>
        <v/>
      </c>
    </row>
    <row r="3294" ht="18" spans="1:16">
      <c r="A3294" s="10">
        <f t="shared" si="56"/>
        <v>3293</v>
      </c>
      <c r="B3294" s="31">
        <v>46185</v>
      </c>
      <c r="C3294" s="32" t="s">
        <v>2864</v>
      </c>
      <c r="D3294" s="120" t="s">
        <v>486</v>
      </c>
      <c r="E3294" s="33" t="s">
        <v>43</v>
      </c>
      <c r="F3294" s="18" t="s">
        <v>63</v>
      </c>
      <c r="G3294" s="18" t="s">
        <v>148</v>
      </c>
      <c r="H3294" s="34" t="s">
        <v>85</v>
      </c>
      <c r="I3294" s="18" t="s">
        <v>105</v>
      </c>
      <c r="J3294" s="31" t="s">
        <v>105</v>
      </c>
      <c r="K3294" s="31"/>
      <c r="N3294" s="13" t="s">
        <v>30</v>
      </c>
      <c r="O3294" s="28" t="str">
        <f>IF(D3294="","",IF(COUNTIF(离职清单!C:C,D3294)&gt;0,"已离职","在职"))</f>
        <v>在职</v>
      </c>
      <c r="P3294" s="28" t="str">
        <f>IF(AND(O3294="在职",J3294="是"),COUNTIF(O$2:O3294,"在职"),"")</f>
        <v/>
      </c>
    </row>
    <row r="3295" ht="18" spans="1:16">
      <c r="A3295" s="14">
        <f t="shared" si="56"/>
        <v>3294</v>
      </c>
      <c r="B3295" s="31">
        <v>46185</v>
      </c>
      <c r="C3295" s="32" t="s">
        <v>3019</v>
      </c>
      <c r="D3295" s="120" t="s">
        <v>488</v>
      </c>
      <c r="E3295" s="33" t="s">
        <v>43</v>
      </c>
      <c r="F3295" s="18" t="s">
        <v>63</v>
      </c>
      <c r="G3295" s="18" t="s">
        <v>2166</v>
      </c>
      <c r="H3295" s="34" t="s">
        <v>86</v>
      </c>
      <c r="I3295" s="18" t="s">
        <v>105</v>
      </c>
      <c r="J3295" s="31" t="s">
        <v>105</v>
      </c>
      <c r="K3295" s="31"/>
      <c r="N3295" s="13" t="s">
        <v>30</v>
      </c>
      <c r="O3295" s="28" t="str">
        <f>IF(D3295="","",IF(COUNTIF(离职清单!C:C,D3295)&gt;0,"已离职","在职"))</f>
        <v>在职</v>
      </c>
      <c r="P3295" s="28" t="str">
        <f>IF(AND(O3295="在职",J3295="是"),COUNTIF(O$2:O3295,"在职"),"")</f>
        <v/>
      </c>
    </row>
    <row r="3296" ht="18" spans="1:16">
      <c r="A3296" s="10">
        <f t="shared" si="56"/>
        <v>3295</v>
      </c>
      <c r="B3296" s="31">
        <v>46185</v>
      </c>
      <c r="C3296" s="32" t="s">
        <v>3020</v>
      </c>
      <c r="D3296" s="120" t="s">
        <v>490</v>
      </c>
      <c r="E3296" s="33" t="s">
        <v>43</v>
      </c>
      <c r="F3296" s="18" t="s">
        <v>62</v>
      </c>
      <c r="G3296" s="18" t="s">
        <v>148</v>
      </c>
      <c r="H3296" s="34" t="s">
        <v>85</v>
      </c>
      <c r="I3296" s="18" t="s">
        <v>114</v>
      </c>
      <c r="J3296" s="31" t="s">
        <v>105</v>
      </c>
      <c r="K3296" s="31"/>
      <c r="N3296" s="13" t="s">
        <v>30</v>
      </c>
      <c r="O3296" s="28" t="str">
        <f>IF(D3296="","",IF(COUNTIF(离职清单!C:C,D3296)&gt;0,"已离职","在职"))</f>
        <v>在职</v>
      </c>
      <c r="P3296" s="28" t="str">
        <f>IF(AND(O3296="在职",J3296="是"),COUNTIF(O$2:O3296,"在职"),"")</f>
        <v/>
      </c>
    </row>
    <row r="3297" ht="18" spans="1:16">
      <c r="A3297" s="14">
        <f t="shared" si="56"/>
        <v>3296</v>
      </c>
      <c r="B3297" s="31">
        <v>46185</v>
      </c>
      <c r="C3297" s="32" t="s">
        <v>2523</v>
      </c>
      <c r="D3297" s="120" t="s">
        <v>492</v>
      </c>
      <c r="E3297" s="33" t="s">
        <v>43</v>
      </c>
      <c r="F3297" s="18" t="s">
        <v>64</v>
      </c>
      <c r="G3297" s="18" t="s">
        <v>148</v>
      </c>
      <c r="H3297" s="34" t="s">
        <v>85</v>
      </c>
      <c r="I3297" s="18" t="s">
        <v>114</v>
      </c>
      <c r="J3297" s="31" t="s">
        <v>114</v>
      </c>
      <c r="K3297" s="31">
        <v>46186</v>
      </c>
      <c r="N3297" s="13" t="s">
        <v>30</v>
      </c>
      <c r="O3297" s="28" t="str">
        <f>IF(D3297="","",IF(COUNTIF(离职清单!C:C,D3297)&gt;0,"已离职","在职"))</f>
        <v>在职</v>
      </c>
      <c r="P3297" s="28">
        <f>IF(AND(O3297="在职",J3297="是"),COUNTIF(O$2:O3297,"在职"),"")</f>
        <v>3290</v>
      </c>
    </row>
    <row r="3298" ht="18" spans="1:16">
      <c r="A3298" s="10">
        <f t="shared" si="56"/>
        <v>3297</v>
      </c>
      <c r="B3298" s="31">
        <v>46185</v>
      </c>
      <c r="C3298" s="32" t="s">
        <v>2684</v>
      </c>
      <c r="D3298" s="120" t="s">
        <v>477</v>
      </c>
      <c r="E3298" s="33" t="s">
        <v>42</v>
      </c>
      <c r="F3298" s="18" t="s">
        <v>63</v>
      </c>
      <c r="G3298" s="18" t="s">
        <v>148</v>
      </c>
      <c r="H3298" s="34" t="s">
        <v>85</v>
      </c>
      <c r="I3298" s="18" t="s">
        <v>105</v>
      </c>
      <c r="J3298" s="31" t="s">
        <v>105</v>
      </c>
      <c r="K3298" s="31"/>
      <c r="N3298" s="13" t="s">
        <v>30</v>
      </c>
      <c r="O3298" s="28" t="str">
        <f>IF(D3298="","",IF(COUNTIF(离职清单!C:C,D3298)&gt;0,"已离职","在职"))</f>
        <v>在职</v>
      </c>
      <c r="P3298" s="28" t="str">
        <f>IF(AND(O3298="在职",J3298="是"),COUNTIF(O$2:O3298,"在职"),"")</f>
        <v/>
      </c>
    </row>
    <row r="3299" ht="18" spans="1:16">
      <c r="A3299" s="14">
        <f t="shared" si="56"/>
        <v>3298</v>
      </c>
      <c r="B3299" s="31">
        <v>46185</v>
      </c>
      <c r="C3299" s="32" t="s">
        <v>3002</v>
      </c>
      <c r="D3299" s="120" t="s">
        <v>478</v>
      </c>
      <c r="E3299" s="33" t="s">
        <v>43</v>
      </c>
      <c r="F3299" s="18" t="s">
        <v>63</v>
      </c>
      <c r="G3299" s="18" t="s">
        <v>132</v>
      </c>
      <c r="H3299" s="34" t="s">
        <v>85</v>
      </c>
      <c r="I3299" s="18" t="s">
        <v>105</v>
      </c>
      <c r="J3299" s="31" t="s">
        <v>105</v>
      </c>
      <c r="K3299" s="31"/>
      <c r="N3299" s="13" t="s">
        <v>30</v>
      </c>
      <c r="O3299" s="28" t="str">
        <f>IF(D3299="","",IF(COUNTIF(离职清单!C:C,D3299)&gt;0,"已离职","在职"))</f>
        <v>在职</v>
      </c>
      <c r="P3299" s="28" t="str">
        <f>IF(AND(O3299="在职",J3299="是"),COUNTIF(O$2:O3299,"在职"),"")</f>
        <v/>
      </c>
    </row>
    <row r="3300" ht="18" spans="1:16">
      <c r="A3300" s="10">
        <f t="shared" si="56"/>
        <v>3299</v>
      </c>
      <c r="B3300" s="31">
        <v>46185</v>
      </c>
      <c r="C3300" s="32" t="s">
        <v>2862</v>
      </c>
      <c r="D3300" s="120" t="s">
        <v>480</v>
      </c>
      <c r="E3300" s="33" t="s">
        <v>43</v>
      </c>
      <c r="F3300" s="18" t="s">
        <v>63</v>
      </c>
      <c r="G3300" s="18" t="s">
        <v>148</v>
      </c>
      <c r="H3300" s="34" t="s">
        <v>86</v>
      </c>
      <c r="I3300" s="18" t="s">
        <v>105</v>
      </c>
      <c r="J3300" s="31" t="s">
        <v>105</v>
      </c>
      <c r="K3300" s="31"/>
      <c r="N3300" s="13" t="s">
        <v>30</v>
      </c>
      <c r="O3300" s="28" t="str">
        <f>IF(D3300="","",IF(COUNTIF(离职清单!C:C,D3300)&gt;0,"已离职","在职"))</f>
        <v>在职</v>
      </c>
      <c r="P3300" s="28" t="str">
        <f>IF(AND(O3300="在职",J3300="是"),COUNTIF(O$2:O3300,"在职"),"")</f>
        <v/>
      </c>
    </row>
    <row r="3301" ht="18" spans="1:16">
      <c r="A3301" s="14">
        <f t="shared" si="56"/>
        <v>3300</v>
      </c>
      <c r="B3301" s="31">
        <v>46185</v>
      </c>
      <c r="C3301" s="32" t="s">
        <v>3005</v>
      </c>
      <c r="D3301" s="120" t="s">
        <v>482</v>
      </c>
      <c r="E3301" s="33" t="s">
        <v>43</v>
      </c>
      <c r="F3301" s="18" t="s">
        <v>63</v>
      </c>
      <c r="G3301" s="18" t="s">
        <v>132</v>
      </c>
      <c r="H3301" s="34" t="s">
        <v>85</v>
      </c>
      <c r="I3301" s="18" t="s">
        <v>2154</v>
      </c>
      <c r="J3301" s="31" t="s">
        <v>105</v>
      </c>
      <c r="K3301" s="31"/>
      <c r="N3301" s="13" t="s">
        <v>30</v>
      </c>
      <c r="O3301" s="28" t="str">
        <f>IF(D3301="","",IF(COUNTIF(离职清单!C:C,D3301)&gt;0,"已离职","在职"))</f>
        <v>在职</v>
      </c>
      <c r="P3301" s="28" t="str">
        <f>IF(AND(O3301="在职",J3301="是"),COUNTIF(O$2:O3301,"在职"),"")</f>
        <v/>
      </c>
    </row>
    <row r="3302" ht="18" spans="1:16">
      <c r="A3302" s="10">
        <f t="shared" si="56"/>
        <v>3301</v>
      </c>
      <c r="B3302" s="31">
        <v>46185</v>
      </c>
      <c r="C3302" s="32" t="s">
        <v>3001</v>
      </c>
      <c r="D3302" s="120" t="s">
        <v>484</v>
      </c>
      <c r="E3302" s="33" t="s">
        <v>43</v>
      </c>
      <c r="F3302" s="18" t="s">
        <v>63</v>
      </c>
      <c r="G3302" s="18" t="s">
        <v>132</v>
      </c>
      <c r="H3302" s="34" t="s">
        <v>85</v>
      </c>
      <c r="I3302" s="18" t="s">
        <v>2154</v>
      </c>
      <c r="J3302" s="31" t="s">
        <v>105</v>
      </c>
      <c r="K3302" s="31"/>
      <c r="N3302" s="13" t="s">
        <v>30</v>
      </c>
      <c r="O3302" s="28" t="str">
        <f>IF(D3302="","",IF(COUNTIF(离职清单!C:C,D3302)&gt;0,"已离职","在职"))</f>
        <v>在职</v>
      </c>
      <c r="P3302" s="28" t="str">
        <f>IF(AND(O3302="在职",J3302="是"),COUNTIF(O$2:O3302,"在职"),"")</f>
        <v/>
      </c>
    </row>
    <row r="3303" ht="18" spans="1:16">
      <c r="A3303" s="14">
        <f t="shared" si="56"/>
        <v>3302</v>
      </c>
      <c r="B3303" s="31">
        <v>46185</v>
      </c>
      <c r="C3303" s="32" t="s">
        <v>3004</v>
      </c>
      <c r="D3303" s="120" t="s">
        <v>486</v>
      </c>
      <c r="E3303" s="33" t="s">
        <v>43</v>
      </c>
      <c r="F3303" s="18" t="s">
        <v>63</v>
      </c>
      <c r="G3303" s="18" t="s">
        <v>132</v>
      </c>
      <c r="H3303" s="34" t="s">
        <v>85</v>
      </c>
      <c r="I3303" s="18" t="s">
        <v>2154</v>
      </c>
      <c r="J3303" s="31" t="s">
        <v>105</v>
      </c>
      <c r="K3303" s="31"/>
      <c r="N3303" s="13" t="s">
        <v>30</v>
      </c>
      <c r="O3303" s="28" t="str">
        <f>IF(D3303="","",IF(COUNTIF(离职清单!C:C,D3303)&gt;0,"已离职","在职"))</f>
        <v>在职</v>
      </c>
      <c r="P3303" s="28" t="str">
        <f>IF(AND(O3303="在职",J3303="是"),COUNTIF(O$2:O3303,"在职"),"")</f>
        <v/>
      </c>
    </row>
    <row r="3304" ht="18" spans="1:16">
      <c r="A3304" s="10">
        <f t="shared" si="56"/>
        <v>3303</v>
      </c>
      <c r="B3304" s="31">
        <v>46185</v>
      </c>
      <c r="C3304" s="32" t="s">
        <v>3003</v>
      </c>
      <c r="D3304" s="120" t="s">
        <v>488</v>
      </c>
      <c r="E3304" s="33" t="s">
        <v>43</v>
      </c>
      <c r="F3304" s="18" t="s">
        <v>63</v>
      </c>
      <c r="G3304" s="18" t="s">
        <v>132</v>
      </c>
      <c r="H3304" s="34" t="s">
        <v>85</v>
      </c>
      <c r="I3304" s="18" t="s">
        <v>2154</v>
      </c>
      <c r="J3304" s="31" t="s">
        <v>105</v>
      </c>
      <c r="K3304" s="31"/>
      <c r="N3304" s="13" t="s">
        <v>30</v>
      </c>
      <c r="O3304" s="28" t="str">
        <f>IF(D3304="","",IF(COUNTIF(离职清单!C:C,D3304)&gt;0,"已离职","在职"))</f>
        <v>在职</v>
      </c>
      <c r="P3304" s="28" t="str">
        <f>IF(AND(O3304="在职",J3304="是"),COUNTIF(O$2:O3304,"在职"),"")</f>
        <v/>
      </c>
    </row>
    <row r="3305" ht="18" spans="1:16">
      <c r="A3305" s="14">
        <f t="shared" si="56"/>
        <v>3304</v>
      </c>
      <c r="B3305" s="31">
        <v>46185</v>
      </c>
      <c r="C3305" s="32" t="s">
        <v>3021</v>
      </c>
      <c r="D3305" s="120" t="s">
        <v>490</v>
      </c>
      <c r="E3305" s="33" t="s">
        <v>43</v>
      </c>
      <c r="F3305" s="18" t="s">
        <v>63</v>
      </c>
      <c r="G3305" s="18" t="s">
        <v>2370</v>
      </c>
      <c r="H3305" s="34" t="s">
        <v>85</v>
      </c>
      <c r="I3305" s="18" t="s">
        <v>114</v>
      </c>
      <c r="J3305" s="31" t="s">
        <v>105</v>
      </c>
      <c r="K3305" s="31"/>
      <c r="N3305" s="13" t="s">
        <v>30</v>
      </c>
      <c r="O3305" s="28" t="str">
        <f>IF(D3305="","",IF(COUNTIF(离职清单!C:C,D3305)&gt;0,"已离职","在职"))</f>
        <v>在职</v>
      </c>
      <c r="P3305" s="28" t="str">
        <f>IF(AND(O3305="在职",J3305="是"),COUNTIF(O$2:O3305,"在职"),"")</f>
        <v/>
      </c>
    </row>
    <row r="3306" ht="18" spans="1:16">
      <c r="A3306" s="10">
        <f t="shared" si="56"/>
        <v>3305</v>
      </c>
      <c r="B3306" s="31">
        <v>46185</v>
      </c>
      <c r="C3306" s="32" t="s">
        <v>3022</v>
      </c>
      <c r="D3306" s="120" t="s">
        <v>492</v>
      </c>
      <c r="E3306" s="33" t="s">
        <v>43</v>
      </c>
      <c r="F3306" s="18" t="s">
        <v>62</v>
      </c>
      <c r="G3306" s="18" t="s">
        <v>2195</v>
      </c>
      <c r="H3306" s="34" t="s">
        <v>85</v>
      </c>
      <c r="I3306" s="18" t="s">
        <v>114</v>
      </c>
      <c r="J3306" s="31" t="s">
        <v>114</v>
      </c>
      <c r="K3306" s="31">
        <v>46186</v>
      </c>
      <c r="N3306" s="13" t="s">
        <v>30</v>
      </c>
      <c r="O3306" s="28" t="str">
        <f>IF(D3306="","",IF(COUNTIF(离职清单!C:C,D3306)&gt;0,"已离职","在职"))</f>
        <v>在职</v>
      </c>
      <c r="P3306" s="28">
        <f>IF(AND(O3306="在职",J3306="是"),COUNTIF(O$2:O3306,"在职"),"")</f>
        <v>3299</v>
      </c>
    </row>
    <row r="3307" ht="18" spans="1:16">
      <c r="A3307" s="14">
        <f t="shared" si="56"/>
        <v>3306</v>
      </c>
      <c r="B3307" s="31">
        <v>46185</v>
      </c>
      <c r="C3307" s="32" t="s">
        <v>3023</v>
      </c>
      <c r="D3307" s="120" t="s">
        <v>477</v>
      </c>
      <c r="E3307" s="33" t="s">
        <v>43</v>
      </c>
      <c r="F3307" s="18" t="s">
        <v>63</v>
      </c>
      <c r="G3307" s="18" t="s">
        <v>2692</v>
      </c>
      <c r="H3307" s="34" t="s">
        <v>86</v>
      </c>
      <c r="I3307" s="18" t="s">
        <v>105</v>
      </c>
      <c r="J3307" s="31" t="s">
        <v>105</v>
      </c>
      <c r="K3307" s="31"/>
      <c r="N3307" s="13" t="s">
        <v>30</v>
      </c>
      <c r="O3307" s="28" t="str">
        <f>IF(D3307="","",IF(COUNTIF(离职清单!C:C,D3307)&gt;0,"已离职","在职"))</f>
        <v>在职</v>
      </c>
      <c r="P3307" s="28" t="str">
        <f>IF(AND(O3307="在职",J3307="是"),COUNTIF(O$2:O3307,"在职"),"")</f>
        <v/>
      </c>
    </row>
    <row r="3308" ht="18" spans="1:16">
      <c r="A3308" s="10">
        <f t="shared" ref="A3308:A3371" si="57">IF(B3308&lt;&gt;"",ROW()-1,"")</f>
        <v>3307</v>
      </c>
      <c r="B3308" s="31">
        <v>46185</v>
      </c>
      <c r="C3308" s="32" t="s">
        <v>3024</v>
      </c>
      <c r="D3308" s="120" t="s">
        <v>478</v>
      </c>
      <c r="E3308" s="33" t="s">
        <v>43</v>
      </c>
      <c r="F3308" s="18" t="s">
        <v>63</v>
      </c>
      <c r="G3308" s="18" t="s">
        <v>2179</v>
      </c>
      <c r="H3308" s="34" t="s">
        <v>85</v>
      </c>
      <c r="I3308" s="18" t="s">
        <v>105</v>
      </c>
      <c r="J3308" s="31" t="s">
        <v>105</v>
      </c>
      <c r="K3308" s="31"/>
      <c r="N3308" s="13" t="s">
        <v>30</v>
      </c>
      <c r="O3308" s="28" t="str">
        <f>IF(D3308="","",IF(COUNTIF(离职清单!C:C,D3308)&gt;0,"已离职","在职"))</f>
        <v>在职</v>
      </c>
      <c r="P3308" s="28" t="str">
        <f>IF(AND(O3308="在职",J3308="是"),COUNTIF(O$2:O3308,"在职"),"")</f>
        <v/>
      </c>
    </row>
    <row r="3309" ht="18" spans="1:16">
      <c r="A3309" s="14">
        <f t="shared" si="57"/>
        <v>3308</v>
      </c>
      <c r="B3309" s="31">
        <v>46185</v>
      </c>
      <c r="C3309" s="32" t="s">
        <v>3025</v>
      </c>
      <c r="D3309" s="120" t="s">
        <v>480</v>
      </c>
      <c r="E3309" s="33" t="s">
        <v>43</v>
      </c>
      <c r="F3309" s="18" t="s">
        <v>62</v>
      </c>
      <c r="G3309" s="18" t="s">
        <v>2174</v>
      </c>
      <c r="H3309" s="34" t="s">
        <v>85</v>
      </c>
      <c r="I3309" s="18" t="s">
        <v>114</v>
      </c>
      <c r="J3309" s="31" t="s">
        <v>114</v>
      </c>
      <c r="K3309" s="31">
        <v>46187</v>
      </c>
      <c r="N3309" s="13" t="s">
        <v>30</v>
      </c>
      <c r="O3309" s="28" t="str">
        <f>IF(D3309="","",IF(COUNTIF(离职清单!C:C,D3309)&gt;0,"已离职","在职"))</f>
        <v>在职</v>
      </c>
      <c r="P3309" s="28">
        <f>IF(AND(O3309="在职",J3309="是"),COUNTIF(O$2:O3309,"在职"),"")</f>
        <v>3302</v>
      </c>
    </row>
    <row r="3310" ht="18" spans="1:16">
      <c r="A3310" s="10">
        <f t="shared" si="57"/>
        <v>3309</v>
      </c>
      <c r="B3310" s="31">
        <v>46185</v>
      </c>
      <c r="C3310" s="32" t="s">
        <v>3026</v>
      </c>
      <c r="D3310" s="120" t="s">
        <v>482</v>
      </c>
      <c r="E3310" s="33" t="s">
        <v>43</v>
      </c>
      <c r="F3310" s="18" t="s">
        <v>63</v>
      </c>
      <c r="G3310" s="18" t="s">
        <v>2174</v>
      </c>
      <c r="H3310" s="34" t="s">
        <v>85</v>
      </c>
      <c r="I3310" s="18" t="s">
        <v>114</v>
      </c>
      <c r="J3310" s="31" t="s">
        <v>114</v>
      </c>
      <c r="K3310" s="31">
        <v>46187</v>
      </c>
      <c r="N3310" s="13" t="s">
        <v>30</v>
      </c>
      <c r="O3310" s="28" t="str">
        <f>IF(D3310="","",IF(COUNTIF(离职清单!C:C,D3310)&gt;0,"已离职","在职"))</f>
        <v>在职</v>
      </c>
      <c r="P3310" s="28">
        <f>IF(AND(O3310="在职",J3310="是"),COUNTIF(O$2:O3310,"在职"),"")</f>
        <v>3303</v>
      </c>
    </row>
    <row r="3311" ht="18" spans="1:16">
      <c r="A3311" s="14">
        <f t="shared" si="57"/>
        <v>3310</v>
      </c>
      <c r="B3311" s="31">
        <v>46185</v>
      </c>
      <c r="C3311" s="32" t="s">
        <v>3027</v>
      </c>
      <c r="D3311" s="120" t="s">
        <v>484</v>
      </c>
      <c r="E3311" s="33" t="s">
        <v>43</v>
      </c>
      <c r="F3311" s="18" t="s">
        <v>62</v>
      </c>
      <c r="G3311" s="18" t="s">
        <v>2174</v>
      </c>
      <c r="H3311" s="34" t="s">
        <v>85</v>
      </c>
      <c r="I3311" s="18" t="s">
        <v>105</v>
      </c>
      <c r="J3311" s="31" t="s">
        <v>105</v>
      </c>
      <c r="K3311" s="31"/>
      <c r="N3311" s="13" t="s">
        <v>30</v>
      </c>
      <c r="O3311" s="28" t="str">
        <f>IF(D3311="","",IF(COUNTIF(离职清单!C:C,D3311)&gt;0,"已离职","在职"))</f>
        <v>在职</v>
      </c>
      <c r="P3311" s="28" t="str">
        <f>IF(AND(O3311="在职",J3311="是"),COUNTIF(O$2:O3311,"在职"),"")</f>
        <v/>
      </c>
    </row>
    <row r="3312" ht="18" spans="1:16">
      <c r="A3312" s="10">
        <f t="shared" si="57"/>
        <v>3311</v>
      </c>
      <c r="B3312" s="31">
        <v>46185</v>
      </c>
      <c r="C3312" s="32" t="s">
        <v>3028</v>
      </c>
      <c r="D3312" s="120" t="s">
        <v>486</v>
      </c>
      <c r="E3312" s="33" t="s">
        <v>43</v>
      </c>
      <c r="F3312" s="18" t="s">
        <v>63</v>
      </c>
      <c r="G3312" s="18" t="s">
        <v>2174</v>
      </c>
      <c r="H3312" s="34" t="s">
        <v>85</v>
      </c>
      <c r="I3312" s="18" t="s">
        <v>114</v>
      </c>
      <c r="J3312" s="31" t="s">
        <v>114</v>
      </c>
      <c r="K3312" s="31">
        <v>46187</v>
      </c>
      <c r="N3312" s="13" t="s">
        <v>30</v>
      </c>
      <c r="O3312" s="28" t="str">
        <f>IF(D3312="","",IF(COUNTIF(离职清单!C:C,D3312)&gt;0,"已离职","在职"))</f>
        <v>在职</v>
      </c>
      <c r="P3312" s="28">
        <f>IF(AND(O3312="在职",J3312="是"),COUNTIF(O$2:O3312,"在职"),"")</f>
        <v>3305</v>
      </c>
    </row>
    <row r="3313" ht="18" spans="1:16">
      <c r="A3313" s="14">
        <f t="shared" si="57"/>
        <v>3312</v>
      </c>
      <c r="B3313" s="31">
        <v>46185</v>
      </c>
      <c r="C3313" s="32" t="s">
        <v>3029</v>
      </c>
      <c r="D3313" s="120" t="s">
        <v>488</v>
      </c>
      <c r="E3313" s="33" t="s">
        <v>43</v>
      </c>
      <c r="F3313" s="18" t="s">
        <v>63</v>
      </c>
      <c r="G3313" s="18" t="s">
        <v>2174</v>
      </c>
      <c r="H3313" s="34" t="s">
        <v>85</v>
      </c>
      <c r="I3313" s="18" t="s">
        <v>105</v>
      </c>
      <c r="J3313" s="31" t="s">
        <v>105</v>
      </c>
      <c r="K3313" s="31"/>
      <c r="N3313" s="13" t="s">
        <v>30</v>
      </c>
      <c r="O3313" s="28" t="str">
        <f>IF(D3313="","",IF(COUNTIF(离职清单!C:C,D3313)&gt;0,"已离职","在职"))</f>
        <v>在职</v>
      </c>
      <c r="P3313" s="28" t="str">
        <f>IF(AND(O3313="在职",J3313="是"),COUNTIF(O$2:O3313,"在职"),"")</f>
        <v/>
      </c>
    </row>
    <row r="3314" ht="18" spans="1:16">
      <c r="A3314" s="10">
        <f t="shared" si="57"/>
        <v>3313</v>
      </c>
      <c r="B3314" s="31">
        <v>46185</v>
      </c>
      <c r="C3314" s="32" t="s">
        <v>3030</v>
      </c>
      <c r="D3314" s="120" t="s">
        <v>490</v>
      </c>
      <c r="E3314" s="33" t="s">
        <v>43</v>
      </c>
      <c r="F3314" s="18" t="s">
        <v>63</v>
      </c>
      <c r="G3314" s="18" t="s">
        <v>2181</v>
      </c>
      <c r="H3314" s="34" t="s">
        <v>85</v>
      </c>
      <c r="I3314" s="18" t="s">
        <v>2154</v>
      </c>
      <c r="J3314" s="31" t="s">
        <v>105</v>
      </c>
      <c r="K3314" s="31"/>
      <c r="N3314" s="13" t="s">
        <v>30</v>
      </c>
      <c r="O3314" s="28" t="str">
        <f>IF(D3314="","",IF(COUNTIF(离职清单!C:C,D3314)&gt;0,"已离职","在职"))</f>
        <v>在职</v>
      </c>
      <c r="P3314" s="28" t="str">
        <f>IF(AND(O3314="在职",J3314="是"),COUNTIF(O$2:O3314,"在职"),"")</f>
        <v/>
      </c>
    </row>
    <row r="3315" ht="18" spans="1:16">
      <c r="A3315" s="14">
        <f t="shared" si="57"/>
        <v>3314</v>
      </c>
      <c r="B3315" s="31">
        <v>46185</v>
      </c>
      <c r="C3315" s="32" t="s">
        <v>3031</v>
      </c>
      <c r="D3315" s="120" t="s">
        <v>492</v>
      </c>
      <c r="E3315" s="33" t="s">
        <v>43</v>
      </c>
      <c r="F3315" s="18" t="s">
        <v>63</v>
      </c>
      <c r="G3315" s="18" t="s">
        <v>2181</v>
      </c>
      <c r="H3315" s="34" t="s">
        <v>85</v>
      </c>
      <c r="I3315" s="18" t="s">
        <v>114</v>
      </c>
      <c r="J3315" s="31" t="s">
        <v>105</v>
      </c>
      <c r="K3315" s="31"/>
      <c r="N3315" s="13" t="s">
        <v>30</v>
      </c>
      <c r="O3315" s="28" t="str">
        <f>IF(D3315="","",IF(COUNTIF(离职清单!C:C,D3315)&gt;0,"已离职","在职"))</f>
        <v>在职</v>
      </c>
      <c r="P3315" s="28" t="str">
        <f>IF(AND(O3315="在职",J3315="是"),COUNTIF(O$2:O3315,"在职"),"")</f>
        <v/>
      </c>
    </row>
    <row r="3316" ht="18" spans="1:16">
      <c r="A3316" s="10">
        <f t="shared" si="57"/>
        <v>3315</v>
      </c>
      <c r="B3316" s="31">
        <v>46185</v>
      </c>
      <c r="C3316" s="32" t="s">
        <v>3032</v>
      </c>
      <c r="D3316" s="120" t="s">
        <v>477</v>
      </c>
      <c r="E3316" s="33" t="s">
        <v>43</v>
      </c>
      <c r="F3316" s="18" t="s">
        <v>63</v>
      </c>
      <c r="G3316" s="18" t="s">
        <v>2181</v>
      </c>
      <c r="H3316" s="34" t="s">
        <v>85</v>
      </c>
      <c r="I3316" s="18" t="s">
        <v>2154</v>
      </c>
      <c r="J3316" s="31" t="s">
        <v>105</v>
      </c>
      <c r="K3316" s="31"/>
      <c r="N3316" s="13" t="s">
        <v>30</v>
      </c>
      <c r="O3316" s="28" t="str">
        <f>IF(D3316="","",IF(COUNTIF(离职清单!C:C,D3316)&gt;0,"已离职","在职"))</f>
        <v>在职</v>
      </c>
      <c r="P3316" s="28" t="str">
        <f>IF(AND(O3316="在职",J3316="是"),COUNTIF(O$2:O3316,"在职"),"")</f>
        <v/>
      </c>
    </row>
    <row r="3317" ht="18" spans="1:16">
      <c r="A3317" s="14">
        <f t="shared" si="57"/>
        <v>3316</v>
      </c>
      <c r="B3317" s="31">
        <v>46185</v>
      </c>
      <c r="C3317" s="32" t="s">
        <v>2822</v>
      </c>
      <c r="D3317" s="120" t="s">
        <v>477</v>
      </c>
      <c r="E3317" s="33" t="s">
        <v>43</v>
      </c>
      <c r="F3317" s="18" t="s">
        <v>63</v>
      </c>
      <c r="G3317" s="18" t="s">
        <v>2221</v>
      </c>
      <c r="H3317" s="34" t="s">
        <v>85</v>
      </c>
      <c r="I3317" s="18" t="s">
        <v>114</v>
      </c>
      <c r="J3317" s="31" t="s">
        <v>105</v>
      </c>
      <c r="K3317" s="31"/>
      <c r="N3317" s="13" t="s">
        <v>30</v>
      </c>
      <c r="O3317" s="28" t="str">
        <f>IF(D3317="","",IF(COUNTIF(离职清单!C:C,D3317)&gt;0,"已离职","在职"))</f>
        <v>在职</v>
      </c>
      <c r="P3317" s="28" t="str">
        <f>IF(AND(O3317="在职",J3317="是"),COUNTIF(O$2:O3317,"在职"),"")</f>
        <v/>
      </c>
    </row>
    <row r="3318" ht="18" spans="1:16">
      <c r="A3318" s="10">
        <f t="shared" si="57"/>
        <v>3317</v>
      </c>
      <c r="B3318" s="31">
        <v>46185</v>
      </c>
      <c r="C3318" s="32" t="s">
        <v>3033</v>
      </c>
      <c r="D3318" s="120" t="s">
        <v>478</v>
      </c>
      <c r="E3318" s="33" t="s">
        <v>43</v>
      </c>
      <c r="F3318" s="18" t="s">
        <v>63</v>
      </c>
      <c r="G3318" s="18" t="s">
        <v>2221</v>
      </c>
      <c r="H3318" s="34" t="s">
        <v>85</v>
      </c>
      <c r="I3318" s="18" t="s">
        <v>114</v>
      </c>
      <c r="J3318" s="31" t="s">
        <v>114</v>
      </c>
      <c r="K3318" s="31">
        <v>46186</v>
      </c>
      <c r="N3318" s="13" t="s">
        <v>30</v>
      </c>
      <c r="O3318" s="28" t="str">
        <f>IF(D3318="","",IF(COUNTIF(离职清单!C:C,D3318)&gt;0,"已离职","在职"))</f>
        <v>在职</v>
      </c>
      <c r="P3318" s="28">
        <f>IF(AND(O3318="在职",J3318="是"),COUNTIF(O$2:O3318,"在职"),"")</f>
        <v>3311</v>
      </c>
    </row>
    <row r="3319" ht="18" spans="1:16">
      <c r="A3319" s="14">
        <f t="shared" si="57"/>
        <v>3318</v>
      </c>
      <c r="B3319" s="31">
        <v>46185</v>
      </c>
      <c r="C3319" s="32" t="s">
        <v>2996</v>
      </c>
      <c r="D3319" s="120" t="s">
        <v>480</v>
      </c>
      <c r="E3319" s="33" t="s">
        <v>43</v>
      </c>
      <c r="F3319" s="18" t="s">
        <v>62</v>
      </c>
      <c r="G3319" s="18" t="s">
        <v>129</v>
      </c>
      <c r="H3319" s="34" t="s">
        <v>85</v>
      </c>
      <c r="I3319" s="18" t="s">
        <v>114</v>
      </c>
      <c r="J3319" s="31" t="s">
        <v>114</v>
      </c>
      <c r="K3319" s="31">
        <v>46188</v>
      </c>
      <c r="N3319" s="13" t="s">
        <v>30</v>
      </c>
      <c r="O3319" s="28" t="str">
        <f>IF(D3319="","",IF(COUNTIF(离职清单!C:C,D3319)&gt;0,"已离职","在职"))</f>
        <v>在职</v>
      </c>
      <c r="P3319" s="28">
        <f>IF(AND(O3319="在职",J3319="是"),COUNTIF(O$2:O3319,"在职"),"")</f>
        <v>3312</v>
      </c>
    </row>
    <row r="3320" ht="18" spans="1:16">
      <c r="A3320" s="10">
        <f t="shared" si="57"/>
        <v>3319</v>
      </c>
      <c r="B3320" s="31">
        <v>46185</v>
      </c>
      <c r="C3320" s="32" t="s">
        <v>3034</v>
      </c>
      <c r="D3320" s="120" t="s">
        <v>482</v>
      </c>
      <c r="E3320" s="33" t="s">
        <v>43</v>
      </c>
      <c r="F3320" s="18" t="s">
        <v>63</v>
      </c>
      <c r="G3320" s="18" t="s">
        <v>129</v>
      </c>
      <c r="H3320" s="34" t="s">
        <v>85</v>
      </c>
      <c r="I3320" s="18" t="s">
        <v>2154</v>
      </c>
      <c r="J3320" s="31" t="s">
        <v>105</v>
      </c>
      <c r="K3320" s="31"/>
      <c r="N3320" s="13" t="s">
        <v>30</v>
      </c>
      <c r="O3320" s="28" t="str">
        <f>IF(D3320="","",IF(COUNTIF(离职清单!C:C,D3320)&gt;0,"已离职","在职"))</f>
        <v>在职</v>
      </c>
      <c r="P3320" s="28" t="str">
        <f>IF(AND(O3320="在职",J3320="是"),COUNTIF(O$2:O3320,"在职"),"")</f>
        <v/>
      </c>
    </row>
    <row r="3321" ht="18" spans="1:16">
      <c r="A3321" s="14">
        <f t="shared" si="57"/>
        <v>3320</v>
      </c>
      <c r="B3321" s="31">
        <v>46185</v>
      </c>
      <c r="C3321" s="32" t="s">
        <v>2816</v>
      </c>
      <c r="D3321" s="120" t="s">
        <v>484</v>
      </c>
      <c r="E3321" s="33" t="s">
        <v>43</v>
      </c>
      <c r="F3321" s="18" t="s">
        <v>62</v>
      </c>
      <c r="G3321" s="18" t="s">
        <v>129</v>
      </c>
      <c r="H3321" s="34" t="s">
        <v>85</v>
      </c>
      <c r="I3321" s="18" t="s">
        <v>114</v>
      </c>
      <c r="J3321" s="31" t="s">
        <v>114</v>
      </c>
      <c r="K3321" s="31">
        <v>46188</v>
      </c>
      <c r="N3321" s="13" t="s">
        <v>30</v>
      </c>
      <c r="O3321" s="28" t="str">
        <f>IF(D3321="","",IF(COUNTIF(离职清单!C:C,D3321)&gt;0,"已离职","在职"))</f>
        <v>在职</v>
      </c>
      <c r="P3321" s="28">
        <f>IF(AND(O3321="在职",J3321="是"),COUNTIF(O$2:O3321,"在职"),"")</f>
        <v>3314</v>
      </c>
    </row>
    <row r="3322" ht="18" spans="1:16">
      <c r="A3322" s="10">
        <f t="shared" si="57"/>
        <v>3321</v>
      </c>
      <c r="B3322" s="31">
        <v>46185</v>
      </c>
      <c r="C3322" s="32" t="s">
        <v>3035</v>
      </c>
      <c r="D3322" s="120" t="s">
        <v>486</v>
      </c>
      <c r="E3322" s="33" t="s">
        <v>43</v>
      </c>
      <c r="F3322" s="18" t="s">
        <v>62</v>
      </c>
      <c r="G3322" s="18" t="s">
        <v>129</v>
      </c>
      <c r="H3322" s="34" t="s">
        <v>85</v>
      </c>
      <c r="I3322" s="18" t="s">
        <v>2154</v>
      </c>
      <c r="J3322" s="31" t="s">
        <v>105</v>
      </c>
      <c r="K3322" s="31"/>
      <c r="N3322" s="13" t="s">
        <v>30</v>
      </c>
      <c r="O3322" s="28" t="str">
        <f>IF(D3322="","",IF(COUNTIF(离职清单!C:C,D3322)&gt;0,"已离职","在职"))</f>
        <v>在职</v>
      </c>
      <c r="P3322" s="28" t="str">
        <f>IF(AND(O3322="在职",J3322="是"),COUNTIF(O$2:O3322,"在职"),"")</f>
        <v/>
      </c>
    </row>
    <row r="3323" ht="18" spans="1:16">
      <c r="A3323" s="14">
        <f t="shared" si="57"/>
        <v>3322</v>
      </c>
      <c r="B3323" s="31">
        <v>46185</v>
      </c>
      <c r="C3323" s="32" t="s">
        <v>3036</v>
      </c>
      <c r="D3323" s="120" t="s">
        <v>488</v>
      </c>
      <c r="E3323" s="33" t="s">
        <v>43</v>
      </c>
      <c r="F3323" s="18" t="s">
        <v>64</v>
      </c>
      <c r="G3323" s="18" t="s">
        <v>129</v>
      </c>
      <c r="H3323" s="34" t="s">
        <v>85</v>
      </c>
      <c r="I3323" s="18" t="s">
        <v>2154</v>
      </c>
      <c r="J3323" s="31" t="s">
        <v>105</v>
      </c>
      <c r="K3323" s="31"/>
      <c r="N3323" s="13" t="s">
        <v>30</v>
      </c>
      <c r="O3323" s="28" t="str">
        <f>IF(D3323="","",IF(COUNTIF(离职清单!C:C,D3323)&gt;0,"已离职","在职"))</f>
        <v>在职</v>
      </c>
      <c r="P3323" s="28" t="str">
        <f>IF(AND(O3323="在职",J3323="是"),COUNTIF(O$2:O3323,"在职"),"")</f>
        <v/>
      </c>
    </row>
    <row r="3324" ht="18" spans="1:16">
      <c r="A3324" s="10">
        <f t="shared" si="57"/>
        <v>3323</v>
      </c>
      <c r="B3324" s="31">
        <v>46185</v>
      </c>
      <c r="C3324" s="32" t="s">
        <v>3037</v>
      </c>
      <c r="D3324" s="120" t="s">
        <v>490</v>
      </c>
      <c r="E3324" s="33" t="s">
        <v>43</v>
      </c>
      <c r="F3324" s="18" t="s">
        <v>64</v>
      </c>
      <c r="G3324" s="18" t="s">
        <v>129</v>
      </c>
      <c r="H3324" s="34" t="s">
        <v>85</v>
      </c>
      <c r="I3324" s="18" t="s">
        <v>2154</v>
      </c>
      <c r="J3324" s="31" t="s">
        <v>105</v>
      </c>
      <c r="K3324" s="31"/>
      <c r="N3324" s="13" t="s">
        <v>30</v>
      </c>
      <c r="O3324" s="28" t="str">
        <f>IF(D3324="","",IF(COUNTIF(离职清单!C:C,D3324)&gt;0,"已离职","在职"))</f>
        <v>在职</v>
      </c>
      <c r="P3324" s="28" t="str">
        <f>IF(AND(O3324="在职",J3324="是"),COUNTIF(O$2:O3324,"在职"),"")</f>
        <v/>
      </c>
    </row>
    <row r="3325" ht="18" spans="1:16">
      <c r="A3325" s="14">
        <f t="shared" si="57"/>
        <v>3324</v>
      </c>
      <c r="B3325" s="31">
        <v>46185</v>
      </c>
      <c r="C3325" s="32" t="s">
        <v>3038</v>
      </c>
      <c r="D3325" s="120" t="s">
        <v>492</v>
      </c>
      <c r="E3325" s="33" t="s">
        <v>43</v>
      </c>
      <c r="F3325" s="18" t="s">
        <v>64</v>
      </c>
      <c r="G3325" s="18" t="s">
        <v>129</v>
      </c>
      <c r="H3325" s="34" t="s">
        <v>85</v>
      </c>
      <c r="I3325" s="18" t="s">
        <v>2154</v>
      </c>
      <c r="J3325" s="31" t="s">
        <v>105</v>
      </c>
      <c r="K3325" s="31"/>
      <c r="N3325" s="13" t="s">
        <v>30</v>
      </c>
      <c r="O3325" s="28" t="str">
        <f>IF(D3325="","",IF(COUNTIF(离职清单!C:C,D3325)&gt;0,"已离职","在职"))</f>
        <v>在职</v>
      </c>
      <c r="P3325" s="28" t="str">
        <f>IF(AND(O3325="在职",J3325="是"),COUNTIF(O$2:O3325,"在职"),"")</f>
        <v/>
      </c>
    </row>
    <row r="3326" ht="18" spans="1:16">
      <c r="A3326" s="10">
        <f t="shared" si="57"/>
        <v>3325</v>
      </c>
      <c r="B3326" s="31">
        <v>46185</v>
      </c>
      <c r="C3326" s="32" t="s">
        <v>3039</v>
      </c>
      <c r="D3326" s="120" t="s">
        <v>477</v>
      </c>
      <c r="E3326" s="33" t="s">
        <v>43</v>
      </c>
      <c r="F3326" s="18" t="s">
        <v>64</v>
      </c>
      <c r="G3326" s="18" t="s">
        <v>129</v>
      </c>
      <c r="H3326" s="34" t="s">
        <v>85</v>
      </c>
      <c r="I3326" s="18" t="s">
        <v>2154</v>
      </c>
      <c r="J3326" s="31" t="s">
        <v>105</v>
      </c>
      <c r="K3326" s="31"/>
      <c r="N3326" s="13" t="s">
        <v>30</v>
      </c>
      <c r="O3326" s="28" t="str">
        <f>IF(D3326="","",IF(COUNTIF(离职清单!C:C,D3326)&gt;0,"已离职","在职"))</f>
        <v>在职</v>
      </c>
      <c r="P3326" s="28" t="str">
        <f>IF(AND(O3326="在职",J3326="是"),COUNTIF(O$2:O3326,"在职"),"")</f>
        <v/>
      </c>
    </row>
    <row r="3327" ht="18" spans="1:16">
      <c r="A3327" s="14">
        <f t="shared" si="57"/>
        <v>3326</v>
      </c>
      <c r="B3327" s="31">
        <v>46185</v>
      </c>
      <c r="C3327" s="32" t="s">
        <v>3040</v>
      </c>
      <c r="D3327" s="120" t="s">
        <v>478</v>
      </c>
      <c r="E3327" s="33" t="s">
        <v>43</v>
      </c>
      <c r="F3327" s="18" t="s">
        <v>64</v>
      </c>
      <c r="G3327" s="18" t="s">
        <v>129</v>
      </c>
      <c r="H3327" s="34" t="s">
        <v>85</v>
      </c>
      <c r="I3327" s="18" t="s">
        <v>2154</v>
      </c>
      <c r="J3327" s="31" t="s">
        <v>105</v>
      </c>
      <c r="K3327" s="31"/>
      <c r="N3327" s="13" t="s">
        <v>30</v>
      </c>
      <c r="O3327" s="28" t="str">
        <f>IF(D3327="","",IF(COUNTIF(离职清单!C:C,D3327)&gt;0,"已离职","在职"))</f>
        <v>在职</v>
      </c>
      <c r="P3327" s="28" t="str">
        <f>IF(AND(O3327="在职",J3327="是"),COUNTIF(O$2:O3327,"在职"),"")</f>
        <v/>
      </c>
    </row>
    <row r="3328" ht="18" spans="1:16">
      <c r="A3328" s="10">
        <f t="shared" si="57"/>
        <v>3327</v>
      </c>
      <c r="B3328" s="31">
        <v>46185</v>
      </c>
      <c r="C3328" s="32" t="s">
        <v>3041</v>
      </c>
      <c r="D3328" s="120" t="s">
        <v>480</v>
      </c>
      <c r="E3328" s="33" t="s">
        <v>43</v>
      </c>
      <c r="F3328" s="18" t="s">
        <v>64</v>
      </c>
      <c r="G3328" s="18" t="s">
        <v>129</v>
      </c>
      <c r="H3328" s="34" t="s">
        <v>85</v>
      </c>
      <c r="I3328" s="18" t="s">
        <v>2154</v>
      </c>
      <c r="J3328" s="31" t="s">
        <v>105</v>
      </c>
      <c r="K3328" s="31"/>
      <c r="N3328" s="13" t="s">
        <v>30</v>
      </c>
      <c r="O3328" s="28" t="str">
        <f>IF(D3328="","",IF(COUNTIF(离职清单!C:C,D3328)&gt;0,"已离职","在职"))</f>
        <v>在职</v>
      </c>
      <c r="P3328" s="28" t="str">
        <f>IF(AND(O3328="在职",J3328="是"),COUNTIF(O$2:O3328,"在职"),"")</f>
        <v/>
      </c>
    </row>
    <row r="3329" ht="18" spans="1:16">
      <c r="A3329" s="14">
        <f t="shared" si="57"/>
        <v>3328</v>
      </c>
      <c r="B3329" s="31">
        <v>46185</v>
      </c>
      <c r="C3329" s="32" t="s">
        <v>2885</v>
      </c>
      <c r="D3329" s="120" t="s">
        <v>482</v>
      </c>
      <c r="E3329" s="33" t="s">
        <v>43</v>
      </c>
      <c r="F3329" s="18" t="s">
        <v>62</v>
      </c>
      <c r="G3329" s="18" t="s">
        <v>1056</v>
      </c>
      <c r="H3329" s="34" t="s">
        <v>85</v>
      </c>
      <c r="I3329" s="18" t="s">
        <v>114</v>
      </c>
      <c r="J3329" s="31" t="s">
        <v>105</v>
      </c>
      <c r="K3329" s="31"/>
      <c r="N3329" s="13" t="s">
        <v>30</v>
      </c>
      <c r="O3329" s="28" t="str">
        <f>IF(D3329="","",IF(COUNTIF(离职清单!C:C,D3329)&gt;0,"已离职","在职"))</f>
        <v>在职</v>
      </c>
      <c r="P3329" s="28" t="str">
        <f>IF(AND(O3329="在职",J3329="是"),COUNTIF(O$2:O3329,"在职"),"")</f>
        <v/>
      </c>
    </row>
    <row r="3330" ht="18" spans="1:16">
      <c r="A3330" s="10">
        <f t="shared" si="57"/>
        <v>3329</v>
      </c>
      <c r="B3330" s="31">
        <v>46185</v>
      </c>
      <c r="C3330" s="32" t="s">
        <v>2329</v>
      </c>
      <c r="D3330" s="120" t="s">
        <v>484</v>
      </c>
      <c r="E3330" s="33" t="s">
        <v>43</v>
      </c>
      <c r="F3330" s="18" t="s">
        <v>62</v>
      </c>
      <c r="G3330" s="18" t="s">
        <v>1056</v>
      </c>
      <c r="H3330" s="34" t="s">
        <v>85</v>
      </c>
      <c r="I3330" s="18" t="s">
        <v>105</v>
      </c>
      <c r="J3330" s="31" t="s">
        <v>105</v>
      </c>
      <c r="K3330" s="31"/>
      <c r="N3330" s="13" t="s">
        <v>30</v>
      </c>
      <c r="O3330" s="28" t="str">
        <f>IF(D3330="","",IF(COUNTIF(离职清单!C:C,D3330)&gt;0,"已离职","在职"))</f>
        <v>在职</v>
      </c>
      <c r="P3330" s="28" t="str">
        <f>IF(AND(O3330="在职",J3330="是"),COUNTIF(O$2:O3330,"在职"),"")</f>
        <v/>
      </c>
    </row>
    <row r="3331" ht="18" spans="1:16">
      <c r="A3331" s="14">
        <f t="shared" si="57"/>
        <v>3330</v>
      </c>
      <c r="B3331" s="31">
        <v>46185</v>
      </c>
      <c r="C3331" s="32" t="s">
        <v>2888</v>
      </c>
      <c r="D3331" s="120" t="s">
        <v>486</v>
      </c>
      <c r="E3331" s="33" t="s">
        <v>43</v>
      </c>
      <c r="F3331" s="18" t="s">
        <v>63</v>
      </c>
      <c r="G3331" s="18" t="s">
        <v>1056</v>
      </c>
      <c r="H3331" s="34" t="s">
        <v>85</v>
      </c>
      <c r="I3331" s="18" t="s">
        <v>105</v>
      </c>
      <c r="J3331" s="31" t="s">
        <v>105</v>
      </c>
      <c r="K3331" s="31"/>
      <c r="N3331" s="13" t="s">
        <v>30</v>
      </c>
      <c r="O3331" s="28" t="str">
        <f>IF(D3331="","",IF(COUNTIF(离职清单!C:C,D3331)&gt;0,"已离职","在职"))</f>
        <v>在职</v>
      </c>
      <c r="P3331" s="28" t="str">
        <f>IF(AND(O3331="在职",J3331="是"),COUNTIF(O$2:O3331,"在职"),"")</f>
        <v/>
      </c>
    </row>
    <row r="3332" ht="18" spans="1:16">
      <c r="A3332" s="10">
        <f t="shared" si="57"/>
        <v>3331</v>
      </c>
      <c r="B3332" s="31">
        <v>46185</v>
      </c>
      <c r="C3332" s="32" t="s">
        <v>2537</v>
      </c>
      <c r="D3332" s="120" t="s">
        <v>488</v>
      </c>
      <c r="E3332" s="33" t="s">
        <v>43</v>
      </c>
      <c r="F3332" s="18" t="s">
        <v>63</v>
      </c>
      <c r="G3332" s="18" t="s">
        <v>2164</v>
      </c>
      <c r="H3332" s="34" t="s">
        <v>85</v>
      </c>
      <c r="I3332" s="18" t="s">
        <v>114</v>
      </c>
      <c r="J3332" s="31" t="s">
        <v>105</v>
      </c>
      <c r="K3332" s="31"/>
      <c r="N3332" s="13" t="s">
        <v>30</v>
      </c>
      <c r="O3332" s="28" t="str">
        <f>IF(D3332="","",IF(COUNTIF(离职清单!C:C,D3332)&gt;0,"已离职","在职"))</f>
        <v>在职</v>
      </c>
      <c r="P3332" s="28" t="str">
        <f>IF(AND(O3332="在职",J3332="是"),COUNTIF(O$2:O3332,"在职"),"")</f>
        <v/>
      </c>
    </row>
    <row r="3333" ht="18" spans="1:16">
      <c r="A3333" s="14">
        <f t="shared" si="57"/>
        <v>3332</v>
      </c>
      <c r="B3333" s="31">
        <v>46185</v>
      </c>
      <c r="C3333" s="32" t="s">
        <v>3042</v>
      </c>
      <c r="D3333" s="120" t="s">
        <v>490</v>
      </c>
      <c r="E3333" s="33" t="s">
        <v>43</v>
      </c>
      <c r="F3333" s="18" t="s">
        <v>63</v>
      </c>
      <c r="G3333" s="18" t="s">
        <v>2164</v>
      </c>
      <c r="H3333" s="34" t="s">
        <v>85</v>
      </c>
      <c r="I3333" s="18" t="s">
        <v>114</v>
      </c>
      <c r="J3333" s="31" t="s">
        <v>105</v>
      </c>
      <c r="K3333" s="31"/>
      <c r="N3333" s="13" t="s">
        <v>30</v>
      </c>
      <c r="O3333" s="28" t="str">
        <f>IF(D3333="","",IF(COUNTIF(离职清单!C:C,D3333)&gt;0,"已离职","在职"))</f>
        <v>在职</v>
      </c>
      <c r="P3333" s="28" t="str">
        <f>IF(AND(O3333="在职",J3333="是"),COUNTIF(O$2:O3333,"在职"),"")</f>
        <v/>
      </c>
    </row>
    <row r="3334" ht="18" spans="1:16">
      <c r="A3334" s="10">
        <f t="shared" si="57"/>
        <v>3333</v>
      </c>
      <c r="B3334" s="31">
        <v>46185</v>
      </c>
      <c r="C3334" s="32" t="s">
        <v>2724</v>
      </c>
      <c r="D3334" s="120" t="s">
        <v>492</v>
      </c>
      <c r="E3334" s="33" t="s">
        <v>43</v>
      </c>
      <c r="F3334" s="18" t="s">
        <v>63</v>
      </c>
      <c r="G3334" s="18" t="s">
        <v>2164</v>
      </c>
      <c r="H3334" s="34" t="s">
        <v>85</v>
      </c>
      <c r="I3334" s="18" t="s">
        <v>105</v>
      </c>
      <c r="J3334" s="31" t="s">
        <v>105</v>
      </c>
      <c r="K3334" s="31"/>
      <c r="N3334" s="13" t="s">
        <v>30</v>
      </c>
      <c r="O3334" s="28" t="str">
        <f>IF(D3334="","",IF(COUNTIF(离职清单!C:C,D3334)&gt;0,"已离职","在职"))</f>
        <v>在职</v>
      </c>
      <c r="P3334" s="28" t="str">
        <f>IF(AND(O3334="在职",J3334="是"),COUNTIF(O$2:O3334,"在职"),"")</f>
        <v/>
      </c>
    </row>
    <row r="3335" ht="18" spans="1:16">
      <c r="A3335" s="14">
        <f t="shared" si="57"/>
        <v>3334</v>
      </c>
      <c r="B3335" s="31">
        <v>46185</v>
      </c>
      <c r="C3335" s="32" t="s">
        <v>2854</v>
      </c>
      <c r="D3335" s="120" t="s">
        <v>477</v>
      </c>
      <c r="E3335" s="33" t="s">
        <v>43</v>
      </c>
      <c r="F3335" s="18" t="s">
        <v>63</v>
      </c>
      <c r="G3335" s="18" t="s">
        <v>2164</v>
      </c>
      <c r="H3335" s="34" t="s">
        <v>85</v>
      </c>
      <c r="I3335" s="18" t="s">
        <v>105</v>
      </c>
      <c r="J3335" s="31" t="s">
        <v>105</v>
      </c>
      <c r="K3335" s="31"/>
      <c r="N3335" s="13" t="s">
        <v>30</v>
      </c>
      <c r="O3335" s="28" t="str">
        <f>IF(D3335="","",IF(COUNTIF(离职清单!C:C,D3335)&gt;0,"已离职","在职"))</f>
        <v>在职</v>
      </c>
      <c r="P3335" s="28" t="str">
        <f>IF(AND(O3335="在职",J3335="是"),COUNTIF(O$2:O3335,"在职"),"")</f>
        <v/>
      </c>
    </row>
    <row r="3336" ht="18" spans="1:16">
      <c r="A3336" s="10">
        <f t="shared" si="57"/>
        <v>3335</v>
      </c>
      <c r="B3336" s="31">
        <v>46185</v>
      </c>
      <c r="C3336" s="32" t="s">
        <v>3043</v>
      </c>
      <c r="D3336" s="120" t="s">
        <v>478</v>
      </c>
      <c r="E3336" s="33" t="s">
        <v>43</v>
      </c>
      <c r="F3336" s="18" t="s">
        <v>63</v>
      </c>
      <c r="G3336" s="18" t="s">
        <v>2164</v>
      </c>
      <c r="H3336" s="34" t="s">
        <v>85</v>
      </c>
      <c r="I3336" s="18" t="s">
        <v>105</v>
      </c>
      <c r="J3336" s="31" t="s">
        <v>105</v>
      </c>
      <c r="K3336" s="31"/>
      <c r="N3336" s="13" t="s">
        <v>30</v>
      </c>
      <c r="O3336" s="28" t="str">
        <f>IF(D3336="","",IF(COUNTIF(离职清单!C:C,D3336)&gt;0,"已离职","在职"))</f>
        <v>在职</v>
      </c>
      <c r="P3336" s="28" t="str">
        <f>IF(AND(O3336="在职",J3336="是"),COUNTIF(O$2:O3336,"在职"),"")</f>
        <v/>
      </c>
    </row>
    <row r="3337" ht="18" spans="1:16">
      <c r="A3337" s="14">
        <f t="shared" si="57"/>
        <v>3336</v>
      </c>
      <c r="B3337" s="31">
        <v>46185</v>
      </c>
      <c r="C3337" s="32" t="s">
        <v>3044</v>
      </c>
      <c r="D3337" s="120" t="s">
        <v>480</v>
      </c>
      <c r="E3337" s="33" t="s">
        <v>43</v>
      </c>
      <c r="F3337" s="18" t="s">
        <v>63</v>
      </c>
      <c r="G3337" s="18" t="s">
        <v>2164</v>
      </c>
      <c r="H3337" s="34" t="s">
        <v>85</v>
      </c>
      <c r="I3337" s="18" t="s">
        <v>105</v>
      </c>
      <c r="J3337" s="31" t="s">
        <v>105</v>
      </c>
      <c r="K3337" s="31"/>
      <c r="N3337" s="13" t="s">
        <v>30</v>
      </c>
      <c r="O3337" s="28" t="str">
        <f>IF(D3337="","",IF(COUNTIF(离职清单!C:C,D3337)&gt;0,"已离职","在职"))</f>
        <v>在职</v>
      </c>
      <c r="P3337" s="28" t="str">
        <f>IF(AND(O3337="在职",J3337="是"),COUNTIF(O$2:O3337,"在职"),"")</f>
        <v/>
      </c>
    </row>
    <row r="3338" ht="18" spans="1:16">
      <c r="A3338" s="10">
        <f t="shared" si="57"/>
        <v>3337</v>
      </c>
      <c r="B3338" s="31">
        <v>46185</v>
      </c>
      <c r="C3338" s="32" t="s">
        <v>3045</v>
      </c>
      <c r="D3338" s="120" t="s">
        <v>482</v>
      </c>
      <c r="E3338" s="33" t="s">
        <v>43</v>
      </c>
      <c r="F3338" s="18" t="s">
        <v>62</v>
      </c>
      <c r="G3338" s="18" t="s">
        <v>2164</v>
      </c>
      <c r="H3338" s="34" t="s">
        <v>85</v>
      </c>
      <c r="I3338" s="18" t="s">
        <v>114</v>
      </c>
      <c r="J3338" s="31" t="s">
        <v>114</v>
      </c>
      <c r="K3338" s="31">
        <v>46187</v>
      </c>
      <c r="N3338" s="13" t="s">
        <v>30</v>
      </c>
      <c r="O3338" s="28" t="str">
        <f>IF(D3338="","",IF(COUNTIF(离职清单!C:C,D3338)&gt;0,"已离职","在职"))</f>
        <v>在职</v>
      </c>
      <c r="P3338" s="28">
        <f>IF(AND(O3338="在职",J3338="是"),COUNTIF(O$2:O3338,"在职"),"")</f>
        <v>3331</v>
      </c>
    </row>
    <row r="3339" ht="18" spans="1:16">
      <c r="A3339" s="14">
        <f t="shared" si="57"/>
        <v>3338</v>
      </c>
      <c r="B3339" s="31">
        <v>46185</v>
      </c>
      <c r="C3339" s="32" t="s">
        <v>3010</v>
      </c>
      <c r="D3339" s="120" t="s">
        <v>484</v>
      </c>
      <c r="E3339" s="33" t="s">
        <v>43</v>
      </c>
      <c r="F3339" s="18" t="s">
        <v>62</v>
      </c>
      <c r="G3339" s="18" t="s">
        <v>2164</v>
      </c>
      <c r="H3339" s="34" t="s">
        <v>85</v>
      </c>
      <c r="I3339" s="18" t="s">
        <v>105</v>
      </c>
      <c r="J3339" s="31" t="s">
        <v>105</v>
      </c>
      <c r="K3339" s="31"/>
      <c r="N3339" s="13" t="s">
        <v>30</v>
      </c>
      <c r="O3339" s="28" t="str">
        <f>IF(D3339="","",IF(COUNTIF(离职清单!C:C,D3339)&gt;0,"已离职","在职"))</f>
        <v>在职</v>
      </c>
      <c r="P3339" s="28" t="str">
        <f>IF(AND(O3339="在职",J3339="是"),COUNTIF(O$2:O3339,"在职"),"")</f>
        <v/>
      </c>
    </row>
    <row r="3340" ht="18" spans="1:16">
      <c r="A3340" s="10">
        <f t="shared" si="57"/>
        <v>3339</v>
      </c>
      <c r="B3340" s="31">
        <v>46185</v>
      </c>
      <c r="C3340" s="32" t="s">
        <v>3046</v>
      </c>
      <c r="D3340" s="120" t="s">
        <v>486</v>
      </c>
      <c r="E3340" s="33" t="s">
        <v>43</v>
      </c>
      <c r="F3340" s="18" t="s">
        <v>63</v>
      </c>
      <c r="G3340" s="18" t="s">
        <v>2164</v>
      </c>
      <c r="H3340" s="34" t="s">
        <v>85</v>
      </c>
      <c r="I3340" s="18" t="s">
        <v>105</v>
      </c>
      <c r="J3340" s="31" t="s">
        <v>105</v>
      </c>
      <c r="K3340" s="31"/>
      <c r="N3340" s="13" t="s">
        <v>30</v>
      </c>
      <c r="O3340" s="28" t="str">
        <f>IF(D3340="","",IF(COUNTIF(离职清单!C:C,D3340)&gt;0,"已离职","在职"))</f>
        <v>在职</v>
      </c>
      <c r="P3340" s="28" t="str">
        <f>IF(AND(O3340="在职",J3340="是"),COUNTIF(O$2:O3340,"在职"),"")</f>
        <v/>
      </c>
    </row>
    <row r="3341" ht="18" spans="1:16">
      <c r="A3341" s="14">
        <f t="shared" si="57"/>
        <v>3340</v>
      </c>
      <c r="B3341" s="31">
        <v>46185</v>
      </c>
      <c r="C3341" s="32" t="s">
        <v>3047</v>
      </c>
      <c r="D3341" s="120" t="s">
        <v>488</v>
      </c>
      <c r="E3341" s="33" t="s">
        <v>43</v>
      </c>
      <c r="F3341" s="18" t="s">
        <v>62</v>
      </c>
      <c r="G3341" s="18" t="s">
        <v>2164</v>
      </c>
      <c r="H3341" s="34" t="s">
        <v>85</v>
      </c>
      <c r="I3341" s="18" t="s">
        <v>105</v>
      </c>
      <c r="J3341" s="31" t="s">
        <v>105</v>
      </c>
      <c r="K3341" s="31"/>
      <c r="N3341" s="13" t="s">
        <v>30</v>
      </c>
      <c r="O3341" s="28" t="str">
        <f>IF(D3341="","",IF(COUNTIF(离职清单!C:C,D3341)&gt;0,"已离职","在职"))</f>
        <v>在职</v>
      </c>
      <c r="P3341" s="28" t="str">
        <f>IF(AND(O3341="在职",J3341="是"),COUNTIF(O$2:O3341,"在职"),"")</f>
        <v/>
      </c>
    </row>
    <row r="3342" ht="18" spans="1:16">
      <c r="A3342" s="10">
        <f t="shared" si="57"/>
        <v>3341</v>
      </c>
      <c r="B3342" s="31">
        <v>46185</v>
      </c>
      <c r="C3342" s="32" t="s">
        <v>3048</v>
      </c>
      <c r="D3342" s="120" t="s">
        <v>490</v>
      </c>
      <c r="E3342" s="33" t="s">
        <v>42</v>
      </c>
      <c r="F3342" s="18" t="s">
        <v>62</v>
      </c>
      <c r="G3342" s="18" t="s">
        <v>2156</v>
      </c>
      <c r="H3342" s="34" t="s">
        <v>85</v>
      </c>
      <c r="I3342" s="18" t="s">
        <v>2154</v>
      </c>
      <c r="J3342" s="31" t="s">
        <v>105</v>
      </c>
      <c r="K3342" s="31"/>
      <c r="N3342" s="13" t="s">
        <v>30</v>
      </c>
      <c r="O3342" s="28" t="str">
        <f>IF(D3342="","",IF(COUNTIF(离职清单!C:C,D3342)&gt;0,"已离职","在职"))</f>
        <v>在职</v>
      </c>
      <c r="P3342" s="28" t="str">
        <f>IF(AND(O3342="在职",J3342="是"),COUNTIF(O$2:O3342,"在职"),"")</f>
        <v/>
      </c>
    </row>
    <row r="3343" ht="18" spans="1:16">
      <c r="A3343" s="14">
        <f t="shared" si="57"/>
        <v>3342</v>
      </c>
      <c r="B3343" s="31">
        <v>46185</v>
      </c>
      <c r="C3343" s="32" t="s">
        <v>3049</v>
      </c>
      <c r="D3343" s="120" t="s">
        <v>492</v>
      </c>
      <c r="E3343" s="33" t="s">
        <v>42</v>
      </c>
      <c r="F3343" s="18" t="s">
        <v>63</v>
      </c>
      <c r="G3343" s="18" t="s">
        <v>2250</v>
      </c>
      <c r="H3343" s="34" t="s">
        <v>85</v>
      </c>
      <c r="I3343" s="18" t="s">
        <v>2154</v>
      </c>
      <c r="J3343" s="31" t="s">
        <v>105</v>
      </c>
      <c r="K3343" s="31"/>
      <c r="N3343" s="13" t="s">
        <v>30</v>
      </c>
      <c r="O3343" s="28" t="str">
        <f>IF(D3343="","",IF(COUNTIF(离职清单!C:C,D3343)&gt;0,"已离职","在职"))</f>
        <v>在职</v>
      </c>
      <c r="P3343" s="28" t="str">
        <f>IF(AND(O3343="在职",J3343="是"),COUNTIF(O$2:O3343,"在职"),"")</f>
        <v/>
      </c>
    </row>
    <row r="3344" ht="18" spans="1:16">
      <c r="A3344" s="10">
        <f t="shared" si="57"/>
        <v>3343</v>
      </c>
      <c r="B3344" s="31">
        <v>46185</v>
      </c>
      <c r="C3344" s="32" t="s">
        <v>3050</v>
      </c>
      <c r="D3344" s="120" t="s">
        <v>477</v>
      </c>
      <c r="E3344" s="33" t="s">
        <v>42</v>
      </c>
      <c r="F3344" s="18" t="s">
        <v>63</v>
      </c>
      <c r="G3344" s="18" t="s">
        <v>2166</v>
      </c>
      <c r="H3344" s="34" t="s">
        <v>85</v>
      </c>
      <c r="I3344" s="18" t="s">
        <v>105</v>
      </c>
      <c r="J3344" s="31" t="s">
        <v>105</v>
      </c>
      <c r="K3344" s="31"/>
      <c r="N3344" s="13" t="s">
        <v>30</v>
      </c>
      <c r="O3344" s="28" t="str">
        <f>IF(D3344="","",IF(COUNTIF(离职清单!C:C,D3344)&gt;0,"已离职","在职"))</f>
        <v>在职</v>
      </c>
      <c r="P3344" s="28" t="str">
        <f>IF(AND(O3344="在职",J3344="是"),COUNTIF(O$2:O3344,"在职"),"")</f>
        <v/>
      </c>
    </row>
    <row r="3345" ht="18" spans="1:16">
      <c r="A3345" s="14">
        <f t="shared" si="57"/>
        <v>3344</v>
      </c>
      <c r="B3345" s="31">
        <v>46185</v>
      </c>
      <c r="C3345" s="32" t="s">
        <v>3051</v>
      </c>
      <c r="D3345" s="120" t="s">
        <v>478</v>
      </c>
      <c r="E3345" s="33" t="s">
        <v>42</v>
      </c>
      <c r="F3345" s="18" t="s">
        <v>62</v>
      </c>
      <c r="G3345" s="18" t="s">
        <v>2166</v>
      </c>
      <c r="H3345" s="34" t="s">
        <v>86</v>
      </c>
      <c r="I3345" s="18" t="s">
        <v>114</v>
      </c>
      <c r="J3345" s="31" t="s">
        <v>114</v>
      </c>
      <c r="K3345" s="31">
        <v>46185</v>
      </c>
      <c r="N3345" s="13" t="s">
        <v>30</v>
      </c>
      <c r="O3345" s="28" t="str">
        <f>IF(D3345="","",IF(COUNTIF(离职清单!C:C,D3345)&gt;0,"已离职","在职"))</f>
        <v>在职</v>
      </c>
      <c r="P3345" s="28">
        <f>IF(AND(O3345="在职",J3345="是"),COUNTIF(O$2:O3345,"在职"),"")</f>
        <v>3338</v>
      </c>
    </row>
    <row r="3346" ht="18" spans="1:16">
      <c r="A3346" s="10">
        <f t="shared" si="57"/>
        <v>3345</v>
      </c>
      <c r="B3346" s="31">
        <v>46185</v>
      </c>
      <c r="C3346" s="32" t="s">
        <v>3052</v>
      </c>
      <c r="D3346" s="120" t="s">
        <v>480</v>
      </c>
      <c r="E3346" s="33" t="s">
        <v>42</v>
      </c>
      <c r="F3346" s="18" t="s">
        <v>62</v>
      </c>
      <c r="G3346" s="18" t="s">
        <v>2166</v>
      </c>
      <c r="H3346" s="34" t="s">
        <v>85</v>
      </c>
      <c r="I3346" s="18" t="s">
        <v>2154</v>
      </c>
      <c r="J3346" s="31" t="s">
        <v>105</v>
      </c>
      <c r="K3346" s="31"/>
      <c r="N3346" s="13" t="s">
        <v>30</v>
      </c>
      <c r="O3346" s="28" t="str">
        <f>IF(D3346="","",IF(COUNTIF(离职清单!C:C,D3346)&gt;0,"已离职","在职"))</f>
        <v>在职</v>
      </c>
      <c r="P3346" s="28" t="str">
        <f>IF(AND(O3346="在职",J3346="是"),COUNTIF(O$2:O3346,"在职"),"")</f>
        <v/>
      </c>
    </row>
    <row r="3347" ht="18" spans="1:16">
      <c r="A3347" s="14">
        <f t="shared" si="57"/>
        <v>3346</v>
      </c>
      <c r="B3347" s="31">
        <v>46185</v>
      </c>
      <c r="C3347" s="32" t="s">
        <v>3053</v>
      </c>
      <c r="D3347" s="120" t="s">
        <v>482</v>
      </c>
      <c r="E3347" s="33" t="s">
        <v>42</v>
      </c>
      <c r="F3347" s="18" t="s">
        <v>63</v>
      </c>
      <c r="G3347" s="18" t="s">
        <v>2166</v>
      </c>
      <c r="H3347" s="34" t="s">
        <v>86</v>
      </c>
      <c r="I3347" s="18" t="s">
        <v>105</v>
      </c>
      <c r="J3347" s="31" t="s">
        <v>105</v>
      </c>
      <c r="K3347" s="31"/>
      <c r="N3347" s="13" t="s">
        <v>30</v>
      </c>
      <c r="O3347" s="28" t="str">
        <f>IF(D3347="","",IF(COUNTIF(离职清单!C:C,D3347)&gt;0,"已离职","在职"))</f>
        <v>在职</v>
      </c>
      <c r="P3347" s="28" t="str">
        <f>IF(AND(O3347="在职",J3347="是"),COUNTIF(O$2:O3347,"在职"),"")</f>
        <v/>
      </c>
    </row>
    <row r="3348" ht="18" spans="1:16">
      <c r="A3348" s="10">
        <f t="shared" si="57"/>
        <v>3347</v>
      </c>
      <c r="B3348" s="31">
        <v>46185</v>
      </c>
      <c r="C3348" s="32" t="s">
        <v>3054</v>
      </c>
      <c r="D3348" s="120" t="s">
        <v>484</v>
      </c>
      <c r="E3348" s="33" t="s">
        <v>42</v>
      </c>
      <c r="F3348" s="18" t="s">
        <v>63</v>
      </c>
      <c r="G3348" s="18" t="s">
        <v>2166</v>
      </c>
      <c r="H3348" s="34" t="s">
        <v>86</v>
      </c>
      <c r="I3348" s="18" t="s">
        <v>114</v>
      </c>
      <c r="J3348" s="31" t="s">
        <v>114</v>
      </c>
      <c r="K3348" s="31">
        <v>46185</v>
      </c>
      <c r="N3348" s="13" t="s">
        <v>30</v>
      </c>
      <c r="O3348" s="28" t="str">
        <f>IF(D3348="","",IF(COUNTIF(离职清单!C:C,D3348)&gt;0,"已离职","在职"))</f>
        <v>在职</v>
      </c>
      <c r="P3348" s="28">
        <f>IF(AND(O3348="在职",J3348="是"),COUNTIF(O$2:O3348,"在职"),"")</f>
        <v>3341</v>
      </c>
    </row>
    <row r="3349" ht="18" spans="1:16">
      <c r="A3349" s="14">
        <f t="shared" si="57"/>
        <v>3348</v>
      </c>
      <c r="B3349" s="31">
        <v>46185</v>
      </c>
      <c r="C3349" s="32" t="s">
        <v>2891</v>
      </c>
      <c r="D3349" s="120" t="s">
        <v>486</v>
      </c>
      <c r="E3349" s="33" t="s">
        <v>42</v>
      </c>
      <c r="F3349" s="18" t="s">
        <v>63</v>
      </c>
      <c r="G3349" s="18" t="s">
        <v>2153</v>
      </c>
      <c r="H3349" s="34" t="s">
        <v>85</v>
      </c>
      <c r="I3349" s="18" t="s">
        <v>2154</v>
      </c>
      <c r="J3349" s="31" t="s">
        <v>105</v>
      </c>
      <c r="K3349" s="31"/>
      <c r="N3349" s="13" t="s">
        <v>30</v>
      </c>
      <c r="O3349" s="28" t="str">
        <f>IF(D3349="","",IF(COUNTIF(离职清单!C:C,D3349)&gt;0,"已离职","在职"))</f>
        <v>在职</v>
      </c>
      <c r="P3349" s="28" t="str">
        <f>IF(AND(O3349="在职",J3349="是"),COUNTIF(O$2:O3349,"在职"),"")</f>
        <v/>
      </c>
    </row>
    <row r="3350" ht="18" spans="1:16">
      <c r="A3350" s="10">
        <f t="shared" si="57"/>
        <v>3349</v>
      </c>
      <c r="B3350" s="31">
        <v>46185</v>
      </c>
      <c r="C3350" s="32" t="s">
        <v>2142</v>
      </c>
      <c r="D3350" s="120" t="s">
        <v>488</v>
      </c>
      <c r="E3350" s="33" t="s">
        <v>42</v>
      </c>
      <c r="F3350" s="18" t="s">
        <v>64</v>
      </c>
      <c r="G3350" s="18" t="s">
        <v>2153</v>
      </c>
      <c r="H3350" s="34" t="s">
        <v>85</v>
      </c>
      <c r="I3350" s="18" t="s">
        <v>114</v>
      </c>
      <c r="J3350" s="31" t="s">
        <v>105</v>
      </c>
      <c r="K3350" s="31"/>
      <c r="N3350" s="13" t="s">
        <v>30</v>
      </c>
      <c r="O3350" s="28" t="str">
        <f>IF(D3350="","",IF(COUNTIF(离职清单!C:C,D3350)&gt;0,"已离职","在职"))</f>
        <v>在职</v>
      </c>
      <c r="P3350" s="28" t="str">
        <f>IF(AND(O3350="在职",J3350="是"),COUNTIF(O$2:O3350,"在职"),"")</f>
        <v/>
      </c>
    </row>
    <row r="3351" ht="18" spans="1:16">
      <c r="A3351" s="14">
        <f t="shared" si="57"/>
        <v>3350</v>
      </c>
      <c r="B3351" s="31">
        <v>46185</v>
      </c>
      <c r="C3351" s="32" t="s">
        <v>3055</v>
      </c>
      <c r="D3351" s="120" t="s">
        <v>490</v>
      </c>
      <c r="E3351" s="33" t="s">
        <v>42</v>
      </c>
      <c r="F3351" s="18" t="s">
        <v>63</v>
      </c>
      <c r="G3351" s="18" t="s">
        <v>2153</v>
      </c>
      <c r="H3351" s="34" t="s">
        <v>85</v>
      </c>
      <c r="I3351" s="18" t="s">
        <v>2154</v>
      </c>
      <c r="J3351" s="31" t="s">
        <v>105</v>
      </c>
      <c r="K3351" s="31"/>
      <c r="N3351" s="13" t="s">
        <v>30</v>
      </c>
      <c r="O3351" s="28" t="str">
        <f>IF(D3351="","",IF(COUNTIF(离职清单!C:C,D3351)&gt;0,"已离职","在职"))</f>
        <v>在职</v>
      </c>
      <c r="P3351" s="28" t="str">
        <f>IF(AND(O3351="在职",J3351="是"),COUNTIF(O$2:O3351,"在职"),"")</f>
        <v/>
      </c>
    </row>
    <row r="3352" ht="18" spans="1:16">
      <c r="A3352" s="10">
        <f t="shared" si="57"/>
        <v>3351</v>
      </c>
      <c r="B3352" s="31">
        <v>46185</v>
      </c>
      <c r="C3352" s="32" t="s">
        <v>3056</v>
      </c>
      <c r="D3352" s="120" t="s">
        <v>492</v>
      </c>
      <c r="E3352" s="33" t="s">
        <v>42</v>
      </c>
      <c r="F3352" s="18" t="s">
        <v>64</v>
      </c>
      <c r="G3352" s="18" t="s">
        <v>2153</v>
      </c>
      <c r="H3352" s="34" t="s">
        <v>85</v>
      </c>
      <c r="I3352" s="18" t="s">
        <v>114</v>
      </c>
      <c r="J3352" s="31" t="s">
        <v>105</v>
      </c>
      <c r="K3352" s="31"/>
      <c r="N3352" s="13" t="s">
        <v>30</v>
      </c>
      <c r="O3352" s="28" t="str">
        <f>IF(D3352="","",IF(COUNTIF(离职清单!C:C,D3352)&gt;0,"已离职","在职"))</f>
        <v>在职</v>
      </c>
      <c r="P3352" s="28" t="str">
        <f>IF(AND(O3352="在职",J3352="是"),COUNTIF(O$2:O3352,"在职"),"")</f>
        <v/>
      </c>
    </row>
    <row r="3353" ht="18" spans="1:16">
      <c r="A3353" s="14">
        <f t="shared" si="57"/>
        <v>3352</v>
      </c>
      <c r="B3353" s="31">
        <v>46185</v>
      </c>
      <c r="C3353" s="32" t="s">
        <v>2460</v>
      </c>
      <c r="D3353" s="120" t="s">
        <v>477</v>
      </c>
      <c r="E3353" s="33" t="s">
        <v>42</v>
      </c>
      <c r="F3353" s="18" t="s">
        <v>63</v>
      </c>
      <c r="G3353" s="18" t="s">
        <v>2153</v>
      </c>
      <c r="H3353" s="34" t="s">
        <v>85</v>
      </c>
      <c r="I3353" s="18" t="s">
        <v>2154</v>
      </c>
      <c r="J3353" s="31" t="s">
        <v>105</v>
      </c>
      <c r="K3353" s="31"/>
      <c r="N3353" s="13" t="s">
        <v>30</v>
      </c>
      <c r="O3353" s="28" t="str">
        <f>IF(D3353="","",IF(COUNTIF(离职清单!C:C,D3353)&gt;0,"已离职","在职"))</f>
        <v>在职</v>
      </c>
      <c r="P3353" s="28" t="str">
        <f>IF(AND(O3353="在职",J3353="是"),COUNTIF(O$2:O3353,"在职"),"")</f>
        <v/>
      </c>
    </row>
    <row r="3354" ht="18" spans="1:16">
      <c r="A3354" s="10">
        <f t="shared" si="57"/>
        <v>3353</v>
      </c>
      <c r="B3354" s="31">
        <v>46185</v>
      </c>
      <c r="C3354" s="32" t="s">
        <v>3057</v>
      </c>
      <c r="D3354" s="120" t="s">
        <v>478</v>
      </c>
      <c r="E3354" s="33" t="s">
        <v>42</v>
      </c>
      <c r="F3354" s="18" t="s">
        <v>63</v>
      </c>
      <c r="G3354" s="18" t="s">
        <v>2153</v>
      </c>
      <c r="H3354" s="34" t="s">
        <v>85</v>
      </c>
      <c r="I3354" s="18" t="s">
        <v>2154</v>
      </c>
      <c r="J3354" s="31" t="s">
        <v>105</v>
      </c>
      <c r="K3354" s="31"/>
      <c r="N3354" s="13" t="s">
        <v>30</v>
      </c>
      <c r="O3354" s="28" t="str">
        <f>IF(D3354="","",IF(COUNTIF(离职清单!C:C,D3354)&gt;0,"已离职","在职"))</f>
        <v>在职</v>
      </c>
      <c r="P3354" s="28" t="str">
        <f>IF(AND(O3354="在职",J3354="是"),COUNTIF(O$2:O3354,"在职"),"")</f>
        <v/>
      </c>
    </row>
    <row r="3355" ht="18" spans="1:16">
      <c r="A3355" s="14">
        <f t="shared" si="57"/>
        <v>3354</v>
      </c>
      <c r="B3355" s="31">
        <v>46185</v>
      </c>
      <c r="C3355" s="32" t="s">
        <v>3058</v>
      </c>
      <c r="D3355" s="120" t="s">
        <v>480</v>
      </c>
      <c r="E3355" s="33" t="s">
        <v>42</v>
      </c>
      <c r="F3355" s="18" t="s">
        <v>63</v>
      </c>
      <c r="G3355" s="18" t="s">
        <v>2153</v>
      </c>
      <c r="H3355" s="34" t="s">
        <v>85</v>
      </c>
      <c r="I3355" s="18" t="s">
        <v>2154</v>
      </c>
      <c r="J3355" s="31" t="s">
        <v>105</v>
      </c>
      <c r="K3355" s="31"/>
      <c r="N3355" s="13" t="s">
        <v>30</v>
      </c>
      <c r="O3355" s="28" t="str">
        <f>IF(D3355="","",IF(COUNTIF(离职清单!C:C,D3355)&gt;0,"已离职","在职"))</f>
        <v>在职</v>
      </c>
      <c r="P3355" s="28" t="str">
        <f>IF(AND(O3355="在职",J3355="是"),COUNTIF(O$2:O3355,"在职"),"")</f>
        <v/>
      </c>
    </row>
    <row r="3356" ht="18" spans="1:16">
      <c r="A3356" s="10">
        <f t="shared" si="57"/>
        <v>3355</v>
      </c>
      <c r="B3356" s="31">
        <v>46185</v>
      </c>
      <c r="C3356" s="32" t="s">
        <v>2948</v>
      </c>
      <c r="D3356" s="120" t="s">
        <v>482</v>
      </c>
      <c r="E3356" s="33" t="s">
        <v>42</v>
      </c>
      <c r="F3356" s="18" t="s">
        <v>63</v>
      </c>
      <c r="G3356" s="18" t="s">
        <v>2153</v>
      </c>
      <c r="H3356" s="34" t="s">
        <v>85</v>
      </c>
      <c r="I3356" s="18" t="s">
        <v>2154</v>
      </c>
      <c r="J3356" s="31" t="s">
        <v>105</v>
      </c>
      <c r="K3356" s="31"/>
      <c r="N3356" s="13" t="s">
        <v>30</v>
      </c>
      <c r="O3356" s="28" t="str">
        <f>IF(D3356="","",IF(COUNTIF(离职清单!C:C,D3356)&gt;0,"已离职","在职"))</f>
        <v>在职</v>
      </c>
      <c r="P3356" s="28" t="str">
        <f>IF(AND(O3356="在职",J3356="是"),COUNTIF(O$2:O3356,"在职"),"")</f>
        <v/>
      </c>
    </row>
    <row r="3357" ht="18" spans="1:16">
      <c r="A3357" s="14">
        <f t="shared" si="57"/>
        <v>3356</v>
      </c>
      <c r="B3357" s="31">
        <v>46185</v>
      </c>
      <c r="C3357" s="32" t="s">
        <v>3059</v>
      </c>
      <c r="D3357" s="120" t="s">
        <v>484</v>
      </c>
      <c r="E3357" s="33" t="s">
        <v>42</v>
      </c>
      <c r="F3357" s="18" t="s">
        <v>62</v>
      </c>
      <c r="G3357" s="18" t="s">
        <v>1511</v>
      </c>
      <c r="H3357" s="34" t="s">
        <v>85</v>
      </c>
      <c r="I3357" s="18" t="s">
        <v>105</v>
      </c>
      <c r="J3357" s="31" t="s">
        <v>105</v>
      </c>
      <c r="K3357" s="31"/>
      <c r="N3357" s="13" t="s">
        <v>30</v>
      </c>
      <c r="O3357" s="28" t="str">
        <f>IF(D3357="","",IF(COUNTIF(离职清单!C:C,D3357)&gt;0,"已离职","在职"))</f>
        <v>在职</v>
      </c>
      <c r="P3357" s="28" t="str">
        <f>IF(AND(O3357="在职",J3357="是"),COUNTIF(O$2:O3357,"在职"),"")</f>
        <v/>
      </c>
    </row>
    <row r="3358" ht="18" spans="1:16">
      <c r="A3358" s="10">
        <f t="shared" si="57"/>
        <v>3357</v>
      </c>
      <c r="B3358" s="31">
        <v>46185</v>
      </c>
      <c r="C3358" s="32" t="s">
        <v>3060</v>
      </c>
      <c r="D3358" s="120" t="s">
        <v>486</v>
      </c>
      <c r="E3358" s="33" t="s">
        <v>42</v>
      </c>
      <c r="F3358" s="18" t="s">
        <v>63</v>
      </c>
      <c r="G3358" s="18" t="s">
        <v>1511</v>
      </c>
      <c r="H3358" s="34" t="s">
        <v>85</v>
      </c>
      <c r="I3358" s="18" t="s">
        <v>2154</v>
      </c>
      <c r="J3358" s="31" t="s">
        <v>105</v>
      </c>
      <c r="K3358" s="31"/>
      <c r="N3358" s="13" t="s">
        <v>30</v>
      </c>
      <c r="O3358" s="28" t="str">
        <f>IF(D3358="","",IF(COUNTIF(离职清单!C:C,D3358)&gt;0,"已离职","在职"))</f>
        <v>在职</v>
      </c>
      <c r="P3358" s="28" t="str">
        <f>IF(AND(O3358="在职",J3358="是"),COUNTIF(O$2:O3358,"在职"),"")</f>
        <v/>
      </c>
    </row>
    <row r="3359" ht="18" spans="1:16">
      <c r="A3359" s="14">
        <f t="shared" si="57"/>
        <v>3358</v>
      </c>
      <c r="B3359" s="31">
        <v>46185</v>
      </c>
      <c r="C3359" s="32" t="s">
        <v>2959</v>
      </c>
      <c r="D3359" s="120" t="s">
        <v>488</v>
      </c>
      <c r="E3359" s="33" t="s">
        <v>42</v>
      </c>
      <c r="F3359" s="18" t="s">
        <v>63</v>
      </c>
      <c r="G3359" s="18" t="s">
        <v>1511</v>
      </c>
      <c r="H3359" s="34" t="s">
        <v>85</v>
      </c>
      <c r="I3359" s="18" t="s">
        <v>2154</v>
      </c>
      <c r="J3359" s="31" t="s">
        <v>105</v>
      </c>
      <c r="K3359" s="31"/>
      <c r="N3359" s="13" t="s">
        <v>30</v>
      </c>
      <c r="O3359" s="28" t="str">
        <f>IF(D3359="","",IF(COUNTIF(离职清单!C:C,D3359)&gt;0,"已离职","在职"))</f>
        <v>在职</v>
      </c>
      <c r="P3359" s="28" t="str">
        <f>IF(AND(O3359="在职",J3359="是"),COUNTIF(O$2:O3359,"在职"),"")</f>
        <v/>
      </c>
    </row>
    <row r="3360" ht="18" spans="1:16">
      <c r="A3360" s="10">
        <f t="shared" si="57"/>
        <v>3359</v>
      </c>
      <c r="B3360" s="31">
        <v>46185</v>
      </c>
      <c r="C3360" s="32" t="s">
        <v>3061</v>
      </c>
      <c r="D3360" s="120" t="s">
        <v>490</v>
      </c>
      <c r="E3360" s="33" t="s">
        <v>42</v>
      </c>
      <c r="F3360" s="18" t="s">
        <v>63</v>
      </c>
      <c r="G3360" s="18" t="s">
        <v>1511</v>
      </c>
      <c r="H3360" s="34" t="s">
        <v>85</v>
      </c>
      <c r="I3360" s="18" t="s">
        <v>2154</v>
      </c>
      <c r="J3360" s="31" t="s">
        <v>105</v>
      </c>
      <c r="K3360" s="31"/>
      <c r="N3360" s="13" t="s">
        <v>30</v>
      </c>
      <c r="O3360" s="28" t="str">
        <f>IF(D3360="","",IF(COUNTIF(离职清单!C:C,D3360)&gt;0,"已离职","在职"))</f>
        <v>在职</v>
      </c>
      <c r="P3360" s="28" t="str">
        <f>IF(AND(O3360="在职",J3360="是"),COUNTIF(O$2:O3360,"在职"),"")</f>
        <v/>
      </c>
    </row>
    <row r="3361" ht="18" spans="1:16">
      <c r="A3361" s="14">
        <f t="shared" si="57"/>
        <v>3360</v>
      </c>
      <c r="B3361" s="31">
        <v>46185</v>
      </c>
      <c r="C3361" s="32" t="s">
        <v>3062</v>
      </c>
      <c r="D3361" s="120" t="s">
        <v>492</v>
      </c>
      <c r="E3361" s="33" t="s">
        <v>42</v>
      </c>
      <c r="F3361" s="18" t="s">
        <v>63</v>
      </c>
      <c r="G3361" s="18" t="s">
        <v>1511</v>
      </c>
      <c r="H3361" s="34" t="s">
        <v>85</v>
      </c>
      <c r="I3361" s="18" t="s">
        <v>2154</v>
      </c>
      <c r="J3361" s="31" t="s">
        <v>105</v>
      </c>
      <c r="K3361" s="31"/>
      <c r="N3361" s="13" t="s">
        <v>30</v>
      </c>
      <c r="O3361" s="28" t="str">
        <f>IF(D3361="","",IF(COUNTIF(离职清单!C:C,D3361)&gt;0,"已离职","在职"))</f>
        <v>在职</v>
      </c>
      <c r="P3361" s="28" t="str">
        <f>IF(AND(O3361="在职",J3361="是"),COUNTIF(O$2:O3361,"在职"),"")</f>
        <v/>
      </c>
    </row>
    <row r="3362" ht="18" spans="1:16">
      <c r="A3362" s="10">
        <f t="shared" si="57"/>
        <v>3361</v>
      </c>
      <c r="B3362" s="31">
        <v>46185</v>
      </c>
      <c r="C3362" s="32" t="s">
        <v>3063</v>
      </c>
      <c r="D3362" s="120" t="s">
        <v>477</v>
      </c>
      <c r="E3362" s="33" t="s">
        <v>42</v>
      </c>
      <c r="F3362" s="18" t="s">
        <v>62</v>
      </c>
      <c r="G3362" s="18" t="s">
        <v>124</v>
      </c>
      <c r="H3362" s="34" t="s">
        <v>85</v>
      </c>
      <c r="I3362" s="18" t="s">
        <v>114</v>
      </c>
      <c r="J3362" s="31" t="s">
        <v>105</v>
      </c>
      <c r="K3362" s="31"/>
      <c r="N3362" s="13" t="s">
        <v>30</v>
      </c>
      <c r="O3362" s="28" t="str">
        <f>IF(D3362="","",IF(COUNTIF(离职清单!C:C,D3362)&gt;0,"已离职","在职"))</f>
        <v>在职</v>
      </c>
      <c r="P3362" s="28" t="str">
        <f>IF(AND(O3362="在职",J3362="是"),COUNTIF(O$2:O3362,"在职"),"")</f>
        <v/>
      </c>
    </row>
    <row r="3363" ht="18" spans="1:16">
      <c r="A3363" s="14">
        <f t="shared" si="57"/>
        <v>3362</v>
      </c>
      <c r="B3363" s="31">
        <v>46185</v>
      </c>
      <c r="C3363" s="32" t="s">
        <v>3064</v>
      </c>
      <c r="D3363" s="120" t="s">
        <v>478</v>
      </c>
      <c r="E3363" s="33" t="s">
        <v>42</v>
      </c>
      <c r="F3363" s="18" t="s">
        <v>63</v>
      </c>
      <c r="G3363" s="18" t="s">
        <v>124</v>
      </c>
      <c r="H3363" s="34" t="s">
        <v>85</v>
      </c>
      <c r="I3363" s="18" t="s">
        <v>2154</v>
      </c>
      <c r="J3363" s="31" t="s">
        <v>105</v>
      </c>
      <c r="K3363" s="31"/>
      <c r="N3363" s="13" t="s">
        <v>30</v>
      </c>
      <c r="O3363" s="28" t="str">
        <f>IF(D3363="","",IF(COUNTIF(离职清单!C:C,D3363)&gt;0,"已离职","在职"))</f>
        <v>在职</v>
      </c>
      <c r="P3363" s="28" t="str">
        <f>IF(AND(O3363="在职",J3363="是"),COUNTIF(O$2:O3363,"在职"),"")</f>
        <v/>
      </c>
    </row>
    <row r="3364" ht="18" spans="1:16">
      <c r="A3364" s="10">
        <f t="shared" si="57"/>
        <v>3363</v>
      </c>
      <c r="B3364" s="31">
        <v>46185</v>
      </c>
      <c r="C3364" s="32" t="s">
        <v>1981</v>
      </c>
      <c r="D3364" s="120" t="s">
        <v>480</v>
      </c>
      <c r="E3364" s="33" t="s">
        <v>42</v>
      </c>
      <c r="F3364" s="18" t="s">
        <v>63</v>
      </c>
      <c r="G3364" s="18" t="s">
        <v>148</v>
      </c>
      <c r="H3364" s="34" t="s">
        <v>85</v>
      </c>
      <c r="I3364" s="18" t="s">
        <v>105</v>
      </c>
      <c r="J3364" s="31" t="s">
        <v>105</v>
      </c>
      <c r="K3364" s="31"/>
      <c r="N3364" s="13" t="s">
        <v>30</v>
      </c>
      <c r="O3364" s="28" t="str">
        <f>IF(D3364="","",IF(COUNTIF(离职清单!C:C,D3364)&gt;0,"已离职","在职"))</f>
        <v>在职</v>
      </c>
      <c r="P3364" s="28" t="str">
        <f>IF(AND(O3364="在职",J3364="是"),COUNTIF(O$2:O3364,"在职"),"")</f>
        <v/>
      </c>
    </row>
    <row r="3365" ht="18" spans="1:16">
      <c r="A3365" s="14">
        <f t="shared" si="57"/>
        <v>3364</v>
      </c>
      <c r="B3365" s="31">
        <v>46185</v>
      </c>
      <c r="C3365" s="32" t="s">
        <v>3065</v>
      </c>
      <c r="D3365" s="120" t="s">
        <v>482</v>
      </c>
      <c r="E3365" s="33" t="s">
        <v>42</v>
      </c>
      <c r="F3365" s="18" t="s">
        <v>62</v>
      </c>
      <c r="G3365" s="18" t="s">
        <v>148</v>
      </c>
      <c r="H3365" s="34" t="s">
        <v>86</v>
      </c>
      <c r="I3365" s="18" t="s">
        <v>105</v>
      </c>
      <c r="J3365" s="31" t="s">
        <v>105</v>
      </c>
      <c r="K3365" s="31"/>
      <c r="N3365" s="13" t="s">
        <v>30</v>
      </c>
      <c r="O3365" s="28" t="str">
        <f>IF(D3365="","",IF(COUNTIF(离职清单!C:C,D3365)&gt;0,"已离职","在职"))</f>
        <v>在职</v>
      </c>
      <c r="P3365" s="28" t="str">
        <f>IF(AND(O3365="在职",J3365="是"),COUNTIF(O$2:O3365,"在职"),"")</f>
        <v/>
      </c>
    </row>
    <row r="3366" ht="18" spans="1:16">
      <c r="A3366" s="10">
        <f t="shared" si="57"/>
        <v>3365</v>
      </c>
      <c r="B3366" s="31">
        <v>46185</v>
      </c>
      <c r="C3366" s="32" t="s">
        <v>3066</v>
      </c>
      <c r="D3366" s="120" t="s">
        <v>484</v>
      </c>
      <c r="E3366" s="33" t="s">
        <v>42</v>
      </c>
      <c r="F3366" s="18" t="s">
        <v>62</v>
      </c>
      <c r="G3366" s="18" t="s">
        <v>148</v>
      </c>
      <c r="H3366" s="34" t="s">
        <v>86</v>
      </c>
      <c r="I3366" s="18" t="s">
        <v>105</v>
      </c>
      <c r="J3366" s="31" t="s">
        <v>105</v>
      </c>
      <c r="K3366" s="31"/>
      <c r="N3366" s="13" t="s">
        <v>30</v>
      </c>
      <c r="O3366" s="28" t="str">
        <f>IF(D3366="","",IF(COUNTIF(离职清单!C:C,D3366)&gt;0,"已离职","在职"))</f>
        <v>在职</v>
      </c>
      <c r="P3366" s="28" t="str">
        <f>IF(AND(O3366="在职",J3366="是"),COUNTIF(O$2:O3366,"在职"),"")</f>
        <v/>
      </c>
    </row>
    <row r="3367" ht="18" spans="1:16">
      <c r="A3367" s="14">
        <f t="shared" si="57"/>
        <v>3366</v>
      </c>
      <c r="B3367" s="31">
        <v>46185</v>
      </c>
      <c r="C3367" s="32" t="s">
        <v>2928</v>
      </c>
      <c r="D3367" s="120" t="s">
        <v>486</v>
      </c>
      <c r="E3367" s="33" t="s">
        <v>42</v>
      </c>
      <c r="F3367" s="18" t="s">
        <v>64</v>
      </c>
      <c r="G3367" s="18" t="s">
        <v>148</v>
      </c>
      <c r="H3367" s="34" t="s">
        <v>85</v>
      </c>
      <c r="I3367" s="18" t="s">
        <v>114</v>
      </c>
      <c r="J3367" s="31" t="s">
        <v>105</v>
      </c>
      <c r="K3367" s="31"/>
      <c r="N3367" s="13" t="s">
        <v>30</v>
      </c>
      <c r="O3367" s="28" t="str">
        <f>IF(D3367="","",IF(COUNTIF(离职清单!C:C,D3367)&gt;0,"已离职","在职"))</f>
        <v>在职</v>
      </c>
      <c r="P3367" s="28" t="str">
        <f>IF(AND(O3367="在职",J3367="是"),COUNTIF(O$2:O3367,"在职"),"")</f>
        <v/>
      </c>
    </row>
    <row r="3368" ht="18" spans="1:16">
      <c r="A3368" s="10">
        <f t="shared" si="57"/>
        <v>3367</v>
      </c>
      <c r="B3368" s="31">
        <v>46185</v>
      </c>
      <c r="C3368" s="32" t="s">
        <v>3067</v>
      </c>
      <c r="D3368" s="120" t="s">
        <v>488</v>
      </c>
      <c r="E3368" s="33" t="s">
        <v>42</v>
      </c>
      <c r="F3368" s="18" t="s">
        <v>63</v>
      </c>
      <c r="G3368" s="18" t="s">
        <v>148</v>
      </c>
      <c r="H3368" s="34" t="s">
        <v>85</v>
      </c>
      <c r="I3368" s="18" t="s">
        <v>2154</v>
      </c>
      <c r="J3368" s="31" t="s">
        <v>105</v>
      </c>
      <c r="K3368" s="31"/>
      <c r="N3368" s="13" t="s">
        <v>30</v>
      </c>
      <c r="O3368" s="28" t="str">
        <f>IF(D3368="","",IF(COUNTIF(离职清单!C:C,D3368)&gt;0,"已离职","在职"))</f>
        <v>在职</v>
      </c>
      <c r="P3368" s="28" t="str">
        <f>IF(AND(O3368="在职",J3368="是"),COUNTIF(O$2:O3368,"在职"),"")</f>
        <v/>
      </c>
    </row>
    <row r="3369" ht="18" spans="1:16">
      <c r="A3369" s="14">
        <f t="shared" si="57"/>
        <v>3368</v>
      </c>
      <c r="B3369" s="31">
        <v>46185</v>
      </c>
      <c r="C3369" s="32" t="s">
        <v>3068</v>
      </c>
      <c r="D3369" s="120" t="s">
        <v>490</v>
      </c>
      <c r="E3369" s="33" t="s">
        <v>42</v>
      </c>
      <c r="F3369" s="18" t="s">
        <v>63</v>
      </c>
      <c r="G3369" s="18" t="s">
        <v>148</v>
      </c>
      <c r="H3369" s="34" t="s">
        <v>85</v>
      </c>
      <c r="I3369" s="18" t="s">
        <v>114</v>
      </c>
      <c r="J3369" s="31" t="s">
        <v>105</v>
      </c>
      <c r="K3369" s="31"/>
      <c r="N3369" s="13" t="s">
        <v>30</v>
      </c>
      <c r="O3369" s="28" t="str">
        <f>IF(D3369="","",IF(COUNTIF(离职清单!C:C,D3369)&gt;0,"已离职","在职"))</f>
        <v>在职</v>
      </c>
      <c r="P3369" s="28" t="str">
        <f>IF(AND(O3369="在职",J3369="是"),COUNTIF(O$2:O3369,"在职"),"")</f>
        <v/>
      </c>
    </row>
    <row r="3370" ht="18" spans="1:16">
      <c r="A3370" s="10">
        <f t="shared" si="57"/>
        <v>3369</v>
      </c>
      <c r="B3370" s="31">
        <v>46185</v>
      </c>
      <c r="C3370" s="32" t="s">
        <v>3069</v>
      </c>
      <c r="D3370" s="120" t="s">
        <v>492</v>
      </c>
      <c r="E3370" s="33" t="s">
        <v>42</v>
      </c>
      <c r="F3370" s="18" t="s">
        <v>62</v>
      </c>
      <c r="G3370" s="18" t="s">
        <v>148</v>
      </c>
      <c r="H3370" s="34" t="s">
        <v>86</v>
      </c>
      <c r="I3370" s="18" t="s">
        <v>105</v>
      </c>
      <c r="J3370" s="31" t="s">
        <v>105</v>
      </c>
      <c r="K3370" s="31"/>
      <c r="N3370" s="13" t="s">
        <v>30</v>
      </c>
      <c r="O3370" s="28" t="str">
        <f>IF(D3370="","",IF(COUNTIF(离职清单!C:C,D3370)&gt;0,"已离职","在职"))</f>
        <v>在职</v>
      </c>
      <c r="P3370" s="28" t="str">
        <f>IF(AND(O3370="在职",J3370="是"),COUNTIF(O$2:O3370,"在职"),"")</f>
        <v/>
      </c>
    </row>
    <row r="3371" ht="18" spans="1:16">
      <c r="A3371" s="14">
        <f t="shared" si="57"/>
        <v>3370</v>
      </c>
      <c r="B3371" s="31">
        <v>46185</v>
      </c>
      <c r="C3371" s="32" t="s">
        <v>3070</v>
      </c>
      <c r="D3371" s="120" t="s">
        <v>477</v>
      </c>
      <c r="E3371" s="33" t="s">
        <v>42</v>
      </c>
      <c r="F3371" s="18" t="s">
        <v>62</v>
      </c>
      <c r="G3371" s="18" t="s">
        <v>148</v>
      </c>
      <c r="H3371" s="34" t="s">
        <v>85</v>
      </c>
      <c r="I3371" s="18" t="s">
        <v>114</v>
      </c>
      <c r="J3371" s="31" t="s">
        <v>105</v>
      </c>
      <c r="K3371" s="31"/>
      <c r="N3371" s="13" t="s">
        <v>30</v>
      </c>
      <c r="O3371" s="28" t="str">
        <f>IF(D3371="","",IF(COUNTIF(离职清单!C:C,D3371)&gt;0,"已离职","在职"))</f>
        <v>在职</v>
      </c>
      <c r="P3371" s="28" t="str">
        <f>IF(AND(O3371="在职",J3371="是"),COUNTIF(O$2:O3371,"在职"),"")</f>
        <v/>
      </c>
    </row>
    <row r="3372" ht="18" spans="1:16">
      <c r="A3372" s="10">
        <f t="shared" ref="A3372:A3435" si="58">IF(B3372&lt;&gt;"",ROW()-1,"")</f>
        <v>3371</v>
      </c>
      <c r="B3372" s="31">
        <v>46185</v>
      </c>
      <c r="C3372" s="32" t="s">
        <v>582</v>
      </c>
      <c r="D3372" s="120" t="s">
        <v>477</v>
      </c>
      <c r="E3372" s="33" t="s">
        <v>42</v>
      </c>
      <c r="F3372" s="18" t="s">
        <v>63</v>
      </c>
      <c r="G3372" s="18" t="s">
        <v>148</v>
      </c>
      <c r="H3372" s="34" t="s">
        <v>85</v>
      </c>
      <c r="I3372" s="18" t="s">
        <v>114</v>
      </c>
      <c r="J3372" s="31" t="s">
        <v>114</v>
      </c>
      <c r="K3372" s="31">
        <v>46187</v>
      </c>
      <c r="N3372" s="13" t="s">
        <v>30</v>
      </c>
      <c r="O3372" s="28" t="str">
        <f>IF(D3372="","",IF(COUNTIF(离职清单!C:C,D3372)&gt;0,"已离职","在职"))</f>
        <v>在职</v>
      </c>
      <c r="P3372" s="28">
        <f>IF(AND(O3372="在职",J3372="是"),COUNTIF(O$2:O3372,"在职"),"")</f>
        <v>3365</v>
      </c>
    </row>
    <row r="3373" ht="18" spans="1:16">
      <c r="A3373" s="14">
        <f t="shared" si="58"/>
        <v>3372</v>
      </c>
      <c r="B3373" s="31">
        <v>46185</v>
      </c>
      <c r="C3373" s="32" t="s">
        <v>2336</v>
      </c>
      <c r="D3373" s="120" t="s">
        <v>478</v>
      </c>
      <c r="E3373" s="33" t="s">
        <v>42</v>
      </c>
      <c r="F3373" s="18" t="s">
        <v>62</v>
      </c>
      <c r="G3373" s="18" t="s">
        <v>2370</v>
      </c>
      <c r="H3373" s="34" t="s">
        <v>85</v>
      </c>
      <c r="I3373" s="18" t="s">
        <v>105</v>
      </c>
      <c r="J3373" s="31" t="s">
        <v>105</v>
      </c>
      <c r="K3373" s="31"/>
      <c r="N3373" s="13" t="s">
        <v>30</v>
      </c>
      <c r="O3373" s="28" t="str">
        <f>IF(D3373="","",IF(COUNTIF(离职清单!C:C,D3373)&gt;0,"已离职","在职"))</f>
        <v>在职</v>
      </c>
      <c r="P3373" s="28" t="str">
        <f>IF(AND(O3373="在职",J3373="是"),COUNTIF(O$2:O3373,"在职"),"")</f>
        <v/>
      </c>
    </row>
    <row r="3374" ht="18" spans="1:16">
      <c r="A3374" s="10">
        <f t="shared" si="58"/>
        <v>3373</v>
      </c>
      <c r="B3374" s="31">
        <v>46185</v>
      </c>
      <c r="C3374" s="32" t="s">
        <v>3071</v>
      </c>
      <c r="D3374" s="120" t="s">
        <v>480</v>
      </c>
      <c r="E3374" s="33" t="s">
        <v>42</v>
      </c>
      <c r="F3374" s="18" t="s">
        <v>63</v>
      </c>
      <c r="G3374" s="18" t="s">
        <v>2370</v>
      </c>
      <c r="H3374" s="34" t="s">
        <v>85</v>
      </c>
      <c r="I3374" s="18" t="s">
        <v>114</v>
      </c>
      <c r="J3374" s="31" t="s">
        <v>114</v>
      </c>
      <c r="K3374" s="31">
        <v>46186</v>
      </c>
      <c r="N3374" s="13" t="s">
        <v>30</v>
      </c>
      <c r="O3374" s="28" t="str">
        <f>IF(D3374="","",IF(COUNTIF(离职清单!C:C,D3374)&gt;0,"已离职","在职"))</f>
        <v>在职</v>
      </c>
      <c r="P3374" s="28">
        <f>IF(AND(O3374="在职",J3374="是"),COUNTIF(O$2:O3374,"在职"),"")</f>
        <v>3367</v>
      </c>
    </row>
    <row r="3375" ht="18" spans="1:16">
      <c r="A3375" s="14">
        <f t="shared" si="58"/>
        <v>3374</v>
      </c>
      <c r="B3375" s="31">
        <v>46185</v>
      </c>
      <c r="C3375" s="32" t="s">
        <v>3072</v>
      </c>
      <c r="D3375" s="120" t="s">
        <v>482</v>
      </c>
      <c r="E3375" s="33" t="s">
        <v>42</v>
      </c>
      <c r="F3375" s="18" t="s">
        <v>63</v>
      </c>
      <c r="G3375" s="18" t="s">
        <v>2370</v>
      </c>
      <c r="H3375" s="34" t="s">
        <v>85</v>
      </c>
      <c r="I3375" s="18" t="s">
        <v>105</v>
      </c>
      <c r="J3375" s="31" t="s">
        <v>105</v>
      </c>
      <c r="K3375" s="31"/>
      <c r="N3375" s="13" t="s">
        <v>30</v>
      </c>
      <c r="O3375" s="28" t="str">
        <f>IF(D3375="","",IF(COUNTIF(离职清单!C:C,D3375)&gt;0,"已离职","在职"))</f>
        <v>在职</v>
      </c>
      <c r="P3375" s="28" t="str">
        <f>IF(AND(O3375="在职",J3375="是"),COUNTIF(O$2:O3375,"在职"),"")</f>
        <v/>
      </c>
    </row>
    <row r="3376" ht="18" spans="1:16">
      <c r="A3376" s="10">
        <f t="shared" si="58"/>
        <v>3375</v>
      </c>
      <c r="B3376" s="31">
        <v>46185</v>
      </c>
      <c r="C3376" s="32" t="s">
        <v>3073</v>
      </c>
      <c r="D3376" s="120" t="s">
        <v>484</v>
      </c>
      <c r="E3376" s="33" t="s">
        <v>42</v>
      </c>
      <c r="F3376" s="18" t="s">
        <v>62</v>
      </c>
      <c r="G3376" s="18" t="s">
        <v>2370</v>
      </c>
      <c r="H3376" s="34" t="s">
        <v>85</v>
      </c>
      <c r="I3376" s="18" t="s">
        <v>105</v>
      </c>
      <c r="J3376" s="31" t="s">
        <v>105</v>
      </c>
      <c r="K3376" s="31"/>
      <c r="N3376" s="13" t="s">
        <v>30</v>
      </c>
      <c r="O3376" s="28" t="str">
        <f>IF(D3376="","",IF(COUNTIF(离职清单!C:C,D3376)&gt;0,"已离职","在职"))</f>
        <v>在职</v>
      </c>
      <c r="P3376" s="28" t="str">
        <f>IF(AND(O3376="在职",J3376="是"),COUNTIF(O$2:O3376,"在职"),"")</f>
        <v/>
      </c>
    </row>
    <row r="3377" ht="18" spans="1:16">
      <c r="A3377" s="14">
        <f t="shared" si="58"/>
        <v>3376</v>
      </c>
      <c r="B3377" s="31">
        <v>46185</v>
      </c>
      <c r="C3377" s="32" t="s">
        <v>3074</v>
      </c>
      <c r="D3377" s="120" t="s">
        <v>486</v>
      </c>
      <c r="E3377" s="33" t="s">
        <v>42</v>
      </c>
      <c r="F3377" s="18" t="s">
        <v>63</v>
      </c>
      <c r="G3377" s="18" t="s">
        <v>2186</v>
      </c>
      <c r="H3377" s="34" t="s">
        <v>85</v>
      </c>
      <c r="I3377" s="18" t="s">
        <v>2154</v>
      </c>
      <c r="J3377" s="31" t="s">
        <v>105</v>
      </c>
      <c r="K3377" s="31"/>
      <c r="N3377" s="13" t="s">
        <v>30</v>
      </c>
      <c r="O3377" s="28" t="str">
        <f>IF(D3377="","",IF(COUNTIF(离职清单!C:C,D3377)&gt;0,"已离职","在职"))</f>
        <v>在职</v>
      </c>
      <c r="P3377" s="28" t="str">
        <f>IF(AND(O3377="在职",J3377="是"),COUNTIF(O$2:O3377,"在职"),"")</f>
        <v/>
      </c>
    </row>
    <row r="3378" ht="18" spans="1:16">
      <c r="A3378" s="10">
        <f t="shared" si="58"/>
        <v>3377</v>
      </c>
      <c r="B3378" s="31">
        <v>46185</v>
      </c>
      <c r="C3378" s="32" t="s">
        <v>2618</v>
      </c>
      <c r="D3378" s="120" t="s">
        <v>488</v>
      </c>
      <c r="E3378" s="33" t="s">
        <v>42</v>
      </c>
      <c r="F3378" s="18" t="s">
        <v>62</v>
      </c>
      <c r="G3378" s="18" t="s">
        <v>2186</v>
      </c>
      <c r="H3378" s="34" t="s">
        <v>85</v>
      </c>
      <c r="I3378" s="18" t="s">
        <v>2154</v>
      </c>
      <c r="J3378" s="31" t="s">
        <v>105</v>
      </c>
      <c r="K3378" s="31"/>
      <c r="N3378" s="13" t="s">
        <v>30</v>
      </c>
      <c r="O3378" s="28" t="str">
        <f>IF(D3378="","",IF(COUNTIF(离职清单!C:C,D3378)&gt;0,"已离职","在职"))</f>
        <v>在职</v>
      </c>
      <c r="P3378" s="28" t="str">
        <f>IF(AND(O3378="在职",J3378="是"),COUNTIF(O$2:O3378,"在职"),"")</f>
        <v/>
      </c>
    </row>
    <row r="3379" ht="18" spans="1:16">
      <c r="A3379" s="14">
        <f t="shared" si="58"/>
        <v>3378</v>
      </c>
      <c r="B3379" s="31">
        <v>46185</v>
      </c>
      <c r="C3379" s="32" t="s">
        <v>3075</v>
      </c>
      <c r="D3379" s="120" t="s">
        <v>490</v>
      </c>
      <c r="E3379" s="33" t="s">
        <v>42</v>
      </c>
      <c r="F3379" s="18" t="s">
        <v>63</v>
      </c>
      <c r="G3379" s="18" t="s">
        <v>2179</v>
      </c>
      <c r="H3379" s="34" t="s">
        <v>85</v>
      </c>
      <c r="I3379" s="18" t="s">
        <v>2154</v>
      </c>
      <c r="J3379" s="31" t="s">
        <v>105</v>
      </c>
      <c r="K3379" s="31"/>
      <c r="N3379" s="13" t="s">
        <v>30</v>
      </c>
      <c r="O3379" s="28" t="str">
        <f>IF(D3379="","",IF(COUNTIF(离职清单!C:C,D3379)&gt;0,"已离职","在职"))</f>
        <v>在职</v>
      </c>
      <c r="P3379" s="28" t="str">
        <f>IF(AND(O3379="在职",J3379="是"),COUNTIF(O$2:O3379,"在职"),"")</f>
        <v/>
      </c>
    </row>
    <row r="3380" ht="18" spans="1:16">
      <c r="A3380" s="10">
        <f t="shared" si="58"/>
        <v>3379</v>
      </c>
      <c r="B3380" s="31">
        <v>46185</v>
      </c>
      <c r="C3380" s="32" t="s">
        <v>3076</v>
      </c>
      <c r="D3380" s="120" t="s">
        <v>492</v>
      </c>
      <c r="E3380" s="33" t="s">
        <v>42</v>
      </c>
      <c r="F3380" s="18" t="s">
        <v>62</v>
      </c>
      <c r="G3380" s="18" t="s">
        <v>2179</v>
      </c>
      <c r="H3380" s="34" t="s">
        <v>85</v>
      </c>
      <c r="I3380" s="18" t="s">
        <v>2154</v>
      </c>
      <c r="J3380" s="31" t="s">
        <v>105</v>
      </c>
      <c r="K3380" s="31"/>
      <c r="N3380" s="13" t="s">
        <v>30</v>
      </c>
      <c r="O3380" s="28" t="str">
        <f>IF(D3380="","",IF(COUNTIF(离职清单!C:C,D3380)&gt;0,"已离职","在职"))</f>
        <v>在职</v>
      </c>
      <c r="P3380" s="28" t="str">
        <f>IF(AND(O3380="在职",J3380="是"),COUNTIF(O$2:O3380,"在职"),"")</f>
        <v/>
      </c>
    </row>
    <row r="3381" ht="18" spans="1:16">
      <c r="A3381" s="14">
        <f t="shared" si="58"/>
        <v>3380</v>
      </c>
      <c r="B3381" s="31">
        <v>46185</v>
      </c>
      <c r="C3381" s="32" t="s">
        <v>3077</v>
      </c>
      <c r="D3381" s="120" t="s">
        <v>477</v>
      </c>
      <c r="E3381" s="33" t="s">
        <v>42</v>
      </c>
      <c r="F3381" s="18" t="s">
        <v>62</v>
      </c>
      <c r="G3381" s="18" t="s">
        <v>2179</v>
      </c>
      <c r="H3381" s="34" t="s">
        <v>85</v>
      </c>
      <c r="I3381" s="18" t="s">
        <v>2154</v>
      </c>
      <c r="J3381" s="31" t="s">
        <v>105</v>
      </c>
      <c r="K3381" s="31"/>
      <c r="N3381" s="13" t="s">
        <v>30</v>
      </c>
      <c r="O3381" s="28" t="str">
        <f>IF(D3381="","",IF(COUNTIF(离职清单!C:C,D3381)&gt;0,"已离职","在职"))</f>
        <v>在职</v>
      </c>
      <c r="P3381" s="28" t="str">
        <f>IF(AND(O3381="在职",J3381="是"),COUNTIF(O$2:O3381,"在职"),"")</f>
        <v/>
      </c>
    </row>
    <row r="3382" ht="18" spans="1:16">
      <c r="A3382" s="10">
        <f t="shared" si="58"/>
        <v>3381</v>
      </c>
      <c r="B3382" s="31">
        <v>46185</v>
      </c>
      <c r="C3382" s="32" t="s">
        <v>3078</v>
      </c>
      <c r="D3382" s="120" t="s">
        <v>478</v>
      </c>
      <c r="E3382" s="33" t="s">
        <v>42</v>
      </c>
      <c r="F3382" s="18" t="s">
        <v>62</v>
      </c>
      <c r="G3382" s="18" t="s">
        <v>2179</v>
      </c>
      <c r="H3382" s="34" t="s">
        <v>85</v>
      </c>
      <c r="I3382" s="18" t="s">
        <v>105</v>
      </c>
      <c r="J3382" s="31" t="s">
        <v>105</v>
      </c>
      <c r="K3382" s="31"/>
      <c r="N3382" s="13" t="s">
        <v>30</v>
      </c>
      <c r="O3382" s="28" t="str">
        <f>IF(D3382="","",IF(COUNTIF(离职清单!C:C,D3382)&gt;0,"已离职","在职"))</f>
        <v>在职</v>
      </c>
      <c r="P3382" s="28" t="str">
        <f>IF(AND(O3382="在职",J3382="是"),COUNTIF(O$2:O3382,"在职"),"")</f>
        <v/>
      </c>
    </row>
    <row r="3383" ht="18" spans="1:16">
      <c r="A3383" s="14">
        <f t="shared" si="58"/>
        <v>3382</v>
      </c>
      <c r="B3383" s="31">
        <v>46185</v>
      </c>
      <c r="C3383" s="32" t="s">
        <v>3079</v>
      </c>
      <c r="D3383" s="120" t="s">
        <v>480</v>
      </c>
      <c r="E3383" s="33" t="s">
        <v>42</v>
      </c>
      <c r="F3383" s="18" t="s">
        <v>63</v>
      </c>
      <c r="G3383" s="18" t="s">
        <v>2181</v>
      </c>
      <c r="H3383" s="34" t="s">
        <v>85</v>
      </c>
      <c r="I3383" s="18" t="s">
        <v>2154</v>
      </c>
      <c r="J3383" s="31" t="s">
        <v>105</v>
      </c>
      <c r="K3383" s="31"/>
      <c r="N3383" s="13" t="s">
        <v>30</v>
      </c>
      <c r="O3383" s="28" t="str">
        <f>IF(D3383="","",IF(COUNTIF(离职清单!C:C,D3383)&gt;0,"已离职","在职"))</f>
        <v>在职</v>
      </c>
      <c r="P3383" s="28" t="str">
        <f>IF(AND(O3383="在职",J3383="是"),COUNTIF(O$2:O3383,"在职"),"")</f>
        <v/>
      </c>
    </row>
    <row r="3384" ht="18" spans="1:16">
      <c r="A3384" s="10">
        <f t="shared" si="58"/>
        <v>3383</v>
      </c>
      <c r="B3384" s="31">
        <v>46185</v>
      </c>
      <c r="C3384" s="32" t="s">
        <v>3080</v>
      </c>
      <c r="D3384" s="120" t="s">
        <v>482</v>
      </c>
      <c r="E3384" s="33" t="s">
        <v>42</v>
      </c>
      <c r="F3384" s="18" t="s">
        <v>62</v>
      </c>
      <c r="G3384" s="18" t="s">
        <v>2181</v>
      </c>
      <c r="H3384" s="34" t="s">
        <v>85</v>
      </c>
      <c r="I3384" s="18" t="s">
        <v>114</v>
      </c>
      <c r="J3384" s="31" t="s">
        <v>114</v>
      </c>
      <c r="K3384" s="31">
        <v>46186</v>
      </c>
      <c r="N3384" s="13" t="s">
        <v>30</v>
      </c>
      <c r="O3384" s="28" t="str">
        <f>IF(D3384="","",IF(COUNTIF(离职清单!C:C,D3384)&gt;0,"已离职","在职"))</f>
        <v>在职</v>
      </c>
      <c r="P3384" s="28">
        <f>IF(AND(O3384="在职",J3384="是"),COUNTIF(O$2:O3384,"在职"),"")</f>
        <v>3377</v>
      </c>
    </row>
    <row r="3385" ht="18" spans="1:16">
      <c r="A3385" s="14">
        <f t="shared" si="58"/>
        <v>3384</v>
      </c>
      <c r="B3385" s="31">
        <v>46185</v>
      </c>
      <c r="C3385" s="32" t="s">
        <v>2989</v>
      </c>
      <c r="D3385" s="120" t="s">
        <v>484</v>
      </c>
      <c r="E3385" s="33" t="s">
        <v>42</v>
      </c>
      <c r="F3385" s="18" t="s">
        <v>63</v>
      </c>
      <c r="G3385" s="18" t="s">
        <v>2181</v>
      </c>
      <c r="H3385" s="34" t="s">
        <v>85</v>
      </c>
      <c r="I3385" s="18" t="s">
        <v>105</v>
      </c>
      <c r="J3385" s="31" t="s">
        <v>105</v>
      </c>
      <c r="K3385" s="31"/>
      <c r="N3385" s="13" t="s">
        <v>30</v>
      </c>
      <c r="O3385" s="28" t="str">
        <f>IF(D3385="","",IF(COUNTIF(离职清单!C:C,D3385)&gt;0,"已离职","在职"))</f>
        <v>在职</v>
      </c>
      <c r="P3385" s="28" t="str">
        <f>IF(AND(O3385="在职",J3385="是"),COUNTIF(O$2:O3385,"在职"),"")</f>
        <v/>
      </c>
    </row>
    <row r="3386" ht="18" spans="1:16">
      <c r="A3386" s="10">
        <f t="shared" si="58"/>
        <v>3385</v>
      </c>
      <c r="B3386" s="31">
        <v>46185</v>
      </c>
      <c r="C3386" s="32" t="s">
        <v>3081</v>
      </c>
      <c r="D3386" s="120" t="s">
        <v>486</v>
      </c>
      <c r="E3386" s="33" t="s">
        <v>42</v>
      </c>
      <c r="F3386" s="18" t="s">
        <v>63</v>
      </c>
      <c r="G3386" s="18" t="s">
        <v>2181</v>
      </c>
      <c r="H3386" s="34" t="s">
        <v>85</v>
      </c>
      <c r="I3386" s="18" t="s">
        <v>114</v>
      </c>
      <c r="J3386" s="31" t="s">
        <v>114</v>
      </c>
      <c r="K3386" s="31">
        <v>46187</v>
      </c>
      <c r="N3386" s="13" t="s">
        <v>30</v>
      </c>
      <c r="O3386" s="28" t="str">
        <f>IF(D3386="","",IF(COUNTIF(离职清单!C:C,D3386)&gt;0,"已离职","在职"))</f>
        <v>在职</v>
      </c>
      <c r="P3386" s="28">
        <f>IF(AND(O3386="在职",J3386="是"),COUNTIF(O$2:O3386,"在职"),"")</f>
        <v>3379</v>
      </c>
    </row>
    <row r="3387" ht="18" spans="1:16">
      <c r="A3387" s="14">
        <f t="shared" si="58"/>
        <v>3386</v>
      </c>
      <c r="B3387" s="31">
        <v>46185</v>
      </c>
      <c r="C3387" s="32" t="s">
        <v>3082</v>
      </c>
      <c r="D3387" s="120" t="s">
        <v>488</v>
      </c>
      <c r="E3387" s="33" t="s">
        <v>42</v>
      </c>
      <c r="F3387" s="18" t="s">
        <v>62</v>
      </c>
      <c r="G3387" s="18" t="s">
        <v>2221</v>
      </c>
      <c r="H3387" s="34" t="s">
        <v>85</v>
      </c>
      <c r="I3387" s="18" t="s">
        <v>105</v>
      </c>
      <c r="J3387" s="31" t="s">
        <v>105</v>
      </c>
      <c r="K3387" s="31"/>
      <c r="N3387" s="13" t="s">
        <v>30</v>
      </c>
      <c r="O3387" s="28" t="str">
        <f>IF(D3387="","",IF(COUNTIF(离职清单!C:C,D3387)&gt;0,"已离职","在职"))</f>
        <v>在职</v>
      </c>
      <c r="P3387" s="28" t="str">
        <f>IF(AND(O3387="在职",J3387="是"),COUNTIF(O$2:O3387,"在职"),"")</f>
        <v/>
      </c>
    </row>
    <row r="3388" ht="18" spans="1:16">
      <c r="A3388" s="10">
        <f t="shared" si="58"/>
        <v>3387</v>
      </c>
      <c r="B3388" s="31">
        <v>46185</v>
      </c>
      <c r="C3388" s="32" t="s">
        <v>3083</v>
      </c>
      <c r="D3388" s="120" t="s">
        <v>490</v>
      </c>
      <c r="E3388" s="33" t="s">
        <v>42</v>
      </c>
      <c r="F3388" s="18" t="s">
        <v>63</v>
      </c>
      <c r="G3388" s="18" t="s">
        <v>1056</v>
      </c>
      <c r="H3388" s="34" t="s">
        <v>85</v>
      </c>
      <c r="I3388" s="18" t="s">
        <v>2154</v>
      </c>
      <c r="J3388" s="31" t="s">
        <v>105</v>
      </c>
      <c r="K3388" s="31"/>
      <c r="N3388" s="13" t="s">
        <v>30</v>
      </c>
      <c r="O3388" s="28" t="str">
        <f>IF(D3388="","",IF(COUNTIF(离职清单!C:C,D3388)&gt;0,"已离职","在职"))</f>
        <v>在职</v>
      </c>
      <c r="P3388" s="28" t="str">
        <f>IF(AND(O3388="在职",J3388="是"),COUNTIF(O$2:O3388,"在职"),"")</f>
        <v/>
      </c>
    </row>
    <row r="3389" ht="18" spans="1:16">
      <c r="A3389" s="14">
        <f t="shared" si="58"/>
        <v>3388</v>
      </c>
      <c r="B3389" s="31">
        <v>46185</v>
      </c>
      <c r="C3389" s="32" t="s">
        <v>3057</v>
      </c>
      <c r="D3389" s="120" t="s">
        <v>492</v>
      </c>
      <c r="E3389" s="33" t="s">
        <v>42</v>
      </c>
      <c r="F3389" s="18" t="s">
        <v>63</v>
      </c>
      <c r="G3389" s="18" t="s">
        <v>1056</v>
      </c>
      <c r="H3389" s="34" t="s">
        <v>85</v>
      </c>
      <c r="I3389" s="18" t="s">
        <v>105</v>
      </c>
      <c r="J3389" s="31" t="s">
        <v>105</v>
      </c>
      <c r="K3389" s="31"/>
      <c r="N3389" s="13" t="s">
        <v>30</v>
      </c>
      <c r="O3389" s="28" t="str">
        <f>IF(D3389="","",IF(COUNTIF(离职清单!C:C,D3389)&gt;0,"已离职","在职"))</f>
        <v>在职</v>
      </c>
      <c r="P3389" s="28" t="str">
        <f>IF(AND(O3389="在职",J3389="是"),COUNTIF(O$2:O3389,"在职"),"")</f>
        <v/>
      </c>
    </row>
    <row r="3390" ht="18" spans="1:16">
      <c r="A3390" s="10">
        <f t="shared" si="58"/>
        <v>3389</v>
      </c>
      <c r="B3390" s="31">
        <v>46185</v>
      </c>
      <c r="C3390" s="32" t="s">
        <v>2852</v>
      </c>
      <c r="D3390" s="120" t="s">
        <v>477</v>
      </c>
      <c r="E3390" s="33" t="s">
        <v>42</v>
      </c>
      <c r="F3390" s="18" t="s">
        <v>63</v>
      </c>
      <c r="G3390" s="18" t="s">
        <v>1056</v>
      </c>
      <c r="H3390" s="34" t="s">
        <v>85</v>
      </c>
      <c r="I3390" s="18" t="s">
        <v>105</v>
      </c>
      <c r="J3390" s="31" t="s">
        <v>105</v>
      </c>
      <c r="K3390" s="31"/>
      <c r="N3390" s="13" t="s">
        <v>30</v>
      </c>
      <c r="O3390" s="28" t="str">
        <f>IF(D3390="","",IF(COUNTIF(离职清单!C:C,D3390)&gt;0,"已离职","在职"))</f>
        <v>在职</v>
      </c>
      <c r="P3390" s="28" t="str">
        <f>IF(AND(O3390="在职",J3390="是"),COUNTIF(O$2:O3390,"在职"),"")</f>
        <v/>
      </c>
    </row>
    <row r="3391" ht="18" spans="1:16">
      <c r="A3391" s="14">
        <f t="shared" si="58"/>
        <v>3390</v>
      </c>
      <c r="B3391" s="31">
        <v>46185</v>
      </c>
      <c r="C3391" s="32" t="s">
        <v>3084</v>
      </c>
      <c r="D3391" s="120" t="s">
        <v>478</v>
      </c>
      <c r="E3391" s="33" t="s">
        <v>42</v>
      </c>
      <c r="F3391" s="18" t="s">
        <v>63</v>
      </c>
      <c r="G3391" s="18" t="s">
        <v>1056</v>
      </c>
      <c r="H3391" s="34" t="s">
        <v>85</v>
      </c>
      <c r="I3391" s="18" t="s">
        <v>105</v>
      </c>
      <c r="J3391" s="31" t="s">
        <v>105</v>
      </c>
      <c r="K3391" s="31"/>
      <c r="N3391" s="13" t="s">
        <v>30</v>
      </c>
      <c r="O3391" s="28" t="str">
        <f>IF(D3391="","",IF(COUNTIF(离职清单!C:C,D3391)&gt;0,"已离职","在职"))</f>
        <v>在职</v>
      </c>
      <c r="P3391" s="28" t="str">
        <f>IF(AND(O3391="在职",J3391="是"),COUNTIF(O$2:O3391,"在职"),"")</f>
        <v/>
      </c>
    </row>
    <row r="3392" ht="18" spans="1:16">
      <c r="A3392" s="10">
        <f t="shared" si="58"/>
        <v>3391</v>
      </c>
      <c r="B3392" s="31">
        <v>46185</v>
      </c>
      <c r="C3392" s="32" t="s">
        <v>3085</v>
      </c>
      <c r="D3392" s="120" t="s">
        <v>480</v>
      </c>
      <c r="E3392" s="33" t="s">
        <v>42</v>
      </c>
      <c r="F3392" s="18" t="s">
        <v>62</v>
      </c>
      <c r="G3392" s="18" t="s">
        <v>1056</v>
      </c>
      <c r="H3392" s="34" t="s">
        <v>85</v>
      </c>
      <c r="I3392" s="18" t="s">
        <v>114</v>
      </c>
      <c r="J3392" s="31" t="s">
        <v>105</v>
      </c>
      <c r="K3392" s="31"/>
      <c r="N3392" s="13" t="s">
        <v>30</v>
      </c>
      <c r="O3392" s="28" t="str">
        <f>IF(D3392="","",IF(COUNTIF(离职清单!C:C,D3392)&gt;0,"已离职","在职"))</f>
        <v>在职</v>
      </c>
      <c r="P3392" s="28" t="str">
        <f>IF(AND(O3392="在职",J3392="是"),COUNTIF(O$2:O3392,"在职"),"")</f>
        <v/>
      </c>
    </row>
    <row r="3393" ht="18" spans="1:16">
      <c r="A3393" s="14">
        <f t="shared" si="58"/>
        <v>3392</v>
      </c>
      <c r="B3393" s="31">
        <v>46185</v>
      </c>
      <c r="C3393" s="32" t="s">
        <v>3086</v>
      </c>
      <c r="D3393" s="120" t="s">
        <v>482</v>
      </c>
      <c r="E3393" s="33" t="s">
        <v>42</v>
      </c>
      <c r="F3393" s="18" t="s">
        <v>63</v>
      </c>
      <c r="G3393" s="18" t="s">
        <v>1056</v>
      </c>
      <c r="H3393" s="34" t="s">
        <v>85</v>
      </c>
      <c r="I3393" s="18" t="s">
        <v>2154</v>
      </c>
      <c r="J3393" s="31" t="s">
        <v>105</v>
      </c>
      <c r="K3393" s="31"/>
      <c r="N3393" s="13" t="s">
        <v>30</v>
      </c>
      <c r="O3393" s="28" t="str">
        <f>IF(D3393="","",IF(COUNTIF(离职清单!C:C,D3393)&gt;0,"已离职","在职"))</f>
        <v>在职</v>
      </c>
      <c r="P3393" s="28" t="str">
        <f>IF(AND(O3393="在职",J3393="是"),COUNTIF(O$2:O3393,"在职"),"")</f>
        <v/>
      </c>
    </row>
    <row r="3394" ht="18" spans="1:16">
      <c r="A3394" s="10">
        <f t="shared" si="58"/>
        <v>3393</v>
      </c>
      <c r="B3394" s="31">
        <v>46185</v>
      </c>
      <c r="C3394" s="32" t="s">
        <v>3087</v>
      </c>
      <c r="D3394" s="120" t="s">
        <v>484</v>
      </c>
      <c r="E3394" s="33" t="s">
        <v>42</v>
      </c>
      <c r="F3394" s="18" t="s">
        <v>62</v>
      </c>
      <c r="G3394" s="18" t="s">
        <v>1056</v>
      </c>
      <c r="H3394" s="34" t="s">
        <v>85</v>
      </c>
      <c r="I3394" s="18" t="s">
        <v>105</v>
      </c>
      <c r="J3394" s="31" t="s">
        <v>105</v>
      </c>
      <c r="K3394" s="31"/>
      <c r="N3394" s="13" t="s">
        <v>30</v>
      </c>
      <c r="O3394" s="28" t="str">
        <f>IF(D3394="","",IF(COUNTIF(离职清单!C:C,D3394)&gt;0,"已离职","在职"))</f>
        <v>在职</v>
      </c>
      <c r="P3394" s="28" t="str">
        <f>IF(AND(O3394="在职",J3394="是"),COUNTIF(O$2:O3394,"在职"),"")</f>
        <v/>
      </c>
    </row>
    <row r="3395" ht="18" spans="1:16">
      <c r="A3395" s="14">
        <f t="shared" si="58"/>
        <v>3394</v>
      </c>
      <c r="B3395" s="31">
        <v>46185</v>
      </c>
      <c r="C3395" s="32" t="s">
        <v>2928</v>
      </c>
      <c r="D3395" s="120" t="s">
        <v>486</v>
      </c>
      <c r="E3395" s="33" t="s">
        <v>42</v>
      </c>
      <c r="F3395" s="18" t="s">
        <v>63</v>
      </c>
      <c r="G3395" s="18" t="s">
        <v>2164</v>
      </c>
      <c r="H3395" s="34" t="s">
        <v>85</v>
      </c>
      <c r="I3395" s="18" t="s">
        <v>105</v>
      </c>
      <c r="J3395" s="31" t="s">
        <v>105</v>
      </c>
      <c r="K3395" s="31"/>
      <c r="N3395" s="13" t="s">
        <v>30</v>
      </c>
      <c r="O3395" s="28" t="str">
        <f>IF(D3395="","",IF(COUNTIF(离职清单!C:C,D3395)&gt;0,"已离职","在职"))</f>
        <v>在职</v>
      </c>
      <c r="P3395" s="28" t="str">
        <f>IF(AND(O3395="在职",J3395="是"),COUNTIF(O$2:O3395,"在职"),"")</f>
        <v/>
      </c>
    </row>
    <row r="3396" ht="18" spans="1:16">
      <c r="A3396" s="10">
        <f t="shared" si="58"/>
        <v>3395</v>
      </c>
      <c r="B3396" s="31">
        <v>46185</v>
      </c>
      <c r="C3396" s="32" t="s">
        <v>3088</v>
      </c>
      <c r="D3396" s="120" t="s">
        <v>488</v>
      </c>
      <c r="E3396" s="33" t="s">
        <v>42</v>
      </c>
      <c r="F3396" s="18" t="s">
        <v>62</v>
      </c>
      <c r="G3396" s="18" t="s">
        <v>2164</v>
      </c>
      <c r="H3396" s="34" t="s">
        <v>85</v>
      </c>
      <c r="I3396" s="18" t="s">
        <v>114</v>
      </c>
      <c r="J3396" s="31" t="s">
        <v>105</v>
      </c>
      <c r="K3396" s="31"/>
      <c r="N3396" s="13" t="s">
        <v>30</v>
      </c>
      <c r="O3396" s="28" t="str">
        <f>IF(D3396="","",IF(COUNTIF(离职清单!C:C,D3396)&gt;0,"已离职","在职"))</f>
        <v>在职</v>
      </c>
      <c r="P3396" s="28" t="str">
        <f>IF(AND(O3396="在职",J3396="是"),COUNTIF(O$2:O3396,"在职"),"")</f>
        <v/>
      </c>
    </row>
    <row r="3397" ht="18" spans="1:16">
      <c r="A3397" s="14">
        <f t="shared" si="58"/>
        <v>3396</v>
      </c>
      <c r="B3397" s="31">
        <v>46185</v>
      </c>
      <c r="C3397" s="32" t="s">
        <v>3089</v>
      </c>
      <c r="D3397" s="120" t="s">
        <v>490</v>
      </c>
      <c r="E3397" s="33" t="s">
        <v>42</v>
      </c>
      <c r="F3397" s="18" t="s">
        <v>63</v>
      </c>
      <c r="G3397" s="18" t="s">
        <v>2164</v>
      </c>
      <c r="H3397" s="34" t="s">
        <v>85</v>
      </c>
      <c r="I3397" s="18" t="s">
        <v>105</v>
      </c>
      <c r="J3397" s="31" t="s">
        <v>105</v>
      </c>
      <c r="K3397" s="31"/>
      <c r="N3397" s="13" t="s">
        <v>30</v>
      </c>
      <c r="O3397" s="28" t="str">
        <f>IF(D3397="","",IF(COUNTIF(离职清单!C:C,D3397)&gt;0,"已离职","在职"))</f>
        <v>在职</v>
      </c>
      <c r="P3397" s="28" t="str">
        <f>IF(AND(O3397="在职",J3397="是"),COUNTIF(O$2:O3397,"在职"),"")</f>
        <v/>
      </c>
    </row>
    <row r="3398" ht="18" spans="1:16">
      <c r="A3398" s="10">
        <f t="shared" si="58"/>
        <v>3397</v>
      </c>
      <c r="B3398" s="31">
        <v>46185</v>
      </c>
      <c r="C3398" s="32" t="s">
        <v>2765</v>
      </c>
      <c r="D3398" s="120" t="s">
        <v>492</v>
      </c>
      <c r="E3398" s="33" t="s">
        <v>42</v>
      </c>
      <c r="F3398" s="18" t="s">
        <v>63</v>
      </c>
      <c r="G3398" s="18" t="s">
        <v>2164</v>
      </c>
      <c r="H3398" s="34" t="s">
        <v>85</v>
      </c>
      <c r="I3398" s="18" t="s">
        <v>2154</v>
      </c>
      <c r="J3398" s="31" t="s">
        <v>105</v>
      </c>
      <c r="K3398" s="31"/>
      <c r="N3398" s="13" t="s">
        <v>30</v>
      </c>
      <c r="O3398" s="28" t="str">
        <f>IF(D3398="","",IF(COUNTIF(离职清单!C:C,D3398)&gt;0,"已离职","在职"))</f>
        <v>在职</v>
      </c>
      <c r="P3398" s="28" t="str">
        <f>IF(AND(O3398="在职",J3398="是"),COUNTIF(O$2:O3398,"在职"),"")</f>
        <v/>
      </c>
    </row>
    <row r="3399" ht="18" spans="1:16">
      <c r="A3399" s="14">
        <f t="shared" si="58"/>
        <v>3398</v>
      </c>
      <c r="B3399" s="31">
        <v>46185</v>
      </c>
      <c r="C3399" s="32" t="s">
        <v>3090</v>
      </c>
      <c r="D3399" s="120" t="s">
        <v>477</v>
      </c>
      <c r="E3399" s="33" t="s">
        <v>42</v>
      </c>
      <c r="F3399" s="18" t="s">
        <v>63</v>
      </c>
      <c r="G3399" s="18" t="s">
        <v>2164</v>
      </c>
      <c r="H3399" s="34" t="s">
        <v>85</v>
      </c>
      <c r="I3399" s="18" t="s">
        <v>2154</v>
      </c>
      <c r="J3399" s="31" t="s">
        <v>105</v>
      </c>
      <c r="K3399" s="31"/>
      <c r="N3399" s="13" t="s">
        <v>30</v>
      </c>
      <c r="O3399" s="28" t="str">
        <f>IF(D3399="","",IF(COUNTIF(离职清单!C:C,D3399)&gt;0,"已离职","在职"))</f>
        <v>在职</v>
      </c>
      <c r="P3399" s="28" t="str">
        <f>IF(AND(O3399="在职",J3399="是"),COUNTIF(O$2:O3399,"在职"),"")</f>
        <v/>
      </c>
    </row>
    <row r="3400" ht="18" spans="1:16">
      <c r="A3400" s="10">
        <f t="shared" si="58"/>
        <v>3399</v>
      </c>
      <c r="B3400" s="31">
        <v>46186</v>
      </c>
      <c r="C3400" s="32" t="s">
        <v>2748</v>
      </c>
      <c r="D3400" s="120" t="s">
        <v>478</v>
      </c>
      <c r="E3400" s="33" t="s">
        <v>42</v>
      </c>
      <c r="F3400" s="18" t="s">
        <v>62</v>
      </c>
      <c r="G3400" s="18" t="s">
        <v>2156</v>
      </c>
      <c r="H3400" s="34" t="s">
        <v>85</v>
      </c>
      <c r="I3400" s="18" t="s">
        <v>2154</v>
      </c>
      <c r="J3400" s="31" t="s">
        <v>105</v>
      </c>
      <c r="K3400" s="31"/>
      <c r="N3400" s="13" t="s">
        <v>30</v>
      </c>
      <c r="O3400" s="28" t="str">
        <f>IF(D3400="","",IF(COUNTIF(离职清单!C:C,D3400)&gt;0,"已离职","在职"))</f>
        <v>在职</v>
      </c>
      <c r="P3400" s="28" t="str">
        <f>IF(AND(O3400="在职",J3400="是"),COUNTIF(O$2:O3400,"在职"),"")</f>
        <v/>
      </c>
    </row>
    <row r="3401" ht="18" spans="1:16">
      <c r="A3401" s="14">
        <f t="shared" si="58"/>
        <v>3400</v>
      </c>
      <c r="B3401" s="31">
        <v>46186</v>
      </c>
      <c r="C3401" s="32" t="s">
        <v>3091</v>
      </c>
      <c r="D3401" s="120" t="s">
        <v>480</v>
      </c>
      <c r="E3401" s="33" t="s">
        <v>42</v>
      </c>
      <c r="F3401" s="18" t="s">
        <v>62</v>
      </c>
      <c r="G3401" s="18" t="s">
        <v>2156</v>
      </c>
      <c r="H3401" s="34" t="s">
        <v>85</v>
      </c>
      <c r="I3401" s="18" t="s">
        <v>2154</v>
      </c>
      <c r="J3401" s="31" t="s">
        <v>105</v>
      </c>
      <c r="K3401" s="31"/>
      <c r="N3401" s="13" t="s">
        <v>30</v>
      </c>
      <c r="O3401" s="28" t="str">
        <f>IF(D3401="","",IF(COUNTIF(离职清单!C:C,D3401)&gt;0,"已离职","在职"))</f>
        <v>在职</v>
      </c>
      <c r="P3401" s="28" t="str">
        <f>IF(AND(O3401="在职",J3401="是"),COUNTIF(O$2:O3401,"在职"),"")</f>
        <v/>
      </c>
    </row>
    <row r="3402" ht="18" spans="1:16">
      <c r="A3402" s="10">
        <f t="shared" si="58"/>
        <v>3401</v>
      </c>
      <c r="B3402" s="31">
        <v>46186</v>
      </c>
      <c r="C3402" s="32" t="s">
        <v>3092</v>
      </c>
      <c r="D3402" s="120" t="s">
        <v>482</v>
      </c>
      <c r="E3402" s="33" t="s">
        <v>42</v>
      </c>
      <c r="F3402" s="18" t="s">
        <v>63</v>
      </c>
      <c r="G3402" s="18" t="s">
        <v>2156</v>
      </c>
      <c r="H3402" s="34" t="s">
        <v>85</v>
      </c>
      <c r="I3402" s="18" t="s">
        <v>2154</v>
      </c>
      <c r="J3402" s="31" t="s">
        <v>105</v>
      </c>
      <c r="K3402" s="31"/>
      <c r="N3402" s="13" t="s">
        <v>30</v>
      </c>
      <c r="O3402" s="28" t="str">
        <f>IF(D3402="","",IF(COUNTIF(离职清单!C:C,D3402)&gt;0,"已离职","在职"))</f>
        <v>在职</v>
      </c>
      <c r="P3402" s="28" t="str">
        <f>IF(AND(O3402="在职",J3402="是"),COUNTIF(O$2:O3402,"在职"),"")</f>
        <v/>
      </c>
    </row>
    <row r="3403" ht="18" spans="1:16">
      <c r="A3403" s="14">
        <f t="shared" si="58"/>
        <v>3402</v>
      </c>
      <c r="B3403" s="31">
        <v>46186</v>
      </c>
      <c r="C3403" s="32" t="s">
        <v>3093</v>
      </c>
      <c r="D3403" s="120" t="s">
        <v>484</v>
      </c>
      <c r="E3403" s="33" t="s">
        <v>42</v>
      </c>
      <c r="F3403" s="18" t="s">
        <v>62</v>
      </c>
      <c r="G3403" s="18" t="s">
        <v>103</v>
      </c>
      <c r="H3403" s="34" t="s">
        <v>85</v>
      </c>
      <c r="I3403" s="18" t="s">
        <v>2154</v>
      </c>
      <c r="J3403" s="31" t="s">
        <v>105</v>
      </c>
      <c r="K3403" s="31"/>
      <c r="N3403" s="13" t="s">
        <v>30</v>
      </c>
      <c r="O3403" s="28" t="str">
        <f>IF(D3403="","",IF(COUNTIF(离职清单!C:C,D3403)&gt;0,"已离职","在职"))</f>
        <v>在职</v>
      </c>
      <c r="P3403" s="28" t="str">
        <f>IF(AND(O3403="在职",J3403="是"),COUNTIF(O$2:O3403,"在职"),"")</f>
        <v/>
      </c>
    </row>
    <row r="3404" ht="18" spans="1:16">
      <c r="A3404" s="10">
        <f t="shared" si="58"/>
        <v>3403</v>
      </c>
      <c r="B3404" s="31">
        <v>46186</v>
      </c>
      <c r="C3404" s="32" t="s">
        <v>3094</v>
      </c>
      <c r="D3404" s="120" t="s">
        <v>486</v>
      </c>
      <c r="E3404" s="33" t="s">
        <v>42</v>
      </c>
      <c r="F3404" s="18" t="s">
        <v>63</v>
      </c>
      <c r="G3404" s="18" t="s">
        <v>2153</v>
      </c>
      <c r="H3404" s="34" t="s">
        <v>85</v>
      </c>
      <c r="I3404" s="18" t="s">
        <v>2154</v>
      </c>
      <c r="J3404" s="31" t="s">
        <v>105</v>
      </c>
      <c r="K3404" s="31"/>
      <c r="N3404" s="13" t="s">
        <v>30</v>
      </c>
      <c r="O3404" s="28" t="str">
        <f>IF(D3404="","",IF(COUNTIF(离职清单!C:C,D3404)&gt;0,"已离职","在职"))</f>
        <v>在职</v>
      </c>
      <c r="P3404" s="28" t="str">
        <f>IF(AND(O3404="在职",J3404="是"),COUNTIF(O$2:O3404,"在职"),"")</f>
        <v/>
      </c>
    </row>
    <row r="3405" ht="18" spans="1:16">
      <c r="A3405" s="14">
        <f t="shared" si="58"/>
        <v>3404</v>
      </c>
      <c r="B3405" s="31">
        <v>46186</v>
      </c>
      <c r="C3405" s="32" t="s">
        <v>3095</v>
      </c>
      <c r="D3405" s="120" t="s">
        <v>488</v>
      </c>
      <c r="E3405" s="33" t="s">
        <v>42</v>
      </c>
      <c r="F3405" s="18" t="s">
        <v>63</v>
      </c>
      <c r="G3405" s="18" t="s">
        <v>2166</v>
      </c>
      <c r="H3405" s="34" t="s">
        <v>86</v>
      </c>
      <c r="I3405" s="18" t="s">
        <v>2154</v>
      </c>
      <c r="J3405" s="31" t="s">
        <v>105</v>
      </c>
      <c r="K3405" s="31"/>
      <c r="N3405" s="13" t="s">
        <v>30</v>
      </c>
      <c r="O3405" s="28" t="str">
        <f>IF(D3405="","",IF(COUNTIF(离职清单!C:C,D3405)&gt;0,"已离职","在职"))</f>
        <v>在职</v>
      </c>
      <c r="P3405" s="28" t="str">
        <f>IF(AND(O3405="在职",J3405="是"),COUNTIF(O$2:O3405,"在职"),"")</f>
        <v/>
      </c>
    </row>
    <row r="3406" ht="18" spans="1:16">
      <c r="A3406" s="10">
        <f t="shared" si="58"/>
        <v>3405</v>
      </c>
      <c r="B3406" s="31">
        <v>46186</v>
      </c>
      <c r="C3406" s="32" t="s">
        <v>1293</v>
      </c>
      <c r="D3406" s="120" t="s">
        <v>490</v>
      </c>
      <c r="E3406" s="33" t="s">
        <v>42</v>
      </c>
      <c r="F3406" s="18" t="s">
        <v>63</v>
      </c>
      <c r="G3406" s="18" t="s">
        <v>2166</v>
      </c>
      <c r="H3406" s="34" t="s">
        <v>86</v>
      </c>
      <c r="I3406" s="18" t="s">
        <v>2154</v>
      </c>
      <c r="J3406" s="31" t="s">
        <v>105</v>
      </c>
      <c r="K3406" s="31"/>
      <c r="N3406" s="13" t="s">
        <v>30</v>
      </c>
      <c r="O3406" s="28" t="str">
        <f>IF(D3406="","",IF(COUNTIF(离职清单!C:C,D3406)&gt;0,"已离职","在职"))</f>
        <v>在职</v>
      </c>
      <c r="P3406" s="28" t="str">
        <f>IF(AND(O3406="在职",J3406="是"),COUNTIF(O$2:O3406,"在职"),"")</f>
        <v/>
      </c>
    </row>
    <row r="3407" ht="18" spans="1:16">
      <c r="A3407" s="14">
        <f t="shared" si="58"/>
        <v>3406</v>
      </c>
      <c r="B3407" s="31">
        <v>46186</v>
      </c>
      <c r="C3407" s="32" t="s">
        <v>3096</v>
      </c>
      <c r="D3407" s="120" t="s">
        <v>492</v>
      </c>
      <c r="E3407" s="33" t="s">
        <v>42</v>
      </c>
      <c r="F3407" s="18" t="s">
        <v>63</v>
      </c>
      <c r="G3407" s="18" t="s">
        <v>2166</v>
      </c>
      <c r="H3407" s="34" t="s">
        <v>86</v>
      </c>
      <c r="I3407" s="18" t="s">
        <v>2154</v>
      </c>
      <c r="J3407" s="31" t="s">
        <v>105</v>
      </c>
      <c r="K3407" s="31"/>
      <c r="N3407" s="13" t="s">
        <v>30</v>
      </c>
      <c r="O3407" s="28" t="str">
        <f>IF(D3407="","",IF(COUNTIF(离职清单!C:C,D3407)&gt;0,"已离职","在职"))</f>
        <v>在职</v>
      </c>
      <c r="P3407" s="28" t="str">
        <f>IF(AND(O3407="在职",J3407="是"),COUNTIF(O$2:O3407,"在职"),"")</f>
        <v/>
      </c>
    </row>
    <row r="3408" ht="18" spans="1:16">
      <c r="A3408" s="10">
        <f t="shared" si="58"/>
        <v>3407</v>
      </c>
      <c r="B3408" s="31">
        <v>46186</v>
      </c>
      <c r="C3408" s="32" t="s">
        <v>3097</v>
      </c>
      <c r="D3408" s="120" t="s">
        <v>477</v>
      </c>
      <c r="E3408" s="33" t="s">
        <v>42</v>
      </c>
      <c r="F3408" s="18" t="s">
        <v>63</v>
      </c>
      <c r="G3408" s="18" t="s">
        <v>2166</v>
      </c>
      <c r="H3408" s="34" t="s">
        <v>86</v>
      </c>
      <c r="I3408" s="18" t="s">
        <v>2154</v>
      </c>
      <c r="J3408" s="31" t="s">
        <v>105</v>
      </c>
      <c r="K3408" s="31"/>
      <c r="N3408" s="13" t="s">
        <v>30</v>
      </c>
      <c r="O3408" s="28" t="str">
        <f>IF(D3408="","",IF(COUNTIF(离职清单!C:C,D3408)&gt;0,"已离职","在职"))</f>
        <v>在职</v>
      </c>
      <c r="P3408" s="28" t="str">
        <f>IF(AND(O3408="在职",J3408="是"),COUNTIF(O$2:O3408,"在职"),"")</f>
        <v/>
      </c>
    </row>
    <row r="3409" ht="18" spans="1:16">
      <c r="A3409" s="14">
        <f t="shared" si="58"/>
        <v>3408</v>
      </c>
      <c r="B3409" s="31">
        <v>46186</v>
      </c>
      <c r="C3409" s="32" t="s">
        <v>3098</v>
      </c>
      <c r="D3409" s="120" t="s">
        <v>478</v>
      </c>
      <c r="E3409" s="33" t="s">
        <v>42</v>
      </c>
      <c r="F3409" s="18" t="s">
        <v>63</v>
      </c>
      <c r="G3409" s="18" t="s">
        <v>2166</v>
      </c>
      <c r="H3409" s="34" t="s">
        <v>86</v>
      </c>
      <c r="I3409" s="18" t="s">
        <v>114</v>
      </c>
      <c r="J3409" s="31" t="s">
        <v>114</v>
      </c>
      <c r="K3409" s="31">
        <v>46186</v>
      </c>
      <c r="N3409" s="13" t="s">
        <v>30</v>
      </c>
      <c r="O3409" s="28" t="str">
        <f>IF(D3409="","",IF(COUNTIF(离职清单!C:C,D3409)&gt;0,"已离职","在职"))</f>
        <v>在职</v>
      </c>
      <c r="P3409" s="28">
        <f>IF(AND(O3409="在职",J3409="是"),COUNTIF(O$2:O3409,"在职"),"")</f>
        <v>3402</v>
      </c>
    </row>
    <row r="3410" ht="18" spans="1:16">
      <c r="A3410" s="10">
        <f t="shared" si="58"/>
        <v>3409</v>
      </c>
      <c r="B3410" s="31">
        <v>46186</v>
      </c>
      <c r="C3410" s="32" t="s">
        <v>3099</v>
      </c>
      <c r="D3410" s="120" t="s">
        <v>480</v>
      </c>
      <c r="E3410" s="33" t="s">
        <v>42</v>
      </c>
      <c r="F3410" s="18" t="s">
        <v>63</v>
      </c>
      <c r="G3410" s="18" t="s">
        <v>2166</v>
      </c>
      <c r="H3410" s="34" t="s">
        <v>86</v>
      </c>
      <c r="I3410" s="18" t="s">
        <v>114</v>
      </c>
      <c r="J3410" s="31" t="s">
        <v>114</v>
      </c>
      <c r="K3410" s="31">
        <v>46186</v>
      </c>
      <c r="N3410" s="13" t="s">
        <v>30</v>
      </c>
      <c r="O3410" s="28" t="str">
        <f>IF(D3410="","",IF(COUNTIF(离职清单!C:C,D3410)&gt;0,"已离职","在职"))</f>
        <v>在职</v>
      </c>
      <c r="P3410" s="28">
        <f>IF(AND(O3410="在职",J3410="是"),COUNTIF(O$2:O3410,"在职"),"")</f>
        <v>3403</v>
      </c>
    </row>
    <row r="3411" ht="18" spans="1:16">
      <c r="A3411" s="14">
        <f t="shared" si="58"/>
        <v>3410</v>
      </c>
      <c r="B3411" s="31">
        <v>46186</v>
      </c>
      <c r="C3411" s="32" t="s">
        <v>3100</v>
      </c>
      <c r="D3411" s="120" t="s">
        <v>482</v>
      </c>
      <c r="E3411" s="33" t="s">
        <v>42</v>
      </c>
      <c r="F3411" s="18" t="s">
        <v>63</v>
      </c>
      <c r="G3411" s="18" t="s">
        <v>2166</v>
      </c>
      <c r="H3411" s="34" t="s">
        <v>86</v>
      </c>
      <c r="I3411" s="18" t="s">
        <v>114</v>
      </c>
      <c r="J3411" s="31" t="s">
        <v>114</v>
      </c>
      <c r="K3411" s="31">
        <v>46186</v>
      </c>
      <c r="N3411" s="13" t="s">
        <v>30</v>
      </c>
      <c r="O3411" s="28" t="str">
        <f>IF(D3411="","",IF(COUNTIF(离职清单!C:C,D3411)&gt;0,"已离职","在职"))</f>
        <v>在职</v>
      </c>
      <c r="P3411" s="28">
        <f>IF(AND(O3411="在职",J3411="是"),COUNTIF(O$2:O3411,"在职"),"")</f>
        <v>3404</v>
      </c>
    </row>
    <row r="3412" ht="18" spans="1:16">
      <c r="A3412" s="10">
        <f t="shared" si="58"/>
        <v>3411</v>
      </c>
      <c r="B3412" s="31">
        <v>46186</v>
      </c>
      <c r="C3412" s="32" t="s">
        <v>3101</v>
      </c>
      <c r="D3412" s="120" t="s">
        <v>484</v>
      </c>
      <c r="E3412" s="33" t="s">
        <v>42</v>
      </c>
      <c r="F3412" s="18" t="s">
        <v>63</v>
      </c>
      <c r="G3412" s="18" t="s">
        <v>1511</v>
      </c>
      <c r="H3412" s="34" t="s">
        <v>85</v>
      </c>
      <c r="I3412" s="18" t="s">
        <v>2154</v>
      </c>
      <c r="J3412" s="31" t="s">
        <v>105</v>
      </c>
      <c r="K3412" s="31"/>
      <c r="N3412" s="13" t="s">
        <v>30</v>
      </c>
      <c r="O3412" s="28" t="str">
        <f>IF(D3412="","",IF(COUNTIF(离职清单!C:C,D3412)&gt;0,"已离职","在职"))</f>
        <v>在职</v>
      </c>
      <c r="P3412" s="28" t="str">
        <f>IF(AND(O3412="在职",J3412="是"),COUNTIF(O$2:O3412,"在职"),"")</f>
        <v/>
      </c>
    </row>
    <row r="3413" ht="18" spans="1:16">
      <c r="A3413" s="14">
        <f t="shared" si="58"/>
        <v>3412</v>
      </c>
      <c r="B3413" s="31">
        <v>46186</v>
      </c>
      <c r="C3413" s="32" t="s">
        <v>3102</v>
      </c>
      <c r="D3413" s="120" t="s">
        <v>486</v>
      </c>
      <c r="E3413" s="33" t="s">
        <v>42</v>
      </c>
      <c r="F3413" s="18" t="s">
        <v>63</v>
      </c>
      <c r="G3413" s="18" t="s">
        <v>3103</v>
      </c>
      <c r="H3413" s="34" t="s">
        <v>85</v>
      </c>
      <c r="I3413" s="18" t="s">
        <v>114</v>
      </c>
      <c r="J3413" s="31" t="s">
        <v>105</v>
      </c>
      <c r="K3413" s="31"/>
      <c r="N3413" s="13" t="s">
        <v>30</v>
      </c>
      <c r="O3413" s="28" t="str">
        <f>IF(D3413="","",IF(COUNTIF(离职清单!C:C,D3413)&gt;0,"已离职","在职"))</f>
        <v>在职</v>
      </c>
      <c r="P3413" s="28" t="str">
        <f>IF(AND(O3413="在职",J3413="是"),COUNTIF(O$2:O3413,"在职"),"")</f>
        <v/>
      </c>
    </row>
    <row r="3414" ht="18" spans="1:16">
      <c r="A3414" s="10">
        <f t="shared" si="58"/>
        <v>3413</v>
      </c>
      <c r="B3414" s="31">
        <v>46186</v>
      </c>
      <c r="C3414" s="32" t="s">
        <v>3104</v>
      </c>
      <c r="D3414" s="120" t="s">
        <v>488</v>
      </c>
      <c r="E3414" s="33" t="s">
        <v>42</v>
      </c>
      <c r="F3414" s="18" t="s">
        <v>63</v>
      </c>
      <c r="G3414" s="18" t="s">
        <v>3103</v>
      </c>
      <c r="H3414" s="34" t="s">
        <v>85</v>
      </c>
      <c r="I3414" s="18" t="s">
        <v>114</v>
      </c>
      <c r="J3414" s="31" t="s">
        <v>105</v>
      </c>
      <c r="K3414" s="31"/>
      <c r="N3414" s="13" t="s">
        <v>30</v>
      </c>
      <c r="O3414" s="28" t="str">
        <f>IF(D3414="","",IF(COUNTIF(离职清单!C:C,D3414)&gt;0,"已离职","在职"))</f>
        <v>在职</v>
      </c>
      <c r="P3414" s="28" t="str">
        <f>IF(AND(O3414="在职",J3414="是"),COUNTIF(O$2:O3414,"在职"),"")</f>
        <v/>
      </c>
    </row>
    <row r="3415" ht="18" spans="1:16">
      <c r="A3415" s="14">
        <f t="shared" si="58"/>
        <v>3414</v>
      </c>
      <c r="B3415" s="31">
        <v>46186</v>
      </c>
      <c r="C3415" s="32" t="s">
        <v>3105</v>
      </c>
      <c r="D3415" s="120" t="s">
        <v>490</v>
      </c>
      <c r="E3415" s="33" t="s">
        <v>42</v>
      </c>
      <c r="F3415" s="18" t="s">
        <v>63</v>
      </c>
      <c r="G3415" s="18" t="s">
        <v>2153</v>
      </c>
      <c r="H3415" s="34" t="s">
        <v>85</v>
      </c>
      <c r="I3415" s="18" t="s">
        <v>114</v>
      </c>
      <c r="J3415" s="31" t="s">
        <v>105</v>
      </c>
      <c r="K3415" s="31"/>
      <c r="N3415" s="13" t="s">
        <v>30</v>
      </c>
      <c r="O3415" s="28" t="str">
        <f>IF(D3415="","",IF(COUNTIF(离职清单!C:C,D3415)&gt;0,"已离职","在职"))</f>
        <v>在职</v>
      </c>
      <c r="P3415" s="28" t="str">
        <f>IF(AND(O3415="在职",J3415="是"),COUNTIF(O$2:O3415,"在职"),"")</f>
        <v/>
      </c>
    </row>
    <row r="3416" ht="18" spans="1:16">
      <c r="A3416" s="10">
        <f t="shared" si="58"/>
        <v>3415</v>
      </c>
      <c r="B3416" s="31">
        <v>46186</v>
      </c>
      <c r="C3416" s="32" t="s">
        <v>3106</v>
      </c>
      <c r="D3416" s="120" t="s">
        <v>492</v>
      </c>
      <c r="E3416" s="33" t="s">
        <v>42</v>
      </c>
      <c r="F3416" s="18" t="s">
        <v>63</v>
      </c>
      <c r="G3416" s="18" t="s">
        <v>1511</v>
      </c>
      <c r="H3416" s="34" t="s">
        <v>85</v>
      </c>
      <c r="I3416" s="18" t="s">
        <v>114</v>
      </c>
      <c r="J3416" s="31" t="s">
        <v>105</v>
      </c>
      <c r="K3416" s="31"/>
      <c r="N3416" s="13" t="s">
        <v>30</v>
      </c>
      <c r="O3416" s="28" t="str">
        <f>IF(D3416="","",IF(COUNTIF(离职清单!C:C,D3416)&gt;0,"已离职","在职"))</f>
        <v>在职</v>
      </c>
      <c r="P3416" s="28" t="str">
        <f>IF(AND(O3416="在职",J3416="是"),COUNTIF(O$2:O3416,"在职"),"")</f>
        <v/>
      </c>
    </row>
    <row r="3417" ht="18" spans="1:16">
      <c r="A3417" s="14">
        <f t="shared" si="58"/>
        <v>3416</v>
      </c>
      <c r="B3417" s="31">
        <v>46186</v>
      </c>
      <c r="C3417" s="32" t="s">
        <v>3107</v>
      </c>
      <c r="D3417" s="120" t="s">
        <v>477</v>
      </c>
      <c r="E3417" s="33" t="s">
        <v>42</v>
      </c>
      <c r="F3417" s="18" t="s">
        <v>63</v>
      </c>
      <c r="G3417" s="18" t="s">
        <v>1511</v>
      </c>
      <c r="H3417" s="34" t="s">
        <v>85</v>
      </c>
      <c r="I3417" s="18" t="s">
        <v>105</v>
      </c>
      <c r="J3417" s="31" t="s">
        <v>105</v>
      </c>
      <c r="K3417" s="31"/>
      <c r="N3417" s="13" t="s">
        <v>30</v>
      </c>
      <c r="O3417" s="28" t="str">
        <f>IF(D3417="","",IF(COUNTIF(离职清单!C:C,D3417)&gt;0,"已离职","在职"))</f>
        <v>在职</v>
      </c>
      <c r="P3417" s="28" t="str">
        <f>IF(AND(O3417="在职",J3417="是"),COUNTIF(O$2:O3417,"在职"),"")</f>
        <v/>
      </c>
    </row>
    <row r="3418" ht="18" spans="1:16">
      <c r="A3418" s="10">
        <f t="shared" si="58"/>
        <v>3417</v>
      </c>
      <c r="B3418" s="31">
        <v>46186</v>
      </c>
      <c r="C3418" s="32" t="s">
        <v>3108</v>
      </c>
      <c r="D3418" s="120" t="s">
        <v>478</v>
      </c>
      <c r="E3418" s="33" t="s">
        <v>42</v>
      </c>
      <c r="F3418" s="18" t="s">
        <v>63</v>
      </c>
      <c r="G3418" s="18" t="s">
        <v>1511</v>
      </c>
      <c r="H3418" s="34" t="s">
        <v>85</v>
      </c>
      <c r="I3418" s="18" t="s">
        <v>105</v>
      </c>
      <c r="J3418" s="31" t="s">
        <v>105</v>
      </c>
      <c r="K3418" s="31"/>
      <c r="N3418" s="13" t="s">
        <v>30</v>
      </c>
      <c r="O3418" s="28" t="str">
        <f>IF(D3418="","",IF(COUNTIF(离职清单!C:C,D3418)&gt;0,"已离职","在职"))</f>
        <v>在职</v>
      </c>
      <c r="P3418" s="28" t="str">
        <f>IF(AND(O3418="在职",J3418="是"),COUNTIF(O$2:O3418,"在职"),"")</f>
        <v/>
      </c>
    </row>
    <row r="3419" ht="18" spans="1:16">
      <c r="A3419" s="14">
        <f t="shared" si="58"/>
        <v>3418</v>
      </c>
      <c r="B3419" s="31">
        <v>46186</v>
      </c>
      <c r="C3419" s="32" t="s">
        <v>3109</v>
      </c>
      <c r="D3419" s="120" t="s">
        <v>480</v>
      </c>
      <c r="E3419" s="33" t="s">
        <v>42</v>
      </c>
      <c r="F3419" s="18" t="s">
        <v>62</v>
      </c>
      <c r="G3419" s="18" t="s">
        <v>124</v>
      </c>
      <c r="H3419" s="34" t="s">
        <v>85</v>
      </c>
      <c r="I3419" s="18" t="s">
        <v>114</v>
      </c>
      <c r="J3419" s="31" t="s">
        <v>114</v>
      </c>
      <c r="K3419" s="31">
        <v>46188</v>
      </c>
      <c r="N3419" s="13" t="s">
        <v>30</v>
      </c>
      <c r="O3419" s="28" t="str">
        <f>IF(D3419="","",IF(COUNTIF(离职清单!C:C,D3419)&gt;0,"已离职","在职"))</f>
        <v>在职</v>
      </c>
      <c r="P3419" s="28">
        <f>IF(AND(O3419="在职",J3419="是"),COUNTIF(O$2:O3419,"在职"),"")</f>
        <v>3412</v>
      </c>
    </row>
    <row r="3420" ht="18" spans="1:16">
      <c r="A3420" s="10">
        <f t="shared" si="58"/>
        <v>3419</v>
      </c>
      <c r="B3420" s="31">
        <v>46186</v>
      </c>
      <c r="C3420" s="32" t="s">
        <v>2499</v>
      </c>
      <c r="D3420" s="120" t="s">
        <v>482</v>
      </c>
      <c r="E3420" s="33" t="s">
        <v>42</v>
      </c>
      <c r="F3420" s="18" t="s">
        <v>63</v>
      </c>
      <c r="G3420" s="18" t="s">
        <v>148</v>
      </c>
      <c r="H3420" s="34" t="s">
        <v>85</v>
      </c>
      <c r="I3420" s="18" t="s">
        <v>105</v>
      </c>
      <c r="J3420" s="31" t="s">
        <v>105</v>
      </c>
      <c r="K3420" s="31"/>
      <c r="N3420" s="13" t="s">
        <v>30</v>
      </c>
      <c r="O3420" s="28" t="str">
        <f>IF(D3420="","",IF(COUNTIF(离职清单!C:C,D3420)&gt;0,"已离职","在职"))</f>
        <v>在职</v>
      </c>
      <c r="P3420" s="28" t="str">
        <f>IF(AND(O3420="在职",J3420="是"),COUNTIF(O$2:O3420,"在职"),"")</f>
        <v/>
      </c>
    </row>
    <row r="3421" ht="18" spans="1:16">
      <c r="A3421" s="14">
        <f t="shared" si="58"/>
        <v>3420</v>
      </c>
      <c r="B3421" s="31">
        <v>46186</v>
      </c>
      <c r="C3421" s="32" t="s">
        <v>1981</v>
      </c>
      <c r="D3421" s="120" t="s">
        <v>484</v>
      </c>
      <c r="E3421" s="33" t="s">
        <v>42</v>
      </c>
      <c r="F3421" s="18" t="s">
        <v>63</v>
      </c>
      <c r="G3421" s="18" t="s">
        <v>148</v>
      </c>
      <c r="H3421" s="34" t="s">
        <v>85</v>
      </c>
      <c r="I3421" s="18" t="s">
        <v>105</v>
      </c>
      <c r="J3421" s="31" t="s">
        <v>105</v>
      </c>
      <c r="K3421" s="31"/>
      <c r="N3421" s="13" t="s">
        <v>30</v>
      </c>
      <c r="O3421" s="28" t="str">
        <f>IF(D3421="","",IF(COUNTIF(离职清单!C:C,D3421)&gt;0,"已离职","在职"))</f>
        <v>在职</v>
      </c>
      <c r="P3421" s="28" t="str">
        <f>IF(AND(O3421="在职",J3421="是"),COUNTIF(O$2:O3421,"在职"),"")</f>
        <v/>
      </c>
    </row>
    <row r="3422" ht="18" spans="1:16">
      <c r="A3422" s="10">
        <f t="shared" si="58"/>
        <v>3421</v>
      </c>
      <c r="B3422" s="31">
        <v>46186</v>
      </c>
      <c r="C3422" s="32" t="s">
        <v>2696</v>
      </c>
      <c r="D3422" s="120" t="s">
        <v>486</v>
      </c>
      <c r="E3422" s="33" t="s">
        <v>42</v>
      </c>
      <c r="F3422" s="18" t="s">
        <v>63</v>
      </c>
      <c r="G3422" s="18" t="s">
        <v>148</v>
      </c>
      <c r="H3422" s="34" t="s">
        <v>85</v>
      </c>
      <c r="I3422" s="18" t="s">
        <v>114</v>
      </c>
      <c r="J3422" s="31" t="s">
        <v>114</v>
      </c>
      <c r="K3422" s="31">
        <v>46188</v>
      </c>
      <c r="N3422" s="13" t="s">
        <v>30</v>
      </c>
      <c r="O3422" s="28" t="str">
        <f>IF(D3422="","",IF(COUNTIF(离职清单!C:C,D3422)&gt;0,"已离职","在职"))</f>
        <v>在职</v>
      </c>
      <c r="P3422" s="28">
        <f>IF(AND(O3422="在职",J3422="是"),COUNTIF(O$2:O3422,"在职"),"")</f>
        <v>3415</v>
      </c>
    </row>
    <row r="3423" ht="18" spans="1:16">
      <c r="A3423" s="14">
        <f t="shared" si="58"/>
        <v>3422</v>
      </c>
      <c r="B3423" s="31">
        <v>46186</v>
      </c>
      <c r="C3423" s="32" t="s">
        <v>3110</v>
      </c>
      <c r="D3423" s="120" t="s">
        <v>488</v>
      </c>
      <c r="E3423" s="33" t="s">
        <v>42</v>
      </c>
      <c r="F3423" s="18" t="s">
        <v>63</v>
      </c>
      <c r="G3423" s="18" t="s">
        <v>148</v>
      </c>
      <c r="H3423" s="34" t="s">
        <v>85</v>
      </c>
      <c r="I3423" s="18" t="s">
        <v>2154</v>
      </c>
      <c r="J3423" s="31" t="s">
        <v>105</v>
      </c>
      <c r="K3423" s="31"/>
      <c r="N3423" s="13" t="s">
        <v>30</v>
      </c>
      <c r="O3423" s="28" t="str">
        <f>IF(D3423="","",IF(COUNTIF(离职清单!C:C,D3423)&gt;0,"已离职","在职"))</f>
        <v>在职</v>
      </c>
      <c r="P3423" s="28" t="str">
        <f>IF(AND(O3423="在职",J3423="是"),COUNTIF(O$2:O3423,"在职"),"")</f>
        <v/>
      </c>
    </row>
    <row r="3424" ht="18" spans="1:16">
      <c r="A3424" s="10">
        <f t="shared" si="58"/>
        <v>3423</v>
      </c>
      <c r="B3424" s="31">
        <v>46186</v>
      </c>
      <c r="C3424" s="32" t="s">
        <v>2383</v>
      </c>
      <c r="D3424" s="120" t="s">
        <v>490</v>
      </c>
      <c r="E3424" s="33" t="s">
        <v>42</v>
      </c>
      <c r="F3424" s="18" t="s">
        <v>63</v>
      </c>
      <c r="G3424" s="18" t="s">
        <v>148</v>
      </c>
      <c r="H3424" s="34" t="s">
        <v>85</v>
      </c>
      <c r="I3424" s="18" t="s">
        <v>114</v>
      </c>
      <c r="J3424" s="31" t="s">
        <v>105</v>
      </c>
      <c r="K3424" s="31"/>
      <c r="N3424" s="13" t="s">
        <v>30</v>
      </c>
      <c r="O3424" s="28" t="str">
        <f>IF(D3424="","",IF(COUNTIF(离职清单!C:C,D3424)&gt;0,"已离职","在职"))</f>
        <v>在职</v>
      </c>
      <c r="P3424" s="28" t="str">
        <f>IF(AND(O3424="在职",J3424="是"),COUNTIF(O$2:O3424,"在职"),"")</f>
        <v/>
      </c>
    </row>
    <row r="3425" ht="18" spans="1:16">
      <c r="A3425" s="14">
        <f t="shared" si="58"/>
        <v>3424</v>
      </c>
      <c r="B3425" s="31">
        <v>46186</v>
      </c>
      <c r="C3425" s="32" t="s">
        <v>3111</v>
      </c>
      <c r="D3425" s="120" t="s">
        <v>492</v>
      </c>
      <c r="E3425" s="33" t="s">
        <v>42</v>
      </c>
      <c r="F3425" s="18" t="s">
        <v>63</v>
      </c>
      <c r="G3425" s="18" t="s">
        <v>148</v>
      </c>
      <c r="H3425" s="34" t="s">
        <v>85</v>
      </c>
      <c r="I3425" s="18" t="s">
        <v>105</v>
      </c>
      <c r="J3425" s="31" t="s">
        <v>105</v>
      </c>
      <c r="K3425" s="31"/>
      <c r="N3425" s="13" t="s">
        <v>30</v>
      </c>
      <c r="O3425" s="28" t="str">
        <f>IF(D3425="","",IF(COUNTIF(离职清单!C:C,D3425)&gt;0,"已离职","在职"))</f>
        <v>在职</v>
      </c>
      <c r="P3425" s="28" t="str">
        <f>IF(AND(O3425="在职",J3425="是"),COUNTIF(O$2:O3425,"在职"),"")</f>
        <v/>
      </c>
    </row>
    <row r="3426" ht="18" spans="1:16">
      <c r="A3426" s="10">
        <f t="shared" si="58"/>
        <v>3425</v>
      </c>
      <c r="B3426" s="31">
        <v>46186</v>
      </c>
      <c r="C3426" s="32" t="s">
        <v>3112</v>
      </c>
      <c r="D3426" s="120" t="s">
        <v>477</v>
      </c>
      <c r="E3426" s="33" t="s">
        <v>42</v>
      </c>
      <c r="F3426" s="18" t="s">
        <v>63</v>
      </c>
      <c r="G3426" s="18" t="s">
        <v>148</v>
      </c>
      <c r="H3426" s="34" t="s">
        <v>85</v>
      </c>
      <c r="I3426" s="18" t="s">
        <v>105</v>
      </c>
      <c r="J3426" s="31" t="s">
        <v>105</v>
      </c>
      <c r="K3426" s="31"/>
      <c r="N3426" s="13" t="s">
        <v>30</v>
      </c>
      <c r="O3426" s="28" t="str">
        <f>IF(D3426="","",IF(COUNTIF(离职清单!C:C,D3426)&gt;0,"已离职","在职"))</f>
        <v>在职</v>
      </c>
      <c r="P3426" s="28" t="str">
        <f>IF(AND(O3426="在职",J3426="是"),COUNTIF(O$2:O3426,"在职"),"")</f>
        <v/>
      </c>
    </row>
    <row r="3427" ht="18" spans="1:16">
      <c r="A3427" s="14">
        <f t="shared" si="58"/>
        <v>3426</v>
      </c>
      <c r="B3427" s="31">
        <v>46186</v>
      </c>
      <c r="C3427" s="32" t="s">
        <v>2691</v>
      </c>
      <c r="D3427" s="120" t="s">
        <v>477</v>
      </c>
      <c r="E3427" s="33" t="s">
        <v>42</v>
      </c>
      <c r="F3427" s="18" t="s">
        <v>63</v>
      </c>
      <c r="G3427" s="18" t="s">
        <v>2195</v>
      </c>
      <c r="H3427" s="34" t="s">
        <v>85</v>
      </c>
      <c r="I3427" s="18" t="s">
        <v>2154</v>
      </c>
      <c r="J3427" s="31" t="s">
        <v>105</v>
      </c>
      <c r="K3427" s="31"/>
      <c r="N3427" s="13" t="s">
        <v>30</v>
      </c>
      <c r="O3427" s="28" t="str">
        <f>IF(D3427="","",IF(COUNTIF(离职清单!C:C,D3427)&gt;0,"已离职","在职"))</f>
        <v>在职</v>
      </c>
      <c r="P3427" s="28" t="str">
        <f>IF(AND(O3427="在职",J3427="是"),COUNTIF(O$2:O3427,"在职"),"")</f>
        <v/>
      </c>
    </row>
    <row r="3428" ht="18" spans="1:16">
      <c r="A3428" s="10">
        <f t="shared" si="58"/>
        <v>3427</v>
      </c>
      <c r="B3428" s="31">
        <v>46186</v>
      </c>
      <c r="C3428" s="32" t="s">
        <v>3113</v>
      </c>
      <c r="D3428" s="120" t="s">
        <v>478</v>
      </c>
      <c r="E3428" s="33" t="s">
        <v>42</v>
      </c>
      <c r="F3428" s="18" t="s">
        <v>63</v>
      </c>
      <c r="G3428" s="18" t="s">
        <v>3114</v>
      </c>
      <c r="H3428" s="34" t="s">
        <v>85</v>
      </c>
      <c r="I3428" s="18" t="s">
        <v>114</v>
      </c>
      <c r="J3428" s="31" t="s">
        <v>105</v>
      </c>
      <c r="K3428" s="31"/>
      <c r="N3428" s="13" t="s">
        <v>30</v>
      </c>
      <c r="O3428" s="28" t="str">
        <f>IF(D3428="","",IF(COUNTIF(离职清单!C:C,D3428)&gt;0,"已离职","在职"))</f>
        <v>在职</v>
      </c>
      <c r="P3428" s="28" t="str">
        <f>IF(AND(O3428="在职",J3428="是"),COUNTIF(O$2:O3428,"在职"),"")</f>
        <v/>
      </c>
    </row>
    <row r="3429" ht="18" spans="1:16">
      <c r="A3429" s="14">
        <f t="shared" si="58"/>
        <v>3428</v>
      </c>
      <c r="B3429" s="31">
        <v>46186</v>
      </c>
      <c r="C3429" s="32" t="s">
        <v>3115</v>
      </c>
      <c r="D3429" s="120" t="s">
        <v>480</v>
      </c>
      <c r="E3429" s="33" t="s">
        <v>42</v>
      </c>
      <c r="F3429" s="18" t="s">
        <v>62</v>
      </c>
      <c r="G3429" s="18" t="s">
        <v>3116</v>
      </c>
      <c r="H3429" s="34" t="s">
        <v>85</v>
      </c>
      <c r="I3429" s="18" t="s">
        <v>105</v>
      </c>
      <c r="J3429" s="31" t="s">
        <v>105</v>
      </c>
      <c r="K3429" s="31"/>
      <c r="N3429" s="13" t="s">
        <v>30</v>
      </c>
      <c r="O3429" s="28" t="str">
        <f>IF(D3429="","",IF(COUNTIF(离职清单!C:C,D3429)&gt;0,"已离职","在职"))</f>
        <v>在职</v>
      </c>
      <c r="P3429" s="28" t="str">
        <f>IF(AND(O3429="在职",J3429="是"),COUNTIF(O$2:O3429,"在职"),"")</f>
        <v/>
      </c>
    </row>
    <row r="3430" ht="18" spans="1:16">
      <c r="A3430" s="10">
        <f t="shared" si="58"/>
        <v>3429</v>
      </c>
      <c r="B3430" s="31">
        <v>46186</v>
      </c>
      <c r="C3430" s="32" t="s">
        <v>3117</v>
      </c>
      <c r="D3430" s="120" t="s">
        <v>482</v>
      </c>
      <c r="E3430" s="33" t="s">
        <v>42</v>
      </c>
      <c r="F3430" s="18" t="s">
        <v>62</v>
      </c>
      <c r="G3430" s="18" t="s">
        <v>3116</v>
      </c>
      <c r="H3430" s="34" t="s">
        <v>85</v>
      </c>
      <c r="I3430" s="18" t="s">
        <v>105</v>
      </c>
      <c r="J3430" s="31" t="s">
        <v>105</v>
      </c>
      <c r="K3430" s="31"/>
      <c r="N3430" s="13" t="s">
        <v>30</v>
      </c>
      <c r="O3430" s="28" t="str">
        <f>IF(D3430="","",IF(COUNTIF(离职清单!C:C,D3430)&gt;0,"已离职","在职"))</f>
        <v>在职</v>
      </c>
      <c r="P3430" s="28" t="str">
        <f>IF(AND(O3430="在职",J3430="是"),COUNTIF(O$2:O3430,"在职"),"")</f>
        <v/>
      </c>
    </row>
    <row r="3431" ht="18" spans="1:16">
      <c r="A3431" s="14">
        <f t="shared" si="58"/>
        <v>3430</v>
      </c>
      <c r="B3431" s="31">
        <v>46186</v>
      </c>
      <c r="C3431" s="32" t="s">
        <v>3118</v>
      </c>
      <c r="D3431" s="120" t="s">
        <v>484</v>
      </c>
      <c r="E3431" s="33" t="s">
        <v>42</v>
      </c>
      <c r="F3431" s="18" t="s">
        <v>62</v>
      </c>
      <c r="G3431" s="18" t="s">
        <v>2181</v>
      </c>
      <c r="H3431" s="34" t="s">
        <v>85</v>
      </c>
      <c r="I3431" s="18" t="s">
        <v>114</v>
      </c>
      <c r="J3431" s="31" t="s">
        <v>114</v>
      </c>
      <c r="K3431" s="31">
        <v>46188</v>
      </c>
      <c r="N3431" s="13" t="s">
        <v>30</v>
      </c>
      <c r="O3431" s="28" t="str">
        <f>IF(D3431="","",IF(COUNTIF(离职清单!C:C,D3431)&gt;0,"已离职","在职"))</f>
        <v>在职</v>
      </c>
      <c r="P3431" s="28">
        <f>IF(AND(O3431="在职",J3431="是"),COUNTIF(O$2:O3431,"在职"),"")</f>
        <v>3424</v>
      </c>
    </row>
    <row r="3432" ht="18" spans="1:16">
      <c r="A3432" s="10">
        <f t="shared" si="58"/>
        <v>3431</v>
      </c>
      <c r="B3432" s="31">
        <v>46186</v>
      </c>
      <c r="C3432" s="32" t="s">
        <v>3119</v>
      </c>
      <c r="D3432" s="120" t="s">
        <v>486</v>
      </c>
      <c r="E3432" s="33" t="s">
        <v>42</v>
      </c>
      <c r="F3432" s="18" t="s">
        <v>62</v>
      </c>
      <c r="G3432" s="18" t="s">
        <v>2221</v>
      </c>
      <c r="H3432" s="34" t="s">
        <v>85</v>
      </c>
      <c r="I3432" s="18" t="s">
        <v>114</v>
      </c>
      <c r="J3432" s="31" t="s">
        <v>105</v>
      </c>
      <c r="K3432" s="31"/>
      <c r="N3432" s="13" t="s">
        <v>30</v>
      </c>
      <c r="O3432" s="28" t="str">
        <f>IF(D3432="","",IF(COUNTIF(离职清单!C:C,D3432)&gt;0,"已离职","在职"))</f>
        <v>在职</v>
      </c>
      <c r="P3432" s="28" t="str">
        <f>IF(AND(O3432="在职",J3432="是"),COUNTIF(O$2:O3432,"在职"),"")</f>
        <v/>
      </c>
    </row>
    <row r="3433" ht="18" spans="1:16">
      <c r="A3433" s="14">
        <f t="shared" si="58"/>
        <v>3432</v>
      </c>
      <c r="B3433" s="31">
        <v>46186</v>
      </c>
      <c r="C3433" s="32" t="s">
        <v>3120</v>
      </c>
      <c r="D3433" s="120" t="s">
        <v>488</v>
      </c>
      <c r="E3433" s="33" t="s">
        <v>42</v>
      </c>
      <c r="F3433" s="18" t="s">
        <v>63</v>
      </c>
      <c r="G3433" s="18" t="s">
        <v>129</v>
      </c>
      <c r="H3433" s="34" t="s">
        <v>85</v>
      </c>
      <c r="I3433" s="18" t="s">
        <v>114</v>
      </c>
      <c r="J3433" s="31" t="s">
        <v>105</v>
      </c>
      <c r="K3433" s="31"/>
      <c r="N3433" s="13" t="s">
        <v>30</v>
      </c>
      <c r="O3433" s="28" t="str">
        <f>IF(D3433="","",IF(COUNTIF(离职清单!C:C,D3433)&gt;0,"已离职","在职"))</f>
        <v>在职</v>
      </c>
      <c r="P3433" s="28" t="str">
        <f>IF(AND(O3433="在职",J3433="是"),COUNTIF(O$2:O3433,"在职"),"")</f>
        <v/>
      </c>
    </row>
    <row r="3434" ht="18" spans="1:16">
      <c r="A3434" s="10">
        <f t="shared" si="58"/>
        <v>3433</v>
      </c>
      <c r="B3434" s="31">
        <v>46186</v>
      </c>
      <c r="C3434" s="32" t="s">
        <v>3121</v>
      </c>
      <c r="D3434" s="120" t="s">
        <v>490</v>
      </c>
      <c r="E3434" s="33" t="s">
        <v>42</v>
      </c>
      <c r="F3434" s="18" t="s">
        <v>63</v>
      </c>
      <c r="G3434" s="18" t="s">
        <v>3122</v>
      </c>
      <c r="H3434" s="34" t="s">
        <v>86</v>
      </c>
      <c r="I3434" s="18" t="s">
        <v>105</v>
      </c>
      <c r="J3434" s="31" t="s">
        <v>105</v>
      </c>
      <c r="K3434" s="31"/>
      <c r="N3434" s="13" t="s">
        <v>30</v>
      </c>
      <c r="O3434" s="28" t="str">
        <f>IF(D3434="","",IF(COUNTIF(离职清单!C:C,D3434)&gt;0,"已离职","在职"))</f>
        <v>在职</v>
      </c>
      <c r="P3434" s="28" t="str">
        <f>IF(AND(O3434="在职",J3434="是"),COUNTIF(O$2:O3434,"在职"),"")</f>
        <v/>
      </c>
    </row>
    <row r="3435" ht="18" spans="1:16">
      <c r="A3435" s="14">
        <f t="shared" si="58"/>
        <v>3434</v>
      </c>
      <c r="B3435" s="31">
        <v>46186</v>
      </c>
      <c r="C3435" s="32" t="s">
        <v>3123</v>
      </c>
      <c r="D3435" s="120" t="s">
        <v>492</v>
      </c>
      <c r="E3435" s="33" t="s">
        <v>42</v>
      </c>
      <c r="F3435" s="18" t="s">
        <v>63</v>
      </c>
      <c r="G3435" s="18" t="s">
        <v>3122</v>
      </c>
      <c r="H3435" s="34" t="s">
        <v>86</v>
      </c>
      <c r="I3435" s="18" t="s">
        <v>105</v>
      </c>
      <c r="J3435" s="31" t="s">
        <v>105</v>
      </c>
      <c r="K3435" s="31"/>
      <c r="N3435" s="13" t="s">
        <v>30</v>
      </c>
      <c r="O3435" s="28" t="str">
        <f>IF(D3435="","",IF(COUNTIF(离职清单!C:C,D3435)&gt;0,"已离职","在职"))</f>
        <v>在职</v>
      </c>
      <c r="P3435" s="28" t="str">
        <f>IF(AND(O3435="在职",J3435="是"),COUNTIF(O$2:O3435,"在职"),"")</f>
        <v/>
      </c>
    </row>
    <row r="3436" ht="18" spans="1:16">
      <c r="A3436" s="10">
        <f t="shared" ref="A3436:A3499" si="59">IF(B3436&lt;&gt;"",ROW()-1,"")</f>
        <v>3435</v>
      </c>
      <c r="B3436" s="31">
        <v>46186</v>
      </c>
      <c r="C3436" s="32" t="s">
        <v>3124</v>
      </c>
      <c r="D3436" s="120" t="s">
        <v>477</v>
      </c>
      <c r="E3436" s="33" t="s">
        <v>42</v>
      </c>
      <c r="F3436" s="18" t="s">
        <v>64</v>
      </c>
      <c r="G3436" s="18" t="s">
        <v>3122</v>
      </c>
      <c r="H3436" s="34" t="s">
        <v>85</v>
      </c>
      <c r="I3436" s="18" t="s">
        <v>114</v>
      </c>
      <c r="J3436" s="31" t="s">
        <v>105</v>
      </c>
      <c r="K3436" s="31"/>
      <c r="N3436" s="13" t="s">
        <v>30</v>
      </c>
      <c r="O3436" s="28" t="str">
        <f>IF(D3436="","",IF(COUNTIF(离职清单!C:C,D3436)&gt;0,"已离职","在职"))</f>
        <v>在职</v>
      </c>
      <c r="P3436" s="28" t="str">
        <f>IF(AND(O3436="在职",J3436="是"),COUNTIF(O$2:O3436,"在职"),"")</f>
        <v/>
      </c>
    </row>
    <row r="3437" ht="18" spans="1:16">
      <c r="A3437" s="14">
        <f t="shared" si="59"/>
        <v>3436</v>
      </c>
      <c r="B3437" s="31">
        <v>46186</v>
      </c>
      <c r="C3437" s="32" t="s">
        <v>3125</v>
      </c>
      <c r="D3437" s="120" t="s">
        <v>478</v>
      </c>
      <c r="E3437" s="33" t="s">
        <v>42</v>
      </c>
      <c r="F3437" s="18" t="s">
        <v>62</v>
      </c>
      <c r="G3437" s="18" t="s">
        <v>3122</v>
      </c>
      <c r="H3437" s="34" t="s">
        <v>85</v>
      </c>
      <c r="I3437" s="18" t="s">
        <v>2154</v>
      </c>
      <c r="J3437" s="31" t="s">
        <v>105</v>
      </c>
      <c r="K3437" s="31"/>
      <c r="N3437" s="13" t="s">
        <v>30</v>
      </c>
      <c r="O3437" s="28" t="str">
        <f>IF(D3437="","",IF(COUNTIF(离职清单!C:C,D3437)&gt;0,"已离职","在职"))</f>
        <v>在职</v>
      </c>
      <c r="P3437" s="28" t="str">
        <f>IF(AND(O3437="在职",J3437="是"),COUNTIF(O$2:O3437,"在职"),"")</f>
        <v/>
      </c>
    </row>
    <row r="3438" ht="18" spans="1:16">
      <c r="A3438" s="10">
        <f t="shared" si="59"/>
        <v>3437</v>
      </c>
      <c r="B3438" s="31">
        <v>46186</v>
      </c>
      <c r="C3438" s="32" t="s">
        <v>3126</v>
      </c>
      <c r="D3438" s="120" t="s">
        <v>480</v>
      </c>
      <c r="E3438" s="33" t="s">
        <v>42</v>
      </c>
      <c r="F3438" s="18" t="s">
        <v>62</v>
      </c>
      <c r="G3438" s="18" t="s">
        <v>3122</v>
      </c>
      <c r="H3438" s="34" t="s">
        <v>85</v>
      </c>
      <c r="I3438" s="18" t="s">
        <v>105</v>
      </c>
      <c r="J3438" s="31" t="s">
        <v>105</v>
      </c>
      <c r="K3438" s="31"/>
      <c r="N3438" s="13" t="s">
        <v>30</v>
      </c>
      <c r="O3438" s="28" t="str">
        <f>IF(D3438="","",IF(COUNTIF(离职清单!C:C,D3438)&gt;0,"已离职","在职"))</f>
        <v>在职</v>
      </c>
      <c r="P3438" s="28" t="str">
        <f>IF(AND(O3438="在职",J3438="是"),COUNTIF(O$2:O3438,"在职"),"")</f>
        <v/>
      </c>
    </row>
    <row r="3439" ht="18" spans="1:16">
      <c r="A3439" s="14">
        <f t="shared" si="59"/>
        <v>3438</v>
      </c>
      <c r="B3439" s="31">
        <v>46186</v>
      </c>
      <c r="C3439" s="32" t="s">
        <v>2949</v>
      </c>
      <c r="D3439" s="120" t="s">
        <v>482</v>
      </c>
      <c r="E3439" s="33" t="s">
        <v>42</v>
      </c>
      <c r="F3439" s="18" t="s">
        <v>63</v>
      </c>
      <c r="G3439" s="18" t="s">
        <v>3122</v>
      </c>
      <c r="H3439" s="34" t="s">
        <v>86</v>
      </c>
      <c r="I3439" s="18" t="s">
        <v>105</v>
      </c>
      <c r="J3439" s="31" t="s">
        <v>105</v>
      </c>
      <c r="K3439" s="31"/>
      <c r="N3439" s="13" t="s">
        <v>30</v>
      </c>
      <c r="O3439" s="28" t="str">
        <f>IF(D3439="","",IF(COUNTIF(离职清单!C:C,D3439)&gt;0,"已离职","在职"))</f>
        <v>在职</v>
      </c>
      <c r="P3439" s="28" t="str">
        <f>IF(AND(O3439="在职",J3439="是"),COUNTIF(O$2:O3439,"在职"),"")</f>
        <v/>
      </c>
    </row>
    <row r="3440" ht="18" spans="1:16">
      <c r="A3440" s="10">
        <f t="shared" si="59"/>
        <v>3439</v>
      </c>
      <c r="B3440" s="31">
        <v>46186</v>
      </c>
      <c r="C3440" s="32" t="s">
        <v>3127</v>
      </c>
      <c r="D3440" s="120" t="s">
        <v>484</v>
      </c>
      <c r="E3440" s="33" t="s">
        <v>42</v>
      </c>
      <c r="F3440" s="18" t="s">
        <v>63</v>
      </c>
      <c r="G3440" s="18" t="s">
        <v>3122</v>
      </c>
      <c r="H3440" s="34" t="s">
        <v>86</v>
      </c>
      <c r="I3440" s="18" t="s">
        <v>105</v>
      </c>
      <c r="J3440" s="31" t="s">
        <v>105</v>
      </c>
      <c r="K3440" s="31"/>
      <c r="N3440" s="13" t="s">
        <v>30</v>
      </c>
      <c r="O3440" s="28" t="str">
        <f>IF(D3440="","",IF(COUNTIF(离职清单!C:C,D3440)&gt;0,"已离职","在职"))</f>
        <v>在职</v>
      </c>
      <c r="P3440" s="28" t="str">
        <f>IF(AND(O3440="在职",J3440="是"),COUNTIF(O$2:O3440,"在职"),"")</f>
        <v/>
      </c>
    </row>
    <row r="3441" ht="18" spans="1:16">
      <c r="A3441" s="14">
        <f t="shared" si="59"/>
        <v>3440</v>
      </c>
      <c r="B3441" s="31">
        <v>46186</v>
      </c>
      <c r="C3441" s="32" t="s">
        <v>3128</v>
      </c>
      <c r="D3441" s="120" t="s">
        <v>486</v>
      </c>
      <c r="E3441" s="33" t="s">
        <v>42</v>
      </c>
      <c r="F3441" s="18" t="s">
        <v>62</v>
      </c>
      <c r="G3441" s="18" t="s">
        <v>3122</v>
      </c>
      <c r="H3441" s="34" t="s">
        <v>85</v>
      </c>
      <c r="I3441" s="18" t="s">
        <v>2154</v>
      </c>
      <c r="J3441" s="31" t="s">
        <v>105</v>
      </c>
      <c r="K3441" s="31"/>
      <c r="N3441" s="13" t="s">
        <v>30</v>
      </c>
      <c r="O3441" s="28" t="str">
        <f>IF(D3441="","",IF(COUNTIF(离职清单!C:C,D3441)&gt;0,"已离职","在职"))</f>
        <v>在职</v>
      </c>
      <c r="P3441" s="28" t="str">
        <f>IF(AND(O3441="在职",J3441="是"),COUNTIF(O$2:O3441,"在职"),"")</f>
        <v/>
      </c>
    </row>
    <row r="3442" ht="18" spans="1:16">
      <c r="A3442" s="10">
        <f t="shared" si="59"/>
        <v>3441</v>
      </c>
      <c r="B3442" s="31">
        <v>46186</v>
      </c>
      <c r="C3442" s="32" t="s">
        <v>3129</v>
      </c>
      <c r="D3442" s="120" t="s">
        <v>488</v>
      </c>
      <c r="E3442" s="33" t="s">
        <v>42</v>
      </c>
      <c r="F3442" s="18" t="s">
        <v>64</v>
      </c>
      <c r="G3442" s="18" t="s">
        <v>3122</v>
      </c>
      <c r="H3442" s="34" t="s">
        <v>85</v>
      </c>
      <c r="I3442" s="18" t="s">
        <v>114</v>
      </c>
      <c r="J3442" s="31" t="s">
        <v>105</v>
      </c>
      <c r="K3442" s="31"/>
      <c r="N3442" s="13" t="s">
        <v>30</v>
      </c>
      <c r="O3442" s="28" t="str">
        <f>IF(D3442="","",IF(COUNTIF(离职清单!C:C,D3442)&gt;0,"已离职","在职"))</f>
        <v>在职</v>
      </c>
      <c r="P3442" s="28" t="str">
        <f>IF(AND(O3442="在职",J3442="是"),COUNTIF(O$2:O3442,"在职"),"")</f>
        <v/>
      </c>
    </row>
    <row r="3443" ht="18" spans="1:16">
      <c r="A3443" s="14">
        <f t="shared" si="59"/>
        <v>3442</v>
      </c>
      <c r="B3443" s="31">
        <v>46186</v>
      </c>
      <c r="C3443" s="32" t="s">
        <v>3130</v>
      </c>
      <c r="D3443" s="120" t="s">
        <v>490</v>
      </c>
      <c r="E3443" s="33" t="s">
        <v>42</v>
      </c>
      <c r="F3443" s="18" t="s">
        <v>63</v>
      </c>
      <c r="G3443" s="18" t="s">
        <v>1056</v>
      </c>
      <c r="H3443" s="34" t="s">
        <v>85</v>
      </c>
      <c r="I3443" s="18" t="s">
        <v>2154</v>
      </c>
      <c r="J3443" s="31" t="s">
        <v>105</v>
      </c>
      <c r="K3443" s="31"/>
      <c r="N3443" s="13" t="s">
        <v>30</v>
      </c>
      <c r="O3443" s="28" t="str">
        <f>IF(D3443="","",IF(COUNTIF(离职清单!C:C,D3443)&gt;0,"已离职","在职"))</f>
        <v>在职</v>
      </c>
      <c r="P3443" s="28" t="str">
        <f>IF(AND(O3443="在职",J3443="是"),COUNTIF(O$2:O3443,"在职"),"")</f>
        <v/>
      </c>
    </row>
    <row r="3444" ht="18" spans="1:16">
      <c r="A3444" s="10">
        <f t="shared" si="59"/>
        <v>3443</v>
      </c>
      <c r="B3444" s="31">
        <v>46186</v>
      </c>
      <c r="C3444" s="32" t="s">
        <v>3131</v>
      </c>
      <c r="D3444" s="120" t="s">
        <v>492</v>
      </c>
      <c r="E3444" s="33" t="s">
        <v>42</v>
      </c>
      <c r="F3444" s="18" t="s">
        <v>64</v>
      </c>
      <c r="G3444" s="18" t="s">
        <v>1056</v>
      </c>
      <c r="H3444" s="34" t="s">
        <v>85</v>
      </c>
      <c r="I3444" s="18" t="s">
        <v>114</v>
      </c>
      <c r="J3444" s="31" t="s">
        <v>105</v>
      </c>
      <c r="K3444" s="31"/>
      <c r="N3444" s="13" t="s">
        <v>30</v>
      </c>
      <c r="O3444" s="28" t="str">
        <f>IF(D3444="","",IF(COUNTIF(离职清单!C:C,D3444)&gt;0,"已离职","在职"))</f>
        <v>在职</v>
      </c>
      <c r="P3444" s="28" t="str">
        <f>IF(AND(O3444="在职",J3444="是"),COUNTIF(O$2:O3444,"在职"),"")</f>
        <v/>
      </c>
    </row>
    <row r="3445" ht="18" spans="1:16">
      <c r="A3445" s="14">
        <f t="shared" si="59"/>
        <v>3444</v>
      </c>
      <c r="B3445" s="31">
        <v>46186</v>
      </c>
      <c r="C3445" s="32" t="s">
        <v>3132</v>
      </c>
      <c r="D3445" s="120" t="s">
        <v>477</v>
      </c>
      <c r="E3445" s="33" t="s">
        <v>42</v>
      </c>
      <c r="F3445" s="18" t="s">
        <v>63</v>
      </c>
      <c r="G3445" s="18" t="s">
        <v>2164</v>
      </c>
      <c r="H3445" s="34" t="s">
        <v>85</v>
      </c>
      <c r="I3445" s="18" t="s">
        <v>2154</v>
      </c>
      <c r="J3445" s="31" t="s">
        <v>105</v>
      </c>
      <c r="K3445" s="31"/>
      <c r="N3445" s="13" t="s">
        <v>30</v>
      </c>
      <c r="O3445" s="28" t="str">
        <f>IF(D3445="","",IF(COUNTIF(离职清单!C:C,D3445)&gt;0,"已离职","在职"))</f>
        <v>在职</v>
      </c>
      <c r="P3445" s="28" t="str">
        <f>IF(AND(O3445="在职",J3445="是"),COUNTIF(O$2:O3445,"在职"),"")</f>
        <v/>
      </c>
    </row>
    <row r="3446" ht="18" spans="1:16">
      <c r="A3446" s="10">
        <f t="shared" si="59"/>
        <v>3445</v>
      </c>
      <c r="B3446" s="31">
        <v>46186</v>
      </c>
      <c r="C3446" s="32" t="s">
        <v>3133</v>
      </c>
      <c r="D3446" s="120" t="s">
        <v>478</v>
      </c>
      <c r="E3446" s="33" t="s">
        <v>42</v>
      </c>
      <c r="F3446" s="18" t="s">
        <v>63</v>
      </c>
      <c r="G3446" s="18" t="s">
        <v>2164</v>
      </c>
      <c r="H3446" s="34" t="s">
        <v>85</v>
      </c>
      <c r="I3446" s="18" t="s">
        <v>114</v>
      </c>
      <c r="J3446" s="31" t="s">
        <v>105</v>
      </c>
      <c r="K3446" s="31"/>
      <c r="N3446" s="13" t="s">
        <v>30</v>
      </c>
      <c r="O3446" s="28" t="str">
        <f>IF(D3446="","",IF(COUNTIF(离职清单!C:C,D3446)&gt;0,"已离职","在职"))</f>
        <v>在职</v>
      </c>
      <c r="P3446" s="28" t="str">
        <f>IF(AND(O3446="在职",J3446="是"),COUNTIF(O$2:O3446,"在职"),"")</f>
        <v/>
      </c>
    </row>
    <row r="3447" ht="18" spans="1:16">
      <c r="A3447" s="14">
        <f t="shared" si="59"/>
        <v>3446</v>
      </c>
      <c r="B3447" s="31">
        <v>46186</v>
      </c>
      <c r="C3447" s="32" t="s">
        <v>3134</v>
      </c>
      <c r="D3447" s="120" t="s">
        <v>480</v>
      </c>
      <c r="E3447" s="33" t="s">
        <v>43</v>
      </c>
      <c r="F3447" s="18" t="s">
        <v>63</v>
      </c>
      <c r="G3447" s="18" t="s">
        <v>3135</v>
      </c>
      <c r="H3447" s="34" t="s">
        <v>85</v>
      </c>
      <c r="I3447" s="18" t="s">
        <v>105</v>
      </c>
      <c r="J3447" s="31" t="s">
        <v>105</v>
      </c>
      <c r="K3447" s="31"/>
      <c r="N3447" s="13" t="s">
        <v>30</v>
      </c>
      <c r="O3447" s="28" t="str">
        <f>IF(D3447="","",IF(COUNTIF(离职清单!C:C,D3447)&gt;0,"已离职","在职"))</f>
        <v>在职</v>
      </c>
      <c r="P3447" s="28" t="str">
        <f>IF(AND(O3447="在职",J3447="是"),COUNTIF(O$2:O3447,"在职"),"")</f>
        <v/>
      </c>
    </row>
    <row r="3448" ht="18" spans="1:16">
      <c r="A3448" s="10">
        <f t="shared" si="59"/>
        <v>3447</v>
      </c>
      <c r="B3448" s="31">
        <v>46186</v>
      </c>
      <c r="C3448" s="32" t="s">
        <v>3136</v>
      </c>
      <c r="D3448" s="120" t="s">
        <v>482</v>
      </c>
      <c r="E3448" s="33" t="s">
        <v>43</v>
      </c>
      <c r="F3448" s="18" t="s">
        <v>62</v>
      </c>
      <c r="G3448" s="18" t="s">
        <v>3135</v>
      </c>
      <c r="H3448" s="34" t="s">
        <v>85</v>
      </c>
      <c r="I3448" s="18" t="s">
        <v>105</v>
      </c>
      <c r="J3448" s="31" t="s">
        <v>105</v>
      </c>
      <c r="K3448" s="31"/>
      <c r="N3448" s="13" t="s">
        <v>30</v>
      </c>
      <c r="O3448" s="28" t="str">
        <f>IF(D3448="","",IF(COUNTIF(离职清单!C:C,D3448)&gt;0,"已离职","在职"))</f>
        <v>在职</v>
      </c>
      <c r="P3448" s="28" t="str">
        <f>IF(AND(O3448="在职",J3448="是"),COUNTIF(O$2:O3448,"在职"),"")</f>
        <v/>
      </c>
    </row>
    <row r="3449" ht="18" spans="1:16">
      <c r="A3449" s="14">
        <f t="shared" si="59"/>
        <v>3448</v>
      </c>
      <c r="B3449" s="31">
        <v>46186</v>
      </c>
      <c r="C3449" s="32" t="s">
        <v>3137</v>
      </c>
      <c r="D3449" s="120" t="s">
        <v>484</v>
      </c>
      <c r="E3449" s="33" t="s">
        <v>43</v>
      </c>
      <c r="F3449" s="18" t="s">
        <v>62</v>
      </c>
      <c r="G3449" s="18" t="s">
        <v>3135</v>
      </c>
      <c r="H3449" s="34" t="s">
        <v>85</v>
      </c>
      <c r="I3449" s="18" t="s">
        <v>105</v>
      </c>
      <c r="J3449" s="31" t="s">
        <v>105</v>
      </c>
      <c r="K3449" s="31"/>
      <c r="N3449" s="13" t="s">
        <v>30</v>
      </c>
      <c r="O3449" s="28" t="str">
        <f>IF(D3449="","",IF(COUNTIF(离职清单!C:C,D3449)&gt;0,"已离职","在职"))</f>
        <v>在职</v>
      </c>
      <c r="P3449" s="28" t="str">
        <f>IF(AND(O3449="在职",J3449="是"),COUNTIF(O$2:O3449,"在职"),"")</f>
        <v/>
      </c>
    </row>
    <row r="3450" ht="18" spans="1:16">
      <c r="A3450" s="10">
        <f t="shared" si="59"/>
        <v>3449</v>
      </c>
      <c r="B3450" s="31">
        <v>46186</v>
      </c>
      <c r="C3450" s="32" t="s">
        <v>3138</v>
      </c>
      <c r="D3450" s="120" t="s">
        <v>486</v>
      </c>
      <c r="E3450" s="33" t="s">
        <v>43</v>
      </c>
      <c r="F3450" s="18" t="s">
        <v>63</v>
      </c>
      <c r="G3450" s="18" t="s">
        <v>3103</v>
      </c>
      <c r="H3450" s="34" t="s">
        <v>85</v>
      </c>
      <c r="I3450" s="18" t="s">
        <v>2154</v>
      </c>
      <c r="J3450" s="31" t="s">
        <v>105</v>
      </c>
      <c r="K3450" s="31"/>
      <c r="N3450" s="13" t="s">
        <v>30</v>
      </c>
      <c r="O3450" s="28" t="str">
        <f>IF(D3450="","",IF(COUNTIF(离职清单!C:C,D3450)&gt;0,"已离职","在职"))</f>
        <v>在职</v>
      </c>
      <c r="P3450" s="28" t="str">
        <f>IF(AND(O3450="在职",J3450="是"),COUNTIF(O$2:O3450,"在职"),"")</f>
        <v/>
      </c>
    </row>
    <row r="3451" ht="18" spans="1:16">
      <c r="A3451" s="14">
        <f t="shared" si="59"/>
        <v>3450</v>
      </c>
      <c r="B3451" s="31">
        <v>46186</v>
      </c>
      <c r="C3451" s="32" t="s">
        <v>3139</v>
      </c>
      <c r="D3451" s="120" t="s">
        <v>488</v>
      </c>
      <c r="E3451" s="33" t="s">
        <v>43</v>
      </c>
      <c r="F3451" s="18" t="s">
        <v>62</v>
      </c>
      <c r="G3451" s="18" t="s">
        <v>3103</v>
      </c>
      <c r="H3451" s="34" t="s">
        <v>85</v>
      </c>
      <c r="I3451" s="18" t="s">
        <v>2154</v>
      </c>
      <c r="J3451" s="31" t="s">
        <v>105</v>
      </c>
      <c r="K3451" s="31"/>
      <c r="N3451" s="13" t="s">
        <v>30</v>
      </c>
      <c r="O3451" s="28" t="str">
        <f>IF(D3451="","",IF(COUNTIF(离职清单!C:C,D3451)&gt;0,"已离职","在职"))</f>
        <v>在职</v>
      </c>
      <c r="P3451" s="28" t="str">
        <f>IF(AND(O3451="在职",J3451="是"),COUNTIF(O$2:O3451,"在职"),"")</f>
        <v/>
      </c>
    </row>
    <row r="3452" ht="18" spans="1:16">
      <c r="A3452" s="10">
        <f t="shared" si="59"/>
        <v>3451</v>
      </c>
      <c r="B3452" s="31">
        <v>46186</v>
      </c>
      <c r="C3452" s="32" t="s">
        <v>3140</v>
      </c>
      <c r="D3452" s="120" t="s">
        <v>490</v>
      </c>
      <c r="E3452" s="33" t="s">
        <v>43</v>
      </c>
      <c r="F3452" s="18" t="s">
        <v>63</v>
      </c>
      <c r="G3452" s="18" t="s">
        <v>3103</v>
      </c>
      <c r="H3452" s="34" t="s">
        <v>85</v>
      </c>
      <c r="I3452" s="18" t="s">
        <v>2154</v>
      </c>
      <c r="J3452" s="31" t="s">
        <v>105</v>
      </c>
      <c r="K3452" s="31"/>
      <c r="N3452" s="13" t="s">
        <v>30</v>
      </c>
      <c r="O3452" s="28" t="str">
        <f>IF(D3452="","",IF(COUNTIF(离职清单!C:C,D3452)&gt;0,"已离职","在职"))</f>
        <v>在职</v>
      </c>
      <c r="P3452" s="28" t="str">
        <f>IF(AND(O3452="在职",J3452="是"),COUNTIF(O$2:O3452,"在职"),"")</f>
        <v/>
      </c>
    </row>
    <row r="3453" ht="18" spans="1:16">
      <c r="A3453" s="14">
        <f t="shared" si="59"/>
        <v>3452</v>
      </c>
      <c r="B3453" s="31">
        <v>46186</v>
      </c>
      <c r="C3453" s="32" t="s">
        <v>3141</v>
      </c>
      <c r="D3453" s="120" t="s">
        <v>492</v>
      </c>
      <c r="E3453" s="33" t="s">
        <v>43</v>
      </c>
      <c r="F3453" s="18" t="s">
        <v>62</v>
      </c>
      <c r="G3453" s="18" t="s">
        <v>3103</v>
      </c>
      <c r="H3453" s="34" t="s">
        <v>85</v>
      </c>
      <c r="I3453" s="18" t="s">
        <v>2154</v>
      </c>
      <c r="J3453" s="31" t="s">
        <v>105</v>
      </c>
      <c r="K3453" s="31"/>
      <c r="N3453" s="13" t="s">
        <v>30</v>
      </c>
      <c r="O3453" s="28" t="str">
        <f>IF(D3453="","",IF(COUNTIF(离职清单!C:C,D3453)&gt;0,"已离职","在职"))</f>
        <v>在职</v>
      </c>
      <c r="P3453" s="28" t="str">
        <f>IF(AND(O3453="在职",J3453="是"),COUNTIF(O$2:O3453,"在职"),"")</f>
        <v/>
      </c>
    </row>
    <row r="3454" ht="18" spans="1:16">
      <c r="A3454" s="10">
        <f t="shared" si="59"/>
        <v>3453</v>
      </c>
      <c r="B3454" s="31">
        <v>46186</v>
      </c>
      <c r="C3454" s="32" t="s">
        <v>3142</v>
      </c>
      <c r="D3454" s="120" t="s">
        <v>477</v>
      </c>
      <c r="E3454" s="33" t="s">
        <v>43</v>
      </c>
      <c r="F3454" s="18" t="s">
        <v>62</v>
      </c>
      <c r="G3454" s="18" t="s">
        <v>3103</v>
      </c>
      <c r="H3454" s="34" t="s">
        <v>85</v>
      </c>
      <c r="I3454" s="18" t="s">
        <v>105</v>
      </c>
      <c r="J3454" s="31" t="s">
        <v>105</v>
      </c>
      <c r="K3454" s="31"/>
      <c r="N3454" s="13" t="s">
        <v>30</v>
      </c>
      <c r="O3454" s="28" t="str">
        <f>IF(D3454="","",IF(COUNTIF(离职清单!C:C,D3454)&gt;0,"已离职","在职"))</f>
        <v>在职</v>
      </c>
      <c r="P3454" s="28" t="str">
        <f>IF(AND(O3454="在职",J3454="是"),COUNTIF(O$2:O3454,"在职"),"")</f>
        <v/>
      </c>
    </row>
    <row r="3455" ht="18" spans="1:16">
      <c r="A3455" s="14">
        <f t="shared" si="59"/>
        <v>3454</v>
      </c>
      <c r="B3455" s="31">
        <v>46186</v>
      </c>
      <c r="C3455" s="32" t="s">
        <v>3143</v>
      </c>
      <c r="D3455" s="120" t="s">
        <v>478</v>
      </c>
      <c r="E3455" s="33" t="s">
        <v>43</v>
      </c>
      <c r="F3455" s="18" t="s">
        <v>62</v>
      </c>
      <c r="G3455" s="18" t="s">
        <v>3103</v>
      </c>
      <c r="H3455" s="34" t="s">
        <v>85</v>
      </c>
      <c r="I3455" s="18" t="s">
        <v>2154</v>
      </c>
      <c r="J3455" s="31" t="s">
        <v>105</v>
      </c>
      <c r="K3455" s="31"/>
      <c r="N3455" s="13" t="s">
        <v>30</v>
      </c>
      <c r="O3455" s="28" t="str">
        <f>IF(D3455="","",IF(COUNTIF(离职清单!C:C,D3455)&gt;0,"已离职","在职"))</f>
        <v>在职</v>
      </c>
      <c r="P3455" s="28" t="str">
        <f>IF(AND(O3455="在职",J3455="是"),COUNTIF(O$2:O3455,"在职"),"")</f>
        <v/>
      </c>
    </row>
    <row r="3456" ht="18" spans="1:16">
      <c r="A3456" s="10">
        <f t="shared" si="59"/>
        <v>3455</v>
      </c>
      <c r="B3456" s="31">
        <v>46186</v>
      </c>
      <c r="C3456" s="32" t="s">
        <v>3144</v>
      </c>
      <c r="D3456" s="120" t="s">
        <v>480</v>
      </c>
      <c r="E3456" s="33" t="s">
        <v>43</v>
      </c>
      <c r="F3456" s="18" t="s">
        <v>62</v>
      </c>
      <c r="G3456" s="18" t="s">
        <v>3103</v>
      </c>
      <c r="H3456" s="34" t="s">
        <v>85</v>
      </c>
      <c r="I3456" s="18" t="s">
        <v>105</v>
      </c>
      <c r="J3456" s="31" t="s">
        <v>105</v>
      </c>
      <c r="K3456" s="31"/>
      <c r="N3456" s="13" t="s">
        <v>30</v>
      </c>
      <c r="O3456" s="28" t="str">
        <f>IF(D3456="","",IF(COUNTIF(离职清单!C:C,D3456)&gt;0,"已离职","在职"))</f>
        <v>在职</v>
      </c>
      <c r="P3456" s="28" t="str">
        <f>IF(AND(O3456="在职",J3456="是"),COUNTIF(O$2:O3456,"在职"),"")</f>
        <v/>
      </c>
    </row>
    <row r="3457" ht="18" spans="1:16">
      <c r="A3457" s="14">
        <f t="shared" si="59"/>
        <v>3456</v>
      </c>
      <c r="B3457" s="31">
        <v>46186</v>
      </c>
      <c r="C3457" s="32" t="s">
        <v>3004</v>
      </c>
      <c r="D3457" s="120" t="s">
        <v>482</v>
      </c>
      <c r="E3457" s="33" t="s">
        <v>43</v>
      </c>
      <c r="F3457" s="18" t="s">
        <v>63</v>
      </c>
      <c r="G3457" s="18" t="s">
        <v>3103</v>
      </c>
      <c r="H3457" s="34" t="s">
        <v>85</v>
      </c>
      <c r="I3457" s="18" t="s">
        <v>2154</v>
      </c>
      <c r="J3457" s="31" t="s">
        <v>105</v>
      </c>
      <c r="K3457" s="31"/>
      <c r="N3457" s="13" t="s">
        <v>30</v>
      </c>
      <c r="O3457" s="28" t="str">
        <f>IF(D3457="","",IF(COUNTIF(离职清单!C:C,D3457)&gt;0,"已离职","在职"))</f>
        <v>在职</v>
      </c>
      <c r="P3457" s="28" t="str">
        <f>IF(AND(O3457="在职",J3457="是"),COUNTIF(O$2:O3457,"在职"),"")</f>
        <v/>
      </c>
    </row>
    <row r="3458" ht="18" spans="1:16">
      <c r="A3458" s="10">
        <f t="shared" si="59"/>
        <v>3457</v>
      </c>
      <c r="B3458" s="31">
        <v>46186</v>
      </c>
      <c r="C3458" s="32" t="s">
        <v>3001</v>
      </c>
      <c r="D3458" s="120" t="s">
        <v>484</v>
      </c>
      <c r="E3458" s="33" t="s">
        <v>43</v>
      </c>
      <c r="F3458" s="18" t="s">
        <v>63</v>
      </c>
      <c r="G3458" s="18" t="s">
        <v>3103</v>
      </c>
      <c r="H3458" s="34" t="s">
        <v>85</v>
      </c>
      <c r="I3458" s="18" t="s">
        <v>2154</v>
      </c>
      <c r="J3458" s="31" t="s">
        <v>105</v>
      </c>
      <c r="K3458" s="31"/>
      <c r="N3458" s="13" t="s">
        <v>30</v>
      </c>
      <c r="O3458" s="28" t="str">
        <f>IF(D3458="","",IF(COUNTIF(离职清单!C:C,D3458)&gt;0,"已离职","在职"))</f>
        <v>在职</v>
      </c>
      <c r="P3458" s="28" t="str">
        <f>IF(AND(O3458="在职",J3458="是"),COUNTIF(O$2:O3458,"在职"),"")</f>
        <v/>
      </c>
    </row>
    <row r="3459" ht="18" spans="1:16">
      <c r="A3459" s="14">
        <f t="shared" si="59"/>
        <v>3458</v>
      </c>
      <c r="B3459" s="31">
        <v>46186</v>
      </c>
      <c r="C3459" s="32" t="s">
        <v>789</v>
      </c>
      <c r="D3459" s="120" t="s">
        <v>486</v>
      </c>
      <c r="E3459" s="33" t="s">
        <v>43</v>
      </c>
      <c r="F3459" s="18" t="s">
        <v>63</v>
      </c>
      <c r="G3459" s="18" t="s">
        <v>3103</v>
      </c>
      <c r="H3459" s="34" t="s">
        <v>85</v>
      </c>
      <c r="I3459" s="18" t="s">
        <v>2154</v>
      </c>
      <c r="J3459" s="31" t="s">
        <v>105</v>
      </c>
      <c r="K3459" s="31"/>
      <c r="N3459" s="13" t="s">
        <v>30</v>
      </c>
      <c r="O3459" s="28" t="str">
        <f>IF(D3459="","",IF(COUNTIF(离职清单!C:C,D3459)&gt;0,"已离职","在职"))</f>
        <v>在职</v>
      </c>
      <c r="P3459" s="28" t="str">
        <f>IF(AND(O3459="在职",J3459="是"),COUNTIF(O$2:O3459,"在职"),"")</f>
        <v/>
      </c>
    </row>
    <row r="3460" ht="18" spans="1:16">
      <c r="A3460" s="10">
        <f t="shared" si="59"/>
        <v>3459</v>
      </c>
      <c r="B3460" s="31">
        <v>46186</v>
      </c>
      <c r="C3460" s="32" t="s">
        <v>3005</v>
      </c>
      <c r="D3460" s="120" t="s">
        <v>488</v>
      </c>
      <c r="E3460" s="33" t="s">
        <v>43</v>
      </c>
      <c r="F3460" s="18" t="s">
        <v>63</v>
      </c>
      <c r="G3460" s="18" t="s">
        <v>3103</v>
      </c>
      <c r="H3460" s="34" t="s">
        <v>85</v>
      </c>
      <c r="I3460" s="18" t="s">
        <v>2154</v>
      </c>
      <c r="J3460" s="31" t="s">
        <v>105</v>
      </c>
      <c r="K3460" s="31"/>
      <c r="N3460" s="13" t="s">
        <v>30</v>
      </c>
      <c r="O3460" s="28" t="str">
        <f>IF(D3460="","",IF(COUNTIF(离职清单!C:C,D3460)&gt;0,"已离职","在职"))</f>
        <v>在职</v>
      </c>
      <c r="P3460" s="28" t="str">
        <f>IF(AND(O3460="在职",J3460="是"),COUNTIF(O$2:O3460,"在职"),"")</f>
        <v/>
      </c>
    </row>
    <row r="3461" ht="18" spans="1:16">
      <c r="A3461" s="14">
        <f t="shared" si="59"/>
        <v>3460</v>
      </c>
      <c r="B3461" s="31">
        <v>46186</v>
      </c>
      <c r="C3461" s="32" t="s">
        <v>3003</v>
      </c>
      <c r="D3461" s="120" t="s">
        <v>490</v>
      </c>
      <c r="E3461" s="33" t="s">
        <v>43</v>
      </c>
      <c r="F3461" s="18" t="s">
        <v>63</v>
      </c>
      <c r="G3461" s="18" t="s">
        <v>3103</v>
      </c>
      <c r="H3461" s="34" t="s">
        <v>85</v>
      </c>
      <c r="I3461" s="18" t="s">
        <v>2154</v>
      </c>
      <c r="J3461" s="31" t="s">
        <v>105</v>
      </c>
      <c r="K3461" s="31"/>
      <c r="N3461" s="13" t="s">
        <v>30</v>
      </c>
      <c r="O3461" s="28" t="str">
        <f>IF(D3461="","",IF(COUNTIF(离职清单!C:C,D3461)&gt;0,"已离职","在职"))</f>
        <v>在职</v>
      </c>
      <c r="P3461" s="28" t="str">
        <f>IF(AND(O3461="在职",J3461="是"),COUNTIF(O$2:O3461,"在职"),"")</f>
        <v/>
      </c>
    </row>
    <row r="3462" ht="18" spans="1:16">
      <c r="A3462" s="10">
        <f t="shared" si="59"/>
        <v>3461</v>
      </c>
      <c r="B3462" s="31">
        <v>46186</v>
      </c>
      <c r="C3462" s="32" t="s">
        <v>2832</v>
      </c>
      <c r="D3462" s="120" t="s">
        <v>492</v>
      </c>
      <c r="E3462" s="33" t="s">
        <v>43</v>
      </c>
      <c r="F3462" s="18" t="s">
        <v>62</v>
      </c>
      <c r="G3462" s="18" t="s">
        <v>2250</v>
      </c>
      <c r="H3462" s="34" t="s">
        <v>85</v>
      </c>
      <c r="I3462" s="18" t="s">
        <v>2154</v>
      </c>
      <c r="J3462" s="31" t="s">
        <v>105</v>
      </c>
      <c r="K3462" s="31"/>
      <c r="N3462" s="13" t="s">
        <v>30</v>
      </c>
      <c r="O3462" s="28" t="str">
        <f>IF(D3462="","",IF(COUNTIF(离职清单!C:C,D3462)&gt;0,"已离职","在职"))</f>
        <v>在职</v>
      </c>
      <c r="P3462" s="28" t="str">
        <f>IF(AND(O3462="在职",J3462="是"),COUNTIF(O$2:O3462,"在职"),"")</f>
        <v/>
      </c>
    </row>
    <row r="3463" ht="18" spans="1:16">
      <c r="A3463" s="14">
        <f t="shared" si="59"/>
        <v>3462</v>
      </c>
      <c r="B3463" s="31">
        <v>46186</v>
      </c>
      <c r="C3463" s="32" t="s">
        <v>3145</v>
      </c>
      <c r="D3463" s="120" t="s">
        <v>477</v>
      </c>
      <c r="E3463" s="33" t="s">
        <v>43</v>
      </c>
      <c r="F3463" s="18" t="s">
        <v>63</v>
      </c>
      <c r="G3463" s="18" t="s">
        <v>2250</v>
      </c>
      <c r="H3463" s="34" t="s">
        <v>85</v>
      </c>
      <c r="I3463" s="18" t="s">
        <v>114</v>
      </c>
      <c r="J3463" s="31" t="s">
        <v>105</v>
      </c>
      <c r="K3463" s="31"/>
      <c r="N3463" s="13" t="s">
        <v>30</v>
      </c>
      <c r="O3463" s="28" t="str">
        <f>IF(D3463="","",IF(COUNTIF(离职清单!C:C,D3463)&gt;0,"已离职","在职"))</f>
        <v>在职</v>
      </c>
      <c r="P3463" s="28" t="str">
        <f>IF(AND(O3463="在职",J3463="是"),COUNTIF(O$2:O3463,"在职"),"")</f>
        <v/>
      </c>
    </row>
    <row r="3464" ht="18" spans="1:16">
      <c r="A3464" s="10">
        <f t="shared" si="59"/>
        <v>3463</v>
      </c>
      <c r="B3464" s="31">
        <v>46186</v>
      </c>
      <c r="C3464" s="32" t="s">
        <v>3146</v>
      </c>
      <c r="D3464" s="120" t="s">
        <v>478</v>
      </c>
      <c r="E3464" s="33" t="s">
        <v>43</v>
      </c>
      <c r="F3464" s="18" t="s">
        <v>63</v>
      </c>
      <c r="G3464" s="18" t="s">
        <v>2250</v>
      </c>
      <c r="H3464" s="34" t="s">
        <v>85</v>
      </c>
      <c r="I3464" s="18" t="s">
        <v>105</v>
      </c>
      <c r="J3464" s="31" t="s">
        <v>105</v>
      </c>
      <c r="K3464" s="31"/>
      <c r="N3464" s="13" t="s">
        <v>30</v>
      </c>
      <c r="O3464" s="28" t="str">
        <f>IF(D3464="","",IF(COUNTIF(离职清单!C:C,D3464)&gt;0,"已离职","在职"))</f>
        <v>在职</v>
      </c>
      <c r="P3464" s="28" t="str">
        <f>IF(AND(O3464="在职",J3464="是"),COUNTIF(O$2:O3464,"在职"),"")</f>
        <v/>
      </c>
    </row>
    <row r="3465" ht="18" spans="1:16">
      <c r="A3465" s="14">
        <f t="shared" si="59"/>
        <v>3464</v>
      </c>
      <c r="B3465" s="31">
        <v>46186</v>
      </c>
      <c r="C3465" s="32" t="s">
        <v>2931</v>
      </c>
      <c r="D3465" s="120" t="s">
        <v>480</v>
      </c>
      <c r="E3465" s="33" t="s">
        <v>43</v>
      </c>
      <c r="F3465" s="18" t="s">
        <v>63</v>
      </c>
      <c r="G3465" s="18" t="s">
        <v>2250</v>
      </c>
      <c r="H3465" s="34" t="s">
        <v>85</v>
      </c>
      <c r="I3465" s="18" t="s">
        <v>105</v>
      </c>
      <c r="J3465" s="31" t="s">
        <v>105</v>
      </c>
      <c r="K3465" s="31"/>
      <c r="N3465" s="13" t="s">
        <v>30</v>
      </c>
      <c r="O3465" s="28" t="str">
        <f>IF(D3465="","",IF(COUNTIF(离职清单!C:C,D3465)&gt;0,"已离职","在职"))</f>
        <v>在职</v>
      </c>
      <c r="P3465" s="28" t="str">
        <f>IF(AND(O3465="在职",J3465="是"),COUNTIF(O$2:O3465,"在职"),"")</f>
        <v/>
      </c>
    </row>
    <row r="3466" ht="18" spans="1:16">
      <c r="A3466" s="10">
        <f t="shared" si="59"/>
        <v>3465</v>
      </c>
      <c r="B3466" s="31">
        <v>46186</v>
      </c>
      <c r="C3466" s="32" t="s">
        <v>3015</v>
      </c>
      <c r="D3466" s="120" t="s">
        <v>482</v>
      </c>
      <c r="E3466" s="33" t="s">
        <v>43</v>
      </c>
      <c r="F3466" s="18" t="s">
        <v>63</v>
      </c>
      <c r="G3466" s="18" t="s">
        <v>2250</v>
      </c>
      <c r="H3466" s="34" t="s">
        <v>85</v>
      </c>
      <c r="I3466" s="18" t="s">
        <v>114</v>
      </c>
      <c r="J3466" s="31" t="s">
        <v>114</v>
      </c>
      <c r="K3466" s="31">
        <v>46188</v>
      </c>
      <c r="N3466" s="13" t="s">
        <v>30</v>
      </c>
      <c r="O3466" s="28" t="str">
        <f>IF(D3466="","",IF(COUNTIF(离职清单!C:C,D3466)&gt;0,"已离职","在职"))</f>
        <v>在职</v>
      </c>
      <c r="P3466" s="28">
        <f>IF(AND(O3466="在职",J3466="是"),COUNTIF(O$2:O3466,"在职"),"")</f>
        <v>3459</v>
      </c>
    </row>
    <row r="3467" ht="18" spans="1:16">
      <c r="A3467" s="14">
        <f t="shared" si="59"/>
        <v>3466</v>
      </c>
      <c r="B3467" s="31">
        <v>46186</v>
      </c>
      <c r="C3467" s="32" t="s">
        <v>2252</v>
      </c>
      <c r="D3467" s="120" t="s">
        <v>484</v>
      </c>
      <c r="E3467" s="33" t="s">
        <v>42</v>
      </c>
      <c r="F3467" s="18" t="s">
        <v>63</v>
      </c>
      <c r="G3467" s="18" t="s">
        <v>2250</v>
      </c>
      <c r="H3467" s="34" t="s">
        <v>85</v>
      </c>
      <c r="I3467" s="18" t="s">
        <v>114</v>
      </c>
      <c r="J3467" s="31" t="s">
        <v>114</v>
      </c>
      <c r="K3467" s="31">
        <v>46177</v>
      </c>
      <c r="N3467" s="13" t="s">
        <v>30</v>
      </c>
      <c r="O3467" s="28" t="str">
        <f>IF(D3467="","",IF(COUNTIF(离职清单!C:C,D3467)&gt;0,"已离职","在职"))</f>
        <v>在职</v>
      </c>
      <c r="P3467" s="28">
        <f>IF(AND(O3467="在职",J3467="是"),COUNTIF(O$2:O3467,"在职"),"")</f>
        <v>3460</v>
      </c>
    </row>
    <row r="3468" ht="18" spans="1:16">
      <c r="A3468" s="10">
        <f t="shared" si="59"/>
        <v>3467</v>
      </c>
      <c r="B3468" s="31">
        <v>46186</v>
      </c>
      <c r="C3468" s="32" t="s">
        <v>3147</v>
      </c>
      <c r="D3468" s="120" t="s">
        <v>486</v>
      </c>
      <c r="E3468" s="33" t="s">
        <v>43</v>
      </c>
      <c r="F3468" s="18" t="s">
        <v>63</v>
      </c>
      <c r="G3468" s="18" t="s">
        <v>2153</v>
      </c>
      <c r="H3468" s="34" t="s">
        <v>85</v>
      </c>
      <c r="I3468" s="18" t="s">
        <v>105</v>
      </c>
      <c r="J3468" s="31" t="s">
        <v>105</v>
      </c>
      <c r="K3468" s="31"/>
      <c r="N3468" s="13" t="s">
        <v>30</v>
      </c>
      <c r="O3468" s="28" t="str">
        <f>IF(D3468="","",IF(COUNTIF(离职清单!C:C,D3468)&gt;0,"已离职","在职"))</f>
        <v>在职</v>
      </c>
      <c r="P3468" s="28" t="str">
        <f>IF(AND(O3468="在职",J3468="是"),COUNTIF(O$2:O3468,"在职"),"")</f>
        <v/>
      </c>
    </row>
    <row r="3469" ht="18" spans="1:16">
      <c r="A3469" s="14">
        <f t="shared" si="59"/>
        <v>3468</v>
      </c>
      <c r="B3469" s="31">
        <v>46186</v>
      </c>
      <c r="C3469" s="32" t="s">
        <v>3148</v>
      </c>
      <c r="D3469" s="120" t="s">
        <v>488</v>
      </c>
      <c r="E3469" s="33" t="s">
        <v>43</v>
      </c>
      <c r="F3469" s="18" t="s">
        <v>63</v>
      </c>
      <c r="G3469" s="18" t="s">
        <v>1511</v>
      </c>
      <c r="H3469" s="34" t="s">
        <v>85</v>
      </c>
      <c r="I3469" s="18" t="s">
        <v>105</v>
      </c>
      <c r="J3469" s="31" t="s">
        <v>105</v>
      </c>
      <c r="K3469" s="31"/>
      <c r="N3469" s="13" t="s">
        <v>30</v>
      </c>
      <c r="O3469" s="28" t="str">
        <f>IF(D3469="","",IF(COUNTIF(离职清单!C:C,D3469)&gt;0,"已离职","在职"))</f>
        <v>在职</v>
      </c>
      <c r="P3469" s="28" t="str">
        <f>IF(AND(O3469="在职",J3469="是"),COUNTIF(O$2:O3469,"在职"),"")</f>
        <v/>
      </c>
    </row>
    <row r="3470" ht="18" spans="1:16">
      <c r="A3470" s="10">
        <f t="shared" si="59"/>
        <v>3469</v>
      </c>
      <c r="B3470" s="31">
        <v>46186</v>
      </c>
      <c r="C3470" s="32" t="s">
        <v>2684</v>
      </c>
      <c r="D3470" s="120" t="s">
        <v>490</v>
      </c>
      <c r="E3470" s="33" t="s">
        <v>42</v>
      </c>
      <c r="F3470" s="18" t="s">
        <v>63</v>
      </c>
      <c r="G3470" s="18" t="s">
        <v>1511</v>
      </c>
      <c r="H3470" s="34" t="s">
        <v>85</v>
      </c>
      <c r="I3470" s="18" t="s">
        <v>105</v>
      </c>
      <c r="J3470" s="31" t="s">
        <v>105</v>
      </c>
      <c r="K3470" s="31"/>
      <c r="N3470" s="13" t="s">
        <v>30</v>
      </c>
      <c r="O3470" s="28" t="str">
        <f>IF(D3470="","",IF(COUNTIF(离职清单!C:C,D3470)&gt;0,"已离职","在职"))</f>
        <v>在职</v>
      </c>
      <c r="P3470" s="28" t="str">
        <f>IF(AND(O3470="在职",J3470="是"),COUNTIF(O$2:O3470,"在职"),"")</f>
        <v/>
      </c>
    </row>
    <row r="3471" ht="18" spans="1:16">
      <c r="A3471" s="14">
        <f t="shared" si="59"/>
        <v>3470</v>
      </c>
      <c r="B3471" s="31">
        <v>46186</v>
      </c>
      <c r="C3471" s="32" t="s">
        <v>1958</v>
      </c>
      <c r="D3471" s="120" t="s">
        <v>492</v>
      </c>
      <c r="E3471" s="33" t="s">
        <v>43</v>
      </c>
      <c r="F3471" s="18" t="s">
        <v>62</v>
      </c>
      <c r="G3471" s="18" t="s">
        <v>124</v>
      </c>
      <c r="H3471" s="34" t="s">
        <v>85</v>
      </c>
      <c r="I3471" s="18" t="s">
        <v>114</v>
      </c>
      <c r="J3471" s="31" t="s">
        <v>105</v>
      </c>
      <c r="K3471" s="31"/>
      <c r="N3471" s="13" t="s">
        <v>30</v>
      </c>
      <c r="O3471" s="28" t="str">
        <f>IF(D3471="","",IF(COUNTIF(离职清单!C:C,D3471)&gt;0,"已离职","在职"))</f>
        <v>在职</v>
      </c>
      <c r="P3471" s="28" t="str">
        <f>IF(AND(O3471="在职",J3471="是"),COUNTIF(O$2:O3471,"在职"),"")</f>
        <v/>
      </c>
    </row>
    <row r="3472" ht="18" spans="1:16">
      <c r="A3472" s="10">
        <f t="shared" si="59"/>
        <v>3471</v>
      </c>
      <c r="B3472" s="31">
        <v>46186</v>
      </c>
      <c r="C3472" s="32" t="s">
        <v>3149</v>
      </c>
      <c r="D3472" s="120" t="s">
        <v>477</v>
      </c>
      <c r="E3472" s="33" t="s">
        <v>43</v>
      </c>
      <c r="F3472" s="18" t="s">
        <v>62</v>
      </c>
      <c r="G3472" s="18" t="s">
        <v>148</v>
      </c>
      <c r="H3472" s="34" t="s">
        <v>85</v>
      </c>
      <c r="I3472" s="18" t="s">
        <v>114</v>
      </c>
      <c r="J3472" s="31" t="s">
        <v>114</v>
      </c>
      <c r="K3472" s="31">
        <v>46188</v>
      </c>
      <c r="N3472" s="13" t="s">
        <v>30</v>
      </c>
      <c r="O3472" s="28" t="str">
        <f>IF(D3472="","",IF(COUNTIF(离职清单!C:C,D3472)&gt;0,"已离职","在职"))</f>
        <v>在职</v>
      </c>
      <c r="P3472" s="28">
        <f>IF(AND(O3472="在职",J3472="是"),COUNTIF(O$2:O3472,"在职"),"")</f>
        <v>3465</v>
      </c>
    </row>
    <row r="3473" ht="18" spans="1:16">
      <c r="A3473" s="14">
        <f t="shared" si="59"/>
        <v>3472</v>
      </c>
      <c r="B3473" s="31">
        <v>46186</v>
      </c>
      <c r="C3473" s="32" t="s">
        <v>3150</v>
      </c>
      <c r="D3473" s="120" t="s">
        <v>478</v>
      </c>
      <c r="E3473" s="33" t="s">
        <v>43</v>
      </c>
      <c r="F3473" s="18" t="s">
        <v>63</v>
      </c>
      <c r="G3473" s="18" t="s">
        <v>148</v>
      </c>
      <c r="H3473" s="34" t="s">
        <v>85</v>
      </c>
      <c r="I3473" s="18" t="s">
        <v>105</v>
      </c>
      <c r="J3473" s="31" t="s">
        <v>105</v>
      </c>
      <c r="K3473" s="31"/>
      <c r="N3473" s="13" t="s">
        <v>30</v>
      </c>
      <c r="O3473" s="28" t="str">
        <f>IF(D3473="","",IF(COUNTIF(离职清单!C:C,D3473)&gt;0,"已离职","在职"))</f>
        <v>在职</v>
      </c>
      <c r="P3473" s="28" t="str">
        <f>IF(AND(O3473="在职",J3473="是"),COUNTIF(O$2:O3473,"在职"),"")</f>
        <v/>
      </c>
    </row>
    <row r="3474" ht="18" spans="1:16">
      <c r="A3474" s="10">
        <f t="shared" si="59"/>
        <v>3473</v>
      </c>
      <c r="B3474" s="31">
        <v>46186</v>
      </c>
      <c r="C3474" s="32" t="s">
        <v>3151</v>
      </c>
      <c r="D3474" s="120" t="s">
        <v>480</v>
      </c>
      <c r="E3474" s="33" t="s">
        <v>43</v>
      </c>
      <c r="F3474" s="18" t="s">
        <v>63</v>
      </c>
      <c r="G3474" s="18" t="s">
        <v>148</v>
      </c>
      <c r="H3474" s="34" t="s">
        <v>85</v>
      </c>
      <c r="I3474" s="18" t="s">
        <v>105</v>
      </c>
      <c r="J3474" s="31" t="s">
        <v>105</v>
      </c>
      <c r="K3474" s="31"/>
      <c r="N3474" s="13" t="s">
        <v>30</v>
      </c>
      <c r="O3474" s="28" t="str">
        <f>IF(D3474="","",IF(COUNTIF(离职清单!C:C,D3474)&gt;0,"已离职","在职"))</f>
        <v>在职</v>
      </c>
      <c r="P3474" s="28" t="str">
        <f>IF(AND(O3474="在职",J3474="是"),COUNTIF(O$2:O3474,"在职"),"")</f>
        <v/>
      </c>
    </row>
    <row r="3475" ht="18" spans="1:16">
      <c r="A3475" s="14">
        <f t="shared" si="59"/>
        <v>3474</v>
      </c>
      <c r="B3475" s="31">
        <v>46186</v>
      </c>
      <c r="C3475" s="32" t="s">
        <v>2862</v>
      </c>
      <c r="D3475" s="120" t="s">
        <v>482</v>
      </c>
      <c r="E3475" s="33" t="s">
        <v>43</v>
      </c>
      <c r="F3475" s="18" t="s">
        <v>63</v>
      </c>
      <c r="G3475" s="18" t="s">
        <v>148</v>
      </c>
      <c r="H3475" s="34" t="s">
        <v>85</v>
      </c>
      <c r="I3475" s="18" t="s">
        <v>105</v>
      </c>
      <c r="J3475" s="31" t="s">
        <v>105</v>
      </c>
      <c r="K3475" s="31"/>
      <c r="N3475" s="13" t="s">
        <v>30</v>
      </c>
      <c r="O3475" s="28" t="str">
        <f>IF(D3475="","",IF(COUNTIF(离职清单!C:C,D3475)&gt;0,"已离职","在职"))</f>
        <v>在职</v>
      </c>
      <c r="P3475" s="28" t="str">
        <f>IF(AND(O3475="在职",J3475="是"),COUNTIF(O$2:O3475,"在职"),"")</f>
        <v/>
      </c>
    </row>
    <row r="3476" ht="18" spans="1:16">
      <c r="A3476" s="10">
        <f t="shared" si="59"/>
        <v>3475</v>
      </c>
      <c r="B3476" s="31">
        <v>46186</v>
      </c>
      <c r="C3476" s="32" t="s">
        <v>2866</v>
      </c>
      <c r="D3476" s="120" t="s">
        <v>484</v>
      </c>
      <c r="E3476" s="33" t="s">
        <v>43</v>
      </c>
      <c r="F3476" s="18" t="s">
        <v>64</v>
      </c>
      <c r="G3476" s="18" t="s">
        <v>148</v>
      </c>
      <c r="H3476" s="34" t="s">
        <v>85</v>
      </c>
      <c r="I3476" s="18" t="s">
        <v>105</v>
      </c>
      <c r="J3476" s="31" t="s">
        <v>105</v>
      </c>
      <c r="K3476" s="31"/>
      <c r="N3476" s="13" t="s">
        <v>30</v>
      </c>
      <c r="O3476" s="28" t="str">
        <f>IF(D3476="","",IF(COUNTIF(离职清单!C:C,D3476)&gt;0,"已离职","在职"))</f>
        <v>在职</v>
      </c>
      <c r="P3476" s="28" t="str">
        <f>IF(AND(O3476="在职",J3476="是"),COUNTIF(O$2:O3476,"在职"),"")</f>
        <v/>
      </c>
    </row>
    <row r="3477" ht="18" spans="1:16">
      <c r="A3477" s="14">
        <f t="shared" si="59"/>
        <v>3476</v>
      </c>
      <c r="B3477" s="31">
        <v>46186</v>
      </c>
      <c r="C3477" s="32" t="s">
        <v>3152</v>
      </c>
      <c r="D3477" s="120" t="s">
        <v>486</v>
      </c>
      <c r="E3477" s="33" t="s">
        <v>43</v>
      </c>
      <c r="F3477" s="18" t="s">
        <v>62</v>
      </c>
      <c r="G3477" s="18" t="s">
        <v>148</v>
      </c>
      <c r="H3477" s="34" t="s">
        <v>85</v>
      </c>
      <c r="I3477" s="18" t="s">
        <v>105</v>
      </c>
      <c r="J3477" s="31" t="s">
        <v>105</v>
      </c>
      <c r="K3477" s="31"/>
      <c r="N3477" s="13" t="s">
        <v>30</v>
      </c>
      <c r="O3477" s="28" t="str">
        <f>IF(D3477="","",IF(COUNTIF(离职清单!C:C,D3477)&gt;0,"已离职","在职"))</f>
        <v>在职</v>
      </c>
      <c r="P3477" s="28" t="str">
        <f>IF(AND(O3477="在职",J3477="是"),COUNTIF(O$2:O3477,"在职"),"")</f>
        <v/>
      </c>
    </row>
    <row r="3478" ht="18" spans="1:16">
      <c r="A3478" s="10">
        <f t="shared" si="59"/>
        <v>3477</v>
      </c>
      <c r="B3478" s="31">
        <v>46186</v>
      </c>
      <c r="C3478" s="32" t="s">
        <v>3153</v>
      </c>
      <c r="D3478" s="120" t="s">
        <v>488</v>
      </c>
      <c r="E3478" s="33" t="s">
        <v>43</v>
      </c>
      <c r="F3478" s="18" t="s">
        <v>63</v>
      </c>
      <c r="G3478" s="18" t="s">
        <v>148</v>
      </c>
      <c r="H3478" s="34" t="s">
        <v>85</v>
      </c>
      <c r="I3478" s="18" t="s">
        <v>114</v>
      </c>
      <c r="J3478" s="31" t="s">
        <v>105</v>
      </c>
      <c r="K3478" s="31"/>
      <c r="N3478" s="13" t="s">
        <v>30</v>
      </c>
      <c r="O3478" s="28" t="str">
        <f>IF(D3478="","",IF(COUNTIF(离职清单!C:C,D3478)&gt;0,"已离职","在职"))</f>
        <v>在职</v>
      </c>
      <c r="P3478" s="28" t="str">
        <f>IF(AND(O3478="在职",J3478="是"),COUNTIF(O$2:O3478,"在职"),"")</f>
        <v/>
      </c>
    </row>
    <row r="3479" ht="18" spans="1:16">
      <c r="A3479" s="14">
        <f t="shared" si="59"/>
        <v>3478</v>
      </c>
      <c r="B3479" s="31">
        <v>46186</v>
      </c>
      <c r="C3479" s="32" t="s">
        <v>3154</v>
      </c>
      <c r="D3479" s="120" t="s">
        <v>490</v>
      </c>
      <c r="E3479" s="33" t="s">
        <v>43</v>
      </c>
      <c r="F3479" s="18" t="s">
        <v>64</v>
      </c>
      <c r="G3479" s="18" t="s">
        <v>148</v>
      </c>
      <c r="H3479" s="34" t="s">
        <v>85</v>
      </c>
      <c r="I3479" s="18" t="s">
        <v>105</v>
      </c>
      <c r="J3479" s="31" t="s">
        <v>105</v>
      </c>
      <c r="K3479" s="31"/>
      <c r="N3479" s="13" t="s">
        <v>30</v>
      </c>
      <c r="O3479" s="28" t="str">
        <f>IF(D3479="","",IF(COUNTIF(离职清单!C:C,D3479)&gt;0,"已离职","在职"))</f>
        <v>在职</v>
      </c>
      <c r="P3479" s="28" t="str">
        <f>IF(AND(O3479="在职",J3479="是"),COUNTIF(O$2:O3479,"在职"),"")</f>
        <v/>
      </c>
    </row>
    <row r="3480" ht="18" spans="1:16">
      <c r="A3480" s="10">
        <f t="shared" si="59"/>
        <v>3479</v>
      </c>
      <c r="B3480" s="31">
        <v>46186</v>
      </c>
      <c r="C3480" s="32" t="s">
        <v>3155</v>
      </c>
      <c r="D3480" s="120" t="s">
        <v>492</v>
      </c>
      <c r="E3480" s="33" t="s">
        <v>43</v>
      </c>
      <c r="F3480" s="18" t="s">
        <v>64</v>
      </c>
      <c r="G3480" s="18" t="s">
        <v>148</v>
      </c>
      <c r="H3480" s="34" t="s">
        <v>85</v>
      </c>
      <c r="I3480" s="18" t="s">
        <v>105</v>
      </c>
      <c r="J3480" s="31" t="s">
        <v>105</v>
      </c>
      <c r="K3480" s="31"/>
      <c r="N3480" s="13" t="s">
        <v>30</v>
      </c>
      <c r="O3480" s="28" t="str">
        <f>IF(D3480="","",IF(COUNTIF(离职清单!C:C,D3480)&gt;0,"已离职","在职"))</f>
        <v>在职</v>
      </c>
      <c r="P3480" s="28" t="str">
        <f>IF(AND(O3480="在职",J3480="是"),COUNTIF(O$2:O3480,"在职"),"")</f>
        <v/>
      </c>
    </row>
    <row r="3481" ht="18" spans="1:16">
      <c r="A3481" s="14">
        <f t="shared" si="59"/>
        <v>3480</v>
      </c>
      <c r="B3481" s="31">
        <v>46186</v>
      </c>
      <c r="C3481" s="32" t="s">
        <v>3156</v>
      </c>
      <c r="D3481" s="120" t="s">
        <v>477</v>
      </c>
      <c r="E3481" s="33" t="s">
        <v>43</v>
      </c>
      <c r="F3481" s="18" t="s">
        <v>63</v>
      </c>
      <c r="G3481" s="18" t="s">
        <v>2195</v>
      </c>
      <c r="H3481" s="34" t="s">
        <v>85</v>
      </c>
      <c r="I3481" s="18" t="s">
        <v>105</v>
      </c>
      <c r="J3481" s="31" t="s">
        <v>105</v>
      </c>
      <c r="K3481" s="31"/>
      <c r="N3481" s="13" t="s">
        <v>30</v>
      </c>
      <c r="O3481" s="28" t="str">
        <f>IF(D3481="","",IF(COUNTIF(离职清单!C:C,D3481)&gt;0,"已离职","在职"))</f>
        <v>在职</v>
      </c>
      <c r="P3481" s="28" t="str">
        <f>IF(AND(O3481="在职",J3481="是"),COUNTIF(O$2:O3481,"在职"),"")</f>
        <v/>
      </c>
    </row>
    <row r="3482" ht="18" spans="1:16">
      <c r="A3482" s="10">
        <f t="shared" si="59"/>
        <v>3481</v>
      </c>
      <c r="B3482" s="31">
        <v>46186</v>
      </c>
      <c r="C3482" s="32" t="s">
        <v>3157</v>
      </c>
      <c r="D3482" s="120" t="s">
        <v>477</v>
      </c>
      <c r="E3482" s="33" t="s">
        <v>43</v>
      </c>
      <c r="F3482" s="18" t="s">
        <v>62</v>
      </c>
      <c r="G3482" s="18" t="s">
        <v>2195</v>
      </c>
      <c r="H3482" s="34" t="s">
        <v>85</v>
      </c>
      <c r="I3482" s="18" t="s">
        <v>105</v>
      </c>
      <c r="J3482" s="31" t="s">
        <v>105</v>
      </c>
      <c r="K3482" s="31"/>
      <c r="N3482" s="13" t="s">
        <v>30</v>
      </c>
      <c r="O3482" s="28" t="str">
        <f>IF(D3482="","",IF(COUNTIF(离职清单!C:C,D3482)&gt;0,"已离职","在职"))</f>
        <v>在职</v>
      </c>
      <c r="P3482" s="28" t="str">
        <f>IF(AND(O3482="在职",J3482="是"),COUNTIF(O$2:O3482,"在职"),"")</f>
        <v/>
      </c>
    </row>
    <row r="3483" ht="18" spans="1:16">
      <c r="A3483" s="14">
        <f t="shared" si="59"/>
        <v>3482</v>
      </c>
      <c r="B3483" s="31">
        <v>46186</v>
      </c>
      <c r="C3483" s="32" t="s">
        <v>3158</v>
      </c>
      <c r="D3483" s="120" t="s">
        <v>478</v>
      </c>
      <c r="E3483" s="33" t="s">
        <v>43</v>
      </c>
      <c r="F3483" s="18" t="s">
        <v>62</v>
      </c>
      <c r="G3483" s="18" t="s">
        <v>2195</v>
      </c>
      <c r="H3483" s="34" t="s">
        <v>85</v>
      </c>
      <c r="I3483" s="18" t="s">
        <v>114</v>
      </c>
      <c r="J3483" s="31" t="s">
        <v>114</v>
      </c>
      <c r="K3483" s="31">
        <v>46187</v>
      </c>
      <c r="N3483" s="13" t="s">
        <v>30</v>
      </c>
      <c r="O3483" s="28" t="str">
        <f>IF(D3483="","",IF(COUNTIF(离职清单!C:C,D3483)&gt;0,"已离职","在职"))</f>
        <v>在职</v>
      </c>
      <c r="P3483" s="28">
        <f>IF(AND(O3483="在职",J3483="是"),COUNTIF(O$2:O3483,"在职"),"")</f>
        <v>3476</v>
      </c>
    </row>
    <row r="3484" ht="18" spans="1:16">
      <c r="A3484" s="10">
        <f t="shared" si="59"/>
        <v>3483</v>
      </c>
      <c r="B3484" s="31">
        <v>46186</v>
      </c>
      <c r="C3484" s="32" t="s">
        <v>3159</v>
      </c>
      <c r="D3484" s="120" t="s">
        <v>480</v>
      </c>
      <c r="E3484" s="33" t="s">
        <v>43</v>
      </c>
      <c r="F3484" s="18" t="s">
        <v>62</v>
      </c>
      <c r="G3484" s="18" t="s">
        <v>3116</v>
      </c>
      <c r="H3484" s="34" t="s">
        <v>85</v>
      </c>
      <c r="I3484" s="18" t="s">
        <v>2154</v>
      </c>
      <c r="J3484" s="31" t="s">
        <v>105</v>
      </c>
      <c r="K3484" s="31"/>
      <c r="N3484" s="13" t="s">
        <v>30</v>
      </c>
      <c r="O3484" s="28" t="str">
        <f>IF(D3484="","",IF(COUNTIF(离职清单!C:C,D3484)&gt;0,"已离职","在职"))</f>
        <v>在职</v>
      </c>
      <c r="P3484" s="28" t="str">
        <f>IF(AND(O3484="在职",J3484="是"),COUNTIF(O$2:O3484,"在职"),"")</f>
        <v/>
      </c>
    </row>
    <row r="3485" ht="18" spans="1:16">
      <c r="A3485" s="14">
        <f t="shared" si="59"/>
        <v>3484</v>
      </c>
      <c r="B3485" s="31">
        <v>46186</v>
      </c>
      <c r="C3485" s="32" t="s">
        <v>3160</v>
      </c>
      <c r="D3485" s="120" t="s">
        <v>482</v>
      </c>
      <c r="E3485" s="33" t="s">
        <v>43</v>
      </c>
      <c r="F3485" s="18" t="s">
        <v>62</v>
      </c>
      <c r="G3485" s="18" t="s">
        <v>3116</v>
      </c>
      <c r="H3485" s="34" t="s">
        <v>85</v>
      </c>
      <c r="I3485" s="18" t="s">
        <v>2154</v>
      </c>
      <c r="J3485" s="31" t="s">
        <v>105</v>
      </c>
      <c r="K3485" s="31"/>
      <c r="N3485" s="13" t="s">
        <v>30</v>
      </c>
      <c r="O3485" s="28" t="str">
        <f>IF(D3485="","",IF(COUNTIF(离职清单!C:C,D3485)&gt;0,"已离职","在职"))</f>
        <v>在职</v>
      </c>
      <c r="P3485" s="28" t="str">
        <f>IF(AND(O3485="在职",J3485="是"),COUNTIF(O$2:O3485,"在职"),"")</f>
        <v/>
      </c>
    </row>
    <row r="3486" ht="18" spans="1:16">
      <c r="A3486" s="10">
        <f t="shared" si="59"/>
        <v>3485</v>
      </c>
      <c r="B3486" s="31">
        <v>46186</v>
      </c>
      <c r="C3486" s="32" t="s">
        <v>3161</v>
      </c>
      <c r="D3486" s="120" t="s">
        <v>484</v>
      </c>
      <c r="E3486" s="33" t="s">
        <v>43</v>
      </c>
      <c r="F3486" s="18" t="s">
        <v>62</v>
      </c>
      <c r="G3486" s="18" t="s">
        <v>3116</v>
      </c>
      <c r="H3486" s="34" t="s">
        <v>85</v>
      </c>
      <c r="I3486" s="18" t="s">
        <v>2154</v>
      </c>
      <c r="J3486" s="31" t="s">
        <v>105</v>
      </c>
      <c r="K3486" s="31"/>
      <c r="N3486" s="13" t="s">
        <v>30</v>
      </c>
      <c r="O3486" s="28" t="str">
        <f>IF(D3486="","",IF(COUNTIF(离职清单!C:C,D3486)&gt;0,"已离职","在职"))</f>
        <v>在职</v>
      </c>
      <c r="P3486" s="28" t="str">
        <f>IF(AND(O3486="在职",J3486="是"),COUNTIF(O$2:O3486,"在职"),"")</f>
        <v/>
      </c>
    </row>
    <row r="3487" ht="18" spans="1:16">
      <c r="A3487" s="14">
        <f t="shared" si="59"/>
        <v>3486</v>
      </c>
      <c r="B3487" s="31">
        <v>46186</v>
      </c>
      <c r="C3487" s="32" t="s">
        <v>3162</v>
      </c>
      <c r="D3487" s="120" t="s">
        <v>486</v>
      </c>
      <c r="E3487" s="33" t="s">
        <v>43</v>
      </c>
      <c r="F3487" s="18" t="s">
        <v>62</v>
      </c>
      <c r="G3487" s="18" t="s">
        <v>3116</v>
      </c>
      <c r="H3487" s="34" t="s">
        <v>85</v>
      </c>
      <c r="I3487" s="18" t="s">
        <v>114</v>
      </c>
      <c r="J3487" s="31" t="s">
        <v>105</v>
      </c>
      <c r="K3487" s="31"/>
      <c r="N3487" s="13" t="s">
        <v>30</v>
      </c>
      <c r="O3487" s="28" t="str">
        <f>IF(D3487="","",IF(COUNTIF(离职清单!C:C,D3487)&gt;0,"已离职","在职"))</f>
        <v>在职</v>
      </c>
      <c r="P3487" s="28" t="str">
        <f>IF(AND(O3487="在职",J3487="是"),COUNTIF(O$2:O3487,"在职"),"")</f>
        <v/>
      </c>
    </row>
    <row r="3488" ht="18" spans="1:16">
      <c r="A3488" s="10">
        <f t="shared" si="59"/>
        <v>3487</v>
      </c>
      <c r="B3488" s="31">
        <v>46186</v>
      </c>
      <c r="C3488" s="32" t="s">
        <v>3163</v>
      </c>
      <c r="D3488" s="120" t="s">
        <v>488</v>
      </c>
      <c r="E3488" s="33" t="s">
        <v>43</v>
      </c>
      <c r="F3488" s="18" t="s">
        <v>62</v>
      </c>
      <c r="G3488" s="18" t="s">
        <v>3116</v>
      </c>
      <c r="H3488" s="34" t="s">
        <v>85</v>
      </c>
      <c r="I3488" s="18" t="s">
        <v>2154</v>
      </c>
      <c r="J3488" s="31" t="s">
        <v>105</v>
      </c>
      <c r="K3488" s="31"/>
      <c r="N3488" s="13" t="s">
        <v>30</v>
      </c>
      <c r="O3488" s="28" t="str">
        <f>IF(D3488="","",IF(COUNTIF(离职清单!C:C,D3488)&gt;0,"已离职","在职"))</f>
        <v>在职</v>
      </c>
      <c r="P3488" s="28" t="str">
        <f>IF(AND(O3488="在职",J3488="是"),COUNTIF(O$2:O3488,"在职"),"")</f>
        <v/>
      </c>
    </row>
    <row r="3489" ht="18" spans="1:16">
      <c r="A3489" s="14">
        <f t="shared" si="59"/>
        <v>3488</v>
      </c>
      <c r="B3489" s="31">
        <v>46186</v>
      </c>
      <c r="C3489" s="32" t="s">
        <v>3164</v>
      </c>
      <c r="D3489" s="120" t="s">
        <v>490</v>
      </c>
      <c r="E3489" s="33" t="s">
        <v>43</v>
      </c>
      <c r="F3489" s="18" t="s">
        <v>63</v>
      </c>
      <c r="G3489" s="18" t="s">
        <v>3116</v>
      </c>
      <c r="H3489" s="34" t="s">
        <v>85</v>
      </c>
      <c r="I3489" s="18" t="s">
        <v>114</v>
      </c>
      <c r="J3489" s="31" t="s">
        <v>105</v>
      </c>
      <c r="K3489" s="31"/>
      <c r="N3489" s="13" t="s">
        <v>30</v>
      </c>
      <c r="O3489" s="28" t="str">
        <f>IF(D3489="","",IF(COUNTIF(离职清单!C:C,D3489)&gt;0,"已离职","在职"))</f>
        <v>在职</v>
      </c>
      <c r="P3489" s="28" t="str">
        <f>IF(AND(O3489="在职",J3489="是"),COUNTIF(O$2:O3489,"在职"),"")</f>
        <v/>
      </c>
    </row>
    <row r="3490" ht="18" spans="1:16">
      <c r="A3490" s="10">
        <f t="shared" si="59"/>
        <v>3489</v>
      </c>
      <c r="B3490" s="31">
        <v>46186</v>
      </c>
      <c r="C3490" s="32" t="s">
        <v>3165</v>
      </c>
      <c r="D3490" s="120" t="s">
        <v>492</v>
      </c>
      <c r="E3490" s="33" t="s">
        <v>43</v>
      </c>
      <c r="F3490" s="18" t="s">
        <v>63</v>
      </c>
      <c r="G3490" s="18" t="s">
        <v>3116</v>
      </c>
      <c r="H3490" s="34" t="s">
        <v>85</v>
      </c>
      <c r="I3490" s="18" t="s">
        <v>105</v>
      </c>
      <c r="J3490" s="31" t="s">
        <v>105</v>
      </c>
      <c r="K3490" s="31"/>
      <c r="N3490" s="13" t="s">
        <v>30</v>
      </c>
      <c r="O3490" s="28" t="str">
        <f>IF(D3490="","",IF(COUNTIF(离职清单!C:C,D3490)&gt;0,"已离职","在职"))</f>
        <v>在职</v>
      </c>
      <c r="P3490" s="28" t="str">
        <f>IF(AND(O3490="在职",J3490="是"),COUNTIF(O$2:O3490,"在职"),"")</f>
        <v/>
      </c>
    </row>
    <row r="3491" ht="18" spans="1:16">
      <c r="A3491" s="14">
        <f t="shared" si="59"/>
        <v>3490</v>
      </c>
      <c r="B3491" s="31">
        <v>46186</v>
      </c>
      <c r="C3491" s="32" t="s">
        <v>3166</v>
      </c>
      <c r="D3491" s="120" t="s">
        <v>477</v>
      </c>
      <c r="E3491" s="33" t="s">
        <v>43</v>
      </c>
      <c r="F3491" s="18" t="s">
        <v>63</v>
      </c>
      <c r="G3491" s="18" t="s">
        <v>3116</v>
      </c>
      <c r="H3491" s="34" t="s">
        <v>85</v>
      </c>
      <c r="I3491" s="18" t="s">
        <v>2154</v>
      </c>
      <c r="J3491" s="31" t="s">
        <v>105</v>
      </c>
      <c r="K3491" s="31"/>
      <c r="N3491" s="13" t="s">
        <v>30</v>
      </c>
      <c r="O3491" s="28" t="str">
        <f>IF(D3491="","",IF(COUNTIF(离职清单!C:C,D3491)&gt;0,"已离职","在职"))</f>
        <v>在职</v>
      </c>
      <c r="P3491" s="28" t="str">
        <f>IF(AND(O3491="在职",J3491="是"),COUNTIF(O$2:O3491,"在职"),"")</f>
        <v/>
      </c>
    </row>
    <row r="3492" ht="18" spans="1:16">
      <c r="A3492" s="10">
        <f t="shared" si="59"/>
        <v>3491</v>
      </c>
      <c r="B3492" s="31">
        <v>46186</v>
      </c>
      <c r="C3492" s="32" t="s">
        <v>3167</v>
      </c>
      <c r="D3492" s="120" t="s">
        <v>478</v>
      </c>
      <c r="E3492" s="33" t="s">
        <v>43</v>
      </c>
      <c r="F3492" s="18" t="s">
        <v>63</v>
      </c>
      <c r="G3492" s="18" t="s">
        <v>3116</v>
      </c>
      <c r="H3492" s="34" t="s">
        <v>85</v>
      </c>
      <c r="I3492" s="18" t="s">
        <v>105</v>
      </c>
      <c r="J3492" s="31" t="s">
        <v>105</v>
      </c>
      <c r="K3492" s="31"/>
      <c r="N3492" s="13" t="s">
        <v>30</v>
      </c>
      <c r="O3492" s="28" t="str">
        <f>IF(D3492="","",IF(COUNTIF(离职清单!C:C,D3492)&gt;0,"已离职","在职"))</f>
        <v>在职</v>
      </c>
      <c r="P3492" s="28" t="str">
        <f>IF(AND(O3492="在职",J3492="是"),COUNTIF(O$2:O3492,"在职"),"")</f>
        <v/>
      </c>
    </row>
    <row r="3493" ht="18" spans="1:16">
      <c r="A3493" s="14">
        <f t="shared" si="59"/>
        <v>3492</v>
      </c>
      <c r="B3493" s="31">
        <v>46186</v>
      </c>
      <c r="C3493" s="32" t="s">
        <v>3168</v>
      </c>
      <c r="D3493" s="120" t="s">
        <v>480</v>
      </c>
      <c r="E3493" s="33" t="s">
        <v>43</v>
      </c>
      <c r="F3493" s="18" t="s">
        <v>64</v>
      </c>
      <c r="G3493" s="18" t="s">
        <v>3116</v>
      </c>
      <c r="H3493" s="34" t="s">
        <v>85</v>
      </c>
      <c r="I3493" s="18" t="s">
        <v>114</v>
      </c>
      <c r="J3493" s="31" t="s">
        <v>105</v>
      </c>
      <c r="K3493" s="31"/>
      <c r="N3493" s="13" t="s">
        <v>30</v>
      </c>
      <c r="O3493" s="28" t="str">
        <f>IF(D3493="","",IF(COUNTIF(离职清单!C:C,D3493)&gt;0,"已离职","在职"))</f>
        <v>在职</v>
      </c>
      <c r="P3493" s="28" t="str">
        <f>IF(AND(O3493="在职",J3493="是"),COUNTIF(O$2:O3493,"在职"),"")</f>
        <v/>
      </c>
    </row>
    <row r="3494" ht="18" spans="1:16">
      <c r="A3494" s="10">
        <f t="shared" si="59"/>
        <v>3493</v>
      </c>
      <c r="B3494" s="31">
        <v>46186</v>
      </c>
      <c r="C3494" s="32" t="s">
        <v>3169</v>
      </c>
      <c r="D3494" s="120" t="s">
        <v>482</v>
      </c>
      <c r="E3494" s="33" t="s">
        <v>43</v>
      </c>
      <c r="F3494" s="18" t="s">
        <v>63</v>
      </c>
      <c r="G3494" s="18" t="s">
        <v>3116</v>
      </c>
      <c r="H3494" s="34" t="s">
        <v>85</v>
      </c>
      <c r="I3494" s="18" t="s">
        <v>105</v>
      </c>
      <c r="J3494" s="31" t="s">
        <v>105</v>
      </c>
      <c r="K3494" s="31"/>
      <c r="N3494" s="13" t="s">
        <v>30</v>
      </c>
      <c r="O3494" s="28" t="str">
        <f>IF(D3494="","",IF(COUNTIF(离职清单!C:C,D3494)&gt;0,"已离职","在职"))</f>
        <v>在职</v>
      </c>
      <c r="P3494" s="28" t="str">
        <f>IF(AND(O3494="在职",J3494="是"),COUNTIF(O$2:O3494,"在职"),"")</f>
        <v/>
      </c>
    </row>
    <row r="3495" ht="18" spans="1:16">
      <c r="A3495" s="14">
        <f t="shared" si="59"/>
        <v>3494</v>
      </c>
      <c r="B3495" s="31">
        <v>46186</v>
      </c>
      <c r="C3495" s="32" t="s">
        <v>3170</v>
      </c>
      <c r="D3495" s="120" t="s">
        <v>484</v>
      </c>
      <c r="E3495" s="33" t="s">
        <v>43</v>
      </c>
      <c r="F3495" s="18" t="s">
        <v>63</v>
      </c>
      <c r="G3495" s="18" t="s">
        <v>3116</v>
      </c>
      <c r="H3495" s="34" t="s">
        <v>85</v>
      </c>
      <c r="I3495" s="18" t="s">
        <v>105</v>
      </c>
      <c r="J3495" s="31" t="s">
        <v>105</v>
      </c>
      <c r="K3495" s="31"/>
      <c r="N3495" s="13" t="s">
        <v>30</v>
      </c>
      <c r="O3495" s="28" t="str">
        <f>IF(D3495="","",IF(COUNTIF(离职清单!C:C,D3495)&gt;0,"已离职","在职"))</f>
        <v>在职</v>
      </c>
      <c r="P3495" s="28" t="str">
        <f>IF(AND(O3495="在职",J3495="是"),COUNTIF(O$2:O3495,"在职"),"")</f>
        <v/>
      </c>
    </row>
    <row r="3496" ht="18" spans="1:16">
      <c r="A3496" s="10">
        <f t="shared" si="59"/>
        <v>3495</v>
      </c>
      <c r="B3496" s="31">
        <v>46186</v>
      </c>
      <c r="C3496" s="32" t="s">
        <v>3171</v>
      </c>
      <c r="D3496" s="120" t="s">
        <v>486</v>
      </c>
      <c r="E3496" s="33" t="s">
        <v>43</v>
      </c>
      <c r="F3496" s="18" t="s">
        <v>63</v>
      </c>
      <c r="G3496" s="18" t="s">
        <v>3116</v>
      </c>
      <c r="H3496" s="34" t="s">
        <v>85</v>
      </c>
      <c r="I3496" s="18" t="s">
        <v>105</v>
      </c>
      <c r="J3496" s="31" t="s">
        <v>105</v>
      </c>
      <c r="K3496" s="31"/>
      <c r="N3496" s="13" t="s">
        <v>30</v>
      </c>
      <c r="O3496" s="28" t="str">
        <f>IF(D3496="","",IF(COUNTIF(离职清单!C:C,D3496)&gt;0,"已离职","在职"))</f>
        <v>在职</v>
      </c>
      <c r="P3496" s="28" t="str">
        <f>IF(AND(O3496="在职",J3496="是"),COUNTIF(O$2:O3496,"在职"),"")</f>
        <v/>
      </c>
    </row>
    <row r="3497" ht="18" spans="1:16">
      <c r="A3497" s="14">
        <f t="shared" si="59"/>
        <v>3496</v>
      </c>
      <c r="B3497" s="31">
        <v>46186</v>
      </c>
      <c r="C3497" s="32" t="s">
        <v>3172</v>
      </c>
      <c r="D3497" s="120" t="s">
        <v>488</v>
      </c>
      <c r="E3497" s="33" t="s">
        <v>43</v>
      </c>
      <c r="F3497" s="18" t="s">
        <v>63</v>
      </c>
      <c r="G3497" s="18" t="s">
        <v>3116</v>
      </c>
      <c r="H3497" s="34" t="s">
        <v>85</v>
      </c>
      <c r="I3497" s="18" t="s">
        <v>105</v>
      </c>
      <c r="J3497" s="31" t="s">
        <v>105</v>
      </c>
      <c r="K3497" s="31"/>
      <c r="N3497" s="13" t="s">
        <v>30</v>
      </c>
      <c r="O3497" s="28" t="str">
        <f>IF(D3497="","",IF(COUNTIF(离职清单!C:C,D3497)&gt;0,"已离职","在职"))</f>
        <v>在职</v>
      </c>
      <c r="P3497" s="28" t="str">
        <f>IF(AND(O3497="在职",J3497="是"),COUNTIF(O$2:O3497,"在职"),"")</f>
        <v/>
      </c>
    </row>
    <row r="3498" ht="18" spans="1:16">
      <c r="A3498" s="10">
        <f t="shared" si="59"/>
        <v>3497</v>
      </c>
      <c r="B3498" s="31">
        <v>46186</v>
      </c>
      <c r="C3498" s="32" t="s">
        <v>2234</v>
      </c>
      <c r="D3498" s="120" t="s">
        <v>490</v>
      </c>
      <c r="E3498" s="33" t="s">
        <v>42</v>
      </c>
      <c r="F3498" s="18" t="s">
        <v>63</v>
      </c>
      <c r="G3498" s="18" t="s">
        <v>3116</v>
      </c>
      <c r="H3498" s="34" t="s">
        <v>85</v>
      </c>
      <c r="I3498" s="18" t="s">
        <v>105</v>
      </c>
      <c r="J3498" s="31" t="s">
        <v>105</v>
      </c>
      <c r="K3498" s="31"/>
      <c r="N3498" s="13" t="s">
        <v>30</v>
      </c>
      <c r="O3498" s="28" t="str">
        <f>IF(D3498="","",IF(COUNTIF(离职清单!C:C,D3498)&gt;0,"已离职","在职"))</f>
        <v>在职</v>
      </c>
      <c r="P3498" s="28" t="str">
        <f>IF(AND(O3498="在职",J3498="是"),COUNTIF(O$2:O3498,"在职"),"")</f>
        <v/>
      </c>
    </row>
    <row r="3499" ht="18" spans="1:16">
      <c r="A3499" s="14">
        <f t="shared" si="59"/>
        <v>3498</v>
      </c>
      <c r="B3499" s="31">
        <v>46186</v>
      </c>
      <c r="C3499" s="32" t="s">
        <v>1424</v>
      </c>
      <c r="D3499" s="120" t="s">
        <v>492</v>
      </c>
      <c r="E3499" s="33" t="s">
        <v>43</v>
      </c>
      <c r="F3499" s="18" t="s">
        <v>63</v>
      </c>
      <c r="G3499" s="18" t="s">
        <v>3116</v>
      </c>
      <c r="H3499" s="34" t="s">
        <v>85</v>
      </c>
      <c r="I3499" s="18" t="s">
        <v>105</v>
      </c>
      <c r="J3499" s="31" t="s">
        <v>105</v>
      </c>
      <c r="K3499" s="31"/>
      <c r="N3499" s="13" t="s">
        <v>30</v>
      </c>
      <c r="O3499" s="28" t="str">
        <f>IF(D3499="","",IF(COUNTIF(离职清单!C:C,D3499)&gt;0,"已离职","在职"))</f>
        <v>在职</v>
      </c>
      <c r="P3499" s="28" t="str">
        <f>IF(AND(O3499="在职",J3499="是"),COUNTIF(O$2:O3499,"在职"),"")</f>
        <v/>
      </c>
    </row>
    <row r="3500" ht="18" spans="1:16">
      <c r="A3500" s="10">
        <f t="shared" ref="A3500:A3563" si="60">IF(B3500&lt;&gt;"",ROW()-1,"")</f>
        <v>3499</v>
      </c>
      <c r="B3500" s="31">
        <v>46186</v>
      </c>
      <c r="C3500" s="32" t="s">
        <v>2892</v>
      </c>
      <c r="D3500" s="120" t="s">
        <v>477</v>
      </c>
      <c r="E3500" s="33" t="s">
        <v>42</v>
      </c>
      <c r="F3500" s="18" t="s">
        <v>63</v>
      </c>
      <c r="G3500" s="18" t="s">
        <v>233</v>
      </c>
      <c r="H3500" s="34" t="s">
        <v>85</v>
      </c>
      <c r="I3500" s="18" t="s">
        <v>114</v>
      </c>
      <c r="J3500" s="31" t="s">
        <v>105</v>
      </c>
      <c r="K3500" s="31"/>
      <c r="N3500" s="13" t="s">
        <v>30</v>
      </c>
      <c r="O3500" s="28" t="str">
        <f>IF(D3500="","",IF(COUNTIF(离职清单!C:C,D3500)&gt;0,"已离职","在职"))</f>
        <v>在职</v>
      </c>
      <c r="P3500" s="28" t="str">
        <f>IF(AND(O3500="在职",J3500="是"),COUNTIF(O$2:O3500,"在职"),"")</f>
        <v/>
      </c>
    </row>
    <row r="3501" ht="18" spans="1:16">
      <c r="A3501" s="14">
        <f t="shared" si="60"/>
        <v>3500</v>
      </c>
      <c r="B3501" s="31">
        <v>46186</v>
      </c>
      <c r="C3501" s="32" t="s">
        <v>3030</v>
      </c>
      <c r="D3501" s="120" t="s">
        <v>478</v>
      </c>
      <c r="E3501" s="33" t="s">
        <v>43</v>
      </c>
      <c r="F3501" s="18" t="s">
        <v>63</v>
      </c>
      <c r="G3501" s="18" t="s">
        <v>2181</v>
      </c>
      <c r="H3501" s="34" t="s">
        <v>85</v>
      </c>
      <c r="I3501" s="18" t="s">
        <v>2154</v>
      </c>
      <c r="J3501" s="31" t="s">
        <v>105</v>
      </c>
      <c r="K3501" s="31"/>
      <c r="N3501" s="13" t="s">
        <v>30</v>
      </c>
      <c r="O3501" s="28" t="str">
        <f>IF(D3501="","",IF(COUNTIF(离职清单!C:C,D3501)&gt;0,"已离职","在职"))</f>
        <v>在职</v>
      </c>
      <c r="P3501" s="28" t="str">
        <f>IF(AND(O3501="在职",J3501="是"),COUNTIF(O$2:O3501,"在职"),"")</f>
        <v/>
      </c>
    </row>
    <row r="3502" ht="18" spans="1:16">
      <c r="A3502" s="10">
        <f t="shared" si="60"/>
        <v>3501</v>
      </c>
      <c r="B3502" s="31">
        <v>46186</v>
      </c>
      <c r="C3502" s="32" t="s">
        <v>3173</v>
      </c>
      <c r="D3502" s="120" t="s">
        <v>480</v>
      </c>
      <c r="E3502" s="33" t="s">
        <v>43</v>
      </c>
      <c r="F3502" s="18" t="s">
        <v>63</v>
      </c>
      <c r="G3502" s="18" t="s">
        <v>129</v>
      </c>
      <c r="H3502" s="34" t="s">
        <v>85</v>
      </c>
      <c r="I3502" s="18" t="s">
        <v>114</v>
      </c>
      <c r="J3502" s="31" t="s">
        <v>105</v>
      </c>
      <c r="K3502" s="31"/>
      <c r="N3502" s="13" t="s">
        <v>30</v>
      </c>
      <c r="O3502" s="28" t="str">
        <f>IF(D3502="","",IF(COUNTIF(离职清单!C:C,D3502)&gt;0,"已离职","在职"))</f>
        <v>在职</v>
      </c>
      <c r="P3502" s="28" t="str">
        <f>IF(AND(O3502="在职",J3502="是"),COUNTIF(O$2:O3502,"在职"),"")</f>
        <v/>
      </c>
    </row>
    <row r="3503" ht="18" spans="1:16">
      <c r="A3503" s="14">
        <f t="shared" si="60"/>
        <v>3502</v>
      </c>
      <c r="B3503" s="31">
        <v>46186</v>
      </c>
      <c r="C3503" s="32" t="s">
        <v>503</v>
      </c>
      <c r="D3503" s="120" t="s">
        <v>482</v>
      </c>
      <c r="E3503" s="33" t="s">
        <v>43</v>
      </c>
      <c r="F3503" s="18" t="s">
        <v>64</v>
      </c>
      <c r="G3503" s="18" t="s">
        <v>129</v>
      </c>
      <c r="H3503" s="34" t="s">
        <v>85</v>
      </c>
      <c r="I3503" s="18" t="s">
        <v>114</v>
      </c>
      <c r="J3503" s="31" t="s">
        <v>114</v>
      </c>
      <c r="K3503" s="31">
        <v>46188</v>
      </c>
      <c r="N3503" s="13" t="s">
        <v>30</v>
      </c>
      <c r="O3503" s="28" t="str">
        <f>IF(D3503="","",IF(COUNTIF(离职清单!C:C,D3503)&gt;0,"已离职","在职"))</f>
        <v>在职</v>
      </c>
      <c r="P3503" s="28">
        <f>IF(AND(O3503="在职",J3503="是"),COUNTIF(O$2:O3503,"在职"),"")</f>
        <v>3496</v>
      </c>
    </row>
    <row r="3504" ht="18" spans="1:16">
      <c r="A3504" s="10">
        <f t="shared" si="60"/>
        <v>3503</v>
      </c>
      <c r="B3504" s="31">
        <v>46186</v>
      </c>
      <c r="C3504" s="32" t="s">
        <v>3174</v>
      </c>
      <c r="D3504" s="120" t="s">
        <v>484</v>
      </c>
      <c r="E3504" s="33" t="s">
        <v>43</v>
      </c>
      <c r="F3504" s="18" t="s">
        <v>63</v>
      </c>
      <c r="G3504" s="18" t="s">
        <v>129</v>
      </c>
      <c r="H3504" s="34" t="s">
        <v>85</v>
      </c>
      <c r="I3504" s="18" t="s">
        <v>114</v>
      </c>
      <c r="J3504" s="31" t="s">
        <v>105</v>
      </c>
      <c r="K3504" s="31"/>
      <c r="N3504" s="13" t="s">
        <v>30</v>
      </c>
      <c r="O3504" s="28" t="str">
        <f>IF(D3504="","",IF(COUNTIF(离职清单!C:C,D3504)&gt;0,"已离职","在职"))</f>
        <v>在职</v>
      </c>
      <c r="P3504" s="28" t="str">
        <f>IF(AND(O3504="在职",J3504="是"),COUNTIF(O$2:O3504,"在职"),"")</f>
        <v/>
      </c>
    </row>
    <row r="3505" ht="18" spans="1:16">
      <c r="A3505" s="14">
        <f t="shared" si="60"/>
        <v>3504</v>
      </c>
      <c r="B3505" s="31">
        <v>46186</v>
      </c>
      <c r="C3505" s="32" t="s">
        <v>3175</v>
      </c>
      <c r="D3505" s="120" t="s">
        <v>486</v>
      </c>
      <c r="E3505" s="33" t="s">
        <v>43</v>
      </c>
      <c r="F3505" s="18" t="s">
        <v>64</v>
      </c>
      <c r="G3505" s="18" t="s">
        <v>129</v>
      </c>
      <c r="H3505" s="34" t="s">
        <v>85</v>
      </c>
      <c r="I3505" s="18" t="s">
        <v>114</v>
      </c>
      <c r="J3505" s="31" t="s">
        <v>105</v>
      </c>
      <c r="K3505" s="31"/>
      <c r="N3505" s="13" t="s">
        <v>30</v>
      </c>
      <c r="O3505" s="28" t="str">
        <f>IF(D3505="","",IF(COUNTIF(离职清单!C:C,D3505)&gt;0,"已离职","在职"))</f>
        <v>在职</v>
      </c>
      <c r="P3505" s="28" t="str">
        <f>IF(AND(O3505="在职",J3505="是"),COUNTIF(O$2:O3505,"在职"),"")</f>
        <v/>
      </c>
    </row>
    <row r="3506" ht="18" spans="1:16">
      <c r="A3506" s="10">
        <f t="shared" si="60"/>
        <v>3505</v>
      </c>
      <c r="B3506" s="31">
        <v>46186</v>
      </c>
      <c r="C3506" s="32" t="s">
        <v>3176</v>
      </c>
      <c r="D3506" s="120" t="s">
        <v>488</v>
      </c>
      <c r="E3506" s="33" t="s">
        <v>43</v>
      </c>
      <c r="F3506" s="18" t="s">
        <v>64</v>
      </c>
      <c r="G3506" s="18" t="s">
        <v>129</v>
      </c>
      <c r="H3506" s="34" t="s">
        <v>85</v>
      </c>
      <c r="I3506" s="18" t="s">
        <v>114</v>
      </c>
      <c r="J3506" s="31" t="s">
        <v>105</v>
      </c>
      <c r="K3506" s="31"/>
      <c r="N3506" s="13" t="s">
        <v>30</v>
      </c>
      <c r="O3506" s="28" t="str">
        <f>IF(D3506="","",IF(COUNTIF(离职清单!C:C,D3506)&gt;0,"已离职","在职"))</f>
        <v>在职</v>
      </c>
      <c r="P3506" s="28" t="str">
        <f>IF(AND(O3506="在职",J3506="是"),COUNTIF(O$2:O3506,"在职"),"")</f>
        <v/>
      </c>
    </row>
    <row r="3507" ht="18" spans="1:16">
      <c r="A3507" s="14">
        <f t="shared" si="60"/>
        <v>3506</v>
      </c>
      <c r="B3507" s="31">
        <v>46186</v>
      </c>
      <c r="C3507" s="32" t="s">
        <v>3177</v>
      </c>
      <c r="D3507" s="120" t="s">
        <v>490</v>
      </c>
      <c r="E3507" s="33" t="s">
        <v>43</v>
      </c>
      <c r="F3507" s="18" t="s">
        <v>62</v>
      </c>
      <c r="G3507" s="18" t="s">
        <v>129</v>
      </c>
      <c r="H3507" s="34" t="s">
        <v>85</v>
      </c>
      <c r="I3507" s="18" t="s">
        <v>2154</v>
      </c>
      <c r="J3507" s="31" t="s">
        <v>105</v>
      </c>
      <c r="K3507" s="31"/>
      <c r="N3507" s="13" t="s">
        <v>30</v>
      </c>
      <c r="O3507" s="28" t="str">
        <f>IF(D3507="","",IF(COUNTIF(离职清单!C:C,D3507)&gt;0,"已离职","在职"))</f>
        <v>在职</v>
      </c>
      <c r="P3507" s="28" t="str">
        <f>IF(AND(O3507="在职",J3507="是"),COUNTIF(O$2:O3507,"在职"),"")</f>
        <v/>
      </c>
    </row>
    <row r="3508" ht="18" spans="1:16">
      <c r="A3508" s="10">
        <f t="shared" si="60"/>
        <v>3507</v>
      </c>
      <c r="B3508" s="31">
        <v>46186</v>
      </c>
      <c r="C3508" s="32" t="s">
        <v>2535</v>
      </c>
      <c r="D3508" s="120" t="s">
        <v>492</v>
      </c>
      <c r="E3508" s="33" t="s">
        <v>43</v>
      </c>
      <c r="F3508" s="18" t="s">
        <v>63</v>
      </c>
      <c r="G3508" s="18" t="s">
        <v>2317</v>
      </c>
      <c r="H3508" s="34" t="s">
        <v>85</v>
      </c>
      <c r="I3508" s="18" t="s">
        <v>2154</v>
      </c>
      <c r="J3508" s="31" t="s">
        <v>105</v>
      </c>
      <c r="K3508" s="31"/>
      <c r="N3508" s="13" t="s">
        <v>30</v>
      </c>
      <c r="O3508" s="28" t="str">
        <f>IF(D3508="","",IF(COUNTIF(离职清单!C:C,D3508)&gt;0,"已离职","在职"))</f>
        <v>在职</v>
      </c>
      <c r="P3508" s="28" t="str">
        <f>IF(AND(O3508="在职",J3508="是"),COUNTIF(O$2:O3508,"在职"),"")</f>
        <v/>
      </c>
    </row>
    <row r="3509" ht="18" spans="1:16">
      <c r="A3509" s="14">
        <f t="shared" si="60"/>
        <v>3508</v>
      </c>
      <c r="B3509" s="31">
        <v>46186</v>
      </c>
      <c r="C3509" s="32" t="s">
        <v>3178</v>
      </c>
      <c r="D3509" s="120" t="s">
        <v>477</v>
      </c>
      <c r="E3509" s="33" t="s">
        <v>43</v>
      </c>
      <c r="F3509" s="18" t="s">
        <v>62</v>
      </c>
      <c r="G3509" s="18" t="s">
        <v>3122</v>
      </c>
      <c r="H3509" s="34" t="s">
        <v>85</v>
      </c>
      <c r="I3509" s="18" t="s">
        <v>2154</v>
      </c>
      <c r="J3509" s="31" t="s">
        <v>105</v>
      </c>
      <c r="K3509" s="31"/>
      <c r="N3509" s="13" t="s">
        <v>30</v>
      </c>
      <c r="O3509" s="28" t="str">
        <f>IF(D3509="","",IF(COUNTIF(离职清单!C:C,D3509)&gt;0,"已离职","在职"))</f>
        <v>在职</v>
      </c>
      <c r="P3509" s="28" t="str">
        <f>IF(AND(O3509="在职",J3509="是"),COUNTIF(O$2:O3509,"在职"),"")</f>
        <v/>
      </c>
    </row>
    <row r="3510" ht="18" spans="1:16">
      <c r="A3510" s="10">
        <f t="shared" si="60"/>
        <v>3509</v>
      </c>
      <c r="B3510" s="31">
        <v>46186</v>
      </c>
      <c r="C3510" s="32" t="s">
        <v>3179</v>
      </c>
      <c r="D3510" s="120" t="s">
        <v>478</v>
      </c>
      <c r="E3510" s="33" t="s">
        <v>43</v>
      </c>
      <c r="F3510" s="18" t="s">
        <v>62</v>
      </c>
      <c r="G3510" s="18" t="s">
        <v>3122</v>
      </c>
      <c r="H3510" s="34" t="s">
        <v>85</v>
      </c>
      <c r="I3510" s="18" t="s">
        <v>2154</v>
      </c>
      <c r="J3510" s="31" t="s">
        <v>105</v>
      </c>
      <c r="K3510" s="31"/>
      <c r="N3510" s="13" t="s">
        <v>30</v>
      </c>
      <c r="O3510" s="28" t="str">
        <f>IF(D3510="","",IF(COUNTIF(离职清单!C:C,D3510)&gt;0,"已离职","在职"))</f>
        <v>在职</v>
      </c>
      <c r="P3510" s="28" t="str">
        <f>IF(AND(O3510="在职",J3510="是"),COUNTIF(O$2:O3510,"在职"),"")</f>
        <v/>
      </c>
    </row>
    <row r="3511" ht="18" spans="1:16">
      <c r="A3511" s="14">
        <f t="shared" si="60"/>
        <v>3510</v>
      </c>
      <c r="B3511" s="31">
        <v>46186</v>
      </c>
      <c r="C3511" s="32" t="s">
        <v>3180</v>
      </c>
      <c r="D3511" s="120" t="s">
        <v>480</v>
      </c>
      <c r="E3511" s="33" t="s">
        <v>43</v>
      </c>
      <c r="F3511" s="18" t="s">
        <v>63</v>
      </c>
      <c r="G3511" s="18" t="s">
        <v>3122</v>
      </c>
      <c r="H3511" s="34" t="s">
        <v>85</v>
      </c>
      <c r="I3511" s="18" t="s">
        <v>2154</v>
      </c>
      <c r="J3511" s="31" t="s">
        <v>105</v>
      </c>
      <c r="K3511" s="31"/>
      <c r="N3511" s="13" t="s">
        <v>30</v>
      </c>
      <c r="O3511" s="28" t="str">
        <f>IF(D3511="","",IF(COUNTIF(离职清单!C:C,D3511)&gt;0,"已离职","在职"))</f>
        <v>在职</v>
      </c>
      <c r="P3511" s="28" t="str">
        <f>IF(AND(O3511="在职",J3511="是"),COUNTIF(O$2:O3511,"在职"),"")</f>
        <v/>
      </c>
    </row>
    <row r="3512" ht="18" spans="1:16">
      <c r="A3512" s="10">
        <f t="shared" si="60"/>
        <v>3511</v>
      </c>
      <c r="B3512" s="31">
        <v>46186</v>
      </c>
      <c r="C3512" s="32" t="s">
        <v>3181</v>
      </c>
      <c r="D3512" s="120" t="s">
        <v>482</v>
      </c>
      <c r="E3512" s="33" t="s">
        <v>43</v>
      </c>
      <c r="F3512" s="18" t="s">
        <v>63</v>
      </c>
      <c r="G3512" s="18" t="s">
        <v>3122</v>
      </c>
      <c r="H3512" s="34" t="s">
        <v>85</v>
      </c>
      <c r="I3512" s="18" t="s">
        <v>2154</v>
      </c>
      <c r="J3512" s="31" t="s">
        <v>105</v>
      </c>
      <c r="K3512" s="31"/>
      <c r="N3512" s="13" t="s">
        <v>30</v>
      </c>
      <c r="O3512" s="28" t="str">
        <f>IF(D3512="","",IF(COUNTIF(离职清单!C:C,D3512)&gt;0,"已离职","在职"))</f>
        <v>在职</v>
      </c>
      <c r="P3512" s="28" t="str">
        <f>IF(AND(O3512="在职",J3512="是"),COUNTIF(O$2:O3512,"在职"),"")</f>
        <v/>
      </c>
    </row>
    <row r="3513" ht="18" spans="1:16">
      <c r="A3513" s="14">
        <f t="shared" si="60"/>
        <v>3512</v>
      </c>
      <c r="B3513" s="31">
        <v>46186</v>
      </c>
      <c r="C3513" s="32" t="s">
        <v>3182</v>
      </c>
      <c r="D3513" s="120" t="s">
        <v>484</v>
      </c>
      <c r="E3513" s="33" t="s">
        <v>43</v>
      </c>
      <c r="F3513" s="18" t="s">
        <v>63</v>
      </c>
      <c r="G3513" s="18" t="s">
        <v>3122</v>
      </c>
      <c r="H3513" s="34" t="s">
        <v>85</v>
      </c>
      <c r="I3513" s="18" t="s">
        <v>2154</v>
      </c>
      <c r="J3513" s="31" t="s">
        <v>105</v>
      </c>
      <c r="K3513" s="31"/>
      <c r="N3513" s="13" t="s">
        <v>30</v>
      </c>
      <c r="O3513" s="28" t="str">
        <f>IF(D3513="","",IF(COUNTIF(离职清单!C:C,D3513)&gt;0,"已离职","在职"))</f>
        <v>在职</v>
      </c>
      <c r="P3513" s="28" t="str">
        <f>IF(AND(O3513="在职",J3513="是"),COUNTIF(O$2:O3513,"在职"),"")</f>
        <v/>
      </c>
    </row>
    <row r="3514" ht="18" spans="1:16">
      <c r="A3514" s="10">
        <f t="shared" si="60"/>
        <v>3513</v>
      </c>
      <c r="B3514" s="31">
        <v>46186</v>
      </c>
      <c r="C3514" s="32" t="s">
        <v>3183</v>
      </c>
      <c r="D3514" s="120" t="s">
        <v>486</v>
      </c>
      <c r="E3514" s="33" t="s">
        <v>43</v>
      </c>
      <c r="F3514" s="18" t="s">
        <v>63</v>
      </c>
      <c r="G3514" s="18" t="s">
        <v>1056</v>
      </c>
      <c r="H3514" s="34" t="s">
        <v>85</v>
      </c>
      <c r="I3514" s="18" t="s">
        <v>2154</v>
      </c>
      <c r="J3514" s="31" t="s">
        <v>105</v>
      </c>
      <c r="K3514" s="31"/>
      <c r="N3514" s="13" t="s">
        <v>30</v>
      </c>
      <c r="O3514" s="28" t="str">
        <f>IF(D3514="","",IF(COUNTIF(离职清单!C:C,D3514)&gt;0,"已离职","在职"))</f>
        <v>在职</v>
      </c>
      <c r="P3514" s="28" t="str">
        <f>IF(AND(O3514="在职",J3514="是"),COUNTIF(O$2:O3514,"在职"),"")</f>
        <v/>
      </c>
    </row>
    <row r="3515" ht="18" spans="1:16">
      <c r="A3515" s="14">
        <f t="shared" si="60"/>
        <v>3514</v>
      </c>
      <c r="B3515" s="31">
        <v>46186</v>
      </c>
      <c r="C3515" s="32" t="s">
        <v>3184</v>
      </c>
      <c r="D3515" s="120" t="s">
        <v>488</v>
      </c>
      <c r="E3515" s="33" t="s">
        <v>43</v>
      </c>
      <c r="F3515" s="18" t="s">
        <v>62</v>
      </c>
      <c r="G3515" s="18" t="s">
        <v>1056</v>
      </c>
      <c r="H3515" s="34" t="s">
        <v>85</v>
      </c>
      <c r="I3515" s="18" t="s">
        <v>2154</v>
      </c>
      <c r="J3515" s="31" t="s">
        <v>105</v>
      </c>
      <c r="K3515" s="31"/>
      <c r="N3515" s="13" t="s">
        <v>30</v>
      </c>
      <c r="O3515" s="28" t="str">
        <f>IF(D3515="","",IF(COUNTIF(离职清单!C:C,D3515)&gt;0,"已离职","在职"))</f>
        <v>在职</v>
      </c>
      <c r="P3515" s="28" t="str">
        <f>IF(AND(O3515="在职",J3515="是"),COUNTIF(O$2:O3515,"在职"),"")</f>
        <v/>
      </c>
    </row>
    <row r="3516" ht="18" spans="1:16">
      <c r="A3516" s="10">
        <f t="shared" si="60"/>
        <v>3515</v>
      </c>
      <c r="B3516" s="31">
        <v>46186</v>
      </c>
      <c r="C3516" s="32" t="s">
        <v>3185</v>
      </c>
      <c r="D3516" s="120" t="s">
        <v>490</v>
      </c>
      <c r="E3516" s="33" t="s">
        <v>43</v>
      </c>
      <c r="F3516" s="18" t="s">
        <v>63</v>
      </c>
      <c r="G3516" s="18" t="s">
        <v>1056</v>
      </c>
      <c r="H3516" s="34" t="s">
        <v>85</v>
      </c>
      <c r="I3516" s="18" t="s">
        <v>114</v>
      </c>
      <c r="J3516" s="31" t="s">
        <v>105</v>
      </c>
      <c r="K3516" s="31"/>
      <c r="N3516" s="13" t="s">
        <v>30</v>
      </c>
      <c r="O3516" s="28" t="str">
        <f>IF(D3516="","",IF(COUNTIF(离职清单!C:C,D3516)&gt;0,"已离职","在职"))</f>
        <v>在职</v>
      </c>
      <c r="P3516" s="28" t="str">
        <f>IF(AND(O3516="在职",J3516="是"),COUNTIF(O$2:O3516,"在职"),"")</f>
        <v/>
      </c>
    </row>
    <row r="3517" ht="18" spans="1:16">
      <c r="A3517" s="14">
        <f t="shared" si="60"/>
        <v>3516</v>
      </c>
      <c r="B3517" s="31">
        <v>46186</v>
      </c>
      <c r="C3517" s="32" t="s">
        <v>3186</v>
      </c>
      <c r="D3517" s="120" t="s">
        <v>492</v>
      </c>
      <c r="E3517" s="33" t="s">
        <v>43</v>
      </c>
      <c r="F3517" s="18" t="s">
        <v>63</v>
      </c>
      <c r="G3517" s="18" t="s">
        <v>1056</v>
      </c>
      <c r="H3517" s="34" t="s">
        <v>85</v>
      </c>
      <c r="I3517" s="18" t="s">
        <v>114</v>
      </c>
      <c r="J3517" s="31" t="s">
        <v>105</v>
      </c>
      <c r="K3517" s="31"/>
      <c r="N3517" s="13" t="s">
        <v>30</v>
      </c>
      <c r="O3517" s="28" t="str">
        <f>IF(D3517="","",IF(COUNTIF(离职清单!C:C,D3517)&gt;0,"已离职","在职"))</f>
        <v>在职</v>
      </c>
      <c r="P3517" s="28" t="str">
        <f>IF(AND(O3517="在职",J3517="是"),COUNTIF(O$2:O3517,"在职"),"")</f>
        <v/>
      </c>
    </row>
    <row r="3518" ht="18" spans="1:16">
      <c r="A3518" s="10">
        <f t="shared" si="60"/>
        <v>3517</v>
      </c>
      <c r="B3518" s="31">
        <v>46186</v>
      </c>
      <c r="C3518" s="32" t="s">
        <v>3187</v>
      </c>
      <c r="D3518" s="120" t="s">
        <v>477</v>
      </c>
      <c r="E3518" s="33" t="s">
        <v>43</v>
      </c>
      <c r="F3518" s="18" t="s">
        <v>62</v>
      </c>
      <c r="G3518" s="18" t="s">
        <v>1056</v>
      </c>
      <c r="H3518" s="34" t="s">
        <v>85</v>
      </c>
      <c r="I3518" s="18" t="s">
        <v>105</v>
      </c>
      <c r="J3518" s="31" t="s">
        <v>105</v>
      </c>
      <c r="K3518" s="31"/>
      <c r="N3518" s="13" t="s">
        <v>30</v>
      </c>
      <c r="O3518" s="28" t="str">
        <f>IF(D3518="","",IF(COUNTIF(离职清单!C:C,D3518)&gt;0,"已离职","在职"))</f>
        <v>在职</v>
      </c>
      <c r="P3518" s="28" t="str">
        <f>IF(AND(O3518="在职",J3518="是"),COUNTIF(O$2:O3518,"在职"),"")</f>
        <v/>
      </c>
    </row>
    <row r="3519" ht="18" spans="1:16">
      <c r="A3519" s="14">
        <f t="shared" si="60"/>
        <v>3518</v>
      </c>
      <c r="B3519" s="31">
        <v>46186</v>
      </c>
      <c r="C3519" s="32" t="s">
        <v>3188</v>
      </c>
      <c r="D3519" s="120" t="s">
        <v>478</v>
      </c>
      <c r="E3519" s="33" t="s">
        <v>43</v>
      </c>
      <c r="F3519" s="18" t="s">
        <v>62</v>
      </c>
      <c r="G3519" s="18" t="s">
        <v>2164</v>
      </c>
      <c r="H3519" s="34" t="s">
        <v>85</v>
      </c>
      <c r="I3519" s="18" t="s">
        <v>2154</v>
      </c>
      <c r="J3519" s="31" t="s">
        <v>105</v>
      </c>
      <c r="K3519" s="31"/>
      <c r="N3519" s="13" t="s">
        <v>30</v>
      </c>
      <c r="O3519" s="28" t="str">
        <f>IF(D3519="","",IF(COUNTIF(离职清单!C:C,D3519)&gt;0,"已离职","在职"))</f>
        <v>在职</v>
      </c>
      <c r="P3519" s="28" t="str">
        <f>IF(AND(O3519="在职",J3519="是"),COUNTIF(O$2:O3519,"在职"),"")</f>
        <v/>
      </c>
    </row>
    <row r="3520" ht="18" spans="1:16">
      <c r="A3520" s="10">
        <f t="shared" si="60"/>
        <v>3519</v>
      </c>
      <c r="B3520" s="31">
        <v>46186</v>
      </c>
      <c r="C3520" s="32" t="s">
        <v>3189</v>
      </c>
      <c r="D3520" s="120" t="s">
        <v>480</v>
      </c>
      <c r="E3520" s="33" t="s">
        <v>43</v>
      </c>
      <c r="F3520" s="18" t="s">
        <v>63</v>
      </c>
      <c r="G3520" s="18" t="s">
        <v>2164</v>
      </c>
      <c r="H3520" s="34" t="s">
        <v>85</v>
      </c>
      <c r="I3520" s="18" t="s">
        <v>114</v>
      </c>
      <c r="J3520" s="31" t="s">
        <v>105</v>
      </c>
      <c r="K3520" s="31"/>
      <c r="N3520" s="13" t="s">
        <v>30</v>
      </c>
      <c r="O3520" s="28" t="str">
        <f>IF(D3520="","",IF(COUNTIF(离职清单!C:C,D3520)&gt;0,"已离职","在职"))</f>
        <v>在职</v>
      </c>
      <c r="P3520" s="28" t="str">
        <f>IF(AND(O3520="在职",J3520="是"),COUNTIF(O$2:O3520,"在职"),"")</f>
        <v/>
      </c>
    </row>
    <row r="3521" ht="18" spans="1:16">
      <c r="A3521" s="14">
        <f t="shared" si="60"/>
        <v>3520</v>
      </c>
      <c r="B3521" s="31">
        <v>46186</v>
      </c>
      <c r="C3521" s="32" t="s">
        <v>3035</v>
      </c>
      <c r="D3521" s="120" t="s">
        <v>482</v>
      </c>
      <c r="E3521" s="33" t="s">
        <v>43</v>
      </c>
      <c r="F3521" s="18" t="s">
        <v>63</v>
      </c>
      <c r="G3521" s="18" t="s">
        <v>2164</v>
      </c>
      <c r="H3521" s="34" t="s">
        <v>85</v>
      </c>
      <c r="I3521" s="18" t="s">
        <v>114</v>
      </c>
      <c r="J3521" s="31" t="s">
        <v>105</v>
      </c>
      <c r="K3521" s="31"/>
      <c r="N3521" s="13" t="s">
        <v>30</v>
      </c>
      <c r="O3521" s="28" t="str">
        <f>IF(D3521="","",IF(COUNTIF(离职清单!C:C,D3521)&gt;0,"已离职","在职"))</f>
        <v>在职</v>
      </c>
      <c r="P3521" s="28" t="str">
        <f>IF(AND(O3521="在职",J3521="是"),COUNTIF(O$2:O3521,"在职"),"")</f>
        <v/>
      </c>
    </row>
    <row r="3522" ht="18" spans="1:16">
      <c r="A3522" s="10">
        <f t="shared" si="60"/>
        <v>3521</v>
      </c>
      <c r="B3522" s="31">
        <v>46186</v>
      </c>
      <c r="C3522" s="32" t="s">
        <v>3190</v>
      </c>
      <c r="D3522" s="120" t="s">
        <v>484</v>
      </c>
      <c r="E3522" s="33" t="s">
        <v>43</v>
      </c>
      <c r="F3522" s="18" t="s">
        <v>64</v>
      </c>
      <c r="G3522" s="18" t="s">
        <v>2164</v>
      </c>
      <c r="H3522" s="34" t="s">
        <v>86</v>
      </c>
      <c r="I3522" s="18" t="s">
        <v>105</v>
      </c>
      <c r="J3522" s="31" t="s">
        <v>105</v>
      </c>
      <c r="K3522" s="31"/>
      <c r="N3522" s="13" t="s">
        <v>30</v>
      </c>
      <c r="O3522" s="28" t="str">
        <f>IF(D3522="","",IF(COUNTIF(离职清单!C:C,D3522)&gt;0,"已离职","在职"))</f>
        <v>在职</v>
      </c>
      <c r="P3522" s="28" t="str">
        <f>IF(AND(O3522="在职",J3522="是"),COUNTIF(O$2:O3522,"在职"),"")</f>
        <v/>
      </c>
    </row>
    <row r="3523" ht="18" spans="1:16">
      <c r="A3523" s="14">
        <f t="shared" si="60"/>
        <v>3522</v>
      </c>
      <c r="B3523" s="31">
        <v>46186</v>
      </c>
      <c r="C3523" s="32" t="s">
        <v>3013</v>
      </c>
      <c r="D3523" s="120" t="s">
        <v>486</v>
      </c>
      <c r="E3523" s="33" t="s">
        <v>43</v>
      </c>
      <c r="F3523" s="18" t="s">
        <v>63</v>
      </c>
      <c r="G3523" s="18" t="s">
        <v>2164</v>
      </c>
      <c r="H3523" s="34" t="s">
        <v>85</v>
      </c>
      <c r="I3523" s="18" t="s">
        <v>114</v>
      </c>
      <c r="J3523" s="31" t="s">
        <v>105</v>
      </c>
      <c r="K3523" s="31"/>
      <c r="N3523" s="13" t="s">
        <v>30</v>
      </c>
      <c r="O3523" s="28" t="str">
        <f>IF(D3523="","",IF(COUNTIF(离职清单!C:C,D3523)&gt;0,"已离职","在职"))</f>
        <v>在职</v>
      </c>
      <c r="P3523" s="28" t="str">
        <f>IF(AND(O3523="在职",J3523="是"),COUNTIF(O$2:O3523,"在职"),"")</f>
        <v/>
      </c>
    </row>
    <row r="3524" ht="18" spans="1:16">
      <c r="A3524" s="10">
        <f t="shared" si="60"/>
        <v>3523</v>
      </c>
      <c r="B3524" s="31">
        <v>46186</v>
      </c>
      <c r="C3524" s="32" t="s">
        <v>3191</v>
      </c>
      <c r="D3524" s="120" t="s">
        <v>488</v>
      </c>
      <c r="E3524" s="33" t="s">
        <v>43</v>
      </c>
      <c r="F3524" s="18" t="s">
        <v>63</v>
      </c>
      <c r="G3524" s="18" t="s">
        <v>2164</v>
      </c>
      <c r="H3524" s="34" t="s">
        <v>85</v>
      </c>
      <c r="I3524" s="18" t="s">
        <v>114</v>
      </c>
      <c r="J3524" s="31" t="s">
        <v>114</v>
      </c>
      <c r="K3524" s="31">
        <v>46187</v>
      </c>
      <c r="N3524" s="13" t="s">
        <v>30</v>
      </c>
      <c r="O3524" s="28" t="str">
        <f>IF(D3524="","",IF(COUNTIF(离职清单!C:C,D3524)&gt;0,"已离职","在职"))</f>
        <v>在职</v>
      </c>
      <c r="P3524" s="28">
        <f>IF(AND(O3524="在职",J3524="是"),COUNTIF(O$2:O3524,"在职"),"")</f>
        <v>3517</v>
      </c>
    </row>
    <row r="3525" ht="18" spans="1:16">
      <c r="A3525" s="14">
        <f t="shared" si="60"/>
        <v>3524</v>
      </c>
      <c r="B3525" s="31">
        <v>46186</v>
      </c>
      <c r="C3525" s="32" t="s">
        <v>3192</v>
      </c>
      <c r="D3525" s="120" t="s">
        <v>490</v>
      </c>
      <c r="E3525" s="33" t="s">
        <v>42</v>
      </c>
      <c r="F3525" s="18" t="s">
        <v>64</v>
      </c>
      <c r="G3525" s="18" t="s">
        <v>124</v>
      </c>
      <c r="H3525" s="34" t="s">
        <v>86</v>
      </c>
      <c r="I3525" s="18" t="s">
        <v>114</v>
      </c>
      <c r="J3525" s="31" t="s">
        <v>114</v>
      </c>
      <c r="K3525" s="31">
        <v>46186</v>
      </c>
      <c r="N3525" s="13" t="s">
        <v>30</v>
      </c>
      <c r="O3525" s="28" t="str">
        <f>IF(D3525="","",IF(COUNTIF(离职清单!C:C,D3525)&gt;0,"已离职","在职"))</f>
        <v>在职</v>
      </c>
      <c r="P3525" s="28">
        <f>IF(AND(O3525="在职",J3525="是"),COUNTIF(O$2:O3525,"在职"),"")</f>
        <v>3518</v>
      </c>
    </row>
    <row r="3526" ht="18" spans="1:16">
      <c r="A3526" s="10">
        <f t="shared" si="60"/>
        <v>3525</v>
      </c>
      <c r="B3526" s="31">
        <v>46186</v>
      </c>
      <c r="C3526" s="32" t="s">
        <v>3193</v>
      </c>
      <c r="D3526" s="120" t="s">
        <v>492</v>
      </c>
      <c r="E3526" s="33" t="s">
        <v>42</v>
      </c>
      <c r="F3526" s="18" t="s">
        <v>64</v>
      </c>
      <c r="G3526" s="18" t="s">
        <v>124</v>
      </c>
      <c r="H3526" s="34" t="s">
        <v>86</v>
      </c>
      <c r="I3526" s="18" t="s">
        <v>114</v>
      </c>
      <c r="J3526" s="31" t="s">
        <v>105</v>
      </c>
      <c r="K3526" s="31"/>
      <c r="N3526" s="13" t="s">
        <v>30</v>
      </c>
      <c r="O3526" s="28" t="str">
        <f>IF(D3526="","",IF(COUNTIF(离职清单!C:C,D3526)&gt;0,"已离职","在职"))</f>
        <v>在职</v>
      </c>
      <c r="P3526" s="28" t="str">
        <f>IF(AND(O3526="在职",J3526="是"),COUNTIF(O$2:O3526,"在职"),"")</f>
        <v/>
      </c>
    </row>
    <row r="3527" ht="18" spans="1:16">
      <c r="A3527" s="14">
        <f t="shared" si="60"/>
        <v>3526</v>
      </c>
      <c r="B3527" s="31">
        <v>46186</v>
      </c>
      <c r="C3527" s="32" t="s">
        <v>3190</v>
      </c>
      <c r="D3527" s="120" t="s">
        <v>477</v>
      </c>
      <c r="E3527" s="33" t="s">
        <v>43</v>
      </c>
      <c r="F3527" s="18" t="s">
        <v>64</v>
      </c>
      <c r="G3527" s="18" t="s">
        <v>124</v>
      </c>
      <c r="H3527" s="34" t="s">
        <v>86</v>
      </c>
      <c r="I3527" s="18" t="s">
        <v>105</v>
      </c>
      <c r="J3527" s="31" t="s">
        <v>105</v>
      </c>
      <c r="K3527" s="31"/>
      <c r="N3527" s="13" t="s">
        <v>30</v>
      </c>
      <c r="O3527" s="28" t="str">
        <f>IF(D3527="","",IF(COUNTIF(离职清单!C:C,D3527)&gt;0,"已离职","在职"))</f>
        <v>在职</v>
      </c>
      <c r="P3527" s="28" t="str">
        <f>IF(AND(O3527="在职",J3527="是"),COUNTIF(O$2:O3527,"在职"),"")</f>
        <v/>
      </c>
    </row>
    <row r="3528" ht="18" spans="1:16">
      <c r="A3528" s="10">
        <f t="shared" si="60"/>
        <v>3527</v>
      </c>
      <c r="B3528" s="31">
        <v>46187</v>
      </c>
      <c r="C3528" s="32" t="s">
        <v>3194</v>
      </c>
      <c r="D3528" s="120" t="s">
        <v>478</v>
      </c>
      <c r="E3528" s="33" t="s">
        <v>42</v>
      </c>
      <c r="F3528" s="18" t="s">
        <v>63</v>
      </c>
      <c r="G3528" s="18" t="s">
        <v>2166</v>
      </c>
      <c r="H3528" s="34" t="s">
        <v>86</v>
      </c>
      <c r="I3528" s="18" t="s">
        <v>114</v>
      </c>
      <c r="J3528" s="31" t="s">
        <v>114</v>
      </c>
      <c r="K3528" s="31">
        <v>46187</v>
      </c>
      <c r="N3528" s="13" t="s">
        <v>30</v>
      </c>
      <c r="O3528" s="28" t="str">
        <f>IF(D3528="","",IF(COUNTIF(离职清单!C:C,D3528)&gt;0,"已离职","在职"))</f>
        <v>在职</v>
      </c>
      <c r="P3528" s="28">
        <f>IF(AND(O3528="在职",J3528="是"),COUNTIF(O$2:O3528,"在职"),"")</f>
        <v>3521</v>
      </c>
    </row>
    <row r="3529" ht="18" spans="1:16">
      <c r="A3529" s="14">
        <f t="shared" si="60"/>
        <v>3528</v>
      </c>
      <c r="B3529" s="31">
        <v>46187</v>
      </c>
      <c r="C3529" s="32" t="s">
        <v>3134</v>
      </c>
      <c r="D3529" s="120" t="s">
        <v>480</v>
      </c>
      <c r="E3529" s="33" t="s">
        <v>43</v>
      </c>
      <c r="F3529" s="18" t="s">
        <v>63</v>
      </c>
      <c r="G3529" s="18" t="s">
        <v>3135</v>
      </c>
      <c r="H3529" s="34" t="s">
        <v>85</v>
      </c>
      <c r="I3529" s="18" t="s">
        <v>2154</v>
      </c>
      <c r="J3529" s="31" t="s">
        <v>105</v>
      </c>
      <c r="K3529" s="31"/>
      <c r="N3529" s="13" t="s">
        <v>30</v>
      </c>
      <c r="O3529" s="28" t="str">
        <f>IF(D3529="","",IF(COUNTIF(离职清单!C:C,D3529)&gt;0,"已离职","在职"))</f>
        <v>在职</v>
      </c>
      <c r="P3529" s="28" t="str">
        <f>IF(AND(O3529="在职",J3529="是"),COUNTIF(O$2:O3529,"在职"),"")</f>
        <v/>
      </c>
    </row>
    <row r="3530" ht="18" spans="1:16">
      <c r="A3530" s="10">
        <f t="shared" si="60"/>
        <v>3529</v>
      </c>
      <c r="B3530" s="31">
        <v>46187</v>
      </c>
      <c r="C3530" s="32" t="s">
        <v>2832</v>
      </c>
      <c r="D3530" s="120" t="s">
        <v>482</v>
      </c>
      <c r="E3530" s="33" t="s">
        <v>43</v>
      </c>
      <c r="F3530" s="18" t="s">
        <v>64</v>
      </c>
      <c r="G3530" s="18" t="s">
        <v>2250</v>
      </c>
      <c r="H3530" s="34" t="s">
        <v>85</v>
      </c>
      <c r="I3530" s="18" t="s">
        <v>114</v>
      </c>
      <c r="J3530" s="31" t="s">
        <v>105</v>
      </c>
      <c r="K3530" s="31"/>
      <c r="N3530" s="13" t="s">
        <v>30</v>
      </c>
      <c r="O3530" s="28" t="str">
        <f>IF(D3530="","",IF(COUNTIF(离职清单!C:C,D3530)&gt;0,"已离职","在职"))</f>
        <v>在职</v>
      </c>
      <c r="P3530" s="28" t="str">
        <f>IF(AND(O3530="在职",J3530="是"),COUNTIF(O$2:O3530,"在职"),"")</f>
        <v/>
      </c>
    </row>
    <row r="3531" ht="18" spans="1:16">
      <c r="A3531" s="14">
        <f t="shared" si="60"/>
        <v>3530</v>
      </c>
      <c r="B3531" s="31">
        <v>46187</v>
      </c>
      <c r="C3531" s="32" t="s">
        <v>3195</v>
      </c>
      <c r="D3531" s="120" t="s">
        <v>484</v>
      </c>
      <c r="E3531" s="33" t="s">
        <v>43</v>
      </c>
      <c r="F3531" s="18" t="s">
        <v>63</v>
      </c>
      <c r="G3531" s="18" t="s">
        <v>2250</v>
      </c>
      <c r="H3531" s="34" t="s">
        <v>85</v>
      </c>
      <c r="I3531" s="18" t="s">
        <v>105</v>
      </c>
      <c r="J3531" s="31" t="s">
        <v>105</v>
      </c>
      <c r="K3531" s="31"/>
      <c r="N3531" s="13" t="s">
        <v>30</v>
      </c>
      <c r="O3531" s="28" t="str">
        <f>IF(D3531="","",IF(COUNTIF(离职清单!C:C,D3531)&gt;0,"已离职","在职"))</f>
        <v>在职</v>
      </c>
      <c r="P3531" s="28" t="str">
        <f>IF(AND(O3531="在职",J3531="是"),COUNTIF(O$2:O3531,"在职"),"")</f>
        <v/>
      </c>
    </row>
    <row r="3532" ht="18" spans="1:16">
      <c r="A3532" s="10">
        <f t="shared" si="60"/>
        <v>3531</v>
      </c>
      <c r="B3532" s="31">
        <v>46187</v>
      </c>
      <c r="C3532" s="32" t="s">
        <v>3019</v>
      </c>
      <c r="D3532" s="120" t="s">
        <v>486</v>
      </c>
      <c r="E3532" s="33" t="s">
        <v>43</v>
      </c>
      <c r="F3532" s="18" t="s">
        <v>64</v>
      </c>
      <c r="G3532" s="18" t="s">
        <v>2166</v>
      </c>
      <c r="H3532" s="34" t="s">
        <v>85</v>
      </c>
      <c r="I3532" s="18" t="s">
        <v>114</v>
      </c>
      <c r="J3532" s="31" t="s">
        <v>105</v>
      </c>
      <c r="K3532" s="31"/>
      <c r="N3532" s="13" t="s">
        <v>30</v>
      </c>
      <c r="O3532" s="28" t="str">
        <f>IF(D3532="","",IF(COUNTIF(离职清单!C:C,D3532)&gt;0,"已离职","在职"))</f>
        <v>在职</v>
      </c>
      <c r="P3532" s="28" t="str">
        <f>IF(AND(O3532="在职",J3532="是"),COUNTIF(O$2:O3532,"在职"),"")</f>
        <v/>
      </c>
    </row>
    <row r="3533" ht="18" spans="1:16">
      <c r="A3533" s="14">
        <f t="shared" si="60"/>
        <v>3532</v>
      </c>
      <c r="B3533" s="31">
        <v>46187</v>
      </c>
      <c r="C3533" s="32" t="s">
        <v>3196</v>
      </c>
      <c r="D3533" s="120" t="s">
        <v>488</v>
      </c>
      <c r="E3533" s="33" t="s">
        <v>43</v>
      </c>
      <c r="F3533" s="18" t="s">
        <v>63</v>
      </c>
      <c r="G3533" s="18" t="s">
        <v>2166</v>
      </c>
      <c r="H3533" s="34" t="s">
        <v>85</v>
      </c>
      <c r="I3533" s="18" t="s">
        <v>2154</v>
      </c>
      <c r="J3533" s="31" t="s">
        <v>105</v>
      </c>
      <c r="K3533" s="31"/>
      <c r="N3533" s="13" t="s">
        <v>30</v>
      </c>
      <c r="O3533" s="28" t="str">
        <f>IF(D3533="","",IF(COUNTIF(离职清单!C:C,D3533)&gt;0,"已离职","在职"))</f>
        <v>在职</v>
      </c>
      <c r="P3533" s="28" t="str">
        <f>IF(AND(O3533="在职",J3533="是"),COUNTIF(O$2:O3533,"在职"),"")</f>
        <v/>
      </c>
    </row>
    <row r="3534" ht="18" spans="1:16">
      <c r="A3534" s="10">
        <f t="shared" si="60"/>
        <v>3533</v>
      </c>
      <c r="B3534" s="31">
        <v>46187</v>
      </c>
      <c r="C3534" s="32" t="s">
        <v>3197</v>
      </c>
      <c r="D3534" s="120" t="s">
        <v>490</v>
      </c>
      <c r="E3534" s="33" t="s">
        <v>43</v>
      </c>
      <c r="F3534" s="18" t="s">
        <v>63</v>
      </c>
      <c r="G3534" s="18" t="s">
        <v>2166</v>
      </c>
      <c r="H3534" s="34" t="s">
        <v>85</v>
      </c>
      <c r="I3534" s="18" t="s">
        <v>2154</v>
      </c>
      <c r="J3534" s="31" t="s">
        <v>105</v>
      </c>
      <c r="K3534" s="31"/>
      <c r="N3534" s="13" t="s">
        <v>30</v>
      </c>
      <c r="O3534" s="28" t="str">
        <f>IF(D3534="","",IF(COUNTIF(离职清单!C:C,D3534)&gt;0,"已离职","在职"))</f>
        <v>在职</v>
      </c>
      <c r="P3534" s="28" t="str">
        <f>IF(AND(O3534="在职",J3534="是"),COUNTIF(O$2:O3534,"在职"),"")</f>
        <v/>
      </c>
    </row>
    <row r="3535" ht="18" spans="1:16">
      <c r="A3535" s="14">
        <f t="shared" si="60"/>
        <v>3534</v>
      </c>
      <c r="B3535" s="31">
        <v>46187</v>
      </c>
      <c r="C3535" s="32" t="s">
        <v>3018</v>
      </c>
      <c r="D3535" s="120" t="s">
        <v>492</v>
      </c>
      <c r="E3535" s="33" t="s">
        <v>43</v>
      </c>
      <c r="F3535" s="18" t="s">
        <v>63</v>
      </c>
      <c r="G3535" s="18" t="s">
        <v>2166</v>
      </c>
      <c r="H3535" s="34" t="s">
        <v>85</v>
      </c>
      <c r="I3535" s="18" t="s">
        <v>114</v>
      </c>
      <c r="J3535" s="31" t="s">
        <v>105</v>
      </c>
      <c r="K3535" s="31"/>
      <c r="N3535" s="13" t="s">
        <v>30</v>
      </c>
      <c r="O3535" s="28" t="str">
        <f>IF(D3535="","",IF(COUNTIF(离职清单!C:C,D3535)&gt;0,"已离职","在职"))</f>
        <v>在职</v>
      </c>
      <c r="P3535" s="28" t="str">
        <f>IF(AND(O3535="在职",J3535="是"),COUNTIF(O$2:O3535,"在职"),"")</f>
        <v/>
      </c>
    </row>
    <row r="3536" ht="18" spans="1:16">
      <c r="A3536" s="10">
        <f t="shared" si="60"/>
        <v>3535</v>
      </c>
      <c r="B3536" s="31">
        <v>46187</v>
      </c>
      <c r="C3536" s="32" t="s">
        <v>3093</v>
      </c>
      <c r="D3536" s="120" t="s">
        <v>477</v>
      </c>
      <c r="E3536" s="33" t="s">
        <v>42</v>
      </c>
      <c r="F3536" s="18" t="s">
        <v>62</v>
      </c>
      <c r="G3536" s="18" t="s">
        <v>103</v>
      </c>
      <c r="H3536" s="34" t="s">
        <v>85</v>
      </c>
      <c r="I3536" s="18" t="s">
        <v>2154</v>
      </c>
      <c r="J3536" s="31" t="s">
        <v>105</v>
      </c>
      <c r="K3536" s="31"/>
      <c r="N3536" s="13" t="s">
        <v>30</v>
      </c>
      <c r="O3536" s="28" t="str">
        <f>IF(D3536="","",IF(COUNTIF(离职清单!C:C,D3536)&gt;0,"已离职","在职"))</f>
        <v>在职</v>
      </c>
      <c r="P3536" s="28" t="str">
        <f>IF(AND(O3536="在职",J3536="是"),COUNTIF(O$2:O3536,"在职"),"")</f>
        <v/>
      </c>
    </row>
    <row r="3537" ht="18" spans="1:16">
      <c r="A3537" s="14">
        <f t="shared" si="60"/>
        <v>3536</v>
      </c>
      <c r="B3537" s="31">
        <v>46187</v>
      </c>
      <c r="C3537" s="32" t="s">
        <v>3198</v>
      </c>
      <c r="D3537" s="120" t="s">
        <v>477</v>
      </c>
      <c r="E3537" s="33" t="s">
        <v>43</v>
      </c>
      <c r="F3537" s="18" t="s">
        <v>64</v>
      </c>
      <c r="G3537" s="18" t="s">
        <v>2153</v>
      </c>
      <c r="H3537" s="34" t="s">
        <v>85</v>
      </c>
      <c r="I3537" s="18" t="s">
        <v>114</v>
      </c>
      <c r="J3537" s="31" t="s">
        <v>105</v>
      </c>
      <c r="K3537" s="31"/>
      <c r="N3537" s="13" t="s">
        <v>30</v>
      </c>
      <c r="O3537" s="28" t="str">
        <f>IF(D3537="","",IF(COUNTIF(离职清单!C:C,D3537)&gt;0,"已离职","在职"))</f>
        <v>在职</v>
      </c>
      <c r="P3537" s="28" t="str">
        <f>IF(AND(O3537="在职",J3537="是"),COUNTIF(O$2:O3537,"在职"),"")</f>
        <v/>
      </c>
    </row>
    <row r="3538" ht="18" spans="1:16">
      <c r="A3538" s="10">
        <f t="shared" si="60"/>
        <v>3537</v>
      </c>
      <c r="B3538" s="31">
        <v>46187</v>
      </c>
      <c r="C3538" s="32" t="s">
        <v>2590</v>
      </c>
      <c r="D3538" s="120" t="s">
        <v>478</v>
      </c>
      <c r="E3538" s="33" t="s">
        <v>43</v>
      </c>
      <c r="F3538" s="18" t="s">
        <v>64</v>
      </c>
      <c r="G3538" s="18" t="s">
        <v>124</v>
      </c>
      <c r="H3538" s="34" t="s">
        <v>85</v>
      </c>
      <c r="I3538" s="18" t="s">
        <v>114</v>
      </c>
      <c r="J3538" s="31" t="s">
        <v>105</v>
      </c>
      <c r="K3538" s="31"/>
      <c r="N3538" s="13" t="s">
        <v>30</v>
      </c>
      <c r="O3538" s="28" t="str">
        <f>IF(D3538="","",IF(COUNTIF(离职清单!C:C,D3538)&gt;0,"已离职","在职"))</f>
        <v>在职</v>
      </c>
      <c r="P3538" s="28" t="str">
        <f>IF(AND(O3538="在职",J3538="是"),COUNTIF(O$2:O3538,"在职"),"")</f>
        <v/>
      </c>
    </row>
    <row r="3539" ht="18" spans="1:16">
      <c r="A3539" s="14">
        <f t="shared" si="60"/>
        <v>3538</v>
      </c>
      <c r="B3539" s="31">
        <v>46187</v>
      </c>
      <c r="C3539" s="32" t="s">
        <v>3199</v>
      </c>
      <c r="D3539" s="120" t="s">
        <v>480</v>
      </c>
      <c r="E3539" s="33" t="s">
        <v>43</v>
      </c>
      <c r="F3539" s="18" t="s">
        <v>62</v>
      </c>
      <c r="G3539" s="18" t="s">
        <v>148</v>
      </c>
      <c r="H3539" s="34" t="s">
        <v>85</v>
      </c>
      <c r="I3539" s="18" t="s">
        <v>114</v>
      </c>
      <c r="J3539" s="31" t="s">
        <v>105</v>
      </c>
      <c r="K3539" s="31"/>
      <c r="N3539" s="13" t="s">
        <v>30</v>
      </c>
      <c r="O3539" s="28" t="str">
        <f>IF(D3539="","",IF(COUNTIF(离职清单!C:C,D3539)&gt;0,"已离职","在职"))</f>
        <v>在职</v>
      </c>
      <c r="P3539" s="28" t="str">
        <f>IF(AND(O3539="在职",J3539="是"),COUNTIF(O$2:O3539,"在职"),"")</f>
        <v/>
      </c>
    </row>
    <row r="3540" ht="18" spans="1:16">
      <c r="A3540" s="10">
        <f t="shared" si="60"/>
        <v>3539</v>
      </c>
      <c r="B3540" s="31">
        <v>46187</v>
      </c>
      <c r="C3540" s="32" t="s">
        <v>3163</v>
      </c>
      <c r="D3540" s="120" t="s">
        <v>482</v>
      </c>
      <c r="E3540" s="33" t="s">
        <v>43</v>
      </c>
      <c r="F3540" s="18" t="s">
        <v>62</v>
      </c>
      <c r="G3540" s="18" t="s">
        <v>3116</v>
      </c>
      <c r="H3540" s="34" t="s">
        <v>85</v>
      </c>
      <c r="I3540" s="18" t="s">
        <v>114</v>
      </c>
      <c r="J3540" s="31" t="s">
        <v>105</v>
      </c>
      <c r="K3540" s="31"/>
      <c r="N3540" s="13" t="s">
        <v>30</v>
      </c>
      <c r="O3540" s="28" t="str">
        <f>IF(D3540="","",IF(COUNTIF(离职清单!C:C,D3540)&gt;0,"已离职","在职"))</f>
        <v>在职</v>
      </c>
      <c r="P3540" s="28" t="str">
        <f>IF(AND(O3540="在职",J3540="是"),COUNTIF(O$2:O3540,"在职"),"")</f>
        <v/>
      </c>
    </row>
    <row r="3541" ht="18" spans="1:16">
      <c r="A3541" s="14">
        <f t="shared" si="60"/>
        <v>3540</v>
      </c>
      <c r="B3541" s="31">
        <v>46187</v>
      </c>
      <c r="C3541" s="32" t="s">
        <v>3161</v>
      </c>
      <c r="D3541" s="120" t="s">
        <v>484</v>
      </c>
      <c r="E3541" s="33" t="s">
        <v>43</v>
      </c>
      <c r="F3541" s="18" t="s">
        <v>62</v>
      </c>
      <c r="G3541" s="18" t="s">
        <v>3116</v>
      </c>
      <c r="H3541" s="34" t="s">
        <v>85</v>
      </c>
      <c r="I3541" s="18" t="s">
        <v>2154</v>
      </c>
      <c r="J3541" s="31" t="s">
        <v>105</v>
      </c>
      <c r="K3541" s="31"/>
      <c r="N3541" s="13" t="s">
        <v>30</v>
      </c>
      <c r="O3541" s="28" t="str">
        <f>IF(D3541="","",IF(COUNTIF(离职清单!C:C,D3541)&gt;0,"已离职","在职"))</f>
        <v>在职</v>
      </c>
      <c r="P3541" s="28" t="str">
        <f>IF(AND(O3541="在职",J3541="是"),COUNTIF(O$2:O3541,"在职"),"")</f>
        <v/>
      </c>
    </row>
    <row r="3542" ht="18" spans="1:16">
      <c r="A3542" s="10">
        <f t="shared" si="60"/>
        <v>3541</v>
      </c>
      <c r="B3542" s="31">
        <v>46187</v>
      </c>
      <c r="C3542" s="32" t="s">
        <v>3160</v>
      </c>
      <c r="D3542" s="120" t="s">
        <v>486</v>
      </c>
      <c r="E3542" s="33" t="s">
        <v>43</v>
      </c>
      <c r="F3542" s="18" t="s">
        <v>62</v>
      </c>
      <c r="G3542" s="18" t="s">
        <v>3116</v>
      </c>
      <c r="H3542" s="34" t="s">
        <v>85</v>
      </c>
      <c r="I3542" s="18" t="s">
        <v>2154</v>
      </c>
      <c r="J3542" s="31" t="s">
        <v>105</v>
      </c>
      <c r="K3542" s="31"/>
      <c r="N3542" s="13" t="s">
        <v>30</v>
      </c>
      <c r="O3542" s="28" t="str">
        <f>IF(D3542="","",IF(COUNTIF(离职清单!C:C,D3542)&gt;0,"已离职","在职"))</f>
        <v>在职</v>
      </c>
      <c r="P3542" s="28" t="str">
        <f>IF(AND(O3542="在职",J3542="是"),COUNTIF(O$2:O3542,"在职"),"")</f>
        <v/>
      </c>
    </row>
    <row r="3543" ht="18" spans="1:16">
      <c r="A3543" s="14">
        <f t="shared" si="60"/>
        <v>3542</v>
      </c>
      <c r="B3543" s="31">
        <v>46187</v>
      </c>
      <c r="C3543" s="32" t="s">
        <v>3200</v>
      </c>
      <c r="D3543" s="120" t="s">
        <v>488</v>
      </c>
      <c r="E3543" s="33" t="s">
        <v>43</v>
      </c>
      <c r="F3543" s="18" t="s">
        <v>62</v>
      </c>
      <c r="G3543" s="18" t="s">
        <v>2181</v>
      </c>
      <c r="H3543" s="34" t="s">
        <v>85</v>
      </c>
      <c r="I3543" s="18" t="s">
        <v>114</v>
      </c>
      <c r="J3543" s="31" t="s">
        <v>105</v>
      </c>
      <c r="K3543" s="31"/>
      <c r="N3543" s="13" t="s">
        <v>30</v>
      </c>
      <c r="O3543" s="28" t="str">
        <f>IF(D3543="","",IF(COUNTIF(离职清单!C:C,D3543)&gt;0,"已离职","在职"))</f>
        <v>在职</v>
      </c>
      <c r="P3543" s="28" t="str">
        <f>IF(AND(O3543="在职",J3543="是"),COUNTIF(O$2:O3543,"在职"),"")</f>
        <v/>
      </c>
    </row>
    <row r="3544" ht="18" spans="1:16">
      <c r="A3544" s="10">
        <f t="shared" si="60"/>
        <v>3543</v>
      </c>
      <c r="B3544" s="31">
        <v>46187</v>
      </c>
      <c r="C3544" s="32" t="s">
        <v>3182</v>
      </c>
      <c r="D3544" s="120" t="s">
        <v>490</v>
      </c>
      <c r="E3544" s="33" t="s">
        <v>43</v>
      </c>
      <c r="F3544" s="18" t="s">
        <v>63</v>
      </c>
      <c r="G3544" s="18" t="s">
        <v>3122</v>
      </c>
      <c r="H3544" s="34" t="s">
        <v>85</v>
      </c>
      <c r="I3544" s="18" t="s">
        <v>105</v>
      </c>
      <c r="J3544" s="31" t="s">
        <v>105</v>
      </c>
      <c r="K3544" s="31"/>
      <c r="N3544" s="13" t="s">
        <v>30</v>
      </c>
      <c r="O3544" s="28" t="str">
        <f>IF(D3544="","",IF(COUNTIF(离职清单!C:C,D3544)&gt;0,"已离职","在职"))</f>
        <v>在职</v>
      </c>
      <c r="P3544" s="28" t="str">
        <f>IF(AND(O3544="在职",J3544="是"),COUNTIF(O$2:O3544,"在职"),"")</f>
        <v/>
      </c>
    </row>
    <row r="3545" ht="18" spans="1:16">
      <c r="A3545" s="14">
        <f t="shared" si="60"/>
        <v>3544</v>
      </c>
      <c r="B3545" s="31">
        <v>46187</v>
      </c>
      <c r="C3545" s="32" t="s">
        <v>3179</v>
      </c>
      <c r="D3545" s="120" t="s">
        <v>492</v>
      </c>
      <c r="E3545" s="33" t="s">
        <v>43</v>
      </c>
      <c r="F3545" s="18" t="s">
        <v>62</v>
      </c>
      <c r="G3545" s="18" t="s">
        <v>3122</v>
      </c>
      <c r="H3545" s="34" t="s">
        <v>85</v>
      </c>
      <c r="I3545" s="18" t="s">
        <v>105</v>
      </c>
      <c r="J3545" s="31" t="s">
        <v>105</v>
      </c>
      <c r="K3545" s="31"/>
      <c r="N3545" s="13" t="s">
        <v>30</v>
      </c>
      <c r="O3545" s="28" t="str">
        <f>IF(D3545="","",IF(COUNTIF(离职清单!C:C,D3545)&gt;0,"已离职","在职"))</f>
        <v>在职</v>
      </c>
      <c r="P3545" s="28" t="str">
        <f>IF(AND(O3545="在职",J3545="是"),COUNTIF(O$2:O3545,"在职"),"")</f>
        <v/>
      </c>
    </row>
    <row r="3546" ht="18" spans="1:16">
      <c r="A3546" s="10">
        <f t="shared" si="60"/>
        <v>3545</v>
      </c>
      <c r="B3546" s="31">
        <v>46187</v>
      </c>
      <c r="C3546" s="32" t="s">
        <v>3184</v>
      </c>
      <c r="D3546" s="120" t="s">
        <v>477</v>
      </c>
      <c r="E3546" s="33" t="s">
        <v>43</v>
      </c>
      <c r="F3546" s="18" t="s">
        <v>62</v>
      </c>
      <c r="G3546" s="18" t="s">
        <v>1056</v>
      </c>
      <c r="H3546" s="34" t="s">
        <v>85</v>
      </c>
      <c r="I3546" s="18" t="s">
        <v>114</v>
      </c>
      <c r="J3546" s="31" t="s">
        <v>105</v>
      </c>
      <c r="K3546" s="31"/>
      <c r="N3546" s="13" t="s">
        <v>30</v>
      </c>
      <c r="O3546" s="28" t="str">
        <f>IF(D3546="","",IF(COUNTIF(离职清单!C:C,D3546)&gt;0,"已离职","在职"))</f>
        <v>在职</v>
      </c>
      <c r="P3546" s="28" t="str">
        <f>IF(AND(O3546="在职",J3546="是"),COUNTIF(O$2:O3546,"在职"),"")</f>
        <v/>
      </c>
    </row>
    <row r="3547" ht="18" spans="1:16">
      <c r="A3547" s="14">
        <f t="shared" si="60"/>
        <v>3546</v>
      </c>
      <c r="B3547" s="31">
        <v>46187</v>
      </c>
      <c r="C3547" s="32" t="s">
        <v>3187</v>
      </c>
      <c r="D3547" s="120" t="s">
        <v>478</v>
      </c>
      <c r="E3547" s="33" t="s">
        <v>43</v>
      </c>
      <c r="F3547" s="18" t="s">
        <v>62</v>
      </c>
      <c r="G3547" s="18" t="s">
        <v>1056</v>
      </c>
      <c r="H3547" s="34" t="s">
        <v>85</v>
      </c>
      <c r="I3547" s="18" t="s">
        <v>105</v>
      </c>
      <c r="J3547" s="31" t="s">
        <v>105</v>
      </c>
      <c r="K3547" s="31"/>
      <c r="N3547" s="13" t="s">
        <v>30</v>
      </c>
      <c r="O3547" s="28" t="str">
        <f>IF(D3547="","",IF(COUNTIF(离职清单!C:C,D3547)&gt;0,"已离职","在职"))</f>
        <v>在职</v>
      </c>
      <c r="P3547" s="28" t="str">
        <f>IF(AND(O3547="在职",J3547="是"),COUNTIF(O$2:O3547,"在职"),"")</f>
        <v/>
      </c>
    </row>
    <row r="3548" ht="18" spans="1:16">
      <c r="A3548" s="10">
        <f t="shared" si="60"/>
        <v>3547</v>
      </c>
      <c r="B3548" s="31">
        <v>46187</v>
      </c>
      <c r="C3548" s="32" t="s">
        <v>3201</v>
      </c>
      <c r="D3548" s="120" t="s">
        <v>480</v>
      </c>
      <c r="E3548" s="33" t="s">
        <v>43</v>
      </c>
      <c r="F3548" s="18" t="s">
        <v>63</v>
      </c>
      <c r="G3548" s="18" t="s">
        <v>2164</v>
      </c>
      <c r="H3548" s="34" t="s">
        <v>85</v>
      </c>
      <c r="I3548" s="18" t="s">
        <v>105</v>
      </c>
      <c r="J3548" s="31" t="s">
        <v>105</v>
      </c>
      <c r="K3548" s="31"/>
      <c r="N3548" s="13" t="s">
        <v>30</v>
      </c>
      <c r="O3548" s="28" t="str">
        <f>IF(D3548="","",IF(COUNTIF(离职清单!C:C,D3548)&gt;0,"已离职","在职"))</f>
        <v>在职</v>
      </c>
      <c r="P3548" s="28" t="str">
        <f>IF(AND(O3548="在职",J3548="是"),COUNTIF(O$2:O3548,"在职"),"")</f>
        <v/>
      </c>
    </row>
    <row r="3549" ht="18" spans="1:16">
      <c r="A3549" s="14">
        <f t="shared" si="60"/>
        <v>3548</v>
      </c>
      <c r="B3549" s="31">
        <v>46187</v>
      </c>
      <c r="C3549" s="32" t="s">
        <v>3190</v>
      </c>
      <c r="D3549" s="120" t="s">
        <v>482</v>
      </c>
      <c r="E3549" s="33" t="s">
        <v>43</v>
      </c>
      <c r="F3549" s="18" t="s">
        <v>64</v>
      </c>
      <c r="G3549" s="18" t="s">
        <v>2164</v>
      </c>
      <c r="H3549" s="34" t="s">
        <v>85</v>
      </c>
      <c r="I3549" s="18" t="s">
        <v>105</v>
      </c>
      <c r="J3549" s="31" t="s">
        <v>105</v>
      </c>
      <c r="K3549" s="31"/>
      <c r="N3549" s="13" t="s">
        <v>30</v>
      </c>
      <c r="O3549" s="28" t="str">
        <f>IF(D3549="","",IF(COUNTIF(离职清单!C:C,D3549)&gt;0,"已离职","在职"))</f>
        <v>在职</v>
      </c>
      <c r="P3549" s="28" t="str">
        <f>IF(AND(O3549="在职",J3549="是"),COUNTIF(O$2:O3549,"在职"),"")</f>
        <v/>
      </c>
    </row>
    <row r="3550" ht="18" spans="1:16">
      <c r="A3550" s="10">
        <f t="shared" si="60"/>
        <v>3549</v>
      </c>
      <c r="B3550" s="31">
        <v>46187</v>
      </c>
      <c r="C3550" s="32" t="s">
        <v>3202</v>
      </c>
      <c r="D3550" s="120" t="s">
        <v>484</v>
      </c>
      <c r="E3550" s="33" t="s">
        <v>43</v>
      </c>
      <c r="F3550" s="18" t="s">
        <v>63</v>
      </c>
      <c r="G3550" s="18" t="s">
        <v>2164</v>
      </c>
      <c r="H3550" s="34" t="s">
        <v>85</v>
      </c>
      <c r="I3550" s="18" t="s">
        <v>105</v>
      </c>
      <c r="J3550" s="31" t="s">
        <v>105</v>
      </c>
      <c r="K3550" s="31"/>
      <c r="N3550" s="13" t="s">
        <v>30</v>
      </c>
      <c r="O3550" s="28" t="str">
        <f>IF(D3550="","",IF(COUNTIF(离职清单!C:C,D3550)&gt;0,"已离职","在职"))</f>
        <v>在职</v>
      </c>
      <c r="P3550" s="28" t="str">
        <f>IF(AND(O3550="在职",J3550="是"),COUNTIF(O$2:O3550,"在职"),"")</f>
        <v/>
      </c>
    </row>
    <row r="3551" ht="18" spans="1:16">
      <c r="A3551" s="14">
        <f t="shared" si="60"/>
        <v>3550</v>
      </c>
      <c r="B3551" s="31">
        <v>46187</v>
      </c>
      <c r="C3551" s="32" t="s">
        <v>3203</v>
      </c>
      <c r="D3551" s="120" t="s">
        <v>486</v>
      </c>
      <c r="E3551" s="33" t="s">
        <v>43</v>
      </c>
      <c r="F3551" s="18" t="s">
        <v>62</v>
      </c>
      <c r="G3551" s="18" t="s">
        <v>2164</v>
      </c>
      <c r="H3551" s="34" t="s">
        <v>85</v>
      </c>
      <c r="I3551" s="18" t="s">
        <v>105</v>
      </c>
      <c r="J3551" s="31" t="s">
        <v>105</v>
      </c>
      <c r="K3551" s="31"/>
      <c r="N3551" s="13" t="s">
        <v>30</v>
      </c>
      <c r="O3551" s="28" t="str">
        <f>IF(D3551="","",IF(COUNTIF(离职清单!C:C,D3551)&gt;0,"已离职","在职"))</f>
        <v>在职</v>
      </c>
      <c r="P3551" s="28" t="str">
        <f>IF(AND(O3551="在职",J3551="是"),COUNTIF(O$2:O3551,"在职"),"")</f>
        <v/>
      </c>
    </row>
    <row r="3552" ht="18" spans="1:16">
      <c r="A3552" s="10">
        <f t="shared" si="60"/>
        <v>3551</v>
      </c>
      <c r="B3552" s="31">
        <v>46187</v>
      </c>
      <c r="C3552" s="32" t="s">
        <v>3204</v>
      </c>
      <c r="D3552" s="120" t="s">
        <v>488</v>
      </c>
      <c r="E3552" s="33" t="s">
        <v>43</v>
      </c>
      <c r="F3552" s="18" t="s">
        <v>63</v>
      </c>
      <c r="G3552" s="18" t="s">
        <v>2179</v>
      </c>
      <c r="H3552" s="34" t="s">
        <v>85</v>
      </c>
      <c r="I3552" s="18" t="s">
        <v>2154</v>
      </c>
      <c r="J3552" s="31" t="s">
        <v>105</v>
      </c>
      <c r="K3552" s="31"/>
      <c r="N3552" s="13" t="s">
        <v>30</v>
      </c>
      <c r="O3552" s="28" t="str">
        <f>IF(D3552="","",IF(COUNTIF(离职清单!C:C,D3552)&gt;0,"已离职","在职"))</f>
        <v>在职</v>
      </c>
      <c r="P3552" s="28" t="str">
        <f>IF(AND(O3552="在职",J3552="是"),COUNTIF(O$2:O3552,"在职"),"")</f>
        <v/>
      </c>
    </row>
    <row r="3553" ht="18" spans="1:16">
      <c r="A3553" s="14">
        <f t="shared" si="60"/>
        <v>3552</v>
      </c>
      <c r="B3553" s="31">
        <v>46187</v>
      </c>
      <c r="C3553" s="32" t="s">
        <v>3205</v>
      </c>
      <c r="D3553" s="120" t="s">
        <v>490</v>
      </c>
      <c r="E3553" s="33" t="s">
        <v>43</v>
      </c>
      <c r="F3553" s="18" t="s">
        <v>63</v>
      </c>
      <c r="G3553" s="18" t="s">
        <v>2164</v>
      </c>
      <c r="H3553" s="34" t="s">
        <v>85</v>
      </c>
      <c r="I3553" s="18" t="s">
        <v>2154</v>
      </c>
      <c r="J3553" s="31" t="s">
        <v>105</v>
      </c>
      <c r="K3553" s="31"/>
      <c r="N3553" s="13" t="s">
        <v>30</v>
      </c>
      <c r="O3553" s="28" t="str">
        <f>IF(D3553="","",IF(COUNTIF(离职清单!C:C,D3553)&gt;0,"已离职","在职"))</f>
        <v>在职</v>
      </c>
      <c r="P3553" s="28" t="str">
        <f>IF(AND(O3553="在职",J3553="是"),COUNTIF(O$2:O3553,"在职"),"")</f>
        <v/>
      </c>
    </row>
    <row r="3554" ht="18" spans="1:16">
      <c r="A3554" s="10">
        <f t="shared" si="60"/>
        <v>3553</v>
      </c>
      <c r="B3554" s="31">
        <v>46187</v>
      </c>
      <c r="C3554" s="32" t="s">
        <v>3206</v>
      </c>
      <c r="D3554" s="120" t="s">
        <v>492</v>
      </c>
      <c r="E3554" s="33" t="s">
        <v>43</v>
      </c>
      <c r="F3554" s="18" t="s">
        <v>64</v>
      </c>
      <c r="G3554" s="18" t="s">
        <v>2164</v>
      </c>
      <c r="H3554" s="34" t="s">
        <v>85</v>
      </c>
      <c r="I3554" s="18" t="s">
        <v>2154</v>
      </c>
      <c r="J3554" s="31" t="s">
        <v>105</v>
      </c>
      <c r="K3554" s="31"/>
      <c r="N3554" s="13" t="s">
        <v>30</v>
      </c>
      <c r="O3554" s="28" t="str">
        <f>IF(D3554="","",IF(COUNTIF(离职清单!C:C,D3554)&gt;0,"已离职","在职"))</f>
        <v>在职</v>
      </c>
      <c r="P3554" s="28" t="str">
        <f>IF(AND(O3554="在职",J3554="是"),COUNTIF(O$2:O3554,"在职"),"")</f>
        <v/>
      </c>
    </row>
    <row r="3555" ht="18" spans="1:16">
      <c r="A3555" s="14">
        <f t="shared" si="60"/>
        <v>3554</v>
      </c>
      <c r="B3555" s="31">
        <v>46187</v>
      </c>
      <c r="C3555" s="32" t="s">
        <v>3207</v>
      </c>
      <c r="D3555" s="120" t="s">
        <v>477</v>
      </c>
      <c r="E3555" s="33" t="s">
        <v>43</v>
      </c>
      <c r="F3555" s="18" t="s">
        <v>64</v>
      </c>
      <c r="G3555" s="18" t="s">
        <v>2164</v>
      </c>
      <c r="H3555" s="34" t="s">
        <v>85</v>
      </c>
      <c r="I3555" s="18" t="s">
        <v>2154</v>
      </c>
      <c r="J3555" s="31" t="s">
        <v>105</v>
      </c>
      <c r="K3555" s="31"/>
      <c r="N3555" s="13" t="s">
        <v>30</v>
      </c>
      <c r="O3555" s="28" t="str">
        <f>IF(D3555="","",IF(COUNTIF(离职清单!C:C,D3555)&gt;0,"已离职","在职"))</f>
        <v>在职</v>
      </c>
      <c r="P3555" s="28" t="str">
        <f>IF(AND(O3555="在职",J3555="是"),COUNTIF(O$2:O3555,"在职"),"")</f>
        <v/>
      </c>
    </row>
    <row r="3556" ht="18" spans="1:16">
      <c r="A3556" s="10">
        <f t="shared" si="60"/>
        <v>3555</v>
      </c>
      <c r="B3556" s="31">
        <v>46187</v>
      </c>
      <c r="C3556" s="32" t="s">
        <v>3208</v>
      </c>
      <c r="D3556" s="120" t="s">
        <v>478</v>
      </c>
      <c r="E3556" s="33" t="s">
        <v>42</v>
      </c>
      <c r="F3556" s="18" t="s">
        <v>63</v>
      </c>
      <c r="G3556" s="18" t="s">
        <v>2156</v>
      </c>
      <c r="H3556" s="34" t="s">
        <v>85</v>
      </c>
      <c r="I3556" s="18" t="s">
        <v>2154</v>
      </c>
      <c r="J3556" s="31" t="s">
        <v>105</v>
      </c>
      <c r="K3556" s="31"/>
      <c r="N3556" s="13" t="s">
        <v>30</v>
      </c>
      <c r="O3556" s="28" t="str">
        <f>IF(D3556="","",IF(COUNTIF(离职清单!C:C,D3556)&gt;0,"已离职","在职"))</f>
        <v>在职</v>
      </c>
      <c r="P3556" s="28" t="str">
        <f>IF(AND(O3556="在职",J3556="是"),COUNTIF(O$2:O3556,"在职"),"")</f>
        <v/>
      </c>
    </row>
    <row r="3557" ht="18" spans="1:16">
      <c r="A3557" s="14">
        <f t="shared" si="60"/>
        <v>3556</v>
      </c>
      <c r="B3557" s="31">
        <v>46187</v>
      </c>
      <c r="C3557" s="32" t="s">
        <v>3209</v>
      </c>
      <c r="D3557" s="120" t="s">
        <v>480</v>
      </c>
      <c r="E3557" s="33" t="s">
        <v>42</v>
      </c>
      <c r="F3557" s="18" t="s">
        <v>62</v>
      </c>
      <c r="G3557" s="18" t="s">
        <v>2156</v>
      </c>
      <c r="H3557" s="34" t="s">
        <v>85</v>
      </c>
      <c r="I3557" s="18" t="s">
        <v>2154</v>
      </c>
      <c r="J3557" s="31" t="s">
        <v>105</v>
      </c>
      <c r="K3557" s="31"/>
      <c r="N3557" s="13" t="s">
        <v>30</v>
      </c>
      <c r="O3557" s="28" t="str">
        <f>IF(D3557="","",IF(COUNTIF(离职清单!C:C,D3557)&gt;0,"已离职","在职"))</f>
        <v>在职</v>
      </c>
      <c r="P3557" s="28" t="str">
        <f>IF(AND(O3557="在职",J3557="是"),COUNTIF(O$2:O3557,"在职"),"")</f>
        <v/>
      </c>
    </row>
    <row r="3558" ht="18" spans="1:16">
      <c r="A3558" s="10">
        <f t="shared" si="60"/>
        <v>3557</v>
      </c>
      <c r="B3558" s="31">
        <v>46187</v>
      </c>
      <c r="C3558" s="32" t="s">
        <v>3210</v>
      </c>
      <c r="D3558" s="120" t="s">
        <v>482</v>
      </c>
      <c r="E3558" s="33" t="s">
        <v>42</v>
      </c>
      <c r="F3558" s="18" t="s">
        <v>62</v>
      </c>
      <c r="G3558" s="18" t="s">
        <v>2317</v>
      </c>
      <c r="H3558" s="34" t="s">
        <v>85</v>
      </c>
      <c r="I3558" s="18" t="s">
        <v>2154</v>
      </c>
      <c r="J3558" s="31" t="s">
        <v>105</v>
      </c>
      <c r="K3558" s="31"/>
      <c r="N3558" s="13" t="s">
        <v>30</v>
      </c>
      <c r="O3558" s="28" t="str">
        <f>IF(D3558="","",IF(COUNTIF(离职清单!C:C,D3558)&gt;0,"已离职","在职"))</f>
        <v>在职</v>
      </c>
      <c r="P3558" s="28" t="str">
        <f>IF(AND(O3558="在职",J3558="是"),COUNTIF(O$2:O3558,"在职"),"")</f>
        <v/>
      </c>
    </row>
    <row r="3559" ht="18" spans="1:16">
      <c r="A3559" s="14">
        <f t="shared" si="60"/>
        <v>3558</v>
      </c>
      <c r="B3559" s="31">
        <v>46187</v>
      </c>
      <c r="C3559" s="32" t="s">
        <v>3083</v>
      </c>
      <c r="D3559" s="120" t="s">
        <v>484</v>
      </c>
      <c r="E3559" s="33" t="s">
        <v>42</v>
      </c>
      <c r="F3559" s="18" t="s">
        <v>63</v>
      </c>
      <c r="G3559" s="18" t="s">
        <v>1056</v>
      </c>
      <c r="H3559" s="34" t="s">
        <v>85</v>
      </c>
      <c r="I3559" s="18" t="s">
        <v>2154</v>
      </c>
      <c r="J3559" s="31" t="s">
        <v>105</v>
      </c>
      <c r="K3559" s="31"/>
      <c r="N3559" s="13" t="s">
        <v>30</v>
      </c>
      <c r="O3559" s="28" t="str">
        <f>IF(D3559="","",IF(COUNTIF(离职清单!C:C,D3559)&gt;0,"已离职","在职"))</f>
        <v>在职</v>
      </c>
      <c r="P3559" s="28" t="str">
        <f>IF(AND(O3559="在职",J3559="是"),COUNTIF(O$2:O3559,"在职"),"")</f>
        <v/>
      </c>
    </row>
    <row r="3560" ht="18" spans="1:16">
      <c r="A3560" s="10">
        <f t="shared" si="60"/>
        <v>3559</v>
      </c>
      <c r="B3560" s="31">
        <v>46187</v>
      </c>
      <c r="C3560" s="32" t="s">
        <v>3211</v>
      </c>
      <c r="D3560" s="120" t="s">
        <v>486</v>
      </c>
      <c r="E3560" s="33" t="s">
        <v>42</v>
      </c>
      <c r="F3560" s="18" t="s">
        <v>62</v>
      </c>
      <c r="G3560" s="18" t="s">
        <v>1056</v>
      </c>
      <c r="H3560" s="34" t="s">
        <v>85</v>
      </c>
      <c r="I3560" s="18" t="s">
        <v>2154</v>
      </c>
      <c r="J3560" s="31" t="s">
        <v>105</v>
      </c>
      <c r="K3560" s="31"/>
      <c r="N3560" s="13" t="s">
        <v>30</v>
      </c>
      <c r="O3560" s="28" t="str">
        <f>IF(D3560="","",IF(COUNTIF(离职清单!C:C,D3560)&gt;0,"已离职","在职"))</f>
        <v>在职</v>
      </c>
      <c r="P3560" s="28" t="str">
        <f>IF(AND(O3560="在职",J3560="是"),COUNTIF(O$2:O3560,"在职"),"")</f>
        <v/>
      </c>
    </row>
    <row r="3561" ht="18" spans="1:16">
      <c r="A3561" s="14">
        <f t="shared" si="60"/>
        <v>3560</v>
      </c>
      <c r="B3561" s="31">
        <v>46187</v>
      </c>
      <c r="C3561" s="32" t="s">
        <v>3212</v>
      </c>
      <c r="D3561" s="120" t="s">
        <v>488</v>
      </c>
      <c r="E3561" s="33" t="s">
        <v>42</v>
      </c>
      <c r="F3561" s="18" t="s">
        <v>63</v>
      </c>
      <c r="G3561" s="18" t="s">
        <v>1056</v>
      </c>
      <c r="H3561" s="34" t="s">
        <v>85</v>
      </c>
      <c r="I3561" s="18" t="s">
        <v>2154</v>
      </c>
      <c r="J3561" s="31" t="s">
        <v>105</v>
      </c>
      <c r="K3561" s="31"/>
      <c r="N3561" s="13" t="s">
        <v>30</v>
      </c>
      <c r="O3561" s="28" t="str">
        <f>IF(D3561="","",IF(COUNTIF(离职清单!C:C,D3561)&gt;0,"已离职","在职"))</f>
        <v>在职</v>
      </c>
      <c r="P3561" s="28" t="str">
        <f>IF(AND(O3561="在职",J3561="是"),COUNTIF(O$2:O3561,"在职"),"")</f>
        <v/>
      </c>
    </row>
    <row r="3562" ht="18" spans="1:16">
      <c r="A3562" s="10">
        <f t="shared" si="60"/>
        <v>3561</v>
      </c>
      <c r="B3562" s="31">
        <v>46187</v>
      </c>
      <c r="C3562" s="32" t="s">
        <v>3213</v>
      </c>
      <c r="D3562" s="120" t="s">
        <v>490</v>
      </c>
      <c r="E3562" s="33" t="s">
        <v>42</v>
      </c>
      <c r="F3562" s="18" t="s">
        <v>63</v>
      </c>
      <c r="G3562" s="18" t="s">
        <v>1056</v>
      </c>
      <c r="H3562" s="34" t="s">
        <v>85</v>
      </c>
      <c r="I3562" s="18" t="s">
        <v>2154</v>
      </c>
      <c r="J3562" s="31" t="s">
        <v>105</v>
      </c>
      <c r="K3562" s="31"/>
      <c r="N3562" s="13" t="s">
        <v>30</v>
      </c>
      <c r="O3562" s="28" t="str">
        <f>IF(D3562="","",IF(COUNTIF(离职清单!C:C,D3562)&gt;0,"已离职","在职"))</f>
        <v>在职</v>
      </c>
      <c r="P3562" s="28" t="str">
        <f>IF(AND(O3562="在职",J3562="是"),COUNTIF(O$2:O3562,"在职"),"")</f>
        <v/>
      </c>
    </row>
    <row r="3563" ht="18" spans="1:16">
      <c r="A3563" s="14">
        <f t="shared" si="60"/>
        <v>3562</v>
      </c>
      <c r="B3563" s="31">
        <v>46187</v>
      </c>
      <c r="C3563" s="32" t="s">
        <v>3214</v>
      </c>
      <c r="D3563" s="120" t="s">
        <v>492</v>
      </c>
      <c r="E3563" s="33" t="s">
        <v>42</v>
      </c>
      <c r="F3563" s="18" t="s">
        <v>63</v>
      </c>
      <c r="G3563" s="18" t="s">
        <v>129</v>
      </c>
      <c r="H3563" s="34" t="s">
        <v>85</v>
      </c>
      <c r="I3563" s="18" t="s">
        <v>114</v>
      </c>
      <c r="J3563" s="31" t="s">
        <v>105</v>
      </c>
      <c r="K3563" s="31"/>
      <c r="N3563" s="13" t="s">
        <v>30</v>
      </c>
      <c r="O3563" s="28" t="str">
        <f>IF(D3563="","",IF(COUNTIF(离职清单!C:C,D3563)&gt;0,"已离职","在职"))</f>
        <v>在职</v>
      </c>
      <c r="P3563" s="28" t="str">
        <f>IF(AND(O3563="在职",J3563="是"),COUNTIF(O$2:O3563,"在职"),"")</f>
        <v/>
      </c>
    </row>
    <row r="3564" ht="18" spans="1:16">
      <c r="A3564" s="10">
        <f t="shared" ref="A3564:A3627" si="61">IF(B3564&lt;&gt;"",ROW()-1,"")</f>
        <v>3563</v>
      </c>
      <c r="B3564" s="31">
        <v>46187</v>
      </c>
      <c r="C3564" s="32" t="s">
        <v>3215</v>
      </c>
      <c r="D3564" s="120" t="s">
        <v>477</v>
      </c>
      <c r="E3564" s="33" t="s">
        <v>42</v>
      </c>
      <c r="F3564" s="18" t="s">
        <v>63</v>
      </c>
      <c r="G3564" s="18" t="s">
        <v>129</v>
      </c>
      <c r="H3564" s="34" t="s">
        <v>85</v>
      </c>
      <c r="I3564" s="18" t="s">
        <v>114</v>
      </c>
      <c r="J3564" s="31" t="s">
        <v>105</v>
      </c>
      <c r="K3564" s="31"/>
      <c r="N3564" s="13" t="s">
        <v>30</v>
      </c>
      <c r="O3564" s="28" t="str">
        <f>IF(D3564="","",IF(COUNTIF(离职清单!C:C,D3564)&gt;0,"已离职","在职"))</f>
        <v>在职</v>
      </c>
      <c r="P3564" s="28" t="str">
        <f>IF(AND(O3564="在职",J3564="是"),COUNTIF(O$2:O3564,"在职"),"")</f>
        <v/>
      </c>
    </row>
    <row r="3565" ht="18" spans="1:16">
      <c r="A3565" s="14">
        <f t="shared" si="61"/>
        <v>3564</v>
      </c>
      <c r="B3565" s="31">
        <v>46187</v>
      </c>
      <c r="C3565" s="32" t="s">
        <v>2967</v>
      </c>
      <c r="D3565" s="120" t="s">
        <v>478</v>
      </c>
      <c r="E3565" s="33" t="s">
        <v>42</v>
      </c>
      <c r="F3565" s="18" t="s">
        <v>63</v>
      </c>
      <c r="G3565" s="18" t="s">
        <v>129</v>
      </c>
      <c r="H3565" s="34" t="s">
        <v>85</v>
      </c>
      <c r="I3565" s="18" t="s">
        <v>114</v>
      </c>
      <c r="J3565" s="31" t="s">
        <v>105</v>
      </c>
      <c r="K3565" s="31"/>
      <c r="N3565" s="13" t="s">
        <v>30</v>
      </c>
      <c r="O3565" s="28" t="str">
        <f>IF(D3565="","",IF(COUNTIF(离职清单!C:C,D3565)&gt;0,"已离职","在职"))</f>
        <v>在职</v>
      </c>
      <c r="P3565" s="28" t="str">
        <f>IF(AND(O3565="在职",J3565="是"),COUNTIF(O$2:O3565,"在职"),"")</f>
        <v/>
      </c>
    </row>
    <row r="3566" ht="18" spans="1:16">
      <c r="A3566" s="10">
        <f t="shared" si="61"/>
        <v>3565</v>
      </c>
      <c r="B3566" s="31">
        <v>46187</v>
      </c>
      <c r="C3566" s="32" t="s">
        <v>3216</v>
      </c>
      <c r="D3566" s="120" t="s">
        <v>480</v>
      </c>
      <c r="E3566" s="33" t="s">
        <v>42</v>
      </c>
      <c r="F3566" s="18" t="s">
        <v>62</v>
      </c>
      <c r="G3566" s="18" t="s">
        <v>129</v>
      </c>
      <c r="H3566" s="34" t="s">
        <v>85</v>
      </c>
      <c r="I3566" s="18" t="s">
        <v>105</v>
      </c>
      <c r="J3566" s="31" t="s">
        <v>105</v>
      </c>
      <c r="K3566" s="31"/>
      <c r="N3566" s="13" t="s">
        <v>30</v>
      </c>
      <c r="O3566" s="28" t="str">
        <f>IF(D3566="","",IF(COUNTIF(离职清单!C:C,D3566)&gt;0,"已离职","在职"))</f>
        <v>在职</v>
      </c>
      <c r="P3566" s="28" t="str">
        <f>IF(AND(O3566="在职",J3566="是"),COUNTIF(O$2:O3566,"在职"),"")</f>
        <v/>
      </c>
    </row>
    <row r="3567" ht="18" spans="1:16">
      <c r="A3567" s="14">
        <f t="shared" si="61"/>
        <v>3566</v>
      </c>
      <c r="B3567" s="31">
        <v>46187</v>
      </c>
      <c r="C3567" s="32" t="s">
        <v>3217</v>
      </c>
      <c r="D3567" s="120" t="s">
        <v>482</v>
      </c>
      <c r="E3567" s="33" t="s">
        <v>42</v>
      </c>
      <c r="F3567" s="18" t="s">
        <v>62</v>
      </c>
      <c r="G3567" s="18" t="s">
        <v>129</v>
      </c>
      <c r="H3567" s="34" t="s">
        <v>85</v>
      </c>
      <c r="I3567" s="18" t="s">
        <v>105</v>
      </c>
      <c r="J3567" s="31" t="s">
        <v>105</v>
      </c>
      <c r="K3567" s="31"/>
      <c r="N3567" s="13" t="s">
        <v>30</v>
      </c>
      <c r="O3567" s="28" t="str">
        <f>IF(D3567="","",IF(COUNTIF(离职清单!C:C,D3567)&gt;0,"已离职","在职"))</f>
        <v>在职</v>
      </c>
      <c r="P3567" s="28" t="str">
        <f>IF(AND(O3567="在职",J3567="是"),COUNTIF(O$2:O3567,"在职"),"")</f>
        <v/>
      </c>
    </row>
    <row r="3568" ht="18" spans="1:16">
      <c r="A3568" s="10">
        <f t="shared" si="61"/>
        <v>3567</v>
      </c>
      <c r="B3568" s="31">
        <v>46187</v>
      </c>
      <c r="C3568" s="32" t="s">
        <v>3218</v>
      </c>
      <c r="D3568" s="120" t="s">
        <v>484</v>
      </c>
      <c r="E3568" s="33" t="s">
        <v>42</v>
      </c>
      <c r="F3568" s="18" t="s">
        <v>63</v>
      </c>
      <c r="G3568" s="18" t="s">
        <v>129</v>
      </c>
      <c r="H3568" s="34" t="s">
        <v>85</v>
      </c>
      <c r="I3568" s="18" t="s">
        <v>105</v>
      </c>
      <c r="J3568" s="31" t="s">
        <v>105</v>
      </c>
      <c r="K3568" s="31"/>
      <c r="N3568" s="13" t="s">
        <v>30</v>
      </c>
      <c r="O3568" s="28" t="str">
        <f>IF(D3568="","",IF(COUNTIF(离职清单!C:C,D3568)&gt;0,"已离职","在职"))</f>
        <v>在职</v>
      </c>
      <c r="P3568" s="28" t="str">
        <f>IF(AND(O3568="在职",J3568="是"),COUNTIF(O$2:O3568,"在职"),"")</f>
        <v/>
      </c>
    </row>
    <row r="3569" ht="18" spans="1:16">
      <c r="A3569" s="14">
        <f t="shared" si="61"/>
        <v>3568</v>
      </c>
      <c r="B3569" s="31">
        <v>46187</v>
      </c>
      <c r="C3569" s="32" t="s">
        <v>2531</v>
      </c>
      <c r="D3569" s="120" t="s">
        <v>486</v>
      </c>
      <c r="E3569" s="33" t="s">
        <v>42</v>
      </c>
      <c r="F3569" s="18" t="s">
        <v>63</v>
      </c>
      <c r="G3569" s="18" t="s">
        <v>129</v>
      </c>
      <c r="H3569" s="34" t="s">
        <v>85</v>
      </c>
      <c r="I3569" s="18" t="s">
        <v>105</v>
      </c>
      <c r="J3569" s="31" t="s">
        <v>105</v>
      </c>
      <c r="K3569" s="31"/>
      <c r="N3569" s="13" t="s">
        <v>30</v>
      </c>
      <c r="O3569" s="28" t="str">
        <f>IF(D3569="","",IF(COUNTIF(离职清单!C:C,D3569)&gt;0,"已离职","在职"))</f>
        <v>在职</v>
      </c>
      <c r="P3569" s="28" t="str">
        <f>IF(AND(O3569="在职",J3569="是"),COUNTIF(O$2:O3569,"在职"),"")</f>
        <v/>
      </c>
    </row>
    <row r="3570" ht="18" spans="1:16">
      <c r="A3570" s="10">
        <f t="shared" si="61"/>
        <v>3569</v>
      </c>
      <c r="B3570" s="31">
        <v>46187</v>
      </c>
      <c r="C3570" s="32" t="s">
        <v>3219</v>
      </c>
      <c r="D3570" s="120" t="s">
        <v>488</v>
      </c>
      <c r="E3570" s="33" t="s">
        <v>42</v>
      </c>
      <c r="F3570" s="18" t="s">
        <v>63</v>
      </c>
      <c r="G3570" s="18" t="s">
        <v>3122</v>
      </c>
      <c r="H3570" s="34" t="s">
        <v>85</v>
      </c>
      <c r="I3570" s="18" t="s">
        <v>105</v>
      </c>
      <c r="J3570" s="31" t="s">
        <v>105</v>
      </c>
      <c r="K3570" s="31"/>
      <c r="N3570" s="13" t="s">
        <v>30</v>
      </c>
      <c r="O3570" s="28" t="str">
        <f>IF(D3570="","",IF(COUNTIF(离职清单!C:C,D3570)&gt;0,"已离职","在职"))</f>
        <v>在职</v>
      </c>
      <c r="P3570" s="28" t="str">
        <f>IF(AND(O3570="在职",J3570="是"),COUNTIF(O$2:O3570,"在职"),"")</f>
        <v/>
      </c>
    </row>
    <row r="3571" ht="18" spans="1:16">
      <c r="A3571" s="14">
        <f t="shared" si="61"/>
        <v>3570</v>
      </c>
      <c r="B3571" s="31">
        <v>46187</v>
      </c>
      <c r="C3571" s="32" t="s">
        <v>3064</v>
      </c>
      <c r="D3571" s="120" t="s">
        <v>490</v>
      </c>
      <c r="E3571" s="33" t="s">
        <v>42</v>
      </c>
      <c r="F3571" s="18" t="s">
        <v>63</v>
      </c>
      <c r="G3571" s="18" t="s">
        <v>2250</v>
      </c>
      <c r="H3571" s="34" t="s">
        <v>85</v>
      </c>
      <c r="I3571" s="18" t="s">
        <v>105</v>
      </c>
      <c r="J3571" s="31" t="s">
        <v>105</v>
      </c>
      <c r="K3571" s="31"/>
      <c r="N3571" s="13" t="s">
        <v>30</v>
      </c>
      <c r="O3571" s="28" t="str">
        <f>IF(D3571="","",IF(COUNTIF(离职清单!C:C,D3571)&gt;0,"已离职","在职"))</f>
        <v>在职</v>
      </c>
      <c r="P3571" s="28" t="str">
        <f>IF(AND(O3571="在职",J3571="是"),COUNTIF(O$2:O3571,"在职"),"")</f>
        <v/>
      </c>
    </row>
    <row r="3572" ht="18" spans="1:16">
      <c r="A3572" s="10">
        <f t="shared" si="61"/>
        <v>3571</v>
      </c>
      <c r="B3572" s="31">
        <v>46187</v>
      </c>
      <c r="C3572" s="32" t="s">
        <v>2790</v>
      </c>
      <c r="D3572" s="120" t="s">
        <v>492</v>
      </c>
      <c r="E3572" s="33" t="s">
        <v>42</v>
      </c>
      <c r="F3572" s="18" t="s">
        <v>63</v>
      </c>
      <c r="G3572" s="18" t="s">
        <v>2166</v>
      </c>
      <c r="H3572" s="34" t="s">
        <v>85</v>
      </c>
      <c r="I3572" s="18" t="s">
        <v>2154</v>
      </c>
      <c r="J3572" s="31" t="s">
        <v>105</v>
      </c>
      <c r="K3572" s="31"/>
      <c r="N3572" s="13" t="s">
        <v>30</v>
      </c>
      <c r="O3572" s="28" t="str">
        <f>IF(D3572="","",IF(COUNTIF(离职清单!C:C,D3572)&gt;0,"已离职","在职"))</f>
        <v>在职</v>
      </c>
      <c r="P3572" s="28" t="str">
        <f>IF(AND(O3572="在职",J3572="是"),COUNTIF(O$2:O3572,"在职"),"")</f>
        <v/>
      </c>
    </row>
    <row r="3573" ht="18" spans="1:16">
      <c r="A3573" s="14">
        <f t="shared" si="61"/>
        <v>3572</v>
      </c>
      <c r="B3573" s="31">
        <v>46187</v>
      </c>
      <c r="C3573" s="32" t="s">
        <v>2316</v>
      </c>
      <c r="D3573" s="120" t="s">
        <v>477</v>
      </c>
      <c r="E3573" s="33" t="s">
        <v>42</v>
      </c>
      <c r="F3573" s="18" t="s">
        <v>63</v>
      </c>
      <c r="G3573" s="18" t="s">
        <v>2153</v>
      </c>
      <c r="H3573" s="34" t="s">
        <v>85</v>
      </c>
      <c r="I3573" s="18" t="s">
        <v>105</v>
      </c>
      <c r="J3573" s="31" t="s">
        <v>105</v>
      </c>
      <c r="K3573" s="31"/>
      <c r="N3573" s="13" t="s">
        <v>30</v>
      </c>
      <c r="O3573" s="28" t="str">
        <f>IF(D3573="","",IF(COUNTIF(离职清单!C:C,D3573)&gt;0,"已离职","在职"))</f>
        <v>在职</v>
      </c>
      <c r="P3573" s="28" t="str">
        <f>IF(AND(O3573="在职",J3573="是"),COUNTIF(O$2:O3573,"在职"),"")</f>
        <v/>
      </c>
    </row>
    <row r="3574" ht="18" spans="1:16">
      <c r="A3574" s="10">
        <f t="shared" si="61"/>
        <v>3573</v>
      </c>
      <c r="B3574" s="31">
        <v>46187</v>
      </c>
      <c r="C3574" s="32" t="s">
        <v>3220</v>
      </c>
      <c r="D3574" s="120" t="s">
        <v>478</v>
      </c>
      <c r="E3574" s="33" t="s">
        <v>42</v>
      </c>
      <c r="F3574" s="18" t="s">
        <v>63</v>
      </c>
      <c r="G3574" s="18" t="s">
        <v>1511</v>
      </c>
      <c r="H3574" s="34" t="s">
        <v>85</v>
      </c>
      <c r="I3574" s="18" t="s">
        <v>105</v>
      </c>
      <c r="J3574" s="31" t="s">
        <v>105</v>
      </c>
      <c r="K3574" s="31"/>
      <c r="N3574" s="13" t="s">
        <v>30</v>
      </c>
      <c r="O3574" s="28" t="str">
        <f>IF(D3574="","",IF(COUNTIF(离职清单!C:C,D3574)&gt;0,"已离职","在职"))</f>
        <v>在职</v>
      </c>
      <c r="P3574" s="28" t="str">
        <f>IF(AND(O3574="在职",J3574="是"),COUNTIF(O$2:O3574,"在职"),"")</f>
        <v/>
      </c>
    </row>
    <row r="3575" ht="18" spans="1:16">
      <c r="A3575" s="14">
        <f t="shared" si="61"/>
        <v>3574</v>
      </c>
      <c r="B3575" s="31">
        <v>46187</v>
      </c>
      <c r="C3575" s="32" t="s">
        <v>3221</v>
      </c>
      <c r="D3575" s="120" t="s">
        <v>480</v>
      </c>
      <c r="E3575" s="33" t="s">
        <v>42</v>
      </c>
      <c r="F3575" s="18" t="s">
        <v>62</v>
      </c>
      <c r="G3575" s="18" t="s">
        <v>124</v>
      </c>
      <c r="H3575" s="34" t="s">
        <v>85</v>
      </c>
      <c r="I3575" s="18" t="s">
        <v>105</v>
      </c>
      <c r="J3575" s="31" t="s">
        <v>105</v>
      </c>
      <c r="K3575" s="31"/>
      <c r="N3575" s="13" t="s">
        <v>30</v>
      </c>
      <c r="O3575" s="28" t="str">
        <f>IF(D3575="","",IF(COUNTIF(离职清单!C:C,D3575)&gt;0,"已离职","在职"))</f>
        <v>在职</v>
      </c>
      <c r="P3575" s="28" t="str">
        <f>IF(AND(O3575="在职",J3575="是"),COUNTIF(O$2:O3575,"在职"),"")</f>
        <v/>
      </c>
    </row>
    <row r="3576" ht="18" spans="1:16">
      <c r="A3576" s="10">
        <f t="shared" si="61"/>
        <v>3575</v>
      </c>
      <c r="B3576" s="31">
        <v>46187</v>
      </c>
      <c r="C3576" s="32" t="s">
        <v>3222</v>
      </c>
      <c r="D3576" s="120" t="s">
        <v>482</v>
      </c>
      <c r="E3576" s="33" t="s">
        <v>42</v>
      </c>
      <c r="F3576" s="18" t="s">
        <v>63</v>
      </c>
      <c r="G3576" s="18" t="s">
        <v>124</v>
      </c>
      <c r="H3576" s="34" t="s">
        <v>85</v>
      </c>
      <c r="I3576" s="18" t="s">
        <v>2154</v>
      </c>
      <c r="J3576" s="31" t="s">
        <v>105</v>
      </c>
      <c r="K3576" s="31"/>
      <c r="N3576" s="13" t="s">
        <v>30</v>
      </c>
      <c r="O3576" s="28" t="str">
        <f>IF(D3576="","",IF(COUNTIF(离职清单!C:C,D3576)&gt;0,"已离职","在职"))</f>
        <v>在职</v>
      </c>
      <c r="P3576" s="28" t="str">
        <f>IF(AND(O3576="在职",J3576="是"),COUNTIF(O$2:O3576,"在职"),"")</f>
        <v/>
      </c>
    </row>
    <row r="3577" ht="18" spans="1:16">
      <c r="A3577" s="14">
        <f t="shared" si="61"/>
        <v>3576</v>
      </c>
      <c r="B3577" s="31">
        <v>46187</v>
      </c>
      <c r="C3577" s="32" t="s">
        <v>3223</v>
      </c>
      <c r="D3577" s="120" t="s">
        <v>484</v>
      </c>
      <c r="E3577" s="33" t="s">
        <v>42</v>
      </c>
      <c r="F3577" s="18" t="s">
        <v>63</v>
      </c>
      <c r="G3577" s="18" t="s">
        <v>148</v>
      </c>
      <c r="H3577" s="34" t="s">
        <v>85</v>
      </c>
      <c r="I3577" s="18" t="s">
        <v>2154</v>
      </c>
      <c r="J3577" s="31" t="s">
        <v>105</v>
      </c>
      <c r="K3577" s="31"/>
      <c r="N3577" s="13" t="s">
        <v>30</v>
      </c>
      <c r="O3577" s="28" t="str">
        <f>IF(D3577="","",IF(COUNTIF(离职清单!C:C,D3577)&gt;0,"已离职","在职"))</f>
        <v>在职</v>
      </c>
      <c r="P3577" s="28" t="str">
        <f>IF(AND(O3577="在职",J3577="是"),COUNTIF(O$2:O3577,"在职"),"")</f>
        <v/>
      </c>
    </row>
    <row r="3578" ht="18" spans="1:16">
      <c r="A3578" s="10">
        <f t="shared" si="61"/>
        <v>3577</v>
      </c>
      <c r="B3578" s="31">
        <v>46187</v>
      </c>
      <c r="C3578" s="32" t="s">
        <v>1446</v>
      </c>
      <c r="D3578" s="120" t="s">
        <v>486</v>
      </c>
      <c r="E3578" s="33" t="s">
        <v>42</v>
      </c>
      <c r="F3578" s="18" t="s">
        <v>63</v>
      </c>
      <c r="G3578" s="18" t="s">
        <v>148</v>
      </c>
      <c r="H3578" s="34" t="s">
        <v>85</v>
      </c>
      <c r="I3578" s="18" t="s">
        <v>105</v>
      </c>
      <c r="J3578" s="31" t="s">
        <v>105</v>
      </c>
      <c r="K3578" s="31"/>
      <c r="N3578" s="13" t="s">
        <v>30</v>
      </c>
      <c r="O3578" s="28" t="str">
        <f>IF(D3578="","",IF(COUNTIF(离职清单!C:C,D3578)&gt;0,"已离职","在职"))</f>
        <v>在职</v>
      </c>
      <c r="P3578" s="28" t="str">
        <f>IF(AND(O3578="在职",J3578="是"),COUNTIF(O$2:O3578,"在职"),"")</f>
        <v/>
      </c>
    </row>
    <row r="3579" ht="18" spans="1:16">
      <c r="A3579" s="14">
        <f t="shared" si="61"/>
        <v>3578</v>
      </c>
      <c r="B3579" s="31">
        <v>46187</v>
      </c>
      <c r="C3579" s="32" t="s">
        <v>2523</v>
      </c>
      <c r="D3579" s="120" t="s">
        <v>488</v>
      </c>
      <c r="E3579" s="33" t="s">
        <v>43</v>
      </c>
      <c r="F3579" s="18" t="s">
        <v>64</v>
      </c>
      <c r="G3579" s="18" t="s">
        <v>148</v>
      </c>
      <c r="H3579" s="34" t="s">
        <v>85</v>
      </c>
      <c r="I3579" s="18" t="s">
        <v>105</v>
      </c>
      <c r="J3579" s="31" t="s">
        <v>105</v>
      </c>
      <c r="K3579" s="31"/>
      <c r="N3579" s="13" t="s">
        <v>30</v>
      </c>
      <c r="O3579" s="28" t="str">
        <f>IF(D3579="","",IF(COUNTIF(离职清单!C:C,D3579)&gt;0,"已离职","在职"))</f>
        <v>在职</v>
      </c>
      <c r="P3579" s="28" t="str">
        <f>IF(AND(O3579="在职",J3579="是"),COUNTIF(O$2:O3579,"在职"),"")</f>
        <v/>
      </c>
    </row>
    <row r="3580" ht="18" spans="1:16">
      <c r="A3580" s="10">
        <f t="shared" si="61"/>
        <v>3579</v>
      </c>
      <c r="B3580" s="31">
        <v>46187</v>
      </c>
      <c r="C3580" s="32" t="s">
        <v>3224</v>
      </c>
      <c r="D3580" s="120" t="s">
        <v>490</v>
      </c>
      <c r="E3580" s="33" t="s">
        <v>42</v>
      </c>
      <c r="F3580" s="18" t="s">
        <v>63</v>
      </c>
      <c r="G3580" s="18" t="s">
        <v>2370</v>
      </c>
      <c r="H3580" s="34" t="s">
        <v>85</v>
      </c>
      <c r="I3580" s="18" t="s">
        <v>105</v>
      </c>
      <c r="J3580" s="31" t="s">
        <v>105</v>
      </c>
      <c r="K3580" s="31"/>
      <c r="N3580" s="13" t="s">
        <v>30</v>
      </c>
      <c r="O3580" s="28" t="str">
        <f>IF(D3580="","",IF(COUNTIF(离职清单!C:C,D3580)&gt;0,"已离职","在职"))</f>
        <v>在职</v>
      </c>
      <c r="P3580" s="28" t="str">
        <f>IF(AND(O3580="在职",J3580="是"),COUNTIF(O$2:O3580,"在职"),"")</f>
        <v/>
      </c>
    </row>
    <row r="3581" ht="18" spans="1:16">
      <c r="A3581" s="14">
        <f t="shared" si="61"/>
        <v>3580</v>
      </c>
      <c r="B3581" s="31">
        <v>46187</v>
      </c>
      <c r="C3581" s="32" t="s">
        <v>3225</v>
      </c>
      <c r="D3581" s="120" t="s">
        <v>492</v>
      </c>
      <c r="E3581" s="33" t="s">
        <v>42</v>
      </c>
      <c r="F3581" s="18" t="s">
        <v>62</v>
      </c>
      <c r="G3581" s="18" t="s">
        <v>3114</v>
      </c>
      <c r="H3581" s="34" t="s">
        <v>85</v>
      </c>
      <c r="I3581" s="18" t="s">
        <v>105</v>
      </c>
      <c r="J3581" s="31" t="s">
        <v>105</v>
      </c>
      <c r="K3581" s="31"/>
      <c r="N3581" s="13" t="s">
        <v>30</v>
      </c>
      <c r="O3581" s="28" t="str">
        <f>IF(D3581="","",IF(COUNTIF(离职清单!C:C,D3581)&gt;0,"已离职","在职"))</f>
        <v>在职</v>
      </c>
      <c r="P3581" s="28" t="str">
        <f>IF(AND(O3581="在职",J3581="是"),COUNTIF(O$2:O3581,"在职"),"")</f>
        <v/>
      </c>
    </row>
    <row r="3582" ht="18" spans="1:16">
      <c r="A3582" s="10">
        <f t="shared" si="61"/>
        <v>3581</v>
      </c>
      <c r="B3582" s="31">
        <v>46187</v>
      </c>
      <c r="C3582" s="32" t="s">
        <v>3226</v>
      </c>
      <c r="D3582" s="120" t="s">
        <v>477</v>
      </c>
      <c r="E3582" s="33" t="s">
        <v>42</v>
      </c>
      <c r="F3582" s="18" t="s">
        <v>62</v>
      </c>
      <c r="G3582" s="18" t="s">
        <v>3114</v>
      </c>
      <c r="H3582" s="34" t="s">
        <v>85</v>
      </c>
      <c r="I3582" s="18" t="s">
        <v>105</v>
      </c>
      <c r="J3582" s="31" t="s">
        <v>105</v>
      </c>
      <c r="K3582" s="31"/>
      <c r="N3582" s="13" t="s">
        <v>30</v>
      </c>
      <c r="O3582" s="28" t="str">
        <f>IF(D3582="","",IF(COUNTIF(离职清单!C:C,D3582)&gt;0,"已离职","在职"))</f>
        <v>在职</v>
      </c>
      <c r="P3582" s="28" t="str">
        <f>IF(AND(O3582="在职",J3582="是"),COUNTIF(O$2:O3582,"在职"),"")</f>
        <v/>
      </c>
    </row>
    <row r="3583" ht="18" spans="1:16">
      <c r="A3583" s="14">
        <f t="shared" si="61"/>
        <v>3582</v>
      </c>
      <c r="B3583" s="31">
        <v>46187</v>
      </c>
      <c r="C3583" s="32" t="s">
        <v>3227</v>
      </c>
      <c r="D3583" s="120" t="s">
        <v>478</v>
      </c>
      <c r="E3583" s="33" t="s">
        <v>42</v>
      </c>
      <c r="F3583" s="18" t="s">
        <v>62</v>
      </c>
      <c r="G3583" s="18" t="s">
        <v>2181</v>
      </c>
      <c r="H3583" s="34" t="s">
        <v>85</v>
      </c>
      <c r="I3583" s="18" t="s">
        <v>114</v>
      </c>
      <c r="J3583" s="31" t="s">
        <v>114</v>
      </c>
      <c r="K3583" s="31">
        <v>46188</v>
      </c>
      <c r="N3583" s="13" t="s">
        <v>30</v>
      </c>
      <c r="O3583" s="28" t="str">
        <f>IF(D3583="","",IF(COUNTIF(离职清单!C:C,D3583)&gt;0,"已离职","在职"))</f>
        <v>在职</v>
      </c>
      <c r="P3583" s="28">
        <f>IF(AND(O3583="在职",J3583="是"),COUNTIF(O$2:O3583,"在职"),"")</f>
        <v>3576</v>
      </c>
    </row>
    <row r="3584" ht="18" spans="1:16">
      <c r="A3584" s="10">
        <f t="shared" si="61"/>
        <v>3583</v>
      </c>
      <c r="B3584" s="31">
        <v>46187</v>
      </c>
      <c r="C3584" s="32" t="s">
        <v>3228</v>
      </c>
      <c r="D3584" s="120" t="s">
        <v>480</v>
      </c>
      <c r="E3584" s="33" t="s">
        <v>42</v>
      </c>
      <c r="F3584" s="18" t="s">
        <v>62</v>
      </c>
      <c r="G3584" s="18" t="s">
        <v>2181</v>
      </c>
      <c r="H3584" s="34" t="s">
        <v>85</v>
      </c>
      <c r="I3584" s="18" t="s">
        <v>2154</v>
      </c>
      <c r="J3584" s="31" t="s">
        <v>105</v>
      </c>
      <c r="K3584" s="31"/>
      <c r="N3584" s="13" t="s">
        <v>30</v>
      </c>
      <c r="O3584" s="28" t="str">
        <f>IF(D3584="","",IF(COUNTIF(离职清单!C:C,D3584)&gt;0,"已离职","在职"))</f>
        <v>在职</v>
      </c>
      <c r="P3584" s="28" t="str">
        <f>IF(AND(O3584="在职",J3584="是"),COUNTIF(O$2:O3584,"在职"),"")</f>
        <v/>
      </c>
    </row>
    <row r="3585" ht="18" spans="1:16">
      <c r="A3585" s="14">
        <f t="shared" si="61"/>
        <v>3584</v>
      </c>
      <c r="B3585" s="31">
        <v>46187</v>
      </c>
      <c r="C3585" s="32" t="s">
        <v>3229</v>
      </c>
      <c r="D3585" s="120" t="s">
        <v>482</v>
      </c>
      <c r="E3585" s="33" t="s">
        <v>42</v>
      </c>
      <c r="F3585" s="18" t="s">
        <v>62</v>
      </c>
      <c r="G3585" s="18" t="s">
        <v>3135</v>
      </c>
      <c r="H3585" s="34" t="s">
        <v>85</v>
      </c>
      <c r="I3585" s="18" t="s">
        <v>2154</v>
      </c>
      <c r="J3585" s="31" t="s">
        <v>105</v>
      </c>
      <c r="K3585" s="31"/>
      <c r="N3585" s="13" t="s">
        <v>30</v>
      </c>
      <c r="O3585" s="28" t="str">
        <f>IF(D3585="","",IF(COUNTIF(离职清单!C:C,D3585)&gt;0,"已离职","在职"))</f>
        <v>在职</v>
      </c>
      <c r="P3585" s="28" t="str">
        <f>IF(AND(O3585="在职",J3585="是"),COUNTIF(O$2:O3585,"在职"),"")</f>
        <v/>
      </c>
    </row>
    <row r="3586" ht="18" spans="1:16">
      <c r="A3586" s="10">
        <f t="shared" si="61"/>
        <v>3585</v>
      </c>
      <c r="B3586" s="31">
        <v>46187</v>
      </c>
      <c r="C3586" s="32" t="s">
        <v>3230</v>
      </c>
      <c r="D3586" s="120" t="s">
        <v>484</v>
      </c>
      <c r="E3586" s="33" t="s">
        <v>42</v>
      </c>
      <c r="F3586" s="18" t="s">
        <v>62</v>
      </c>
      <c r="G3586" s="18" t="s">
        <v>3135</v>
      </c>
      <c r="H3586" s="34" t="s">
        <v>85</v>
      </c>
      <c r="I3586" s="18" t="s">
        <v>105</v>
      </c>
      <c r="J3586" s="31" t="s">
        <v>105</v>
      </c>
      <c r="K3586" s="31"/>
      <c r="N3586" s="13" t="s">
        <v>30</v>
      </c>
      <c r="O3586" s="28" t="str">
        <f>IF(D3586="","",IF(COUNTIF(离职清单!C:C,D3586)&gt;0,"已离职","在职"))</f>
        <v>在职</v>
      </c>
      <c r="P3586" s="28" t="str">
        <f>IF(AND(O3586="在职",J3586="是"),COUNTIF(O$2:O3586,"在职"),"")</f>
        <v/>
      </c>
    </row>
    <row r="3587" ht="18" spans="1:16">
      <c r="A3587" s="14">
        <f t="shared" si="61"/>
        <v>3586</v>
      </c>
      <c r="B3587" s="31">
        <v>46187</v>
      </c>
      <c r="C3587" s="32" t="s">
        <v>3231</v>
      </c>
      <c r="D3587" s="120" t="s">
        <v>486</v>
      </c>
      <c r="E3587" s="33" t="s">
        <v>42</v>
      </c>
      <c r="F3587" s="18" t="s">
        <v>62</v>
      </c>
      <c r="G3587" s="18" t="s">
        <v>3135</v>
      </c>
      <c r="H3587" s="34" t="s">
        <v>85</v>
      </c>
      <c r="I3587" s="18" t="s">
        <v>2154</v>
      </c>
      <c r="J3587" s="31" t="s">
        <v>105</v>
      </c>
      <c r="K3587" s="31"/>
      <c r="N3587" s="13" t="s">
        <v>30</v>
      </c>
      <c r="O3587" s="28" t="str">
        <f>IF(D3587="","",IF(COUNTIF(离职清单!C:C,D3587)&gt;0,"已离职","在职"))</f>
        <v>在职</v>
      </c>
      <c r="P3587" s="28" t="str">
        <f>IF(AND(O3587="在职",J3587="是"),COUNTIF(O$2:O3587,"在职"),"")</f>
        <v/>
      </c>
    </row>
    <row r="3588" ht="18" spans="1:16">
      <c r="A3588" s="10">
        <f t="shared" si="61"/>
        <v>3587</v>
      </c>
      <c r="B3588" s="31">
        <v>46187</v>
      </c>
      <c r="C3588" s="32" t="s">
        <v>3232</v>
      </c>
      <c r="D3588" s="120" t="s">
        <v>488</v>
      </c>
      <c r="E3588" s="33" t="s">
        <v>42</v>
      </c>
      <c r="F3588" s="18" t="s">
        <v>62</v>
      </c>
      <c r="G3588" s="18" t="s">
        <v>3135</v>
      </c>
      <c r="H3588" s="34" t="s">
        <v>85</v>
      </c>
      <c r="I3588" s="18" t="s">
        <v>2154</v>
      </c>
      <c r="J3588" s="31" t="s">
        <v>105</v>
      </c>
      <c r="K3588" s="31"/>
      <c r="N3588" s="13" t="s">
        <v>30</v>
      </c>
      <c r="O3588" s="28" t="str">
        <f>IF(D3588="","",IF(COUNTIF(离职清单!C:C,D3588)&gt;0,"已离职","在职"))</f>
        <v>在职</v>
      </c>
      <c r="P3588" s="28" t="str">
        <f>IF(AND(O3588="在职",J3588="是"),COUNTIF(O$2:O3588,"在职"),"")</f>
        <v/>
      </c>
    </row>
    <row r="3589" ht="18" spans="1:16">
      <c r="A3589" s="14">
        <f t="shared" si="61"/>
        <v>3588</v>
      </c>
      <c r="B3589" s="31">
        <v>46187</v>
      </c>
      <c r="C3589" s="32" t="s">
        <v>3233</v>
      </c>
      <c r="D3589" s="120" t="s">
        <v>490</v>
      </c>
      <c r="E3589" s="33" t="s">
        <v>42</v>
      </c>
      <c r="F3589" s="18" t="s">
        <v>62</v>
      </c>
      <c r="G3589" s="18" t="s">
        <v>3135</v>
      </c>
      <c r="H3589" s="34" t="s">
        <v>85</v>
      </c>
      <c r="I3589" s="18" t="s">
        <v>2154</v>
      </c>
      <c r="J3589" s="31" t="s">
        <v>105</v>
      </c>
      <c r="K3589" s="31"/>
      <c r="N3589" s="13" t="s">
        <v>30</v>
      </c>
      <c r="O3589" s="28" t="str">
        <f>IF(D3589="","",IF(COUNTIF(离职清单!C:C,D3589)&gt;0,"已离职","在职"))</f>
        <v>在职</v>
      </c>
      <c r="P3589" s="28" t="str">
        <f>IF(AND(O3589="在职",J3589="是"),COUNTIF(O$2:O3589,"在职"),"")</f>
        <v/>
      </c>
    </row>
    <row r="3590" ht="18" spans="1:16">
      <c r="A3590" s="10">
        <f t="shared" si="61"/>
        <v>3589</v>
      </c>
      <c r="B3590" s="31">
        <v>46187</v>
      </c>
      <c r="C3590" s="32" t="s">
        <v>3234</v>
      </c>
      <c r="D3590" s="120" t="s">
        <v>492</v>
      </c>
      <c r="E3590" s="33" t="s">
        <v>42</v>
      </c>
      <c r="F3590" s="18" t="s">
        <v>62</v>
      </c>
      <c r="G3590" s="18" t="s">
        <v>3135</v>
      </c>
      <c r="H3590" s="34" t="s">
        <v>85</v>
      </c>
      <c r="I3590" s="18" t="s">
        <v>105</v>
      </c>
      <c r="J3590" s="31" t="s">
        <v>105</v>
      </c>
      <c r="K3590" s="31"/>
      <c r="N3590" s="13" t="s">
        <v>30</v>
      </c>
      <c r="O3590" s="28" t="str">
        <f>IF(D3590="","",IF(COUNTIF(离职清单!C:C,D3590)&gt;0,"已离职","在职"))</f>
        <v>在职</v>
      </c>
      <c r="P3590" s="28" t="str">
        <f>IF(AND(O3590="在职",J3590="是"),COUNTIF(O$2:O3590,"在职"),"")</f>
        <v/>
      </c>
    </row>
    <row r="3591" ht="18" spans="1:16">
      <c r="A3591" s="14">
        <f t="shared" si="61"/>
        <v>3590</v>
      </c>
      <c r="B3591" s="31">
        <v>46187</v>
      </c>
      <c r="C3591" s="32" t="s">
        <v>3235</v>
      </c>
      <c r="D3591" s="120" t="s">
        <v>477</v>
      </c>
      <c r="E3591" s="33" t="s">
        <v>42</v>
      </c>
      <c r="F3591" s="18" t="s">
        <v>62</v>
      </c>
      <c r="G3591" s="18" t="s">
        <v>3135</v>
      </c>
      <c r="H3591" s="34" t="s">
        <v>85</v>
      </c>
      <c r="I3591" s="18" t="s">
        <v>105</v>
      </c>
      <c r="J3591" s="31" t="s">
        <v>105</v>
      </c>
      <c r="K3591" s="31"/>
      <c r="N3591" s="13" t="s">
        <v>30</v>
      </c>
      <c r="O3591" s="28" t="str">
        <f>IF(D3591="","",IF(COUNTIF(离职清单!C:C,D3591)&gt;0,"已离职","在职"))</f>
        <v>在职</v>
      </c>
      <c r="P3591" s="28" t="str">
        <f>IF(AND(O3591="在职",J3591="是"),COUNTIF(O$2:O3591,"在职"),"")</f>
        <v/>
      </c>
    </row>
    <row r="3592" ht="18" spans="1:16">
      <c r="A3592" s="10">
        <f t="shared" si="61"/>
        <v>3591</v>
      </c>
      <c r="B3592" s="31">
        <v>46187</v>
      </c>
      <c r="C3592" s="32" t="s">
        <v>3236</v>
      </c>
      <c r="D3592" s="120" t="s">
        <v>477</v>
      </c>
      <c r="E3592" s="33" t="s">
        <v>42</v>
      </c>
      <c r="F3592" s="18" t="s">
        <v>62</v>
      </c>
      <c r="G3592" s="18" t="s">
        <v>3135</v>
      </c>
      <c r="H3592" s="34" t="s">
        <v>85</v>
      </c>
      <c r="I3592" s="18" t="s">
        <v>2154</v>
      </c>
      <c r="J3592" s="31" t="s">
        <v>105</v>
      </c>
      <c r="K3592" s="31"/>
      <c r="N3592" s="13" t="s">
        <v>30</v>
      </c>
      <c r="O3592" s="28" t="str">
        <f>IF(D3592="","",IF(COUNTIF(离职清单!C:C,D3592)&gt;0,"已离职","在职"))</f>
        <v>在职</v>
      </c>
      <c r="P3592" s="28" t="str">
        <f>IF(AND(O3592="在职",J3592="是"),COUNTIF(O$2:O3592,"在职"),"")</f>
        <v/>
      </c>
    </row>
    <row r="3593" ht="18" spans="1:16">
      <c r="A3593" s="14">
        <f t="shared" si="61"/>
        <v>3592</v>
      </c>
      <c r="B3593" s="31">
        <v>46187</v>
      </c>
      <c r="C3593" s="32" t="s">
        <v>3237</v>
      </c>
      <c r="D3593" s="120" t="s">
        <v>478</v>
      </c>
      <c r="E3593" s="33" t="s">
        <v>42</v>
      </c>
      <c r="F3593" s="18" t="s">
        <v>62</v>
      </c>
      <c r="G3593" s="18" t="s">
        <v>3135</v>
      </c>
      <c r="H3593" s="34" t="s">
        <v>85</v>
      </c>
      <c r="I3593" s="18" t="s">
        <v>105</v>
      </c>
      <c r="J3593" s="31" t="s">
        <v>105</v>
      </c>
      <c r="K3593" s="31"/>
      <c r="N3593" s="13" t="s">
        <v>30</v>
      </c>
      <c r="O3593" s="28" t="str">
        <f>IF(D3593="","",IF(COUNTIF(离职清单!C:C,D3593)&gt;0,"已离职","在职"))</f>
        <v>在职</v>
      </c>
      <c r="P3593" s="28" t="str">
        <f>IF(AND(O3593="在职",J3593="是"),COUNTIF(O$2:O3593,"在职"),"")</f>
        <v/>
      </c>
    </row>
    <row r="3594" ht="18" spans="1:16">
      <c r="A3594" s="10">
        <f t="shared" si="61"/>
        <v>3593</v>
      </c>
      <c r="B3594" s="31">
        <v>46187</v>
      </c>
      <c r="C3594" s="32" t="s">
        <v>3238</v>
      </c>
      <c r="D3594" s="120" t="s">
        <v>480</v>
      </c>
      <c r="E3594" s="33" t="s">
        <v>42</v>
      </c>
      <c r="F3594" s="18" t="s">
        <v>62</v>
      </c>
      <c r="G3594" s="18" t="s">
        <v>3135</v>
      </c>
      <c r="H3594" s="34" t="s">
        <v>85</v>
      </c>
      <c r="I3594" s="18" t="s">
        <v>2154</v>
      </c>
      <c r="J3594" s="31" t="s">
        <v>105</v>
      </c>
      <c r="K3594" s="31"/>
      <c r="N3594" s="13" t="s">
        <v>30</v>
      </c>
      <c r="O3594" s="28" t="str">
        <f>IF(D3594="","",IF(COUNTIF(离职清单!C:C,D3594)&gt;0,"已离职","在职"))</f>
        <v>在职</v>
      </c>
      <c r="P3594" s="28" t="str">
        <f>IF(AND(O3594="在职",J3594="是"),COUNTIF(O$2:O3594,"在职"),"")</f>
        <v/>
      </c>
    </row>
    <row r="3595" ht="18" spans="1:16">
      <c r="A3595" s="14">
        <f t="shared" si="61"/>
        <v>3594</v>
      </c>
      <c r="B3595" s="31">
        <v>46187</v>
      </c>
      <c r="C3595" s="32" t="s">
        <v>3239</v>
      </c>
      <c r="D3595" s="120" t="s">
        <v>482</v>
      </c>
      <c r="E3595" s="33" t="s">
        <v>42</v>
      </c>
      <c r="F3595" s="18" t="s">
        <v>64</v>
      </c>
      <c r="G3595" s="18" t="s">
        <v>3135</v>
      </c>
      <c r="H3595" s="34" t="s">
        <v>85</v>
      </c>
      <c r="I3595" s="18" t="s">
        <v>114</v>
      </c>
      <c r="J3595" s="31" t="s">
        <v>105</v>
      </c>
      <c r="K3595" s="31"/>
      <c r="N3595" s="13" t="s">
        <v>30</v>
      </c>
      <c r="O3595" s="28" t="str">
        <f>IF(D3595="","",IF(COUNTIF(离职清单!C:C,D3595)&gt;0,"已离职","在职"))</f>
        <v>在职</v>
      </c>
      <c r="P3595" s="28" t="str">
        <f>IF(AND(O3595="在职",J3595="是"),COUNTIF(O$2:O3595,"在职"),"")</f>
        <v/>
      </c>
    </row>
    <row r="3596" ht="18" spans="1:16">
      <c r="A3596" s="10">
        <f t="shared" si="61"/>
        <v>3595</v>
      </c>
      <c r="B3596" s="31">
        <v>46187</v>
      </c>
      <c r="C3596" s="32" t="s">
        <v>3240</v>
      </c>
      <c r="D3596" s="120" t="s">
        <v>484</v>
      </c>
      <c r="E3596" s="33" t="s">
        <v>42</v>
      </c>
      <c r="F3596" s="18" t="s">
        <v>62</v>
      </c>
      <c r="G3596" s="18" t="s">
        <v>3135</v>
      </c>
      <c r="H3596" s="34" t="s">
        <v>85</v>
      </c>
      <c r="I3596" s="18" t="s">
        <v>105</v>
      </c>
      <c r="J3596" s="31" t="s">
        <v>105</v>
      </c>
      <c r="K3596" s="31"/>
      <c r="N3596" s="13" t="s">
        <v>30</v>
      </c>
      <c r="O3596" s="28" t="str">
        <f>IF(D3596="","",IF(COUNTIF(离职清单!C:C,D3596)&gt;0,"已离职","在职"))</f>
        <v>在职</v>
      </c>
      <c r="P3596" s="28" t="str">
        <f>IF(AND(O3596="在职",J3596="是"),COUNTIF(O$2:O3596,"在职"),"")</f>
        <v/>
      </c>
    </row>
    <row r="3597" ht="18" spans="1:16">
      <c r="A3597" s="14">
        <f t="shared" si="61"/>
        <v>3596</v>
      </c>
      <c r="B3597" s="31">
        <v>46187</v>
      </c>
      <c r="C3597" s="32" t="s">
        <v>3241</v>
      </c>
      <c r="D3597" s="120" t="s">
        <v>486</v>
      </c>
      <c r="E3597" s="33" t="s">
        <v>42</v>
      </c>
      <c r="F3597" s="18" t="s">
        <v>62</v>
      </c>
      <c r="G3597" s="18" t="s">
        <v>3135</v>
      </c>
      <c r="H3597" s="34" t="s">
        <v>85</v>
      </c>
      <c r="I3597" s="18" t="s">
        <v>105</v>
      </c>
      <c r="J3597" s="31" t="s">
        <v>105</v>
      </c>
      <c r="K3597" s="31"/>
      <c r="N3597" s="13" t="s">
        <v>30</v>
      </c>
      <c r="O3597" s="28" t="str">
        <f>IF(D3597="","",IF(COUNTIF(离职清单!C:C,D3597)&gt;0,"已离职","在职"))</f>
        <v>在职</v>
      </c>
      <c r="P3597" s="28" t="str">
        <f>IF(AND(O3597="在职",J3597="是"),COUNTIF(O$2:O3597,"在职"),"")</f>
        <v/>
      </c>
    </row>
    <row r="3598" ht="18" spans="1:16">
      <c r="A3598" s="10">
        <f t="shared" si="61"/>
        <v>3597</v>
      </c>
      <c r="B3598" s="31">
        <v>46187</v>
      </c>
      <c r="C3598" s="32" t="s">
        <v>3242</v>
      </c>
      <c r="D3598" s="120" t="s">
        <v>488</v>
      </c>
      <c r="E3598" s="33" t="s">
        <v>42</v>
      </c>
      <c r="F3598" s="18" t="s">
        <v>62</v>
      </c>
      <c r="G3598" s="18" t="s">
        <v>3135</v>
      </c>
      <c r="H3598" s="34" t="s">
        <v>85</v>
      </c>
      <c r="I3598" s="18" t="s">
        <v>2154</v>
      </c>
      <c r="J3598" s="31" t="s">
        <v>105</v>
      </c>
      <c r="K3598" s="31"/>
      <c r="N3598" s="13" t="s">
        <v>30</v>
      </c>
      <c r="O3598" s="28" t="str">
        <f>IF(D3598="","",IF(COUNTIF(离职清单!C:C,D3598)&gt;0,"已离职","在职"))</f>
        <v>在职</v>
      </c>
      <c r="P3598" s="28" t="str">
        <f>IF(AND(O3598="在职",J3598="是"),COUNTIF(O$2:O3598,"在职"),"")</f>
        <v/>
      </c>
    </row>
    <row r="3599" ht="18" spans="1:16">
      <c r="A3599" s="14">
        <f t="shared" si="61"/>
        <v>3598</v>
      </c>
      <c r="B3599" s="31">
        <v>46187</v>
      </c>
      <c r="C3599" s="32" t="s">
        <v>3243</v>
      </c>
      <c r="D3599" s="120" t="s">
        <v>490</v>
      </c>
      <c r="E3599" s="33" t="s">
        <v>42</v>
      </c>
      <c r="F3599" s="18" t="s">
        <v>62</v>
      </c>
      <c r="G3599" s="18" t="s">
        <v>3135</v>
      </c>
      <c r="H3599" s="34" t="s">
        <v>85</v>
      </c>
      <c r="I3599" s="18" t="s">
        <v>2154</v>
      </c>
      <c r="J3599" s="31" t="s">
        <v>105</v>
      </c>
      <c r="K3599" s="31"/>
      <c r="N3599" s="13" t="s">
        <v>30</v>
      </c>
      <c r="O3599" s="28" t="str">
        <f>IF(D3599="","",IF(COUNTIF(离职清单!C:C,D3599)&gt;0,"已离职","在职"))</f>
        <v>在职</v>
      </c>
      <c r="P3599" s="28" t="str">
        <f>IF(AND(O3599="在职",J3599="是"),COUNTIF(O$2:O3599,"在职"),"")</f>
        <v/>
      </c>
    </row>
    <row r="3600" ht="18" spans="1:16">
      <c r="A3600" s="10">
        <f t="shared" si="61"/>
        <v>3599</v>
      </c>
      <c r="B3600" s="31">
        <v>46187</v>
      </c>
      <c r="C3600" s="32" t="s">
        <v>2460</v>
      </c>
      <c r="D3600" s="120" t="s">
        <v>492</v>
      </c>
      <c r="E3600" s="33" t="s">
        <v>42</v>
      </c>
      <c r="F3600" s="18" t="s">
        <v>63</v>
      </c>
      <c r="G3600" s="18" t="s">
        <v>3135</v>
      </c>
      <c r="H3600" s="34" t="s">
        <v>85</v>
      </c>
      <c r="I3600" s="18" t="s">
        <v>105</v>
      </c>
      <c r="J3600" s="31" t="s">
        <v>105</v>
      </c>
      <c r="K3600" s="31"/>
      <c r="N3600" s="13" t="s">
        <v>30</v>
      </c>
      <c r="O3600" s="28" t="str">
        <f>IF(D3600="","",IF(COUNTIF(离职清单!C:C,D3600)&gt;0,"已离职","在职"))</f>
        <v>在职</v>
      </c>
      <c r="P3600" s="28" t="str">
        <f>IF(AND(O3600="在职",J3600="是"),COUNTIF(O$2:O3600,"在职"),"")</f>
        <v/>
      </c>
    </row>
    <row r="3601" ht="18" spans="1:16">
      <c r="A3601" s="14">
        <f t="shared" si="61"/>
        <v>3600</v>
      </c>
      <c r="B3601" s="31">
        <v>46187</v>
      </c>
      <c r="C3601" s="32" t="s">
        <v>3244</v>
      </c>
      <c r="D3601" s="120" t="s">
        <v>477</v>
      </c>
      <c r="E3601" s="33" t="s">
        <v>42</v>
      </c>
      <c r="F3601" s="18" t="s">
        <v>62</v>
      </c>
      <c r="G3601" s="18" t="s">
        <v>3135</v>
      </c>
      <c r="H3601" s="34" t="s">
        <v>85</v>
      </c>
      <c r="I3601" s="18" t="s">
        <v>2154</v>
      </c>
      <c r="J3601" s="31" t="s">
        <v>105</v>
      </c>
      <c r="K3601" s="31"/>
      <c r="N3601" s="13" t="s">
        <v>30</v>
      </c>
      <c r="O3601" s="28" t="str">
        <f>IF(D3601="","",IF(COUNTIF(离职清单!C:C,D3601)&gt;0,"已离职","在职"))</f>
        <v>在职</v>
      </c>
      <c r="P3601" s="28" t="str">
        <f>IF(AND(O3601="在职",J3601="是"),COUNTIF(O$2:O3601,"在职"),"")</f>
        <v/>
      </c>
    </row>
    <row r="3602" ht="18" spans="1:16">
      <c r="A3602" s="10">
        <f t="shared" si="61"/>
        <v>3601</v>
      </c>
      <c r="B3602" s="31">
        <v>46187</v>
      </c>
      <c r="C3602" s="32" t="s">
        <v>3245</v>
      </c>
      <c r="D3602" s="120" t="s">
        <v>478</v>
      </c>
      <c r="E3602" s="33" t="s">
        <v>42</v>
      </c>
      <c r="F3602" s="18" t="s">
        <v>62</v>
      </c>
      <c r="G3602" s="18" t="s">
        <v>3135</v>
      </c>
      <c r="H3602" s="34" t="s">
        <v>85</v>
      </c>
      <c r="I3602" s="18" t="s">
        <v>2154</v>
      </c>
      <c r="J3602" s="31" t="s">
        <v>105</v>
      </c>
      <c r="K3602" s="31"/>
      <c r="N3602" s="13" t="s">
        <v>30</v>
      </c>
      <c r="O3602" s="28" t="str">
        <f>IF(D3602="","",IF(COUNTIF(离职清单!C:C,D3602)&gt;0,"已离职","在职"))</f>
        <v>在职</v>
      </c>
      <c r="P3602" s="28" t="str">
        <f>IF(AND(O3602="在职",J3602="是"),COUNTIF(O$2:O3602,"在职"),"")</f>
        <v/>
      </c>
    </row>
    <row r="3603" ht="18" spans="1:16">
      <c r="A3603" s="14">
        <f t="shared" si="61"/>
        <v>3602</v>
      </c>
      <c r="B3603" s="31">
        <v>46187</v>
      </c>
      <c r="C3603" s="32" t="s">
        <v>3246</v>
      </c>
      <c r="D3603" s="120" t="s">
        <v>480</v>
      </c>
      <c r="E3603" s="33" t="s">
        <v>42</v>
      </c>
      <c r="F3603" s="18" t="s">
        <v>62</v>
      </c>
      <c r="G3603" s="18" t="s">
        <v>3135</v>
      </c>
      <c r="H3603" s="34" t="s">
        <v>85</v>
      </c>
      <c r="I3603" s="18" t="s">
        <v>2154</v>
      </c>
      <c r="J3603" s="31" t="s">
        <v>105</v>
      </c>
      <c r="K3603" s="31"/>
      <c r="N3603" s="13" t="s">
        <v>30</v>
      </c>
      <c r="O3603" s="28" t="str">
        <f>IF(D3603="","",IF(COUNTIF(离职清单!C:C,D3603)&gt;0,"已离职","在职"))</f>
        <v>在职</v>
      </c>
      <c r="P3603" s="28" t="str">
        <f>IF(AND(O3603="在职",J3603="是"),COUNTIF(O$2:O3603,"在职"),"")</f>
        <v/>
      </c>
    </row>
    <row r="3604" ht="18" spans="1:16">
      <c r="A3604" s="10">
        <f t="shared" si="61"/>
        <v>3603</v>
      </c>
      <c r="B3604" s="31">
        <v>46187</v>
      </c>
      <c r="C3604" s="32" t="s">
        <v>3162</v>
      </c>
      <c r="D3604" s="120" t="s">
        <v>482</v>
      </c>
      <c r="E3604" s="33" t="s">
        <v>42</v>
      </c>
      <c r="F3604" s="18" t="s">
        <v>62</v>
      </c>
      <c r="G3604" s="18" t="s">
        <v>3135</v>
      </c>
      <c r="H3604" s="34" t="s">
        <v>85</v>
      </c>
      <c r="I3604" s="18" t="s">
        <v>2154</v>
      </c>
      <c r="J3604" s="31" t="s">
        <v>105</v>
      </c>
      <c r="K3604" s="31"/>
      <c r="N3604" s="13" t="s">
        <v>30</v>
      </c>
      <c r="O3604" s="28" t="str">
        <f>IF(D3604="","",IF(COUNTIF(离职清单!C:C,D3604)&gt;0,"已离职","在职"))</f>
        <v>在职</v>
      </c>
      <c r="P3604" s="28" t="str">
        <f>IF(AND(O3604="在职",J3604="是"),COUNTIF(O$2:O3604,"在职"),"")</f>
        <v/>
      </c>
    </row>
    <row r="3605" ht="18" spans="1:16">
      <c r="A3605" s="14">
        <f t="shared" si="61"/>
        <v>3604</v>
      </c>
      <c r="B3605" s="31">
        <v>46187</v>
      </c>
      <c r="C3605" s="32" t="s">
        <v>3247</v>
      </c>
      <c r="D3605" s="120" t="s">
        <v>484</v>
      </c>
      <c r="E3605" s="33" t="s">
        <v>42</v>
      </c>
      <c r="F3605" s="18" t="s">
        <v>62</v>
      </c>
      <c r="G3605" s="18" t="s">
        <v>3135</v>
      </c>
      <c r="H3605" s="34" t="s">
        <v>85</v>
      </c>
      <c r="I3605" s="18" t="s">
        <v>2154</v>
      </c>
      <c r="J3605" s="31" t="s">
        <v>105</v>
      </c>
      <c r="K3605" s="31"/>
      <c r="N3605" s="13" t="s">
        <v>30</v>
      </c>
      <c r="O3605" s="28" t="str">
        <f>IF(D3605="","",IF(COUNTIF(离职清单!C:C,D3605)&gt;0,"已离职","在职"))</f>
        <v>在职</v>
      </c>
      <c r="P3605" s="28" t="str">
        <f>IF(AND(O3605="在职",J3605="是"),COUNTIF(O$2:O3605,"在职"),"")</f>
        <v/>
      </c>
    </row>
    <row r="3606" ht="18" spans="1:16">
      <c r="A3606" s="10">
        <f t="shared" si="61"/>
        <v>3605</v>
      </c>
      <c r="B3606" s="31">
        <v>46187</v>
      </c>
      <c r="C3606" s="32" t="s">
        <v>3248</v>
      </c>
      <c r="D3606" s="120" t="s">
        <v>486</v>
      </c>
      <c r="E3606" s="33" t="s">
        <v>42</v>
      </c>
      <c r="F3606" s="18" t="s">
        <v>62</v>
      </c>
      <c r="G3606" s="18" t="s">
        <v>3135</v>
      </c>
      <c r="H3606" s="34" t="s">
        <v>85</v>
      </c>
      <c r="I3606" s="18" t="s">
        <v>105</v>
      </c>
      <c r="J3606" s="31" t="s">
        <v>105</v>
      </c>
      <c r="K3606" s="31"/>
      <c r="N3606" s="13" t="s">
        <v>30</v>
      </c>
      <c r="O3606" s="28" t="str">
        <f>IF(D3606="","",IF(COUNTIF(离职清单!C:C,D3606)&gt;0,"已离职","在职"))</f>
        <v>在职</v>
      </c>
      <c r="P3606" s="28" t="str">
        <f>IF(AND(O3606="在职",J3606="是"),COUNTIF(O$2:O3606,"在职"),"")</f>
        <v/>
      </c>
    </row>
    <row r="3607" ht="18" spans="1:16">
      <c r="A3607" s="14">
        <f t="shared" si="61"/>
        <v>3606</v>
      </c>
      <c r="B3607" s="31">
        <v>46187</v>
      </c>
      <c r="C3607" s="32" t="s">
        <v>3249</v>
      </c>
      <c r="D3607" s="120" t="s">
        <v>488</v>
      </c>
      <c r="E3607" s="33" t="s">
        <v>42</v>
      </c>
      <c r="F3607" s="18" t="s">
        <v>62</v>
      </c>
      <c r="G3607" s="18" t="s">
        <v>3135</v>
      </c>
      <c r="H3607" s="34" t="s">
        <v>85</v>
      </c>
      <c r="I3607" s="18" t="s">
        <v>2154</v>
      </c>
      <c r="J3607" s="31" t="s">
        <v>105</v>
      </c>
      <c r="K3607" s="31"/>
      <c r="N3607" s="13" t="s">
        <v>30</v>
      </c>
      <c r="O3607" s="28" t="str">
        <f>IF(D3607="","",IF(COUNTIF(离职清单!C:C,D3607)&gt;0,"已离职","在职"))</f>
        <v>在职</v>
      </c>
      <c r="P3607" s="28" t="str">
        <f>IF(AND(O3607="在职",J3607="是"),COUNTIF(O$2:O3607,"在职"),"")</f>
        <v/>
      </c>
    </row>
    <row r="3608" ht="18" spans="1:16">
      <c r="A3608" s="10">
        <f t="shared" si="61"/>
        <v>3607</v>
      </c>
      <c r="B3608" s="31">
        <v>46187</v>
      </c>
      <c r="C3608" s="32" t="s">
        <v>3250</v>
      </c>
      <c r="D3608" s="120" t="s">
        <v>490</v>
      </c>
      <c r="E3608" s="33" t="s">
        <v>42</v>
      </c>
      <c r="F3608" s="18" t="s">
        <v>63</v>
      </c>
      <c r="G3608" s="18" t="s">
        <v>3135</v>
      </c>
      <c r="H3608" s="34" t="s">
        <v>85</v>
      </c>
      <c r="I3608" s="18" t="s">
        <v>2154</v>
      </c>
      <c r="J3608" s="31" t="s">
        <v>105</v>
      </c>
      <c r="K3608" s="31"/>
      <c r="N3608" s="13" t="s">
        <v>30</v>
      </c>
      <c r="O3608" s="28" t="str">
        <f>IF(D3608="","",IF(COUNTIF(离职清单!C:C,D3608)&gt;0,"已离职","在职"))</f>
        <v>在职</v>
      </c>
      <c r="P3608" s="28" t="str">
        <f>IF(AND(O3608="在职",J3608="是"),COUNTIF(O$2:O3608,"在职"),"")</f>
        <v/>
      </c>
    </row>
    <row r="3609" ht="18" spans="1:16">
      <c r="A3609" s="14">
        <f t="shared" si="61"/>
        <v>3608</v>
      </c>
      <c r="B3609" s="31">
        <v>46187</v>
      </c>
      <c r="C3609" s="32" t="s">
        <v>3251</v>
      </c>
      <c r="D3609" s="120" t="s">
        <v>492</v>
      </c>
      <c r="E3609" s="33" t="s">
        <v>42</v>
      </c>
      <c r="F3609" s="18" t="s">
        <v>62</v>
      </c>
      <c r="G3609" s="18" t="s">
        <v>3135</v>
      </c>
      <c r="H3609" s="34" t="s">
        <v>85</v>
      </c>
      <c r="I3609" s="18" t="s">
        <v>105</v>
      </c>
      <c r="J3609" s="31" t="s">
        <v>105</v>
      </c>
      <c r="K3609" s="31"/>
      <c r="N3609" s="13" t="s">
        <v>30</v>
      </c>
      <c r="O3609" s="28" t="str">
        <f>IF(D3609="","",IF(COUNTIF(离职清单!C:C,D3609)&gt;0,"已离职","在职"))</f>
        <v>在职</v>
      </c>
      <c r="P3609" s="28" t="str">
        <f>IF(AND(O3609="在职",J3609="是"),COUNTIF(O$2:O3609,"在职"),"")</f>
        <v/>
      </c>
    </row>
    <row r="3610" ht="18" spans="1:16">
      <c r="A3610" s="10">
        <f t="shared" si="61"/>
        <v>3609</v>
      </c>
      <c r="B3610" s="31">
        <v>46187</v>
      </c>
      <c r="C3610" s="32" t="s">
        <v>2949</v>
      </c>
      <c r="D3610" s="120" t="s">
        <v>477</v>
      </c>
      <c r="E3610" s="33" t="s">
        <v>42</v>
      </c>
      <c r="F3610" s="18" t="s">
        <v>63</v>
      </c>
      <c r="G3610" s="18" t="s">
        <v>3135</v>
      </c>
      <c r="H3610" s="34" t="s">
        <v>85</v>
      </c>
      <c r="I3610" s="18" t="s">
        <v>105</v>
      </c>
      <c r="J3610" s="31" t="s">
        <v>105</v>
      </c>
      <c r="K3610" s="31"/>
      <c r="N3610" s="13" t="s">
        <v>30</v>
      </c>
      <c r="O3610" s="28" t="str">
        <f>IF(D3610="","",IF(COUNTIF(离职清单!C:C,D3610)&gt;0,"已离职","在职"))</f>
        <v>在职</v>
      </c>
      <c r="P3610" s="28" t="str">
        <f>IF(AND(O3610="在职",J3610="是"),COUNTIF(O$2:O3610,"在职"),"")</f>
        <v/>
      </c>
    </row>
    <row r="3611" ht="18" spans="1:16">
      <c r="A3611" s="14">
        <f t="shared" si="61"/>
        <v>3610</v>
      </c>
      <c r="B3611" s="31">
        <v>46187</v>
      </c>
      <c r="C3611" s="32" t="s">
        <v>3252</v>
      </c>
      <c r="D3611" s="120" t="s">
        <v>478</v>
      </c>
      <c r="E3611" s="33" t="s">
        <v>42</v>
      </c>
      <c r="F3611" s="18" t="s">
        <v>64</v>
      </c>
      <c r="G3611" s="18" t="s">
        <v>3135</v>
      </c>
      <c r="H3611" s="34" t="s">
        <v>85</v>
      </c>
      <c r="I3611" s="18" t="s">
        <v>114</v>
      </c>
      <c r="J3611" s="31" t="s">
        <v>105</v>
      </c>
      <c r="K3611" s="31"/>
      <c r="N3611" s="13" t="s">
        <v>30</v>
      </c>
      <c r="O3611" s="28" t="str">
        <f>IF(D3611="","",IF(COUNTIF(离职清单!C:C,D3611)&gt;0,"已离职","在职"))</f>
        <v>在职</v>
      </c>
      <c r="P3611" s="28" t="str">
        <f>IF(AND(O3611="在职",J3611="是"),COUNTIF(O$2:O3611,"在职"),"")</f>
        <v/>
      </c>
    </row>
    <row r="3612" ht="18" spans="1:16">
      <c r="A3612" s="10">
        <f t="shared" si="61"/>
        <v>3611</v>
      </c>
      <c r="B3612" s="31">
        <v>46187</v>
      </c>
      <c r="C3612" s="32" t="s">
        <v>3253</v>
      </c>
      <c r="D3612" s="120" t="s">
        <v>480</v>
      </c>
      <c r="E3612" s="33" t="s">
        <v>42</v>
      </c>
      <c r="F3612" s="18" t="s">
        <v>63</v>
      </c>
      <c r="G3612" s="18" t="s">
        <v>3135</v>
      </c>
      <c r="H3612" s="34" t="s">
        <v>85</v>
      </c>
      <c r="I3612" s="18" t="s">
        <v>2154</v>
      </c>
      <c r="J3612" s="31" t="s">
        <v>105</v>
      </c>
      <c r="K3612" s="31"/>
      <c r="N3612" s="13" t="s">
        <v>30</v>
      </c>
      <c r="O3612" s="28" t="str">
        <f>IF(D3612="","",IF(COUNTIF(离职清单!C:C,D3612)&gt;0,"已离职","在职"))</f>
        <v>在职</v>
      </c>
      <c r="P3612" s="28" t="str">
        <f>IF(AND(O3612="在职",J3612="是"),COUNTIF(O$2:O3612,"在职"),"")</f>
        <v/>
      </c>
    </row>
    <row r="3613" ht="18" spans="1:16">
      <c r="A3613" s="14">
        <f t="shared" si="61"/>
        <v>3612</v>
      </c>
      <c r="B3613" s="31">
        <v>46187</v>
      </c>
      <c r="C3613" s="32" t="s">
        <v>3254</v>
      </c>
      <c r="D3613" s="120" t="s">
        <v>482</v>
      </c>
      <c r="E3613" s="33" t="s">
        <v>42</v>
      </c>
      <c r="F3613" s="18" t="s">
        <v>64</v>
      </c>
      <c r="G3613" s="18" t="s">
        <v>3135</v>
      </c>
      <c r="H3613" s="34" t="s">
        <v>85</v>
      </c>
      <c r="I3613" s="18" t="s">
        <v>114</v>
      </c>
      <c r="J3613" s="31" t="s">
        <v>105</v>
      </c>
      <c r="K3613" s="31"/>
      <c r="N3613" s="13" t="s">
        <v>30</v>
      </c>
      <c r="O3613" s="28" t="str">
        <f>IF(D3613="","",IF(COUNTIF(离职清单!C:C,D3613)&gt;0,"已离职","在职"))</f>
        <v>在职</v>
      </c>
      <c r="P3613" s="28" t="str">
        <f>IF(AND(O3613="在职",J3613="是"),COUNTIF(O$2:O3613,"在职"),"")</f>
        <v/>
      </c>
    </row>
    <row r="3614" ht="18" spans="1:16">
      <c r="A3614" s="10">
        <f t="shared" si="61"/>
        <v>3613</v>
      </c>
      <c r="B3614" s="31">
        <v>46187</v>
      </c>
      <c r="C3614" s="32" t="s">
        <v>3255</v>
      </c>
      <c r="D3614" s="120" t="s">
        <v>484</v>
      </c>
      <c r="E3614" s="33" t="s">
        <v>43</v>
      </c>
      <c r="F3614" s="18" t="s">
        <v>63</v>
      </c>
      <c r="G3614" s="18" t="s">
        <v>124</v>
      </c>
      <c r="H3614" s="34" t="s">
        <v>86</v>
      </c>
      <c r="I3614" s="18" t="s">
        <v>105</v>
      </c>
      <c r="J3614" s="31" t="s">
        <v>105</v>
      </c>
      <c r="K3614" s="31"/>
      <c r="N3614" s="13" t="s">
        <v>30</v>
      </c>
      <c r="O3614" s="28" t="str">
        <f>IF(D3614="","",IF(COUNTIF(离职清单!C:C,D3614)&gt;0,"已离职","在职"))</f>
        <v>在职</v>
      </c>
      <c r="P3614" s="28" t="str">
        <f>IF(AND(O3614="在职",J3614="是"),COUNTIF(O$2:O3614,"在职"),"")</f>
        <v/>
      </c>
    </row>
    <row r="3615" ht="18" spans="1:16">
      <c r="A3615" s="14">
        <f t="shared" si="61"/>
        <v>3614</v>
      </c>
      <c r="B3615" s="31">
        <v>46187</v>
      </c>
      <c r="C3615" s="32" t="s">
        <v>1716</v>
      </c>
      <c r="D3615" s="120" t="s">
        <v>486</v>
      </c>
      <c r="E3615" s="33" t="s">
        <v>43</v>
      </c>
      <c r="F3615" s="18" t="s">
        <v>63</v>
      </c>
      <c r="G3615" s="18" t="s">
        <v>148</v>
      </c>
      <c r="H3615" s="34" t="s">
        <v>86</v>
      </c>
      <c r="I3615" s="18" t="s">
        <v>114</v>
      </c>
      <c r="J3615" s="31" t="s">
        <v>114</v>
      </c>
      <c r="K3615" s="31">
        <v>46187</v>
      </c>
      <c r="N3615" s="13" t="s">
        <v>30</v>
      </c>
      <c r="O3615" s="28" t="str">
        <f>IF(D3615="","",IF(COUNTIF(离职清单!C:C,D3615)&gt;0,"已离职","在职"))</f>
        <v>在职</v>
      </c>
      <c r="P3615" s="28">
        <f>IF(AND(O3615="在职",J3615="是"),COUNTIF(O$2:O3615,"在职"),"")</f>
        <v>3608</v>
      </c>
    </row>
    <row r="3616" ht="18" spans="1:16">
      <c r="A3616" s="10">
        <f t="shared" si="61"/>
        <v>3615</v>
      </c>
      <c r="B3616" s="31">
        <v>46187</v>
      </c>
      <c r="C3616" s="32" t="s">
        <v>3256</v>
      </c>
      <c r="D3616" s="120" t="s">
        <v>488</v>
      </c>
      <c r="E3616" s="33" t="s">
        <v>43</v>
      </c>
      <c r="F3616" s="18" t="s">
        <v>62</v>
      </c>
      <c r="G3616" s="18" t="s">
        <v>2164</v>
      </c>
      <c r="H3616" s="34" t="s">
        <v>86</v>
      </c>
      <c r="I3616" s="18" t="s">
        <v>105</v>
      </c>
      <c r="J3616" s="31" t="s">
        <v>105</v>
      </c>
      <c r="K3616" s="31"/>
      <c r="N3616" s="13" t="s">
        <v>30</v>
      </c>
      <c r="O3616" s="28" t="str">
        <f>IF(D3616="","",IF(COUNTIF(离职清单!C:C,D3616)&gt;0,"已离职","在职"))</f>
        <v>在职</v>
      </c>
      <c r="P3616" s="28" t="str">
        <f>IF(AND(O3616="在职",J3616="是"),COUNTIF(O$2:O3616,"在职"),"")</f>
        <v/>
      </c>
    </row>
    <row r="3617" ht="18" spans="1:16">
      <c r="A3617" s="14">
        <f t="shared" si="61"/>
        <v>3616</v>
      </c>
      <c r="B3617" s="31">
        <v>46187</v>
      </c>
      <c r="C3617" s="32" t="s">
        <v>3257</v>
      </c>
      <c r="D3617" s="120" t="s">
        <v>490</v>
      </c>
      <c r="E3617" s="33" t="s">
        <v>43</v>
      </c>
      <c r="F3617" s="18" t="s">
        <v>63</v>
      </c>
      <c r="G3617" s="18" t="s">
        <v>129</v>
      </c>
      <c r="H3617" s="34" t="s">
        <v>85</v>
      </c>
      <c r="I3617" s="18" t="s">
        <v>114</v>
      </c>
      <c r="J3617" s="31" t="s">
        <v>105</v>
      </c>
      <c r="K3617" s="31"/>
      <c r="N3617" s="13" t="s">
        <v>30</v>
      </c>
      <c r="O3617" s="28" t="str">
        <f>IF(D3617="","",IF(COUNTIF(离职清单!C:C,D3617)&gt;0,"已离职","在职"))</f>
        <v>在职</v>
      </c>
      <c r="P3617" s="28" t="str">
        <f>IF(AND(O3617="在职",J3617="是"),COUNTIF(O$2:O3617,"在职"),"")</f>
        <v/>
      </c>
    </row>
    <row r="3618" ht="18" spans="1:16">
      <c r="A3618" s="10">
        <f t="shared" si="61"/>
        <v>3617</v>
      </c>
      <c r="B3618" s="31">
        <v>46187</v>
      </c>
      <c r="C3618" s="32" t="s">
        <v>3177</v>
      </c>
      <c r="D3618" s="120" t="s">
        <v>492</v>
      </c>
      <c r="E3618" s="33" t="s">
        <v>43</v>
      </c>
      <c r="F3618" s="18" t="s">
        <v>62</v>
      </c>
      <c r="G3618" s="18" t="s">
        <v>129</v>
      </c>
      <c r="H3618" s="34" t="s">
        <v>85</v>
      </c>
      <c r="I3618" s="18" t="s">
        <v>2154</v>
      </c>
      <c r="J3618" s="31" t="s">
        <v>105</v>
      </c>
      <c r="K3618" s="31"/>
      <c r="N3618" s="13" t="s">
        <v>30</v>
      </c>
      <c r="O3618" s="28" t="str">
        <f>IF(D3618="","",IF(COUNTIF(离职清单!C:C,D3618)&gt;0,"已离职","在职"))</f>
        <v>在职</v>
      </c>
      <c r="P3618" s="28" t="str">
        <f>IF(AND(O3618="在职",J3618="是"),COUNTIF(O$2:O3618,"在职"),"")</f>
        <v/>
      </c>
    </row>
    <row r="3619" ht="18" spans="1:16">
      <c r="A3619" s="14">
        <f t="shared" si="61"/>
        <v>3618</v>
      </c>
      <c r="B3619" s="31">
        <v>46187</v>
      </c>
      <c r="C3619" s="32" t="s">
        <v>3258</v>
      </c>
      <c r="D3619" s="120" t="s">
        <v>477</v>
      </c>
      <c r="E3619" s="33" t="s">
        <v>43</v>
      </c>
      <c r="F3619" s="18" t="s">
        <v>63</v>
      </c>
      <c r="G3619" s="18" t="s">
        <v>129</v>
      </c>
      <c r="H3619" s="34" t="s">
        <v>85</v>
      </c>
      <c r="I3619" s="18" t="s">
        <v>114</v>
      </c>
      <c r="J3619" s="31" t="s">
        <v>105</v>
      </c>
      <c r="K3619" s="31"/>
      <c r="N3619" s="13" t="s">
        <v>30</v>
      </c>
      <c r="O3619" s="28" t="str">
        <f>IF(D3619="","",IF(COUNTIF(离职清单!C:C,D3619)&gt;0,"已离职","在职"))</f>
        <v>在职</v>
      </c>
      <c r="P3619" s="28" t="str">
        <f>IF(AND(O3619="在职",J3619="是"),COUNTIF(O$2:O3619,"在职"),"")</f>
        <v/>
      </c>
    </row>
    <row r="3620" ht="18" spans="1:16">
      <c r="A3620" s="10">
        <f t="shared" si="61"/>
        <v>3619</v>
      </c>
      <c r="B3620" s="31">
        <v>46187</v>
      </c>
      <c r="C3620" s="32" t="s">
        <v>3259</v>
      </c>
      <c r="D3620" s="120" t="s">
        <v>478</v>
      </c>
      <c r="E3620" s="33" t="s">
        <v>43</v>
      </c>
      <c r="F3620" s="18" t="s">
        <v>62</v>
      </c>
      <c r="G3620" s="18" t="s">
        <v>129</v>
      </c>
      <c r="H3620" s="34" t="s">
        <v>85</v>
      </c>
      <c r="I3620" s="18" t="s">
        <v>2154</v>
      </c>
      <c r="J3620" s="31" t="s">
        <v>105</v>
      </c>
      <c r="K3620" s="31"/>
      <c r="N3620" s="13" t="s">
        <v>30</v>
      </c>
      <c r="O3620" s="28" t="str">
        <f>IF(D3620="","",IF(COUNTIF(离职清单!C:C,D3620)&gt;0,"已离职","在职"))</f>
        <v>在职</v>
      </c>
      <c r="P3620" s="28" t="str">
        <f>IF(AND(O3620="在职",J3620="是"),COUNTIF(O$2:O3620,"在职"),"")</f>
        <v/>
      </c>
    </row>
    <row r="3621" ht="18" spans="1:16">
      <c r="A3621" s="14">
        <f t="shared" si="61"/>
        <v>3620</v>
      </c>
      <c r="B3621" s="31">
        <v>46187</v>
      </c>
      <c r="C3621" s="32" t="s">
        <v>3037</v>
      </c>
      <c r="D3621" s="120" t="s">
        <v>480</v>
      </c>
      <c r="E3621" s="33" t="s">
        <v>43</v>
      </c>
      <c r="F3621" s="18" t="s">
        <v>64</v>
      </c>
      <c r="G3621" s="18" t="s">
        <v>129</v>
      </c>
      <c r="H3621" s="34" t="s">
        <v>85</v>
      </c>
      <c r="I3621" s="18" t="s">
        <v>114</v>
      </c>
      <c r="J3621" s="31" t="s">
        <v>105</v>
      </c>
      <c r="K3621" s="31"/>
      <c r="N3621" s="13" t="s">
        <v>30</v>
      </c>
      <c r="O3621" s="28" t="str">
        <f>IF(D3621="","",IF(COUNTIF(离职清单!C:C,D3621)&gt;0,"已离职","在职"))</f>
        <v>在职</v>
      </c>
      <c r="P3621" s="28" t="str">
        <f>IF(AND(O3621="在职",J3621="是"),COUNTIF(O$2:O3621,"在职"),"")</f>
        <v/>
      </c>
    </row>
    <row r="3622" ht="18" spans="1:16">
      <c r="A3622" s="10">
        <f t="shared" si="61"/>
        <v>3621</v>
      </c>
      <c r="B3622" s="31">
        <v>46187</v>
      </c>
      <c r="C3622" s="32" t="s">
        <v>3039</v>
      </c>
      <c r="D3622" s="120" t="s">
        <v>482</v>
      </c>
      <c r="E3622" s="33" t="s">
        <v>43</v>
      </c>
      <c r="F3622" s="18" t="s">
        <v>64</v>
      </c>
      <c r="G3622" s="18" t="s">
        <v>129</v>
      </c>
      <c r="H3622" s="34" t="s">
        <v>85</v>
      </c>
      <c r="I3622" s="18" t="s">
        <v>114</v>
      </c>
      <c r="J3622" s="31" t="s">
        <v>105</v>
      </c>
      <c r="K3622" s="31"/>
      <c r="N3622" s="13" t="s">
        <v>30</v>
      </c>
      <c r="O3622" s="28" t="str">
        <f>IF(D3622="","",IF(COUNTIF(离职清单!C:C,D3622)&gt;0,"已离职","在职"))</f>
        <v>在职</v>
      </c>
      <c r="P3622" s="28" t="str">
        <f>IF(AND(O3622="在职",J3622="是"),COUNTIF(O$2:O3622,"在职"),"")</f>
        <v/>
      </c>
    </row>
    <row r="3623" ht="18" spans="1:16">
      <c r="A3623" s="14">
        <f t="shared" si="61"/>
        <v>3622</v>
      </c>
      <c r="B3623" s="31">
        <v>46187</v>
      </c>
      <c r="C3623" s="32" t="s">
        <v>3041</v>
      </c>
      <c r="D3623" s="120" t="s">
        <v>484</v>
      </c>
      <c r="E3623" s="33" t="s">
        <v>43</v>
      </c>
      <c r="F3623" s="18" t="s">
        <v>64</v>
      </c>
      <c r="G3623" s="18" t="s">
        <v>129</v>
      </c>
      <c r="H3623" s="34" t="s">
        <v>85</v>
      </c>
      <c r="I3623" s="18" t="s">
        <v>2154</v>
      </c>
      <c r="J3623" s="31" t="s">
        <v>105</v>
      </c>
      <c r="K3623" s="31"/>
      <c r="N3623" s="13" t="s">
        <v>30</v>
      </c>
      <c r="O3623" s="28" t="str">
        <f>IF(D3623="","",IF(COUNTIF(离职清单!C:C,D3623)&gt;0,"已离职","在职"))</f>
        <v>在职</v>
      </c>
      <c r="P3623" s="28" t="str">
        <f>IF(AND(O3623="在职",J3623="是"),COUNTIF(O$2:O3623,"在职"),"")</f>
        <v/>
      </c>
    </row>
    <row r="3624" ht="18" spans="1:16">
      <c r="A3624" s="10">
        <f t="shared" si="61"/>
        <v>3623</v>
      </c>
      <c r="B3624" s="31">
        <v>46187</v>
      </c>
      <c r="C3624" s="32" t="s">
        <v>3040</v>
      </c>
      <c r="D3624" s="120" t="s">
        <v>486</v>
      </c>
      <c r="E3624" s="33" t="s">
        <v>43</v>
      </c>
      <c r="F3624" s="18" t="s">
        <v>64</v>
      </c>
      <c r="G3624" s="18" t="s">
        <v>129</v>
      </c>
      <c r="H3624" s="34" t="s">
        <v>85</v>
      </c>
      <c r="I3624" s="18" t="s">
        <v>114</v>
      </c>
      <c r="J3624" s="31" t="s">
        <v>105</v>
      </c>
      <c r="K3624" s="31"/>
      <c r="N3624" s="13" t="s">
        <v>30</v>
      </c>
      <c r="O3624" s="28" t="str">
        <f>IF(D3624="","",IF(COUNTIF(离职清单!C:C,D3624)&gt;0,"已离职","在职"))</f>
        <v>在职</v>
      </c>
      <c r="P3624" s="28" t="str">
        <f>IF(AND(O3624="在职",J3624="是"),COUNTIF(O$2:O3624,"在职"),"")</f>
        <v/>
      </c>
    </row>
    <row r="3625" ht="18" spans="1:16">
      <c r="A3625" s="14">
        <f t="shared" si="61"/>
        <v>3624</v>
      </c>
      <c r="B3625" s="31">
        <v>46187</v>
      </c>
      <c r="C3625" s="32" t="s">
        <v>2891</v>
      </c>
      <c r="D3625" s="120" t="s">
        <v>488</v>
      </c>
      <c r="E3625" s="33" t="s">
        <v>42</v>
      </c>
      <c r="F3625" s="18" t="s">
        <v>63</v>
      </c>
      <c r="G3625" s="18" t="s">
        <v>129</v>
      </c>
      <c r="H3625" s="34" t="s">
        <v>85</v>
      </c>
      <c r="I3625" s="18" t="s">
        <v>105</v>
      </c>
      <c r="J3625" s="31" t="s">
        <v>105</v>
      </c>
      <c r="K3625" s="31"/>
      <c r="N3625" s="13" t="s">
        <v>30</v>
      </c>
      <c r="O3625" s="28" t="str">
        <f>IF(D3625="","",IF(COUNTIF(离职清单!C:C,D3625)&gt;0,"已离职","在职"))</f>
        <v>在职</v>
      </c>
      <c r="P3625" s="28" t="str">
        <f>IF(AND(O3625="在职",J3625="是"),COUNTIF(O$2:O3625,"在职"),"")</f>
        <v/>
      </c>
    </row>
    <row r="3626" ht="18" spans="1:16">
      <c r="A3626" s="10">
        <f t="shared" si="61"/>
        <v>3625</v>
      </c>
      <c r="B3626" s="31">
        <v>46187</v>
      </c>
      <c r="C3626" s="32" t="s">
        <v>3260</v>
      </c>
      <c r="D3626" s="120" t="s">
        <v>490</v>
      </c>
      <c r="E3626" s="33" t="s">
        <v>43</v>
      </c>
      <c r="F3626" s="18" t="s">
        <v>64</v>
      </c>
      <c r="G3626" s="18" t="s">
        <v>129</v>
      </c>
      <c r="H3626" s="34" t="s">
        <v>85</v>
      </c>
      <c r="I3626" s="18" t="s">
        <v>114</v>
      </c>
      <c r="J3626" s="31" t="s">
        <v>105</v>
      </c>
      <c r="K3626" s="31"/>
      <c r="N3626" s="13" t="s">
        <v>30</v>
      </c>
      <c r="O3626" s="28" t="str">
        <f>IF(D3626="","",IF(COUNTIF(离职清单!C:C,D3626)&gt;0,"已离职","在职"))</f>
        <v>在职</v>
      </c>
      <c r="P3626" s="28" t="str">
        <f>IF(AND(O3626="在职",J3626="是"),COUNTIF(O$2:O3626,"在职"),"")</f>
        <v/>
      </c>
    </row>
    <row r="3627" ht="18" spans="1:16">
      <c r="A3627" s="14">
        <f t="shared" si="61"/>
        <v>3626</v>
      </c>
      <c r="B3627" s="31">
        <v>46187</v>
      </c>
      <c r="C3627" s="32" t="s">
        <v>3038</v>
      </c>
      <c r="D3627" s="120" t="s">
        <v>492</v>
      </c>
      <c r="E3627" s="33" t="s">
        <v>43</v>
      </c>
      <c r="F3627" s="18" t="s">
        <v>64</v>
      </c>
      <c r="G3627" s="18" t="s">
        <v>129</v>
      </c>
      <c r="H3627" s="34" t="s">
        <v>85</v>
      </c>
      <c r="I3627" s="18" t="s">
        <v>2154</v>
      </c>
      <c r="J3627" s="31" t="s">
        <v>105</v>
      </c>
      <c r="K3627" s="31"/>
      <c r="N3627" s="13" t="s">
        <v>30</v>
      </c>
      <c r="O3627" s="28" t="str">
        <f>IF(D3627="","",IF(COUNTIF(离职清单!C:C,D3627)&gt;0,"已离职","在职"))</f>
        <v>在职</v>
      </c>
      <c r="P3627" s="28" t="str">
        <f>IF(AND(O3627="在职",J3627="是"),COUNTIF(O$2:O3627,"在职"),"")</f>
        <v/>
      </c>
    </row>
    <row r="3628" ht="18" spans="1:16">
      <c r="A3628" s="10">
        <f t="shared" ref="A3628:A3691" si="62">IF(B3628&lt;&gt;"",ROW()-1,"")</f>
        <v>3627</v>
      </c>
      <c r="B3628" s="31">
        <v>46187</v>
      </c>
      <c r="C3628" s="32" t="s">
        <v>811</v>
      </c>
      <c r="D3628" s="120" t="s">
        <v>477</v>
      </c>
      <c r="E3628" s="33" t="s">
        <v>42</v>
      </c>
      <c r="F3628" s="18" t="s">
        <v>63</v>
      </c>
      <c r="G3628" s="18" t="s">
        <v>129</v>
      </c>
      <c r="H3628" s="34" t="s">
        <v>85</v>
      </c>
      <c r="I3628" s="18" t="s">
        <v>114</v>
      </c>
      <c r="J3628" s="31" t="s">
        <v>105</v>
      </c>
      <c r="K3628" s="31"/>
      <c r="N3628" s="13" t="s">
        <v>30</v>
      </c>
      <c r="O3628" s="28" t="str">
        <f>IF(D3628="","",IF(COUNTIF(离职清单!C:C,D3628)&gt;0,"已离职","在职"))</f>
        <v>在职</v>
      </c>
      <c r="P3628" s="28" t="str">
        <f>IF(AND(O3628="在职",J3628="是"),COUNTIF(O$2:O3628,"在职"),"")</f>
        <v/>
      </c>
    </row>
    <row r="3629" ht="18" spans="1:16">
      <c r="A3629" s="14">
        <f t="shared" si="62"/>
        <v>3628</v>
      </c>
      <c r="B3629" s="31">
        <v>46187</v>
      </c>
      <c r="C3629" s="32" t="s">
        <v>3261</v>
      </c>
      <c r="D3629" s="120" t="s">
        <v>478</v>
      </c>
      <c r="E3629" s="33" t="s">
        <v>43</v>
      </c>
      <c r="F3629" s="18" t="s">
        <v>64</v>
      </c>
      <c r="G3629" s="18" t="s">
        <v>129</v>
      </c>
      <c r="H3629" s="34" t="s">
        <v>85</v>
      </c>
      <c r="I3629" s="18" t="s">
        <v>114</v>
      </c>
      <c r="J3629" s="31" t="s">
        <v>105</v>
      </c>
      <c r="K3629" s="31"/>
      <c r="N3629" s="13" t="s">
        <v>30</v>
      </c>
      <c r="O3629" s="28" t="str">
        <f>IF(D3629="","",IF(COUNTIF(离职清单!C:C,D3629)&gt;0,"已离职","在职"))</f>
        <v>在职</v>
      </c>
      <c r="P3629" s="28" t="str">
        <f>IF(AND(O3629="在职",J3629="是"),COUNTIF(O$2:O3629,"在职"),"")</f>
        <v/>
      </c>
    </row>
    <row r="3630" ht="18" spans="1:16">
      <c r="A3630" s="10">
        <f t="shared" si="62"/>
        <v>3629</v>
      </c>
      <c r="B3630" s="31">
        <v>46187</v>
      </c>
      <c r="C3630" s="32" t="s">
        <v>3262</v>
      </c>
      <c r="D3630" s="120" t="s">
        <v>480</v>
      </c>
      <c r="E3630" s="33" t="s">
        <v>43</v>
      </c>
      <c r="F3630" s="18" t="s">
        <v>64</v>
      </c>
      <c r="G3630" s="18" t="s">
        <v>129</v>
      </c>
      <c r="H3630" s="34" t="s">
        <v>85</v>
      </c>
      <c r="I3630" s="18" t="s">
        <v>2154</v>
      </c>
      <c r="J3630" s="31" t="s">
        <v>105</v>
      </c>
      <c r="K3630" s="31"/>
      <c r="N3630" s="13" t="s">
        <v>30</v>
      </c>
      <c r="O3630" s="28" t="str">
        <f>IF(D3630="","",IF(COUNTIF(离职清单!C:C,D3630)&gt;0,"已离职","在职"))</f>
        <v>在职</v>
      </c>
      <c r="P3630" s="28" t="str">
        <f>IF(AND(O3630="在职",J3630="是"),COUNTIF(O$2:O3630,"在职"),"")</f>
        <v/>
      </c>
    </row>
    <row r="3631" ht="18" spans="1:16">
      <c r="A3631" s="14">
        <f t="shared" si="62"/>
        <v>3630</v>
      </c>
      <c r="B3631" s="31">
        <v>46187</v>
      </c>
      <c r="C3631" s="32" t="s">
        <v>3036</v>
      </c>
      <c r="D3631" s="120" t="s">
        <v>482</v>
      </c>
      <c r="E3631" s="33" t="s">
        <v>43</v>
      </c>
      <c r="F3631" s="18" t="s">
        <v>64</v>
      </c>
      <c r="G3631" s="18" t="s">
        <v>129</v>
      </c>
      <c r="H3631" s="34" t="s">
        <v>85</v>
      </c>
      <c r="I3631" s="18" t="s">
        <v>114</v>
      </c>
      <c r="J3631" s="31" t="s">
        <v>105</v>
      </c>
      <c r="K3631" s="31"/>
      <c r="N3631" s="13" t="s">
        <v>30</v>
      </c>
      <c r="O3631" s="28" t="str">
        <f>IF(D3631="","",IF(COUNTIF(离职清单!C:C,D3631)&gt;0,"已离职","在职"))</f>
        <v>在职</v>
      </c>
      <c r="P3631" s="28" t="str">
        <f>IF(AND(O3631="在职",J3631="是"),COUNTIF(O$2:O3631,"在职"),"")</f>
        <v/>
      </c>
    </row>
    <row r="3632" ht="18" spans="1:16">
      <c r="A3632" s="10">
        <f t="shared" si="62"/>
        <v>3631</v>
      </c>
      <c r="B3632" s="31">
        <v>46187</v>
      </c>
      <c r="C3632" s="32" t="s">
        <v>3263</v>
      </c>
      <c r="D3632" s="120" t="s">
        <v>484</v>
      </c>
      <c r="E3632" s="33" t="s">
        <v>43</v>
      </c>
      <c r="F3632" s="18" t="s">
        <v>64</v>
      </c>
      <c r="G3632" s="18" t="s">
        <v>129</v>
      </c>
      <c r="H3632" s="34" t="s">
        <v>85</v>
      </c>
      <c r="I3632" s="18" t="s">
        <v>2154</v>
      </c>
      <c r="J3632" s="31" t="s">
        <v>105</v>
      </c>
      <c r="K3632" s="31"/>
      <c r="N3632" s="13" t="s">
        <v>30</v>
      </c>
      <c r="O3632" s="28" t="str">
        <f>IF(D3632="","",IF(COUNTIF(离职清单!C:C,D3632)&gt;0,"已离职","在职"))</f>
        <v>在职</v>
      </c>
      <c r="P3632" s="28" t="str">
        <f>IF(AND(O3632="在职",J3632="是"),COUNTIF(O$2:O3632,"在职"),"")</f>
        <v/>
      </c>
    </row>
    <row r="3633" spans="1:16">
      <c r="A3633" s="14" t="str">
        <f t="shared" si="62"/>
        <v/>
      </c>
      <c r="D3633" s="120" t="s">
        <v>486</v>
      </c>
      <c r="O3633" s="28" t="str">
        <f>IF(D3633="","",IF(COUNTIF(离职清单!C:C,D3633)&gt;0,"已离职","在职"))</f>
        <v>在职</v>
      </c>
      <c r="P3633" s="28" t="str">
        <f>IF(AND(O3633="在职",J3633="是"),COUNTIF(O$2:O3633,"在职"),"")</f>
        <v/>
      </c>
    </row>
    <row r="3634" spans="1:16">
      <c r="A3634" s="10" t="str">
        <f t="shared" si="62"/>
        <v/>
      </c>
      <c r="D3634" s="120" t="s">
        <v>488</v>
      </c>
      <c r="O3634" s="28" t="str">
        <f>IF(D3634="","",IF(COUNTIF(离职清单!C:C,D3634)&gt;0,"已离职","在职"))</f>
        <v>在职</v>
      </c>
      <c r="P3634" s="28" t="str">
        <f>IF(AND(O3634="在职",J3634="是"),COUNTIF(O$2:O3634,"在职"),"")</f>
        <v/>
      </c>
    </row>
    <row r="3635" spans="1:16">
      <c r="A3635" s="14" t="str">
        <f t="shared" si="62"/>
        <v/>
      </c>
      <c r="D3635" s="120" t="s">
        <v>490</v>
      </c>
      <c r="O3635" s="28" t="str">
        <f>IF(D3635="","",IF(COUNTIF(离职清单!C:C,D3635)&gt;0,"已离职","在职"))</f>
        <v>在职</v>
      </c>
      <c r="P3635" s="28" t="str">
        <f>IF(AND(O3635="在职",J3635="是"),COUNTIF(O$2:O3635,"在职"),"")</f>
        <v/>
      </c>
    </row>
    <row r="3636" spans="1:16">
      <c r="A3636" s="10" t="str">
        <f t="shared" si="62"/>
        <v/>
      </c>
      <c r="D3636" s="120" t="s">
        <v>492</v>
      </c>
      <c r="O3636" s="28" t="str">
        <f>IF(D3636="","",IF(COUNTIF(离职清单!C:C,D3636)&gt;0,"已离职","在职"))</f>
        <v>在职</v>
      </c>
      <c r="P3636" s="28" t="str">
        <f>IF(AND(O3636="在职",J3636="是"),COUNTIF(O$2:O3636,"在职"),"")</f>
        <v/>
      </c>
    </row>
    <row r="3637" spans="1:16">
      <c r="A3637" s="14" t="str">
        <f t="shared" si="62"/>
        <v/>
      </c>
      <c r="D3637" s="120" t="s">
        <v>477</v>
      </c>
      <c r="O3637" s="28" t="str">
        <f>IF(D3637="","",IF(COUNTIF(离职清单!C:C,D3637)&gt;0,"已离职","在职"))</f>
        <v>在职</v>
      </c>
      <c r="P3637" s="28" t="str">
        <f>IF(AND(O3637="在职",J3637="是"),COUNTIF(O$2:O3637,"在职"),"")</f>
        <v/>
      </c>
    </row>
    <row r="3638" spans="1:16">
      <c r="A3638" s="10" t="str">
        <f t="shared" si="62"/>
        <v/>
      </c>
      <c r="D3638" s="120" t="s">
        <v>478</v>
      </c>
      <c r="O3638" s="28" t="str">
        <f>IF(D3638="","",IF(COUNTIF(离职清单!C:C,D3638)&gt;0,"已离职","在职"))</f>
        <v>在职</v>
      </c>
      <c r="P3638" s="28" t="str">
        <f>IF(AND(O3638="在职",J3638="是"),COUNTIF(O$2:O3638,"在职"),"")</f>
        <v/>
      </c>
    </row>
    <row r="3639" spans="1:16">
      <c r="A3639" s="14" t="str">
        <f t="shared" si="62"/>
        <v/>
      </c>
      <c r="D3639" s="120" t="s">
        <v>480</v>
      </c>
      <c r="O3639" s="28" t="str">
        <f>IF(D3639="","",IF(COUNTIF(离职清单!C:C,D3639)&gt;0,"已离职","在职"))</f>
        <v>在职</v>
      </c>
      <c r="P3639" s="28" t="str">
        <f>IF(AND(O3639="在职",J3639="是"),COUNTIF(O$2:O3639,"在职"),"")</f>
        <v/>
      </c>
    </row>
    <row r="3640" spans="1:16">
      <c r="A3640" s="10" t="str">
        <f t="shared" si="62"/>
        <v/>
      </c>
      <c r="D3640" s="120" t="s">
        <v>482</v>
      </c>
      <c r="O3640" s="28" t="str">
        <f>IF(D3640="","",IF(COUNTIF(离职清单!C:C,D3640)&gt;0,"已离职","在职"))</f>
        <v>在职</v>
      </c>
      <c r="P3640" s="28" t="str">
        <f>IF(AND(O3640="在职",J3640="是"),COUNTIF(O$2:O3640,"在职"),"")</f>
        <v/>
      </c>
    </row>
    <row r="3641" spans="1:16">
      <c r="A3641" s="14" t="str">
        <f t="shared" si="62"/>
        <v/>
      </c>
      <c r="D3641" s="120" t="s">
        <v>484</v>
      </c>
      <c r="O3641" s="28" t="str">
        <f>IF(D3641="","",IF(COUNTIF(离职清单!C:C,D3641)&gt;0,"已离职","在职"))</f>
        <v>在职</v>
      </c>
      <c r="P3641" s="28" t="str">
        <f>IF(AND(O3641="在职",J3641="是"),COUNTIF(O$2:O3641,"在职"),"")</f>
        <v/>
      </c>
    </row>
    <row r="3642" spans="1:16">
      <c r="A3642" s="10" t="str">
        <f t="shared" si="62"/>
        <v/>
      </c>
      <c r="D3642" s="120" t="s">
        <v>486</v>
      </c>
      <c r="O3642" s="28" t="str">
        <f>IF(D3642="","",IF(COUNTIF(离职清单!C:C,D3642)&gt;0,"已离职","在职"))</f>
        <v>在职</v>
      </c>
      <c r="P3642" s="28" t="str">
        <f>IF(AND(O3642="在职",J3642="是"),COUNTIF(O$2:O3642,"在职"),"")</f>
        <v/>
      </c>
    </row>
    <row r="3643" spans="1:16">
      <c r="A3643" s="14" t="str">
        <f t="shared" si="62"/>
        <v/>
      </c>
      <c r="D3643" s="120" t="s">
        <v>488</v>
      </c>
      <c r="O3643" s="28" t="str">
        <f>IF(D3643="","",IF(COUNTIF(离职清单!C:C,D3643)&gt;0,"已离职","在职"))</f>
        <v>在职</v>
      </c>
      <c r="P3643" s="28" t="str">
        <f>IF(AND(O3643="在职",J3643="是"),COUNTIF(O$2:O3643,"在职"),"")</f>
        <v/>
      </c>
    </row>
    <row r="3644" spans="1:16">
      <c r="A3644" s="10" t="str">
        <f t="shared" si="62"/>
        <v/>
      </c>
      <c r="D3644" s="120" t="s">
        <v>490</v>
      </c>
      <c r="O3644" s="28" t="str">
        <f>IF(D3644="","",IF(COUNTIF(离职清单!C:C,D3644)&gt;0,"已离职","在职"))</f>
        <v>在职</v>
      </c>
      <c r="P3644" s="28" t="str">
        <f>IF(AND(O3644="在职",J3644="是"),COUNTIF(O$2:O3644,"在职"),"")</f>
        <v/>
      </c>
    </row>
    <row r="3645" spans="1:16">
      <c r="A3645" s="14" t="str">
        <f t="shared" si="62"/>
        <v/>
      </c>
      <c r="D3645" s="120" t="s">
        <v>492</v>
      </c>
      <c r="O3645" s="28" t="str">
        <f>IF(D3645="","",IF(COUNTIF(离职清单!C:C,D3645)&gt;0,"已离职","在职"))</f>
        <v>在职</v>
      </c>
      <c r="P3645" s="28" t="str">
        <f>IF(AND(O3645="在职",J3645="是"),COUNTIF(O$2:O3645,"在职"),"")</f>
        <v/>
      </c>
    </row>
    <row r="3646" spans="1:16">
      <c r="A3646" s="10" t="str">
        <f t="shared" si="62"/>
        <v/>
      </c>
      <c r="D3646" s="120" t="s">
        <v>477</v>
      </c>
      <c r="O3646" s="28" t="str">
        <f>IF(D3646="","",IF(COUNTIF(离职清单!C:C,D3646)&gt;0,"已离职","在职"))</f>
        <v>在职</v>
      </c>
      <c r="P3646" s="28" t="str">
        <f>IF(AND(O3646="在职",J3646="是"),COUNTIF(O$2:O3646,"在职"),"")</f>
        <v/>
      </c>
    </row>
    <row r="3647" spans="1:16">
      <c r="A3647" s="14" t="str">
        <f t="shared" si="62"/>
        <v/>
      </c>
      <c r="D3647" s="120" t="s">
        <v>477</v>
      </c>
      <c r="O3647" s="28" t="str">
        <f>IF(D3647="","",IF(COUNTIF(离职清单!C:C,D3647)&gt;0,"已离职","在职"))</f>
        <v>在职</v>
      </c>
      <c r="P3647" s="28" t="str">
        <f>IF(AND(O3647="在职",J3647="是"),COUNTIF(O$2:O3647,"在职"),"")</f>
        <v/>
      </c>
    </row>
    <row r="3648" spans="1:16">
      <c r="A3648" s="10" t="str">
        <f t="shared" si="62"/>
        <v/>
      </c>
      <c r="D3648" s="120" t="s">
        <v>478</v>
      </c>
      <c r="O3648" s="28" t="str">
        <f>IF(D3648="","",IF(COUNTIF(离职清单!C:C,D3648)&gt;0,"已离职","在职"))</f>
        <v>在职</v>
      </c>
      <c r="P3648" s="28" t="str">
        <f>IF(AND(O3648="在职",J3648="是"),COUNTIF(O$2:O3648,"在职"),"")</f>
        <v/>
      </c>
    </row>
    <row r="3649" spans="1:16">
      <c r="A3649" s="14" t="str">
        <f t="shared" si="62"/>
        <v/>
      </c>
      <c r="D3649" s="120" t="s">
        <v>480</v>
      </c>
      <c r="O3649" s="28" t="str">
        <f>IF(D3649="","",IF(COUNTIF(离职清单!C:C,D3649)&gt;0,"已离职","在职"))</f>
        <v>在职</v>
      </c>
      <c r="P3649" s="28" t="str">
        <f>IF(AND(O3649="在职",J3649="是"),COUNTIF(O$2:O3649,"在职"),"")</f>
        <v/>
      </c>
    </row>
    <row r="3650" spans="1:16">
      <c r="A3650" s="10" t="str">
        <f t="shared" si="62"/>
        <v/>
      </c>
      <c r="D3650" s="120" t="s">
        <v>482</v>
      </c>
      <c r="O3650" s="28" t="str">
        <f>IF(D3650="","",IF(COUNTIF(离职清单!C:C,D3650)&gt;0,"已离职","在职"))</f>
        <v>在职</v>
      </c>
      <c r="P3650" s="28" t="str">
        <f>IF(AND(O3650="在职",J3650="是"),COUNTIF(O$2:O3650,"在职"),"")</f>
        <v/>
      </c>
    </row>
    <row r="3651" spans="1:16">
      <c r="A3651" s="14" t="str">
        <f t="shared" si="62"/>
        <v/>
      </c>
      <c r="D3651" s="120" t="s">
        <v>484</v>
      </c>
      <c r="O3651" s="28" t="str">
        <f>IF(D3651="","",IF(COUNTIF(离职清单!C:C,D3651)&gt;0,"已离职","在职"))</f>
        <v>在职</v>
      </c>
      <c r="P3651" s="28" t="str">
        <f>IF(AND(O3651="在职",J3651="是"),COUNTIF(O$2:O3651,"在职"),"")</f>
        <v/>
      </c>
    </row>
    <row r="3652" spans="1:16">
      <c r="A3652" s="10" t="str">
        <f t="shared" si="62"/>
        <v/>
      </c>
      <c r="D3652" s="120" t="s">
        <v>486</v>
      </c>
      <c r="O3652" s="28" t="str">
        <f>IF(D3652="","",IF(COUNTIF(离职清单!C:C,D3652)&gt;0,"已离职","在职"))</f>
        <v>在职</v>
      </c>
      <c r="P3652" s="28" t="str">
        <f>IF(AND(O3652="在职",J3652="是"),COUNTIF(O$2:O3652,"在职"),"")</f>
        <v/>
      </c>
    </row>
    <row r="3653" spans="1:16">
      <c r="A3653" s="14" t="str">
        <f t="shared" si="62"/>
        <v/>
      </c>
      <c r="D3653" s="120" t="s">
        <v>488</v>
      </c>
      <c r="O3653" s="28" t="str">
        <f>IF(D3653="","",IF(COUNTIF(离职清单!C:C,D3653)&gt;0,"已离职","在职"))</f>
        <v>在职</v>
      </c>
      <c r="P3653" s="28" t="str">
        <f>IF(AND(O3653="在职",J3653="是"),COUNTIF(O$2:O3653,"在职"),"")</f>
        <v/>
      </c>
    </row>
    <row r="3654" spans="1:16">
      <c r="A3654" s="10" t="str">
        <f t="shared" si="62"/>
        <v/>
      </c>
      <c r="D3654" s="120" t="s">
        <v>490</v>
      </c>
      <c r="O3654" s="28" t="str">
        <f>IF(D3654="","",IF(COUNTIF(离职清单!C:C,D3654)&gt;0,"已离职","在职"))</f>
        <v>在职</v>
      </c>
      <c r="P3654" s="28" t="str">
        <f>IF(AND(O3654="在职",J3654="是"),COUNTIF(O$2:O3654,"在职"),"")</f>
        <v/>
      </c>
    </row>
    <row r="3655" spans="1:16">
      <c r="A3655" s="14" t="str">
        <f t="shared" si="62"/>
        <v/>
      </c>
      <c r="D3655" s="120" t="s">
        <v>492</v>
      </c>
      <c r="O3655" s="28" t="str">
        <f>IF(D3655="","",IF(COUNTIF(离职清单!C:C,D3655)&gt;0,"已离职","在职"))</f>
        <v>在职</v>
      </c>
      <c r="P3655" s="28" t="str">
        <f>IF(AND(O3655="在职",J3655="是"),COUNTIF(O$2:O3655,"在职"),"")</f>
        <v/>
      </c>
    </row>
    <row r="3656" spans="1:16">
      <c r="A3656" s="10" t="str">
        <f t="shared" si="62"/>
        <v/>
      </c>
      <c r="D3656" s="120" t="s">
        <v>477</v>
      </c>
      <c r="O3656" s="28" t="str">
        <f>IF(D3656="","",IF(COUNTIF(离职清单!C:C,D3656)&gt;0,"已离职","在职"))</f>
        <v>在职</v>
      </c>
      <c r="P3656" s="28" t="str">
        <f>IF(AND(O3656="在职",J3656="是"),COUNTIF(O$2:O3656,"在职"),"")</f>
        <v/>
      </c>
    </row>
    <row r="3657" spans="1:16">
      <c r="A3657" s="14" t="str">
        <f t="shared" si="62"/>
        <v/>
      </c>
      <c r="D3657" s="120" t="s">
        <v>478</v>
      </c>
      <c r="O3657" s="28" t="str">
        <f>IF(D3657="","",IF(COUNTIF(离职清单!C:C,D3657)&gt;0,"已离职","在职"))</f>
        <v>在职</v>
      </c>
      <c r="P3657" s="28" t="str">
        <f>IF(AND(O3657="在职",J3657="是"),COUNTIF(O$2:O3657,"在职"),"")</f>
        <v/>
      </c>
    </row>
    <row r="3658" spans="1:16">
      <c r="A3658" s="10" t="str">
        <f t="shared" si="62"/>
        <v/>
      </c>
      <c r="D3658" s="120" t="s">
        <v>480</v>
      </c>
      <c r="O3658" s="28" t="str">
        <f>IF(D3658="","",IF(COUNTIF(离职清单!C:C,D3658)&gt;0,"已离职","在职"))</f>
        <v>在职</v>
      </c>
      <c r="P3658" s="28" t="str">
        <f>IF(AND(O3658="在职",J3658="是"),COUNTIF(O$2:O3658,"在职"),"")</f>
        <v/>
      </c>
    </row>
    <row r="3659" spans="1:16">
      <c r="A3659" s="14" t="str">
        <f t="shared" si="62"/>
        <v/>
      </c>
      <c r="D3659" s="120" t="s">
        <v>482</v>
      </c>
      <c r="O3659" s="28" t="str">
        <f>IF(D3659="","",IF(COUNTIF(离职清单!C:C,D3659)&gt;0,"已离职","在职"))</f>
        <v>在职</v>
      </c>
      <c r="P3659" s="28" t="str">
        <f>IF(AND(O3659="在职",J3659="是"),COUNTIF(O$2:O3659,"在职"),"")</f>
        <v/>
      </c>
    </row>
    <row r="3660" spans="1:16">
      <c r="A3660" s="10" t="str">
        <f t="shared" si="62"/>
        <v/>
      </c>
      <c r="D3660" s="120" t="s">
        <v>484</v>
      </c>
      <c r="O3660" s="28" t="str">
        <f>IF(D3660="","",IF(COUNTIF(离职清单!C:C,D3660)&gt;0,"已离职","在职"))</f>
        <v>在职</v>
      </c>
      <c r="P3660" s="28" t="str">
        <f>IF(AND(O3660="在职",J3660="是"),COUNTIF(O$2:O3660,"在职"),"")</f>
        <v/>
      </c>
    </row>
    <row r="3661" spans="1:16">
      <c r="A3661" s="14" t="str">
        <f t="shared" si="62"/>
        <v/>
      </c>
      <c r="D3661" s="120" t="s">
        <v>486</v>
      </c>
      <c r="O3661" s="28" t="str">
        <f>IF(D3661="","",IF(COUNTIF(离职清单!C:C,D3661)&gt;0,"已离职","在职"))</f>
        <v>在职</v>
      </c>
      <c r="P3661" s="28" t="str">
        <f>IF(AND(O3661="在职",J3661="是"),COUNTIF(O$2:O3661,"在职"),"")</f>
        <v/>
      </c>
    </row>
    <row r="3662" spans="1:16">
      <c r="A3662" s="10" t="str">
        <f t="shared" si="62"/>
        <v/>
      </c>
      <c r="D3662" s="120" t="s">
        <v>488</v>
      </c>
      <c r="O3662" s="28" t="str">
        <f>IF(D3662="","",IF(COUNTIF(离职清单!C:C,D3662)&gt;0,"已离职","在职"))</f>
        <v>在职</v>
      </c>
      <c r="P3662" s="28" t="str">
        <f>IF(AND(O3662="在职",J3662="是"),COUNTIF(O$2:O3662,"在职"),"")</f>
        <v/>
      </c>
    </row>
    <row r="3663" spans="1:16">
      <c r="A3663" s="14" t="str">
        <f t="shared" si="62"/>
        <v/>
      </c>
      <c r="D3663" s="120" t="s">
        <v>490</v>
      </c>
      <c r="O3663" s="28" t="str">
        <f>IF(D3663="","",IF(COUNTIF(离职清单!C:C,D3663)&gt;0,"已离职","在职"))</f>
        <v>在职</v>
      </c>
      <c r="P3663" s="28" t="str">
        <f>IF(AND(O3663="在职",J3663="是"),COUNTIF(O$2:O3663,"在职"),"")</f>
        <v/>
      </c>
    </row>
    <row r="3664" spans="1:16">
      <c r="A3664" s="10" t="str">
        <f t="shared" si="62"/>
        <v/>
      </c>
      <c r="D3664" s="120" t="s">
        <v>492</v>
      </c>
      <c r="O3664" s="28" t="str">
        <f>IF(D3664="","",IF(COUNTIF(离职清单!C:C,D3664)&gt;0,"已离职","在职"))</f>
        <v>在职</v>
      </c>
      <c r="P3664" s="28" t="str">
        <f>IF(AND(O3664="在职",J3664="是"),COUNTIF(O$2:O3664,"在职"),"")</f>
        <v/>
      </c>
    </row>
    <row r="3665" spans="1:16">
      <c r="A3665" s="14" t="str">
        <f t="shared" si="62"/>
        <v/>
      </c>
      <c r="D3665" s="120" t="s">
        <v>477</v>
      </c>
      <c r="O3665" s="28" t="str">
        <f>IF(D3665="","",IF(COUNTIF(离职清单!C:C,D3665)&gt;0,"已离职","在职"))</f>
        <v>在职</v>
      </c>
      <c r="P3665" s="28" t="str">
        <f>IF(AND(O3665="在职",J3665="是"),COUNTIF(O$2:O3665,"在职"),"")</f>
        <v/>
      </c>
    </row>
    <row r="3666" spans="1:16">
      <c r="A3666" s="10" t="str">
        <f t="shared" si="62"/>
        <v/>
      </c>
      <c r="D3666" s="120" t="s">
        <v>478</v>
      </c>
      <c r="O3666" s="28" t="str">
        <f>IF(D3666="","",IF(COUNTIF(离职清单!C:C,D3666)&gt;0,"已离职","在职"))</f>
        <v>在职</v>
      </c>
      <c r="P3666" s="28" t="str">
        <f>IF(AND(O3666="在职",J3666="是"),COUNTIF(O$2:O3666,"在职"),"")</f>
        <v/>
      </c>
    </row>
    <row r="3667" spans="1:16">
      <c r="A3667" s="14" t="str">
        <f t="shared" si="62"/>
        <v/>
      </c>
      <c r="D3667" s="120" t="s">
        <v>480</v>
      </c>
      <c r="O3667" s="28" t="str">
        <f>IF(D3667="","",IF(COUNTIF(离职清单!C:C,D3667)&gt;0,"已离职","在职"))</f>
        <v>在职</v>
      </c>
      <c r="P3667" s="28" t="str">
        <f>IF(AND(O3667="在职",J3667="是"),COUNTIF(O$2:O3667,"在职"),"")</f>
        <v/>
      </c>
    </row>
    <row r="3668" spans="1:16">
      <c r="A3668" s="10" t="str">
        <f t="shared" si="62"/>
        <v/>
      </c>
      <c r="D3668" s="120" t="s">
        <v>482</v>
      </c>
      <c r="O3668" s="28" t="str">
        <f>IF(D3668="","",IF(COUNTIF(离职清单!C:C,D3668)&gt;0,"已离职","在职"))</f>
        <v>在职</v>
      </c>
      <c r="P3668" s="28" t="str">
        <f>IF(AND(O3668="在职",J3668="是"),COUNTIF(O$2:O3668,"在职"),"")</f>
        <v/>
      </c>
    </row>
    <row r="3669" spans="1:16">
      <c r="A3669" s="14" t="str">
        <f t="shared" si="62"/>
        <v/>
      </c>
      <c r="D3669" s="120" t="s">
        <v>484</v>
      </c>
      <c r="O3669" s="28" t="str">
        <f>IF(D3669="","",IF(COUNTIF(离职清单!C:C,D3669)&gt;0,"已离职","在职"))</f>
        <v>在职</v>
      </c>
      <c r="P3669" s="28" t="str">
        <f>IF(AND(O3669="在职",J3669="是"),COUNTIF(O$2:O3669,"在职"),"")</f>
        <v/>
      </c>
    </row>
    <row r="3670" spans="1:16">
      <c r="A3670" s="10" t="str">
        <f t="shared" si="62"/>
        <v/>
      </c>
      <c r="D3670" s="120" t="s">
        <v>486</v>
      </c>
      <c r="O3670" s="28" t="str">
        <f>IF(D3670="","",IF(COUNTIF(离职清单!C:C,D3670)&gt;0,"已离职","在职"))</f>
        <v>在职</v>
      </c>
      <c r="P3670" s="28" t="str">
        <f>IF(AND(O3670="在职",J3670="是"),COUNTIF(O$2:O3670,"在职"),"")</f>
        <v/>
      </c>
    </row>
    <row r="3671" spans="1:16">
      <c r="A3671" s="14" t="str">
        <f t="shared" si="62"/>
        <v/>
      </c>
      <c r="D3671" s="120" t="s">
        <v>488</v>
      </c>
      <c r="O3671" s="28" t="str">
        <f>IF(D3671="","",IF(COUNTIF(离职清单!C:C,D3671)&gt;0,"已离职","在职"))</f>
        <v>在职</v>
      </c>
      <c r="P3671" s="28" t="str">
        <f>IF(AND(O3671="在职",J3671="是"),COUNTIF(O$2:O3671,"在职"),"")</f>
        <v/>
      </c>
    </row>
    <row r="3672" spans="1:16">
      <c r="A3672" s="10" t="str">
        <f t="shared" si="62"/>
        <v/>
      </c>
      <c r="D3672" s="120" t="s">
        <v>490</v>
      </c>
      <c r="O3672" s="28" t="str">
        <f>IF(D3672="","",IF(COUNTIF(离职清单!C:C,D3672)&gt;0,"已离职","在职"))</f>
        <v>在职</v>
      </c>
      <c r="P3672" s="28" t="str">
        <f>IF(AND(O3672="在职",J3672="是"),COUNTIF(O$2:O3672,"在职"),"")</f>
        <v/>
      </c>
    </row>
    <row r="3673" spans="1:16">
      <c r="A3673" s="14" t="str">
        <f t="shared" si="62"/>
        <v/>
      </c>
      <c r="D3673" s="120" t="s">
        <v>492</v>
      </c>
      <c r="O3673" s="28" t="str">
        <f>IF(D3673="","",IF(COUNTIF(离职清单!C:C,D3673)&gt;0,"已离职","在职"))</f>
        <v>在职</v>
      </c>
      <c r="P3673" s="28" t="str">
        <f>IF(AND(O3673="在职",J3673="是"),COUNTIF(O$2:O3673,"在职"),"")</f>
        <v/>
      </c>
    </row>
    <row r="3674" spans="1:16">
      <c r="A3674" s="10" t="str">
        <f t="shared" si="62"/>
        <v/>
      </c>
      <c r="D3674" s="120" t="s">
        <v>477</v>
      </c>
      <c r="O3674" s="28" t="str">
        <f>IF(D3674="","",IF(COUNTIF(离职清单!C:C,D3674)&gt;0,"已离职","在职"))</f>
        <v>在职</v>
      </c>
      <c r="P3674" s="28" t="str">
        <f>IF(AND(O3674="在职",J3674="是"),COUNTIF(O$2:O3674,"在职"),"")</f>
        <v/>
      </c>
    </row>
    <row r="3675" spans="1:16">
      <c r="A3675" s="14" t="str">
        <f t="shared" si="62"/>
        <v/>
      </c>
      <c r="D3675" s="120" t="s">
        <v>478</v>
      </c>
      <c r="O3675" s="28" t="str">
        <f>IF(D3675="","",IF(COUNTIF(离职清单!C:C,D3675)&gt;0,"已离职","在职"))</f>
        <v>在职</v>
      </c>
      <c r="P3675" s="28" t="str">
        <f>IF(AND(O3675="在职",J3675="是"),COUNTIF(O$2:O3675,"在职"),"")</f>
        <v/>
      </c>
    </row>
    <row r="3676" spans="1:16">
      <c r="A3676" s="10" t="str">
        <f t="shared" si="62"/>
        <v/>
      </c>
      <c r="D3676" s="120" t="s">
        <v>480</v>
      </c>
      <c r="O3676" s="28" t="str">
        <f>IF(D3676="","",IF(COUNTIF(离职清单!C:C,D3676)&gt;0,"已离职","在职"))</f>
        <v>在职</v>
      </c>
      <c r="P3676" s="28" t="str">
        <f>IF(AND(O3676="在职",J3676="是"),COUNTIF(O$2:O3676,"在职"),"")</f>
        <v/>
      </c>
    </row>
    <row r="3677" spans="1:16">
      <c r="A3677" s="14" t="str">
        <f t="shared" si="62"/>
        <v/>
      </c>
      <c r="D3677" s="120" t="s">
        <v>482</v>
      </c>
      <c r="O3677" s="28" t="str">
        <f>IF(D3677="","",IF(COUNTIF(离职清单!C:C,D3677)&gt;0,"已离职","在职"))</f>
        <v>在职</v>
      </c>
      <c r="P3677" s="28" t="str">
        <f>IF(AND(O3677="在职",J3677="是"),COUNTIF(O$2:O3677,"在职"),"")</f>
        <v/>
      </c>
    </row>
    <row r="3678" spans="1:16">
      <c r="A3678" s="10" t="str">
        <f t="shared" si="62"/>
        <v/>
      </c>
      <c r="D3678" s="120" t="s">
        <v>484</v>
      </c>
      <c r="O3678" s="28" t="str">
        <f>IF(D3678="","",IF(COUNTIF(离职清单!C:C,D3678)&gt;0,"已离职","在职"))</f>
        <v>在职</v>
      </c>
      <c r="P3678" s="28" t="str">
        <f>IF(AND(O3678="在职",J3678="是"),COUNTIF(O$2:O3678,"在职"),"")</f>
        <v/>
      </c>
    </row>
    <row r="3679" spans="1:16">
      <c r="A3679" s="14" t="str">
        <f t="shared" si="62"/>
        <v/>
      </c>
      <c r="D3679" s="120" t="s">
        <v>486</v>
      </c>
      <c r="O3679" s="28" t="str">
        <f>IF(D3679="","",IF(COUNTIF(离职清单!C:C,D3679)&gt;0,"已离职","在职"))</f>
        <v>在职</v>
      </c>
      <c r="P3679" s="28" t="str">
        <f>IF(AND(O3679="在职",J3679="是"),COUNTIF(O$2:O3679,"在职"),"")</f>
        <v/>
      </c>
    </row>
    <row r="3680" spans="1:16">
      <c r="A3680" s="10" t="str">
        <f t="shared" si="62"/>
        <v/>
      </c>
      <c r="D3680" s="120" t="s">
        <v>488</v>
      </c>
      <c r="O3680" s="28" t="str">
        <f>IF(D3680="","",IF(COUNTIF(离职清单!C:C,D3680)&gt;0,"已离职","在职"))</f>
        <v>在职</v>
      </c>
      <c r="P3680" s="28" t="str">
        <f>IF(AND(O3680="在职",J3680="是"),COUNTIF(O$2:O3680,"在职"),"")</f>
        <v/>
      </c>
    </row>
    <row r="3681" spans="1:16">
      <c r="A3681" s="14" t="str">
        <f t="shared" si="62"/>
        <v/>
      </c>
      <c r="D3681" s="120" t="s">
        <v>490</v>
      </c>
      <c r="O3681" s="28" t="str">
        <f>IF(D3681="","",IF(COUNTIF(离职清单!C:C,D3681)&gt;0,"已离职","在职"))</f>
        <v>在职</v>
      </c>
      <c r="P3681" s="28" t="str">
        <f>IF(AND(O3681="在职",J3681="是"),COUNTIF(O$2:O3681,"在职"),"")</f>
        <v/>
      </c>
    </row>
    <row r="3682" spans="1:16">
      <c r="A3682" s="10" t="str">
        <f t="shared" si="62"/>
        <v/>
      </c>
      <c r="D3682" s="120" t="s">
        <v>492</v>
      </c>
      <c r="O3682" s="28" t="str">
        <f>IF(D3682="","",IF(COUNTIF(离职清单!C:C,D3682)&gt;0,"已离职","在职"))</f>
        <v>在职</v>
      </c>
      <c r="P3682" s="28" t="str">
        <f>IF(AND(O3682="在职",J3682="是"),COUNTIF(O$2:O3682,"在职"),"")</f>
        <v/>
      </c>
    </row>
    <row r="3683" spans="1:16">
      <c r="A3683" s="14" t="str">
        <f t="shared" si="62"/>
        <v/>
      </c>
      <c r="D3683" s="120" t="s">
        <v>477</v>
      </c>
      <c r="O3683" s="28" t="str">
        <f>IF(D3683="","",IF(COUNTIF(离职清单!C:C,D3683)&gt;0,"已离职","在职"))</f>
        <v>在职</v>
      </c>
      <c r="P3683" s="28" t="str">
        <f>IF(AND(O3683="在职",J3683="是"),COUNTIF(O$2:O3683,"在职"),"")</f>
        <v/>
      </c>
    </row>
    <row r="3684" spans="1:16">
      <c r="A3684" s="10" t="str">
        <f t="shared" si="62"/>
        <v/>
      </c>
      <c r="D3684" s="120" t="s">
        <v>478</v>
      </c>
      <c r="O3684" s="28" t="str">
        <f>IF(D3684="","",IF(COUNTIF(离职清单!C:C,D3684)&gt;0,"已离职","在职"))</f>
        <v>在职</v>
      </c>
      <c r="P3684" s="28" t="str">
        <f>IF(AND(O3684="在职",J3684="是"),COUNTIF(O$2:O3684,"在职"),"")</f>
        <v/>
      </c>
    </row>
    <row r="3685" spans="1:16">
      <c r="A3685" s="14" t="str">
        <f t="shared" si="62"/>
        <v/>
      </c>
      <c r="D3685" s="120" t="s">
        <v>480</v>
      </c>
      <c r="O3685" s="28" t="str">
        <f>IF(D3685="","",IF(COUNTIF(离职清单!C:C,D3685)&gt;0,"已离职","在职"))</f>
        <v>在职</v>
      </c>
      <c r="P3685" s="28" t="str">
        <f>IF(AND(O3685="在职",J3685="是"),COUNTIF(O$2:O3685,"在职"),"")</f>
        <v/>
      </c>
    </row>
    <row r="3686" spans="1:16">
      <c r="A3686" s="10" t="str">
        <f t="shared" si="62"/>
        <v/>
      </c>
      <c r="D3686" s="120" t="s">
        <v>482</v>
      </c>
      <c r="O3686" s="28" t="str">
        <f>IF(D3686="","",IF(COUNTIF(离职清单!C:C,D3686)&gt;0,"已离职","在职"))</f>
        <v>在职</v>
      </c>
      <c r="P3686" s="28" t="str">
        <f>IF(AND(O3686="在职",J3686="是"),COUNTIF(O$2:O3686,"在职"),"")</f>
        <v/>
      </c>
    </row>
    <row r="3687" spans="1:16">
      <c r="A3687" s="14" t="str">
        <f t="shared" si="62"/>
        <v/>
      </c>
      <c r="D3687" s="120" t="s">
        <v>484</v>
      </c>
      <c r="O3687" s="28" t="str">
        <f>IF(D3687="","",IF(COUNTIF(离职清单!C:C,D3687)&gt;0,"已离职","在职"))</f>
        <v>在职</v>
      </c>
      <c r="P3687" s="28" t="str">
        <f>IF(AND(O3687="在职",J3687="是"),COUNTIF(O$2:O3687,"在职"),"")</f>
        <v/>
      </c>
    </row>
    <row r="3688" spans="1:16">
      <c r="A3688" s="10" t="str">
        <f t="shared" si="62"/>
        <v/>
      </c>
      <c r="D3688" s="120" t="s">
        <v>486</v>
      </c>
      <c r="O3688" s="28" t="str">
        <f>IF(D3688="","",IF(COUNTIF(离职清单!C:C,D3688)&gt;0,"已离职","在职"))</f>
        <v>在职</v>
      </c>
      <c r="P3688" s="28" t="str">
        <f>IF(AND(O3688="在职",J3688="是"),COUNTIF(O$2:O3688,"在职"),"")</f>
        <v/>
      </c>
    </row>
    <row r="3689" spans="1:16">
      <c r="A3689" s="14" t="str">
        <f t="shared" si="62"/>
        <v/>
      </c>
      <c r="D3689" s="120" t="s">
        <v>488</v>
      </c>
      <c r="O3689" s="28" t="str">
        <f>IF(D3689="","",IF(COUNTIF(离职清单!C:C,D3689)&gt;0,"已离职","在职"))</f>
        <v>在职</v>
      </c>
      <c r="P3689" s="28" t="str">
        <f>IF(AND(O3689="在职",J3689="是"),COUNTIF(O$2:O3689,"在职"),"")</f>
        <v/>
      </c>
    </row>
    <row r="3690" spans="1:16">
      <c r="A3690" s="10" t="str">
        <f t="shared" si="62"/>
        <v/>
      </c>
      <c r="D3690" s="120" t="s">
        <v>490</v>
      </c>
      <c r="O3690" s="28" t="str">
        <f>IF(D3690="","",IF(COUNTIF(离职清单!C:C,D3690)&gt;0,"已离职","在职"))</f>
        <v>在职</v>
      </c>
      <c r="P3690" s="28" t="str">
        <f>IF(AND(O3690="在职",J3690="是"),COUNTIF(O$2:O3690,"在职"),"")</f>
        <v/>
      </c>
    </row>
    <row r="3691" spans="1:16">
      <c r="A3691" s="14" t="str">
        <f t="shared" si="62"/>
        <v/>
      </c>
      <c r="D3691" s="120" t="s">
        <v>492</v>
      </c>
      <c r="O3691" s="28" t="str">
        <f>IF(D3691="","",IF(COUNTIF(离职清单!C:C,D3691)&gt;0,"已离职","在职"))</f>
        <v>在职</v>
      </c>
      <c r="P3691" s="28" t="str">
        <f>IF(AND(O3691="在职",J3691="是"),COUNTIF(O$2:O3691,"在职"),"")</f>
        <v/>
      </c>
    </row>
    <row r="3692" spans="1:16">
      <c r="A3692" s="10" t="str">
        <f t="shared" ref="A3692:A3755" si="63">IF(B3692&lt;&gt;"",ROW()-1,"")</f>
        <v/>
      </c>
      <c r="D3692" s="120" t="s">
        <v>477</v>
      </c>
      <c r="O3692" s="28" t="str">
        <f>IF(D3692="","",IF(COUNTIF(离职清单!C:C,D3692)&gt;0,"已离职","在职"))</f>
        <v>在职</v>
      </c>
      <c r="P3692" s="28" t="str">
        <f>IF(AND(O3692="在职",J3692="是"),COUNTIF(O$2:O3692,"在职"),"")</f>
        <v/>
      </c>
    </row>
    <row r="3693" spans="1:16">
      <c r="A3693" s="14" t="str">
        <f t="shared" si="63"/>
        <v/>
      </c>
      <c r="D3693" s="120" t="s">
        <v>478</v>
      </c>
      <c r="O3693" s="28" t="str">
        <f>IF(D3693="","",IF(COUNTIF(离职清单!C:C,D3693)&gt;0,"已离职","在职"))</f>
        <v>在职</v>
      </c>
      <c r="P3693" s="28" t="str">
        <f>IF(AND(O3693="在职",J3693="是"),COUNTIF(O$2:O3693,"在职"),"")</f>
        <v/>
      </c>
    </row>
    <row r="3694" spans="1:16">
      <c r="A3694" s="10" t="str">
        <f t="shared" si="63"/>
        <v/>
      </c>
      <c r="D3694" s="120" t="s">
        <v>480</v>
      </c>
      <c r="O3694" s="28" t="str">
        <f>IF(D3694="","",IF(COUNTIF(离职清单!C:C,D3694)&gt;0,"已离职","在职"))</f>
        <v>在职</v>
      </c>
      <c r="P3694" s="28" t="str">
        <f>IF(AND(O3694="在职",J3694="是"),COUNTIF(O$2:O3694,"在职"),"")</f>
        <v/>
      </c>
    </row>
    <row r="3695" spans="1:16">
      <c r="A3695" s="14" t="str">
        <f t="shared" si="63"/>
        <v/>
      </c>
      <c r="D3695" s="120" t="s">
        <v>482</v>
      </c>
      <c r="O3695" s="28" t="str">
        <f>IF(D3695="","",IF(COUNTIF(离职清单!C:C,D3695)&gt;0,"已离职","在职"))</f>
        <v>在职</v>
      </c>
      <c r="P3695" s="28" t="str">
        <f>IF(AND(O3695="在职",J3695="是"),COUNTIF(O$2:O3695,"在职"),"")</f>
        <v/>
      </c>
    </row>
    <row r="3696" spans="1:16">
      <c r="A3696" s="10" t="str">
        <f t="shared" si="63"/>
        <v/>
      </c>
      <c r="D3696" s="120" t="s">
        <v>484</v>
      </c>
      <c r="O3696" s="28" t="str">
        <f>IF(D3696="","",IF(COUNTIF(离职清单!C:C,D3696)&gt;0,"已离职","在职"))</f>
        <v>在职</v>
      </c>
      <c r="P3696" s="28" t="str">
        <f>IF(AND(O3696="在职",J3696="是"),COUNTIF(O$2:O3696,"在职"),"")</f>
        <v/>
      </c>
    </row>
    <row r="3697" spans="1:16">
      <c r="A3697" s="14" t="str">
        <f t="shared" si="63"/>
        <v/>
      </c>
      <c r="D3697" s="120" t="s">
        <v>486</v>
      </c>
      <c r="O3697" s="28" t="str">
        <f>IF(D3697="","",IF(COUNTIF(离职清单!C:C,D3697)&gt;0,"已离职","在职"))</f>
        <v>在职</v>
      </c>
      <c r="P3697" s="28" t="str">
        <f>IF(AND(O3697="在职",J3697="是"),COUNTIF(O$2:O3697,"在职"),"")</f>
        <v/>
      </c>
    </row>
    <row r="3698" spans="1:16">
      <c r="A3698" s="10" t="str">
        <f t="shared" si="63"/>
        <v/>
      </c>
      <c r="D3698" s="120" t="s">
        <v>488</v>
      </c>
      <c r="O3698" s="28" t="str">
        <f>IF(D3698="","",IF(COUNTIF(离职清单!C:C,D3698)&gt;0,"已离职","在职"))</f>
        <v>在职</v>
      </c>
      <c r="P3698" s="28" t="str">
        <f>IF(AND(O3698="在职",J3698="是"),COUNTIF(O$2:O3698,"在职"),"")</f>
        <v/>
      </c>
    </row>
    <row r="3699" spans="1:16">
      <c r="A3699" s="14" t="str">
        <f t="shared" si="63"/>
        <v/>
      </c>
      <c r="D3699" s="120" t="s">
        <v>490</v>
      </c>
      <c r="O3699" s="28" t="str">
        <f>IF(D3699="","",IF(COUNTIF(离职清单!C:C,D3699)&gt;0,"已离职","在职"))</f>
        <v>在职</v>
      </c>
      <c r="P3699" s="28" t="str">
        <f>IF(AND(O3699="在职",J3699="是"),COUNTIF(O$2:O3699,"在职"),"")</f>
        <v/>
      </c>
    </row>
    <row r="3700" spans="1:16">
      <c r="A3700" s="10" t="str">
        <f t="shared" si="63"/>
        <v/>
      </c>
      <c r="D3700" s="120" t="s">
        <v>492</v>
      </c>
      <c r="O3700" s="28" t="str">
        <f>IF(D3700="","",IF(COUNTIF(离职清单!C:C,D3700)&gt;0,"已离职","在职"))</f>
        <v>在职</v>
      </c>
      <c r="P3700" s="28" t="str">
        <f>IF(AND(O3700="在职",J3700="是"),COUNTIF(O$2:O3700,"在职"),"")</f>
        <v/>
      </c>
    </row>
    <row r="3701" spans="1:16">
      <c r="A3701" s="14" t="str">
        <f t="shared" si="63"/>
        <v/>
      </c>
      <c r="D3701" s="120" t="s">
        <v>477</v>
      </c>
      <c r="O3701" s="28" t="str">
        <f>IF(D3701="","",IF(COUNTIF(离职清单!C:C,D3701)&gt;0,"已离职","在职"))</f>
        <v>在职</v>
      </c>
      <c r="P3701" s="28" t="str">
        <f>IF(AND(O3701="在职",J3701="是"),COUNTIF(O$2:O3701,"在职"),"")</f>
        <v/>
      </c>
    </row>
    <row r="3702" spans="1:16">
      <c r="A3702" s="10" t="str">
        <f t="shared" si="63"/>
        <v/>
      </c>
      <c r="D3702" s="120" t="s">
        <v>477</v>
      </c>
      <c r="O3702" s="28" t="str">
        <f>IF(D3702="","",IF(COUNTIF(离职清单!C:C,D3702)&gt;0,"已离职","在职"))</f>
        <v>在职</v>
      </c>
      <c r="P3702" s="28" t="str">
        <f>IF(AND(O3702="在职",J3702="是"),COUNTIF(O$2:O3702,"在职"),"")</f>
        <v/>
      </c>
    </row>
    <row r="3703" spans="1:16">
      <c r="A3703" s="14" t="str">
        <f t="shared" si="63"/>
        <v/>
      </c>
      <c r="D3703" s="120" t="s">
        <v>478</v>
      </c>
      <c r="O3703" s="28" t="str">
        <f>IF(D3703="","",IF(COUNTIF(离职清单!C:C,D3703)&gt;0,"已离职","在职"))</f>
        <v>在职</v>
      </c>
      <c r="P3703" s="28" t="str">
        <f>IF(AND(O3703="在职",J3703="是"),COUNTIF(O$2:O3703,"在职"),"")</f>
        <v/>
      </c>
    </row>
    <row r="3704" spans="1:16">
      <c r="A3704" s="10" t="str">
        <f t="shared" si="63"/>
        <v/>
      </c>
      <c r="D3704" s="120" t="s">
        <v>480</v>
      </c>
      <c r="O3704" s="28" t="str">
        <f>IF(D3704="","",IF(COUNTIF(离职清单!C:C,D3704)&gt;0,"已离职","在职"))</f>
        <v>在职</v>
      </c>
      <c r="P3704" s="28" t="str">
        <f>IF(AND(O3704="在职",J3704="是"),COUNTIF(O$2:O3704,"在职"),"")</f>
        <v/>
      </c>
    </row>
    <row r="3705" spans="1:16">
      <c r="A3705" s="14" t="str">
        <f t="shared" si="63"/>
        <v/>
      </c>
      <c r="D3705" s="120" t="s">
        <v>482</v>
      </c>
      <c r="O3705" s="28" t="str">
        <f>IF(D3705="","",IF(COUNTIF(离职清单!C:C,D3705)&gt;0,"已离职","在职"))</f>
        <v>在职</v>
      </c>
      <c r="P3705" s="28" t="str">
        <f>IF(AND(O3705="在职",J3705="是"),COUNTIF(O$2:O3705,"在职"),"")</f>
        <v/>
      </c>
    </row>
    <row r="3706" spans="1:16">
      <c r="A3706" s="10" t="str">
        <f t="shared" si="63"/>
        <v/>
      </c>
      <c r="D3706" s="120" t="s">
        <v>484</v>
      </c>
      <c r="O3706" s="28" t="str">
        <f>IF(D3706="","",IF(COUNTIF(离职清单!C:C,D3706)&gt;0,"已离职","在职"))</f>
        <v>在职</v>
      </c>
      <c r="P3706" s="28" t="str">
        <f>IF(AND(O3706="在职",J3706="是"),COUNTIF(O$2:O3706,"在职"),"")</f>
        <v/>
      </c>
    </row>
    <row r="3707" spans="1:16">
      <c r="A3707" s="14" t="str">
        <f t="shared" si="63"/>
        <v/>
      </c>
      <c r="D3707" s="120" t="s">
        <v>486</v>
      </c>
      <c r="O3707" s="28" t="str">
        <f>IF(D3707="","",IF(COUNTIF(离职清单!C:C,D3707)&gt;0,"已离职","在职"))</f>
        <v>在职</v>
      </c>
      <c r="P3707" s="28" t="str">
        <f>IF(AND(O3707="在职",J3707="是"),COUNTIF(O$2:O3707,"在职"),"")</f>
        <v/>
      </c>
    </row>
    <row r="3708" spans="1:16">
      <c r="A3708" s="10" t="str">
        <f t="shared" si="63"/>
        <v/>
      </c>
      <c r="D3708" s="120" t="s">
        <v>488</v>
      </c>
      <c r="O3708" s="28" t="str">
        <f>IF(D3708="","",IF(COUNTIF(离职清单!C:C,D3708)&gt;0,"已离职","在职"))</f>
        <v>在职</v>
      </c>
      <c r="P3708" s="28" t="str">
        <f>IF(AND(O3708="在职",J3708="是"),COUNTIF(O$2:O3708,"在职"),"")</f>
        <v/>
      </c>
    </row>
    <row r="3709" spans="1:16">
      <c r="A3709" s="14" t="str">
        <f t="shared" si="63"/>
        <v/>
      </c>
      <c r="D3709" s="120" t="s">
        <v>490</v>
      </c>
      <c r="O3709" s="28" t="str">
        <f>IF(D3709="","",IF(COUNTIF(离职清单!C:C,D3709)&gt;0,"已离职","在职"))</f>
        <v>在职</v>
      </c>
      <c r="P3709" s="28" t="str">
        <f>IF(AND(O3709="在职",J3709="是"),COUNTIF(O$2:O3709,"在职"),"")</f>
        <v/>
      </c>
    </row>
    <row r="3710" spans="1:16">
      <c r="A3710" s="10" t="str">
        <f t="shared" si="63"/>
        <v/>
      </c>
      <c r="D3710" s="120" t="s">
        <v>492</v>
      </c>
      <c r="O3710" s="28" t="str">
        <f>IF(D3710="","",IF(COUNTIF(离职清单!C:C,D3710)&gt;0,"已离职","在职"))</f>
        <v>在职</v>
      </c>
      <c r="P3710" s="28" t="str">
        <f>IF(AND(O3710="在职",J3710="是"),COUNTIF(O$2:O3710,"在职"),"")</f>
        <v/>
      </c>
    </row>
    <row r="3711" spans="1:16">
      <c r="A3711" s="14" t="str">
        <f t="shared" si="63"/>
        <v/>
      </c>
      <c r="D3711" s="120" t="s">
        <v>477</v>
      </c>
      <c r="O3711" s="28" t="str">
        <f>IF(D3711="","",IF(COUNTIF(离职清单!C:C,D3711)&gt;0,"已离职","在职"))</f>
        <v>在职</v>
      </c>
      <c r="P3711" s="28" t="str">
        <f>IF(AND(O3711="在职",J3711="是"),COUNTIF(O$2:O3711,"在职"),"")</f>
        <v/>
      </c>
    </row>
    <row r="3712" spans="1:16">
      <c r="A3712" s="10" t="str">
        <f t="shared" si="63"/>
        <v/>
      </c>
      <c r="D3712" s="120" t="s">
        <v>478</v>
      </c>
      <c r="O3712" s="28" t="str">
        <f>IF(D3712="","",IF(COUNTIF(离职清单!C:C,D3712)&gt;0,"已离职","在职"))</f>
        <v>在职</v>
      </c>
      <c r="P3712" s="28" t="str">
        <f>IF(AND(O3712="在职",J3712="是"),COUNTIF(O$2:O3712,"在职"),"")</f>
        <v/>
      </c>
    </row>
    <row r="3713" spans="1:16">
      <c r="A3713" s="14" t="str">
        <f t="shared" si="63"/>
        <v/>
      </c>
      <c r="D3713" s="120" t="s">
        <v>480</v>
      </c>
      <c r="O3713" s="28" t="str">
        <f>IF(D3713="","",IF(COUNTIF(离职清单!C:C,D3713)&gt;0,"已离职","在职"))</f>
        <v>在职</v>
      </c>
      <c r="P3713" s="28" t="str">
        <f>IF(AND(O3713="在职",J3713="是"),COUNTIF(O$2:O3713,"在职"),"")</f>
        <v/>
      </c>
    </row>
    <row r="3714" spans="1:16">
      <c r="A3714" s="10" t="str">
        <f t="shared" si="63"/>
        <v/>
      </c>
      <c r="D3714" s="120" t="s">
        <v>482</v>
      </c>
      <c r="O3714" s="28" t="str">
        <f>IF(D3714="","",IF(COUNTIF(离职清单!C:C,D3714)&gt;0,"已离职","在职"))</f>
        <v>在职</v>
      </c>
      <c r="P3714" s="28" t="str">
        <f>IF(AND(O3714="在职",J3714="是"),COUNTIF(O$2:O3714,"在职"),"")</f>
        <v/>
      </c>
    </row>
    <row r="3715" spans="1:16">
      <c r="A3715" s="14" t="str">
        <f t="shared" si="63"/>
        <v/>
      </c>
      <c r="D3715" s="120" t="s">
        <v>484</v>
      </c>
      <c r="O3715" s="28" t="str">
        <f>IF(D3715="","",IF(COUNTIF(离职清单!C:C,D3715)&gt;0,"已离职","在职"))</f>
        <v>在职</v>
      </c>
      <c r="P3715" s="28" t="str">
        <f>IF(AND(O3715="在职",J3715="是"),COUNTIF(O$2:O3715,"在职"),"")</f>
        <v/>
      </c>
    </row>
    <row r="3716" spans="1:16">
      <c r="A3716" s="10" t="str">
        <f t="shared" si="63"/>
        <v/>
      </c>
      <c r="D3716" s="120" t="s">
        <v>486</v>
      </c>
      <c r="O3716" s="28" t="str">
        <f>IF(D3716="","",IF(COUNTIF(离职清单!C:C,D3716)&gt;0,"已离职","在职"))</f>
        <v>在职</v>
      </c>
      <c r="P3716" s="28" t="str">
        <f>IF(AND(O3716="在职",J3716="是"),COUNTIF(O$2:O3716,"在职"),"")</f>
        <v/>
      </c>
    </row>
    <row r="3717" spans="1:16">
      <c r="A3717" s="14" t="str">
        <f t="shared" si="63"/>
        <v/>
      </c>
      <c r="D3717" s="120" t="s">
        <v>488</v>
      </c>
      <c r="O3717" s="28" t="str">
        <f>IF(D3717="","",IF(COUNTIF(离职清单!C:C,D3717)&gt;0,"已离职","在职"))</f>
        <v>在职</v>
      </c>
      <c r="P3717" s="28" t="str">
        <f>IF(AND(O3717="在职",J3717="是"),COUNTIF(O$2:O3717,"在职"),"")</f>
        <v/>
      </c>
    </row>
    <row r="3718" spans="1:16">
      <c r="A3718" s="10" t="str">
        <f t="shared" si="63"/>
        <v/>
      </c>
      <c r="D3718" s="120" t="s">
        <v>490</v>
      </c>
      <c r="O3718" s="28" t="str">
        <f>IF(D3718="","",IF(COUNTIF(离职清单!C:C,D3718)&gt;0,"已离职","在职"))</f>
        <v>在职</v>
      </c>
      <c r="P3718" s="28" t="str">
        <f>IF(AND(O3718="在职",J3718="是"),COUNTIF(O$2:O3718,"在职"),"")</f>
        <v/>
      </c>
    </row>
    <row r="3719" spans="1:16">
      <c r="A3719" s="14" t="str">
        <f t="shared" si="63"/>
        <v/>
      </c>
      <c r="D3719" s="120" t="s">
        <v>492</v>
      </c>
      <c r="O3719" s="28" t="str">
        <f>IF(D3719="","",IF(COUNTIF(离职清单!C:C,D3719)&gt;0,"已离职","在职"))</f>
        <v>在职</v>
      </c>
      <c r="P3719" s="28" t="str">
        <f>IF(AND(O3719="在职",J3719="是"),COUNTIF(O$2:O3719,"在职"),"")</f>
        <v/>
      </c>
    </row>
    <row r="3720" spans="1:16">
      <c r="A3720" s="10" t="str">
        <f t="shared" si="63"/>
        <v/>
      </c>
      <c r="D3720" s="120" t="s">
        <v>477</v>
      </c>
      <c r="O3720" s="28" t="str">
        <f>IF(D3720="","",IF(COUNTIF(离职清单!C:C,D3720)&gt;0,"已离职","在职"))</f>
        <v>在职</v>
      </c>
      <c r="P3720" s="28" t="str">
        <f>IF(AND(O3720="在职",J3720="是"),COUNTIF(O$2:O3720,"在职"),"")</f>
        <v/>
      </c>
    </row>
    <row r="3721" spans="1:16">
      <c r="A3721" s="14" t="str">
        <f t="shared" si="63"/>
        <v/>
      </c>
      <c r="D3721" s="120" t="s">
        <v>478</v>
      </c>
      <c r="O3721" s="28" t="str">
        <f>IF(D3721="","",IF(COUNTIF(离职清单!C:C,D3721)&gt;0,"已离职","在职"))</f>
        <v>在职</v>
      </c>
      <c r="P3721" s="28" t="str">
        <f>IF(AND(O3721="在职",J3721="是"),COUNTIF(O$2:O3721,"在职"),"")</f>
        <v/>
      </c>
    </row>
    <row r="3722" spans="1:16">
      <c r="A3722" s="10" t="str">
        <f t="shared" si="63"/>
        <v/>
      </c>
      <c r="D3722" s="120" t="s">
        <v>480</v>
      </c>
      <c r="O3722" s="28" t="str">
        <f>IF(D3722="","",IF(COUNTIF(离职清单!C:C,D3722)&gt;0,"已离职","在职"))</f>
        <v>在职</v>
      </c>
      <c r="P3722" s="28" t="str">
        <f>IF(AND(O3722="在职",J3722="是"),COUNTIF(O$2:O3722,"在职"),"")</f>
        <v/>
      </c>
    </row>
    <row r="3723" spans="1:16">
      <c r="A3723" s="14" t="str">
        <f t="shared" si="63"/>
        <v/>
      </c>
      <c r="D3723" s="120" t="s">
        <v>482</v>
      </c>
      <c r="O3723" s="28" t="str">
        <f>IF(D3723="","",IF(COUNTIF(离职清单!C:C,D3723)&gt;0,"已离职","在职"))</f>
        <v>在职</v>
      </c>
      <c r="P3723" s="28" t="str">
        <f>IF(AND(O3723="在职",J3723="是"),COUNTIF(O$2:O3723,"在职"),"")</f>
        <v/>
      </c>
    </row>
    <row r="3724" spans="1:16">
      <c r="A3724" s="10" t="str">
        <f t="shared" si="63"/>
        <v/>
      </c>
      <c r="D3724" s="120" t="s">
        <v>484</v>
      </c>
      <c r="O3724" s="28" t="str">
        <f>IF(D3724="","",IF(COUNTIF(离职清单!C:C,D3724)&gt;0,"已离职","在职"))</f>
        <v>在职</v>
      </c>
      <c r="P3724" s="28" t="str">
        <f>IF(AND(O3724="在职",J3724="是"),COUNTIF(O$2:O3724,"在职"),"")</f>
        <v/>
      </c>
    </row>
    <row r="3725" spans="1:16">
      <c r="A3725" s="14" t="str">
        <f t="shared" si="63"/>
        <v/>
      </c>
      <c r="D3725" s="120" t="s">
        <v>486</v>
      </c>
      <c r="O3725" s="28" t="str">
        <f>IF(D3725="","",IF(COUNTIF(离职清单!C:C,D3725)&gt;0,"已离职","在职"))</f>
        <v>在职</v>
      </c>
      <c r="P3725" s="28" t="str">
        <f>IF(AND(O3725="在职",J3725="是"),COUNTIF(O$2:O3725,"在职"),"")</f>
        <v/>
      </c>
    </row>
    <row r="3726" spans="1:16">
      <c r="A3726" s="10" t="str">
        <f t="shared" si="63"/>
        <v/>
      </c>
      <c r="D3726" s="120" t="s">
        <v>488</v>
      </c>
      <c r="O3726" s="28" t="str">
        <f>IF(D3726="","",IF(COUNTIF(离职清单!C:C,D3726)&gt;0,"已离职","在职"))</f>
        <v>在职</v>
      </c>
      <c r="P3726" s="28" t="str">
        <f>IF(AND(O3726="在职",J3726="是"),COUNTIF(O$2:O3726,"在职"),"")</f>
        <v/>
      </c>
    </row>
    <row r="3727" spans="1:16">
      <c r="A3727" s="14" t="str">
        <f t="shared" si="63"/>
        <v/>
      </c>
      <c r="D3727" s="120" t="s">
        <v>490</v>
      </c>
      <c r="O3727" s="28" t="str">
        <f>IF(D3727="","",IF(COUNTIF(离职清单!C:C,D3727)&gt;0,"已离职","在职"))</f>
        <v>在职</v>
      </c>
      <c r="P3727" s="28" t="str">
        <f>IF(AND(O3727="在职",J3727="是"),COUNTIF(O$2:O3727,"在职"),"")</f>
        <v/>
      </c>
    </row>
    <row r="3728" spans="1:16">
      <c r="A3728" s="10" t="str">
        <f t="shared" si="63"/>
        <v/>
      </c>
      <c r="D3728" s="120" t="s">
        <v>492</v>
      </c>
      <c r="O3728" s="28" t="str">
        <f>IF(D3728="","",IF(COUNTIF(离职清单!C:C,D3728)&gt;0,"已离职","在职"))</f>
        <v>在职</v>
      </c>
      <c r="P3728" s="28" t="str">
        <f>IF(AND(O3728="在职",J3728="是"),COUNTIF(O$2:O3728,"在职"),"")</f>
        <v/>
      </c>
    </row>
    <row r="3729" spans="1:16">
      <c r="A3729" s="14" t="str">
        <f t="shared" si="63"/>
        <v/>
      </c>
      <c r="D3729" s="120" t="s">
        <v>477</v>
      </c>
      <c r="O3729" s="28" t="str">
        <f>IF(D3729="","",IF(COUNTIF(离职清单!C:C,D3729)&gt;0,"已离职","在职"))</f>
        <v>在职</v>
      </c>
      <c r="P3729" s="28" t="str">
        <f>IF(AND(O3729="在职",J3729="是"),COUNTIF(O$2:O3729,"在职"),"")</f>
        <v/>
      </c>
    </row>
    <row r="3730" spans="1:16">
      <c r="A3730" s="10" t="str">
        <f t="shared" si="63"/>
        <v/>
      </c>
      <c r="D3730" s="120" t="s">
        <v>478</v>
      </c>
      <c r="O3730" s="28" t="str">
        <f>IF(D3730="","",IF(COUNTIF(离职清单!C:C,D3730)&gt;0,"已离职","在职"))</f>
        <v>在职</v>
      </c>
      <c r="P3730" s="28" t="str">
        <f>IF(AND(O3730="在职",J3730="是"),COUNTIF(O$2:O3730,"在职"),"")</f>
        <v/>
      </c>
    </row>
    <row r="3731" spans="1:16">
      <c r="A3731" s="14" t="str">
        <f t="shared" si="63"/>
        <v/>
      </c>
      <c r="D3731" s="120" t="s">
        <v>480</v>
      </c>
      <c r="O3731" s="28" t="str">
        <f>IF(D3731="","",IF(COUNTIF(离职清单!C:C,D3731)&gt;0,"已离职","在职"))</f>
        <v>在职</v>
      </c>
      <c r="P3731" s="28" t="str">
        <f>IF(AND(O3731="在职",J3731="是"),COUNTIF(O$2:O3731,"在职"),"")</f>
        <v/>
      </c>
    </row>
    <row r="3732" spans="1:16">
      <c r="A3732" s="10" t="str">
        <f t="shared" si="63"/>
        <v/>
      </c>
      <c r="D3732" s="120" t="s">
        <v>482</v>
      </c>
      <c r="O3732" s="28" t="str">
        <f>IF(D3732="","",IF(COUNTIF(离职清单!C:C,D3732)&gt;0,"已离职","在职"))</f>
        <v>在职</v>
      </c>
      <c r="P3732" s="28" t="str">
        <f>IF(AND(O3732="在职",J3732="是"),COUNTIF(O$2:O3732,"在职"),"")</f>
        <v/>
      </c>
    </row>
    <row r="3733" spans="1:16">
      <c r="A3733" s="14" t="str">
        <f t="shared" si="63"/>
        <v/>
      </c>
      <c r="D3733" s="120" t="s">
        <v>484</v>
      </c>
      <c r="O3733" s="28" t="str">
        <f>IF(D3733="","",IF(COUNTIF(离职清单!C:C,D3733)&gt;0,"已离职","在职"))</f>
        <v>在职</v>
      </c>
      <c r="P3733" s="28" t="str">
        <f>IF(AND(O3733="在职",J3733="是"),COUNTIF(O$2:O3733,"在职"),"")</f>
        <v/>
      </c>
    </row>
    <row r="3734" spans="1:16">
      <c r="A3734" s="10" t="str">
        <f t="shared" si="63"/>
        <v/>
      </c>
      <c r="D3734" s="120" t="s">
        <v>486</v>
      </c>
      <c r="O3734" s="28" t="str">
        <f>IF(D3734="","",IF(COUNTIF(离职清单!C:C,D3734)&gt;0,"已离职","在职"))</f>
        <v>在职</v>
      </c>
      <c r="P3734" s="28" t="str">
        <f>IF(AND(O3734="在职",J3734="是"),COUNTIF(O$2:O3734,"在职"),"")</f>
        <v/>
      </c>
    </row>
    <row r="3735" spans="1:16">
      <c r="A3735" s="14" t="str">
        <f t="shared" si="63"/>
        <v/>
      </c>
      <c r="D3735" s="120" t="s">
        <v>488</v>
      </c>
      <c r="O3735" s="28" t="str">
        <f>IF(D3735="","",IF(COUNTIF(离职清单!C:C,D3735)&gt;0,"已离职","在职"))</f>
        <v>在职</v>
      </c>
      <c r="P3735" s="28" t="str">
        <f>IF(AND(O3735="在职",J3735="是"),COUNTIF(O$2:O3735,"在职"),"")</f>
        <v/>
      </c>
    </row>
    <row r="3736" spans="1:16">
      <c r="A3736" s="10" t="str">
        <f t="shared" si="63"/>
        <v/>
      </c>
      <c r="D3736" s="120" t="s">
        <v>490</v>
      </c>
      <c r="O3736" s="28" t="str">
        <f>IF(D3736="","",IF(COUNTIF(离职清单!C:C,D3736)&gt;0,"已离职","在职"))</f>
        <v>在职</v>
      </c>
      <c r="P3736" s="28" t="str">
        <f>IF(AND(O3736="在职",J3736="是"),COUNTIF(O$2:O3736,"在职"),"")</f>
        <v/>
      </c>
    </row>
    <row r="3737" spans="1:16">
      <c r="A3737" s="14" t="str">
        <f t="shared" si="63"/>
        <v/>
      </c>
      <c r="D3737" s="120" t="s">
        <v>492</v>
      </c>
      <c r="O3737" s="28" t="str">
        <f>IF(D3737="","",IF(COUNTIF(离职清单!C:C,D3737)&gt;0,"已离职","在职"))</f>
        <v>在职</v>
      </c>
      <c r="P3737" s="28" t="str">
        <f>IF(AND(O3737="在职",J3737="是"),COUNTIF(O$2:O3737,"在职"),"")</f>
        <v/>
      </c>
    </row>
    <row r="3738" spans="1:16">
      <c r="A3738" s="10" t="str">
        <f t="shared" si="63"/>
        <v/>
      </c>
      <c r="D3738" s="120" t="s">
        <v>477</v>
      </c>
      <c r="O3738" s="28" t="str">
        <f>IF(D3738="","",IF(COUNTIF(离职清单!C:C,D3738)&gt;0,"已离职","在职"))</f>
        <v>在职</v>
      </c>
      <c r="P3738" s="28" t="str">
        <f>IF(AND(O3738="在职",J3738="是"),COUNTIF(O$2:O3738,"在职"),"")</f>
        <v/>
      </c>
    </row>
    <row r="3739" spans="1:16">
      <c r="A3739" s="14" t="str">
        <f t="shared" si="63"/>
        <v/>
      </c>
      <c r="D3739" s="120" t="s">
        <v>478</v>
      </c>
      <c r="O3739" s="28" t="str">
        <f>IF(D3739="","",IF(COUNTIF(离职清单!C:C,D3739)&gt;0,"已离职","在职"))</f>
        <v>在职</v>
      </c>
      <c r="P3739" s="28" t="str">
        <f>IF(AND(O3739="在职",J3739="是"),COUNTIF(O$2:O3739,"在职"),"")</f>
        <v/>
      </c>
    </row>
    <row r="3740" spans="1:16">
      <c r="A3740" s="10" t="str">
        <f t="shared" si="63"/>
        <v/>
      </c>
      <c r="D3740" s="120" t="s">
        <v>480</v>
      </c>
      <c r="O3740" s="28" t="str">
        <f>IF(D3740="","",IF(COUNTIF(离职清单!C:C,D3740)&gt;0,"已离职","在职"))</f>
        <v>在职</v>
      </c>
      <c r="P3740" s="28" t="str">
        <f>IF(AND(O3740="在职",J3740="是"),COUNTIF(O$2:O3740,"在职"),"")</f>
        <v/>
      </c>
    </row>
    <row r="3741" spans="1:16">
      <c r="A3741" s="14" t="str">
        <f t="shared" si="63"/>
        <v/>
      </c>
      <c r="D3741" s="120" t="s">
        <v>482</v>
      </c>
      <c r="O3741" s="28" t="str">
        <f>IF(D3741="","",IF(COUNTIF(离职清单!C:C,D3741)&gt;0,"已离职","在职"))</f>
        <v>在职</v>
      </c>
      <c r="P3741" s="28" t="str">
        <f>IF(AND(O3741="在职",J3741="是"),COUNTIF(O$2:O3741,"在职"),"")</f>
        <v/>
      </c>
    </row>
    <row r="3742" spans="1:16">
      <c r="A3742" s="10" t="str">
        <f t="shared" si="63"/>
        <v/>
      </c>
      <c r="D3742" s="120" t="s">
        <v>484</v>
      </c>
      <c r="O3742" s="28" t="str">
        <f>IF(D3742="","",IF(COUNTIF(离职清单!C:C,D3742)&gt;0,"已离职","在职"))</f>
        <v>在职</v>
      </c>
      <c r="P3742" s="28" t="str">
        <f>IF(AND(O3742="在职",J3742="是"),COUNTIF(O$2:O3742,"在职"),"")</f>
        <v/>
      </c>
    </row>
    <row r="3743" spans="1:16">
      <c r="A3743" s="14" t="str">
        <f t="shared" si="63"/>
        <v/>
      </c>
      <c r="D3743" s="120" t="s">
        <v>486</v>
      </c>
      <c r="O3743" s="28" t="str">
        <f>IF(D3743="","",IF(COUNTIF(离职清单!C:C,D3743)&gt;0,"已离职","在职"))</f>
        <v>在职</v>
      </c>
      <c r="P3743" s="28" t="str">
        <f>IF(AND(O3743="在职",J3743="是"),COUNTIF(O$2:O3743,"在职"),"")</f>
        <v/>
      </c>
    </row>
    <row r="3744" spans="1:16">
      <c r="A3744" s="10" t="str">
        <f t="shared" si="63"/>
        <v/>
      </c>
      <c r="D3744" s="120" t="s">
        <v>488</v>
      </c>
      <c r="O3744" s="28" t="str">
        <f>IF(D3744="","",IF(COUNTIF(离职清单!C:C,D3744)&gt;0,"已离职","在职"))</f>
        <v>在职</v>
      </c>
      <c r="P3744" s="28" t="str">
        <f>IF(AND(O3744="在职",J3744="是"),COUNTIF(O$2:O3744,"在职"),"")</f>
        <v/>
      </c>
    </row>
    <row r="3745" spans="1:16">
      <c r="A3745" s="14" t="str">
        <f t="shared" si="63"/>
        <v/>
      </c>
      <c r="D3745" s="120" t="s">
        <v>490</v>
      </c>
      <c r="O3745" s="28" t="str">
        <f>IF(D3745="","",IF(COUNTIF(离职清单!C:C,D3745)&gt;0,"已离职","在职"))</f>
        <v>在职</v>
      </c>
      <c r="P3745" s="28" t="str">
        <f>IF(AND(O3745="在职",J3745="是"),COUNTIF(O$2:O3745,"在职"),"")</f>
        <v/>
      </c>
    </row>
    <row r="3746" spans="1:16">
      <c r="A3746" s="10" t="str">
        <f t="shared" si="63"/>
        <v/>
      </c>
      <c r="D3746" s="120" t="s">
        <v>492</v>
      </c>
      <c r="O3746" s="28" t="str">
        <f>IF(D3746="","",IF(COUNTIF(离职清单!C:C,D3746)&gt;0,"已离职","在职"))</f>
        <v>在职</v>
      </c>
      <c r="P3746" s="28" t="str">
        <f>IF(AND(O3746="在职",J3746="是"),COUNTIF(O$2:O3746,"在职"),"")</f>
        <v/>
      </c>
    </row>
    <row r="3747" spans="1:16">
      <c r="A3747" s="14" t="str">
        <f t="shared" si="63"/>
        <v/>
      </c>
      <c r="D3747" s="120" t="s">
        <v>477</v>
      </c>
      <c r="O3747" s="28" t="str">
        <f>IF(D3747="","",IF(COUNTIF(离职清单!C:C,D3747)&gt;0,"已离职","在职"))</f>
        <v>在职</v>
      </c>
      <c r="P3747" s="28" t="str">
        <f>IF(AND(O3747="在职",J3747="是"),COUNTIF(O$2:O3747,"在职"),"")</f>
        <v/>
      </c>
    </row>
    <row r="3748" spans="1:16">
      <c r="A3748" s="10" t="str">
        <f t="shared" si="63"/>
        <v/>
      </c>
      <c r="D3748" s="120" t="s">
        <v>478</v>
      </c>
      <c r="O3748" s="28" t="str">
        <f>IF(D3748="","",IF(COUNTIF(离职清单!C:C,D3748)&gt;0,"已离职","在职"))</f>
        <v>在职</v>
      </c>
      <c r="P3748" s="28" t="str">
        <f>IF(AND(O3748="在职",J3748="是"),COUNTIF(O$2:O3748,"在职"),"")</f>
        <v/>
      </c>
    </row>
    <row r="3749" spans="1:16">
      <c r="A3749" s="14" t="str">
        <f t="shared" si="63"/>
        <v/>
      </c>
      <c r="D3749" s="120" t="s">
        <v>480</v>
      </c>
      <c r="O3749" s="28" t="str">
        <f>IF(D3749="","",IF(COUNTIF(离职清单!C:C,D3749)&gt;0,"已离职","在职"))</f>
        <v>在职</v>
      </c>
      <c r="P3749" s="28" t="str">
        <f>IF(AND(O3749="在职",J3749="是"),COUNTIF(O$2:O3749,"在职"),"")</f>
        <v/>
      </c>
    </row>
    <row r="3750" spans="1:16">
      <c r="A3750" s="10" t="str">
        <f t="shared" si="63"/>
        <v/>
      </c>
      <c r="D3750" s="120" t="s">
        <v>482</v>
      </c>
      <c r="O3750" s="28" t="str">
        <f>IF(D3750="","",IF(COUNTIF(离职清单!C:C,D3750)&gt;0,"已离职","在职"))</f>
        <v>在职</v>
      </c>
      <c r="P3750" s="28" t="str">
        <f>IF(AND(O3750="在职",J3750="是"),COUNTIF(O$2:O3750,"在职"),"")</f>
        <v/>
      </c>
    </row>
    <row r="3751" spans="1:16">
      <c r="A3751" s="14" t="str">
        <f t="shared" si="63"/>
        <v/>
      </c>
      <c r="D3751" s="120" t="s">
        <v>484</v>
      </c>
      <c r="O3751" s="28" t="str">
        <f>IF(D3751="","",IF(COUNTIF(离职清单!C:C,D3751)&gt;0,"已离职","在职"))</f>
        <v>在职</v>
      </c>
      <c r="P3751" s="28" t="str">
        <f>IF(AND(O3751="在职",J3751="是"),COUNTIF(O$2:O3751,"在职"),"")</f>
        <v/>
      </c>
    </row>
    <row r="3752" spans="1:16">
      <c r="A3752" s="10" t="str">
        <f t="shared" si="63"/>
        <v/>
      </c>
      <c r="D3752" s="120" t="s">
        <v>486</v>
      </c>
      <c r="O3752" s="28" t="str">
        <f>IF(D3752="","",IF(COUNTIF(离职清单!C:C,D3752)&gt;0,"已离职","在职"))</f>
        <v>在职</v>
      </c>
      <c r="P3752" s="28" t="str">
        <f>IF(AND(O3752="在职",J3752="是"),COUNTIF(O$2:O3752,"在职"),"")</f>
        <v/>
      </c>
    </row>
    <row r="3753" spans="1:16">
      <c r="A3753" s="14" t="str">
        <f t="shared" si="63"/>
        <v/>
      </c>
      <c r="D3753" s="120" t="s">
        <v>488</v>
      </c>
      <c r="O3753" s="28" t="str">
        <f>IF(D3753="","",IF(COUNTIF(离职清单!C:C,D3753)&gt;0,"已离职","在职"))</f>
        <v>在职</v>
      </c>
      <c r="P3753" s="28" t="str">
        <f>IF(AND(O3753="在职",J3753="是"),COUNTIF(O$2:O3753,"在职"),"")</f>
        <v/>
      </c>
    </row>
    <row r="3754" spans="1:16">
      <c r="A3754" s="10" t="str">
        <f t="shared" si="63"/>
        <v/>
      </c>
      <c r="D3754" s="120" t="s">
        <v>490</v>
      </c>
      <c r="O3754" s="28" t="str">
        <f>IF(D3754="","",IF(COUNTIF(离职清单!C:C,D3754)&gt;0,"已离职","在职"))</f>
        <v>在职</v>
      </c>
      <c r="P3754" s="28" t="str">
        <f>IF(AND(O3754="在职",J3754="是"),COUNTIF(O$2:O3754,"在职"),"")</f>
        <v/>
      </c>
    </row>
    <row r="3755" spans="1:16">
      <c r="A3755" s="14" t="str">
        <f t="shared" si="63"/>
        <v/>
      </c>
      <c r="D3755" s="120" t="s">
        <v>492</v>
      </c>
      <c r="O3755" s="28" t="str">
        <f>IF(D3755="","",IF(COUNTIF(离职清单!C:C,D3755)&gt;0,"已离职","在职"))</f>
        <v>在职</v>
      </c>
      <c r="P3755" s="28" t="str">
        <f>IF(AND(O3755="在职",J3755="是"),COUNTIF(O$2:O3755,"在职"),"")</f>
        <v/>
      </c>
    </row>
    <row r="3756" spans="1:16">
      <c r="A3756" s="10" t="str">
        <f t="shared" ref="A3756:A3819" si="64">IF(B3756&lt;&gt;"",ROW()-1,"")</f>
        <v/>
      </c>
      <c r="D3756" s="120" t="s">
        <v>477</v>
      </c>
      <c r="O3756" s="28" t="str">
        <f>IF(D3756="","",IF(COUNTIF(离职清单!C:C,D3756)&gt;0,"已离职","在职"))</f>
        <v>在职</v>
      </c>
      <c r="P3756" s="28" t="str">
        <f>IF(AND(O3756="在职",J3756="是"),COUNTIF(O$2:O3756,"在职"),"")</f>
        <v/>
      </c>
    </row>
    <row r="3757" spans="1:16">
      <c r="A3757" s="14" t="str">
        <f t="shared" si="64"/>
        <v/>
      </c>
      <c r="D3757" s="120" t="s">
        <v>477</v>
      </c>
      <c r="O3757" s="28" t="str">
        <f>IF(D3757="","",IF(COUNTIF(离职清单!C:C,D3757)&gt;0,"已离职","在职"))</f>
        <v>在职</v>
      </c>
      <c r="P3757" s="28" t="str">
        <f>IF(AND(O3757="在职",J3757="是"),COUNTIF(O$2:O3757,"在职"),"")</f>
        <v/>
      </c>
    </row>
    <row r="3758" spans="1:16">
      <c r="A3758" s="10" t="str">
        <f t="shared" si="64"/>
        <v/>
      </c>
      <c r="D3758" s="120" t="s">
        <v>478</v>
      </c>
      <c r="O3758" s="28" t="str">
        <f>IF(D3758="","",IF(COUNTIF(离职清单!C:C,D3758)&gt;0,"已离职","在职"))</f>
        <v>在职</v>
      </c>
      <c r="P3758" s="28" t="str">
        <f>IF(AND(O3758="在职",J3758="是"),COUNTIF(O$2:O3758,"在职"),"")</f>
        <v/>
      </c>
    </row>
    <row r="3759" spans="1:16">
      <c r="A3759" s="14" t="str">
        <f t="shared" si="64"/>
        <v/>
      </c>
      <c r="D3759" s="120" t="s">
        <v>480</v>
      </c>
      <c r="O3759" s="28" t="str">
        <f>IF(D3759="","",IF(COUNTIF(离职清单!C:C,D3759)&gt;0,"已离职","在职"))</f>
        <v>在职</v>
      </c>
      <c r="P3759" s="28" t="str">
        <f>IF(AND(O3759="在职",J3759="是"),COUNTIF(O$2:O3759,"在职"),"")</f>
        <v/>
      </c>
    </row>
    <row r="3760" spans="1:16">
      <c r="A3760" s="10" t="str">
        <f t="shared" si="64"/>
        <v/>
      </c>
      <c r="D3760" s="120" t="s">
        <v>482</v>
      </c>
      <c r="O3760" s="28" t="str">
        <f>IF(D3760="","",IF(COUNTIF(离职清单!C:C,D3760)&gt;0,"已离职","在职"))</f>
        <v>在职</v>
      </c>
      <c r="P3760" s="28" t="str">
        <f>IF(AND(O3760="在职",J3760="是"),COUNTIF(O$2:O3760,"在职"),"")</f>
        <v/>
      </c>
    </row>
    <row r="3761" spans="1:16">
      <c r="A3761" s="14" t="str">
        <f t="shared" si="64"/>
        <v/>
      </c>
      <c r="D3761" s="120" t="s">
        <v>484</v>
      </c>
      <c r="O3761" s="28" t="str">
        <f>IF(D3761="","",IF(COUNTIF(离职清单!C:C,D3761)&gt;0,"已离职","在职"))</f>
        <v>在职</v>
      </c>
      <c r="P3761" s="28" t="str">
        <f>IF(AND(O3761="在职",J3761="是"),COUNTIF(O$2:O3761,"在职"),"")</f>
        <v/>
      </c>
    </row>
    <row r="3762" spans="1:16">
      <c r="A3762" s="10" t="str">
        <f t="shared" si="64"/>
        <v/>
      </c>
      <c r="D3762" s="120" t="s">
        <v>486</v>
      </c>
      <c r="O3762" s="28" t="str">
        <f>IF(D3762="","",IF(COUNTIF(离职清单!C:C,D3762)&gt;0,"已离职","在职"))</f>
        <v>在职</v>
      </c>
      <c r="P3762" s="28" t="str">
        <f>IF(AND(O3762="在职",J3762="是"),COUNTIF(O$2:O3762,"在职"),"")</f>
        <v/>
      </c>
    </row>
    <row r="3763" spans="1:16">
      <c r="A3763" s="14" t="str">
        <f t="shared" si="64"/>
        <v/>
      </c>
      <c r="D3763" s="120" t="s">
        <v>488</v>
      </c>
      <c r="O3763" s="28" t="str">
        <f>IF(D3763="","",IF(COUNTIF(离职清单!C:C,D3763)&gt;0,"已离职","在职"))</f>
        <v>在职</v>
      </c>
      <c r="P3763" s="28" t="str">
        <f>IF(AND(O3763="在职",J3763="是"),COUNTIF(O$2:O3763,"在职"),"")</f>
        <v/>
      </c>
    </row>
    <row r="3764" spans="1:16">
      <c r="A3764" s="10" t="str">
        <f t="shared" si="64"/>
        <v/>
      </c>
      <c r="D3764" s="120" t="s">
        <v>490</v>
      </c>
      <c r="O3764" s="28" t="str">
        <f>IF(D3764="","",IF(COUNTIF(离职清单!C:C,D3764)&gt;0,"已离职","在职"))</f>
        <v>在职</v>
      </c>
      <c r="P3764" s="28" t="str">
        <f>IF(AND(O3764="在职",J3764="是"),COUNTIF(O$2:O3764,"在职"),"")</f>
        <v/>
      </c>
    </row>
    <row r="3765" spans="1:16">
      <c r="A3765" s="14" t="str">
        <f t="shared" si="64"/>
        <v/>
      </c>
      <c r="D3765" s="120" t="s">
        <v>492</v>
      </c>
      <c r="O3765" s="28" t="str">
        <f>IF(D3765="","",IF(COUNTIF(离职清单!C:C,D3765)&gt;0,"已离职","在职"))</f>
        <v>在职</v>
      </c>
      <c r="P3765" s="28" t="str">
        <f>IF(AND(O3765="在职",J3765="是"),COUNTIF(O$2:O3765,"在职"),"")</f>
        <v/>
      </c>
    </row>
    <row r="3766" spans="1:16">
      <c r="A3766" s="10" t="str">
        <f t="shared" si="64"/>
        <v/>
      </c>
      <c r="D3766" s="120" t="s">
        <v>477</v>
      </c>
      <c r="O3766" s="28" t="str">
        <f>IF(D3766="","",IF(COUNTIF(离职清单!C:C,D3766)&gt;0,"已离职","在职"))</f>
        <v>在职</v>
      </c>
      <c r="P3766" s="28" t="str">
        <f>IF(AND(O3766="在职",J3766="是"),COUNTIF(O$2:O3766,"在职"),"")</f>
        <v/>
      </c>
    </row>
    <row r="3767" spans="1:16">
      <c r="A3767" s="14" t="str">
        <f t="shared" si="64"/>
        <v/>
      </c>
      <c r="D3767" s="120" t="s">
        <v>478</v>
      </c>
      <c r="O3767" s="28" t="str">
        <f>IF(D3767="","",IF(COUNTIF(离职清单!C:C,D3767)&gt;0,"已离职","在职"))</f>
        <v>在职</v>
      </c>
      <c r="P3767" s="28" t="str">
        <f>IF(AND(O3767="在职",J3767="是"),COUNTIF(O$2:O3767,"在职"),"")</f>
        <v/>
      </c>
    </row>
    <row r="3768" spans="1:16">
      <c r="A3768" s="10" t="str">
        <f t="shared" si="64"/>
        <v/>
      </c>
      <c r="D3768" s="120" t="s">
        <v>480</v>
      </c>
      <c r="O3768" s="28" t="str">
        <f>IF(D3768="","",IF(COUNTIF(离职清单!C:C,D3768)&gt;0,"已离职","在职"))</f>
        <v>在职</v>
      </c>
      <c r="P3768" s="28" t="str">
        <f>IF(AND(O3768="在职",J3768="是"),COUNTIF(O$2:O3768,"在职"),"")</f>
        <v/>
      </c>
    </row>
    <row r="3769" spans="1:16">
      <c r="A3769" s="14" t="str">
        <f t="shared" si="64"/>
        <v/>
      </c>
      <c r="D3769" s="120" t="s">
        <v>482</v>
      </c>
      <c r="O3769" s="28" t="str">
        <f>IF(D3769="","",IF(COUNTIF(离职清单!C:C,D3769)&gt;0,"已离职","在职"))</f>
        <v>在职</v>
      </c>
      <c r="P3769" s="28" t="str">
        <f>IF(AND(O3769="在职",J3769="是"),COUNTIF(O$2:O3769,"在职"),"")</f>
        <v/>
      </c>
    </row>
    <row r="3770" spans="1:16">
      <c r="A3770" s="10" t="str">
        <f t="shared" si="64"/>
        <v/>
      </c>
      <c r="D3770" s="120" t="s">
        <v>484</v>
      </c>
      <c r="O3770" s="28" t="str">
        <f>IF(D3770="","",IF(COUNTIF(离职清单!C:C,D3770)&gt;0,"已离职","在职"))</f>
        <v>在职</v>
      </c>
      <c r="P3770" s="28" t="str">
        <f>IF(AND(O3770="在职",J3770="是"),COUNTIF(O$2:O3770,"在职"),"")</f>
        <v/>
      </c>
    </row>
    <row r="3771" spans="1:16">
      <c r="A3771" s="14" t="str">
        <f t="shared" si="64"/>
        <v/>
      </c>
      <c r="D3771" s="120" t="s">
        <v>486</v>
      </c>
      <c r="O3771" s="28" t="str">
        <f>IF(D3771="","",IF(COUNTIF(离职清单!C:C,D3771)&gt;0,"已离职","在职"))</f>
        <v>在职</v>
      </c>
      <c r="P3771" s="28" t="str">
        <f>IF(AND(O3771="在职",J3771="是"),COUNTIF(O$2:O3771,"在职"),"")</f>
        <v/>
      </c>
    </row>
    <row r="3772" spans="1:16">
      <c r="A3772" s="10" t="str">
        <f t="shared" si="64"/>
        <v/>
      </c>
      <c r="D3772" s="120" t="s">
        <v>488</v>
      </c>
      <c r="O3772" s="28" t="str">
        <f>IF(D3772="","",IF(COUNTIF(离职清单!C:C,D3772)&gt;0,"已离职","在职"))</f>
        <v>在职</v>
      </c>
      <c r="P3772" s="28" t="str">
        <f>IF(AND(O3772="在职",J3772="是"),COUNTIF(O$2:O3772,"在职"),"")</f>
        <v/>
      </c>
    </row>
    <row r="3773" spans="1:16">
      <c r="A3773" s="14" t="str">
        <f t="shared" si="64"/>
        <v/>
      </c>
      <c r="D3773" s="120" t="s">
        <v>490</v>
      </c>
      <c r="O3773" s="28" t="str">
        <f>IF(D3773="","",IF(COUNTIF(离职清单!C:C,D3773)&gt;0,"已离职","在职"))</f>
        <v>在职</v>
      </c>
      <c r="P3773" s="28" t="str">
        <f>IF(AND(O3773="在职",J3773="是"),COUNTIF(O$2:O3773,"在职"),"")</f>
        <v/>
      </c>
    </row>
    <row r="3774" spans="1:16">
      <c r="A3774" s="10" t="str">
        <f t="shared" si="64"/>
        <v/>
      </c>
      <c r="D3774" s="120" t="s">
        <v>492</v>
      </c>
      <c r="O3774" s="28" t="str">
        <f>IF(D3774="","",IF(COUNTIF(离职清单!C:C,D3774)&gt;0,"已离职","在职"))</f>
        <v>在职</v>
      </c>
      <c r="P3774" s="28" t="str">
        <f>IF(AND(O3774="在职",J3774="是"),COUNTIF(O$2:O3774,"在职"),"")</f>
        <v/>
      </c>
    </row>
    <row r="3775" spans="1:16">
      <c r="A3775" s="14" t="str">
        <f t="shared" si="64"/>
        <v/>
      </c>
      <c r="D3775" s="120" t="s">
        <v>477</v>
      </c>
      <c r="O3775" s="28" t="str">
        <f>IF(D3775="","",IF(COUNTIF(离职清单!C:C,D3775)&gt;0,"已离职","在职"))</f>
        <v>在职</v>
      </c>
      <c r="P3775" s="28" t="str">
        <f>IF(AND(O3775="在职",J3775="是"),COUNTIF(O$2:O3775,"在职"),"")</f>
        <v/>
      </c>
    </row>
    <row r="3776" spans="1:16">
      <c r="A3776" s="10" t="str">
        <f t="shared" si="64"/>
        <v/>
      </c>
      <c r="D3776" s="120" t="s">
        <v>478</v>
      </c>
      <c r="O3776" s="28" t="str">
        <f>IF(D3776="","",IF(COUNTIF(离职清单!C:C,D3776)&gt;0,"已离职","在职"))</f>
        <v>在职</v>
      </c>
      <c r="P3776" s="28" t="str">
        <f>IF(AND(O3776="在职",J3776="是"),COUNTIF(O$2:O3776,"在职"),"")</f>
        <v/>
      </c>
    </row>
    <row r="3777" spans="1:16">
      <c r="A3777" s="14" t="str">
        <f t="shared" si="64"/>
        <v/>
      </c>
      <c r="D3777" s="120" t="s">
        <v>480</v>
      </c>
      <c r="O3777" s="28" t="str">
        <f>IF(D3777="","",IF(COUNTIF(离职清单!C:C,D3777)&gt;0,"已离职","在职"))</f>
        <v>在职</v>
      </c>
      <c r="P3777" s="28" t="str">
        <f>IF(AND(O3777="在职",J3777="是"),COUNTIF(O$2:O3777,"在职"),"")</f>
        <v/>
      </c>
    </row>
    <row r="3778" spans="1:16">
      <c r="A3778" s="10" t="str">
        <f t="shared" si="64"/>
        <v/>
      </c>
      <c r="D3778" s="120" t="s">
        <v>482</v>
      </c>
      <c r="O3778" s="28" t="str">
        <f>IF(D3778="","",IF(COUNTIF(离职清单!C:C,D3778)&gt;0,"已离职","在职"))</f>
        <v>在职</v>
      </c>
      <c r="P3778" s="28" t="str">
        <f>IF(AND(O3778="在职",J3778="是"),COUNTIF(O$2:O3778,"在职"),"")</f>
        <v/>
      </c>
    </row>
    <row r="3779" spans="1:16">
      <c r="A3779" s="14" t="str">
        <f t="shared" si="64"/>
        <v/>
      </c>
      <c r="D3779" s="120" t="s">
        <v>484</v>
      </c>
      <c r="O3779" s="28" t="str">
        <f>IF(D3779="","",IF(COUNTIF(离职清单!C:C,D3779)&gt;0,"已离职","在职"))</f>
        <v>在职</v>
      </c>
      <c r="P3779" s="28" t="str">
        <f>IF(AND(O3779="在职",J3779="是"),COUNTIF(O$2:O3779,"在职"),"")</f>
        <v/>
      </c>
    </row>
    <row r="3780" spans="1:16">
      <c r="A3780" s="10" t="str">
        <f t="shared" si="64"/>
        <v/>
      </c>
      <c r="D3780" s="120" t="s">
        <v>486</v>
      </c>
      <c r="O3780" s="28" t="str">
        <f>IF(D3780="","",IF(COUNTIF(离职清单!C:C,D3780)&gt;0,"已离职","在职"))</f>
        <v>在职</v>
      </c>
      <c r="P3780" s="28" t="str">
        <f>IF(AND(O3780="在职",J3780="是"),COUNTIF(O$2:O3780,"在职"),"")</f>
        <v/>
      </c>
    </row>
    <row r="3781" spans="1:16">
      <c r="A3781" s="14" t="str">
        <f t="shared" si="64"/>
        <v/>
      </c>
      <c r="D3781" s="120" t="s">
        <v>488</v>
      </c>
      <c r="O3781" s="28" t="str">
        <f>IF(D3781="","",IF(COUNTIF(离职清单!C:C,D3781)&gt;0,"已离职","在职"))</f>
        <v>在职</v>
      </c>
      <c r="P3781" s="28" t="str">
        <f>IF(AND(O3781="在职",J3781="是"),COUNTIF(O$2:O3781,"在职"),"")</f>
        <v/>
      </c>
    </row>
    <row r="3782" spans="1:16">
      <c r="A3782" s="10" t="str">
        <f t="shared" si="64"/>
        <v/>
      </c>
      <c r="D3782" s="120" t="s">
        <v>490</v>
      </c>
      <c r="O3782" s="28" t="str">
        <f>IF(D3782="","",IF(COUNTIF(离职清单!C:C,D3782)&gt;0,"已离职","在职"))</f>
        <v>在职</v>
      </c>
      <c r="P3782" s="28" t="str">
        <f>IF(AND(O3782="在职",J3782="是"),COUNTIF(O$2:O3782,"在职"),"")</f>
        <v/>
      </c>
    </row>
    <row r="3783" spans="1:16">
      <c r="A3783" s="14" t="str">
        <f t="shared" si="64"/>
        <v/>
      </c>
      <c r="D3783" s="120" t="s">
        <v>492</v>
      </c>
      <c r="O3783" s="28" t="str">
        <f>IF(D3783="","",IF(COUNTIF(离职清单!C:C,D3783)&gt;0,"已离职","在职"))</f>
        <v>在职</v>
      </c>
      <c r="P3783" s="28" t="str">
        <f>IF(AND(O3783="在职",J3783="是"),COUNTIF(O$2:O3783,"在职"),"")</f>
        <v/>
      </c>
    </row>
    <row r="3784" spans="1:16">
      <c r="A3784" s="10" t="str">
        <f t="shared" si="64"/>
        <v/>
      </c>
      <c r="D3784" s="120" t="s">
        <v>477</v>
      </c>
      <c r="O3784" s="28" t="str">
        <f>IF(D3784="","",IF(COUNTIF(离职清单!C:C,D3784)&gt;0,"已离职","在职"))</f>
        <v>在职</v>
      </c>
      <c r="P3784" s="28" t="str">
        <f>IF(AND(O3784="在职",J3784="是"),COUNTIF(O$2:O3784,"在职"),"")</f>
        <v/>
      </c>
    </row>
    <row r="3785" spans="1:16">
      <c r="A3785" s="14" t="str">
        <f t="shared" si="64"/>
        <v/>
      </c>
      <c r="D3785" s="120" t="s">
        <v>478</v>
      </c>
      <c r="O3785" s="28" t="str">
        <f>IF(D3785="","",IF(COUNTIF(离职清单!C:C,D3785)&gt;0,"已离职","在职"))</f>
        <v>在职</v>
      </c>
      <c r="P3785" s="28" t="str">
        <f>IF(AND(O3785="在职",J3785="是"),COUNTIF(O$2:O3785,"在职"),"")</f>
        <v/>
      </c>
    </row>
    <row r="3786" spans="1:16">
      <c r="A3786" s="10" t="str">
        <f t="shared" si="64"/>
        <v/>
      </c>
      <c r="D3786" s="120" t="s">
        <v>480</v>
      </c>
      <c r="O3786" s="28" t="str">
        <f>IF(D3786="","",IF(COUNTIF(离职清单!C:C,D3786)&gt;0,"已离职","在职"))</f>
        <v>在职</v>
      </c>
      <c r="P3786" s="28" t="str">
        <f>IF(AND(O3786="在职",J3786="是"),COUNTIF(O$2:O3786,"在职"),"")</f>
        <v/>
      </c>
    </row>
    <row r="3787" spans="1:16">
      <c r="A3787" s="14" t="str">
        <f t="shared" si="64"/>
        <v/>
      </c>
      <c r="D3787" s="120" t="s">
        <v>482</v>
      </c>
      <c r="O3787" s="28" t="str">
        <f>IF(D3787="","",IF(COUNTIF(离职清单!C:C,D3787)&gt;0,"已离职","在职"))</f>
        <v>在职</v>
      </c>
      <c r="P3787" s="28" t="str">
        <f>IF(AND(O3787="在职",J3787="是"),COUNTIF(O$2:O3787,"在职"),"")</f>
        <v/>
      </c>
    </row>
    <row r="3788" spans="1:16">
      <c r="A3788" s="10" t="str">
        <f t="shared" si="64"/>
        <v/>
      </c>
      <c r="D3788" s="120" t="s">
        <v>484</v>
      </c>
      <c r="O3788" s="28" t="str">
        <f>IF(D3788="","",IF(COUNTIF(离职清单!C:C,D3788)&gt;0,"已离职","在职"))</f>
        <v>在职</v>
      </c>
      <c r="P3788" s="28" t="str">
        <f>IF(AND(O3788="在职",J3788="是"),COUNTIF(O$2:O3788,"在职"),"")</f>
        <v/>
      </c>
    </row>
    <row r="3789" spans="1:16">
      <c r="A3789" s="14" t="str">
        <f t="shared" si="64"/>
        <v/>
      </c>
      <c r="D3789" s="120" t="s">
        <v>486</v>
      </c>
      <c r="O3789" s="28" t="str">
        <f>IF(D3789="","",IF(COUNTIF(离职清单!C:C,D3789)&gt;0,"已离职","在职"))</f>
        <v>在职</v>
      </c>
      <c r="P3789" s="28" t="str">
        <f>IF(AND(O3789="在职",J3789="是"),COUNTIF(O$2:O3789,"在职"),"")</f>
        <v/>
      </c>
    </row>
    <row r="3790" spans="1:16">
      <c r="A3790" s="10" t="str">
        <f t="shared" si="64"/>
        <v/>
      </c>
      <c r="D3790" s="120" t="s">
        <v>488</v>
      </c>
      <c r="O3790" s="28" t="str">
        <f>IF(D3790="","",IF(COUNTIF(离职清单!C:C,D3790)&gt;0,"已离职","在职"))</f>
        <v>在职</v>
      </c>
      <c r="P3790" s="28" t="str">
        <f>IF(AND(O3790="在职",J3790="是"),COUNTIF(O$2:O3790,"在职"),"")</f>
        <v/>
      </c>
    </row>
    <row r="3791" spans="1:16">
      <c r="A3791" s="14" t="str">
        <f t="shared" si="64"/>
        <v/>
      </c>
      <c r="D3791" s="120" t="s">
        <v>490</v>
      </c>
      <c r="O3791" s="28" t="str">
        <f>IF(D3791="","",IF(COUNTIF(离职清单!C:C,D3791)&gt;0,"已离职","在职"))</f>
        <v>在职</v>
      </c>
      <c r="P3791" s="28" t="str">
        <f>IF(AND(O3791="在职",J3791="是"),COUNTIF(O$2:O3791,"在职"),"")</f>
        <v/>
      </c>
    </row>
    <row r="3792" spans="1:16">
      <c r="A3792" s="10" t="str">
        <f t="shared" si="64"/>
        <v/>
      </c>
      <c r="D3792" s="120" t="s">
        <v>492</v>
      </c>
      <c r="O3792" s="28" t="str">
        <f>IF(D3792="","",IF(COUNTIF(离职清单!C:C,D3792)&gt;0,"已离职","在职"))</f>
        <v>在职</v>
      </c>
      <c r="P3792" s="28" t="str">
        <f>IF(AND(O3792="在职",J3792="是"),COUNTIF(O$2:O3792,"在职"),"")</f>
        <v/>
      </c>
    </row>
    <row r="3793" spans="1:16">
      <c r="A3793" s="14" t="str">
        <f t="shared" si="64"/>
        <v/>
      </c>
      <c r="D3793" s="120" t="s">
        <v>477</v>
      </c>
      <c r="O3793" s="28" t="str">
        <f>IF(D3793="","",IF(COUNTIF(离职清单!C:C,D3793)&gt;0,"已离职","在职"))</f>
        <v>在职</v>
      </c>
      <c r="P3793" s="28" t="str">
        <f>IF(AND(O3793="在职",J3793="是"),COUNTIF(O$2:O3793,"在职"),"")</f>
        <v/>
      </c>
    </row>
    <row r="3794" spans="1:16">
      <c r="A3794" s="10" t="str">
        <f t="shared" si="64"/>
        <v/>
      </c>
      <c r="D3794" s="120" t="s">
        <v>478</v>
      </c>
      <c r="O3794" s="28" t="str">
        <f>IF(D3794="","",IF(COUNTIF(离职清单!C:C,D3794)&gt;0,"已离职","在职"))</f>
        <v>在职</v>
      </c>
      <c r="P3794" s="28" t="str">
        <f>IF(AND(O3794="在职",J3794="是"),COUNTIF(O$2:O3794,"在职"),"")</f>
        <v/>
      </c>
    </row>
    <row r="3795" spans="1:16">
      <c r="A3795" s="14" t="str">
        <f t="shared" si="64"/>
        <v/>
      </c>
      <c r="D3795" s="120" t="s">
        <v>480</v>
      </c>
      <c r="O3795" s="28" t="str">
        <f>IF(D3795="","",IF(COUNTIF(离职清单!C:C,D3795)&gt;0,"已离职","在职"))</f>
        <v>在职</v>
      </c>
      <c r="P3795" s="28" t="str">
        <f>IF(AND(O3795="在职",J3795="是"),COUNTIF(O$2:O3795,"在职"),"")</f>
        <v/>
      </c>
    </row>
    <row r="3796" spans="1:16">
      <c r="A3796" s="10" t="str">
        <f t="shared" si="64"/>
        <v/>
      </c>
      <c r="D3796" s="120" t="s">
        <v>482</v>
      </c>
      <c r="O3796" s="28" t="str">
        <f>IF(D3796="","",IF(COUNTIF(离职清单!C:C,D3796)&gt;0,"已离职","在职"))</f>
        <v>在职</v>
      </c>
      <c r="P3796" s="28" t="str">
        <f>IF(AND(O3796="在职",J3796="是"),COUNTIF(O$2:O3796,"在职"),"")</f>
        <v/>
      </c>
    </row>
    <row r="3797" spans="1:16">
      <c r="A3797" s="14" t="str">
        <f t="shared" si="64"/>
        <v/>
      </c>
      <c r="D3797" s="120" t="s">
        <v>484</v>
      </c>
      <c r="O3797" s="28" t="str">
        <f>IF(D3797="","",IF(COUNTIF(离职清单!C:C,D3797)&gt;0,"已离职","在职"))</f>
        <v>在职</v>
      </c>
      <c r="P3797" s="28" t="str">
        <f>IF(AND(O3797="在职",J3797="是"),COUNTIF(O$2:O3797,"在职"),"")</f>
        <v/>
      </c>
    </row>
    <row r="3798" spans="1:16">
      <c r="A3798" s="10" t="str">
        <f t="shared" si="64"/>
        <v/>
      </c>
      <c r="D3798" s="120" t="s">
        <v>486</v>
      </c>
      <c r="O3798" s="28" t="str">
        <f>IF(D3798="","",IF(COUNTIF(离职清单!C:C,D3798)&gt;0,"已离职","在职"))</f>
        <v>在职</v>
      </c>
      <c r="P3798" s="28" t="str">
        <f>IF(AND(O3798="在职",J3798="是"),COUNTIF(O$2:O3798,"在职"),"")</f>
        <v/>
      </c>
    </row>
    <row r="3799" spans="1:16">
      <c r="A3799" s="14" t="str">
        <f t="shared" si="64"/>
        <v/>
      </c>
      <c r="D3799" s="120" t="s">
        <v>488</v>
      </c>
      <c r="O3799" s="28" t="str">
        <f>IF(D3799="","",IF(COUNTIF(离职清单!C:C,D3799)&gt;0,"已离职","在职"))</f>
        <v>在职</v>
      </c>
      <c r="P3799" s="28" t="str">
        <f>IF(AND(O3799="在职",J3799="是"),COUNTIF(O$2:O3799,"在职"),"")</f>
        <v/>
      </c>
    </row>
    <row r="3800" spans="1:16">
      <c r="A3800" s="10" t="str">
        <f t="shared" si="64"/>
        <v/>
      </c>
      <c r="D3800" s="120" t="s">
        <v>490</v>
      </c>
      <c r="O3800" s="28" t="str">
        <f>IF(D3800="","",IF(COUNTIF(离职清单!C:C,D3800)&gt;0,"已离职","在职"))</f>
        <v>在职</v>
      </c>
      <c r="P3800" s="28" t="str">
        <f>IF(AND(O3800="在职",J3800="是"),COUNTIF(O$2:O3800,"在职"),"")</f>
        <v/>
      </c>
    </row>
    <row r="3801" spans="1:16">
      <c r="A3801" s="14" t="str">
        <f t="shared" si="64"/>
        <v/>
      </c>
      <c r="D3801" s="120" t="s">
        <v>492</v>
      </c>
      <c r="O3801" s="28" t="str">
        <f>IF(D3801="","",IF(COUNTIF(离职清单!C:C,D3801)&gt;0,"已离职","在职"))</f>
        <v>在职</v>
      </c>
      <c r="P3801" s="28" t="str">
        <f>IF(AND(O3801="在职",J3801="是"),COUNTIF(O$2:O3801,"在职"),"")</f>
        <v/>
      </c>
    </row>
    <row r="3802" spans="1:16">
      <c r="A3802" s="10" t="str">
        <f t="shared" si="64"/>
        <v/>
      </c>
      <c r="D3802" s="120" t="s">
        <v>477</v>
      </c>
      <c r="O3802" s="28" t="str">
        <f>IF(D3802="","",IF(COUNTIF(离职清单!C:C,D3802)&gt;0,"已离职","在职"))</f>
        <v>在职</v>
      </c>
      <c r="P3802" s="28" t="str">
        <f>IF(AND(O3802="在职",J3802="是"),COUNTIF(O$2:O3802,"在职"),"")</f>
        <v/>
      </c>
    </row>
    <row r="3803" spans="1:16">
      <c r="A3803" s="14" t="str">
        <f t="shared" si="64"/>
        <v/>
      </c>
      <c r="D3803" s="120" t="s">
        <v>478</v>
      </c>
      <c r="O3803" s="28" t="str">
        <f>IF(D3803="","",IF(COUNTIF(离职清单!C:C,D3803)&gt;0,"已离职","在职"))</f>
        <v>在职</v>
      </c>
      <c r="P3803" s="28" t="str">
        <f>IF(AND(O3803="在职",J3803="是"),COUNTIF(O$2:O3803,"在职"),"")</f>
        <v/>
      </c>
    </row>
    <row r="3804" spans="1:16">
      <c r="A3804" s="10" t="str">
        <f t="shared" si="64"/>
        <v/>
      </c>
      <c r="D3804" s="120" t="s">
        <v>480</v>
      </c>
      <c r="O3804" s="28" t="str">
        <f>IF(D3804="","",IF(COUNTIF(离职清单!C:C,D3804)&gt;0,"已离职","在职"))</f>
        <v>在职</v>
      </c>
      <c r="P3804" s="28" t="str">
        <f>IF(AND(O3804="在职",J3804="是"),COUNTIF(O$2:O3804,"在职"),"")</f>
        <v/>
      </c>
    </row>
    <row r="3805" spans="1:16">
      <c r="A3805" s="14" t="str">
        <f t="shared" si="64"/>
        <v/>
      </c>
      <c r="D3805" s="120" t="s">
        <v>482</v>
      </c>
      <c r="O3805" s="28" t="str">
        <f>IF(D3805="","",IF(COUNTIF(离职清单!C:C,D3805)&gt;0,"已离职","在职"))</f>
        <v>在职</v>
      </c>
      <c r="P3805" s="28" t="str">
        <f>IF(AND(O3805="在职",J3805="是"),COUNTIF(O$2:O3805,"在职"),"")</f>
        <v/>
      </c>
    </row>
    <row r="3806" spans="1:16">
      <c r="A3806" s="10" t="str">
        <f t="shared" si="64"/>
        <v/>
      </c>
      <c r="D3806" s="120" t="s">
        <v>484</v>
      </c>
      <c r="O3806" s="28" t="str">
        <f>IF(D3806="","",IF(COUNTIF(离职清单!C:C,D3806)&gt;0,"已离职","在职"))</f>
        <v>在职</v>
      </c>
      <c r="P3806" s="28" t="str">
        <f>IF(AND(O3806="在职",J3806="是"),COUNTIF(O$2:O3806,"在职"),"")</f>
        <v/>
      </c>
    </row>
    <row r="3807" spans="1:16">
      <c r="A3807" s="14" t="str">
        <f t="shared" si="64"/>
        <v/>
      </c>
      <c r="D3807" s="120" t="s">
        <v>486</v>
      </c>
      <c r="O3807" s="28" t="str">
        <f>IF(D3807="","",IF(COUNTIF(离职清单!C:C,D3807)&gt;0,"已离职","在职"))</f>
        <v>在职</v>
      </c>
      <c r="P3807" s="28" t="str">
        <f>IF(AND(O3807="在职",J3807="是"),COUNTIF(O$2:O3807,"在职"),"")</f>
        <v/>
      </c>
    </row>
    <row r="3808" spans="1:16">
      <c r="A3808" s="10" t="str">
        <f t="shared" si="64"/>
        <v/>
      </c>
      <c r="D3808" s="120" t="s">
        <v>488</v>
      </c>
      <c r="O3808" s="28" t="str">
        <f>IF(D3808="","",IF(COUNTIF(离职清单!C:C,D3808)&gt;0,"已离职","在职"))</f>
        <v>在职</v>
      </c>
      <c r="P3808" s="28" t="str">
        <f>IF(AND(O3808="在职",J3808="是"),COUNTIF(O$2:O3808,"在职"),"")</f>
        <v/>
      </c>
    </row>
    <row r="3809" spans="1:16">
      <c r="A3809" s="14" t="str">
        <f t="shared" si="64"/>
        <v/>
      </c>
      <c r="D3809" s="120" t="s">
        <v>490</v>
      </c>
      <c r="O3809" s="28" t="str">
        <f>IF(D3809="","",IF(COUNTIF(离职清单!C:C,D3809)&gt;0,"已离职","在职"))</f>
        <v>在职</v>
      </c>
      <c r="P3809" s="28" t="str">
        <f>IF(AND(O3809="在职",J3809="是"),COUNTIF(O$2:O3809,"在职"),"")</f>
        <v/>
      </c>
    </row>
    <row r="3810" spans="1:16">
      <c r="A3810" s="10" t="str">
        <f t="shared" si="64"/>
        <v/>
      </c>
      <c r="D3810" s="120" t="s">
        <v>492</v>
      </c>
      <c r="O3810" s="28" t="str">
        <f>IF(D3810="","",IF(COUNTIF(离职清单!C:C,D3810)&gt;0,"已离职","在职"))</f>
        <v>在职</v>
      </c>
      <c r="P3810" s="28" t="str">
        <f>IF(AND(O3810="在职",J3810="是"),COUNTIF(O$2:O3810,"在职"),"")</f>
        <v/>
      </c>
    </row>
    <row r="3811" spans="1:16">
      <c r="A3811" s="14" t="str">
        <f t="shared" si="64"/>
        <v/>
      </c>
      <c r="D3811" s="120" t="s">
        <v>477</v>
      </c>
      <c r="O3811" s="28" t="str">
        <f>IF(D3811="","",IF(COUNTIF(离职清单!C:C,D3811)&gt;0,"已离职","在职"))</f>
        <v>在职</v>
      </c>
      <c r="P3811" s="28" t="str">
        <f>IF(AND(O3811="在职",J3811="是"),COUNTIF(O$2:O3811,"在职"),"")</f>
        <v/>
      </c>
    </row>
    <row r="3812" spans="1:16">
      <c r="A3812" s="10" t="str">
        <f t="shared" si="64"/>
        <v/>
      </c>
      <c r="D3812" s="120" t="s">
        <v>477</v>
      </c>
      <c r="O3812" s="28" t="str">
        <f>IF(D3812="","",IF(COUNTIF(离职清单!C:C,D3812)&gt;0,"已离职","在职"))</f>
        <v>在职</v>
      </c>
      <c r="P3812" s="28" t="str">
        <f>IF(AND(O3812="在职",J3812="是"),COUNTIF(O$2:O3812,"在职"),"")</f>
        <v/>
      </c>
    </row>
    <row r="3813" spans="1:16">
      <c r="A3813" s="14" t="str">
        <f t="shared" si="64"/>
        <v/>
      </c>
      <c r="D3813" s="120" t="s">
        <v>478</v>
      </c>
      <c r="O3813" s="28" t="str">
        <f>IF(D3813="","",IF(COUNTIF(离职清单!C:C,D3813)&gt;0,"已离职","在职"))</f>
        <v>在职</v>
      </c>
      <c r="P3813" s="28" t="str">
        <f>IF(AND(O3813="在职",J3813="是"),COUNTIF(O$2:O3813,"在职"),"")</f>
        <v/>
      </c>
    </row>
    <row r="3814" spans="1:16">
      <c r="A3814" s="10" t="str">
        <f t="shared" si="64"/>
        <v/>
      </c>
      <c r="D3814" s="120" t="s">
        <v>480</v>
      </c>
      <c r="O3814" s="28" t="str">
        <f>IF(D3814="","",IF(COUNTIF(离职清单!C:C,D3814)&gt;0,"已离职","在职"))</f>
        <v>在职</v>
      </c>
      <c r="P3814" s="28" t="str">
        <f>IF(AND(O3814="在职",J3814="是"),COUNTIF(O$2:O3814,"在职"),"")</f>
        <v/>
      </c>
    </row>
    <row r="3815" spans="1:16">
      <c r="A3815" s="14" t="str">
        <f t="shared" si="64"/>
        <v/>
      </c>
      <c r="D3815" s="120" t="s">
        <v>482</v>
      </c>
      <c r="O3815" s="28" t="str">
        <f>IF(D3815="","",IF(COUNTIF(离职清单!C:C,D3815)&gt;0,"已离职","在职"))</f>
        <v>在职</v>
      </c>
      <c r="P3815" s="28" t="str">
        <f>IF(AND(O3815="在职",J3815="是"),COUNTIF(O$2:O3815,"在职"),"")</f>
        <v/>
      </c>
    </row>
    <row r="3816" spans="1:16">
      <c r="A3816" s="10" t="str">
        <f t="shared" si="64"/>
        <v/>
      </c>
      <c r="D3816" s="120" t="s">
        <v>484</v>
      </c>
      <c r="O3816" s="28" t="str">
        <f>IF(D3816="","",IF(COUNTIF(离职清单!C:C,D3816)&gt;0,"已离职","在职"))</f>
        <v>在职</v>
      </c>
      <c r="P3816" s="28" t="str">
        <f>IF(AND(O3816="在职",J3816="是"),COUNTIF(O$2:O3816,"在职"),"")</f>
        <v/>
      </c>
    </row>
    <row r="3817" spans="1:16">
      <c r="A3817" s="14" t="str">
        <f t="shared" si="64"/>
        <v/>
      </c>
      <c r="D3817" s="120" t="s">
        <v>486</v>
      </c>
      <c r="O3817" s="28" t="str">
        <f>IF(D3817="","",IF(COUNTIF(离职清单!C:C,D3817)&gt;0,"已离职","在职"))</f>
        <v>在职</v>
      </c>
      <c r="P3817" s="28" t="str">
        <f>IF(AND(O3817="在职",J3817="是"),COUNTIF(O$2:O3817,"在职"),"")</f>
        <v/>
      </c>
    </row>
    <row r="3818" spans="1:16">
      <c r="A3818" s="10" t="str">
        <f t="shared" si="64"/>
        <v/>
      </c>
      <c r="D3818" s="120" t="s">
        <v>488</v>
      </c>
      <c r="O3818" s="28" t="str">
        <f>IF(D3818="","",IF(COUNTIF(离职清单!C:C,D3818)&gt;0,"已离职","在职"))</f>
        <v>在职</v>
      </c>
      <c r="P3818" s="28" t="str">
        <f>IF(AND(O3818="在职",J3818="是"),COUNTIF(O$2:O3818,"在职"),"")</f>
        <v/>
      </c>
    </row>
    <row r="3819" spans="1:16">
      <c r="A3819" s="14" t="str">
        <f t="shared" si="64"/>
        <v/>
      </c>
      <c r="D3819" s="120" t="s">
        <v>490</v>
      </c>
      <c r="O3819" s="28" t="str">
        <f>IF(D3819="","",IF(COUNTIF(离职清单!C:C,D3819)&gt;0,"已离职","在职"))</f>
        <v>在职</v>
      </c>
      <c r="P3819" s="28" t="str">
        <f>IF(AND(O3819="在职",J3819="是"),COUNTIF(O$2:O3819,"在职"),"")</f>
        <v/>
      </c>
    </row>
    <row r="3820" spans="1:16">
      <c r="A3820" s="10" t="str">
        <f t="shared" ref="A3820:A3883" si="65">IF(B3820&lt;&gt;"",ROW()-1,"")</f>
        <v/>
      </c>
      <c r="D3820" s="120" t="s">
        <v>492</v>
      </c>
      <c r="O3820" s="28" t="str">
        <f>IF(D3820="","",IF(COUNTIF(离职清单!C:C,D3820)&gt;0,"已离职","在职"))</f>
        <v>在职</v>
      </c>
      <c r="P3820" s="28" t="str">
        <f>IF(AND(O3820="在职",J3820="是"),COUNTIF(O$2:O3820,"在职"),"")</f>
        <v/>
      </c>
    </row>
    <row r="3821" spans="1:16">
      <c r="A3821" s="14" t="str">
        <f t="shared" si="65"/>
        <v/>
      </c>
      <c r="D3821" s="120" t="s">
        <v>477</v>
      </c>
      <c r="O3821" s="28" t="str">
        <f>IF(D3821="","",IF(COUNTIF(离职清单!C:C,D3821)&gt;0,"已离职","在职"))</f>
        <v>在职</v>
      </c>
      <c r="P3821" s="28" t="str">
        <f>IF(AND(O3821="在职",J3821="是"),COUNTIF(O$2:O3821,"在职"),"")</f>
        <v/>
      </c>
    </row>
    <row r="3822" spans="1:16">
      <c r="A3822" s="10" t="str">
        <f t="shared" si="65"/>
        <v/>
      </c>
      <c r="D3822" s="120" t="s">
        <v>478</v>
      </c>
      <c r="O3822" s="28" t="str">
        <f>IF(D3822="","",IF(COUNTIF(离职清单!C:C,D3822)&gt;0,"已离职","在职"))</f>
        <v>在职</v>
      </c>
      <c r="P3822" s="28" t="str">
        <f>IF(AND(O3822="在职",J3822="是"),COUNTIF(O$2:O3822,"在职"),"")</f>
        <v/>
      </c>
    </row>
    <row r="3823" spans="1:16">
      <c r="A3823" s="14" t="str">
        <f t="shared" si="65"/>
        <v/>
      </c>
      <c r="D3823" s="120" t="s">
        <v>480</v>
      </c>
      <c r="O3823" s="28" t="str">
        <f>IF(D3823="","",IF(COUNTIF(离职清单!C:C,D3823)&gt;0,"已离职","在职"))</f>
        <v>在职</v>
      </c>
      <c r="P3823" s="28" t="str">
        <f>IF(AND(O3823="在职",J3823="是"),COUNTIF(O$2:O3823,"在职"),"")</f>
        <v/>
      </c>
    </row>
    <row r="3824" spans="1:16">
      <c r="A3824" s="10" t="str">
        <f t="shared" si="65"/>
        <v/>
      </c>
      <c r="D3824" s="120" t="s">
        <v>482</v>
      </c>
      <c r="O3824" s="28" t="str">
        <f>IF(D3824="","",IF(COUNTIF(离职清单!C:C,D3824)&gt;0,"已离职","在职"))</f>
        <v>在职</v>
      </c>
      <c r="P3824" s="28" t="str">
        <f>IF(AND(O3824="在职",J3824="是"),COUNTIF(O$2:O3824,"在职"),"")</f>
        <v/>
      </c>
    </row>
    <row r="3825" spans="1:16">
      <c r="A3825" s="14" t="str">
        <f t="shared" si="65"/>
        <v/>
      </c>
      <c r="D3825" s="120" t="s">
        <v>484</v>
      </c>
      <c r="O3825" s="28" t="str">
        <f>IF(D3825="","",IF(COUNTIF(离职清单!C:C,D3825)&gt;0,"已离职","在职"))</f>
        <v>在职</v>
      </c>
      <c r="P3825" s="28" t="str">
        <f>IF(AND(O3825="在职",J3825="是"),COUNTIF(O$2:O3825,"在职"),"")</f>
        <v/>
      </c>
    </row>
    <row r="3826" spans="1:16">
      <c r="A3826" s="10" t="str">
        <f t="shared" si="65"/>
        <v/>
      </c>
      <c r="D3826" s="120" t="s">
        <v>486</v>
      </c>
      <c r="O3826" s="28" t="str">
        <f>IF(D3826="","",IF(COUNTIF(离职清单!C:C,D3826)&gt;0,"已离职","在职"))</f>
        <v>在职</v>
      </c>
      <c r="P3826" s="28" t="str">
        <f>IF(AND(O3826="在职",J3826="是"),COUNTIF(O$2:O3826,"在职"),"")</f>
        <v/>
      </c>
    </row>
    <row r="3827" spans="1:16">
      <c r="A3827" s="14" t="str">
        <f t="shared" si="65"/>
        <v/>
      </c>
      <c r="D3827" s="120" t="s">
        <v>488</v>
      </c>
      <c r="O3827" s="28" t="str">
        <f>IF(D3827="","",IF(COUNTIF(离职清单!C:C,D3827)&gt;0,"已离职","在职"))</f>
        <v>在职</v>
      </c>
      <c r="P3827" s="28" t="str">
        <f>IF(AND(O3827="在职",J3827="是"),COUNTIF(O$2:O3827,"在职"),"")</f>
        <v/>
      </c>
    </row>
    <row r="3828" spans="1:16">
      <c r="A3828" s="10" t="str">
        <f t="shared" si="65"/>
        <v/>
      </c>
      <c r="D3828" s="120" t="s">
        <v>490</v>
      </c>
      <c r="O3828" s="28" t="str">
        <f>IF(D3828="","",IF(COUNTIF(离职清单!C:C,D3828)&gt;0,"已离职","在职"))</f>
        <v>在职</v>
      </c>
      <c r="P3828" s="28" t="str">
        <f>IF(AND(O3828="在职",J3828="是"),COUNTIF(O$2:O3828,"在职"),"")</f>
        <v/>
      </c>
    </row>
    <row r="3829" spans="1:16">
      <c r="A3829" s="14" t="str">
        <f t="shared" si="65"/>
        <v/>
      </c>
      <c r="D3829" s="120" t="s">
        <v>492</v>
      </c>
      <c r="O3829" s="28" t="str">
        <f>IF(D3829="","",IF(COUNTIF(离职清单!C:C,D3829)&gt;0,"已离职","在职"))</f>
        <v>在职</v>
      </c>
      <c r="P3829" s="28" t="str">
        <f>IF(AND(O3829="在职",J3829="是"),COUNTIF(O$2:O3829,"在职"),"")</f>
        <v/>
      </c>
    </row>
    <row r="3830" spans="1:16">
      <c r="A3830" s="10" t="str">
        <f t="shared" si="65"/>
        <v/>
      </c>
      <c r="D3830" s="120" t="s">
        <v>477</v>
      </c>
      <c r="O3830" s="28" t="str">
        <f>IF(D3830="","",IF(COUNTIF(离职清单!C:C,D3830)&gt;0,"已离职","在职"))</f>
        <v>在职</v>
      </c>
      <c r="P3830" s="28" t="str">
        <f>IF(AND(O3830="在职",J3830="是"),COUNTIF(O$2:O3830,"在职"),"")</f>
        <v/>
      </c>
    </row>
    <row r="3831" spans="1:16">
      <c r="A3831" s="14" t="str">
        <f t="shared" si="65"/>
        <v/>
      </c>
      <c r="D3831" s="120" t="s">
        <v>478</v>
      </c>
      <c r="O3831" s="28" t="str">
        <f>IF(D3831="","",IF(COUNTIF(离职清单!C:C,D3831)&gt;0,"已离职","在职"))</f>
        <v>在职</v>
      </c>
      <c r="P3831" s="28" t="str">
        <f>IF(AND(O3831="在职",J3831="是"),COUNTIF(O$2:O3831,"在职"),"")</f>
        <v/>
      </c>
    </row>
    <row r="3832" spans="1:16">
      <c r="A3832" s="10" t="str">
        <f t="shared" si="65"/>
        <v/>
      </c>
      <c r="D3832" s="120" t="s">
        <v>480</v>
      </c>
      <c r="O3832" s="28" t="str">
        <f>IF(D3832="","",IF(COUNTIF(离职清单!C:C,D3832)&gt;0,"已离职","在职"))</f>
        <v>在职</v>
      </c>
      <c r="P3832" s="28" t="str">
        <f>IF(AND(O3832="在职",J3832="是"),COUNTIF(O$2:O3832,"在职"),"")</f>
        <v/>
      </c>
    </row>
    <row r="3833" spans="1:16">
      <c r="A3833" s="14" t="str">
        <f t="shared" si="65"/>
        <v/>
      </c>
      <c r="D3833" s="120" t="s">
        <v>482</v>
      </c>
      <c r="O3833" s="28" t="str">
        <f>IF(D3833="","",IF(COUNTIF(离职清单!C:C,D3833)&gt;0,"已离职","在职"))</f>
        <v>在职</v>
      </c>
      <c r="P3833" s="28" t="str">
        <f>IF(AND(O3833="在职",J3833="是"),COUNTIF(O$2:O3833,"在职"),"")</f>
        <v/>
      </c>
    </row>
    <row r="3834" spans="1:16">
      <c r="A3834" s="10" t="str">
        <f t="shared" si="65"/>
        <v/>
      </c>
      <c r="D3834" s="120" t="s">
        <v>484</v>
      </c>
      <c r="O3834" s="28" t="str">
        <f>IF(D3834="","",IF(COUNTIF(离职清单!C:C,D3834)&gt;0,"已离职","在职"))</f>
        <v>在职</v>
      </c>
      <c r="P3834" s="28" t="str">
        <f>IF(AND(O3834="在职",J3834="是"),COUNTIF(O$2:O3834,"在职"),"")</f>
        <v/>
      </c>
    </row>
    <row r="3835" spans="1:16">
      <c r="A3835" s="14" t="str">
        <f t="shared" si="65"/>
        <v/>
      </c>
      <c r="D3835" s="120" t="s">
        <v>486</v>
      </c>
      <c r="O3835" s="28" t="str">
        <f>IF(D3835="","",IF(COUNTIF(离职清单!C:C,D3835)&gt;0,"已离职","在职"))</f>
        <v>在职</v>
      </c>
      <c r="P3835" s="28" t="str">
        <f>IF(AND(O3835="在职",J3835="是"),COUNTIF(O$2:O3835,"在职"),"")</f>
        <v/>
      </c>
    </row>
    <row r="3836" spans="1:16">
      <c r="A3836" s="10" t="str">
        <f t="shared" si="65"/>
        <v/>
      </c>
      <c r="D3836" s="120" t="s">
        <v>488</v>
      </c>
      <c r="O3836" s="28" t="str">
        <f>IF(D3836="","",IF(COUNTIF(离职清单!C:C,D3836)&gt;0,"已离职","在职"))</f>
        <v>在职</v>
      </c>
      <c r="P3836" s="28" t="str">
        <f>IF(AND(O3836="在职",J3836="是"),COUNTIF(O$2:O3836,"在职"),"")</f>
        <v/>
      </c>
    </row>
    <row r="3837" spans="1:16">
      <c r="A3837" s="14" t="str">
        <f t="shared" si="65"/>
        <v/>
      </c>
      <c r="D3837" s="120" t="s">
        <v>490</v>
      </c>
      <c r="O3837" s="28" t="str">
        <f>IF(D3837="","",IF(COUNTIF(离职清单!C:C,D3837)&gt;0,"已离职","在职"))</f>
        <v>在职</v>
      </c>
      <c r="P3837" s="28" t="str">
        <f>IF(AND(O3837="在职",J3837="是"),COUNTIF(O$2:O3837,"在职"),"")</f>
        <v/>
      </c>
    </row>
    <row r="3838" spans="1:16">
      <c r="A3838" s="10" t="str">
        <f t="shared" si="65"/>
        <v/>
      </c>
      <c r="D3838" s="120" t="s">
        <v>492</v>
      </c>
      <c r="O3838" s="28" t="str">
        <f>IF(D3838="","",IF(COUNTIF(离职清单!C:C,D3838)&gt;0,"已离职","在职"))</f>
        <v>在职</v>
      </c>
      <c r="P3838" s="28" t="str">
        <f>IF(AND(O3838="在职",J3838="是"),COUNTIF(O$2:O3838,"在职"),"")</f>
        <v/>
      </c>
    </row>
    <row r="3839" spans="1:16">
      <c r="A3839" s="14" t="str">
        <f t="shared" si="65"/>
        <v/>
      </c>
      <c r="D3839" s="120" t="s">
        <v>477</v>
      </c>
      <c r="O3839" s="28" t="str">
        <f>IF(D3839="","",IF(COUNTIF(离职清单!C:C,D3839)&gt;0,"已离职","在职"))</f>
        <v>在职</v>
      </c>
      <c r="P3839" s="28" t="str">
        <f>IF(AND(O3839="在职",J3839="是"),COUNTIF(O$2:O3839,"在职"),"")</f>
        <v/>
      </c>
    </row>
    <row r="3840" spans="1:16">
      <c r="A3840" s="10" t="str">
        <f t="shared" si="65"/>
        <v/>
      </c>
      <c r="D3840" s="120" t="s">
        <v>478</v>
      </c>
      <c r="O3840" s="28" t="str">
        <f>IF(D3840="","",IF(COUNTIF(离职清单!C:C,D3840)&gt;0,"已离职","在职"))</f>
        <v>在职</v>
      </c>
      <c r="P3840" s="28" t="str">
        <f>IF(AND(O3840="在职",J3840="是"),COUNTIF(O$2:O3840,"在职"),"")</f>
        <v/>
      </c>
    </row>
    <row r="3841" spans="1:16">
      <c r="A3841" s="14" t="str">
        <f t="shared" si="65"/>
        <v/>
      </c>
      <c r="D3841" s="120" t="s">
        <v>480</v>
      </c>
      <c r="O3841" s="28" t="str">
        <f>IF(D3841="","",IF(COUNTIF(离职清单!C:C,D3841)&gt;0,"已离职","在职"))</f>
        <v>在职</v>
      </c>
      <c r="P3841" s="28" t="str">
        <f>IF(AND(O3841="在职",J3841="是"),COUNTIF(O$2:O3841,"在职"),"")</f>
        <v/>
      </c>
    </row>
    <row r="3842" spans="1:16">
      <c r="A3842" s="10" t="str">
        <f t="shared" si="65"/>
        <v/>
      </c>
      <c r="D3842" s="120" t="s">
        <v>482</v>
      </c>
      <c r="O3842" s="28" t="str">
        <f>IF(D3842="","",IF(COUNTIF(离职清单!C:C,D3842)&gt;0,"已离职","在职"))</f>
        <v>在职</v>
      </c>
      <c r="P3842" s="28" t="str">
        <f>IF(AND(O3842="在职",J3842="是"),COUNTIF(O$2:O3842,"在职"),"")</f>
        <v/>
      </c>
    </row>
    <row r="3843" spans="1:16">
      <c r="A3843" s="14" t="str">
        <f t="shared" si="65"/>
        <v/>
      </c>
      <c r="D3843" s="120" t="s">
        <v>484</v>
      </c>
      <c r="O3843" s="28" t="str">
        <f>IF(D3843="","",IF(COUNTIF(离职清单!C:C,D3843)&gt;0,"已离职","在职"))</f>
        <v>在职</v>
      </c>
      <c r="P3843" s="28" t="str">
        <f>IF(AND(O3843="在职",J3843="是"),COUNTIF(O$2:O3843,"在职"),"")</f>
        <v/>
      </c>
    </row>
    <row r="3844" spans="1:16">
      <c r="A3844" s="10" t="str">
        <f t="shared" si="65"/>
        <v/>
      </c>
      <c r="D3844" s="120" t="s">
        <v>486</v>
      </c>
      <c r="O3844" s="28" t="str">
        <f>IF(D3844="","",IF(COUNTIF(离职清单!C:C,D3844)&gt;0,"已离职","在职"))</f>
        <v>在职</v>
      </c>
      <c r="P3844" s="28" t="str">
        <f>IF(AND(O3844="在职",J3844="是"),COUNTIF(O$2:O3844,"在职"),"")</f>
        <v/>
      </c>
    </row>
    <row r="3845" spans="1:16">
      <c r="A3845" s="14" t="str">
        <f t="shared" si="65"/>
        <v/>
      </c>
      <c r="D3845" s="120" t="s">
        <v>488</v>
      </c>
      <c r="O3845" s="28" t="str">
        <f>IF(D3845="","",IF(COUNTIF(离职清单!C:C,D3845)&gt;0,"已离职","在职"))</f>
        <v>在职</v>
      </c>
      <c r="P3845" s="28" t="str">
        <f>IF(AND(O3845="在职",J3845="是"),COUNTIF(O$2:O3845,"在职"),"")</f>
        <v/>
      </c>
    </row>
    <row r="3846" spans="1:16">
      <c r="A3846" s="10" t="str">
        <f t="shared" si="65"/>
        <v/>
      </c>
      <c r="D3846" s="120" t="s">
        <v>490</v>
      </c>
      <c r="O3846" s="28" t="str">
        <f>IF(D3846="","",IF(COUNTIF(离职清单!C:C,D3846)&gt;0,"已离职","在职"))</f>
        <v>在职</v>
      </c>
      <c r="P3846" s="28" t="str">
        <f>IF(AND(O3846="在职",J3846="是"),COUNTIF(O$2:O3846,"在职"),"")</f>
        <v/>
      </c>
    </row>
    <row r="3847" spans="1:16">
      <c r="A3847" s="14" t="str">
        <f t="shared" si="65"/>
        <v/>
      </c>
      <c r="D3847" s="120" t="s">
        <v>492</v>
      </c>
      <c r="O3847" s="28" t="str">
        <f>IF(D3847="","",IF(COUNTIF(离职清单!C:C,D3847)&gt;0,"已离职","在职"))</f>
        <v>在职</v>
      </c>
      <c r="P3847" s="28" t="str">
        <f>IF(AND(O3847="在职",J3847="是"),COUNTIF(O$2:O3847,"在职"),"")</f>
        <v/>
      </c>
    </row>
    <row r="3848" spans="1:16">
      <c r="A3848" s="10" t="str">
        <f t="shared" si="65"/>
        <v/>
      </c>
      <c r="D3848" s="120" t="s">
        <v>477</v>
      </c>
      <c r="O3848" s="28" t="str">
        <f>IF(D3848="","",IF(COUNTIF(离职清单!C:C,D3848)&gt;0,"已离职","在职"))</f>
        <v>在职</v>
      </c>
      <c r="P3848" s="28" t="str">
        <f>IF(AND(O3848="在职",J3848="是"),COUNTIF(O$2:O3848,"在职"),"")</f>
        <v/>
      </c>
    </row>
    <row r="3849" spans="1:16">
      <c r="A3849" s="14" t="str">
        <f t="shared" si="65"/>
        <v/>
      </c>
      <c r="D3849" s="120" t="s">
        <v>478</v>
      </c>
      <c r="O3849" s="28" t="str">
        <f>IF(D3849="","",IF(COUNTIF(离职清单!C:C,D3849)&gt;0,"已离职","在职"))</f>
        <v>在职</v>
      </c>
      <c r="P3849" s="28" t="str">
        <f>IF(AND(O3849="在职",J3849="是"),COUNTIF(O$2:O3849,"在职"),"")</f>
        <v/>
      </c>
    </row>
    <row r="3850" spans="1:16">
      <c r="A3850" s="10" t="str">
        <f t="shared" si="65"/>
        <v/>
      </c>
      <c r="D3850" s="120" t="s">
        <v>480</v>
      </c>
      <c r="O3850" s="28" t="str">
        <f>IF(D3850="","",IF(COUNTIF(离职清单!C:C,D3850)&gt;0,"已离职","在职"))</f>
        <v>在职</v>
      </c>
      <c r="P3850" s="28" t="str">
        <f>IF(AND(O3850="在职",J3850="是"),COUNTIF(O$2:O3850,"在职"),"")</f>
        <v/>
      </c>
    </row>
    <row r="3851" spans="1:16">
      <c r="A3851" s="14" t="str">
        <f t="shared" si="65"/>
        <v/>
      </c>
      <c r="D3851" s="120" t="s">
        <v>482</v>
      </c>
      <c r="O3851" s="28" t="str">
        <f>IF(D3851="","",IF(COUNTIF(离职清单!C:C,D3851)&gt;0,"已离职","在职"))</f>
        <v>在职</v>
      </c>
      <c r="P3851" s="28" t="str">
        <f>IF(AND(O3851="在职",J3851="是"),COUNTIF(O$2:O3851,"在职"),"")</f>
        <v/>
      </c>
    </row>
    <row r="3852" spans="1:16">
      <c r="A3852" s="10" t="str">
        <f t="shared" si="65"/>
        <v/>
      </c>
      <c r="D3852" s="120" t="s">
        <v>484</v>
      </c>
      <c r="O3852" s="28" t="str">
        <f>IF(D3852="","",IF(COUNTIF(离职清单!C:C,D3852)&gt;0,"已离职","在职"))</f>
        <v>在职</v>
      </c>
      <c r="P3852" s="28" t="str">
        <f>IF(AND(O3852="在职",J3852="是"),COUNTIF(O$2:O3852,"在职"),"")</f>
        <v/>
      </c>
    </row>
    <row r="3853" spans="1:16">
      <c r="A3853" s="14" t="str">
        <f t="shared" si="65"/>
        <v/>
      </c>
      <c r="D3853" s="120" t="s">
        <v>486</v>
      </c>
      <c r="O3853" s="28" t="str">
        <f>IF(D3853="","",IF(COUNTIF(离职清单!C:C,D3853)&gt;0,"已离职","在职"))</f>
        <v>在职</v>
      </c>
      <c r="P3853" s="28" t="str">
        <f>IF(AND(O3853="在职",J3853="是"),COUNTIF(O$2:O3853,"在职"),"")</f>
        <v/>
      </c>
    </row>
    <row r="3854" spans="1:16">
      <c r="A3854" s="10" t="str">
        <f t="shared" si="65"/>
        <v/>
      </c>
      <c r="D3854" s="120" t="s">
        <v>488</v>
      </c>
      <c r="O3854" s="28" t="str">
        <f>IF(D3854="","",IF(COUNTIF(离职清单!C:C,D3854)&gt;0,"已离职","在职"))</f>
        <v>在职</v>
      </c>
      <c r="P3854" s="28" t="str">
        <f>IF(AND(O3854="在职",J3854="是"),COUNTIF(O$2:O3854,"在职"),"")</f>
        <v/>
      </c>
    </row>
    <row r="3855" spans="1:16">
      <c r="A3855" s="14" t="str">
        <f t="shared" si="65"/>
        <v/>
      </c>
      <c r="D3855" s="120" t="s">
        <v>490</v>
      </c>
      <c r="O3855" s="28" t="str">
        <f>IF(D3855="","",IF(COUNTIF(离职清单!C:C,D3855)&gt;0,"已离职","在职"))</f>
        <v>在职</v>
      </c>
      <c r="P3855" s="28" t="str">
        <f>IF(AND(O3855="在职",J3855="是"),COUNTIF(O$2:O3855,"在职"),"")</f>
        <v/>
      </c>
    </row>
    <row r="3856" spans="1:16">
      <c r="A3856" s="10" t="str">
        <f t="shared" si="65"/>
        <v/>
      </c>
      <c r="D3856" s="120" t="s">
        <v>492</v>
      </c>
      <c r="O3856" s="28" t="str">
        <f>IF(D3856="","",IF(COUNTIF(离职清单!C:C,D3856)&gt;0,"已离职","在职"))</f>
        <v>在职</v>
      </c>
      <c r="P3856" s="28" t="str">
        <f>IF(AND(O3856="在职",J3856="是"),COUNTIF(O$2:O3856,"在职"),"")</f>
        <v/>
      </c>
    </row>
    <row r="3857" spans="1:16">
      <c r="A3857" s="14" t="str">
        <f t="shared" si="65"/>
        <v/>
      </c>
      <c r="D3857" s="120" t="s">
        <v>477</v>
      </c>
      <c r="O3857" s="28" t="str">
        <f>IF(D3857="","",IF(COUNTIF(离职清单!C:C,D3857)&gt;0,"已离职","在职"))</f>
        <v>在职</v>
      </c>
      <c r="P3857" s="28" t="str">
        <f>IF(AND(O3857="在职",J3857="是"),COUNTIF(O$2:O3857,"在职"),"")</f>
        <v/>
      </c>
    </row>
    <row r="3858" spans="1:16">
      <c r="A3858" s="10" t="str">
        <f t="shared" si="65"/>
        <v/>
      </c>
      <c r="D3858" s="120" t="s">
        <v>478</v>
      </c>
      <c r="O3858" s="28" t="str">
        <f>IF(D3858="","",IF(COUNTIF(离职清单!C:C,D3858)&gt;0,"已离职","在职"))</f>
        <v>在职</v>
      </c>
      <c r="P3858" s="28" t="str">
        <f>IF(AND(O3858="在职",J3858="是"),COUNTIF(O$2:O3858,"在职"),"")</f>
        <v/>
      </c>
    </row>
    <row r="3859" spans="1:16">
      <c r="A3859" s="14" t="str">
        <f t="shared" si="65"/>
        <v/>
      </c>
      <c r="D3859" s="120" t="s">
        <v>480</v>
      </c>
      <c r="O3859" s="28" t="str">
        <f>IF(D3859="","",IF(COUNTIF(离职清单!C:C,D3859)&gt;0,"已离职","在职"))</f>
        <v>在职</v>
      </c>
      <c r="P3859" s="28" t="str">
        <f>IF(AND(O3859="在职",J3859="是"),COUNTIF(O$2:O3859,"在职"),"")</f>
        <v/>
      </c>
    </row>
    <row r="3860" spans="1:16">
      <c r="A3860" s="10" t="str">
        <f t="shared" si="65"/>
        <v/>
      </c>
      <c r="D3860" s="120" t="s">
        <v>482</v>
      </c>
      <c r="O3860" s="28" t="str">
        <f>IF(D3860="","",IF(COUNTIF(离职清单!C:C,D3860)&gt;0,"已离职","在职"))</f>
        <v>在职</v>
      </c>
      <c r="P3860" s="28" t="str">
        <f>IF(AND(O3860="在职",J3860="是"),COUNTIF(O$2:O3860,"在职"),"")</f>
        <v/>
      </c>
    </row>
    <row r="3861" spans="1:16">
      <c r="A3861" s="14" t="str">
        <f t="shared" si="65"/>
        <v/>
      </c>
      <c r="D3861" s="120" t="s">
        <v>484</v>
      </c>
      <c r="O3861" s="28" t="str">
        <f>IF(D3861="","",IF(COUNTIF(离职清单!C:C,D3861)&gt;0,"已离职","在职"))</f>
        <v>在职</v>
      </c>
      <c r="P3861" s="28" t="str">
        <f>IF(AND(O3861="在职",J3861="是"),COUNTIF(O$2:O3861,"在职"),"")</f>
        <v/>
      </c>
    </row>
    <row r="3862" spans="1:16">
      <c r="A3862" s="10" t="str">
        <f t="shared" si="65"/>
        <v/>
      </c>
      <c r="D3862" s="120" t="s">
        <v>486</v>
      </c>
      <c r="O3862" s="28" t="str">
        <f>IF(D3862="","",IF(COUNTIF(离职清单!C:C,D3862)&gt;0,"已离职","在职"))</f>
        <v>在职</v>
      </c>
      <c r="P3862" s="28" t="str">
        <f>IF(AND(O3862="在职",J3862="是"),COUNTIF(O$2:O3862,"在职"),"")</f>
        <v/>
      </c>
    </row>
    <row r="3863" spans="1:16">
      <c r="A3863" s="14" t="str">
        <f t="shared" si="65"/>
        <v/>
      </c>
      <c r="D3863" s="120" t="s">
        <v>488</v>
      </c>
      <c r="O3863" s="28" t="str">
        <f>IF(D3863="","",IF(COUNTIF(离职清单!C:C,D3863)&gt;0,"已离职","在职"))</f>
        <v>在职</v>
      </c>
      <c r="P3863" s="28" t="str">
        <f>IF(AND(O3863="在职",J3863="是"),COUNTIF(O$2:O3863,"在职"),"")</f>
        <v/>
      </c>
    </row>
    <row r="3864" spans="1:16">
      <c r="A3864" s="10" t="str">
        <f t="shared" si="65"/>
        <v/>
      </c>
      <c r="D3864" s="120" t="s">
        <v>490</v>
      </c>
      <c r="O3864" s="28" t="str">
        <f>IF(D3864="","",IF(COUNTIF(离职清单!C:C,D3864)&gt;0,"已离职","在职"))</f>
        <v>在职</v>
      </c>
      <c r="P3864" s="28" t="str">
        <f>IF(AND(O3864="在职",J3864="是"),COUNTIF(O$2:O3864,"在职"),"")</f>
        <v/>
      </c>
    </row>
    <row r="3865" spans="1:16">
      <c r="A3865" s="14" t="str">
        <f t="shared" si="65"/>
        <v/>
      </c>
      <c r="D3865" s="120" t="s">
        <v>492</v>
      </c>
      <c r="O3865" s="28" t="str">
        <f>IF(D3865="","",IF(COUNTIF(离职清单!C:C,D3865)&gt;0,"已离职","在职"))</f>
        <v>在职</v>
      </c>
      <c r="P3865" s="28" t="str">
        <f>IF(AND(O3865="在职",J3865="是"),COUNTIF(O$2:O3865,"在职"),"")</f>
        <v/>
      </c>
    </row>
    <row r="3866" spans="1:16">
      <c r="A3866" s="10" t="str">
        <f t="shared" si="65"/>
        <v/>
      </c>
      <c r="D3866" s="120" t="s">
        <v>477</v>
      </c>
      <c r="O3866" s="28" t="str">
        <f>IF(D3866="","",IF(COUNTIF(离职清单!C:C,D3866)&gt;0,"已离职","在职"))</f>
        <v>在职</v>
      </c>
      <c r="P3866" s="28" t="str">
        <f>IF(AND(O3866="在职",J3866="是"),COUNTIF(O$2:O3866,"在职"),"")</f>
        <v/>
      </c>
    </row>
    <row r="3867" spans="1:16">
      <c r="A3867" s="14" t="str">
        <f t="shared" si="65"/>
        <v/>
      </c>
      <c r="D3867" s="120" t="s">
        <v>477</v>
      </c>
      <c r="O3867" s="28" t="str">
        <f>IF(D3867="","",IF(COUNTIF(离职清单!C:C,D3867)&gt;0,"已离职","在职"))</f>
        <v>在职</v>
      </c>
      <c r="P3867" s="28" t="str">
        <f>IF(AND(O3867="在职",J3867="是"),COUNTIF(O$2:O3867,"在职"),"")</f>
        <v/>
      </c>
    </row>
    <row r="3868" spans="1:16">
      <c r="A3868" s="10" t="str">
        <f t="shared" si="65"/>
        <v/>
      </c>
      <c r="D3868" s="120" t="s">
        <v>478</v>
      </c>
      <c r="O3868" s="28" t="str">
        <f>IF(D3868="","",IF(COUNTIF(离职清单!C:C,D3868)&gt;0,"已离职","在职"))</f>
        <v>在职</v>
      </c>
      <c r="P3868" s="28" t="str">
        <f>IF(AND(O3868="在职",J3868="是"),COUNTIF(O$2:O3868,"在职"),"")</f>
        <v/>
      </c>
    </row>
    <row r="3869" spans="1:16">
      <c r="A3869" s="14" t="str">
        <f t="shared" si="65"/>
        <v/>
      </c>
      <c r="D3869" s="120" t="s">
        <v>480</v>
      </c>
      <c r="O3869" s="28" t="str">
        <f>IF(D3869="","",IF(COUNTIF(离职清单!C:C,D3869)&gt;0,"已离职","在职"))</f>
        <v>在职</v>
      </c>
      <c r="P3869" s="28" t="str">
        <f>IF(AND(O3869="在职",J3869="是"),COUNTIF(O$2:O3869,"在职"),"")</f>
        <v/>
      </c>
    </row>
    <row r="3870" spans="1:16">
      <c r="A3870" s="10" t="str">
        <f t="shared" si="65"/>
        <v/>
      </c>
      <c r="D3870" s="120" t="s">
        <v>482</v>
      </c>
      <c r="O3870" s="28" t="str">
        <f>IF(D3870="","",IF(COUNTIF(离职清单!C:C,D3870)&gt;0,"已离职","在职"))</f>
        <v>在职</v>
      </c>
      <c r="P3870" s="28" t="str">
        <f>IF(AND(O3870="在职",J3870="是"),COUNTIF(O$2:O3870,"在职"),"")</f>
        <v/>
      </c>
    </row>
    <row r="3871" spans="1:16">
      <c r="A3871" s="14" t="str">
        <f t="shared" si="65"/>
        <v/>
      </c>
      <c r="D3871" s="120" t="s">
        <v>484</v>
      </c>
      <c r="O3871" s="28" t="str">
        <f>IF(D3871="","",IF(COUNTIF(离职清单!C:C,D3871)&gt;0,"已离职","在职"))</f>
        <v>在职</v>
      </c>
      <c r="P3871" s="28" t="str">
        <f>IF(AND(O3871="在职",J3871="是"),COUNTIF(O$2:O3871,"在职"),"")</f>
        <v/>
      </c>
    </row>
    <row r="3872" spans="1:16">
      <c r="A3872" s="10" t="str">
        <f t="shared" si="65"/>
        <v/>
      </c>
      <c r="D3872" s="120" t="s">
        <v>486</v>
      </c>
      <c r="O3872" s="28" t="str">
        <f>IF(D3872="","",IF(COUNTIF(离职清单!C:C,D3872)&gt;0,"已离职","在职"))</f>
        <v>在职</v>
      </c>
      <c r="P3872" s="28" t="str">
        <f>IF(AND(O3872="在职",J3872="是"),COUNTIF(O$2:O3872,"在职"),"")</f>
        <v/>
      </c>
    </row>
    <row r="3873" spans="1:16">
      <c r="A3873" s="14" t="str">
        <f t="shared" si="65"/>
        <v/>
      </c>
      <c r="D3873" s="120" t="s">
        <v>488</v>
      </c>
      <c r="O3873" s="28" t="str">
        <f>IF(D3873="","",IF(COUNTIF(离职清单!C:C,D3873)&gt;0,"已离职","在职"))</f>
        <v>在职</v>
      </c>
      <c r="P3873" s="28" t="str">
        <f>IF(AND(O3873="在职",J3873="是"),COUNTIF(O$2:O3873,"在职"),"")</f>
        <v/>
      </c>
    </row>
    <row r="3874" spans="1:16">
      <c r="A3874" s="10" t="str">
        <f t="shared" si="65"/>
        <v/>
      </c>
      <c r="D3874" s="120" t="s">
        <v>490</v>
      </c>
      <c r="O3874" s="28" t="str">
        <f>IF(D3874="","",IF(COUNTIF(离职清单!C:C,D3874)&gt;0,"已离职","在职"))</f>
        <v>在职</v>
      </c>
      <c r="P3874" s="28" t="str">
        <f>IF(AND(O3874="在职",J3874="是"),COUNTIF(O$2:O3874,"在职"),"")</f>
        <v/>
      </c>
    </row>
    <row r="3875" spans="1:16">
      <c r="A3875" s="14" t="str">
        <f t="shared" si="65"/>
        <v/>
      </c>
      <c r="D3875" s="120" t="s">
        <v>492</v>
      </c>
      <c r="O3875" s="28" t="str">
        <f>IF(D3875="","",IF(COUNTIF(离职清单!C:C,D3875)&gt;0,"已离职","在职"))</f>
        <v>在职</v>
      </c>
      <c r="P3875" s="28" t="str">
        <f>IF(AND(O3875="在职",J3875="是"),COUNTIF(O$2:O3875,"在职"),"")</f>
        <v/>
      </c>
    </row>
    <row r="3876" spans="1:16">
      <c r="A3876" s="10" t="str">
        <f t="shared" si="65"/>
        <v/>
      </c>
      <c r="D3876" s="120" t="s">
        <v>477</v>
      </c>
      <c r="O3876" s="28" t="str">
        <f>IF(D3876="","",IF(COUNTIF(离职清单!C:C,D3876)&gt;0,"已离职","在职"))</f>
        <v>在职</v>
      </c>
      <c r="P3876" s="28" t="str">
        <f>IF(AND(O3876="在职",J3876="是"),COUNTIF(O$2:O3876,"在职"),"")</f>
        <v/>
      </c>
    </row>
    <row r="3877" spans="1:16">
      <c r="A3877" s="14" t="str">
        <f t="shared" si="65"/>
        <v/>
      </c>
      <c r="D3877" s="120" t="s">
        <v>478</v>
      </c>
      <c r="O3877" s="28" t="str">
        <f>IF(D3877="","",IF(COUNTIF(离职清单!C:C,D3877)&gt;0,"已离职","在职"))</f>
        <v>在职</v>
      </c>
      <c r="P3877" s="28" t="str">
        <f>IF(AND(O3877="在职",J3877="是"),COUNTIF(O$2:O3877,"在职"),"")</f>
        <v/>
      </c>
    </row>
    <row r="3878" spans="1:16">
      <c r="A3878" s="10" t="str">
        <f t="shared" si="65"/>
        <v/>
      </c>
      <c r="D3878" s="120" t="s">
        <v>480</v>
      </c>
      <c r="O3878" s="28" t="str">
        <f>IF(D3878="","",IF(COUNTIF(离职清单!C:C,D3878)&gt;0,"已离职","在职"))</f>
        <v>在职</v>
      </c>
      <c r="P3878" s="28" t="str">
        <f>IF(AND(O3878="在职",J3878="是"),COUNTIF(O$2:O3878,"在职"),"")</f>
        <v/>
      </c>
    </row>
    <row r="3879" spans="1:16">
      <c r="A3879" s="14" t="str">
        <f t="shared" si="65"/>
        <v/>
      </c>
      <c r="D3879" s="120" t="s">
        <v>482</v>
      </c>
      <c r="O3879" s="28" t="str">
        <f>IF(D3879="","",IF(COUNTIF(离职清单!C:C,D3879)&gt;0,"已离职","在职"))</f>
        <v>在职</v>
      </c>
      <c r="P3879" s="28" t="str">
        <f>IF(AND(O3879="在职",J3879="是"),COUNTIF(O$2:O3879,"在职"),"")</f>
        <v/>
      </c>
    </row>
    <row r="3880" spans="1:16">
      <c r="A3880" s="10" t="str">
        <f t="shared" si="65"/>
        <v/>
      </c>
      <c r="D3880" s="120" t="s">
        <v>484</v>
      </c>
      <c r="O3880" s="28" t="str">
        <f>IF(D3880="","",IF(COUNTIF(离职清单!C:C,D3880)&gt;0,"已离职","在职"))</f>
        <v>在职</v>
      </c>
      <c r="P3880" s="28" t="str">
        <f>IF(AND(O3880="在职",J3880="是"),COUNTIF(O$2:O3880,"在职"),"")</f>
        <v/>
      </c>
    </row>
    <row r="3881" spans="1:16">
      <c r="A3881" s="14" t="str">
        <f t="shared" si="65"/>
        <v/>
      </c>
      <c r="D3881" s="120" t="s">
        <v>486</v>
      </c>
      <c r="O3881" s="28" t="str">
        <f>IF(D3881="","",IF(COUNTIF(离职清单!C:C,D3881)&gt;0,"已离职","在职"))</f>
        <v>在职</v>
      </c>
      <c r="P3881" s="28" t="str">
        <f>IF(AND(O3881="在职",J3881="是"),COUNTIF(O$2:O3881,"在职"),"")</f>
        <v/>
      </c>
    </row>
    <row r="3882" spans="1:16">
      <c r="A3882" s="10" t="str">
        <f t="shared" si="65"/>
        <v/>
      </c>
      <c r="D3882" s="120" t="s">
        <v>488</v>
      </c>
      <c r="O3882" s="28" t="str">
        <f>IF(D3882="","",IF(COUNTIF(离职清单!C:C,D3882)&gt;0,"已离职","在职"))</f>
        <v>在职</v>
      </c>
      <c r="P3882" s="28" t="str">
        <f>IF(AND(O3882="在职",J3882="是"),COUNTIF(O$2:O3882,"在职"),"")</f>
        <v/>
      </c>
    </row>
    <row r="3883" spans="1:16">
      <c r="A3883" s="14" t="str">
        <f t="shared" si="65"/>
        <v/>
      </c>
      <c r="D3883" s="120" t="s">
        <v>490</v>
      </c>
      <c r="O3883" s="28" t="str">
        <f>IF(D3883="","",IF(COUNTIF(离职清单!C:C,D3883)&gt;0,"已离职","在职"))</f>
        <v>在职</v>
      </c>
      <c r="P3883" s="28" t="str">
        <f>IF(AND(O3883="在职",J3883="是"),COUNTIF(O$2:O3883,"在职"),"")</f>
        <v/>
      </c>
    </row>
    <row r="3884" spans="1:16">
      <c r="A3884" s="10" t="str">
        <f t="shared" ref="A3884:A3947" si="66">IF(B3884&lt;&gt;"",ROW()-1,"")</f>
        <v/>
      </c>
      <c r="D3884" s="120" t="s">
        <v>492</v>
      </c>
      <c r="O3884" s="28" t="str">
        <f>IF(D3884="","",IF(COUNTIF(离职清单!C:C,D3884)&gt;0,"已离职","在职"))</f>
        <v>在职</v>
      </c>
      <c r="P3884" s="28" t="str">
        <f>IF(AND(O3884="在职",J3884="是"),COUNTIF(O$2:O3884,"在职"),"")</f>
        <v/>
      </c>
    </row>
    <row r="3885" spans="1:16">
      <c r="A3885" s="14" t="str">
        <f t="shared" si="66"/>
        <v/>
      </c>
      <c r="D3885" s="120" t="s">
        <v>477</v>
      </c>
      <c r="O3885" s="28" t="str">
        <f>IF(D3885="","",IF(COUNTIF(离职清单!C:C,D3885)&gt;0,"已离职","在职"))</f>
        <v>在职</v>
      </c>
      <c r="P3885" s="28" t="str">
        <f>IF(AND(O3885="在职",J3885="是"),COUNTIF(O$2:O3885,"在职"),"")</f>
        <v/>
      </c>
    </row>
    <row r="3886" spans="1:16">
      <c r="A3886" s="10" t="str">
        <f t="shared" si="66"/>
        <v/>
      </c>
      <c r="D3886" s="120" t="s">
        <v>478</v>
      </c>
      <c r="O3886" s="28" t="str">
        <f>IF(D3886="","",IF(COUNTIF(离职清单!C:C,D3886)&gt;0,"已离职","在职"))</f>
        <v>在职</v>
      </c>
      <c r="P3886" s="28" t="str">
        <f>IF(AND(O3886="在职",J3886="是"),COUNTIF(O$2:O3886,"在职"),"")</f>
        <v/>
      </c>
    </row>
    <row r="3887" spans="1:16">
      <c r="A3887" s="14" t="str">
        <f t="shared" si="66"/>
        <v/>
      </c>
      <c r="D3887" s="120" t="s">
        <v>480</v>
      </c>
      <c r="O3887" s="28" t="str">
        <f>IF(D3887="","",IF(COUNTIF(离职清单!C:C,D3887)&gt;0,"已离职","在职"))</f>
        <v>在职</v>
      </c>
      <c r="P3887" s="28" t="str">
        <f>IF(AND(O3887="在职",J3887="是"),COUNTIF(O$2:O3887,"在职"),"")</f>
        <v/>
      </c>
    </row>
    <row r="3888" spans="1:16">
      <c r="A3888" s="10" t="str">
        <f t="shared" si="66"/>
        <v/>
      </c>
      <c r="D3888" s="120" t="s">
        <v>482</v>
      </c>
      <c r="O3888" s="28" t="str">
        <f>IF(D3888="","",IF(COUNTIF(离职清单!C:C,D3888)&gt;0,"已离职","在职"))</f>
        <v>在职</v>
      </c>
      <c r="P3888" s="28" t="str">
        <f>IF(AND(O3888="在职",J3888="是"),COUNTIF(O$2:O3888,"在职"),"")</f>
        <v/>
      </c>
    </row>
    <row r="3889" spans="1:16">
      <c r="A3889" s="14" t="str">
        <f t="shared" si="66"/>
        <v/>
      </c>
      <c r="D3889" s="120" t="s">
        <v>484</v>
      </c>
      <c r="O3889" s="28" t="str">
        <f>IF(D3889="","",IF(COUNTIF(离职清单!C:C,D3889)&gt;0,"已离职","在职"))</f>
        <v>在职</v>
      </c>
      <c r="P3889" s="28" t="str">
        <f>IF(AND(O3889="在职",J3889="是"),COUNTIF(O$2:O3889,"在职"),"")</f>
        <v/>
      </c>
    </row>
    <row r="3890" spans="1:16">
      <c r="A3890" s="10" t="str">
        <f t="shared" si="66"/>
        <v/>
      </c>
      <c r="D3890" s="120" t="s">
        <v>486</v>
      </c>
      <c r="O3890" s="28" t="str">
        <f>IF(D3890="","",IF(COUNTIF(离职清单!C:C,D3890)&gt;0,"已离职","在职"))</f>
        <v>在职</v>
      </c>
      <c r="P3890" s="28" t="str">
        <f>IF(AND(O3890="在职",J3890="是"),COUNTIF(O$2:O3890,"在职"),"")</f>
        <v/>
      </c>
    </row>
    <row r="3891" spans="1:16">
      <c r="A3891" s="14" t="str">
        <f t="shared" si="66"/>
        <v/>
      </c>
      <c r="D3891" s="120" t="s">
        <v>488</v>
      </c>
      <c r="O3891" s="28" t="str">
        <f>IF(D3891="","",IF(COUNTIF(离职清单!C:C,D3891)&gt;0,"已离职","在职"))</f>
        <v>在职</v>
      </c>
      <c r="P3891" s="28" t="str">
        <f>IF(AND(O3891="在职",J3891="是"),COUNTIF(O$2:O3891,"在职"),"")</f>
        <v/>
      </c>
    </row>
    <row r="3892" spans="1:16">
      <c r="A3892" s="10" t="str">
        <f t="shared" si="66"/>
        <v/>
      </c>
      <c r="D3892" s="120" t="s">
        <v>490</v>
      </c>
      <c r="O3892" s="28" t="str">
        <f>IF(D3892="","",IF(COUNTIF(离职清单!C:C,D3892)&gt;0,"已离职","在职"))</f>
        <v>在职</v>
      </c>
      <c r="P3892" s="28" t="str">
        <f>IF(AND(O3892="在职",J3892="是"),COUNTIF(O$2:O3892,"在职"),"")</f>
        <v/>
      </c>
    </row>
    <row r="3893" spans="1:16">
      <c r="A3893" s="14" t="str">
        <f t="shared" si="66"/>
        <v/>
      </c>
      <c r="D3893" s="120" t="s">
        <v>492</v>
      </c>
      <c r="O3893" s="28" t="str">
        <f>IF(D3893="","",IF(COUNTIF(离职清单!C:C,D3893)&gt;0,"已离职","在职"))</f>
        <v>在职</v>
      </c>
      <c r="P3893" s="28" t="str">
        <f>IF(AND(O3893="在职",J3893="是"),COUNTIF(O$2:O3893,"在职"),"")</f>
        <v/>
      </c>
    </row>
    <row r="3894" spans="1:16">
      <c r="A3894" s="10" t="str">
        <f t="shared" si="66"/>
        <v/>
      </c>
      <c r="D3894" s="120" t="s">
        <v>477</v>
      </c>
      <c r="O3894" s="28" t="str">
        <f>IF(D3894="","",IF(COUNTIF(离职清单!C:C,D3894)&gt;0,"已离职","在职"))</f>
        <v>在职</v>
      </c>
      <c r="P3894" s="28" t="str">
        <f>IF(AND(O3894="在职",J3894="是"),COUNTIF(O$2:O3894,"在职"),"")</f>
        <v/>
      </c>
    </row>
    <row r="3895" spans="1:16">
      <c r="A3895" s="14" t="str">
        <f t="shared" si="66"/>
        <v/>
      </c>
      <c r="D3895" s="120" t="s">
        <v>478</v>
      </c>
      <c r="O3895" s="28" t="str">
        <f>IF(D3895="","",IF(COUNTIF(离职清单!C:C,D3895)&gt;0,"已离职","在职"))</f>
        <v>在职</v>
      </c>
      <c r="P3895" s="28" t="str">
        <f>IF(AND(O3895="在职",J3895="是"),COUNTIF(O$2:O3895,"在职"),"")</f>
        <v/>
      </c>
    </row>
    <row r="3896" spans="1:16">
      <c r="A3896" s="10" t="str">
        <f t="shared" si="66"/>
        <v/>
      </c>
      <c r="D3896" s="120" t="s">
        <v>480</v>
      </c>
      <c r="O3896" s="28" t="str">
        <f>IF(D3896="","",IF(COUNTIF(离职清单!C:C,D3896)&gt;0,"已离职","在职"))</f>
        <v>在职</v>
      </c>
      <c r="P3896" s="28" t="str">
        <f>IF(AND(O3896="在职",J3896="是"),COUNTIF(O$2:O3896,"在职"),"")</f>
        <v/>
      </c>
    </row>
    <row r="3897" spans="1:16">
      <c r="A3897" s="14" t="str">
        <f t="shared" si="66"/>
        <v/>
      </c>
      <c r="D3897" s="120" t="s">
        <v>482</v>
      </c>
      <c r="O3897" s="28" t="str">
        <f>IF(D3897="","",IF(COUNTIF(离职清单!C:C,D3897)&gt;0,"已离职","在职"))</f>
        <v>在职</v>
      </c>
      <c r="P3897" s="28" t="str">
        <f>IF(AND(O3897="在职",J3897="是"),COUNTIF(O$2:O3897,"在职"),"")</f>
        <v/>
      </c>
    </row>
    <row r="3898" spans="1:16">
      <c r="A3898" s="10" t="str">
        <f t="shared" si="66"/>
        <v/>
      </c>
      <c r="D3898" s="120" t="s">
        <v>484</v>
      </c>
      <c r="O3898" s="28" t="str">
        <f>IF(D3898="","",IF(COUNTIF(离职清单!C:C,D3898)&gt;0,"已离职","在职"))</f>
        <v>在职</v>
      </c>
      <c r="P3898" s="28" t="str">
        <f>IF(AND(O3898="在职",J3898="是"),COUNTIF(O$2:O3898,"在职"),"")</f>
        <v/>
      </c>
    </row>
    <row r="3899" spans="1:16">
      <c r="A3899" s="14" t="str">
        <f t="shared" si="66"/>
        <v/>
      </c>
      <c r="D3899" s="120" t="s">
        <v>486</v>
      </c>
      <c r="O3899" s="28" t="str">
        <f>IF(D3899="","",IF(COUNTIF(离职清单!C:C,D3899)&gt;0,"已离职","在职"))</f>
        <v>在职</v>
      </c>
      <c r="P3899" s="28" t="str">
        <f>IF(AND(O3899="在职",J3899="是"),COUNTIF(O$2:O3899,"在职"),"")</f>
        <v/>
      </c>
    </row>
    <row r="3900" spans="1:16">
      <c r="A3900" s="10" t="str">
        <f t="shared" si="66"/>
        <v/>
      </c>
      <c r="D3900" s="120" t="s">
        <v>488</v>
      </c>
      <c r="O3900" s="28" t="str">
        <f>IF(D3900="","",IF(COUNTIF(离职清单!C:C,D3900)&gt;0,"已离职","在职"))</f>
        <v>在职</v>
      </c>
      <c r="P3900" s="28" t="str">
        <f>IF(AND(O3900="在职",J3900="是"),COUNTIF(O$2:O3900,"在职"),"")</f>
        <v/>
      </c>
    </row>
    <row r="3901" spans="1:16">
      <c r="A3901" s="14" t="str">
        <f t="shared" si="66"/>
        <v/>
      </c>
      <c r="D3901" s="120" t="s">
        <v>490</v>
      </c>
      <c r="O3901" s="28" t="str">
        <f>IF(D3901="","",IF(COUNTIF(离职清单!C:C,D3901)&gt;0,"已离职","在职"))</f>
        <v>在职</v>
      </c>
      <c r="P3901" s="28" t="str">
        <f>IF(AND(O3901="在职",J3901="是"),COUNTIF(O$2:O3901,"在职"),"")</f>
        <v/>
      </c>
    </row>
    <row r="3902" spans="1:16">
      <c r="A3902" s="10" t="str">
        <f t="shared" si="66"/>
        <v/>
      </c>
      <c r="D3902" s="120" t="s">
        <v>492</v>
      </c>
      <c r="O3902" s="28" t="str">
        <f>IF(D3902="","",IF(COUNTIF(离职清单!C:C,D3902)&gt;0,"已离职","在职"))</f>
        <v>在职</v>
      </c>
      <c r="P3902" s="28" t="str">
        <f>IF(AND(O3902="在职",J3902="是"),COUNTIF(O$2:O3902,"在职"),"")</f>
        <v/>
      </c>
    </row>
    <row r="3903" spans="1:16">
      <c r="A3903" s="14" t="str">
        <f t="shared" si="66"/>
        <v/>
      </c>
      <c r="D3903" s="120" t="s">
        <v>477</v>
      </c>
      <c r="O3903" s="28" t="str">
        <f>IF(D3903="","",IF(COUNTIF(离职清单!C:C,D3903)&gt;0,"已离职","在职"))</f>
        <v>在职</v>
      </c>
      <c r="P3903" s="28" t="str">
        <f>IF(AND(O3903="在职",J3903="是"),COUNTIF(O$2:O3903,"在职"),"")</f>
        <v/>
      </c>
    </row>
    <row r="3904" spans="1:16">
      <c r="A3904" s="10" t="str">
        <f t="shared" si="66"/>
        <v/>
      </c>
      <c r="D3904" s="120" t="s">
        <v>478</v>
      </c>
      <c r="O3904" s="28" t="str">
        <f>IF(D3904="","",IF(COUNTIF(离职清单!C:C,D3904)&gt;0,"已离职","在职"))</f>
        <v>在职</v>
      </c>
      <c r="P3904" s="28" t="str">
        <f>IF(AND(O3904="在职",J3904="是"),COUNTIF(O$2:O3904,"在职"),"")</f>
        <v/>
      </c>
    </row>
    <row r="3905" spans="1:16">
      <c r="A3905" s="14" t="str">
        <f t="shared" si="66"/>
        <v/>
      </c>
      <c r="D3905" s="120" t="s">
        <v>480</v>
      </c>
      <c r="O3905" s="28" t="str">
        <f>IF(D3905="","",IF(COUNTIF(离职清单!C:C,D3905)&gt;0,"已离职","在职"))</f>
        <v>在职</v>
      </c>
      <c r="P3905" s="28" t="str">
        <f>IF(AND(O3905="在职",J3905="是"),COUNTIF(O$2:O3905,"在职"),"")</f>
        <v/>
      </c>
    </row>
    <row r="3906" spans="1:16">
      <c r="A3906" s="10" t="str">
        <f t="shared" si="66"/>
        <v/>
      </c>
      <c r="D3906" s="120" t="s">
        <v>482</v>
      </c>
      <c r="O3906" s="28" t="str">
        <f>IF(D3906="","",IF(COUNTIF(离职清单!C:C,D3906)&gt;0,"已离职","在职"))</f>
        <v>在职</v>
      </c>
      <c r="P3906" s="28" t="str">
        <f>IF(AND(O3906="在职",J3906="是"),COUNTIF(O$2:O3906,"在职"),"")</f>
        <v/>
      </c>
    </row>
    <row r="3907" spans="1:16">
      <c r="A3907" s="14" t="str">
        <f t="shared" si="66"/>
        <v/>
      </c>
      <c r="D3907" s="120" t="s">
        <v>484</v>
      </c>
      <c r="O3907" s="28" t="str">
        <f>IF(D3907="","",IF(COUNTIF(离职清单!C:C,D3907)&gt;0,"已离职","在职"))</f>
        <v>在职</v>
      </c>
      <c r="P3907" s="28" t="str">
        <f>IF(AND(O3907="在职",J3907="是"),COUNTIF(O$2:O3907,"在职"),"")</f>
        <v/>
      </c>
    </row>
    <row r="3908" spans="1:16">
      <c r="A3908" s="10" t="str">
        <f t="shared" si="66"/>
        <v/>
      </c>
      <c r="D3908" s="120" t="s">
        <v>486</v>
      </c>
      <c r="O3908" s="28" t="str">
        <f>IF(D3908="","",IF(COUNTIF(离职清单!C:C,D3908)&gt;0,"已离职","在职"))</f>
        <v>在职</v>
      </c>
      <c r="P3908" s="28" t="str">
        <f>IF(AND(O3908="在职",J3908="是"),COUNTIF(O$2:O3908,"在职"),"")</f>
        <v/>
      </c>
    </row>
    <row r="3909" spans="1:16">
      <c r="A3909" s="14" t="str">
        <f t="shared" si="66"/>
        <v/>
      </c>
      <c r="D3909" s="120" t="s">
        <v>488</v>
      </c>
      <c r="O3909" s="28" t="str">
        <f>IF(D3909="","",IF(COUNTIF(离职清单!C:C,D3909)&gt;0,"已离职","在职"))</f>
        <v>在职</v>
      </c>
      <c r="P3909" s="28" t="str">
        <f>IF(AND(O3909="在职",J3909="是"),COUNTIF(O$2:O3909,"在职"),"")</f>
        <v/>
      </c>
    </row>
    <row r="3910" spans="1:16">
      <c r="A3910" s="10" t="str">
        <f t="shared" si="66"/>
        <v/>
      </c>
      <c r="D3910" s="120" t="s">
        <v>490</v>
      </c>
      <c r="O3910" s="28" t="str">
        <f>IF(D3910="","",IF(COUNTIF(离职清单!C:C,D3910)&gt;0,"已离职","在职"))</f>
        <v>在职</v>
      </c>
      <c r="P3910" s="28" t="str">
        <f>IF(AND(O3910="在职",J3910="是"),COUNTIF(O$2:O3910,"在职"),"")</f>
        <v/>
      </c>
    </row>
    <row r="3911" spans="1:16">
      <c r="A3911" s="14" t="str">
        <f t="shared" si="66"/>
        <v/>
      </c>
      <c r="D3911" s="120" t="s">
        <v>492</v>
      </c>
      <c r="O3911" s="28" t="str">
        <f>IF(D3911="","",IF(COUNTIF(离职清单!C:C,D3911)&gt;0,"已离职","在职"))</f>
        <v>在职</v>
      </c>
      <c r="P3911" s="28" t="str">
        <f>IF(AND(O3911="在职",J3911="是"),COUNTIF(O$2:O3911,"在职"),"")</f>
        <v/>
      </c>
    </row>
    <row r="3912" spans="1:16">
      <c r="A3912" s="10" t="str">
        <f t="shared" si="66"/>
        <v/>
      </c>
      <c r="D3912" s="120" t="s">
        <v>477</v>
      </c>
      <c r="O3912" s="28" t="str">
        <f>IF(D3912="","",IF(COUNTIF(离职清单!C:C,D3912)&gt;0,"已离职","在职"))</f>
        <v>在职</v>
      </c>
      <c r="P3912" s="28" t="str">
        <f>IF(AND(O3912="在职",J3912="是"),COUNTIF(O$2:O3912,"在职"),"")</f>
        <v/>
      </c>
    </row>
    <row r="3913" spans="1:16">
      <c r="A3913" s="14" t="str">
        <f t="shared" si="66"/>
        <v/>
      </c>
      <c r="D3913" s="120" t="s">
        <v>478</v>
      </c>
      <c r="O3913" s="28" t="str">
        <f>IF(D3913="","",IF(COUNTIF(离职清单!C:C,D3913)&gt;0,"已离职","在职"))</f>
        <v>在职</v>
      </c>
      <c r="P3913" s="28" t="str">
        <f>IF(AND(O3913="在职",J3913="是"),COUNTIF(O$2:O3913,"在职"),"")</f>
        <v/>
      </c>
    </row>
    <row r="3914" spans="1:16">
      <c r="A3914" s="10" t="str">
        <f t="shared" si="66"/>
        <v/>
      </c>
      <c r="D3914" s="120" t="s">
        <v>480</v>
      </c>
      <c r="O3914" s="28" t="str">
        <f>IF(D3914="","",IF(COUNTIF(离职清单!C:C,D3914)&gt;0,"已离职","在职"))</f>
        <v>在职</v>
      </c>
      <c r="P3914" s="28" t="str">
        <f>IF(AND(O3914="在职",J3914="是"),COUNTIF(O$2:O3914,"在职"),"")</f>
        <v/>
      </c>
    </row>
    <row r="3915" spans="1:16">
      <c r="A3915" s="14" t="str">
        <f t="shared" si="66"/>
        <v/>
      </c>
      <c r="D3915" s="120" t="s">
        <v>482</v>
      </c>
      <c r="O3915" s="28" t="str">
        <f>IF(D3915="","",IF(COUNTIF(离职清单!C:C,D3915)&gt;0,"已离职","在职"))</f>
        <v>在职</v>
      </c>
      <c r="P3915" s="28" t="str">
        <f>IF(AND(O3915="在职",J3915="是"),COUNTIF(O$2:O3915,"在职"),"")</f>
        <v/>
      </c>
    </row>
    <row r="3916" spans="1:16">
      <c r="A3916" s="10" t="str">
        <f t="shared" si="66"/>
        <v/>
      </c>
      <c r="D3916" s="120" t="s">
        <v>484</v>
      </c>
      <c r="O3916" s="28" t="str">
        <f>IF(D3916="","",IF(COUNTIF(离职清单!C:C,D3916)&gt;0,"已离职","在职"))</f>
        <v>在职</v>
      </c>
      <c r="P3916" s="28" t="str">
        <f>IF(AND(O3916="在职",J3916="是"),COUNTIF(O$2:O3916,"在职"),"")</f>
        <v/>
      </c>
    </row>
    <row r="3917" spans="1:16">
      <c r="A3917" s="14" t="str">
        <f t="shared" si="66"/>
        <v/>
      </c>
      <c r="D3917" s="120" t="s">
        <v>486</v>
      </c>
      <c r="O3917" s="28" t="str">
        <f>IF(D3917="","",IF(COUNTIF(离职清单!C:C,D3917)&gt;0,"已离职","在职"))</f>
        <v>在职</v>
      </c>
      <c r="P3917" s="28" t="str">
        <f>IF(AND(O3917="在职",J3917="是"),COUNTIF(O$2:O3917,"在职"),"")</f>
        <v/>
      </c>
    </row>
    <row r="3918" spans="1:16">
      <c r="A3918" s="10" t="str">
        <f t="shared" si="66"/>
        <v/>
      </c>
      <c r="D3918" s="120" t="s">
        <v>488</v>
      </c>
      <c r="O3918" s="28" t="str">
        <f>IF(D3918="","",IF(COUNTIF(离职清单!C:C,D3918)&gt;0,"已离职","在职"))</f>
        <v>在职</v>
      </c>
      <c r="P3918" s="28" t="str">
        <f>IF(AND(O3918="在职",J3918="是"),COUNTIF(O$2:O3918,"在职"),"")</f>
        <v/>
      </c>
    </row>
    <row r="3919" spans="1:16">
      <c r="A3919" s="14" t="str">
        <f t="shared" si="66"/>
        <v/>
      </c>
      <c r="D3919" s="120" t="s">
        <v>490</v>
      </c>
      <c r="O3919" s="28" t="str">
        <f>IF(D3919="","",IF(COUNTIF(离职清单!C:C,D3919)&gt;0,"已离职","在职"))</f>
        <v>在职</v>
      </c>
      <c r="P3919" s="28" t="str">
        <f>IF(AND(O3919="在职",J3919="是"),COUNTIF(O$2:O3919,"在职"),"")</f>
        <v/>
      </c>
    </row>
    <row r="3920" spans="1:16">
      <c r="A3920" s="10" t="str">
        <f t="shared" si="66"/>
        <v/>
      </c>
      <c r="D3920" s="120" t="s">
        <v>492</v>
      </c>
      <c r="O3920" s="28" t="str">
        <f>IF(D3920="","",IF(COUNTIF(离职清单!C:C,D3920)&gt;0,"已离职","在职"))</f>
        <v>在职</v>
      </c>
      <c r="P3920" s="28" t="str">
        <f>IF(AND(O3920="在职",J3920="是"),COUNTIF(O$2:O3920,"在职"),"")</f>
        <v/>
      </c>
    </row>
    <row r="3921" spans="1:16">
      <c r="A3921" s="14" t="str">
        <f t="shared" si="66"/>
        <v/>
      </c>
      <c r="D3921" s="120" t="s">
        <v>477</v>
      </c>
      <c r="O3921" s="28" t="str">
        <f>IF(D3921="","",IF(COUNTIF(离职清单!C:C,D3921)&gt;0,"已离职","在职"))</f>
        <v>在职</v>
      </c>
      <c r="P3921" s="28" t="str">
        <f>IF(AND(O3921="在职",J3921="是"),COUNTIF(O$2:O3921,"在职"),"")</f>
        <v/>
      </c>
    </row>
    <row r="3922" spans="1:16">
      <c r="A3922" s="10" t="str">
        <f t="shared" si="66"/>
        <v/>
      </c>
      <c r="D3922" s="120" t="s">
        <v>477</v>
      </c>
      <c r="O3922" s="28" t="str">
        <f>IF(D3922="","",IF(COUNTIF(离职清单!C:C,D3922)&gt;0,"已离职","在职"))</f>
        <v>在职</v>
      </c>
      <c r="P3922" s="28" t="str">
        <f>IF(AND(O3922="在职",J3922="是"),COUNTIF(O$2:O3922,"在职"),"")</f>
        <v/>
      </c>
    </row>
    <row r="3923" spans="1:16">
      <c r="A3923" s="14" t="str">
        <f t="shared" si="66"/>
        <v/>
      </c>
      <c r="D3923" s="120" t="s">
        <v>478</v>
      </c>
      <c r="O3923" s="28" t="str">
        <f>IF(D3923="","",IF(COUNTIF(离职清单!C:C,D3923)&gt;0,"已离职","在职"))</f>
        <v>在职</v>
      </c>
      <c r="P3923" s="28" t="str">
        <f>IF(AND(O3923="在职",J3923="是"),COUNTIF(O$2:O3923,"在职"),"")</f>
        <v/>
      </c>
    </row>
    <row r="3924" spans="1:16">
      <c r="A3924" s="10" t="str">
        <f t="shared" si="66"/>
        <v/>
      </c>
      <c r="D3924" s="120" t="s">
        <v>480</v>
      </c>
      <c r="O3924" s="28" t="str">
        <f>IF(D3924="","",IF(COUNTIF(离职清单!C:C,D3924)&gt;0,"已离职","在职"))</f>
        <v>在职</v>
      </c>
      <c r="P3924" s="28" t="str">
        <f>IF(AND(O3924="在职",J3924="是"),COUNTIF(O$2:O3924,"在职"),"")</f>
        <v/>
      </c>
    </row>
    <row r="3925" spans="1:16">
      <c r="A3925" s="14" t="str">
        <f t="shared" si="66"/>
        <v/>
      </c>
      <c r="D3925" s="120" t="s">
        <v>482</v>
      </c>
      <c r="O3925" s="28" t="str">
        <f>IF(D3925="","",IF(COUNTIF(离职清单!C:C,D3925)&gt;0,"已离职","在职"))</f>
        <v>在职</v>
      </c>
      <c r="P3925" s="28" t="str">
        <f>IF(AND(O3925="在职",J3925="是"),COUNTIF(O$2:O3925,"在职"),"")</f>
        <v/>
      </c>
    </row>
    <row r="3926" spans="1:16">
      <c r="A3926" s="10" t="str">
        <f t="shared" si="66"/>
        <v/>
      </c>
      <c r="D3926" s="120" t="s">
        <v>484</v>
      </c>
      <c r="O3926" s="28" t="str">
        <f>IF(D3926="","",IF(COUNTIF(离职清单!C:C,D3926)&gt;0,"已离职","在职"))</f>
        <v>在职</v>
      </c>
      <c r="P3926" s="28" t="str">
        <f>IF(AND(O3926="在职",J3926="是"),COUNTIF(O$2:O3926,"在职"),"")</f>
        <v/>
      </c>
    </row>
    <row r="3927" spans="1:16">
      <c r="A3927" s="14" t="str">
        <f t="shared" si="66"/>
        <v/>
      </c>
      <c r="D3927" s="120" t="s">
        <v>486</v>
      </c>
      <c r="O3927" s="28" t="str">
        <f>IF(D3927="","",IF(COUNTIF(离职清单!C:C,D3927)&gt;0,"已离职","在职"))</f>
        <v>在职</v>
      </c>
      <c r="P3927" s="28" t="str">
        <f>IF(AND(O3927="在职",J3927="是"),COUNTIF(O$2:O3927,"在职"),"")</f>
        <v/>
      </c>
    </row>
    <row r="3928" spans="1:16">
      <c r="A3928" s="10" t="str">
        <f t="shared" si="66"/>
        <v/>
      </c>
      <c r="D3928" s="120" t="s">
        <v>488</v>
      </c>
      <c r="O3928" s="28" t="str">
        <f>IF(D3928="","",IF(COUNTIF(离职清单!C:C,D3928)&gt;0,"已离职","在职"))</f>
        <v>在职</v>
      </c>
      <c r="P3928" s="28" t="str">
        <f>IF(AND(O3928="在职",J3928="是"),COUNTIF(O$2:O3928,"在职"),"")</f>
        <v/>
      </c>
    </row>
    <row r="3929" spans="1:16">
      <c r="A3929" s="14" t="str">
        <f t="shared" si="66"/>
        <v/>
      </c>
      <c r="D3929" s="120" t="s">
        <v>490</v>
      </c>
      <c r="O3929" s="28" t="str">
        <f>IF(D3929="","",IF(COUNTIF(离职清单!C:C,D3929)&gt;0,"已离职","在职"))</f>
        <v>在职</v>
      </c>
      <c r="P3929" s="28" t="str">
        <f>IF(AND(O3929="在职",J3929="是"),COUNTIF(O$2:O3929,"在职"),"")</f>
        <v/>
      </c>
    </row>
    <row r="3930" spans="1:16">
      <c r="A3930" s="10" t="str">
        <f t="shared" si="66"/>
        <v/>
      </c>
      <c r="D3930" s="120" t="s">
        <v>492</v>
      </c>
      <c r="O3930" s="28" t="str">
        <f>IF(D3930="","",IF(COUNTIF(离职清单!C:C,D3930)&gt;0,"已离职","在职"))</f>
        <v>在职</v>
      </c>
      <c r="P3930" s="28" t="str">
        <f>IF(AND(O3930="在职",J3930="是"),COUNTIF(O$2:O3930,"在职"),"")</f>
        <v/>
      </c>
    </row>
    <row r="3931" spans="1:16">
      <c r="A3931" s="14" t="str">
        <f t="shared" si="66"/>
        <v/>
      </c>
      <c r="D3931" s="120" t="s">
        <v>477</v>
      </c>
      <c r="O3931" s="28" t="str">
        <f>IF(D3931="","",IF(COUNTIF(离职清单!C:C,D3931)&gt;0,"已离职","在职"))</f>
        <v>在职</v>
      </c>
      <c r="P3931" s="28" t="str">
        <f>IF(AND(O3931="在职",J3931="是"),COUNTIF(O$2:O3931,"在职"),"")</f>
        <v/>
      </c>
    </row>
    <row r="3932" spans="1:16">
      <c r="A3932" s="10" t="str">
        <f t="shared" si="66"/>
        <v/>
      </c>
      <c r="D3932" s="120" t="s">
        <v>478</v>
      </c>
      <c r="O3932" s="28" t="str">
        <f>IF(D3932="","",IF(COUNTIF(离职清单!C:C,D3932)&gt;0,"已离职","在职"))</f>
        <v>在职</v>
      </c>
      <c r="P3932" s="28" t="str">
        <f>IF(AND(O3932="在职",J3932="是"),COUNTIF(O$2:O3932,"在职"),"")</f>
        <v/>
      </c>
    </row>
    <row r="3933" spans="1:16">
      <c r="A3933" s="14" t="str">
        <f t="shared" si="66"/>
        <v/>
      </c>
      <c r="D3933" s="120" t="s">
        <v>480</v>
      </c>
      <c r="O3933" s="28" t="str">
        <f>IF(D3933="","",IF(COUNTIF(离职清单!C:C,D3933)&gt;0,"已离职","在职"))</f>
        <v>在职</v>
      </c>
      <c r="P3933" s="28" t="str">
        <f>IF(AND(O3933="在职",J3933="是"),COUNTIF(O$2:O3933,"在职"),"")</f>
        <v/>
      </c>
    </row>
    <row r="3934" spans="1:16">
      <c r="A3934" s="10" t="str">
        <f t="shared" si="66"/>
        <v/>
      </c>
      <c r="D3934" s="120" t="s">
        <v>482</v>
      </c>
      <c r="O3934" s="28" t="str">
        <f>IF(D3934="","",IF(COUNTIF(离职清单!C:C,D3934)&gt;0,"已离职","在职"))</f>
        <v>在职</v>
      </c>
      <c r="P3934" s="28" t="str">
        <f>IF(AND(O3934="在职",J3934="是"),COUNTIF(O$2:O3934,"在职"),"")</f>
        <v/>
      </c>
    </row>
    <row r="3935" spans="1:16">
      <c r="A3935" s="14" t="str">
        <f t="shared" si="66"/>
        <v/>
      </c>
      <c r="D3935" s="120" t="s">
        <v>484</v>
      </c>
      <c r="O3935" s="28" t="str">
        <f>IF(D3935="","",IF(COUNTIF(离职清单!C:C,D3935)&gt;0,"已离职","在职"))</f>
        <v>在职</v>
      </c>
      <c r="P3935" s="28" t="str">
        <f>IF(AND(O3935="在职",J3935="是"),COUNTIF(O$2:O3935,"在职"),"")</f>
        <v/>
      </c>
    </row>
    <row r="3936" spans="1:16">
      <c r="A3936" s="10" t="str">
        <f t="shared" si="66"/>
        <v/>
      </c>
      <c r="D3936" s="120" t="s">
        <v>486</v>
      </c>
      <c r="O3936" s="28" t="str">
        <f>IF(D3936="","",IF(COUNTIF(离职清单!C:C,D3936)&gt;0,"已离职","在职"))</f>
        <v>在职</v>
      </c>
      <c r="P3936" s="28" t="str">
        <f>IF(AND(O3936="在职",J3936="是"),COUNTIF(O$2:O3936,"在职"),"")</f>
        <v/>
      </c>
    </row>
    <row r="3937" spans="1:16">
      <c r="A3937" s="14" t="str">
        <f t="shared" si="66"/>
        <v/>
      </c>
      <c r="D3937" s="120" t="s">
        <v>488</v>
      </c>
      <c r="O3937" s="28" t="str">
        <f>IF(D3937="","",IF(COUNTIF(离职清单!C:C,D3937)&gt;0,"已离职","在职"))</f>
        <v>在职</v>
      </c>
      <c r="P3937" s="28" t="str">
        <f>IF(AND(O3937="在职",J3937="是"),COUNTIF(O$2:O3937,"在职"),"")</f>
        <v/>
      </c>
    </row>
    <row r="3938" spans="1:16">
      <c r="A3938" s="10" t="str">
        <f t="shared" si="66"/>
        <v/>
      </c>
      <c r="D3938" s="120" t="s">
        <v>490</v>
      </c>
      <c r="O3938" s="28" t="str">
        <f>IF(D3938="","",IF(COUNTIF(离职清单!C:C,D3938)&gt;0,"已离职","在职"))</f>
        <v>在职</v>
      </c>
      <c r="P3938" s="28" t="str">
        <f>IF(AND(O3938="在职",J3938="是"),COUNTIF(O$2:O3938,"在职"),"")</f>
        <v/>
      </c>
    </row>
    <row r="3939" spans="1:16">
      <c r="A3939" s="14" t="str">
        <f t="shared" si="66"/>
        <v/>
      </c>
      <c r="D3939" s="120" t="s">
        <v>492</v>
      </c>
      <c r="O3939" s="28" t="str">
        <f>IF(D3939="","",IF(COUNTIF(离职清单!C:C,D3939)&gt;0,"已离职","在职"))</f>
        <v>在职</v>
      </c>
      <c r="P3939" s="28" t="str">
        <f>IF(AND(O3939="在职",J3939="是"),COUNTIF(O$2:O3939,"在职"),"")</f>
        <v/>
      </c>
    </row>
    <row r="3940" spans="1:16">
      <c r="A3940" s="10" t="str">
        <f t="shared" si="66"/>
        <v/>
      </c>
      <c r="D3940" s="120" t="s">
        <v>477</v>
      </c>
      <c r="O3940" s="28" t="str">
        <f>IF(D3940="","",IF(COUNTIF(离职清单!C:C,D3940)&gt;0,"已离职","在职"))</f>
        <v>在职</v>
      </c>
      <c r="P3940" s="28" t="str">
        <f>IF(AND(O3940="在职",J3940="是"),COUNTIF(O$2:O3940,"在职"),"")</f>
        <v/>
      </c>
    </row>
    <row r="3941" spans="1:16">
      <c r="A3941" s="14" t="str">
        <f t="shared" si="66"/>
        <v/>
      </c>
      <c r="D3941" s="120" t="s">
        <v>478</v>
      </c>
      <c r="O3941" s="28" t="str">
        <f>IF(D3941="","",IF(COUNTIF(离职清单!C:C,D3941)&gt;0,"已离职","在职"))</f>
        <v>在职</v>
      </c>
      <c r="P3941" s="28" t="str">
        <f>IF(AND(O3941="在职",J3941="是"),COUNTIF(O$2:O3941,"在职"),"")</f>
        <v/>
      </c>
    </row>
    <row r="3942" spans="1:16">
      <c r="A3942" s="10" t="str">
        <f t="shared" si="66"/>
        <v/>
      </c>
      <c r="D3942" s="120" t="s">
        <v>480</v>
      </c>
      <c r="O3942" s="28" t="str">
        <f>IF(D3942="","",IF(COUNTIF(离职清单!C:C,D3942)&gt;0,"已离职","在职"))</f>
        <v>在职</v>
      </c>
      <c r="P3942" s="28" t="str">
        <f>IF(AND(O3942="在职",J3942="是"),COUNTIF(O$2:O3942,"在职"),"")</f>
        <v/>
      </c>
    </row>
    <row r="3943" spans="1:16">
      <c r="A3943" s="14" t="str">
        <f t="shared" si="66"/>
        <v/>
      </c>
      <c r="D3943" s="120" t="s">
        <v>482</v>
      </c>
      <c r="O3943" s="28" t="str">
        <f>IF(D3943="","",IF(COUNTIF(离职清单!C:C,D3943)&gt;0,"已离职","在职"))</f>
        <v>在职</v>
      </c>
      <c r="P3943" s="28" t="str">
        <f>IF(AND(O3943="在职",J3943="是"),COUNTIF(O$2:O3943,"在职"),"")</f>
        <v/>
      </c>
    </row>
    <row r="3944" spans="1:16">
      <c r="A3944" s="10" t="str">
        <f t="shared" si="66"/>
        <v/>
      </c>
      <c r="D3944" s="120" t="s">
        <v>484</v>
      </c>
      <c r="O3944" s="28" t="str">
        <f>IF(D3944="","",IF(COUNTIF(离职清单!C:C,D3944)&gt;0,"已离职","在职"))</f>
        <v>在职</v>
      </c>
      <c r="P3944" s="28" t="str">
        <f>IF(AND(O3944="在职",J3944="是"),COUNTIF(O$2:O3944,"在职"),"")</f>
        <v/>
      </c>
    </row>
    <row r="3945" spans="1:16">
      <c r="A3945" s="14" t="str">
        <f t="shared" si="66"/>
        <v/>
      </c>
      <c r="D3945" s="120" t="s">
        <v>486</v>
      </c>
      <c r="O3945" s="28" t="str">
        <f>IF(D3945="","",IF(COUNTIF(离职清单!C:C,D3945)&gt;0,"已离职","在职"))</f>
        <v>在职</v>
      </c>
      <c r="P3945" s="28" t="str">
        <f>IF(AND(O3945="在职",J3945="是"),COUNTIF(O$2:O3945,"在职"),"")</f>
        <v/>
      </c>
    </row>
    <row r="3946" spans="1:16">
      <c r="A3946" s="10" t="str">
        <f t="shared" si="66"/>
        <v/>
      </c>
      <c r="D3946" s="120" t="s">
        <v>488</v>
      </c>
      <c r="O3946" s="28" t="str">
        <f>IF(D3946="","",IF(COUNTIF(离职清单!C:C,D3946)&gt;0,"已离职","在职"))</f>
        <v>在职</v>
      </c>
      <c r="P3946" s="28" t="str">
        <f>IF(AND(O3946="在职",J3946="是"),COUNTIF(O$2:O3946,"在职"),"")</f>
        <v/>
      </c>
    </row>
    <row r="3947" spans="1:16">
      <c r="A3947" s="14" t="str">
        <f t="shared" si="66"/>
        <v/>
      </c>
      <c r="D3947" s="120" t="s">
        <v>490</v>
      </c>
      <c r="O3947" s="28" t="str">
        <f>IF(D3947="","",IF(COUNTIF(离职清单!C:C,D3947)&gt;0,"已离职","在职"))</f>
        <v>在职</v>
      </c>
      <c r="P3947" s="28" t="str">
        <f>IF(AND(O3947="在职",J3947="是"),COUNTIF(O$2:O3947,"在职"),"")</f>
        <v/>
      </c>
    </row>
    <row r="3948" spans="1:16">
      <c r="A3948" s="10" t="str">
        <f t="shared" ref="A3948:A4011" si="67">IF(B3948&lt;&gt;"",ROW()-1,"")</f>
        <v/>
      </c>
      <c r="D3948" s="120" t="s">
        <v>492</v>
      </c>
      <c r="O3948" s="28" t="str">
        <f>IF(D3948="","",IF(COUNTIF(离职清单!C:C,D3948)&gt;0,"已离职","在职"))</f>
        <v>在职</v>
      </c>
      <c r="P3948" s="28" t="str">
        <f>IF(AND(O3948="在职",J3948="是"),COUNTIF(O$2:O3948,"在职"),"")</f>
        <v/>
      </c>
    </row>
    <row r="3949" spans="1:16">
      <c r="A3949" s="14" t="str">
        <f t="shared" si="67"/>
        <v/>
      </c>
      <c r="D3949" s="120" t="s">
        <v>477</v>
      </c>
      <c r="O3949" s="28" t="str">
        <f>IF(D3949="","",IF(COUNTIF(离职清单!C:C,D3949)&gt;0,"已离职","在职"))</f>
        <v>在职</v>
      </c>
      <c r="P3949" s="28" t="str">
        <f>IF(AND(O3949="在职",J3949="是"),COUNTIF(O$2:O3949,"在职"),"")</f>
        <v/>
      </c>
    </row>
    <row r="3950" spans="1:16">
      <c r="A3950" s="10" t="str">
        <f t="shared" si="67"/>
        <v/>
      </c>
      <c r="D3950" s="120" t="s">
        <v>478</v>
      </c>
      <c r="O3950" s="28" t="str">
        <f>IF(D3950="","",IF(COUNTIF(离职清单!C:C,D3950)&gt;0,"已离职","在职"))</f>
        <v>在职</v>
      </c>
      <c r="P3950" s="28" t="str">
        <f>IF(AND(O3950="在职",J3950="是"),COUNTIF(O$2:O3950,"在职"),"")</f>
        <v/>
      </c>
    </row>
    <row r="3951" spans="1:16">
      <c r="A3951" s="14" t="str">
        <f t="shared" si="67"/>
        <v/>
      </c>
      <c r="D3951" s="120" t="s">
        <v>480</v>
      </c>
      <c r="O3951" s="28" t="str">
        <f>IF(D3951="","",IF(COUNTIF(离职清单!C:C,D3951)&gt;0,"已离职","在职"))</f>
        <v>在职</v>
      </c>
      <c r="P3951" s="28" t="str">
        <f>IF(AND(O3951="在职",J3951="是"),COUNTIF(O$2:O3951,"在职"),"")</f>
        <v/>
      </c>
    </row>
    <row r="3952" spans="1:16">
      <c r="A3952" s="10" t="str">
        <f t="shared" si="67"/>
        <v/>
      </c>
      <c r="D3952" s="120" t="s">
        <v>482</v>
      </c>
      <c r="O3952" s="28" t="str">
        <f>IF(D3952="","",IF(COUNTIF(离职清单!C:C,D3952)&gt;0,"已离职","在职"))</f>
        <v>在职</v>
      </c>
      <c r="P3952" s="28" t="str">
        <f>IF(AND(O3952="在职",J3952="是"),COUNTIF(O$2:O3952,"在职"),"")</f>
        <v/>
      </c>
    </row>
    <row r="3953" spans="1:16">
      <c r="A3953" s="14" t="str">
        <f t="shared" si="67"/>
        <v/>
      </c>
      <c r="D3953" s="120" t="s">
        <v>484</v>
      </c>
      <c r="O3953" s="28" t="str">
        <f>IF(D3953="","",IF(COUNTIF(离职清单!C:C,D3953)&gt;0,"已离职","在职"))</f>
        <v>在职</v>
      </c>
      <c r="P3953" s="28" t="str">
        <f>IF(AND(O3953="在职",J3953="是"),COUNTIF(O$2:O3953,"在职"),"")</f>
        <v/>
      </c>
    </row>
    <row r="3954" spans="1:16">
      <c r="A3954" s="10" t="str">
        <f t="shared" si="67"/>
        <v/>
      </c>
      <c r="D3954" s="120" t="s">
        <v>486</v>
      </c>
      <c r="O3954" s="28" t="str">
        <f>IF(D3954="","",IF(COUNTIF(离职清单!C:C,D3954)&gt;0,"已离职","在职"))</f>
        <v>在职</v>
      </c>
      <c r="P3954" s="28" t="str">
        <f>IF(AND(O3954="在职",J3954="是"),COUNTIF(O$2:O3954,"在职"),"")</f>
        <v/>
      </c>
    </row>
    <row r="3955" spans="1:16">
      <c r="A3955" s="14" t="str">
        <f t="shared" si="67"/>
        <v/>
      </c>
      <c r="D3955" s="120" t="s">
        <v>488</v>
      </c>
      <c r="O3955" s="28" t="str">
        <f>IF(D3955="","",IF(COUNTIF(离职清单!C:C,D3955)&gt;0,"已离职","在职"))</f>
        <v>在职</v>
      </c>
      <c r="P3955" s="28" t="str">
        <f>IF(AND(O3955="在职",J3955="是"),COUNTIF(O$2:O3955,"在职"),"")</f>
        <v/>
      </c>
    </row>
    <row r="3956" spans="1:16">
      <c r="A3956" s="10" t="str">
        <f t="shared" si="67"/>
        <v/>
      </c>
      <c r="D3956" s="120" t="s">
        <v>490</v>
      </c>
      <c r="O3956" s="28" t="str">
        <f>IF(D3956="","",IF(COUNTIF(离职清单!C:C,D3956)&gt;0,"已离职","在职"))</f>
        <v>在职</v>
      </c>
      <c r="P3956" s="28" t="str">
        <f>IF(AND(O3956="在职",J3956="是"),COUNTIF(O$2:O3956,"在职"),"")</f>
        <v/>
      </c>
    </row>
    <row r="3957" spans="1:16">
      <c r="A3957" s="14" t="str">
        <f t="shared" si="67"/>
        <v/>
      </c>
      <c r="D3957" s="120" t="s">
        <v>492</v>
      </c>
      <c r="O3957" s="28" t="str">
        <f>IF(D3957="","",IF(COUNTIF(离职清单!C:C,D3957)&gt;0,"已离职","在职"))</f>
        <v>在职</v>
      </c>
      <c r="P3957" s="28" t="str">
        <f>IF(AND(O3957="在职",J3957="是"),COUNTIF(O$2:O3957,"在职"),"")</f>
        <v/>
      </c>
    </row>
    <row r="3958" spans="1:16">
      <c r="A3958" s="10" t="str">
        <f t="shared" si="67"/>
        <v/>
      </c>
      <c r="D3958" s="120" t="s">
        <v>477</v>
      </c>
      <c r="O3958" s="28" t="str">
        <f>IF(D3958="","",IF(COUNTIF(离职清单!C:C,D3958)&gt;0,"已离职","在职"))</f>
        <v>在职</v>
      </c>
      <c r="P3958" s="28" t="str">
        <f>IF(AND(O3958="在职",J3958="是"),COUNTIF(O$2:O3958,"在职"),"")</f>
        <v/>
      </c>
    </row>
    <row r="3959" spans="1:16">
      <c r="A3959" s="14" t="str">
        <f t="shared" si="67"/>
        <v/>
      </c>
      <c r="D3959" s="120" t="s">
        <v>478</v>
      </c>
      <c r="O3959" s="28" t="str">
        <f>IF(D3959="","",IF(COUNTIF(离职清单!C:C,D3959)&gt;0,"已离职","在职"))</f>
        <v>在职</v>
      </c>
      <c r="P3959" s="28" t="str">
        <f>IF(AND(O3959="在职",J3959="是"),COUNTIF(O$2:O3959,"在职"),"")</f>
        <v/>
      </c>
    </row>
    <row r="3960" spans="1:16">
      <c r="A3960" s="10" t="str">
        <f t="shared" si="67"/>
        <v/>
      </c>
      <c r="D3960" s="120" t="s">
        <v>480</v>
      </c>
      <c r="O3960" s="28" t="str">
        <f>IF(D3960="","",IF(COUNTIF(离职清单!C:C,D3960)&gt;0,"已离职","在职"))</f>
        <v>在职</v>
      </c>
      <c r="P3960" s="28" t="str">
        <f>IF(AND(O3960="在职",J3960="是"),COUNTIF(O$2:O3960,"在职"),"")</f>
        <v/>
      </c>
    </row>
    <row r="3961" spans="1:16">
      <c r="A3961" s="14" t="str">
        <f t="shared" si="67"/>
        <v/>
      </c>
      <c r="D3961" s="120" t="s">
        <v>482</v>
      </c>
      <c r="O3961" s="28" t="str">
        <f>IF(D3961="","",IF(COUNTIF(离职清单!C:C,D3961)&gt;0,"已离职","在职"))</f>
        <v>在职</v>
      </c>
      <c r="P3961" s="28" t="str">
        <f>IF(AND(O3961="在职",J3961="是"),COUNTIF(O$2:O3961,"在职"),"")</f>
        <v/>
      </c>
    </row>
    <row r="3962" spans="1:16">
      <c r="A3962" s="10" t="str">
        <f t="shared" si="67"/>
        <v/>
      </c>
      <c r="D3962" s="120" t="s">
        <v>484</v>
      </c>
      <c r="O3962" s="28" t="str">
        <f>IF(D3962="","",IF(COUNTIF(离职清单!C:C,D3962)&gt;0,"已离职","在职"))</f>
        <v>在职</v>
      </c>
      <c r="P3962" s="28" t="str">
        <f>IF(AND(O3962="在职",J3962="是"),COUNTIF(O$2:O3962,"在职"),"")</f>
        <v/>
      </c>
    </row>
    <row r="3963" spans="1:16">
      <c r="A3963" s="14" t="str">
        <f t="shared" si="67"/>
        <v/>
      </c>
      <c r="D3963" s="120" t="s">
        <v>486</v>
      </c>
      <c r="O3963" s="28" t="str">
        <f>IF(D3963="","",IF(COUNTIF(离职清单!C:C,D3963)&gt;0,"已离职","在职"))</f>
        <v>在职</v>
      </c>
      <c r="P3963" s="28" t="str">
        <f>IF(AND(O3963="在职",J3963="是"),COUNTIF(O$2:O3963,"在职"),"")</f>
        <v/>
      </c>
    </row>
    <row r="3964" spans="1:16">
      <c r="A3964" s="10" t="str">
        <f t="shared" si="67"/>
        <v/>
      </c>
      <c r="D3964" s="120" t="s">
        <v>488</v>
      </c>
      <c r="O3964" s="28" t="str">
        <f>IF(D3964="","",IF(COUNTIF(离职清单!C:C,D3964)&gt;0,"已离职","在职"))</f>
        <v>在职</v>
      </c>
      <c r="P3964" s="28" t="str">
        <f>IF(AND(O3964="在职",J3964="是"),COUNTIF(O$2:O3964,"在职"),"")</f>
        <v/>
      </c>
    </row>
    <row r="3965" spans="1:16">
      <c r="A3965" s="14" t="str">
        <f t="shared" si="67"/>
        <v/>
      </c>
      <c r="D3965" s="120" t="s">
        <v>490</v>
      </c>
      <c r="O3965" s="28" t="str">
        <f>IF(D3965="","",IF(COUNTIF(离职清单!C:C,D3965)&gt;0,"已离职","在职"))</f>
        <v>在职</v>
      </c>
      <c r="P3965" s="28" t="str">
        <f>IF(AND(O3965="在职",J3965="是"),COUNTIF(O$2:O3965,"在职"),"")</f>
        <v/>
      </c>
    </row>
    <row r="3966" spans="1:16">
      <c r="A3966" s="10" t="str">
        <f t="shared" si="67"/>
        <v/>
      </c>
      <c r="D3966" s="120" t="s">
        <v>492</v>
      </c>
      <c r="O3966" s="28" t="str">
        <f>IF(D3966="","",IF(COUNTIF(离职清单!C:C,D3966)&gt;0,"已离职","在职"))</f>
        <v>在职</v>
      </c>
      <c r="P3966" s="28" t="str">
        <f>IF(AND(O3966="在职",J3966="是"),COUNTIF(O$2:O3966,"在职"),"")</f>
        <v/>
      </c>
    </row>
    <row r="3967" spans="1:16">
      <c r="A3967" s="14" t="str">
        <f t="shared" si="67"/>
        <v/>
      </c>
      <c r="D3967" s="120" t="s">
        <v>477</v>
      </c>
      <c r="O3967" s="28" t="str">
        <f>IF(D3967="","",IF(COUNTIF(离职清单!C:C,D3967)&gt;0,"已离职","在职"))</f>
        <v>在职</v>
      </c>
      <c r="P3967" s="28" t="str">
        <f>IF(AND(O3967="在职",J3967="是"),COUNTIF(O$2:O3967,"在职"),"")</f>
        <v/>
      </c>
    </row>
    <row r="3968" spans="1:16">
      <c r="A3968" s="10" t="str">
        <f t="shared" si="67"/>
        <v/>
      </c>
      <c r="D3968" s="120" t="s">
        <v>478</v>
      </c>
      <c r="O3968" s="28" t="str">
        <f>IF(D3968="","",IF(COUNTIF(离职清单!C:C,D3968)&gt;0,"已离职","在职"))</f>
        <v>在职</v>
      </c>
      <c r="P3968" s="28" t="str">
        <f>IF(AND(O3968="在职",J3968="是"),COUNTIF(O$2:O3968,"在职"),"")</f>
        <v/>
      </c>
    </row>
    <row r="3969" spans="1:16">
      <c r="A3969" s="14" t="str">
        <f t="shared" si="67"/>
        <v/>
      </c>
      <c r="D3969" s="120" t="s">
        <v>480</v>
      </c>
      <c r="O3969" s="28" t="str">
        <f>IF(D3969="","",IF(COUNTIF(离职清单!C:C,D3969)&gt;0,"已离职","在职"))</f>
        <v>在职</v>
      </c>
      <c r="P3969" s="28" t="str">
        <f>IF(AND(O3969="在职",J3969="是"),COUNTIF(O$2:O3969,"在职"),"")</f>
        <v/>
      </c>
    </row>
    <row r="3970" spans="1:16">
      <c r="A3970" s="10" t="str">
        <f t="shared" si="67"/>
        <v/>
      </c>
      <c r="D3970" s="120" t="s">
        <v>482</v>
      </c>
      <c r="O3970" s="28" t="str">
        <f>IF(D3970="","",IF(COUNTIF(离职清单!C:C,D3970)&gt;0,"已离职","在职"))</f>
        <v>在职</v>
      </c>
      <c r="P3970" s="28" t="str">
        <f>IF(AND(O3970="在职",J3970="是"),COUNTIF(O$2:O3970,"在职"),"")</f>
        <v/>
      </c>
    </row>
    <row r="3971" spans="1:16">
      <c r="A3971" s="14" t="str">
        <f t="shared" si="67"/>
        <v/>
      </c>
      <c r="D3971" s="120" t="s">
        <v>484</v>
      </c>
      <c r="O3971" s="28" t="str">
        <f>IF(D3971="","",IF(COUNTIF(离职清单!C:C,D3971)&gt;0,"已离职","在职"))</f>
        <v>在职</v>
      </c>
      <c r="P3971" s="28" t="str">
        <f>IF(AND(O3971="在职",J3971="是"),COUNTIF(O$2:O3971,"在职"),"")</f>
        <v/>
      </c>
    </row>
    <row r="3972" spans="1:16">
      <c r="A3972" s="10" t="str">
        <f t="shared" si="67"/>
        <v/>
      </c>
      <c r="D3972" s="120" t="s">
        <v>486</v>
      </c>
      <c r="O3972" s="28" t="str">
        <f>IF(D3972="","",IF(COUNTIF(离职清单!C:C,D3972)&gt;0,"已离职","在职"))</f>
        <v>在职</v>
      </c>
      <c r="P3972" s="28" t="str">
        <f>IF(AND(O3972="在职",J3972="是"),COUNTIF(O$2:O3972,"在职"),"")</f>
        <v/>
      </c>
    </row>
    <row r="3973" spans="1:16">
      <c r="A3973" s="14" t="str">
        <f t="shared" si="67"/>
        <v/>
      </c>
      <c r="D3973" s="120" t="s">
        <v>488</v>
      </c>
      <c r="O3973" s="28" t="str">
        <f>IF(D3973="","",IF(COUNTIF(离职清单!C:C,D3973)&gt;0,"已离职","在职"))</f>
        <v>在职</v>
      </c>
      <c r="P3973" s="28" t="str">
        <f>IF(AND(O3973="在职",J3973="是"),COUNTIF(O$2:O3973,"在职"),"")</f>
        <v/>
      </c>
    </row>
    <row r="3974" spans="1:16">
      <c r="A3974" s="10" t="str">
        <f t="shared" si="67"/>
        <v/>
      </c>
      <c r="D3974" s="120" t="s">
        <v>490</v>
      </c>
      <c r="O3974" s="28" t="str">
        <f>IF(D3974="","",IF(COUNTIF(离职清单!C:C,D3974)&gt;0,"已离职","在职"))</f>
        <v>在职</v>
      </c>
      <c r="P3974" s="28" t="str">
        <f>IF(AND(O3974="在职",J3974="是"),COUNTIF(O$2:O3974,"在职"),"")</f>
        <v/>
      </c>
    </row>
    <row r="3975" spans="1:16">
      <c r="A3975" s="14" t="str">
        <f t="shared" si="67"/>
        <v/>
      </c>
      <c r="D3975" s="120" t="s">
        <v>492</v>
      </c>
      <c r="O3975" s="28" t="str">
        <f>IF(D3975="","",IF(COUNTIF(离职清单!C:C,D3975)&gt;0,"已离职","在职"))</f>
        <v>在职</v>
      </c>
      <c r="P3975" s="28" t="str">
        <f>IF(AND(O3975="在职",J3975="是"),COUNTIF(O$2:O3975,"在职"),"")</f>
        <v/>
      </c>
    </row>
    <row r="3976" spans="1:16">
      <c r="A3976" s="10" t="str">
        <f t="shared" si="67"/>
        <v/>
      </c>
      <c r="D3976" s="120" t="s">
        <v>477</v>
      </c>
      <c r="O3976" s="28" t="str">
        <f>IF(D3976="","",IF(COUNTIF(离职清单!C:C,D3976)&gt;0,"已离职","在职"))</f>
        <v>在职</v>
      </c>
      <c r="P3976" s="28" t="str">
        <f>IF(AND(O3976="在职",J3976="是"),COUNTIF(O$2:O3976,"在职"),"")</f>
        <v/>
      </c>
    </row>
    <row r="3977" spans="1:16">
      <c r="A3977" s="14" t="str">
        <f t="shared" si="67"/>
        <v/>
      </c>
      <c r="D3977" s="120" t="s">
        <v>477</v>
      </c>
      <c r="O3977" s="28" t="str">
        <f>IF(D3977="","",IF(COUNTIF(离职清单!C:C,D3977)&gt;0,"已离职","在职"))</f>
        <v>在职</v>
      </c>
      <c r="P3977" s="28" t="str">
        <f>IF(AND(O3977="在职",J3977="是"),COUNTIF(O$2:O3977,"在职"),"")</f>
        <v/>
      </c>
    </row>
    <row r="3978" spans="1:16">
      <c r="A3978" s="10" t="str">
        <f t="shared" si="67"/>
        <v/>
      </c>
      <c r="D3978" s="120" t="s">
        <v>478</v>
      </c>
      <c r="O3978" s="28" t="str">
        <f>IF(D3978="","",IF(COUNTIF(离职清单!C:C,D3978)&gt;0,"已离职","在职"))</f>
        <v>在职</v>
      </c>
      <c r="P3978" s="28" t="str">
        <f>IF(AND(O3978="在职",J3978="是"),COUNTIF(O$2:O3978,"在职"),"")</f>
        <v/>
      </c>
    </row>
    <row r="3979" spans="1:16">
      <c r="A3979" s="14" t="str">
        <f t="shared" si="67"/>
        <v/>
      </c>
      <c r="D3979" s="120" t="s">
        <v>480</v>
      </c>
      <c r="O3979" s="28" t="str">
        <f>IF(D3979="","",IF(COUNTIF(离职清单!C:C,D3979)&gt;0,"已离职","在职"))</f>
        <v>在职</v>
      </c>
      <c r="P3979" s="28" t="str">
        <f>IF(AND(O3979="在职",J3979="是"),COUNTIF(O$2:O3979,"在职"),"")</f>
        <v/>
      </c>
    </row>
    <row r="3980" spans="1:16">
      <c r="A3980" s="10" t="str">
        <f t="shared" si="67"/>
        <v/>
      </c>
      <c r="D3980" s="120" t="s">
        <v>482</v>
      </c>
      <c r="O3980" s="28" t="str">
        <f>IF(D3980="","",IF(COUNTIF(离职清单!C:C,D3980)&gt;0,"已离职","在职"))</f>
        <v>在职</v>
      </c>
      <c r="P3980" s="28" t="str">
        <f>IF(AND(O3980="在职",J3980="是"),COUNTIF(O$2:O3980,"在职"),"")</f>
        <v/>
      </c>
    </row>
    <row r="3981" spans="1:16">
      <c r="A3981" s="14" t="str">
        <f t="shared" si="67"/>
        <v/>
      </c>
      <c r="D3981" s="120" t="s">
        <v>484</v>
      </c>
      <c r="O3981" s="28" t="str">
        <f>IF(D3981="","",IF(COUNTIF(离职清单!C:C,D3981)&gt;0,"已离职","在职"))</f>
        <v>在职</v>
      </c>
      <c r="P3981" s="28" t="str">
        <f>IF(AND(O3981="在职",J3981="是"),COUNTIF(O$2:O3981,"在职"),"")</f>
        <v/>
      </c>
    </row>
    <row r="3982" spans="1:16">
      <c r="A3982" s="10" t="str">
        <f t="shared" si="67"/>
        <v/>
      </c>
      <c r="D3982" s="120" t="s">
        <v>486</v>
      </c>
      <c r="O3982" s="28" t="str">
        <f>IF(D3982="","",IF(COUNTIF(离职清单!C:C,D3982)&gt;0,"已离职","在职"))</f>
        <v>在职</v>
      </c>
      <c r="P3982" s="28" t="str">
        <f>IF(AND(O3982="在职",J3982="是"),COUNTIF(O$2:O3982,"在职"),"")</f>
        <v/>
      </c>
    </row>
    <row r="3983" spans="1:16">
      <c r="A3983" s="14" t="str">
        <f t="shared" si="67"/>
        <v/>
      </c>
      <c r="D3983" s="120" t="s">
        <v>488</v>
      </c>
      <c r="O3983" s="28" t="str">
        <f>IF(D3983="","",IF(COUNTIF(离职清单!C:C,D3983)&gt;0,"已离职","在职"))</f>
        <v>在职</v>
      </c>
      <c r="P3983" s="28" t="str">
        <f>IF(AND(O3983="在职",J3983="是"),COUNTIF(O$2:O3983,"在职"),"")</f>
        <v/>
      </c>
    </row>
    <row r="3984" spans="1:16">
      <c r="A3984" s="10" t="str">
        <f t="shared" si="67"/>
        <v/>
      </c>
      <c r="D3984" s="120" t="s">
        <v>490</v>
      </c>
      <c r="O3984" s="28" t="str">
        <f>IF(D3984="","",IF(COUNTIF(离职清单!C:C,D3984)&gt;0,"已离职","在职"))</f>
        <v>在职</v>
      </c>
      <c r="P3984" s="28" t="str">
        <f>IF(AND(O3984="在职",J3984="是"),COUNTIF(O$2:O3984,"在职"),"")</f>
        <v/>
      </c>
    </row>
    <row r="3985" spans="1:16">
      <c r="A3985" s="14" t="str">
        <f t="shared" si="67"/>
        <v/>
      </c>
      <c r="D3985" s="120" t="s">
        <v>492</v>
      </c>
      <c r="O3985" s="28" t="str">
        <f>IF(D3985="","",IF(COUNTIF(离职清单!C:C,D3985)&gt;0,"已离职","在职"))</f>
        <v>在职</v>
      </c>
      <c r="P3985" s="28" t="str">
        <f>IF(AND(O3985="在职",J3985="是"),COUNTIF(O$2:O3985,"在职"),"")</f>
        <v/>
      </c>
    </row>
    <row r="3986" spans="1:16">
      <c r="A3986" s="10" t="str">
        <f t="shared" si="67"/>
        <v/>
      </c>
      <c r="D3986" s="120" t="s">
        <v>477</v>
      </c>
      <c r="O3986" s="28" t="str">
        <f>IF(D3986="","",IF(COUNTIF(离职清单!C:C,D3986)&gt;0,"已离职","在职"))</f>
        <v>在职</v>
      </c>
      <c r="P3986" s="28" t="str">
        <f>IF(AND(O3986="在职",J3986="是"),COUNTIF(O$2:O3986,"在职"),"")</f>
        <v/>
      </c>
    </row>
    <row r="3987" spans="1:16">
      <c r="A3987" s="14" t="str">
        <f t="shared" si="67"/>
        <v/>
      </c>
      <c r="D3987" s="120" t="s">
        <v>478</v>
      </c>
      <c r="O3987" s="28" t="str">
        <f>IF(D3987="","",IF(COUNTIF(离职清单!C:C,D3987)&gt;0,"已离职","在职"))</f>
        <v>在职</v>
      </c>
      <c r="P3987" s="28" t="str">
        <f>IF(AND(O3987="在职",J3987="是"),COUNTIF(O$2:O3987,"在职"),"")</f>
        <v/>
      </c>
    </row>
    <row r="3988" spans="1:16">
      <c r="A3988" s="10" t="str">
        <f t="shared" si="67"/>
        <v/>
      </c>
      <c r="D3988" s="120" t="s">
        <v>480</v>
      </c>
      <c r="O3988" s="28" t="str">
        <f>IF(D3988="","",IF(COUNTIF(离职清单!C:C,D3988)&gt;0,"已离职","在职"))</f>
        <v>在职</v>
      </c>
      <c r="P3988" s="28" t="str">
        <f>IF(AND(O3988="在职",J3988="是"),COUNTIF(O$2:O3988,"在职"),"")</f>
        <v/>
      </c>
    </row>
    <row r="3989" spans="1:16">
      <c r="A3989" s="14" t="str">
        <f t="shared" si="67"/>
        <v/>
      </c>
      <c r="D3989" s="120" t="s">
        <v>482</v>
      </c>
      <c r="O3989" s="28" t="str">
        <f>IF(D3989="","",IF(COUNTIF(离职清单!C:C,D3989)&gt;0,"已离职","在职"))</f>
        <v>在职</v>
      </c>
      <c r="P3989" s="28" t="str">
        <f>IF(AND(O3989="在职",J3989="是"),COUNTIF(O$2:O3989,"在职"),"")</f>
        <v/>
      </c>
    </row>
    <row r="3990" spans="1:16">
      <c r="A3990" s="10" t="str">
        <f t="shared" si="67"/>
        <v/>
      </c>
      <c r="D3990" s="120" t="s">
        <v>484</v>
      </c>
      <c r="O3990" s="28" t="str">
        <f>IF(D3990="","",IF(COUNTIF(离职清单!C:C,D3990)&gt;0,"已离职","在职"))</f>
        <v>在职</v>
      </c>
      <c r="P3990" s="28" t="str">
        <f>IF(AND(O3990="在职",J3990="是"),COUNTIF(O$2:O3990,"在职"),"")</f>
        <v/>
      </c>
    </row>
    <row r="3991" spans="1:16">
      <c r="A3991" s="14" t="str">
        <f t="shared" si="67"/>
        <v/>
      </c>
      <c r="D3991" s="120" t="s">
        <v>486</v>
      </c>
      <c r="O3991" s="28" t="str">
        <f>IF(D3991="","",IF(COUNTIF(离职清单!C:C,D3991)&gt;0,"已离职","在职"))</f>
        <v>在职</v>
      </c>
      <c r="P3991" s="28" t="str">
        <f>IF(AND(O3991="在职",J3991="是"),COUNTIF(O$2:O3991,"在职"),"")</f>
        <v/>
      </c>
    </row>
    <row r="3992" spans="1:16">
      <c r="A3992" s="10" t="str">
        <f t="shared" si="67"/>
        <v/>
      </c>
      <c r="D3992" s="120" t="s">
        <v>488</v>
      </c>
      <c r="O3992" s="28" t="str">
        <f>IF(D3992="","",IF(COUNTIF(离职清单!C:C,D3992)&gt;0,"已离职","在职"))</f>
        <v>在职</v>
      </c>
      <c r="P3992" s="28" t="str">
        <f>IF(AND(O3992="在职",J3992="是"),COUNTIF(O$2:O3992,"在职"),"")</f>
        <v/>
      </c>
    </row>
    <row r="3993" spans="1:16">
      <c r="A3993" s="14" t="str">
        <f t="shared" si="67"/>
        <v/>
      </c>
      <c r="D3993" s="120" t="s">
        <v>490</v>
      </c>
      <c r="O3993" s="28" t="str">
        <f>IF(D3993="","",IF(COUNTIF(离职清单!C:C,D3993)&gt;0,"已离职","在职"))</f>
        <v>在职</v>
      </c>
      <c r="P3993" s="28" t="str">
        <f>IF(AND(O3993="在职",J3993="是"),COUNTIF(O$2:O3993,"在职"),"")</f>
        <v/>
      </c>
    </row>
    <row r="3994" spans="1:16">
      <c r="A3994" s="10" t="str">
        <f t="shared" si="67"/>
        <v/>
      </c>
      <c r="D3994" s="120" t="s">
        <v>492</v>
      </c>
      <c r="O3994" s="28" t="str">
        <f>IF(D3994="","",IF(COUNTIF(离职清单!C:C,D3994)&gt;0,"已离职","在职"))</f>
        <v>在职</v>
      </c>
      <c r="P3994" s="28" t="str">
        <f>IF(AND(O3994="在职",J3994="是"),COUNTIF(O$2:O3994,"在职"),"")</f>
        <v/>
      </c>
    </row>
    <row r="3995" spans="1:16">
      <c r="A3995" s="14" t="str">
        <f t="shared" si="67"/>
        <v/>
      </c>
      <c r="D3995" s="120" t="s">
        <v>477</v>
      </c>
      <c r="O3995" s="28" t="str">
        <f>IF(D3995="","",IF(COUNTIF(离职清单!C:C,D3995)&gt;0,"已离职","在职"))</f>
        <v>在职</v>
      </c>
      <c r="P3995" s="28" t="str">
        <f>IF(AND(O3995="在职",J3995="是"),COUNTIF(O$2:O3995,"在职"),"")</f>
        <v/>
      </c>
    </row>
    <row r="3996" spans="1:16">
      <c r="A3996" s="10" t="str">
        <f t="shared" si="67"/>
        <v/>
      </c>
      <c r="D3996" s="120" t="s">
        <v>478</v>
      </c>
      <c r="O3996" s="28" t="str">
        <f>IF(D3996="","",IF(COUNTIF(离职清单!C:C,D3996)&gt;0,"已离职","在职"))</f>
        <v>在职</v>
      </c>
      <c r="P3996" s="28" t="str">
        <f>IF(AND(O3996="在职",J3996="是"),COUNTIF(O$2:O3996,"在职"),"")</f>
        <v/>
      </c>
    </row>
    <row r="3997" spans="1:16">
      <c r="A3997" s="14" t="str">
        <f t="shared" si="67"/>
        <v/>
      </c>
      <c r="D3997" s="120" t="s">
        <v>480</v>
      </c>
      <c r="O3997" s="28" t="str">
        <f>IF(D3997="","",IF(COUNTIF(离职清单!C:C,D3997)&gt;0,"已离职","在职"))</f>
        <v>在职</v>
      </c>
      <c r="P3997" s="28" t="str">
        <f>IF(AND(O3997="在职",J3997="是"),COUNTIF(O$2:O3997,"在职"),"")</f>
        <v/>
      </c>
    </row>
    <row r="3998" spans="1:16">
      <c r="A3998" s="10" t="str">
        <f t="shared" si="67"/>
        <v/>
      </c>
      <c r="D3998" s="120" t="s">
        <v>482</v>
      </c>
      <c r="O3998" s="28" t="str">
        <f>IF(D3998="","",IF(COUNTIF(离职清单!C:C,D3998)&gt;0,"已离职","在职"))</f>
        <v>在职</v>
      </c>
      <c r="P3998" s="28" t="str">
        <f>IF(AND(O3998="在职",J3998="是"),COUNTIF(O$2:O3998,"在职"),"")</f>
        <v/>
      </c>
    </row>
    <row r="3999" spans="1:16">
      <c r="A3999" s="14" t="str">
        <f t="shared" si="67"/>
        <v/>
      </c>
      <c r="D3999" s="120" t="s">
        <v>484</v>
      </c>
      <c r="O3999" s="28" t="str">
        <f>IF(D3999="","",IF(COUNTIF(离职清单!C:C,D3999)&gt;0,"已离职","在职"))</f>
        <v>在职</v>
      </c>
      <c r="P3999" s="28" t="str">
        <f>IF(AND(O3999="在职",J3999="是"),COUNTIF(O$2:O3999,"在职"),"")</f>
        <v/>
      </c>
    </row>
    <row r="4000" spans="1:16">
      <c r="A4000" s="10" t="str">
        <f t="shared" si="67"/>
        <v/>
      </c>
      <c r="D4000" s="120" t="s">
        <v>486</v>
      </c>
      <c r="O4000" s="28" t="str">
        <f>IF(D4000="","",IF(COUNTIF(离职清单!C:C,D4000)&gt;0,"已离职","在职"))</f>
        <v>在职</v>
      </c>
      <c r="P4000" s="28" t="str">
        <f>IF(AND(O4000="在职",J4000="是"),COUNTIF(O$2:O4000,"在职"),"")</f>
        <v/>
      </c>
    </row>
    <row r="4001" spans="1:16">
      <c r="A4001" s="14" t="str">
        <f t="shared" si="67"/>
        <v/>
      </c>
      <c r="D4001" s="120" t="s">
        <v>488</v>
      </c>
      <c r="O4001" s="28" t="str">
        <f>IF(D4001="","",IF(COUNTIF(离职清单!C:C,D4001)&gt;0,"已离职","在职"))</f>
        <v>在职</v>
      </c>
      <c r="P4001" s="28" t="str">
        <f>IF(AND(O4001="在职",J4001="是"),COUNTIF(O$2:O4001,"在职"),"")</f>
        <v/>
      </c>
    </row>
    <row r="4002" spans="1:16">
      <c r="A4002" s="10" t="str">
        <f t="shared" si="67"/>
        <v/>
      </c>
      <c r="D4002" s="120" t="s">
        <v>490</v>
      </c>
      <c r="O4002" s="28" t="str">
        <f>IF(D4002="","",IF(COUNTIF(离职清单!C:C,D4002)&gt;0,"已离职","在职"))</f>
        <v>在职</v>
      </c>
      <c r="P4002" s="28" t="str">
        <f>IF(AND(O4002="在职",J4002="是"),COUNTIF(O$2:O4002,"在职"),"")</f>
        <v/>
      </c>
    </row>
    <row r="4003" spans="1:16">
      <c r="A4003" s="14" t="str">
        <f t="shared" si="67"/>
        <v/>
      </c>
      <c r="D4003" s="120" t="s">
        <v>492</v>
      </c>
      <c r="O4003" s="28" t="str">
        <f>IF(D4003="","",IF(COUNTIF(离职清单!C:C,D4003)&gt;0,"已离职","在职"))</f>
        <v>在职</v>
      </c>
      <c r="P4003" s="28" t="str">
        <f>IF(AND(O4003="在职",J4003="是"),COUNTIF(O$2:O4003,"在职"),"")</f>
        <v/>
      </c>
    </row>
    <row r="4004" spans="1:16">
      <c r="A4004" s="10" t="str">
        <f t="shared" si="67"/>
        <v/>
      </c>
      <c r="D4004" s="120" t="s">
        <v>477</v>
      </c>
      <c r="O4004" s="28" t="str">
        <f>IF(D4004="","",IF(COUNTIF(离职清单!C:C,D4004)&gt;0,"已离职","在职"))</f>
        <v>在职</v>
      </c>
      <c r="P4004" s="28" t="str">
        <f>IF(AND(O4004="在职",J4004="是"),COUNTIF(O$2:O4004,"在职"),"")</f>
        <v/>
      </c>
    </row>
    <row r="4005" spans="1:16">
      <c r="A4005" s="14" t="str">
        <f t="shared" si="67"/>
        <v/>
      </c>
      <c r="D4005" s="120" t="s">
        <v>478</v>
      </c>
      <c r="O4005" s="28" t="str">
        <f>IF(D4005="","",IF(COUNTIF(离职清单!C:C,D4005)&gt;0,"已离职","在职"))</f>
        <v>在职</v>
      </c>
      <c r="P4005" s="28" t="str">
        <f>IF(AND(O4005="在职",J4005="是"),COUNTIF(O$2:O4005,"在职"),"")</f>
        <v/>
      </c>
    </row>
    <row r="4006" spans="1:16">
      <c r="A4006" s="10" t="str">
        <f t="shared" si="67"/>
        <v/>
      </c>
      <c r="D4006" s="120" t="s">
        <v>480</v>
      </c>
      <c r="O4006" s="28" t="str">
        <f>IF(D4006="","",IF(COUNTIF(离职清单!C:C,D4006)&gt;0,"已离职","在职"))</f>
        <v>在职</v>
      </c>
      <c r="P4006" s="28" t="str">
        <f>IF(AND(O4006="在职",J4006="是"),COUNTIF(O$2:O4006,"在职"),"")</f>
        <v/>
      </c>
    </row>
    <row r="4007" spans="1:16">
      <c r="A4007" s="14" t="str">
        <f t="shared" si="67"/>
        <v/>
      </c>
      <c r="D4007" s="120" t="s">
        <v>482</v>
      </c>
      <c r="O4007" s="28" t="str">
        <f>IF(D4007="","",IF(COUNTIF(离职清单!C:C,D4007)&gt;0,"已离职","在职"))</f>
        <v>在职</v>
      </c>
      <c r="P4007" s="28" t="str">
        <f>IF(AND(O4007="在职",J4007="是"),COUNTIF(O$2:O4007,"在职"),"")</f>
        <v/>
      </c>
    </row>
    <row r="4008" spans="1:16">
      <c r="A4008" s="10" t="str">
        <f t="shared" si="67"/>
        <v/>
      </c>
      <c r="D4008" s="120" t="s">
        <v>484</v>
      </c>
      <c r="O4008" s="28" t="str">
        <f>IF(D4008="","",IF(COUNTIF(离职清单!C:C,D4008)&gt;0,"已离职","在职"))</f>
        <v>在职</v>
      </c>
      <c r="P4008" s="28" t="str">
        <f>IF(AND(O4008="在职",J4008="是"),COUNTIF(O$2:O4008,"在职"),"")</f>
        <v/>
      </c>
    </row>
    <row r="4009" spans="1:16">
      <c r="A4009" s="14" t="str">
        <f t="shared" si="67"/>
        <v/>
      </c>
      <c r="D4009" s="120" t="s">
        <v>486</v>
      </c>
      <c r="O4009" s="28" t="str">
        <f>IF(D4009="","",IF(COUNTIF(离职清单!C:C,D4009)&gt;0,"已离职","在职"))</f>
        <v>在职</v>
      </c>
      <c r="P4009" s="28" t="str">
        <f>IF(AND(O4009="在职",J4009="是"),COUNTIF(O$2:O4009,"在职"),"")</f>
        <v/>
      </c>
    </row>
    <row r="4010" spans="1:16">
      <c r="A4010" s="10" t="str">
        <f t="shared" si="67"/>
        <v/>
      </c>
      <c r="D4010" s="120" t="s">
        <v>488</v>
      </c>
      <c r="O4010" s="28" t="str">
        <f>IF(D4010="","",IF(COUNTIF(离职清单!C:C,D4010)&gt;0,"已离职","在职"))</f>
        <v>在职</v>
      </c>
      <c r="P4010" s="28" t="str">
        <f>IF(AND(O4010="在职",J4010="是"),COUNTIF(O$2:O4010,"在职"),"")</f>
        <v/>
      </c>
    </row>
    <row r="4011" spans="1:16">
      <c r="A4011" s="14" t="str">
        <f t="shared" si="67"/>
        <v/>
      </c>
      <c r="D4011" s="120" t="s">
        <v>490</v>
      </c>
      <c r="O4011" s="28" t="str">
        <f>IF(D4011="","",IF(COUNTIF(离职清单!C:C,D4011)&gt;0,"已离职","在职"))</f>
        <v>在职</v>
      </c>
      <c r="P4011" s="28" t="str">
        <f>IF(AND(O4011="在职",J4011="是"),COUNTIF(O$2:O4011,"在职"),"")</f>
        <v/>
      </c>
    </row>
    <row r="4012" spans="1:16">
      <c r="A4012" s="10" t="str">
        <f t="shared" ref="A4012:A4075" si="68">IF(B4012&lt;&gt;"",ROW()-1,"")</f>
        <v/>
      </c>
      <c r="D4012" s="120" t="s">
        <v>492</v>
      </c>
      <c r="O4012" s="28" t="str">
        <f>IF(D4012="","",IF(COUNTIF(离职清单!C:C,D4012)&gt;0,"已离职","在职"))</f>
        <v>在职</v>
      </c>
      <c r="P4012" s="28" t="str">
        <f>IF(AND(O4012="在职",J4012="是"),COUNTIF(O$2:O4012,"在职"),"")</f>
        <v/>
      </c>
    </row>
    <row r="4013" spans="1:16">
      <c r="A4013" s="14" t="str">
        <f t="shared" si="68"/>
        <v/>
      </c>
      <c r="D4013" s="120" t="s">
        <v>477</v>
      </c>
      <c r="O4013" s="28" t="str">
        <f>IF(D4013="","",IF(COUNTIF(离职清单!C:C,D4013)&gt;0,"已离职","在职"))</f>
        <v>在职</v>
      </c>
      <c r="P4013" s="28" t="str">
        <f>IF(AND(O4013="在职",J4013="是"),COUNTIF(O$2:O4013,"在职"),"")</f>
        <v/>
      </c>
    </row>
    <row r="4014" spans="1:16">
      <c r="A4014" s="10" t="str">
        <f t="shared" si="68"/>
        <v/>
      </c>
      <c r="D4014" s="120" t="s">
        <v>478</v>
      </c>
      <c r="O4014" s="28" t="str">
        <f>IF(D4014="","",IF(COUNTIF(离职清单!C:C,D4014)&gt;0,"已离职","在职"))</f>
        <v>在职</v>
      </c>
      <c r="P4014" s="28" t="str">
        <f>IF(AND(O4014="在职",J4014="是"),COUNTIF(O$2:O4014,"在职"),"")</f>
        <v/>
      </c>
    </row>
    <row r="4015" spans="1:16">
      <c r="A4015" s="14" t="str">
        <f t="shared" si="68"/>
        <v/>
      </c>
      <c r="D4015" s="120" t="s">
        <v>480</v>
      </c>
      <c r="O4015" s="28" t="str">
        <f>IF(D4015="","",IF(COUNTIF(离职清单!C:C,D4015)&gt;0,"已离职","在职"))</f>
        <v>在职</v>
      </c>
      <c r="P4015" s="28" t="str">
        <f>IF(AND(O4015="在职",J4015="是"),COUNTIF(O$2:O4015,"在职"),"")</f>
        <v/>
      </c>
    </row>
    <row r="4016" spans="1:16">
      <c r="A4016" s="10" t="str">
        <f t="shared" si="68"/>
        <v/>
      </c>
      <c r="D4016" s="120" t="s">
        <v>482</v>
      </c>
      <c r="O4016" s="28" t="str">
        <f>IF(D4016="","",IF(COUNTIF(离职清单!C:C,D4016)&gt;0,"已离职","在职"))</f>
        <v>在职</v>
      </c>
      <c r="P4016" s="28" t="str">
        <f>IF(AND(O4016="在职",J4016="是"),COUNTIF(O$2:O4016,"在职"),"")</f>
        <v/>
      </c>
    </row>
    <row r="4017" spans="1:16">
      <c r="A4017" s="14" t="str">
        <f t="shared" si="68"/>
        <v/>
      </c>
      <c r="D4017" s="120" t="s">
        <v>484</v>
      </c>
      <c r="O4017" s="28" t="str">
        <f>IF(D4017="","",IF(COUNTIF(离职清单!C:C,D4017)&gt;0,"已离职","在职"))</f>
        <v>在职</v>
      </c>
      <c r="P4017" s="28" t="str">
        <f>IF(AND(O4017="在职",J4017="是"),COUNTIF(O$2:O4017,"在职"),"")</f>
        <v/>
      </c>
    </row>
    <row r="4018" spans="1:16">
      <c r="A4018" s="10" t="str">
        <f t="shared" si="68"/>
        <v/>
      </c>
      <c r="D4018" s="120" t="s">
        <v>486</v>
      </c>
      <c r="O4018" s="28" t="str">
        <f>IF(D4018="","",IF(COUNTIF(离职清单!C:C,D4018)&gt;0,"已离职","在职"))</f>
        <v>在职</v>
      </c>
      <c r="P4018" s="28" t="str">
        <f>IF(AND(O4018="在职",J4018="是"),COUNTIF(O$2:O4018,"在职"),"")</f>
        <v/>
      </c>
    </row>
    <row r="4019" spans="1:16">
      <c r="A4019" s="14" t="str">
        <f t="shared" si="68"/>
        <v/>
      </c>
      <c r="D4019" s="120" t="s">
        <v>488</v>
      </c>
      <c r="O4019" s="28" t="str">
        <f>IF(D4019="","",IF(COUNTIF(离职清单!C:C,D4019)&gt;0,"已离职","在职"))</f>
        <v>在职</v>
      </c>
      <c r="P4019" s="28" t="str">
        <f>IF(AND(O4019="在职",J4019="是"),COUNTIF(O$2:O4019,"在职"),"")</f>
        <v/>
      </c>
    </row>
    <row r="4020" spans="1:16">
      <c r="A4020" s="10" t="str">
        <f t="shared" si="68"/>
        <v/>
      </c>
      <c r="D4020" s="120" t="s">
        <v>490</v>
      </c>
      <c r="O4020" s="28" t="str">
        <f>IF(D4020="","",IF(COUNTIF(离职清单!C:C,D4020)&gt;0,"已离职","在职"))</f>
        <v>在职</v>
      </c>
      <c r="P4020" s="28" t="str">
        <f>IF(AND(O4020="在职",J4020="是"),COUNTIF(O$2:O4020,"在职"),"")</f>
        <v/>
      </c>
    </row>
    <row r="4021" spans="1:16">
      <c r="A4021" s="14" t="str">
        <f t="shared" si="68"/>
        <v/>
      </c>
      <c r="D4021" s="120" t="s">
        <v>492</v>
      </c>
      <c r="O4021" s="28" t="str">
        <f>IF(D4021="","",IF(COUNTIF(离职清单!C:C,D4021)&gt;0,"已离职","在职"))</f>
        <v>在职</v>
      </c>
      <c r="P4021" s="28" t="str">
        <f>IF(AND(O4021="在职",J4021="是"),COUNTIF(O$2:O4021,"在职"),"")</f>
        <v/>
      </c>
    </row>
    <row r="4022" spans="1:16">
      <c r="A4022" s="10" t="str">
        <f t="shared" si="68"/>
        <v/>
      </c>
      <c r="D4022" s="120" t="s">
        <v>477</v>
      </c>
      <c r="O4022" s="28" t="str">
        <f>IF(D4022="","",IF(COUNTIF(离职清单!C:C,D4022)&gt;0,"已离职","在职"))</f>
        <v>在职</v>
      </c>
      <c r="P4022" s="28" t="str">
        <f>IF(AND(O4022="在职",J4022="是"),COUNTIF(O$2:O4022,"在职"),"")</f>
        <v/>
      </c>
    </row>
    <row r="4023" spans="1:16">
      <c r="A4023" s="14" t="str">
        <f t="shared" si="68"/>
        <v/>
      </c>
      <c r="D4023" s="120" t="s">
        <v>478</v>
      </c>
      <c r="O4023" s="28" t="str">
        <f>IF(D4023="","",IF(COUNTIF(离职清单!C:C,D4023)&gt;0,"已离职","在职"))</f>
        <v>在职</v>
      </c>
      <c r="P4023" s="28" t="str">
        <f>IF(AND(O4023="在职",J4023="是"),COUNTIF(O$2:O4023,"在职"),"")</f>
        <v/>
      </c>
    </row>
    <row r="4024" spans="1:16">
      <c r="A4024" s="10" t="str">
        <f t="shared" si="68"/>
        <v/>
      </c>
      <c r="D4024" s="120" t="s">
        <v>480</v>
      </c>
      <c r="O4024" s="28" t="str">
        <f>IF(D4024="","",IF(COUNTIF(离职清单!C:C,D4024)&gt;0,"已离职","在职"))</f>
        <v>在职</v>
      </c>
      <c r="P4024" s="28" t="str">
        <f>IF(AND(O4024="在职",J4024="是"),COUNTIF(O$2:O4024,"在职"),"")</f>
        <v/>
      </c>
    </row>
    <row r="4025" spans="1:16">
      <c r="A4025" s="14" t="str">
        <f t="shared" si="68"/>
        <v/>
      </c>
      <c r="D4025" s="120" t="s">
        <v>482</v>
      </c>
      <c r="O4025" s="28" t="str">
        <f>IF(D4025="","",IF(COUNTIF(离职清单!C:C,D4025)&gt;0,"已离职","在职"))</f>
        <v>在职</v>
      </c>
      <c r="P4025" s="28" t="str">
        <f>IF(AND(O4025="在职",J4025="是"),COUNTIF(O$2:O4025,"在职"),"")</f>
        <v/>
      </c>
    </row>
    <row r="4026" spans="1:16">
      <c r="A4026" s="10" t="str">
        <f t="shared" si="68"/>
        <v/>
      </c>
      <c r="D4026" s="120" t="s">
        <v>484</v>
      </c>
      <c r="O4026" s="28" t="str">
        <f>IF(D4026="","",IF(COUNTIF(离职清单!C:C,D4026)&gt;0,"已离职","在职"))</f>
        <v>在职</v>
      </c>
      <c r="P4026" s="28" t="str">
        <f>IF(AND(O4026="在职",J4026="是"),COUNTIF(O$2:O4026,"在职"),"")</f>
        <v/>
      </c>
    </row>
    <row r="4027" spans="1:16">
      <c r="A4027" s="14" t="str">
        <f t="shared" si="68"/>
        <v/>
      </c>
      <c r="D4027" s="120" t="s">
        <v>486</v>
      </c>
      <c r="O4027" s="28" t="str">
        <f>IF(D4027="","",IF(COUNTIF(离职清单!C:C,D4027)&gt;0,"已离职","在职"))</f>
        <v>在职</v>
      </c>
      <c r="P4027" s="28" t="str">
        <f>IF(AND(O4027="在职",J4027="是"),COUNTIF(O$2:O4027,"在职"),"")</f>
        <v/>
      </c>
    </row>
    <row r="4028" spans="1:16">
      <c r="A4028" s="10" t="str">
        <f t="shared" si="68"/>
        <v/>
      </c>
      <c r="D4028" s="120" t="s">
        <v>488</v>
      </c>
      <c r="O4028" s="28" t="str">
        <f>IF(D4028="","",IF(COUNTIF(离职清单!C:C,D4028)&gt;0,"已离职","在职"))</f>
        <v>在职</v>
      </c>
      <c r="P4028" s="28" t="str">
        <f>IF(AND(O4028="在职",J4028="是"),COUNTIF(O$2:O4028,"在职"),"")</f>
        <v/>
      </c>
    </row>
    <row r="4029" spans="1:16">
      <c r="A4029" s="14" t="str">
        <f t="shared" si="68"/>
        <v/>
      </c>
      <c r="D4029" s="120" t="s">
        <v>490</v>
      </c>
      <c r="O4029" s="28" t="str">
        <f>IF(D4029="","",IF(COUNTIF(离职清单!C:C,D4029)&gt;0,"已离职","在职"))</f>
        <v>在职</v>
      </c>
      <c r="P4029" s="28" t="str">
        <f>IF(AND(O4029="在职",J4029="是"),COUNTIF(O$2:O4029,"在职"),"")</f>
        <v/>
      </c>
    </row>
    <row r="4030" spans="1:16">
      <c r="A4030" s="10" t="str">
        <f t="shared" si="68"/>
        <v/>
      </c>
      <c r="D4030" s="120" t="s">
        <v>492</v>
      </c>
      <c r="O4030" s="28" t="str">
        <f>IF(D4030="","",IF(COUNTIF(离职清单!C:C,D4030)&gt;0,"已离职","在职"))</f>
        <v>在职</v>
      </c>
      <c r="P4030" s="28" t="str">
        <f>IF(AND(O4030="在职",J4030="是"),COUNTIF(O$2:O4030,"在职"),"")</f>
        <v/>
      </c>
    </row>
    <row r="4031" spans="1:16">
      <c r="A4031" s="14" t="str">
        <f t="shared" si="68"/>
        <v/>
      </c>
      <c r="D4031" s="120" t="s">
        <v>477</v>
      </c>
      <c r="O4031" s="28" t="str">
        <f>IF(D4031="","",IF(COUNTIF(离职清单!C:C,D4031)&gt;0,"已离职","在职"))</f>
        <v>在职</v>
      </c>
      <c r="P4031" s="28" t="str">
        <f>IF(AND(O4031="在职",J4031="是"),COUNTIF(O$2:O4031,"在职"),"")</f>
        <v/>
      </c>
    </row>
    <row r="4032" spans="1:16">
      <c r="A4032" s="10" t="str">
        <f t="shared" si="68"/>
        <v/>
      </c>
      <c r="D4032" s="120" t="s">
        <v>477</v>
      </c>
      <c r="O4032" s="28" t="str">
        <f>IF(D4032="","",IF(COUNTIF(离职清单!C:C,D4032)&gt;0,"已离职","在职"))</f>
        <v>在职</v>
      </c>
      <c r="P4032" s="28" t="str">
        <f>IF(AND(O4032="在职",J4032="是"),COUNTIF(O$2:O4032,"在职"),"")</f>
        <v/>
      </c>
    </row>
    <row r="4033" spans="1:16">
      <c r="A4033" s="14" t="str">
        <f t="shared" si="68"/>
        <v/>
      </c>
      <c r="D4033" s="120" t="s">
        <v>478</v>
      </c>
      <c r="O4033" s="28" t="str">
        <f>IF(D4033="","",IF(COUNTIF(离职清单!C:C,D4033)&gt;0,"已离职","在职"))</f>
        <v>在职</v>
      </c>
      <c r="P4033" s="28" t="str">
        <f>IF(AND(O4033="在职",J4033="是"),COUNTIF(O$2:O4033,"在职"),"")</f>
        <v/>
      </c>
    </row>
    <row r="4034" spans="1:16">
      <c r="A4034" s="10" t="str">
        <f t="shared" si="68"/>
        <v/>
      </c>
      <c r="D4034" s="120" t="s">
        <v>480</v>
      </c>
      <c r="O4034" s="28" t="str">
        <f>IF(D4034="","",IF(COUNTIF(离职清单!C:C,D4034)&gt;0,"已离职","在职"))</f>
        <v>在职</v>
      </c>
      <c r="P4034" s="28" t="str">
        <f>IF(AND(O4034="在职",J4034="是"),COUNTIF(O$2:O4034,"在职"),"")</f>
        <v/>
      </c>
    </row>
    <row r="4035" spans="1:16">
      <c r="A4035" s="14" t="str">
        <f t="shared" si="68"/>
        <v/>
      </c>
      <c r="D4035" s="120" t="s">
        <v>482</v>
      </c>
      <c r="O4035" s="28" t="str">
        <f>IF(D4035="","",IF(COUNTIF(离职清单!C:C,D4035)&gt;0,"已离职","在职"))</f>
        <v>在职</v>
      </c>
      <c r="P4035" s="28" t="str">
        <f>IF(AND(O4035="在职",J4035="是"),COUNTIF(O$2:O4035,"在职"),"")</f>
        <v/>
      </c>
    </row>
    <row r="4036" spans="1:16">
      <c r="A4036" s="10" t="str">
        <f t="shared" si="68"/>
        <v/>
      </c>
      <c r="D4036" s="120" t="s">
        <v>484</v>
      </c>
      <c r="O4036" s="28" t="str">
        <f>IF(D4036="","",IF(COUNTIF(离职清单!C:C,D4036)&gt;0,"已离职","在职"))</f>
        <v>在职</v>
      </c>
      <c r="P4036" s="28" t="str">
        <f>IF(AND(O4036="在职",J4036="是"),COUNTIF(O$2:O4036,"在职"),"")</f>
        <v/>
      </c>
    </row>
    <row r="4037" spans="1:16">
      <c r="A4037" s="14" t="str">
        <f t="shared" si="68"/>
        <v/>
      </c>
      <c r="D4037" s="120" t="s">
        <v>486</v>
      </c>
      <c r="O4037" s="28" t="str">
        <f>IF(D4037="","",IF(COUNTIF(离职清单!C:C,D4037)&gt;0,"已离职","在职"))</f>
        <v>在职</v>
      </c>
      <c r="P4037" s="28" t="str">
        <f>IF(AND(O4037="在职",J4037="是"),COUNTIF(O$2:O4037,"在职"),"")</f>
        <v/>
      </c>
    </row>
    <row r="4038" spans="1:16">
      <c r="A4038" s="10" t="str">
        <f t="shared" si="68"/>
        <v/>
      </c>
      <c r="D4038" s="120" t="s">
        <v>488</v>
      </c>
      <c r="O4038" s="28" t="str">
        <f>IF(D4038="","",IF(COUNTIF(离职清单!C:C,D4038)&gt;0,"已离职","在职"))</f>
        <v>在职</v>
      </c>
      <c r="P4038" s="28" t="str">
        <f>IF(AND(O4038="在职",J4038="是"),COUNTIF(O$2:O4038,"在职"),"")</f>
        <v/>
      </c>
    </row>
    <row r="4039" spans="1:16">
      <c r="A4039" s="14" t="str">
        <f t="shared" si="68"/>
        <v/>
      </c>
      <c r="D4039" s="120" t="s">
        <v>490</v>
      </c>
      <c r="O4039" s="28" t="str">
        <f>IF(D4039="","",IF(COUNTIF(离职清单!C:C,D4039)&gt;0,"已离职","在职"))</f>
        <v>在职</v>
      </c>
      <c r="P4039" s="28" t="str">
        <f>IF(AND(O4039="在职",J4039="是"),COUNTIF(O$2:O4039,"在职"),"")</f>
        <v/>
      </c>
    </row>
    <row r="4040" spans="1:16">
      <c r="A4040" s="10" t="str">
        <f t="shared" si="68"/>
        <v/>
      </c>
      <c r="D4040" s="120" t="s">
        <v>492</v>
      </c>
      <c r="O4040" s="28" t="str">
        <f>IF(D4040="","",IF(COUNTIF(离职清单!C:C,D4040)&gt;0,"已离职","在职"))</f>
        <v>在职</v>
      </c>
      <c r="P4040" s="28" t="str">
        <f>IF(AND(O4040="在职",J4040="是"),COUNTIF(O$2:O4040,"在职"),"")</f>
        <v/>
      </c>
    </row>
    <row r="4041" spans="1:16">
      <c r="A4041" s="14" t="str">
        <f t="shared" si="68"/>
        <v/>
      </c>
      <c r="D4041" s="120" t="s">
        <v>477</v>
      </c>
      <c r="O4041" s="28" t="str">
        <f>IF(D4041="","",IF(COUNTIF(离职清单!C:C,D4041)&gt;0,"已离职","在职"))</f>
        <v>在职</v>
      </c>
      <c r="P4041" s="28" t="str">
        <f>IF(AND(O4041="在职",J4041="是"),COUNTIF(O$2:O4041,"在职"),"")</f>
        <v/>
      </c>
    </row>
    <row r="4042" spans="1:16">
      <c r="A4042" s="10" t="str">
        <f t="shared" si="68"/>
        <v/>
      </c>
      <c r="D4042" s="120" t="s">
        <v>478</v>
      </c>
      <c r="O4042" s="28" t="str">
        <f>IF(D4042="","",IF(COUNTIF(离职清单!C:C,D4042)&gt;0,"已离职","在职"))</f>
        <v>在职</v>
      </c>
      <c r="P4042" s="28" t="str">
        <f>IF(AND(O4042="在职",J4042="是"),COUNTIF(O$2:O4042,"在职"),"")</f>
        <v/>
      </c>
    </row>
    <row r="4043" spans="1:16">
      <c r="A4043" s="14" t="str">
        <f t="shared" si="68"/>
        <v/>
      </c>
      <c r="D4043" s="120" t="s">
        <v>480</v>
      </c>
      <c r="O4043" s="28" t="str">
        <f>IF(D4043="","",IF(COUNTIF(离职清单!C:C,D4043)&gt;0,"已离职","在职"))</f>
        <v>在职</v>
      </c>
      <c r="P4043" s="28" t="str">
        <f>IF(AND(O4043="在职",J4043="是"),COUNTIF(O$2:O4043,"在职"),"")</f>
        <v/>
      </c>
    </row>
    <row r="4044" spans="1:16">
      <c r="A4044" s="10" t="str">
        <f t="shared" si="68"/>
        <v/>
      </c>
      <c r="D4044" s="120" t="s">
        <v>482</v>
      </c>
      <c r="O4044" s="28" t="str">
        <f>IF(D4044="","",IF(COUNTIF(离职清单!C:C,D4044)&gt;0,"已离职","在职"))</f>
        <v>在职</v>
      </c>
      <c r="P4044" s="28" t="str">
        <f>IF(AND(O4044="在职",J4044="是"),COUNTIF(O$2:O4044,"在职"),"")</f>
        <v/>
      </c>
    </row>
    <row r="4045" spans="1:16">
      <c r="A4045" s="14" t="str">
        <f t="shared" si="68"/>
        <v/>
      </c>
      <c r="D4045" s="120" t="s">
        <v>484</v>
      </c>
      <c r="O4045" s="28" t="str">
        <f>IF(D4045="","",IF(COUNTIF(离职清单!C:C,D4045)&gt;0,"已离职","在职"))</f>
        <v>在职</v>
      </c>
      <c r="P4045" s="28" t="str">
        <f>IF(AND(O4045="在职",J4045="是"),COUNTIF(O$2:O4045,"在职"),"")</f>
        <v/>
      </c>
    </row>
    <row r="4046" spans="1:16">
      <c r="A4046" s="10" t="str">
        <f t="shared" si="68"/>
        <v/>
      </c>
      <c r="D4046" s="120" t="s">
        <v>486</v>
      </c>
      <c r="O4046" s="28" t="str">
        <f>IF(D4046="","",IF(COUNTIF(离职清单!C:C,D4046)&gt;0,"已离职","在职"))</f>
        <v>在职</v>
      </c>
      <c r="P4046" s="28" t="str">
        <f>IF(AND(O4046="在职",J4046="是"),COUNTIF(O$2:O4046,"在职"),"")</f>
        <v/>
      </c>
    </row>
    <row r="4047" spans="1:16">
      <c r="A4047" s="14" t="str">
        <f t="shared" si="68"/>
        <v/>
      </c>
      <c r="D4047" s="120" t="s">
        <v>488</v>
      </c>
      <c r="O4047" s="28" t="str">
        <f>IF(D4047="","",IF(COUNTIF(离职清单!C:C,D4047)&gt;0,"已离职","在职"))</f>
        <v>在职</v>
      </c>
      <c r="P4047" s="28" t="str">
        <f>IF(AND(O4047="在职",J4047="是"),COUNTIF(O$2:O4047,"在职"),"")</f>
        <v/>
      </c>
    </row>
    <row r="4048" spans="1:16">
      <c r="A4048" s="10" t="str">
        <f t="shared" si="68"/>
        <v/>
      </c>
      <c r="D4048" s="120" t="s">
        <v>490</v>
      </c>
      <c r="O4048" s="28" t="str">
        <f>IF(D4048="","",IF(COUNTIF(离职清单!C:C,D4048)&gt;0,"已离职","在职"))</f>
        <v>在职</v>
      </c>
      <c r="P4048" s="28" t="str">
        <f>IF(AND(O4048="在职",J4048="是"),COUNTIF(O$2:O4048,"在职"),"")</f>
        <v/>
      </c>
    </row>
    <row r="4049" spans="1:16">
      <c r="A4049" s="14" t="str">
        <f t="shared" si="68"/>
        <v/>
      </c>
      <c r="D4049" s="120" t="s">
        <v>492</v>
      </c>
      <c r="O4049" s="28" t="str">
        <f>IF(D4049="","",IF(COUNTIF(离职清单!C:C,D4049)&gt;0,"已离职","在职"))</f>
        <v>在职</v>
      </c>
      <c r="P4049" s="28" t="str">
        <f>IF(AND(O4049="在职",J4049="是"),COUNTIF(O$2:O4049,"在职"),"")</f>
        <v/>
      </c>
    </row>
    <row r="4050" spans="1:16">
      <c r="A4050" s="10" t="str">
        <f t="shared" si="68"/>
        <v/>
      </c>
      <c r="D4050" s="120" t="s">
        <v>477</v>
      </c>
      <c r="O4050" s="28" t="str">
        <f>IF(D4050="","",IF(COUNTIF(离职清单!C:C,D4050)&gt;0,"已离职","在职"))</f>
        <v>在职</v>
      </c>
      <c r="P4050" s="28" t="str">
        <f>IF(AND(O4050="在职",J4050="是"),COUNTIF(O$2:O4050,"在职"),"")</f>
        <v/>
      </c>
    </row>
    <row r="4051" spans="1:16">
      <c r="A4051" s="14" t="str">
        <f t="shared" si="68"/>
        <v/>
      </c>
      <c r="D4051" s="120" t="s">
        <v>478</v>
      </c>
      <c r="O4051" s="28" t="str">
        <f>IF(D4051="","",IF(COUNTIF(离职清单!C:C,D4051)&gt;0,"已离职","在职"))</f>
        <v>在职</v>
      </c>
      <c r="P4051" s="28" t="str">
        <f>IF(AND(O4051="在职",J4051="是"),COUNTIF(O$2:O4051,"在职"),"")</f>
        <v/>
      </c>
    </row>
    <row r="4052" spans="1:16">
      <c r="A4052" s="10" t="str">
        <f t="shared" si="68"/>
        <v/>
      </c>
      <c r="D4052" s="120" t="s">
        <v>480</v>
      </c>
      <c r="O4052" s="28" t="str">
        <f>IF(D4052="","",IF(COUNTIF(离职清单!C:C,D4052)&gt;0,"已离职","在职"))</f>
        <v>在职</v>
      </c>
      <c r="P4052" s="28" t="str">
        <f>IF(AND(O4052="在职",J4052="是"),COUNTIF(O$2:O4052,"在职"),"")</f>
        <v/>
      </c>
    </row>
    <row r="4053" spans="1:16">
      <c r="A4053" s="14" t="str">
        <f t="shared" si="68"/>
        <v/>
      </c>
      <c r="D4053" s="120" t="s">
        <v>482</v>
      </c>
      <c r="O4053" s="28" t="str">
        <f>IF(D4053="","",IF(COUNTIF(离职清单!C:C,D4053)&gt;0,"已离职","在职"))</f>
        <v>在职</v>
      </c>
      <c r="P4053" s="28" t="str">
        <f>IF(AND(O4053="在职",J4053="是"),COUNTIF(O$2:O4053,"在职"),"")</f>
        <v/>
      </c>
    </row>
    <row r="4054" spans="1:16">
      <c r="A4054" s="10" t="str">
        <f t="shared" si="68"/>
        <v/>
      </c>
      <c r="D4054" s="120" t="s">
        <v>484</v>
      </c>
      <c r="O4054" s="28" t="str">
        <f>IF(D4054="","",IF(COUNTIF(离职清单!C:C,D4054)&gt;0,"已离职","在职"))</f>
        <v>在职</v>
      </c>
      <c r="P4054" s="28" t="str">
        <f>IF(AND(O4054="在职",J4054="是"),COUNTIF(O$2:O4054,"在职"),"")</f>
        <v/>
      </c>
    </row>
    <row r="4055" spans="1:16">
      <c r="A4055" s="14" t="str">
        <f t="shared" si="68"/>
        <v/>
      </c>
      <c r="D4055" s="120" t="s">
        <v>486</v>
      </c>
      <c r="O4055" s="28" t="str">
        <f>IF(D4055="","",IF(COUNTIF(离职清单!C:C,D4055)&gt;0,"已离职","在职"))</f>
        <v>在职</v>
      </c>
      <c r="P4055" s="28" t="str">
        <f>IF(AND(O4055="在职",J4055="是"),COUNTIF(O$2:O4055,"在职"),"")</f>
        <v/>
      </c>
    </row>
    <row r="4056" spans="1:16">
      <c r="A4056" s="10" t="str">
        <f t="shared" si="68"/>
        <v/>
      </c>
      <c r="D4056" s="120" t="s">
        <v>488</v>
      </c>
      <c r="O4056" s="28" t="str">
        <f>IF(D4056="","",IF(COUNTIF(离职清单!C:C,D4056)&gt;0,"已离职","在职"))</f>
        <v>在职</v>
      </c>
      <c r="P4056" s="28" t="str">
        <f>IF(AND(O4056="在职",J4056="是"),COUNTIF(O$2:O4056,"在职"),"")</f>
        <v/>
      </c>
    </row>
    <row r="4057" spans="1:16">
      <c r="A4057" s="14" t="str">
        <f t="shared" si="68"/>
        <v/>
      </c>
      <c r="D4057" s="120" t="s">
        <v>490</v>
      </c>
      <c r="O4057" s="28" t="str">
        <f>IF(D4057="","",IF(COUNTIF(离职清单!C:C,D4057)&gt;0,"已离职","在职"))</f>
        <v>在职</v>
      </c>
      <c r="P4057" s="28" t="str">
        <f>IF(AND(O4057="在职",J4057="是"),COUNTIF(O$2:O4057,"在职"),"")</f>
        <v/>
      </c>
    </row>
    <row r="4058" spans="1:16">
      <c r="A4058" s="10" t="str">
        <f t="shared" si="68"/>
        <v/>
      </c>
      <c r="D4058" s="120" t="s">
        <v>492</v>
      </c>
      <c r="O4058" s="28" t="str">
        <f>IF(D4058="","",IF(COUNTIF(离职清单!C:C,D4058)&gt;0,"已离职","在职"))</f>
        <v>在职</v>
      </c>
      <c r="P4058" s="28" t="str">
        <f>IF(AND(O4058="在职",J4058="是"),COUNTIF(O$2:O4058,"在职"),"")</f>
        <v/>
      </c>
    </row>
    <row r="4059" spans="1:16">
      <c r="A4059" s="14" t="str">
        <f t="shared" si="68"/>
        <v/>
      </c>
      <c r="D4059" s="120" t="s">
        <v>477</v>
      </c>
      <c r="O4059" s="28" t="str">
        <f>IF(D4059="","",IF(COUNTIF(离职清单!C:C,D4059)&gt;0,"已离职","在职"))</f>
        <v>在职</v>
      </c>
      <c r="P4059" s="28" t="str">
        <f>IF(AND(O4059="在职",J4059="是"),COUNTIF(O$2:O4059,"在职"),"")</f>
        <v/>
      </c>
    </row>
    <row r="4060" spans="1:16">
      <c r="A4060" s="10" t="str">
        <f t="shared" si="68"/>
        <v/>
      </c>
      <c r="D4060" s="120" t="s">
        <v>478</v>
      </c>
      <c r="O4060" s="28" t="str">
        <f>IF(D4060="","",IF(COUNTIF(离职清单!C:C,D4060)&gt;0,"已离职","在职"))</f>
        <v>在职</v>
      </c>
      <c r="P4060" s="28" t="str">
        <f>IF(AND(O4060="在职",J4060="是"),COUNTIF(O$2:O4060,"在职"),"")</f>
        <v/>
      </c>
    </row>
    <row r="4061" spans="1:16">
      <c r="A4061" s="14" t="str">
        <f t="shared" si="68"/>
        <v/>
      </c>
      <c r="D4061" s="120" t="s">
        <v>480</v>
      </c>
      <c r="O4061" s="28" t="str">
        <f>IF(D4061="","",IF(COUNTIF(离职清单!C:C,D4061)&gt;0,"已离职","在职"))</f>
        <v>在职</v>
      </c>
      <c r="P4061" s="28" t="str">
        <f>IF(AND(O4061="在职",J4061="是"),COUNTIF(O$2:O4061,"在职"),"")</f>
        <v/>
      </c>
    </row>
    <row r="4062" spans="1:16">
      <c r="A4062" s="10" t="str">
        <f t="shared" si="68"/>
        <v/>
      </c>
      <c r="D4062" s="120" t="s">
        <v>482</v>
      </c>
      <c r="O4062" s="28" t="str">
        <f>IF(D4062="","",IF(COUNTIF(离职清单!C:C,D4062)&gt;0,"已离职","在职"))</f>
        <v>在职</v>
      </c>
      <c r="P4062" s="28" t="str">
        <f>IF(AND(O4062="在职",J4062="是"),COUNTIF(O$2:O4062,"在职"),"")</f>
        <v/>
      </c>
    </row>
    <row r="4063" spans="1:16">
      <c r="A4063" s="14" t="str">
        <f t="shared" si="68"/>
        <v/>
      </c>
      <c r="D4063" s="120" t="s">
        <v>484</v>
      </c>
      <c r="O4063" s="28" t="str">
        <f>IF(D4063="","",IF(COUNTIF(离职清单!C:C,D4063)&gt;0,"已离职","在职"))</f>
        <v>在职</v>
      </c>
      <c r="P4063" s="28" t="str">
        <f>IF(AND(O4063="在职",J4063="是"),COUNTIF(O$2:O4063,"在职"),"")</f>
        <v/>
      </c>
    </row>
    <row r="4064" spans="1:16">
      <c r="A4064" s="10" t="str">
        <f t="shared" si="68"/>
        <v/>
      </c>
      <c r="D4064" s="120" t="s">
        <v>486</v>
      </c>
      <c r="O4064" s="28" t="str">
        <f>IF(D4064="","",IF(COUNTIF(离职清单!C:C,D4064)&gt;0,"已离职","在职"))</f>
        <v>在职</v>
      </c>
      <c r="P4064" s="28" t="str">
        <f>IF(AND(O4064="在职",J4064="是"),COUNTIF(O$2:O4064,"在职"),"")</f>
        <v/>
      </c>
    </row>
    <row r="4065" spans="1:16">
      <c r="A4065" s="14" t="str">
        <f t="shared" si="68"/>
        <v/>
      </c>
      <c r="D4065" s="120" t="s">
        <v>488</v>
      </c>
      <c r="O4065" s="28" t="str">
        <f>IF(D4065="","",IF(COUNTIF(离职清单!C:C,D4065)&gt;0,"已离职","在职"))</f>
        <v>在职</v>
      </c>
      <c r="P4065" s="28" t="str">
        <f>IF(AND(O4065="在职",J4065="是"),COUNTIF(O$2:O4065,"在职"),"")</f>
        <v/>
      </c>
    </row>
    <row r="4066" spans="1:16">
      <c r="A4066" s="10" t="str">
        <f t="shared" si="68"/>
        <v/>
      </c>
      <c r="D4066" s="120" t="s">
        <v>490</v>
      </c>
      <c r="O4066" s="28" t="str">
        <f>IF(D4066="","",IF(COUNTIF(离职清单!C:C,D4066)&gt;0,"已离职","在职"))</f>
        <v>在职</v>
      </c>
      <c r="P4066" s="28" t="str">
        <f>IF(AND(O4066="在职",J4066="是"),COUNTIF(O$2:O4066,"在职"),"")</f>
        <v/>
      </c>
    </row>
    <row r="4067" spans="1:16">
      <c r="A4067" s="14" t="str">
        <f t="shared" si="68"/>
        <v/>
      </c>
      <c r="D4067" s="120" t="s">
        <v>492</v>
      </c>
      <c r="O4067" s="28" t="str">
        <f>IF(D4067="","",IF(COUNTIF(离职清单!C:C,D4067)&gt;0,"已离职","在职"))</f>
        <v>在职</v>
      </c>
      <c r="P4067" s="28" t="str">
        <f>IF(AND(O4067="在职",J4067="是"),COUNTIF(O$2:O4067,"在职"),"")</f>
        <v/>
      </c>
    </row>
    <row r="4068" spans="1:16">
      <c r="A4068" s="10" t="str">
        <f t="shared" si="68"/>
        <v/>
      </c>
      <c r="D4068" s="120" t="s">
        <v>477</v>
      </c>
      <c r="O4068" s="28" t="str">
        <f>IF(D4068="","",IF(COUNTIF(离职清单!C:C,D4068)&gt;0,"已离职","在职"))</f>
        <v>在职</v>
      </c>
      <c r="P4068" s="28" t="str">
        <f>IF(AND(O4068="在职",J4068="是"),COUNTIF(O$2:O4068,"在职"),"")</f>
        <v/>
      </c>
    </row>
    <row r="4069" spans="1:16">
      <c r="A4069" s="14" t="str">
        <f t="shared" si="68"/>
        <v/>
      </c>
      <c r="D4069" s="120" t="s">
        <v>478</v>
      </c>
      <c r="O4069" s="28" t="str">
        <f>IF(D4069="","",IF(COUNTIF(离职清单!C:C,D4069)&gt;0,"已离职","在职"))</f>
        <v>在职</v>
      </c>
      <c r="P4069" s="28" t="str">
        <f>IF(AND(O4069="在职",J4069="是"),COUNTIF(O$2:O4069,"在职"),"")</f>
        <v/>
      </c>
    </row>
    <row r="4070" spans="1:16">
      <c r="A4070" s="10" t="str">
        <f t="shared" si="68"/>
        <v/>
      </c>
      <c r="D4070" s="120" t="s">
        <v>480</v>
      </c>
      <c r="O4070" s="28" t="str">
        <f>IF(D4070="","",IF(COUNTIF(离职清单!C:C,D4070)&gt;0,"已离职","在职"))</f>
        <v>在职</v>
      </c>
      <c r="P4070" s="28" t="str">
        <f>IF(AND(O4070="在职",J4070="是"),COUNTIF(O$2:O4070,"在职"),"")</f>
        <v/>
      </c>
    </row>
    <row r="4071" spans="1:16">
      <c r="A4071" s="14" t="str">
        <f t="shared" si="68"/>
        <v/>
      </c>
      <c r="D4071" s="120" t="s">
        <v>482</v>
      </c>
      <c r="O4071" s="28" t="str">
        <f>IF(D4071="","",IF(COUNTIF(离职清单!C:C,D4071)&gt;0,"已离职","在职"))</f>
        <v>在职</v>
      </c>
      <c r="P4071" s="28" t="str">
        <f>IF(AND(O4071="在职",J4071="是"),COUNTIF(O$2:O4071,"在职"),"")</f>
        <v/>
      </c>
    </row>
    <row r="4072" spans="1:16">
      <c r="A4072" s="10" t="str">
        <f t="shared" si="68"/>
        <v/>
      </c>
      <c r="D4072" s="120" t="s">
        <v>484</v>
      </c>
      <c r="O4072" s="28" t="str">
        <f>IF(D4072="","",IF(COUNTIF(离职清单!C:C,D4072)&gt;0,"已离职","在职"))</f>
        <v>在职</v>
      </c>
      <c r="P4072" s="28" t="str">
        <f>IF(AND(O4072="在职",J4072="是"),COUNTIF(O$2:O4072,"在职"),"")</f>
        <v/>
      </c>
    </row>
    <row r="4073" spans="1:16">
      <c r="A4073" s="14" t="str">
        <f t="shared" si="68"/>
        <v/>
      </c>
      <c r="D4073" s="120" t="s">
        <v>486</v>
      </c>
      <c r="O4073" s="28" t="str">
        <f>IF(D4073="","",IF(COUNTIF(离职清单!C:C,D4073)&gt;0,"已离职","在职"))</f>
        <v>在职</v>
      </c>
      <c r="P4073" s="28" t="str">
        <f>IF(AND(O4073="在职",J4073="是"),COUNTIF(O$2:O4073,"在职"),"")</f>
        <v/>
      </c>
    </row>
    <row r="4074" spans="1:16">
      <c r="A4074" s="10" t="str">
        <f t="shared" si="68"/>
        <v/>
      </c>
      <c r="D4074" s="120" t="s">
        <v>488</v>
      </c>
      <c r="O4074" s="28" t="str">
        <f>IF(D4074="","",IF(COUNTIF(离职清单!C:C,D4074)&gt;0,"已离职","在职"))</f>
        <v>在职</v>
      </c>
      <c r="P4074" s="28" t="str">
        <f>IF(AND(O4074="在职",J4074="是"),COUNTIF(O$2:O4074,"在职"),"")</f>
        <v/>
      </c>
    </row>
    <row r="4075" spans="1:16">
      <c r="A4075" s="14" t="str">
        <f t="shared" si="68"/>
        <v/>
      </c>
      <c r="D4075" s="120" t="s">
        <v>490</v>
      </c>
      <c r="O4075" s="28" t="str">
        <f>IF(D4075="","",IF(COUNTIF(离职清单!C:C,D4075)&gt;0,"已离职","在职"))</f>
        <v>在职</v>
      </c>
      <c r="P4075" s="28" t="str">
        <f>IF(AND(O4075="在职",J4075="是"),COUNTIF(O$2:O4075,"在职"),"")</f>
        <v/>
      </c>
    </row>
    <row r="4076" spans="1:16">
      <c r="A4076" s="10" t="str">
        <f t="shared" ref="A4076:A4139" si="69">IF(B4076&lt;&gt;"",ROW()-1,"")</f>
        <v/>
      </c>
      <c r="D4076" s="120" t="s">
        <v>492</v>
      </c>
      <c r="O4076" s="28" t="str">
        <f>IF(D4076="","",IF(COUNTIF(离职清单!C:C,D4076)&gt;0,"已离职","在职"))</f>
        <v>在职</v>
      </c>
      <c r="P4076" s="28" t="str">
        <f>IF(AND(O4076="在职",J4076="是"),COUNTIF(O$2:O4076,"在职"),"")</f>
        <v/>
      </c>
    </row>
    <row r="4077" spans="1:16">
      <c r="A4077" s="14" t="str">
        <f t="shared" si="69"/>
        <v/>
      </c>
      <c r="D4077" s="120" t="s">
        <v>477</v>
      </c>
      <c r="O4077" s="28" t="str">
        <f>IF(D4077="","",IF(COUNTIF(离职清单!C:C,D4077)&gt;0,"已离职","在职"))</f>
        <v>在职</v>
      </c>
      <c r="P4077" s="28" t="str">
        <f>IF(AND(O4077="在职",J4077="是"),COUNTIF(O$2:O4077,"在职"),"")</f>
        <v/>
      </c>
    </row>
    <row r="4078" spans="1:16">
      <c r="A4078" s="10" t="str">
        <f t="shared" si="69"/>
        <v/>
      </c>
      <c r="D4078" s="120" t="s">
        <v>478</v>
      </c>
      <c r="O4078" s="28" t="str">
        <f>IF(D4078="","",IF(COUNTIF(离职清单!C:C,D4078)&gt;0,"已离职","在职"))</f>
        <v>在职</v>
      </c>
      <c r="P4078" s="28" t="str">
        <f>IF(AND(O4078="在职",J4078="是"),COUNTIF(O$2:O4078,"在职"),"")</f>
        <v/>
      </c>
    </row>
    <row r="4079" spans="1:16">
      <c r="A4079" s="14" t="str">
        <f t="shared" si="69"/>
        <v/>
      </c>
      <c r="D4079" s="120" t="s">
        <v>480</v>
      </c>
      <c r="O4079" s="28" t="str">
        <f>IF(D4079="","",IF(COUNTIF(离职清单!C:C,D4079)&gt;0,"已离职","在职"))</f>
        <v>在职</v>
      </c>
      <c r="P4079" s="28" t="str">
        <f>IF(AND(O4079="在职",J4079="是"),COUNTIF(O$2:O4079,"在职"),"")</f>
        <v/>
      </c>
    </row>
    <row r="4080" spans="1:16">
      <c r="A4080" s="10" t="str">
        <f t="shared" si="69"/>
        <v/>
      </c>
      <c r="D4080" s="120" t="s">
        <v>482</v>
      </c>
      <c r="O4080" s="28" t="str">
        <f>IF(D4080="","",IF(COUNTIF(离职清单!C:C,D4080)&gt;0,"已离职","在职"))</f>
        <v>在职</v>
      </c>
      <c r="P4080" s="28" t="str">
        <f>IF(AND(O4080="在职",J4080="是"),COUNTIF(O$2:O4080,"在职"),"")</f>
        <v/>
      </c>
    </row>
    <row r="4081" spans="1:16">
      <c r="A4081" s="14" t="str">
        <f t="shared" si="69"/>
        <v/>
      </c>
      <c r="D4081" s="120" t="s">
        <v>484</v>
      </c>
      <c r="O4081" s="28" t="str">
        <f>IF(D4081="","",IF(COUNTIF(离职清单!C:C,D4081)&gt;0,"已离职","在职"))</f>
        <v>在职</v>
      </c>
      <c r="P4081" s="28" t="str">
        <f>IF(AND(O4081="在职",J4081="是"),COUNTIF(O$2:O4081,"在职"),"")</f>
        <v/>
      </c>
    </row>
    <row r="4082" spans="1:16">
      <c r="A4082" s="10" t="str">
        <f t="shared" si="69"/>
        <v/>
      </c>
      <c r="D4082" s="120" t="s">
        <v>486</v>
      </c>
      <c r="O4082" s="28" t="str">
        <f>IF(D4082="","",IF(COUNTIF(离职清单!C:C,D4082)&gt;0,"已离职","在职"))</f>
        <v>在职</v>
      </c>
      <c r="P4082" s="28" t="str">
        <f>IF(AND(O4082="在职",J4082="是"),COUNTIF(O$2:O4082,"在职"),"")</f>
        <v/>
      </c>
    </row>
    <row r="4083" spans="1:16">
      <c r="A4083" s="14" t="str">
        <f t="shared" si="69"/>
        <v/>
      </c>
      <c r="D4083" s="120" t="s">
        <v>488</v>
      </c>
      <c r="O4083" s="28" t="str">
        <f>IF(D4083="","",IF(COUNTIF(离职清单!C:C,D4083)&gt;0,"已离职","在职"))</f>
        <v>在职</v>
      </c>
      <c r="P4083" s="28" t="str">
        <f>IF(AND(O4083="在职",J4083="是"),COUNTIF(O$2:O4083,"在职"),"")</f>
        <v/>
      </c>
    </row>
    <row r="4084" spans="1:16">
      <c r="A4084" s="10" t="str">
        <f t="shared" si="69"/>
        <v/>
      </c>
      <c r="D4084" s="120" t="s">
        <v>490</v>
      </c>
      <c r="O4084" s="28" t="str">
        <f>IF(D4084="","",IF(COUNTIF(离职清单!C:C,D4084)&gt;0,"已离职","在职"))</f>
        <v>在职</v>
      </c>
      <c r="P4084" s="28" t="str">
        <f>IF(AND(O4084="在职",J4084="是"),COUNTIF(O$2:O4084,"在职"),"")</f>
        <v/>
      </c>
    </row>
    <row r="4085" spans="1:16">
      <c r="A4085" s="14" t="str">
        <f t="shared" si="69"/>
        <v/>
      </c>
      <c r="D4085" s="120" t="s">
        <v>492</v>
      </c>
      <c r="O4085" s="28" t="str">
        <f>IF(D4085="","",IF(COUNTIF(离职清单!C:C,D4085)&gt;0,"已离职","在职"))</f>
        <v>在职</v>
      </c>
      <c r="P4085" s="28" t="str">
        <f>IF(AND(O4085="在职",J4085="是"),COUNTIF(O$2:O4085,"在职"),"")</f>
        <v/>
      </c>
    </row>
    <row r="4086" spans="1:16">
      <c r="A4086" s="10" t="str">
        <f t="shared" si="69"/>
        <v/>
      </c>
      <c r="D4086" s="120" t="s">
        <v>477</v>
      </c>
      <c r="O4086" s="28" t="str">
        <f>IF(D4086="","",IF(COUNTIF(离职清单!C:C,D4086)&gt;0,"已离职","在职"))</f>
        <v>在职</v>
      </c>
      <c r="P4086" s="28" t="str">
        <f>IF(AND(O4086="在职",J4086="是"),COUNTIF(O$2:O4086,"在职"),"")</f>
        <v/>
      </c>
    </row>
    <row r="4087" spans="1:16">
      <c r="A4087" s="14" t="str">
        <f t="shared" si="69"/>
        <v/>
      </c>
      <c r="D4087" s="120" t="s">
        <v>477</v>
      </c>
      <c r="O4087" s="28" t="str">
        <f>IF(D4087="","",IF(COUNTIF(离职清单!C:C,D4087)&gt;0,"已离职","在职"))</f>
        <v>在职</v>
      </c>
      <c r="P4087" s="28" t="str">
        <f>IF(AND(O4087="在职",J4087="是"),COUNTIF(O$2:O4087,"在职"),"")</f>
        <v/>
      </c>
    </row>
    <row r="4088" spans="1:16">
      <c r="A4088" s="10" t="str">
        <f t="shared" si="69"/>
        <v/>
      </c>
      <c r="D4088" s="120" t="s">
        <v>478</v>
      </c>
      <c r="O4088" s="28" t="str">
        <f>IF(D4088="","",IF(COUNTIF(离职清单!C:C,D4088)&gt;0,"已离职","在职"))</f>
        <v>在职</v>
      </c>
      <c r="P4088" s="28" t="str">
        <f>IF(AND(O4088="在职",J4088="是"),COUNTIF(O$2:O4088,"在职"),"")</f>
        <v/>
      </c>
    </row>
    <row r="4089" spans="1:16">
      <c r="A4089" s="14" t="str">
        <f t="shared" si="69"/>
        <v/>
      </c>
      <c r="D4089" s="120" t="s">
        <v>480</v>
      </c>
      <c r="O4089" s="28" t="str">
        <f>IF(D4089="","",IF(COUNTIF(离职清单!C:C,D4089)&gt;0,"已离职","在职"))</f>
        <v>在职</v>
      </c>
      <c r="P4089" s="28" t="str">
        <f>IF(AND(O4089="在职",J4089="是"),COUNTIF(O$2:O4089,"在职"),"")</f>
        <v/>
      </c>
    </row>
    <row r="4090" spans="1:16">
      <c r="A4090" s="10" t="str">
        <f t="shared" si="69"/>
        <v/>
      </c>
      <c r="D4090" s="120" t="s">
        <v>482</v>
      </c>
      <c r="O4090" s="28" t="str">
        <f>IF(D4090="","",IF(COUNTIF(离职清单!C:C,D4090)&gt;0,"已离职","在职"))</f>
        <v>在职</v>
      </c>
      <c r="P4090" s="28" t="str">
        <f>IF(AND(O4090="在职",J4090="是"),COUNTIF(O$2:O4090,"在职"),"")</f>
        <v/>
      </c>
    </row>
    <row r="4091" spans="1:16">
      <c r="A4091" s="14" t="str">
        <f t="shared" si="69"/>
        <v/>
      </c>
      <c r="D4091" s="120" t="s">
        <v>484</v>
      </c>
      <c r="O4091" s="28" t="str">
        <f>IF(D4091="","",IF(COUNTIF(离职清单!C:C,D4091)&gt;0,"已离职","在职"))</f>
        <v>在职</v>
      </c>
      <c r="P4091" s="28" t="str">
        <f>IF(AND(O4091="在职",J4091="是"),COUNTIF(O$2:O4091,"在职"),"")</f>
        <v/>
      </c>
    </row>
    <row r="4092" spans="1:16">
      <c r="A4092" s="10" t="str">
        <f t="shared" si="69"/>
        <v/>
      </c>
      <c r="D4092" s="120" t="s">
        <v>486</v>
      </c>
      <c r="O4092" s="28" t="str">
        <f>IF(D4092="","",IF(COUNTIF(离职清单!C:C,D4092)&gt;0,"已离职","在职"))</f>
        <v>在职</v>
      </c>
      <c r="P4092" s="28" t="str">
        <f>IF(AND(O4092="在职",J4092="是"),COUNTIF(O$2:O4092,"在职"),"")</f>
        <v/>
      </c>
    </row>
    <row r="4093" spans="1:16">
      <c r="A4093" s="14" t="str">
        <f t="shared" si="69"/>
        <v/>
      </c>
      <c r="D4093" s="120" t="s">
        <v>488</v>
      </c>
      <c r="O4093" s="28" t="str">
        <f>IF(D4093="","",IF(COUNTIF(离职清单!C:C,D4093)&gt;0,"已离职","在职"))</f>
        <v>在职</v>
      </c>
      <c r="P4093" s="28" t="str">
        <f>IF(AND(O4093="在职",J4093="是"),COUNTIF(O$2:O4093,"在职"),"")</f>
        <v/>
      </c>
    </row>
    <row r="4094" spans="1:16">
      <c r="A4094" s="10" t="str">
        <f t="shared" si="69"/>
        <v/>
      </c>
      <c r="D4094" s="120" t="s">
        <v>490</v>
      </c>
      <c r="O4094" s="28" t="str">
        <f>IF(D4094="","",IF(COUNTIF(离职清单!C:C,D4094)&gt;0,"已离职","在职"))</f>
        <v>在职</v>
      </c>
      <c r="P4094" s="28" t="str">
        <f>IF(AND(O4094="在职",J4094="是"),COUNTIF(O$2:O4094,"在职"),"")</f>
        <v/>
      </c>
    </row>
    <row r="4095" spans="1:16">
      <c r="A4095" s="14" t="str">
        <f t="shared" si="69"/>
        <v/>
      </c>
      <c r="D4095" s="120" t="s">
        <v>492</v>
      </c>
      <c r="O4095" s="28" t="str">
        <f>IF(D4095="","",IF(COUNTIF(离职清单!C:C,D4095)&gt;0,"已离职","在职"))</f>
        <v>在职</v>
      </c>
      <c r="P4095" s="28" t="str">
        <f>IF(AND(O4095="在职",J4095="是"),COUNTIF(O$2:O4095,"在职"),"")</f>
        <v/>
      </c>
    </row>
    <row r="4096" spans="1:16">
      <c r="A4096" s="10" t="str">
        <f t="shared" si="69"/>
        <v/>
      </c>
      <c r="D4096" s="120" t="s">
        <v>477</v>
      </c>
      <c r="O4096" s="28" t="str">
        <f>IF(D4096="","",IF(COUNTIF(离职清单!C:C,D4096)&gt;0,"已离职","在职"))</f>
        <v>在职</v>
      </c>
      <c r="P4096" s="28" t="str">
        <f>IF(AND(O4096="在职",J4096="是"),COUNTIF(O$2:O4096,"在职"),"")</f>
        <v/>
      </c>
    </row>
    <row r="4097" spans="1:16">
      <c r="A4097" s="14" t="str">
        <f t="shared" si="69"/>
        <v/>
      </c>
      <c r="D4097" s="120" t="s">
        <v>478</v>
      </c>
      <c r="O4097" s="28" t="str">
        <f>IF(D4097="","",IF(COUNTIF(离职清单!C:C,D4097)&gt;0,"已离职","在职"))</f>
        <v>在职</v>
      </c>
      <c r="P4097" s="28" t="str">
        <f>IF(AND(O4097="在职",J4097="是"),COUNTIF(O$2:O4097,"在职"),"")</f>
        <v/>
      </c>
    </row>
    <row r="4098" spans="1:16">
      <c r="A4098" s="10" t="str">
        <f t="shared" si="69"/>
        <v/>
      </c>
      <c r="D4098" s="120" t="s">
        <v>480</v>
      </c>
      <c r="O4098" s="28" t="str">
        <f>IF(D4098="","",IF(COUNTIF(离职清单!C:C,D4098)&gt;0,"已离职","在职"))</f>
        <v>在职</v>
      </c>
      <c r="P4098" s="28" t="str">
        <f>IF(AND(O4098="在职",J4098="是"),COUNTIF(O$2:O4098,"在职"),"")</f>
        <v/>
      </c>
    </row>
    <row r="4099" spans="1:16">
      <c r="A4099" s="14" t="str">
        <f t="shared" si="69"/>
        <v/>
      </c>
      <c r="D4099" s="120" t="s">
        <v>482</v>
      </c>
      <c r="O4099" s="28" t="str">
        <f>IF(D4099="","",IF(COUNTIF(离职清单!C:C,D4099)&gt;0,"已离职","在职"))</f>
        <v>在职</v>
      </c>
      <c r="P4099" s="28" t="str">
        <f>IF(AND(O4099="在职",J4099="是"),COUNTIF(O$2:O4099,"在职"),"")</f>
        <v/>
      </c>
    </row>
    <row r="4100" spans="1:16">
      <c r="A4100" s="10" t="str">
        <f t="shared" si="69"/>
        <v/>
      </c>
      <c r="D4100" s="120" t="s">
        <v>484</v>
      </c>
      <c r="O4100" s="28" t="str">
        <f>IF(D4100="","",IF(COUNTIF(离职清单!C:C,D4100)&gt;0,"已离职","在职"))</f>
        <v>在职</v>
      </c>
      <c r="P4100" s="28" t="str">
        <f>IF(AND(O4100="在职",J4100="是"),COUNTIF(O$2:O4100,"在职"),"")</f>
        <v/>
      </c>
    </row>
    <row r="4101" spans="1:16">
      <c r="A4101" s="14" t="str">
        <f t="shared" si="69"/>
        <v/>
      </c>
      <c r="D4101" s="120" t="s">
        <v>486</v>
      </c>
      <c r="O4101" s="28" t="str">
        <f>IF(D4101="","",IF(COUNTIF(离职清单!C:C,D4101)&gt;0,"已离职","在职"))</f>
        <v>在职</v>
      </c>
      <c r="P4101" s="28" t="str">
        <f>IF(AND(O4101="在职",J4101="是"),COUNTIF(O$2:O4101,"在职"),"")</f>
        <v/>
      </c>
    </row>
    <row r="4102" spans="1:16">
      <c r="A4102" s="10" t="str">
        <f t="shared" si="69"/>
        <v/>
      </c>
      <c r="D4102" s="120" t="s">
        <v>488</v>
      </c>
      <c r="O4102" s="28" t="str">
        <f>IF(D4102="","",IF(COUNTIF(离职清单!C:C,D4102)&gt;0,"已离职","在职"))</f>
        <v>在职</v>
      </c>
      <c r="P4102" s="28" t="str">
        <f>IF(AND(O4102="在职",J4102="是"),COUNTIF(O$2:O4102,"在职"),"")</f>
        <v/>
      </c>
    </row>
    <row r="4103" spans="1:16">
      <c r="A4103" s="14" t="str">
        <f t="shared" si="69"/>
        <v/>
      </c>
      <c r="D4103" s="120" t="s">
        <v>490</v>
      </c>
      <c r="O4103" s="28" t="str">
        <f>IF(D4103="","",IF(COUNTIF(离职清单!C:C,D4103)&gt;0,"已离职","在职"))</f>
        <v>在职</v>
      </c>
      <c r="P4103" s="28" t="str">
        <f>IF(AND(O4103="在职",J4103="是"),COUNTIF(O$2:O4103,"在职"),"")</f>
        <v/>
      </c>
    </row>
    <row r="4104" spans="1:16">
      <c r="A4104" s="10" t="str">
        <f t="shared" si="69"/>
        <v/>
      </c>
      <c r="D4104" s="120" t="s">
        <v>492</v>
      </c>
      <c r="O4104" s="28" t="str">
        <f>IF(D4104="","",IF(COUNTIF(离职清单!C:C,D4104)&gt;0,"已离职","在职"))</f>
        <v>在职</v>
      </c>
      <c r="P4104" s="28" t="str">
        <f>IF(AND(O4104="在职",J4104="是"),COUNTIF(O$2:O4104,"在职"),"")</f>
        <v/>
      </c>
    </row>
    <row r="4105" spans="1:16">
      <c r="A4105" s="14" t="str">
        <f t="shared" si="69"/>
        <v/>
      </c>
      <c r="D4105" s="120" t="s">
        <v>477</v>
      </c>
      <c r="O4105" s="28" t="str">
        <f>IF(D4105="","",IF(COUNTIF(离职清单!C:C,D4105)&gt;0,"已离职","在职"))</f>
        <v>在职</v>
      </c>
      <c r="P4105" s="28" t="str">
        <f>IF(AND(O4105="在职",J4105="是"),COUNTIF(O$2:O4105,"在职"),"")</f>
        <v/>
      </c>
    </row>
    <row r="4106" spans="1:16">
      <c r="A4106" s="10" t="str">
        <f t="shared" si="69"/>
        <v/>
      </c>
      <c r="D4106" s="120" t="s">
        <v>478</v>
      </c>
      <c r="O4106" s="28" t="str">
        <f>IF(D4106="","",IF(COUNTIF(离职清单!C:C,D4106)&gt;0,"已离职","在职"))</f>
        <v>在职</v>
      </c>
      <c r="P4106" s="28" t="str">
        <f>IF(AND(O4106="在职",J4106="是"),COUNTIF(O$2:O4106,"在职"),"")</f>
        <v/>
      </c>
    </row>
    <row r="4107" spans="1:16">
      <c r="A4107" s="14" t="str">
        <f t="shared" si="69"/>
        <v/>
      </c>
      <c r="D4107" s="120" t="s">
        <v>480</v>
      </c>
      <c r="O4107" s="28" t="str">
        <f>IF(D4107="","",IF(COUNTIF(离职清单!C:C,D4107)&gt;0,"已离职","在职"))</f>
        <v>在职</v>
      </c>
      <c r="P4107" s="28" t="str">
        <f>IF(AND(O4107="在职",J4107="是"),COUNTIF(O$2:O4107,"在职"),"")</f>
        <v/>
      </c>
    </row>
    <row r="4108" spans="1:16">
      <c r="A4108" s="10" t="str">
        <f t="shared" si="69"/>
        <v/>
      </c>
      <c r="D4108" s="120" t="s">
        <v>482</v>
      </c>
      <c r="O4108" s="28" t="str">
        <f>IF(D4108="","",IF(COUNTIF(离职清单!C:C,D4108)&gt;0,"已离职","在职"))</f>
        <v>在职</v>
      </c>
      <c r="P4108" s="28" t="str">
        <f>IF(AND(O4108="在职",J4108="是"),COUNTIF(O$2:O4108,"在职"),"")</f>
        <v/>
      </c>
    </row>
    <row r="4109" spans="1:16">
      <c r="A4109" s="14" t="str">
        <f t="shared" si="69"/>
        <v/>
      </c>
      <c r="D4109" s="120" t="s">
        <v>484</v>
      </c>
      <c r="O4109" s="28" t="str">
        <f>IF(D4109="","",IF(COUNTIF(离职清单!C:C,D4109)&gt;0,"已离职","在职"))</f>
        <v>在职</v>
      </c>
      <c r="P4109" s="28" t="str">
        <f>IF(AND(O4109="在职",J4109="是"),COUNTIF(O$2:O4109,"在职"),"")</f>
        <v/>
      </c>
    </row>
    <row r="4110" spans="1:16">
      <c r="A4110" s="10" t="str">
        <f t="shared" si="69"/>
        <v/>
      </c>
      <c r="D4110" s="120" t="s">
        <v>486</v>
      </c>
      <c r="O4110" s="28" t="str">
        <f>IF(D4110="","",IF(COUNTIF(离职清单!C:C,D4110)&gt;0,"已离职","在职"))</f>
        <v>在职</v>
      </c>
      <c r="P4110" s="28" t="str">
        <f>IF(AND(O4110="在职",J4110="是"),COUNTIF(O$2:O4110,"在职"),"")</f>
        <v/>
      </c>
    </row>
    <row r="4111" spans="1:16">
      <c r="A4111" s="14" t="str">
        <f t="shared" si="69"/>
        <v/>
      </c>
      <c r="D4111" s="120" t="s">
        <v>488</v>
      </c>
      <c r="O4111" s="28" t="str">
        <f>IF(D4111="","",IF(COUNTIF(离职清单!C:C,D4111)&gt;0,"已离职","在职"))</f>
        <v>在职</v>
      </c>
      <c r="P4111" s="28" t="str">
        <f>IF(AND(O4111="在职",J4111="是"),COUNTIF(O$2:O4111,"在职"),"")</f>
        <v/>
      </c>
    </row>
    <row r="4112" spans="1:16">
      <c r="A4112" s="10" t="str">
        <f t="shared" si="69"/>
        <v/>
      </c>
      <c r="D4112" s="120" t="s">
        <v>490</v>
      </c>
      <c r="O4112" s="28" t="str">
        <f>IF(D4112="","",IF(COUNTIF(离职清单!C:C,D4112)&gt;0,"已离职","在职"))</f>
        <v>在职</v>
      </c>
      <c r="P4112" s="28" t="str">
        <f>IF(AND(O4112="在职",J4112="是"),COUNTIF(O$2:O4112,"在职"),"")</f>
        <v/>
      </c>
    </row>
    <row r="4113" spans="1:16">
      <c r="A4113" s="14" t="str">
        <f t="shared" si="69"/>
        <v/>
      </c>
      <c r="D4113" s="120" t="s">
        <v>492</v>
      </c>
      <c r="O4113" s="28" t="str">
        <f>IF(D4113="","",IF(COUNTIF(离职清单!C:C,D4113)&gt;0,"已离职","在职"))</f>
        <v>在职</v>
      </c>
      <c r="P4113" s="28" t="str">
        <f>IF(AND(O4113="在职",J4113="是"),COUNTIF(O$2:O4113,"在职"),"")</f>
        <v/>
      </c>
    </row>
    <row r="4114" spans="1:16">
      <c r="A4114" s="10" t="str">
        <f t="shared" si="69"/>
        <v/>
      </c>
      <c r="D4114" s="120" t="s">
        <v>477</v>
      </c>
      <c r="O4114" s="28" t="str">
        <f>IF(D4114="","",IF(COUNTIF(离职清单!C:C,D4114)&gt;0,"已离职","在职"))</f>
        <v>在职</v>
      </c>
      <c r="P4114" s="28" t="str">
        <f>IF(AND(O4114="在职",J4114="是"),COUNTIF(O$2:O4114,"在职"),"")</f>
        <v/>
      </c>
    </row>
    <row r="4115" spans="1:16">
      <c r="A4115" s="14" t="str">
        <f t="shared" si="69"/>
        <v/>
      </c>
      <c r="D4115" s="120" t="s">
        <v>478</v>
      </c>
      <c r="O4115" s="28" t="str">
        <f>IF(D4115="","",IF(COUNTIF(离职清单!C:C,D4115)&gt;0,"已离职","在职"))</f>
        <v>在职</v>
      </c>
      <c r="P4115" s="28" t="str">
        <f>IF(AND(O4115="在职",J4115="是"),COUNTIF(O$2:O4115,"在职"),"")</f>
        <v/>
      </c>
    </row>
    <row r="4116" spans="1:16">
      <c r="A4116" s="10" t="str">
        <f t="shared" si="69"/>
        <v/>
      </c>
      <c r="D4116" s="120" t="s">
        <v>480</v>
      </c>
      <c r="O4116" s="28" t="str">
        <f>IF(D4116="","",IF(COUNTIF(离职清单!C:C,D4116)&gt;0,"已离职","在职"))</f>
        <v>在职</v>
      </c>
      <c r="P4116" s="28" t="str">
        <f>IF(AND(O4116="在职",J4116="是"),COUNTIF(O$2:O4116,"在职"),"")</f>
        <v/>
      </c>
    </row>
    <row r="4117" spans="1:16">
      <c r="A4117" s="14" t="str">
        <f t="shared" si="69"/>
        <v/>
      </c>
      <c r="D4117" s="120" t="s">
        <v>482</v>
      </c>
      <c r="O4117" s="28" t="str">
        <f>IF(D4117="","",IF(COUNTIF(离职清单!C:C,D4117)&gt;0,"已离职","在职"))</f>
        <v>在职</v>
      </c>
      <c r="P4117" s="28" t="str">
        <f>IF(AND(O4117="在职",J4117="是"),COUNTIF(O$2:O4117,"在职"),"")</f>
        <v/>
      </c>
    </row>
    <row r="4118" spans="1:16">
      <c r="A4118" s="10" t="str">
        <f t="shared" si="69"/>
        <v/>
      </c>
      <c r="D4118" s="120" t="s">
        <v>484</v>
      </c>
      <c r="O4118" s="28" t="str">
        <f>IF(D4118="","",IF(COUNTIF(离职清单!C:C,D4118)&gt;0,"已离职","在职"))</f>
        <v>在职</v>
      </c>
      <c r="P4118" s="28" t="str">
        <f>IF(AND(O4118="在职",J4118="是"),COUNTIF(O$2:O4118,"在职"),"")</f>
        <v/>
      </c>
    </row>
    <row r="4119" spans="1:16">
      <c r="A4119" s="14" t="str">
        <f t="shared" si="69"/>
        <v/>
      </c>
      <c r="D4119" s="120" t="s">
        <v>486</v>
      </c>
      <c r="O4119" s="28" t="str">
        <f>IF(D4119="","",IF(COUNTIF(离职清单!C:C,D4119)&gt;0,"已离职","在职"))</f>
        <v>在职</v>
      </c>
      <c r="P4119" s="28" t="str">
        <f>IF(AND(O4119="在职",J4119="是"),COUNTIF(O$2:O4119,"在职"),"")</f>
        <v/>
      </c>
    </row>
    <row r="4120" spans="1:16">
      <c r="A4120" s="10" t="str">
        <f t="shared" si="69"/>
        <v/>
      </c>
      <c r="D4120" s="120" t="s">
        <v>488</v>
      </c>
      <c r="O4120" s="28" t="str">
        <f>IF(D4120="","",IF(COUNTIF(离职清单!C:C,D4120)&gt;0,"已离职","在职"))</f>
        <v>在职</v>
      </c>
      <c r="P4120" s="28" t="str">
        <f>IF(AND(O4120="在职",J4120="是"),COUNTIF(O$2:O4120,"在职"),"")</f>
        <v/>
      </c>
    </row>
    <row r="4121" spans="1:16">
      <c r="A4121" s="14" t="str">
        <f t="shared" si="69"/>
        <v/>
      </c>
      <c r="D4121" s="120" t="s">
        <v>490</v>
      </c>
      <c r="O4121" s="28" t="str">
        <f>IF(D4121="","",IF(COUNTIF(离职清单!C:C,D4121)&gt;0,"已离职","在职"))</f>
        <v>在职</v>
      </c>
      <c r="P4121" s="28" t="str">
        <f>IF(AND(O4121="在职",J4121="是"),COUNTIF(O$2:O4121,"在职"),"")</f>
        <v/>
      </c>
    </row>
    <row r="4122" spans="1:16">
      <c r="A4122" s="10" t="str">
        <f t="shared" si="69"/>
        <v/>
      </c>
      <c r="D4122" s="120" t="s">
        <v>492</v>
      </c>
      <c r="O4122" s="28" t="str">
        <f>IF(D4122="","",IF(COUNTIF(离职清单!C:C,D4122)&gt;0,"已离职","在职"))</f>
        <v>在职</v>
      </c>
      <c r="P4122" s="28" t="str">
        <f>IF(AND(O4122="在职",J4122="是"),COUNTIF(O$2:O4122,"在职"),"")</f>
        <v/>
      </c>
    </row>
    <row r="4123" spans="1:16">
      <c r="A4123" s="14" t="str">
        <f t="shared" si="69"/>
        <v/>
      </c>
      <c r="D4123" s="120" t="s">
        <v>477</v>
      </c>
      <c r="O4123" s="28" t="str">
        <f>IF(D4123="","",IF(COUNTIF(离职清单!C:C,D4123)&gt;0,"已离职","在职"))</f>
        <v>在职</v>
      </c>
      <c r="P4123" s="28" t="str">
        <f>IF(AND(O4123="在职",J4123="是"),COUNTIF(O$2:O4123,"在职"),"")</f>
        <v/>
      </c>
    </row>
    <row r="4124" spans="1:16">
      <c r="A4124" s="10" t="str">
        <f t="shared" si="69"/>
        <v/>
      </c>
      <c r="D4124" s="120" t="s">
        <v>478</v>
      </c>
      <c r="O4124" s="28" t="str">
        <f>IF(D4124="","",IF(COUNTIF(离职清单!C:C,D4124)&gt;0,"已离职","在职"))</f>
        <v>在职</v>
      </c>
      <c r="P4124" s="28" t="str">
        <f>IF(AND(O4124="在职",J4124="是"),COUNTIF(O$2:O4124,"在职"),"")</f>
        <v/>
      </c>
    </row>
    <row r="4125" spans="1:16">
      <c r="A4125" s="14" t="str">
        <f t="shared" si="69"/>
        <v/>
      </c>
      <c r="D4125" s="120" t="s">
        <v>480</v>
      </c>
      <c r="O4125" s="28" t="str">
        <f>IF(D4125="","",IF(COUNTIF(离职清单!C:C,D4125)&gt;0,"已离职","在职"))</f>
        <v>在职</v>
      </c>
      <c r="P4125" s="28" t="str">
        <f>IF(AND(O4125="在职",J4125="是"),COUNTIF(O$2:O4125,"在职"),"")</f>
        <v/>
      </c>
    </row>
    <row r="4126" spans="1:16">
      <c r="A4126" s="10" t="str">
        <f t="shared" si="69"/>
        <v/>
      </c>
      <c r="D4126" s="120" t="s">
        <v>482</v>
      </c>
      <c r="O4126" s="28" t="str">
        <f>IF(D4126="","",IF(COUNTIF(离职清单!C:C,D4126)&gt;0,"已离职","在职"))</f>
        <v>在职</v>
      </c>
      <c r="P4126" s="28" t="str">
        <f>IF(AND(O4126="在职",J4126="是"),COUNTIF(O$2:O4126,"在职"),"")</f>
        <v/>
      </c>
    </row>
    <row r="4127" spans="1:16">
      <c r="A4127" s="14" t="str">
        <f t="shared" si="69"/>
        <v/>
      </c>
      <c r="D4127" s="120" t="s">
        <v>484</v>
      </c>
      <c r="O4127" s="28" t="str">
        <f>IF(D4127="","",IF(COUNTIF(离职清单!C:C,D4127)&gt;0,"已离职","在职"))</f>
        <v>在职</v>
      </c>
      <c r="P4127" s="28" t="str">
        <f>IF(AND(O4127="在职",J4127="是"),COUNTIF(O$2:O4127,"在职"),"")</f>
        <v/>
      </c>
    </row>
    <row r="4128" spans="1:16">
      <c r="A4128" s="10" t="str">
        <f t="shared" si="69"/>
        <v/>
      </c>
      <c r="D4128" s="120" t="s">
        <v>486</v>
      </c>
      <c r="O4128" s="28" t="str">
        <f>IF(D4128="","",IF(COUNTIF(离职清单!C:C,D4128)&gt;0,"已离职","在职"))</f>
        <v>在职</v>
      </c>
      <c r="P4128" s="28" t="str">
        <f>IF(AND(O4128="在职",J4128="是"),COUNTIF(O$2:O4128,"在职"),"")</f>
        <v/>
      </c>
    </row>
    <row r="4129" spans="1:16">
      <c r="A4129" s="14" t="str">
        <f t="shared" si="69"/>
        <v/>
      </c>
      <c r="D4129" s="120" t="s">
        <v>488</v>
      </c>
      <c r="O4129" s="28" t="str">
        <f>IF(D4129="","",IF(COUNTIF(离职清单!C:C,D4129)&gt;0,"已离职","在职"))</f>
        <v>在职</v>
      </c>
      <c r="P4129" s="28" t="str">
        <f>IF(AND(O4129="在职",J4129="是"),COUNTIF(O$2:O4129,"在职"),"")</f>
        <v/>
      </c>
    </row>
    <row r="4130" spans="1:16">
      <c r="A4130" s="10" t="str">
        <f t="shared" si="69"/>
        <v/>
      </c>
      <c r="D4130" s="120" t="s">
        <v>490</v>
      </c>
      <c r="O4130" s="28" t="str">
        <f>IF(D4130="","",IF(COUNTIF(离职清单!C:C,D4130)&gt;0,"已离职","在职"))</f>
        <v>在职</v>
      </c>
      <c r="P4130" s="28" t="str">
        <f>IF(AND(O4130="在职",J4130="是"),COUNTIF(O$2:O4130,"在职"),"")</f>
        <v/>
      </c>
    </row>
    <row r="4131" spans="1:16">
      <c r="A4131" s="14" t="str">
        <f t="shared" si="69"/>
        <v/>
      </c>
      <c r="D4131" s="120" t="s">
        <v>492</v>
      </c>
      <c r="O4131" s="28" t="str">
        <f>IF(D4131="","",IF(COUNTIF(离职清单!C:C,D4131)&gt;0,"已离职","在职"))</f>
        <v>在职</v>
      </c>
      <c r="P4131" s="28" t="str">
        <f>IF(AND(O4131="在职",J4131="是"),COUNTIF(O$2:O4131,"在职"),"")</f>
        <v/>
      </c>
    </row>
    <row r="4132" spans="1:16">
      <c r="A4132" s="10" t="str">
        <f t="shared" si="69"/>
        <v/>
      </c>
      <c r="D4132" s="120" t="s">
        <v>477</v>
      </c>
      <c r="O4132" s="28" t="str">
        <f>IF(D4132="","",IF(COUNTIF(离职清单!C:C,D4132)&gt;0,"已离职","在职"))</f>
        <v>在职</v>
      </c>
      <c r="P4132" s="28" t="str">
        <f>IF(AND(O4132="在职",J4132="是"),COUNTIF(O$2:O4132,"在职"),"")</f>
        <v/>
      </c>
    </row>
    <row r="4133" spans="1:16">
      <c r="A4133" s="14" t="str">
        <f t="shared" si="69"/>
        <v/>
      </c>
      <c r="D4133" s="120" t="s">
        <v>478</v>
      </c>
      <c r="O4133" s="28" t="str">
        <f>IF(D4133="","",IF(COUNTIF(离职清单!C:C,D4133)&gt;0,"已离职","在职"))</f>
        <v>在职</v>
      </c>
      <c r="P4133" s="28" t="str">
        <f>IF(AND(O4133="在职",J4133="是"),COUNTIF(O$2:O4133,"在职"),"")</f>
        <v/>
      </c>
    </row>
    <row r="4134" spans="1:16">
      <c r="A4134" s="10" t="str">
        <f t="shared" si="69"/>
        <v/>
      </c>
      <c r="D4134" s="120" t="s">
        <v>480</v>
      </c>
      <c r="O4134" s="28" t="str">
        <f>IF(D4134="","",IF(COUNTIF(离职清单!C:C,D4134)&gt;0,"已离职","在职"))</f>
        <v>在职</v>
      </c>
      <c r="P4134" s="28" t="str">
        <f>IF(AND(O4134="在职",J4134="是"),COUNTIF(O$2:O4134,"在职"),"")</f>
        <v/>
      </c>
    </row>
    <row r="4135" spans="1:16">
      <c r="A4135" s="14" t="str">
        <f t="shared" si="69"/>
        <v/>
      </c>
      <c r="D4135" s="120" t="s">
        <v>482</v>
      </c>
      <c r="O4135" s="28" t="str">
        <f>IF(D4135="","",IF(COUNTIF(离职清单!C:C,D4135)&gt;0,"已离职","在职"))</f>
        <v>在职</v>
      </c>
      <c r="P4135" s="28" t="str">
        <f>IF(AND(O4135="在职",J4135="是"),COUNTIF(O$2:O4135,"在职"),"")</f>
        <v/>
      </c>
    </row>
    <row r="4136" spans="1:16">
      <c r="A4136" s="10" t="str">
        <f t="shared" si="69"/>
        <v/>
      </c>
      <c r="D4136" s="120" t="s">
        <v>484</v>
      </c>
      <c r="O4136" s="28" t="str">
        <f>IF(D4136="","",IF(COUNTIF(离职清单!C:C,D4136)&gt;0,"已离职","在职"))</f>
        <v>在职</v>
      </c>
      <c r="P4136" s="28" t="str">
        <f>IF(AND(O4136="在职",J4136="是"),COUNTIF(O$2:O4136,"在职"),"")</f>
        <v/>
      </c>
    </row>
    <row r="4137" spans="1:16">
      <c r="A4137" s="14" t="str">
        <f t="shared" si="69"/>
        <v/>
      </c>
      <c r="D4137" s="120" t="s">
        <v>486</v>
      </c>
      <c r="O4137" s="28" t="str">
        <f>IF(D4137="","",IF(COUNTIF(离职清单!C:C,D4137)&gt;0,"已离职","在职"))</f>
        <v>在职</v>
      </c>
      <c r="P4137" s="28" t="str">
        <f>IF(AND(O4137="在职",J4137="是"),COUNTIF(O$2:O4137,"在职"),"")</f>
        <v/>
      </c>
    </row>
    <row r="4138" spans="1:16">
      <c r="A4138" s="10" t="str">
        <f t="shared" si="69"/>
        <v/>
      </c>
      <c r="D4138" s="120" t="s">
        <v>488</v>
      </c>
      <c r="O4138" s="28" t="str">
        <f>IF(D4138="","",IF(COUNTIF(离职清单!C:C,D4138)&gt;0,"已离职","在职"))</f>
        <v>在职</v>
      </c>
      <c r="P4138" s="28" t="str">
        <f>IF(AND(O4138="在职",J4138="是"),COUNTIF(O$2:O4138,"在职"),"")</f>
        <v/>
      </c>
    </row>
    <row r="4139" spans="1:16">
      <c r="A4139" s="14" t="str">
        <f t="shared" si="69"/>
        <v/>
      </c>
      <c r="D4139" s="120" t="s">
        <v>490</v>
      </c>
      <c r="O4139" s="28" t="str">
        <f>IF(D4139="","",IF(COUNTIF(离职清单!C:C,D4139)&gt;0,"已离职","在职"))</f>
        <v>在职</v>
      </c>
      <c r="P4139" s="28" t="str">
        <f>IF(AND(O4139="在职",J4139="是"),COUNTIF(O$2:O4139,"在职"),"")</f>
        <v/>
      </c>
    </row>
    <row r="4140" spans="1:16">
      <c r="A4140" s="10" t="str">
        <f t="shared" ref="A4140:A4203" si="70">IF(B4140&lt;&gt;"",ROW()-1,"")</f>
        <v/>
      </c>
      <c r="D4140" s="120" t="s">
        <v>492</v>
      </c>
      <c r="O4140" s="28" t="str">
        <f>IF(D4140="","",IF(COUNTIF(离职清单!C:C,D4140)&gt;0,"已离职","在职"))</f>
        <v>在职</v>
      </c>
      <c r="P4140" s="28" t="str">
        <f>IF(AND(O4140="在职",J4140="是"),COUNTIF(O$2:O4140,"在职"),"")</f>
        <v/>
      </c>
    </row>
    <row r="4141" spans="1:16">
      <c r="A4141" s="14" t="str">
        <f t="shared" si="70"/>
        <v/>
      </c>
      <c r="D4141" s="120" t="s">
        <v>477</v>
      </c>
      <c r="O4141" s="28" t="str">
        <f>IF(D4141="","",IF(COUNTIF(离职清单!C:C,D4141)&gt;0,"已离职","在职"))</f>
        <v>在职</v>
      </c>
      <c r="P4141" s="28" t="str">
        <f>IF(AND(O4141="在职",J4141="是"),COUNTIF(O$2:O4141,"在职"),"")</f>
        <v/>
      </c>
    </row>
    <row r="4142" spans="1:16">
      <c r="A4142" s="10" t="str">
        <f t="shared" si="70"/>
        <v/>
      </c>
      <c r="D4142" s="120" t="s">
        <v>477</v>
      </c>
      <c r="O4142" s="28" t="str">
        <f>IF(D4142="","",IF(COUNTIF(离职清单!C:C,D4142)&gt;0,"已离职","在职"))</f>
        <v>在职</v>
      </c>
      <c r="P4142" s="28" t="str">
        <f>IF(AND(O4142="在职",J4142="是"),COUNTIF(O$2:O4142,"在职"),"")</f>
        <v/>
      </c>
    </row>
    <row r="4143" spans="1:16">
      <c r="A4143" s="14" t="str">
        <f t="shared" si="70"/>
        <v/>
      </c>
      <c r="D4143" s="120" t="s">
        <v>478</v>
      </c>
      <c r="O4143" s="28" t="str">
        <f>IF(D4143="","",IF(COUNTIF(离职清单!C:C,D4143)&gt;0,"已离职","在职"))</f>
        <v>在职</v>
      </c>
      <c r="P4143" s="28" t="str">
        <f>IF(AND(O4143="在职",J4143="是"),COUNTIF(O$2:O4143,"在职"),"")</f>
        <v/>
      </c>
    </row>
    <row r="4144" spans="1:16">
      <c r="A4144" s="10" t="str">
        <f t="shared" si="70"/>
        <v/>
      </c>
      <c r="D4144" s="120" t="s">
        <v>480</v>
      </c>
      <c r="O4144" s="28" t="str">
        <f>IF(D4144="","",IF(COUNTIF(离职清单!C:C,D4144)&gt;0,"已离职","在职"))</f>
        <v>在职</v>
      </c>
      <c r="P4144" s="28" t="str">
        <f>IF(AND(O4144="在职",J4144="是"),COUNTIF(O$2:O4144,"在职"),"")</f>
        <v/>
      </c>
    </row>
    <row r="4145" spans="1:16">
      <c r="A4145" s="14" t="str">
        <f t="shared" si="70"/>
        <v/>
      </c>
      <c r="D4145" s="120" t="s">
        <v>482</v>
      </c>
      <c r="O4145" s="28" t="str">
        <f>IF(D4145="","",IF(COUNTIF(离职清单!C:C,D4145)&gt;0,"已离职","在职"))</f>
        <v>在职</v>
      </c>
      <c r="P4145" s="28" t="str">
        <f>IF(AND(O4145="在职",J4145="是"),COUNTIF(O$2:O4145,"在职"),"")</f>
        <v/>
      </c>
    </row>
    <row r="4146" spans="1:16">
      <c r="A4146" s="10" t="str">
        <f t="shared" si="70"/>
        <v/>
      </c>
      <c r="D4146" s="120" t="s">
        <v>484</v>
      </c>
      <c r="O4146" s="28" t="str">
        <f>IF(D4146="","",IF(COUNTIF(离职清单!C:C,D4146)&gt;0,"已离职","在职"))</f>
        <v>在职</v>
      </c>
      <c r="P4146" s="28" t="str">
        <f>IF(AND(O4146="在职",J4146="是"),COUNTIF(O$2:O4146,"在职"),"")</f>
        <v/>
      </c>
    </row>
    <row r="4147" spans="1:16">
      <c r="A4147" s="14" t="str">
        <f t="shared" si="70"/>
        <v/>
      </c>
      <c r="D4147" s="120" t="s">
        <v>486</v>
      </c>
      <c r="O4147" s="28" t="str">
        <f>IF(D4147="","",IF(COUNTIF(离职清单!C:C,D4147)&gt;0,"已离职","在职"))</f>
        <v>在职</v>
      </c>
      <c r="P4147" s="28" t="str">
        <f>IF(AND(O4147="在职",J4147="是"),COUNTIF(O$2:O4147,"在职"),"")</f>
        <v/>
      </c>
    </row>
    <row r="4148" spans="1:16">
      <c r="A4148" s="10" t="str">
        <f t="shared" si="70"/>
        <v/>
      </c>
      <c r="D4148" s="120" t="s">
        <v>488</v>
      </c>
      <c r="O4148" s="28" t="str">
        <f>IF(D4148="","",IF(COUNTIF(离职清单!C:C,D4148)&gt;0,"已离职","在职"))</f>
        <v>在职</v>
      </c>
      <c r="P4148" s="28" t="str">
        <f>IF(AND(O4148="在职",J4148="是"),COUNTIF(O$2:O4148,"在职"),"")</f>
        <v/>
      </c>
    </row>
    <row r="4149" spans="1:16">
      <c r="A4149" s="14" t="str">
        <f t="shared" si="70"/>
        <v/>
      </c>
      <c r="D4149" s="120" t="s">
        <v>490</v>
      </c>
      <c r="O4149" s="28" t="str">
        <f>IF(D4149="","",IF(COUNTIF(离职清单!C:C,D4149)&gt;0,"已离职","在职"))</f>
        <v>在职</v>
      </c>
      <c r="P4149" s="28" t="str">
        <f>IF(AND(O4149="在职",J4149="是"),COUNTIF(O$2:O4149,"在职"),"")</f>
        <v/>
      </c>
    </row>
    <row r="4150" spans="1:16">
      <c r="A4150" s="10" t="str">
        <f t="shared" si="70"/>
        <v/>
      </c>
      <c r="D4150" s="120" t="s">
        <v>492</v>
      </c>
      <c r="O4150" s="28" t="str">
        <f>IF(D4150="","",IF(COUNTIF(离职清单!C:C,D4150)&gt;0,"已离职","在职"))</f>
        <v>在职</v>
      </c>
      <c r="P4150" s="28" t="str">
        <f>IF(AND(O4150="在职",J4150="是"),COUNTIF(O$2:O4150,"在职"),"")</f>
        <v/>
      </c>
    </row>
    <row r="4151" spans="1:16">
      <c r="A4151" s="14" t="str">
        <f t="shared" si="70"/>
        <v/>
      </c>
      <c r="D4151" s="120" t="s">
        <v>477</v>
      </c>
      <c r="O4151" s="28" t="str">
        <f>IF(D4151="","",IF(COUNTIF(离职清单!C:C,D4151)&gt;0,"已离职","在职"))</f>
        <v>在职</v>
      </c>
      <c r="P4151" s="28" t="str">
        <f>IF(AND(O4151="在职",J4151="是"),COUNTIF(O$2:O4151,"在职"),"")</f>
        <v/>
      </c>
    </row>
    <row r="4152" spans="1:16">
      <c r="A4152" s="10" t="str">
        <f t="shared" si="70"/>
        <v/>
      </c>
      <c r="D4152" s="120" t="s">
        <v>478</v>
      </c>
      <c r="O4152" s="28" t="str">
        <f>IF(D4152="","",IF(COUNTIF(离职清单!C:C,D4152)&gt;0,"已离职","在职"))</f>
        <v>在职</v>
      </c>
      <c r="P4152" s="28" t="str">
        <f>IF(AND(O4152="在职",J4152="是"),COUNTIF(O$2:O4152,"在职"),"")</f>
        <v/>
      </c>
    </row>
    <row r="4153" spans="1:16">
      <c r="A4153" s="14" t="str">
        <f t="shared" si="70"/>
        <v/>
      </c>
      <c r="D4153" s="120" t="s">
        <v>480</v>
      </c>
      <c r="O4153" s="28" t="str">
        <f>IF(D4153="","",IF(COUNTIF(离职清单!C:C,D4153)&gt;0,"已离职","在职"))</f>
        <v>在职</v>
      </c>
      <c r="P4153" s="28" t="str">
        <f>IF(AND(O4153="在职",J4153="是"),COUNTIF(O$2:O4153,"在职"),"")</f>
        <v/>
      </c>
    </row>
    <row r="4154" spans="1:16">
      <c r="A4154" s="10" t="str">
        <f t="shared" si="70"/>
        <v/>
      </c>
      <c r="D4154" s="120" t="s">
        <v>482</v>
      </c>
      <c r="O4154" s="28" t="str">
        <f>IF(D4154="","",IF(COUNTIF(离职清单!C:C,D4154)&gt;0,"已离职","在职"))</f>
        <v>在职</v>
      </c>
      <c r="P4154" s="28" t="str">
        <f>IF(AND(O4154="在职",J4154="是"),COUNTIF(O$2:O4154,"在职"),"")</f>
        <v/>
      </c>
    </row>
    <row r="4155" spans="1:16">
      <c r="A4155" s="14" t="str">
        <f t="shared" si="70"/>
        <v/>
      </c>
      <c r="D4155" s="120" t="s">
        <v>484</v>
      </c>
      <c r="O4155" s="28" t="str">
        <f>IF(D4155="","",IF(COUNTIF(离职清单!C:C,D4155)&gt;0,"已离职","在职"))</f>
        <v>在职</v>
      </c>
      <c r="P4155" s="28" t="str">
        <f>IF(AND(O4155="在职",J4155="是"),COUNTIF(O$2:O4155,"在职"),"")</f>
        <v/>
      </c>
    </row>
    <row r="4156" spans="1:16">
      <c r="A4156" s="10" t="str">
        <f t="shared" si="70"/>
        <v/>
      </c>
      <c r="D4156" s="120" t="s">
        <v>486</v>
      </c>
      <c r="O4156" s="28" t="str">
        <f>IF(D4156="","",IF(COUNTIF(离职清单!C:C,D4156)&gt;0,"已离职","在职"))</f>
        <v>在职</v>
      </c>
      <c r="P4156" s="28" t="str">
        <f>IF(AND(O4156="在职",J4156="是"),COUNTIF(O$2:O4156,"在职"),"")</f>
        <v/>
      </c>
    </row>
    <row r="4157" spans="1:16">
      <c r="A4157" s="14" t="str">
        <f t="shared" si="70"/>
        <v/>
      </c>
      <c r="D4157" s="120" t="s">
        <v>488</v>
      </c>
      <c r="O4157" s="28" t="str">
        <f>IF(D4157="","",IF(COUNTIF(离职清单!C:C,D4157)&gt;0,"已离职","在职"))</f>
        <v>在职</v>
      </c>
      <c r="P4157" s="28" t="str">
        <f>IF(AND(O4157="在职",J4157="是"),COUNTIF(O$2:O4157,"在职"),"")</f>
        <v/>
      </c>
    </row>
    <row r="4158" spans="1:16">
      <c r="A4158" s="10" t="str">
        <f t="shared" si="70"/>
        <v/>
      </c>
      <c r="D4158" s="120" t="s">
        <v>490</v>
      </c>
      <c r="O4158" s="28" t="str">
        <f>IF(D4158="","",IF(COUNTIF(离职清单!C:C,D4158)&gt;0,"已离职","在职"))</f>
        <v>在职</v>
      </c>
      <c r="P4158" s="28" t="str">
        <f>IF(AND(O4158="在职",J4158="是"),COUNTIF(O$2:O4158,"在职"),"")</f>
        <v/>
      </c>
    </row>
    <row r="4159" spans="1:16">
      <c r="A4159" s="14" t="str">
        <f t="shared" si="70"/>
        <v/>
      </c>
      <c r="D4159" s="120" t="s">
        <v>492</v>
      </c>
      <c r="O4159" s="28" t="str">
        <f>IF(D4159="","",IF(COUNTIF(离职清单!C:C,D4159)&gt;0,"已离职","在职"))</f>
        <v>在职</v>
      </c>
      <c r="P4159" s="28" t="str">
        <f>IF(AND(O4159="在职",J4159="是"),COUNTIF(O$2:O4159,"在职"),"")</f>
        <v/>
      </c>
    </row>
    <row r="4160" spans="1:16">
      <c r="A4160" s="10" t="str">
        <f t="shared" si="70"/>
        <v/>
      </c>
      <c r="D4160" s="120" t="s">
        <v>477</v>
      </c>
      <c r="O4160" s="28" t="str">
        <f>IF(D4160="","",IF(COUNTIF(离职清单!C:C,D4160)&gt;0,"已离职","在职"))</f>
        <v>在职</v>
      </c>
      <c r="P4160" s="28" t="str">
        <f>IF(AND(O4160="在职",J4160="是"),COUNTIF(O$2:O4160,"在职"),"")</f>
        <v/>
      </c>
    </row>
    <row r="4161" spans="1:16">
      <c r="A4161" s="14" t="str">
        <f t="shared" si="70"/>
        <v/>
      </c>
      <c r="D4161" s="120" t="s">
        <v>478</v>
      </c>
      <c r="O4161" s="28" t="str">
        <f>IF(D4161="","",IF(COUNTIF(离职清单!C:C,D4161)&gt;0,"已离职","在职"))</f>
        <v>在职</v>
      </c>
      <c r="P4161" s="28" t="str">
        <f>IF(AND(O4161="在职",J4161="是"),COUNTIF(O$2:O4161,"在职"),"")</f>
        <v/>
      </c>
    </row>
    <row r="4162" spans="1:16">
      <c r="A4162" s="10" t="str">
        <f t="shared" si="70"/>
        <v/>
      </c>
      <c r="D4162" s="120" t="s">
        <v>480</v>
      </c>
      <c r="O4162" s="28" t="str">
        <f>IF(D4162="","",IF(COUNTIF(离职清单!C:C,D4162)&gt;0,"已离职","在职"))</f>
        <v>在职</v>
      </c>
      <c r="P4162" s="28" t="str">
        <f>IF(AND(O4162="在职",J4162="是"),COUNTIF(O$2:O4162,"在职"),"")</f>
        <v/>
      </c>
    </row>
    <row r="4163" spans="1:16">
      <c r="A4163" s="14" t="str">
        <f t="shared" si="70"/>
        <v/>
      </c>
      <c r="D4163" s="120" t="s">
        <v>482</v>
      </c>
      <c r="O4163" s="28" t="str">
        <f>IF(D4163="","",IF(COUNTIF(离职清单!C:C,D4163)&gt;0,"已离职","在职"))</f>
        <v>在职</v>
      </c>
      <c r="P4163" s="28" t="str">
        <f>IF(AND(O4163="在职",J4163="是"),COUNTIF(O$2:O4163,"在职"),"")</f>
        <v/>
      </c>
    </row>
    <row r="4164" spans="1:16">
      <c r="A4164" s="10" t="str">
        <f t="shared" si="70"/>
        <v/>
      </c>
      <c r="D4164" s="120" t="s">
        <v>484</v>
      </c>
      <c r="O4164" s="28" t="str">
        <f>IF(D4164="","",IF(COUNTIF(离职清单!C:C,D4164)&gt;0,"已离职","在职"))</f>
        <v>在职</v>
      </c>
      <c r="P4164" s="28" t="str">
        <f>IF(AND(O4164="在职",J4164="是"),COUNTIF(O$2:O4164,"在职"),"")</f>
        <v/>
      </c>
    </row>
    <row r="4165" spans="1:16">
      <c r="A4165" s="14" t="str">
        <f t="shared" si="70"/>
        <v/>
      </c>
      <c r="D4165" s="120" t="s">
        <v>486</v>
      </c>
      <c r="O4165" s="28" t="str">
        <f>IF(D4165="","",IF(COUNTIF(离职清单!C:C,D4165)&gt;0,"已离职","在职"))</f>
        <v>在职</v>
      </c>
      <c r="P4165" s="28" t="str">
        <f>IF(AND(O4165="在职",J4165="是"),COUNTIF(O$2:O4165,"在职"),"")</f>
        <v/>
      </c>
    </row>
    <row r="4166" spans="1:16">
      <c r="A4166" s="10" t="str">
        <f t="shared" si="70"/>
        <v/>
      </c>
      <c r="D4166" s="120" t="s">
        <v>488</v>
      </c>
      <c r="O4166" s="28" t="str">
        <f>IF(D4166="","",IF(COUNTIF(离职清单!C:C,D4166)&gt;0,"已离职","在职"))</f>
        <v>在职</v>
      </c>
      <c r="P4166" s="28" t="str">
        <f>IF(AND(O4166="在职",J4166="是"),COUNTIF(O$2:O4166,"在职"),"")</f>
        <v/>
      </c>
    </row>
    <row r="4167" spans="1:16">
      <c r="A4167" s="14" t="str">
        <f t="shared" si="70"/>
        <v/>
      </c>
      <c r="D4167" s="120" t="s">
        <v>490</v>
      </c>
      <c r="O4167" s="28" t="str">
        <f>IF(D4167="","",IF(COUNTIF(离职清单!C:C,D4167)&gt;0,"已离职","在职"))</f>
        <v>在职</v>
      </c>
      <c r="P4167" s="28" t="str">
        <f>IF(AND(O4167="在职",J4167="是"),COUNTIF(O$2:O4167,"在职"),"")</f>
        <v/>
      </c>
    </row>
    <row r="4168" spans="1:16">
      <c r="A4168" s="10" t="str">
        <f t="shared" si="70"/>
        <v/>
      </c>
      <c r="D4168" s="120" t="s">
        <v>492</v>
      </c>
      <c r="O4168" s="28" t="str">
        <f>IF(D4168="","",IF(COUNTIF(离职清单!C:C,D4168)&gt;0,"已离职","在职"))</f>
        <v>在职</v>
      </c>
      <c r="P4168" s="28" t="str">
        <f>IF(AND(O4168="在职",J4168="是"),COUNTIF(O$2:O4168,"在职"),"")</f>
        <v/>
      </c>
    </row>
    <row r="4169" spans="1:16">
      <c r="A4169" s="14" t="str">
        <f t="shared" si="70"/>
        <v/>
      </c>
      <c r="D4169" s="120" t="s">
        <v>477</v>
      </c>
      <c r="O4169" s="28" t="str">
        <f>IF(D4169="","",IF(COUNTIF(离职清单!C:C,D4169)&gt;0,"已离职","在职"))</f>
        <v>在职</v>
      </c>
      <c r="P4169" s="28" t="str">
        <f>IF(AND(O4169="在职",J4169="是"),COUNTIF(O$2:O4169,"在职"),"")</f>
        <v/>
      </c>
    </row>
    <row r="4170" spans="1:16">
      <c r="A4170" s="10" t="str">
        <f t="shared" si="70"/>
        <v/>
      </c>
      <c r="D4170" s="120" t="s">
        <v>478</v>
      </c>
      <c r="O4170" s="28" t="str">
        <f>IF(D4170="","",IF(COUNTIF(离职清单!C:C,D4170)&gt;0,"已离职","在职"))</f>
        <v>在职</v>
      </c>
      <c r="P4170" s="28" t="str">
        <f>IF(AND(O4170="在职",J4170="是"),COUNTIF(O$2:O4170,"在职"),"")</f>
        <v/>
      </c>
    </row>
    <row r="4171" spans="1:16">
      <c r="A4171" s="14" t="str">
        <f t="shared" si="70"/>
        <v/>
      </c>
      <c r="D4171" s="120" t="s">
        <v>480</v>
      </c>
      <c r="O4171" s="28" t="str">
        <f>IF(D4171="","",IF(COUNTIF(离职清单!C:C,D4171)&gt;0,"已离职","在职"))</f>
        <v>在职</v>
      </c>
      <c r="P4171" s="28" t="str">
        <f>IF(AND(O4171="在职",J4171="是"),COUNTIF(O$2:O4171,"在职"),"")</f>
        <v/>
      </c>
    </row>
    <row r="4172" spans="1:16">
      <c r="A4172" s="10" t="str">
        <f t="shared" si="70"/>
        <v/>
      </c>
      <c r="D4172" s="120" t="s">
        <v>482</v>
      </c>
      <c r="O4172" s="28" t="str">
        <f>IF(D4172="","",IF(COUNTIF(离职清单!C:C,D4172)&gt;0,"已离职","在职"))</f>
        <v>在职</v>
      </c>
      <c r="P4172" s="28" t="str">
        <f>IF(AND(O4172="在职",J4172="是"),COUNTIF(O$2:O4172,"在职"),"")</f>
        <v/>
      </c>
    </row>
    <row r="4173" spans="1:16">
      <c r="A4173" s="14" t="str">
        <f t="shared" si="70"/>
        <v/>
      </c>
      <c r="D4173" s="120" t="s">
        <v>484</v>
      </c>
      <c r="O4173" s="28" t="str">
        <f>IF(D4173="","",IF(COUNTIF(离职清单!C:C,D4173)&gt;0,"已离职","在职"))</f>
        <v>在职</v>
      </c>
      <c r="P4173" s="28" t="str">
        <f>IF(AND(O4173="在职",J4173="是"),COUNTIF(O$2:O4173,"在职"),"")</f>
        <v/>
      </c>
    </row>
    <row r="4174" spans="1:16">
      <c r="A4174" s="10" t="str">
        <f t="shared" si="70"/>
        <v/>
      </c>
      <c r="D4174" s="120" t="s">
        <v>486</v>
      </c>
      <c r="O4174" s="28" t="str">
        <f>IF(D4174="","",IF(COUNTIF(离职清单!C:C,D4174)&gt;0,"已离职","在职"))</f>
        <v>在职</v>
      </c>
      <c r="P4174" s="28" t="str">
        <f>IF(AND(O4174="在职",J4174="是"),COUNTIF(O$2:O4174,"在职"),"")</f>
        <v/>
      </c>
    </row>
    <row r="4175" spans="1:16">
      <c r="A4175" s="14" t="str">
        <f t="shared" si="70"/>
        <v/>
      </c>
      <c r="D4175" s="120" t="s">
        <v>488</v>
      </c>
      <c r="O4175" s="28" t="str">
        <f>IF(D4175="","",IF(COUNTIF(离职清单!C:C,D4175)&gt;0,"已离职","在职"))</f>
        <v>在职</v>
      </c>
      <c r="P4175" s="28" t="str">
        <f>IF(AND(O4175="在职",J4175="是"),COUNTIF(O$2:O4175,"在职"),"")</f>
        <v/>
      </c>
    </row>
    <row r="4176" spans="1:16">
      <c r="A4176" s="10" t="str">
        <f t="shared" si="70"/>
        <v/>
      </c>
      <c r="D4176" s="120" t="s">
        <v>490</v>
      </c>
      <c r="O4176" s="28" t="str">
        <f>IF(D4176="","",IF(COUNTIF(离职清单!C:C,D4176)&gt;0,"已离职","在职"))</f>
        <v>在职</v>
      </c>
      <c r="P4176" s="28" t="str">
        <f>IF(AND(O4176="在职",J4176="是"),COUNTIF(O$2:O4176,"在职"),"")</f>
        <v/>
      </c>
    </row>
    <row r="4177" spans="1:16">
      <c r="A4177" s="14" t="str">
        <f t="shared" si="70"/>
        <v/>
      </c>
      <c r="D4177" s="120" t="s">
        <v>492</v>
      </c>
      <c r="O4177" s="28" t="str">
        <f>IF(D4177="","",IF(COUNTIF(离职清单!C:C,D4177)&gt;0,"已离职","在职"))</f>
        <v>在职</v>
      </c>
      <c r="P4177" s="28" t="str">
        <f>IF(AND(O4177="在职",J4177="是"),COUNTIF(O$2:O4177,"在职"),"")</f>
        <v/>
      </c>
    </row>
    <row r="4178" spans="1:16">
      <c r="A4178" s="10" t="str">
        <f t="shared" si="70"/>
        <v/>
      </c>
      <c r="D4178" s="120" t="s">
        <v>477</v>
      </c>
      <c r="O4178" s="28" t="str">
        <f>IF(D4178="","",IF(COUNTIF(离职清单!C:C,D4178)&gt;0,"已离职","在职"))</f>
        <v>在职</v>
      </c>
      <c r="P4178" s="28" t="str">
        <f>IF(AND(O4178="在职",J4178="是"),COUNTIF(O$2:O4178,"在职"),"")</f>
        <v/>
      </c>
    </row>
    <row r="4179" spans="1:16">
      <c r="A4179" s="14" t="str">
        <f t="shared" si="70"/>
        <v/>
      </c>
      <c r="D4179" s="120" t="s">
        <v>478</v>
      </c>
      <c r="O4179" s="28" t="str">
        <f>IF(D4179="","",IF(COUNTIF(离职清单!C:C,D4179)&gt;0,"已离职","在职"))</f>
        <v>在职</v>
      </c>
      <c r="P4179" s="28" t="str">
        <f>IF(AND(O4179="在职",J4179="是"),COUNTIF(O$2:O4179,"在职"),"")</f>
        <v/>
      </c>
    </row>
    <row r="4180" spans="1:16">
      <c r="A4180" s="10" t="str">
        <f t="shared" si="70"/>
        <v/>
      </c>
      <c r="D4180" s="120" t="s">
        <v>480</v>
      </c>
      <c r="O4180" s="28" t="str">
        <f>IF(D4180="","",IF(COUNTIF(离职清单!C:C,D4180)&gt;0,"已离职","在职"))</f>
        <v>在职</v>
      </c>
      <c r="P4180" s="28" t="str">
        <f>IF(AND(O4180="在职",J4180="是"),COUNTIF(O$2:O4180,"在职"),"")</f>
        <v/>
      </c>
    </row>
    <row r="4181" spans="1:16">
      <c r="A4181" s="14" t="str">
        <f t="shared" si="70"/>
        <v/>
      </c>
      <c r="D4181" s="120" t="s">
        <v>482</v>
      </c>
      <c r="O4181" s="28" t="str">
        <f>IF(D4181="","",IF(COUNTIF(离职清单!C:C,D4181)&gt;0,"已离职","在职"))</f>
        <v>在职</v>
      </c>
      <c r="P4181" s="28" t="str">
        <f>IF(AND(O4181="在职",J4181="是"),COUNTIF(O$2:O4181,"在职"),"")</f>
        <v/>
      </c>
    </row>
    <row r="4182" spans="1:16">
      <c r="A4182" s="10" t="str">
        <f t="shared" si="70"/>
        <v/>
      </c>
      <c r="D4182" s="120" t="s">
        <v>484</v>
      </c>
      <c r="O4182" s="28" t="str">
        <f>IF(D4182="","",IF(COUNTIF(离职清单!C:C,D4182)&gt;0,"已离职","在职"))</f>
        <v>在职</v>
      </c>
      <c r="P4182" s="28" t="str">
        <f>IF(AND(O4182="在职",J4182="是"),COUNTIF(O$2:O4182,"在职"),"")</f>
        <v/>
      </c>
    </row>
    <row r="4183" spans="1:16">
      <c r="A4183" s="14" t="str">
        <f t="shared" si="70"/>
        <v/>
      </c>
      <c r="D4183" s="120" t="s">
        <v>486</v>
      </c>
      <c r="O4183" s="28" t="str">
        <f>IF(D4183="","",IF(COUNTIF(离职清单!C:C,D4183)&gt;0,"已离职","在职"))</f>
        <v>在职</v>
      </c>
      <c r="P4183" s="28" t="str">
        <f>IF(AND(O4183="在职",J4183="是"),COUNTIF(O$2:O4183,"在职"),"")</f>
        <v/>
      </c>
    </row>
    <row r="4184" spans="1:16">
      <c r="A4184" s="10" t="str">
        <f t="shared" si="70"/>
        <v/>
      </c>
      <c r="D4184" s="120" t="s">
        <v>488</v>
      </c>
      <c r="O4184" s="28" t="str">
        <f>IF(D4184="","",IF(COUNTIF(离职清单!C:C,D4184)&gt;0,"已离职","在职"))</f>
        <v>在职</v>
      </c>
      <c r="P4184" s="28" t="str">
        <f>IF(AND(O4184="在职",J4184="是"),COUNTIF(O$2:O4184,"在职"),"")</f>
        <v/>
      </c>
    </row>
    <row r="4185" spans="1:16">
      <c r="A4185" s="14" t="str">
        <f t="shared" si="70"/>
        <v/>
      </c>
      <c r="D4185" s="120" t="s">
        <v>490</v>
      </c>
      <c r="O4185" s="28" t="str">
        <f>IF(D4185="","",IF(COUNTIF(离职清单!C:C,D4185)&gt;0,"已离职","在职"))</f>
        <v>在职</v>
      </c>
      <c r="P4185" s="28" t="str">
        <f>IF(AND(O4185="在职",J4185="是"),COUNTIF(O$2:O4185,"在职"),"")</f>
        <v/>
      </c>
    </row>
    <row r="4186" spans="1:16">
      <c r="A4186" s="10" t="str">
        <f t="shared" si="70"/>
        <v/>
      </c>
      <c r="D4186" s="120" t="s">
        <v>492</v>
      </c>
      <c r="O4186" s="28" t="str">
        <f>IF(D4186="","",IF(COUNTIF(离职清单!C:C,D4186)&gt;0,"已离职","在职"))</f>
        <v>在职</v>
      </c>
      <c r="P4186" s="28" t="str">
        <f>IF(AND(O4186="在职",J4186="是"),COUNTIF(O$2:O4186,"在职"),"")</f>
        <v/>
      </c>
    </row>
    <row r="4187" spans="1:16">
      <c r="A4187" s="14" t="str">
        <f t="shared" si="70"/>
        <v/>
      </c>
      <c r="D4187" s="120" t="s">
        <v>477</v>
      </c>
      <c r="O4187" s="28" t="str">
        <f>IF(D4187="","",IF(COUNTIF(离职清单!C:C,D4187)&gt;0,"已离职","在职"))</f>
        <v>在职</v>
      </c>
      <c r="P4187" s="28" t="str">
        <f>IF(AND(O4187="在职",J4187="是"),COUNTIF(O$2:O4187,"在职"),"")</f>
        <v/>
      </c>
    </row>
    <row r="4188" spans="1:16">
      <c r="A4188" s="10" t="str">
        <f t="shared" si="70"/>
        <v/>
      </c>
      <c r="D4188" s="120" t="s">
        <v>478</v>
      </c>
      <c r="O4188" s="28" t="str">
        <f>IF(D4188="","",IF(COUNTIF(离职清单!C:C,D4188)&gt;0,"已离职","在职"))</f>
        <v>在职</v>
      </c>
      <c r="P4188" s="28" t="str">
        <f>IF(AND(O4188="在职",J4188="是"),COUNTIF(O$2:O4188,"在职"),"")</f>
        <v/>
      </c>
    </row>
    <row r="4189" spans="1:16">
      <c r="A4189" s="14" t="str">
        <f t="shared" si="70"/>
        <v/>
      </c>
      <c r="D4189" s="120" t="s">
        <v>480</v>
      </c>
      <c r="O4189" s="28" t="str">
        <f>IF(D4189="","",IF(COUNTIF(离职清单!C:C,D4189)&gt;0,"已离职","在职"))</f>
        <v>在职</v>
      </c>
      <c r="P4189" s="28" t="str">
        <f>IF(AND(O4189="在职",J4189="是"),COUNTIF(O$2:O4189,"在职"),"")</f>
        <v/>
      </c>
    </row>
    <row r="4190" spans="1:16">
      <c r="A4190" s="10" t="str">
        <f t="shared" si="70"/>
        <v/>
      </c>
      <c r="D4190" s="120" t="s">
        <v>482</v>
      </c>
      <c r="O4190" s="28" t="str">
        <f>IF(D4190="","",IF(COUNTIF(离职清单!C:C,D4190)&gt;0,"已离职","在职"))</f>
        <v>在职</v>
      </c>
      <c r="P4190" s="28" t="str">
        <f>IF(AND(O4190="在职",J4190="是"),COUNTIF(O$2:O4190,"在职"),"")</f>
        <v/>
      </c>
    </row>
    <row r="4191" spans="1:16">
      <c r="A4191" s="14" t="str">
        <f t="shared" si="70"/>
        <v/>
      </c>
      <c r="D4191" s="120" t="s">
        <v>484</v>
      </c>
      <c r="O4191" s="28" t="str">
        <f>IF(D4191="","",IF(COUNTIF(离职清单!C:C,D4191)&gt;0,"已离职","在职"))</f>
        <v>在职</v>
      </c>
      <c r="P4191" s="28" t="str">
        <f>IF(AND(O4191="在职",J4191="是"),COUNTIF(O$2:O4191,"在职"),"")</f>
        <v/>
      </c>
    </row>
    <row r="4192" spans="1:16">
      <c r="A4192" s="10" t="str">
        <f t="shared" si="70"/>
        <v/>
      </c>
      <c r="D4192" s="120" t="s">
        <v>486</v>
      </c>
      <c r="O4192" s="28" t="str">
        <f>IF(D4192="","",IF(COUNTIF(离职清单!C:C,D4192)&gt;0,"已离职","在职"))</f>
        <v>在职</v>
      </c>
      <c r="P4192" s="28" t="str">
        <f>IF(AND(O4192="在职",J4192="是"),COUNTIF(O$2:O4192,"在职"),"")</f>
        <v/>
      </c>
    </row>
    <row r="4193" spans="1:16">
      <c r="A4193" s="14" t="str">
        <f t="shared" si="70"/>
        <v/>
      </c>
      <c r="D4193" s="120" t="s">
        <v>488</v>
      </c>
      <c r="O4193" s="28" t="str">
        <f>IF(D4193="","",IF(COUNTIF(离职清单!C:C,D4193)&gt;0,"已离职","在职"))</f>
        <v>在职</v>
      </c>
      <c r="P4193" s="28" t="str">
        <f>IF(AND(O4193="在职",J4193="是"),COUNTIF(O$2:O4193,"在职"),"")</f>
        <v/>
      </c>
    </row>
    <row r="4194" spans="1:16">
      <c r="A4194" s="10" t="str">
        <f t="shared" si="70"/>
        <v/>
      </c>
      <c r="D4194" s="120" t="s">
        <v>490</v>
      </c>
      <c r="O4194" s="28" t="str">
        <f>IF(D4194="","",IF(COUNTIF(离职清单!C:C,D4194)&gt;0,"已离职","在职"))</f>
        <v>在职</v>
      </c>
      <c r="P4194" s="28" t="str">
        <f>IF(AND(O4194="在职",J4194="是"),COUNTIF(O$2:O4194,"在职"),"")</f>
        <v/>
      </c>
    </row>
    <row r="4195" spans="1:16">
      <c r="A4195" s="14" t="str">
        <f t="shared" si="70"/>
        <v/>
      </c>
      <c r="D4195" s="120" t="s">
        <v>492</v>
      </c>
      <c r="O4195" s="28" t="str">
        <f>IF(D4195="","",IF(COUNTIF(离职清单!C:C,D4195)&gt;0,"已离职","在职"))</f>
        <v>在职</v>
      </c>
      <c r="P4195" s="28" t="str">
        <f>IF(AND(O4195="在职",J4195="是"),COUNTIF(O$2:O4195,"在职"),"")</f>
        <v/>
      </c>
    </row>
    <row r="4196" spans="1:16">
      <c r="A4196" s="10" t="str">
        <f t="shared" si="70"/>
        <v/>
      </c>
      <c r="D4196" s="120" t="s">
        <v>477</v>
      </c>
      <c r="O4196" s="28" t="str">
        <f>IF(D4196="","",IF(COUNTIF(离职清单!C:C,D4196)&gt;0,"已离职","在职"))</f>
        <v>在职</v>
      </c>
      <c r="P4196" s="28" t="str">
        <f>IF(AND(O4196="在职",J4196="是"),COUNTIF(O$2:O4196,"在职"),"")</f>
        <v/>
      </c>
    </row>
    <row r="4197" spans="1:16">
      <c r="A4197" s="14" t="str">
        <f t="shared" si="70"/>
        <v/>
      </c>
      <c r="D4197" s="120" t="s">
        <v>477</v>
      </c>
      <c r="O4197" s="28" t="str">
        <f>IF(D4197="","",IF(COUNTIF(离职清单!C:C,D4197)&gt;0,"已离职","在职"))</f>
        <v>在职</v>
      </c>
      <c r="P4197" s="28" t="str">
        <f>IF(AND(O4197="在职",J4197="是"),COUNTIF(O$2:O4197,"在职"),"")</f>
        <v/>
      </c>
    </row>
    <row r="4198" spans="1:16">
      <c r="A4198" s="10" t="str">
        <f t="shared" si="70"/>
        <v/>
      </c>
      <c r="D4198" s="120" t="s">
        <v>478</v>
      </c>
      <c r="O4198" s="28" t="str">
        <f>IF(D4198="","",IF(COUNTIF(离职清单!C:C,D4198)&gt;0,"已离职","在职"))</f>
        <v>在职</v>
      </c>
      <c r="P4198" s="28" t="str">
        <f>IF(AND(O4198="在职",J4198="是"),COUNTIF(O$2:O4198,"在职"),"")</f>
        <v/>
      </c>
    </row>
    <row r="4199" spans="1:16">
      <c r="A4199" s="14" t="str">
        <f t="shared" si="70"/>
        <v/>
      </c>
      <c r="D4199" s="120" t="s">
        <v>480</v>
      </c>
      <c r="O4199" s="28" t="str">
        <f>IF(D4199="","",IF(COUNTIF(离职清单!C:C,D4199)&gt;0,"已离职","在职"))</f>
        <v>在职</v>
      </c>
      <c r="P4199" s="28" t="str">
        <f>IF(AND(O4199="在职",J4199="是"),COUNTIF(O$2:O4199,"在职"),"")</f>
        <v/>
      </c>
    </row>
    <row r="4200" spans="1:16">
      <c r="A4200" s="10" t="str">
        <f t="shared" si="70"/>
        <v/>
      </c>
      <c r="D4200" s="120" t="s">
        <v>482</v>
      </c>
      <c r="O4200" s="28" t="str">
        <f>IF(D4200="","",IF(COUNTIF(离职清单!C:C,D4200)&gt;0,"已离职","在职"))</f>
        <v>在职</v>
      </c>
      <c r="P4200" s="28" t="str">
        <f>IF(AND(O4200="在职",J4200="是"),COUNTIF(O$2:O4200,"在职"),"")</f>
        <v/>
      </c>
    </row>
    <row r="4201" spans="1:16">
      <c r="A4201" s="14" t="str">
        <f t="shared" si="70"/>
        <v/>
      </c>
      <c r="D4201" s="120" t="s">
        <v>484</v>
      </c>
      <c r="O4201" s="28" t="str">
        <f>IF(D4201="","",IF(COUNTIF(离职清单!C:C,D4201)&gt;0,"已离职","在职"))</f>
        <v>在职</v>
      </c>
      <c r="P4201" s="28" t="str">
        <f>IF(AND(O4201="在职",J4201="是"),COUNTIF(O$2:O4201,"在职"),"")</f>
        <v/>
      </c>
    </row>
    <row r="4202" spans="1:16">
      <c r="A4202" s="10" t="str">
        <f t="shared" si="70"/>
        <v/>
      </c>
      <c r="D4202" s="120" t="s">
        <v>486</v>
      </c>
      <c r="O4202" s="28" t="str">
        <f>IF(D4202="","",IF(COUNTIF(离职清单!C:C,D4202)&gt;0,"已离职","在职"))</f>
        <v>在职</v>
      </c>
      <c r="P4202" s="28" t="str">
        <f>IF(AND(O4202="在职",J4202="是"),COUNTIF(O$2:O4202,"在职"),"")</f>
        <v/>
      </c>
    </row>
    <row r="4203" spans="1:16">
      <c r="A4203" s="14" t="str">
        <f t="shared" si="70"/>
        <v/>
      </c>
      <c r="D4203" s="120" t="s">
        <v>488</v>
      </c>
      <c r="O4203" s="28" t="str">
        <f>IF(D4203="","",IF(COUNTIF(离职清单!C:C,D4203)&gt;0,"已离职","在职"))</f>
        <v>在职</v>
      </c>
      <c r="P4203" s="28" t="str">
        <f>IF(AND(O4203="在职",J4203="是"),COUNTIF(O$2:O4203,"在职"),"")</f>
        <v/>
      </c>
    </row>
    <row r="4204" spans="1:16">
      <c r="A4204" s="10" t="str">
        <f t="shared" ref="A4204:A4267" si="71">IF(B4204&lt;&gt;"",ROW()-1,"")</f>
        <v/>
      </c>
      <c r="D4204" s="120" t="s">
        <v>490</v>
      </c>
      <c r="O4204" s="28" t="str">
        <f>IF(D4204="","",IF(COUNTIF(离职清单!C:C,D4204)&gt;0,"已离职","在职"))</f>
        <v>在职</v>
      </c>
      <c r="P4204" s="28" t="str">
        <f>IF(AND(O4204="在职",J4204="是"),COUNTIF(O$2:O4204,"在职"),"")</f>
        <v/>
      </c>
    </row>
    <row r="4205" spans="1:16">
      <c r="A4205" s="14" t="str">
        <f t="shared" si="71"/>
        <v/>
      </c>
      <c r="D4205" s="120" t="s">
        <v>492</v>
      </c>
      <c r="O4205" s="28" t="str">
        <f>IF(D4205="","",IF(COUNTIF(离职清单!C:C,D4205)&gt;0,"已离职","在职"))</f>
        <v>在职</v>
      </c>
      <c r="P4205" s="28" t="str">
        <f>IF(AND(O4205="在职",J4205="是"),COUNTIF(O$2:O4205,"在职"),"")</f>
        <v/>
      </c>
    </row>
    <row r="4206" spans="1:16">
      <c r="A4206" s="10" t="str">
        <f t="shared" si="71"/>
        <v/>
      </c>
      <c r="D4206" s="120" t="s">
        <v>477</v>
      </c>
      <c r="O4206" s="28" t="str">
        <f>IF(D4206="","",IF(COUNTIF(离职清单!C:C,D4206)&gt;0,"已离职","在职"))</f>
        <v>在职</v>
      </c>
      <c r="P4206" s="28" t="str">
        <f>IF(AND(O4206="在职",J4206="是"),COUNTIF(O$2:O4206,"在职"),"")</f>
        <v/>
      </c>
    </row>
    <row r="4207" spans="1:16">
      <c r="A4207" s="14" t="str">
        <f t="shared" si="71"/>
        <v/>
      </c>
      <c r="D4207" s="120" t="s">
        <v>478</v>
      </c>
      <c r="O4207" s="28" t="str">
        <f>IF(D4207="","",IF(COUNTIF(离职清单!C:C,D4207)&gt;0,"已离职","在职"))</f>
        <v>在职</v>
      </c>
      <c r="P4207" s="28" t="str">
        <f>IF(AND(O4207="在职",J4207="是"),COUNTIF(O$2:O4207,"在职"),"")</f>
        <v/>
      </c>
    </row>
    <row r="4208" spans="1:16">
      <c r="A4208" s="10" t="str">
        <f t="shared" si="71"/>
        <v/>
      </c>
      <c r="D4208" s="120" t="s">
        <v>480</v>
      </c>
      <c r="O4208" s="28" t="str">
        <f>IF(D4208="","",IF(COUNTIF(离职清单!C:C,D4208)&gt;0,"已离职","在职"))</f>
        <v>在职</v>
      </c>
      <c r="P4208" s="28" t="str">
        <f>IF(AND(O4208="在职",J4208="是"),COUNTIF(O$2:O4208,"在职"),"")</f>
        <v/>
      </c>
    </row>
    <row r="4209" spans="1:16">
      <c r="A4209" s="14" t="str">
        <f t="shared" si="71"/>
        <v/>
      </c>
      <c r="D4209" s="120" t="s">
        <v>482</v>
      </c>
      <c r="O4209" s="28" t="str">
        <f>IF(D4209="","",IF(COUNTIF(离职清单!C:C,D4209)&gt;0,"已离职","在职"))</f>
        <v>在职</v>
      </c>
      <c r="P4209" s="28" t="str">
        <f>IF(AND(O4209="在职",J4209="是"),COUNTIF(O$2:O4209,"在职"),"")</f>
        <v/>
      </c>
    </row>
    <row r="4210" spans="1:16">
      <c r="A4210" s="10" t="str">
        <f t="shared" si="71"/>
        <v/>
      </c>
      <c r="D4210" s="120" t="s">
        <v>484</v>
      </c>
      <c r="O4210" s="28" t="str">
        <f>IF(D4210="","",IF(COUNTIF(离职清单!C:C,D4210)&gt;0,"已离职","在职"))</f>
        <v>在职</v>
      </c>
      <c r="P4210" s="28" t="str">
        <f>IF(AND(O4210="在职",J4210="是"),COUNTIF(O$2:O4210,"在职"),"")</f>
        <v/>
      </c>
    </row>
    <row r="4211" spans="1:16">
      <c r="A4211" s="14" t="str">
        <f t="shared" si="71"/>
        <v/>
      </c>
      <c r="D4211" s="120" t="s">
        <v>486</v>
      </c>
      <c r="O4211" s="28" t="str">
        <f>IF(D4211="","",IF(COUNTIF(离职清单!C:C,D4211)&gt;0,"已离职","在职"))</f>
        <v>在职</v>
      </c>
      <c r="P4211" s="28" t="str">
        <f>IF(AND(O4211="在职",J4211="是"),COUNTIF(O$2:O4211,"在职"),"")</f>
        <v/>
      </c>
    </row>
    <row r="4212" spans="1:16">
      <c r="A4212" s="10" t="str">
        <f t="shared" si="71"/>
        <v/>
      </c>
      <c r="D4212" s="120" t="s">
        <v>488</v>
      </c>
      <c r="O4212" s="28" t="str">
        <f>IF(D4212="","",IF(COUNTIF(离职清单!C:C,D4212)&gt;0,"已离职","在职"))</f>
        <v>在职</v>
      </c>
      <c r="P4212" s="28" t="str">
        <f>IF(AND(O4212="在职",J4212="是"),COUNTIF(O$2:O4212,"在职"),"")</f>
        <v/>
      </c>
    </row>
    <row r="4213" spans="1:16">
      <c r="A4213" s="14" t="str">
        <f t="shared" si="71"/>
        <v/>
      </c>
      <c r="D4213" s="120" t="s">
        <v>490</v>
      </c>
      <c r="O4213" s="28" t="str">
        <f>IF(D4213="","",IF(COUNTIF(离职清单!C:C,D4213)&gt;0,"已离职","在职"))</f>
        <v>在职</v>
      </c>
      <c r="P4213" s="28" t="str">
        <f>IF(AND(O4213="在职",J4213="是"),COUNTIF(O$2:O4213,"在职"),"")</f>
        <v/>
      </c>
    </row>
    <row r="4214" spans="1:16">
      <c r="A4214" s="10" t="str">
        <f t="shared" si="71"/>
        <v/>
      </c>
      <c r="D4214" s="120" t="s">
        <v>492</v>
      </c>
      <c r="O4214" s="28" t="str">
        <f>IF(D4214="","",IF(COUNTIF(离职清单!C:C,D4214)&gt;0,"已离职","在职"))</f>
        <v>在职</v>
      </c>
      <c r="P4214" s="28" t="str">
        <f>IF(AND(O4214="在职",J4214="是"),COUNTIF(O$2:O4214,"在职"),"")</f>
        <v/>
      </c>
    </row>
    <row r="4215" spans="1:16">
      <c r="A4215" s="14" t="str">
        <f t="shared" si="71"/>
        <v/>
      </c>
      <c r="D4215" s="120" t="s">
        <v>477</v>
      </c>
      <c r="O4215" s="28" t="str">
        <f>IF(D4215="","",IF(COUNTIF(离职清单!C:C,D4215)&gt;0,"已离职","在职"))</f>
        <v>在职</v>
      </c>
      <c r="P4215" s="28" t="str">
        <f>IF(AND(O4215="在职",J4215="是"),COUNTIF(O$2:O4215,"在职"),"")</f>
        <v/>
      </c>
    </row>
    <row r="4216" spans="1:16">
      <c r="A4216" s="10" t="str">
        <f t="shared" si="71"/>
        <v/>
      </c>
      <c r="D4216" s="120" t="s">
        <v>478</v>
      </c>
      <c r="O4216" s="28" t="str">
        <f>IF(D4216="","",IF(COUNTIF(离职清单!C:C,D4216)&gt;0,"已离职","在职"))</f>
        <v>在职</v>
      </c>
      <c r="P4216" s="28" t="str">
        <f>IF(AND(O4216="在职",J4216="是"),COUNTIF(O$2:O4216,"在职"),"")</f>
        <v/>
      </c>
    </row>
    <row r="4217" spans="1:16">
      <c r="A4217" s="14" t="str">
        <f t="shared" si="71"/>
        <v/>
      </c>
      <c r="D4217" s="120" t="s">
        <v>480</v>
      </c>
      <c r="O4217" s="28" t="str">
        <f>IF(D4217="","",IF(COUNTIF(离职清单!C:C,D4217)&gt;0,"已离职","在职"))</f>
        <v>在职</v>
      </c>
      <c r="P4217" s="28" t="str">
        <f>IF(AND(O4217="在职",J4217="是"),COUNTIF(O$2:O4217,"在职"),"")</f>
        <v/>
      </c>
    </row>
    <row r="4218" spans="1:16">
      <c r="A4218" s="10" t="str">
        <f t="shared" si="71"/>
        <v/>
      </c>
      <c r="D4218" s="120" t="s">
        <v>482</v>
      </c>
      <c r="O4218" s="28" t="str">
        <f>IF(D4218="","",IF(COUNTIF(离职清单!C:C,D4218)&gt;0,"已离职","在职"))</f>
        <v>在职</v>
      </c>
      <c r="P4218" s="28" t="str">
        <f>IF(AND(O4218="在职",J4218="是"),COUNTIF(O$2:O4218,"在职"),"")</f>
        <v/>
      </c>
    </row>
    <row r="4219" spans="1:16">
      <c r="A4219" s="14" t="str">
        <f t="shared" si="71"/>
        <v/>
      </c>
      <c r="D4219" s="120" t="s">
        <v>484</v>
      </c>
      <c r="O4219" s="28" t="str">
        <f>IF(D4219="","",IF(COUNTIF(离职清单!C:C,D4219)&gt;0,"已离职","在职"))</f>
        <v>在职</v>
      </c>
      <c r="P4219" s="28" t="str">
        <f>IF(AND(O4219="在职",J4219="是"),COUNTIF(O$2:O4219,"在职"),"")</f>
        <v/>
      </c>
    </row>
    <row r="4220" spans="1:16">
      <c r="A4220" s="10" t="str">
        <f t="shared" si="71"/>
        <v/>
      </c>
      <c r="D4220" s="120" t="s">
        <v>486</v>
      </c>
      <c r="O4220" s="28" t="str">
        <f>IF(D4220="","",IF(COUNTIF(离职清单!C:C,D4220)&gt;0,"已离职","在职"))</f>
        <v>在职</v>
      </c>
      <c r="P4220" s="28" t="str">
        <f>IF(AND(O4220="在职",J4220="是"),COUNTIF(O$2:O4220,"在职"),"")</f>
        <v/>
      </c>
    </row>
    <row r="4221" spans="1:16">
      <c r="A4221" s="14" t="str">
        <f t="shared" si="71"/>
        <v/>
      </c>
      <c r="D4221" s="120" t="s">
        <v>488</v>
      </c>
      <c r="O4221" s="28" t="str">
        <f>IF(D4221="","",IF(COUNTIF(离职清单!C:C,D4221)&gt;0,"已离职","在职"))</f>
        <v>在职</v>
      </c>
      <c r="P4221" s="28" t="str">
        <f>IF(AND(O4221="在职",J4221="是"),COUNTIF(O$2:O4221,"在职"),"")</f>
        <v/>
      </c>
    </row>
    <row r="4222" spans="1:16">
      <c r="A4222" s="10" t="str">
        <f t="shared" si="71"/>
        <v/>
      </c>
      <c r="D4222" s="120" t="s">
        <v>490</v>
      </c>
      <c r="O4222" s="28" t="str">
        <f>IF(D4222="","",IF(COUNTIF(离职清单!C:C,D4222)&gt;0,"已离职","在职"))</f>
        <v>在职</v>
      </c>
      <c r="P4222" s="28" t="str">
        <f>IF(AND(O4222="在职",J4222="是"),COUNTIF(O$2:O4222,"在职"),"")</f>
        <v/>
      </c>
    </row>
    <row r="4223" spans="1:16">
      <c r="A4223" s="14" t="str">
        <f t="shared" si="71"/>
        <v/>
      </c>
      <c r="D4223" s="120" t="s">
        <v>492</v>
      </c>
      <c r="O4223" s="28" t="str">
        <f>IF(D4223="","",IF(COUNTIF(离职清单!C:C,D4223)&gt;0,"已离职","在职"))</f>
        <v>在职</v>
      </c>
      <c r="P4223" s="28" t="str">
        <f>IF(AND(O4223="在职",J4223="是"),COUNTIF(O$2:O4223,"在职"),"")</f>
        <v/>
      </c>
    </row>
    <row r="4224" spans="1:16">
      <c r="A4224" s="10" t="str">
        <f t="shared" si="71"/>
        <v/>
      </c>
      <c r="D4224" s="120" t="s">
        <v>477</v>
      </c>
      <c r="O4224" s="28" t="str">
        <f>IF(D4224="","",IF(COUNTIF(离职清单!C:C,D4224)&gt;0,"已离职","在职"))</f>
        <v>在职</v>
      </c>
      <c r="P4224" s="28" t="str">
        <f>IF(AND(O4224="在职",J4224="是"),COUNTIF(O$2:O4224,"在职"),"")</f>
        <v/>
      </c>
    </row>
    <row r="4225" spans="1:16">
      <c r="A4225" s="14" t="str">
        <f t="shared" si="71"/>
        <v/>
      </c>
      <c r="D4225" s="120" t="s">
        <v>478</v>
      </c>
      <c r="O4225" s="28" t="str">
        <f>IF(D4225="","",IF(COUNTIF(离职清单!C:C,D4225)&gt;0,"已离职","在职"))</f>
        <v>在职</v>
      </c>
      <c r="P4225" s="28" t="str">
        <f>IF(AND(O4225="在职",J4225="是"),COUNTIF(O$2:O4225,"在职"),"")</f>
        <v/>
      </c>
    </row>
    <row r="4226" spans="1:16">
      <c r="A4226" s="10" t="str">
        <f t="shared" si="71"/>
        <v/>
      </c>
      <c r="D4226" s="120" t="s">
        <v>480</v>
      </c>
      <c r="O4226" s="28" t="str">
        <f>IF(D4226="","",IF(COUNTIF(离职清单!C:C,D4226)&gt;0,"已离职","在职"))</f>
        <v>在职</v>
      </c>
      <c r="P4226" s="28" t="str">
        <f>IF(AND(O4226="在职",J4226="是"),COUNTIF(O$2:O4226,"在职"),"")</f>
        <v/>
      </c>
    </row>
    <row r="4227" spans="1:16">
      <c r="A4227" s="14" t="str">
        <f t="shared" si="71"/>
        <v/>
      </c>
      <c r="D4227" s="120" t="s">
        <v>482</v>
      </c>
      <c r="O4227" s="28" t="str">
        <f>IF(D4227="","",IF(COUNTIF(离职清单!C:C,D4227)&gt;0,"已离职","在职"))</f>
        <v>在职</v>
      </c>
      <c r="P4227" s="28" t="str">
        <f>IF(AND(O4227="在职",J4227="是"),COUNTIF(O$2:O4227,"在职"),"")</f>
        <v/>
      </c>
    </row>
    <row r="4228" spans="1:16">
      <c r="A4228" s="10" t="str">
        <f t="shared" si="71"/>
        <v/>
      </c>
      <c r="D4228" s="120" t="s">
        <v>484</v>
      </c>
      <c r="O4228" s="28" t="str">
        <f>IF(D4228="","",IF(COUNTIF(离职清单!C:C,D4228)&gt;0,"已离职","在职"))</f>
        <v>在职</v>
      </c>
      <c r="P4228" s="28" t="str">
        <f>IF(AND(O4228="在职",J4228="是"),COUNTIF(O$2:O4228,"在职"),"")</f>
        <v/>
      </c>
    </row>
    <row r="4229" spans="1:16">
      <c r="A4229" s="14" t="str">
        <f t="shared" si="71"/>
        <v/>
      </c>
      <c r="D4229" s="120" t="s">
        <v>486</v>
      </c>
      <c r="O4229" s="28" t="str">
        <f>IF(D4229="","",IF(COUNTIF(离职清单!C:C,D4229)&gt;0,"已离职","在职"))</f>
        <v>在职</v>
      </c>
      <c r="P4229" s="28" t="str">
        <f>IF(AND(O4229="在职",J4229="是"),COUNTIF(O$2:O4229,"在职"),"")</f>
        <v/>
      </c>
    </row>
    <row r="4230" spans="1:16">
      <c r="A4230" s="10" t="str">
        <f t="shared" si="71"/>
        <v/>
      </c>
      <c r="D4230" s="120" t="s">
        <v>488</v>
      </c>
      <c r="O4230" s="28" t="str">
        <f>IF(D4230="","",IF(COUNTIF(离职清单!C:C,D4230)&gt;0,"已离职","在职"))</f>
        <v>在职</v>
      </c>
      <c r="P4230" s="28" t="str">
        <f>IF(AND(O4230="在职",J4230="是"),COUNTIF(O$2:O4230,"在职"),"")</f>
        <v/>
      </c>
    </row>
    <row r="4231" spans="1:16">
      <c r="A4231" s="14" t="str">
        <f t="shared" si="71"/>
        <v/>
      </c>
      <c r="D4231" s="120" t="s">
        <v>490</v>
      </c>
      <c r="O4231" s="28" t="str">
        <f>IF(D4231="","",IF(COUNTIF(离职清单!C:C,D4231)&gt;0,"已离职","在职"))</f>
        <v>在职</v>
      </c>
      <c r="P4231" s="28" t="str">
        <f>IF(AND(O4231="在职",J4231="是"),COUNTIF(O$2:O4231,"在职"),"")</f>
        <v/>
      </c>
    </row>
    <row r="4232" spans="1:16">
      <c r="A4232" s="10" t="str">
        <f t="shared" si="71"/>
        <v/>
      </c>
      <c r="D4232" s="120" t="s">
        <v>492</v>
      </c>
      <c r="O4232" s="28" t="str">
        <f>IF(D4232="","",IF(COUNTIF(离职清单!C:C,D4232)&gt;0,"已离职","在职"))</f>
        <v>在职</v>
      </c>
      <c r="P4232" s="28" t="str">
        <f>IF(AND(O4232="在职",J4232="是"),COUNTIF(O$2:O4232,"在职"),"")</f>
        <v/>
      </c>
    </row>
    <row r="4233" spans="1:16">
      <c r="A4233" s="14" t="str">
        <f t="shared" si="71"/>
        <v/>
      </c>
      <c r="D4233" s="120" t="s">
        <v>477</v>
      </c>
      <c r="O4233" s="28" t="str">
        <f>IF(D4233="","",IF(COUNTIF(离职清单!C:C,D4233)&gt;0,"已离职","在职"))</f>
        <v>在职</v>
      </c>
      <c r="P4233" s="28" t="str">
        <f>IF(AND(O4233="在职",J4233="是"),COUNTIF(O$2:O4233,"在职"),"")</f>
        <v/>
      </c>
    </row>
    <row r="4234" spans="1:16">
      <c r="A4234" s="10" t="str">
        <f t="shared" si="71"/>
        <v/>
      </c>
      <c r="D4234" s="120" t="s">
        <v>478</v>
      </c>
      <c r="O4234" s="28" t="str">
        <f>IF(D4234="","",IF(COUNTIF(离职清单!C:C,D4234)&gt;0,"已离职","在职"))</f>
        <v>在职</v>
      </c>
      <c r="P4234" s="28" t="str">
        <f>IF(AND(O4234="在职",J4234="是"),COUNTIF(O$2:O4234,"在职"),"")</f>
        <v/>
      </c>
    </row>
    <row r="4235" spans="1:16">
      <c r="A4235" s="14" t="str">
        <f t="shared" si="71"/>
        <v/>
      </c>
      <c r="D4235" s="120" t="s">
        <v>480</v>
      </c>
      <c r="O4235" s="28" t="str">
        <f>IF(D4235="","",IF(COUNTIF(离职清单!C:C,D4235)&gt;0,"已离职","在职"))</f>
        <v>在职</v>
      </c>
      <c r="P4235" s="28" t="str">
        <f>IF(AND(O4235="在职",J4235="是"),COUNTIF(O$2:O4235,"在职"),"")</f>
        <v/>
      </c>
    </row>
    <row r="4236" spans="1:16">
      <c r="A4236" s="10" t="str">
        <f t="shared" si="71"/>
        <v/>
      </c>
      <c r="D4236" s="120" t="s">
        <v>482</v>
      </c>
      <c r="O4236" s="28" t="str">
        <f>IF(D4236="","",IF(COUNTIF(离职清单!C:C,D4236)&gt;0,"已离职","在职"))</f>
        <v>在职</v>
      </c>
      <c r="P4236" s="28" t="str">
        <f>IF(AND(O4236="在职",J4236="是"),COUNTIF(O$2:O4236,"在职"),"")</f>
        <v/>
      </c>
    </row>
    <row r="4237" spans="1:16">
      <c r="A4237" s="14" t="str">
        <f t="shared" si="71"/>
        <v/>
      </c>
      <c r="D4237" s="120" t="s">
        <v>484</v>
      </c>
      <c r="O4237" s="28" t="str">
        <f>IF(D4237="","",IF(COUNTIF(离职清单!C:C,D4237)&gt;0,"已离职","在职"))</f>
        <v>在职</v>
      </c>
      <c r="P4237" s="28" t="str">
        <f>IF(AND(O4237="在职",J4237="是"),COUNTIF(O$2:O4237,"在职"),"")</f>
        <v/>
      </c>
    </row>
    <row r="4238" spans="1:16">
      <c r="A4238" s="10" t="str">
        <f t="shared" si="71"/>
        <v/>
      </c>
      <c r="D4238" s="120" t="s">
        <v>486</v>
      </c>
      <c r="O4238" s="28" t="str">
        <f>IF(D4238="","",IF(COUNTIF(离职清单!C:C,D4238)&gt;0,"已离职","在职"))</f>
        <v>在职</v>
      </c>
      <c r="P4238" s="28" t="str">
        <f>IF(AND(O4238="在职",J4238="是"),COUNTIF(O$2:O4238,"在职"),"")</f>
        <v/>
      </c>
    </row>
    <row r="4239" spans="1:16">
      <c r="A4239" s="14" t="str">
        <f t="shared" si="71"/>
        <v/>
      </c>
      <c r="D4239" s="120" t="s">
        <v>488</v>
      </c>
      <c r="O4239" s="28" t="str">
        <f>IF(D4239="","",IF(COUNTIF(离职清单!C:C,D4239)&gt;0,"已离职","在职"))</f>
        <v>在职</v>
      </c>
      <c r="P4239" s="28" t="str">
        <f>IF(AND(O4239="在职",J4239="是"),COUNTIF(O$2:O4239,"在职"),"")</f>
        <v/>
      </c>
    </row>
    <row r="4240" spans="1:16">
      <c r="A4240" s="10" t="str">
        <f t="shared" si="71"/>
        <v/>
      </c>
      <c r="D4240" s="120" t="s">
        <v>490</v>
      </c>
      <c r="O4240" s="28" t="str">
        <f>IF(D4240="","",IF(COUNTIF(离职清单!C:C,D4240)&gt;0,"已离职","在职"))</f>
        <v>在职</v>
      </c>
      <c r="P4240" s="28" t="str">
        <f>IF(AND(O4240="在职",J4240="是"),COUNTIF(O$2:O4240,"在职"),"")</f>
        <v/>
      </c>
    </row>
    <row r="4241" spans="1:16">
      <c r="A4241" s="14" t="str">
        <f t="shared" si="71"/>
        <v/>
      </c>
      <c r="D4241" s="120" t="s">
        <v>492</v>
      </c>
      <c r="O4241" s="28" t="str">
        <f>IF(D4241="","",IF(COUNTIF(离职清单!C:C,D4241)&gt;0,"已离职","在职"))</f>
        <v>在职</v>
      </c>
      <c r="P4241" s="28" t="str">
        <f>IF(AND(O4241="在职",J4241="是"),COUNTIF(O$2:O4241,"在职"),"")</f>
        <v/>
      </c>
    </row>
    <row r="4242" spans="1:16">
      <c r="A4242" s="10" t="str">
        <f t="shared" si="71"/>
        <v/>
      </c>
      <c r="D4242" s="120" t="s">
        <v>477</v>
      </c>
      <c r="O4242" s="28" t="str">
        <f>IF(D4242="","",IF(COUNTIF(离职清单!C:C,D4242)&gt;0,"已离职","在职"))</f>
        <v>在职</v>
      </c>
      <c r="P4242" s="28" t="str">
        <f>IF(AND(O4242="在职",J4242="是"),COUNTIF(O$2:O4242,"在职"),"")</f>
        <v/>
      </c>
    </row>
    <row r="4243" spans="1:16">
      <c r="A4243" s="14" t="str">
        <f t="shared" si="71"/>
        <v/>
      </c>
      <c r="D4243" s="120" t="s">
        <v>478</v>
      </c>
      <c r="O4243" s="28" t="str">
        <f>IF(D4243="","",IF(COUNTIF(离职清单!C:C,D4243)&gt;0,"已离职","在职"))</f>
        <v>在职</v>
      </c>
      <c r="P4243" s="28" t="str">
        <f>IF(AND(O4243="在职",J4243="是"),COUNTIF(O$2:O4243,"在职"),"")</f>
        <v/>
      </c>
    </row>
    <row r="4244" spans="1:16">
      <c r="A4244" s="10" t="str">
        <f t="shared" si="71"/>
        <v/>
      </c>
      <c r="D4244" s="120" t="s">
        <v>480</v>
      </c>
      <c r="O4244" s="28" t="str">
        <f>IF(D4244="","",IF(COUNTIF(离职清单!C:C,D4244)&gt;0,"已离职","在职"))</f>
        <v>在职</v>
      </c>
      <c r="P4244" s="28" t="str">
        <f>IF(AND(O4244="在职",J4244="是"),COUNTIF(O$2:O4244,"在职"),"")</f>
        <v/>
      </c>
    </row>
    <row r="4245" spans="1:16">
      <c r="A4245" s="14" t="str">
        <f t="shared" si="71"/>
        <v/>
      </c>
      <c r="D4245" s="120" t="s">
        <v>482</v>
      </c>
      <c r="O4245" s="28" t="str">
        <f>IF(D4245="","",IF(COUNTIF(离职清单!C:C,D4245)&gt;0,"已离职","在职"))</f>
        <v>在职</v>
      </c>
      <c r="P4245" s="28" t="str">
        <f>IF(AND(O4245="在职",J4245="是"),COUNTIF(O$2:O4245,"在职"),"")</f>
        <v/>
      </c>
    </row>
    <row r="4246" spans="1:16">
      <c r="A4246" s="10" t="str">
        <f t="shared" si="71"/>
        <v/>
      </c>
      <c r="D4246" s="120" t="s">
        <v>484</v>
      </c>
      <c r="O4246" s="28" t="str">
        <f>IF(D4246="","",IF(COUNTIF(离职清单!C:C,D4246)&gt;0,"已离职","在职"))</f>
        <v>在职</v>
      </c>
      <c r="P4246" s="28" t="str">
        <f>IF(AND(O4246="在职",J4246="是"),COUNTIF(O$2:O4246,"在职"),"")</f>
        <v/>
      </c>
    </row>
    <row r="4247" spans="1:16">
      <c r="A4247" s="14" t="str">
        <f t="shared" si="71"/>
        <v/>
      </c>
      <c r="D4247" s="120" t="s">
        <v>486</v>
      </c>
      <c r="O4247" s="28" t="str">
        <f>IF(D4247="","",IF(COUNTIF(离职清单!C:C,D4247)&gt;0,"已离职","在职"))</f>
        <v>在职</v>
      </c>
      <c r="P4247" s="28" t="str">
        <f>IF(AND(O4247="在职",J4247="是"),COUNTIF(O$2:O4247,"在职"),"")</f>
        <v/>
      </c>
    </row>
    <row r="4248" spans="1:16">
      <c r="A4248" s="10" t="str">
        <f t="shared" si="71"/>
        <v/>
      </c>
      <c r="D4248" s="120" t="s">
        <v>488</v>
      </c>
      <c r="O4248" s="28" t="str">
        <f>IF(D4248="","",IF(COUNTIF(离职清单!C:C,D4248)&gt;0,"已离职","在职"))</f>
        <v>在职</v>
      </c>
      <c r="P4248" s="28" t="str">
        <f>IF(AND(O4248="在职",J4248="是"),COUNTIF(O$2:O4248,"在职"),"")</f>
        <v/>
      </c>
    </row>
    <row r="4249" spans="1:16">
      <c r="A4249" s="14" t="str">
        <f t="shared" si="71"/>
        <v/>
      </c>
      <c r="D4249" s="120" t="s">
        <v>490</v>
      </c>
      <c r="O4249" s="28" t="str">
        <f>IF(D4249="","",IF(COUNTIF(离职清单!C:C,D4249)&gt;0,"已离职","在职"))</f>
        <v>在职</v>
      </c>
      <c r="P4249" s="28" t="str">
        <f>IF(AND(O4249="在职",J4249="是"),COUNTIF(O$2:O4249,"在职"),"")</f>
        <v/>
      </c>
    </row>
    <row r="4250" spans="1:16">
      <c r="A4250" s="10" t="str">
        <f t="shared" si="71"/>
        <v/>
      </c>
      <c r="D4250" s="120" t="s">
        <v>492</v>
      </c>
      <c r="O4250" s="28" t="str">
        <f>IF(D4250="","",IF(COUNTIF(离职清单!C:C,D4250)&gt;0,"已离职","在职"))</f>
        <v>在职</v>
      </c>
      <c r="P4250" s="28" t="str">
        <f>IF(AND(O4250="在职",J4250="是"),COUNTIF(O$2:O4250,"在职"),"")</f>
        <v/>
      </c>
    </row>
    <row r="4251" spans="1:16">
      <c r="A4251" s="14" t="str">
        <f t="shared" si="71"/>
        <v/>
      </c>
      <c r="D4251" s="120" t="s">
        <v>477</v>
      </c>
      <c r="O4251" s="28" t="str">
        <f>IF(D4251="","",IF(COUNTIF(离职清单!C:C,D4251)&gt;0,"已离职","在职"))</f>
        <v>在职</v>
      </c>
      <c r="P4251" s="28" t="str">
        <f>IF(AND(O4251="在职",J4251="是"),COUNTIF(O$2:O4251,"在职"),"")</f>
        <v/>
      </c>
    </row>
    <row r="4252" spans="1:16">
      <c r="A4252" s="10" t="str">
        <f t="shared" si="71"/>
        <v/>
      </c>
      <c r="D4252" s="120" t="s">
        <v>477</v>
      </c>
      <c r="O4252" s="28" t="str">
        <f>IF(D4252="","",IF(COUNTIF(离职清单!C:C,D4252)&gt;0,"已离职","在职"))</f>
        <v>在职</v>
      </c>
      <c r="P4252" s="28" t="str">
        <f>IF(AND(O4252="在职",J4252="是"),COUNTIF(O$2:O4252,"在职"),"")</f>
        <v/>
      </c>
    </row>
    <row r="4253" spans="1:16">
      <c r="A4253" s="14" t="str">
        <f t="shared" si="71"/>
        <v/>
      </c>
      <c r="D4253" s="120" t="s">
        <v>478</v>
      </c>
      <c r="O4253" s="28" t="str">
        <f>IF(D4253="","",IF(COUNTIF(离职清单!C:C,D4253)&gt;0,"已离职","在职"))</f>
        <v>在职</v>
      </c>
      <c r="P4253" s="28" t="str">
        <f>IF(AND(O4253="在职",J4253="是"),COUNTIF(O$2:O4253,"在职"),"")</f>
        <v/>
      </c>
    </row>
    <row r="4254" spans="1:16">
      <c r="A4254" s="10" t="str">
        <f t="shared" si="71"/>
        <v/>
      </c>
      <c r="D4254" s="120" t="s">
        <v>480</v>
      </c>
      <c r="O4254" s="28" t="str">
        <f>IF(D4254="","",IF(COUNTIF(离职清单!C:C,D4254)&gt;0,"已离职","在职"))</f>
        <v>在职</v>
      </c>
      <c r="P4254" s="28" t="str">
        <f>IF(AND(O4254="在职",J4254="是"),COUNTIF(O$2:O4254,"在职"),"")</f>
        <v/>
      </c>
    </row>
    <row r="4255" spans="1:16">
      <c r="A4255" s="14" t="str">
        <f t="shared" si="71"/>
        <v/>
      </c>
      <c r="D4255" s="120" t="s">
        <v>482</v>
      </c>
      <c r="O4255" s="28" t="str">
        <f>IF(D4255="","",IF(COUNTIF(离职清单!C:C,D4255)&gt;0,"已离职","在职"))</f>
        <v>在职</v>
      </c>
      <c r="P4255" s="28" t="str">
        <f>IF(AND(O4255="在职",J4255="是"),COUNTIF(O$2:O4255,"在职"),"")</f>
        <v/>
      </c>
    </row>
    <row r="4256" spans="1:16">
      <c r="A4256" s="10" t="str">
        <f t="shared" si="71"/>
        <v/>
      </c>
      <c r="D4256" s="120" t="s">
        <v>484</v>
      </c>
      <c r="O4256" s="28" t="str">
        <f>IF(D4256="","",IF(COUNTIF(离职清单!C:C,D4256)&gt;0,"已离职","在职"))</f>
        <v>在职</v>
      </c>
      <c r="P4256" s="28" t="str">
        <f>IF(AND(O4256="在职",J4256="是"),COUNTIF(O$2:O4256,"在职"),"")</f>
        <v/>
      </c>
    </row>
    <row r="4257" spans="1:16">
      <c r="A4257" s="14" t="str">
        <f t="shared" si="71"/>
        <v/>
      </c>
      <c r="D4257" s="120" t="s">
        <v>486</v>
      </c>
      <c r="O4257" s="28" t="str">
        <f>IF(D4257="","",IF(COUNTIF(离职清单!C:C,D4257)&gt;0,"已离职","在职"))</f>
        <v>在职</v>
      </c>
      <c r="P4257" s="28" t="str">
        <f>IF(AND(O4257="在职",J4257="是"),COUNTIF(O$2:O4257,"在职"),"")</f>
        <v/>
      </c>
    </row>
    <row r="4258" spans="1:16">
      <c r="A4258" s="10" t="str">
        <f t="shared" si="71"/>
        <v/>
      </c>
      <c r="D4258" s="120" t="s">
        <v>488</v>
      </c>
      <c r="O4258" s="28" t="str">
        <f>IF(D4258="","",IF(COUNTIF(离职清单!C:C,D4258)&gt;0,"已离职","在职"))</f>
        <v>在职</v>
      </c>
      <c r="P4258" s="28" t="str">
        <f>IF(AND(O4258="在职",J4258="是"),COUNTIF(O$2:O4258,"在职"),"")</f>
        <v/>
      </c>
    </row>
    <row r="4259" spans="1:16">
      <c r="A4259" s="14" t="str">
        <f t="shared" si="71"/>
        <v/>
      </c>
      <c r="D4259" s="120" t="s">
        <v>490</v>
      </c>
      <c r="O4259" s="28" t="str">
        <f>IF(D4259="","",IF(COUNTIF(离职清单!C:C,D4259)&gt;0,"已离职","在职"))</f>
        <v>在职</v>
      </c>
      <c r="P4259" s="28" t="str">
        <f>IF(AND(O4259="在职",J4259="是"),COUNTIF(O$2:O4259,"在职"),"")</f>
        <v/>
      </c>
    </row>
    <row r="4260" spans="1:16">
      <c r="A4260" s="10" t="str">
        <f t="shared" si="71"/>
        <v/>
      </c>
      <c r="D4260" s="120" t="s">
        <v>492</v>
      </c>
      <c r="O4260" s="28" t="str">
        <f>IF(D4260="","",IF(COUNTIF(离职清单!C:C,D4260)&gt;0,"已离职","在职"))</f>
        <v>在职</v>
      </c>
      <c r="P4260" s="28" t="str">
        <f>IF(AND(O4260="在职",J4260="是"),COUNTIF(O$2:O4260,"在职"),"")</f>
        <v/>
      </c>
    </row>
    <row r="4261" spans="1:16">
      <c r="A4261" s="14" t="str">
        <f t="shared" si="71"/>
        <v/>
      </c>
      <c r="D4261" s="120" t="s">
        <v>477</v>
      </c>
      <c r="O4261" s="28" t="str">
        <f>IF(D4261="","",IF(COUNTIF(离职清单!C:C,D4261)&gt;0,"已离职","在职"))</f>
        <v>在职</v>
      </c>
      <c r="P4261" s="28" t="str">
        <f>IF(AND(O4261="在职",J4261="是"),COUNTIF(O$2:O4261,"在职"),"")</f>
        <v/>
      </c>
    </row>
    <row r="4262" spans="1:16">
      <c r="A4262" s="10" t="str">
        <f t="shared" si="71"/>
        <v/>
      </c>
      <c r="D4262" s="120" t="s">
        <v>478</v>
      </c>
      <c r="O4262" s="28" t="str">
        <f>IF(D4262="","",IF(COUNTIF(离职清单!C:C,D4262)&gt;0,"已离职","在职"))</f>
        <v>在职</v>
      </c>
      <c r="P4262" s="28" t="str">
        <f>IF(AND(O4262="在职",J4262="是"),COUNTIF(O$2:O4262,"在职"),"")</f>
        <v/>
      </c>
    </row>
    <row r="4263" spans="1:16">
      <c r="A4263" s="14" t="str">
        <f t="shared" si="71"/>
        <v/>
      </c>
      <c r="D4263" s="120" t="s">
        <v>480</v>
      </c>
      <c r="O4263" s="28" t="str">
        <f>IF(D4263="","",IF(COUNTIF(离职清单!C:C,D4263)&gt;0,"已离职","在职"))</f>
        <v>在职</v>
      </c>
      <c r="P4263" s="28" t="str">
        <f>IF(AND(O4263="在职",J4263="是"),COUNTIF(O$2:O4263,"在职"),"")</f>
        <v/>
      </c>
    </row>
    <row r="4264" spans="1:16">
      <c r="A4264" s="10" t="str">
        <f t="shared" si="71"/>
        <v/>
      </c>
      <c r="D4264" s="120" t="s">
        <v>482</v>
      </c>
      <c r="O4264" s="28" t="str">
        <f>IF(D4264="","",IF(COUNTIF(离职清单!C:C,D4264)&gt;0,"已离职","在职"))</f>
        <v>在职</v>
      </c>
      <c r="P4264" s="28" t="str">
        <f>IF(AND(O4264="在职",J4264="是"),COUNTIF(O$2:O4264,"在职"),"")</f>
        <v/>
      </c>
    </row>
    <row r="4265" spans="1:16">
      <c r="A4265" s="14" t="str">
        <f t="shared" si="71"/>
        <v/>
      </c>
      <c r="D4265" s="120" t="s">
        <v>484</v>
      </c>
      <c r="O4265" s="28" t="str">
        <f>IF(D4265="","",IF(COUNTIF(离职清单!C:C,D4265)&gt;0,"已离职","在职"))</f>
        <v>在职</v>
      </c>
      <c r="P4265" s="28" t="str">
        <f>IF(AND(O4265="在职",J4265="是"),COUNTIF(O$2:O4265,"在职"),"")</f>
        <v/>
      </c>
    </row>
    <row r="4266" spans="1:16">
      <c r="A4266" s="10" t="str">
        <f t="shared" si="71"/>
        <v/>
      </c>
      <c r="D4266" s="120" t="s">
        <v>486</v>
      </c>
      <c r="O4266" s="28" t="str">
        <f>IF(D4266="","",IF(COUNTIF(离职清单!C:C,D4266)&gt;0,"已离职","在职"))</f>
        <v>在职</v>
      </c>
      <c r="P4266" s="28" t="str">
        <f>IF(AND(O4266="在职",J4266="是"),COUNTIF(O$2:O4266,"在职"),"")</f>
        <v/>
      </c>
    </row>
    <row r="4267" spans="1:16">
      <c r="A4267" s="14" t="str">
        <f t="shared" si="71"/>
        <v/>
      </c>
      <c r="D4267" s="120" t="s">
        <v>488</v>
      </c>
      <c r="O4267" s="28" t="str">
        <f>IF(D4267="","",IF(COUNTIF(离职清单!C:C,D4267)&gt;0,"已离职","在职"))</f>
        <v>在职</v>
      </c>
      <c r="P4267" s="28" t="str">
        <f>IF(AND(O4267="在职",J4267="是"),COUNTIF(O$2:O4267,"在职"),"")</f>
        <v/>
      </c>
    </row>
    <row r="4268" spans="1:16">
      <c r="A4268" s="10" t="str">
        <f t="shared" ref="A4268:A4331" si="72">IF(B4268&lt;&gt;"",ROW()-1,"")</f>
        <v/>
      </c>
      <c r="D4268" s="120" t="s">
        <v>490</v>
      </c>
      <c r="O4268" s="28" t="str">
        <f>IF(D4268="","",IF(COUNTIF(离职清单!C:C,D4268)&gt;0,"已离职","在职"))</f>
        <v>在职</v>
      </c>
      <c r="P4268" s="28" t="str">
        <f>IF(AND(O4268="在职",J4268="是"),COUNTIF(O$2:O4268,"在职"),"")</f>
        <v/>
      </c>
    </row>
    <row r="4269" spans="1:16">
      <c r="A4269" s="14" t="str">
        <f t="shared" si="72"/>
        <v/>
      </c>
      <c r="D4269" s="120" t="s">
        <v>492</v>
      </c>
      <c r="O4269" s="28" t="str">
        <f>IF(D4269="","",IF(COUNTIF(离职清单!C:C,D4269)&gt;0,"已离职","在职"))</f>
        <v>在职</v>
      </c>
      <c r="P4269" s="28" t="str">
        <f>IF(AND(O4269="在职",J4269="是"),COUNTIF(O$2:O4269,"在职"),"")</f>
        <v/>
      </c>
    </row>
    <row r="4270" spans="1:16">
      <c r="A4270" s="10" t="str">
        <f t="shared" si="72"/>
        <v/>
      </c>
      <c r="D4270" s="120" t="s">
        <v>477</v>
      </c>
      <c r="O4270" s="28" t="str">
        <f>IF(D4270="","",IF(COUNTIF(离职清单!C:C,D4270)&gt;0,"已离职","在职"))</f>
        <v>在职</v>
      </c>
      <c r="P4270" s="28" t="str">
        <f>IF(AND(O4270="在职",J4270="是"),COUNTIF(O$2:O4270,"在职"),"")</f>
        <v/>
      </c>
    </row>
    <row r="4271" spans="1:16">
      <c r="A4271" s="14" t="str">
        <f t="shared" si="72"/>
        <v/>
      </c>
      <c r="D4271" s="120" t="s">
        <v>478</v>
      </c>
      <c r="O4271" s="28" t="str">
        <f>IF(D4271="","",IF(COUNTIF(离职清单!C:C,D4271)&gt;0,"已离职","在职"))</f>
        <v>在职</v>
      </c>
      <c r="P4271" s="28" t="str">
        <f>IF(AND(O4271="在职",J4271="是"),COUNTIF(O$2:O4271,"在职"),"")</f>
        <v/>
      </c>
    </row>
    <row r="4272" spans="1:16">
      <c r="A4272" s="10" t="str">
        <f t="shared" si="72"/>
        <v/>
      </c>
      <c r="D4272" s="120" t="s">
        <v>480</v>
      </c>
      <c r="O4272" s="28" t="str">
        <f>IF(D4272="","",IF(COUNTIF(离职清单!C:C,D4272)&gt;0,"已离职","在职"))</f>
        <v>在职</v>
      </c>
      <c r="P4272" s="28" t="str">
        <f>IF(AND(O4272="在职",J4272="是"),COUNTIF(O$2:O4272,"在职"),"")</f>
        <v/>
      </c>
    </row>
    <row r="4273" spans="1:16">
      <c r="A4273" s="14" t="str">
        <f t="shared" si="72"/>
        <v/>
      </c>
      <c r="D4273" s="120" t="s">
        <v>482</v>
      </c>
      <c r="O4273" s="28" t="str">
        <f>IF(D4273="","",IF(COUNTIF(离职清单!C:C,D4273)&gt;0,"已离职","在职"))</f>
        <v>在职</v>
      </c>
      <c r="P4273" s="28" t="str">
        <f>IF(AND(O4273="在职",J4273="是"),COUNTIF(O$2:O4273,"在职"),"")</f>
        <v/>
      </c>
    </row>
    <row r="4274" spans="1:16">
      <c r="A4274" s="10" t="str">
        <f t="shared" si="72"/>
        <v/>
      </c>
      <c r="D4274" s="120" t="s">
        <v>484</v>
      </c>
      <c r="O4274" s="28" t="str">
        <f>IF(D4274="","",IF(COUNTIF(离职清单!C:C,D4274)&gt;0,"已离职","在职"))</f>
        <v>在职</v>
      </c>
      <c r="P4274" s="28" t="str">
        <f>IF(AND(O4274="在职",J4274="是"),COUNTIF(O$2:O4274,"在职"),"")</f>
        <v/>
      </c>
    </row>
    <row r="4275" spans="1:16">
      <c r="A4275" s="14" t="str">
        <f t="shared" si="72"/>
        <v/>
      </c>
      <c r="D4275" s="120" t="s">
        <v>486</v>
      </c>
      <c r="O4275" s="28" t="str">
        <f>IF(D4275="","",IF(COUNTIF(离职清单!C:C,D4275)&gt;0,"已离职","在职"))</f>
        <v>在职</v>
      </c>
      <c r="P4275" s="28" t="str">
        <f>IF(AND(O4275="在职",J4275="是"),COUNTIF(O$2:O4275,"在职"),"")</f>
        <v/>
      </c>
    </row>
    <row r="4276" spans="1:16">
      <c r="A4276" s="10" t="str">
        <f t="shared" si="72"/>
        <v/>
      </c>
      <c r="D4276" s="120" t="s">
        <v>488</v>
      </c>
      <c r="O4276" s="28" t="str">
        <f>IF(D4276="","",IF(COUNTIF(离职清单!C:C,D4276)&gt;0,"已离职","在职"))</f>
        <v>在职</v>
      </c>
      <c r="P4276" s="28" t="str">
        <f>IF(AND(O4276="在职",J4276="是"),COUNTIF(O$2:O4276,"在职"),"")</f>
        <v/>
      </c>
    </row>
    <row r="4277" spans="1:16">
      <c r="A4277" s="14" t="str">
        <f t="shared" si="72"/>
        <v/>
      </c>
      <c r="D4277" s="120" t="s">
        <v>490</v>
      </c>
      <c r="O4277" s="28" t="str">
        <f>IF(D4277="","",IF(COUNTIF(离职清单!C:C,D4277)&gt;0,"已离职","在职"))</f>
        <v>在职</v>
      </c>
      <c r="P4277" s="28" t="str">
        <f>IF(AND(O4277="在职",J4277="是"),COUNTIF(O$2:O4277,"在职"),"")</f>
        <v/>
      </c>
    </row>
    <row r="4278" spans="1:16">
      <c r="A4278" s="10" t="str">
        <f t="shared" si="72"/>
        <v/>
      </c>
      <c r="D4278" s="120" t="s">
        <v>492</v>
      </c>
      <c r="O4278" s="28" t="str">
        <f>IF(D4278="","",IF(COUNTIF(离职清单!C:C,D4278)&gt;0,"已离职","在职"))</f>
        <v>在职</v>
      </c>
      <c r="P4278" s="28" t="str">
        <f>IF(AND(O4278="在职",J4278="是"),COUNTIF(O$2:O4278,"在职"),"")</f>
        <v/>
      </c>
    </row>
    <row r="4279" spans="1:16">
      <c r="A4279" s="14" t="str">
        <f t="shared" si="72"/>
        <v/>
      </c>
      <c r="D4279" s="120" t="s">
        <v>477</v>
      </c>
      <c r="O4279" s="28" t="str">
        <f>IF(D4279="","",IF(COUNTIF(离职清单!C:C,D4279)&gt;0,"已离职","在职"))</f>
        <v>在职</v>
      </c>
      <c r="P4279" s="28" t="str">
        <f>IF(AND(O4279="在职",J4279="是"),COUNTIF(O$2:O4279,"在职"),"")</f>
        <v/>
      </c>
    </row>
    <row r="4280" spans="1:16">
      <c r="A4280" s="10" t="str">
        <f t="shared" si="72"/>
        <v/>
      </c>
      <c r="D4280" s="120" t="s">
        <v>478</v>
      </c>
      <c r="O4280" s="28" t="str">
        <f>IF(D4280="","",IF(COUNTIF(离职清单!C:C,D4280)&gt;0,"已离职","在职"))</f>
        <v>在职</v>
      </c>
      <c r="P4280" s="28" t="str">
        <f>IF(AND(O4280="在职",J4280="是"),COUNTIF(O$2:O4280,"在职"),"")</f>
        <v/>
      </c>
    </row>
    <row r="4281" spans="1:16">
      <c r="A4281" s="14" t="str">
        <f t="shared" si="72"/>
        <v/>
      </c>
      <c r="D4281" s="120" t="s">
        <v>480</v>
      </c>
      <c r="O4281" s="28" t="str">
        <f>IF(D4281="","",IF(COUNTIF(离职清单!C:C,D4281)&gt;0,"已离职","在职"))</f>
        <v>在职</v>
      </c>
      <c r="P4281" s="28" t="str">
        <f>IF(AND(O4281="在职",J4281="是"),COUNTIF(O$2:O4281,"在职"),"")</f>
        <v/>
      </c>
    </row>
    <row r="4282" spans="1:16">
      <c r="A4282" s="10" t="str">
        <f t="shared" si="72"/>
        <v/>
      </c>
      <c r="D4282" s="120" t="s">
        <v>482</v>
      </c>
      <c r="O4282" s="28" t="str">
        <f>IF(D4282="","",IF(COUNTIF(离职清单!C:C,D4282)&gt;0,"已离职","在职"))</f>
        <v>在职</v>
      </c>
      <c r="P4282" s="28" t="str">
        <f>IF(AND(O4282="在职",J4282="是"),COUNTIF(O$2:O4282,"在职"),"")</f>
        <v/>
      </c>
    </row>
    <row r="4283" spans="1:16">
      <c r="A4283" s="14" t="str">
        <f t="shared" si="72"/>
        <v/>
      </c>
      <c r="D4283" s="120" t="s">
        <v>484</v>
      </c>
      <c r="O4283" s="28" t="str">
        <f>IF(D4283="","",IF(COUNTIF(离职清单!C:C,D4283)&gt;0,"已离职","在职"))</f>
        <v>在职</v>
      </c>
      <c r="P4283" s="28" t="str">
        <f>IF(AND(O4283="在职",J4283="是"),COUNTIF(O$2:O4283,"在职"),"")</f>
        <v/>
      </c>
    </row>
    <row r="4284" spans="1:16">
      <c r="A4284" s="10" t="str">
        <f t="shared" si="72"/>
        <v/>
      </c>
      <c r="D4284" s="120" t="s">
        <v>486</v>
      </c>
      <c r="O4284" s="28" t="str">
        <f>IF(D4284="","",IF(COUNTIF(离职清单!C:C,D4284)&gt;0,"已离职","在职"))</f>
        <v>在职</v>
      </c>
      <c r="P4284" s="28" t="str">
        <f>IF(AND(O4284="在职",J4284="是"),COUNTIF(O$2:O4284,"在职"),"")</f>
        <v/>
      </c>
    </row>
    <row r="4285" spans="1:16">
      <c r="A4285" s="14" t="str">
        <f t="shared" si="72"/>
        <v/>
      </c>
      <c r="D4285" s="120" t="s">
        <v>488</v>
      </c>
      <c r="O4285" s="28" t="str">
        <f>IF(D4285="","",IF(COUNTIF(离职清单!C:C,D4285)&gt;0,"已离职","在职"))</f>
        <v>在职</v>
      </c>
      <c r="P4285" s="28" t="str">
        <f>IF(AND(O4285="在职",J4285="是"),COUNTIF(O$2:O4285,"在职"),"")</f>
        <v/>
      </c>
    </row>
    <row r="4286" spans="1:16">
      <c r="A4286" s="10" t="str">
        <f t="shared" si="72"/>
        <v/>
      </c>
      <c r="D4286" s="120" t="s">
        <v>490</v>
      </c>
      <c r="O4286" s="28" t="str">
        <f>IF(D4286="","",IF(COUNTIF(离职清单!C:C,D4286)&gt;0,"已离职","在职"))</f>
        <v>在职</v>
      </c>
      <c r="P4286" s="28" t="str">
        <f>IF(AND(O4286="在职",J4286="是"),COUNTIF(O$2:O4286,"在职"),"")</f>
        <v/>
      </c>
    </row>
    <row r="4287" spans="1:16">
      <c r="A4287" s="14" t="str">
        <f t="shared" si="72"/>
        <v/>
      </c>
      <c r="D4287" s="120" t="s">
        <v>492</v>
      </c>
      <c r="O4287" s="28" t="str">
        <f>IF(D4287="","",IF(COUNTIF(离职清单!C:C,D4287)&gt;0,"已离职","在职"))</f>
        <v>在职</v>
      </c>
      <c r="P4287" s="28" t="str">
        <f>IF(AND(O4287="在职",J4287="是"),COUNTIF(O$2:O4287,"在职"),"")</f>
        <v/>
      </c>
    </row>
    <row r="4288" spans="1:16">
      <c r="A4288" s="10" t="str">
        <f t="shared" si="72"/>
        <v/>
      </c>
      <c r="D4288" s="120" t="s">
        <v>477</v>
      </c>
      <c r="O4288" s="28" t="str">
        <f>IF(D4288="","",IF(COUNTIF(离职清单!C:C,D4288)&gt;0,"已离职","在职"))</f>
        <v>在职</v>
      </c>
      <c r="P4288" s="28" t="str">
        <f>IF(AND(O4288="在职",J4288="是"),COUNTIF(O$2:O4288,"在职"),"")</f>
        <v/>
      </c>
    </row>
    <row r="4289" spans="1:16">
      <c r="A4289" s="14" t="str">
        <f t="shared" si="72"/>
        <v/>
      </c>
      <c r="D4289" s="120" t="s">
        <v>478</v>
      </c>
      <c r="O4289" s="28" t="str">
        <f>IF(D4289="","",IF(COUNTIF(离职清单!C:C,D4289)&gt;0,"已离职","在职"))</f>
        <v>在职</v>
      </c>
      <c r="P4289" s="28" t="str">
        <f>IF(AND(O4289="在职",J4289="是"),COUNTIF(O$2:O4289,"在职"),"")</f>
        <v/>
      </c>
    </row>
    <row r="4290" spans="1:16">
      <c r="A4290" s="10" t="str">
        <f t="shared" si="72"/>
        <v/>
      </c>
      <c r="D4290" s="120" t="s">
        <v>480</v>
      </c>
      <c r="O4290" s="28" t="str">
        <f>IF(D4290="","",IF(COUNTIF(离职清单!C:C,D4290)&gt;0,"已离职","在职"))</f>
        <v>在职</v>
      </c>
      <c r="P4290" s="28" t="str">
        <f>IF(AND(O4290="在职",J4290="是"),COUNTIF(O$2:O4290,"在职"),"")</f>
        <v/>
      </c>
    </row>
    <row r="4291" spans="1:16">
      <c r="A4291" s="14" t="str">
        <f t="shared" si="72"/>
        <v/>
      </c>
      <c r="D4291" s="120" t="s">
        <v>482</v>
      </c>
      <c r="O4291" s="28" t="str">
        <f>IF(D4291="","",IF(COUNTIF(离职清单!C:C,D4291)&gt;0,"已离职","在职"))</f>
        <v>在职</v>
      </c>
      <c r="P4291" s="28" t="str">
        <f>IF(AND(O4291="在职",J4291="是"),COUNTIF(O$2:O4291,"在职"),"")</f>
        <v/>
      </c>
    </row>
    <row r="4292" spans="1:16">
      <c r="A4292" s="10" t="str">
        <f t="shared" si="72"/>
        <v/>
      </c>
      <c r="D4292" s="120" t="s">
        <v>484</v>
      </c>
      <c r="O4292" s="28" t="str">
        <f>IF(D4292="","",IF(COUNTIF(离职清单!C:C,D4292)&gt;0,"已离职","在职"))</f>
        <v>在职</v>
      </c>
      <c r="P4292" s="28" t="str">
        <f>IF(AND(O4292="在职",J4292="是"),COUNTIF(O$2:O4292,"在职"),"")</f>
        <v/>
      </c>
    </row>
    <row r="4293" spans="1:16">
      <c r="A4293" s="14" t="str">
        <f t="shared" si="72"/>
        <v/>
      </c>
      <c r="D4293" s="120" t="s">
        <v>486</v>
      </c>
      <c r="O4293" s="28" t="str">
        <f>IF(D4293="","",IF(COUNTIF(离职清单!C:C,D4293)&gt;0,"已离职","在职"))</f>
        <v>在职</v>
      </c>
      <c r="P4293" s="28" t="str">
        <f>IF(AND(O4293="在职",J4293="是"),COUNTIF(O$2:O4293,"在职"),"")</f>
        <v/>
      </c>
    </row>
    <row r="4294" spans="1:16">
      <c r="A4294" s="10" t="str">
        <f t="shared" si="72"/>
        <v/>
      </c>
      <c r="D4294" s="120" t="s">
        <v>488</v>
      </c>
      <c r="O4294" s="28" t="str">
        <f>IF(D4294="","",IF(COUNTIF(离职清单!C:C,D4294)&gt;0,"已离职","在职"))</f>
        <v>在职</v>
      </c>
      <c r="P4294" s="28" t="str">
        <f>IF(AND(O4294="在职",J4294="是"),COUNTIF(O$2:O4294,"在职"),"")</f>
        <v/>
      </c>
    </row>
    <row r="4295" spans="1:16">
      <c r="A4295" s="14" t="str">
        <f t="shared" si="72"/>
        <v/>
      </c>
      <c r="D4295" s="120" t="s">
        <v>490</v>
      </c>
      <c r="O4295" s="28" t="str">
        <f>IF(D4295="","",IF(COUNTIF(离职清单!C:C,D4295)&gt;0,"已离职","在职"))</f>
        <v>在职</v>
      </c>
      <c r="P4295" s="28" t="str">
        <f>IF(AND(O4295="在职",J4295="是"),COUNTIF(O$2:O4295,"在职"),"")</f>
        <v/>
      </c>
    </row>
    <row r="4296" spans="1:16">
      <c r="A4296" s="10" t="str">
        <f t="shared" si="72"/>
        <v/>
      </c>
      <c r="D4296" s="120" t="s">
        <v>492</v>
      </c>
      <c r="O4296" s="28" t="str">
        <f>IF(D4296="","",IF(COUNTIF(离职清单!C:C,D4296)&gt;0,"已离职","在职"))</f>
        <v>在职</v>
      </c>
      <c r="P4296" s="28" t="str">
        <f>IF(AND(O4296="在职",J4296="是"),COUNTIF(O$2:O4296,"在职"),"")</f>
        <v/>
      </c>
    </row>
    <row r="4297" spans="1:16">
      <c r="A4297" s="14" t="str">
        <f t="shared" si="72"/>
        <v/>
      </c>
      <c r="D4297" s="120" t="s">
        <v>477</v>
      </c>
      <c r="O4297" s="28" t="str">
        <f>IF(D4297="","",IF(COUNTIF(离职清单!C:C,D4297)&gt;0,"已离职","在职"))</f>
        <v>在职</v>
      </c>
      <c r="P4297" s="28" t="str">
        <f>IF(AND(O4297="在职",J4297="是"),COUNTIF(O$2:O4297,"在职"),"")</f>
        <v/>
      </c>
    </row>
    <row r="4298" spans="1:16">
      <c r="A4298" s="10" t="str">
        <f t="shared" si="72"/>
        <v/>
      </c>
      <c r="D4298" s="120" t="s">
        <v>478</v>
      </c>
      <c r="O4298" s="28" t="str">
        <f>IF(D4298="","",IF(COUNTIF(离职清单!C:C,D4298)&gt;0,"已离职","在职"))</f>
        <v>在职</v>
      </c>
      <c r="P4298" s="28" t="str">
        <f>IF(AND(O4298="在职",J4298="是"),COUNTIF(O$2:O4298,"在职"),"")</f>
        <v/>
      </c>
    </row>
    <row r="4299" spans="1:16">
      <c r="A4299" s="14" t="str">
        <f t="shared" si="72"/>
        <v/>
      </c>
      <c r="D4299" s="120" t="s">
        <v>480</v>
      </c>
      <c r="O4299" s="28" t="str">
        <f>IF(D4299="","",IF(COUNTIF(离职清单!C:C,D4299)&gt;0,"已离职","在职"))</f>
        <v>在职</v>
      </c>
      <c r="P4299" s="28" t="str">
        <f>IF(AND(O4299="在职",J4299="是"),COUNTIF(O$2:O4299,"在职"),"")</f>
        <v/>
      </c>
    </row>
    <row r="4300" spans="1:16">
      <c r="A4300" s="10" t="str">
        <f t="shared" si="72"/>
        <v/>
      </c>
      <c r="D4300" s="120" t="s">
        <v>482</v>
      </c>
      <c r="O4300" s="28" t="str">
        <f>IF(D4300="","",IF(COUNTIF(离职清单!C:C,D4300)&gt;0,"已离职","在职"))</f>
        <v>在职</v>
      </c>
      <c r="P4300" s="28" t="str">
        <f>IF(AND(O4300="在职",J4300="是"),COUNTIF(O$2:O4300,"在职"),"")</f>
        <v/>
      </c>
    </row>
    <row r="4301" spans="1:16">
      <c r="A4301" s="14" t="str">
        <f t="shared" si="72"/>
        <v/>
      </c>
      <c r="D4301" s="120" t="s">
        <v>484</v>
      </c>
      <c r="O4301" s="28" t="str">
        <f>IF(D4301="","",IF(COUNTIF(离职清单!C:C,D4301)&gt;0,"已离职","在职"))</f>
        <v>在职</v>
      </c>
      <c r="P4301" s="28" t="str">
        <f>IF(AND(O4301="在职",J4301="是"),COUNTIF(O$2:O4301,"在职"),"")</f>
        <v/>
      </c>
    </row>
    <row r="4302" spans="1:16">
      <c r="A4302" s="10" t="str">
        <f t="shared" si="72"/>
        <v/>
      </c>
      <c r="D4302" s="120" t="s">
        <v>486</v>
      </c>
      <c r="O4302" s="28" t="str">
        <f>IF(D4302="","",IF(COUNTIF(离职清单!C:C,D4302)&gt;0,"已离职","在职"))</f>
        <v>在职</v>
      </c>
      <c r="P4302" s="28" t="str">
        <f>IF(AND(O4302="在职",J4302="是"),COUNTIF(O$2:O4302,"在职"),"")</f>
        <v/>
      </c>
    </row>
    <row r="4303" spans="1:16">
      <c r="A4303" s="14" t="str">
        <f t="shared" si="72"/>
        <v/>
      </c>
      <c r="D4303" s="120" t="s">
        <v>488</v>
      </c>
      <c r="O4303" s="28" t="str">
        <f>IF(D4303="","",IF(COUNTIF(离职清单!C:C,D4303)&gt;0,"已离职","在职"))</f>
        <v>在职</v>
      </c>
      <c r="P4303" s="28" t="str">
        <f>IF(AND(O4303="在职",J4303="是"),COUNTIF(O$2:O4303,"在职"),"")</f>
        <v/>
      </c>
    </row>
    <row r="4304" spans="1:16">
      <c r="A4304" s="10" t="str">
        <f t="shared" si="72"/>
        <v/>
      </c>
      <c r="D4304" s="120" t="s">
        <v>490</v>
      </c>
      <c r="O4304" s="28" t="str">
        <f>IF(D4304="","",IF(COUNTIF(离职清单!C:C,D4304)&gt;0,"已离职","在职"))</f>
        <v>在职</v>
      </c>
      <c r="P4304" s="28" t="str">
        <f>IF(AND(O4304="在职",J4304="是"),COUNTIF(O$2:O4304,"在职"),"")</f>
        <v/>
      </c>
    </row>
    <row r="4305" spans="1:16">
      <c r="A4305" s="14" t="str">
        <f t="shared" si="72"/>
        <v/>
      </c>
      <c r="D4305" s="120" t="s">
        <v>492</v>
      </c>
      <c r="O4305" s="28" t="str">
        <f>IF(D4305="","",IF(COUNTIF(离职清单!C:C,D4305)&gt;0,"已离职","在职"))</f>
        <v>在职</v>
      </c>
      <c r="P4305" s="28" t="str">
        <f>IF(AND(O4305="在职",J4305="是"),COUNTIF(O$2:O4305,"在职"),"")</f>
        <v/>
      </c>
    </row>
    <row r="4306" spans="1:16">
      <c r="A4306" s="10" t="str">
        <f t="shared" si="72"/>
        <v/>
      </c>
      <c r="D4306" s="120" t="s">
        <v>477</v>
      </c>
      <c r="O4306" s="28" t="str">
        <f>IF(D4306="","",IF(COUNTIF(离职清单!C:C,D4306)&gt;0,"已离职","在职"))</f>
        <v>在职</v>
      </c>
      <c r="P4306" s="28" t="str">
        <f>IF(AND(O4306="在职",J4306="是"),COUNTIF(O$2:O4306,"在职"),"")</f>
        <v/>
      </c>
    </row>
    <row r="4307" spans="1:16">
      <c r="A4307" s="14" t="str">
        <f t="shared" si="72"/>
        <v/>
      </c>
      <c r="D4307" s="120" t="s">
        <v>477</v>
      </c>
      <c r="O4307" s="28" t="str">
        <f>IF(D4307="","",IF(COUNTIF(离职清单!C:C,D4307)&gt;0,"已离职","在职"))</f>
        <v>在职</v>
      </c>
      <c r="P4307" s="28" t="str">
        <f>IF(AND(O4307="在职",J4307="是"),COUNTIF(O$2:O4307,"在职"),"")</f>
        <v/>
      </c>
    </row>
    <row r="4308" spans="1:16">
      <c r="A4308" s="10" t="str">
        <f t="shared" si="72"/>
        <v/>
      </c>
      <c r="D4308" s="120" t="s">
        <v>478</v>
      </c>
      <c r="O4308" s="28" t="str">
        <f>IF(D4308="","",IF(COUNTIF(离职清单!C:C,D4308)&gt;0,"已离职","在职"))</f>
        <v>在职</v>
      </c>
      <c r="P4308" s="28" t="str">
        <f>IF(AND(O4308="在职",J4308="是"),COUNTIF(O$2:O4308,"在职"),"")</f>
        <v/>
      </c>
    </row>
    <row r="4309" spans="1:16">
      <c r="A4309" s="14" t="str">
        <f t="shared" si="72"/>
        <v/>
      </c>
      <c r="D4309" s="120" t="s">
        <v>480</v>
      </c>
      <c r="O4309" s="28" t="str">
        <f>IF(D4309="","",IF(COUNTIF(离职清单!C:C,D4309)&gt;0,"已离职","在职"))</f>
        <v>在职</v>
      </c>
      <c r="P4309" s="28" t="str">
        <f>IF(AND(O4309="在职",J4309="是"),COUNTIF(O$2:O4309,"在职"),"")</f>
        <v/>
      </c>
    </row>
    <row r="4310" spans="1:16">
      <c r="A4310" s="10" t="str">
        <f t="shared" si="72"/>
        <v/>
      </c>
      <c r="D4310" s="120" t="s">
        <v>482</v>
      </c>
      <c r="O4310" s="28" t="str">
        <f>IF(D4310="","",IF(COUNTIF(离职清单!C:C,D4310)&gt;0,"已离职","在职"))</f>
        <v>在职</v>
      </c>
      <c r="P4310" s="28" t="str">
        <f>IF(AND(O4310="在职",J4310="是"),COUNTIF(O$2:O4310,"在职"),"")</f>
        <v/>
      </c>
    </row>
    <row r="4311" spans="1:16">
      <c r="A4311" s="14" t="str">
        <f t="shared" si="72"/>
        <v/>
      </c>
      <c r="D4311" s="120" t="s">
        <v>484</v>
      </c>
      <c r="O4311" s="28" t="str">
        <f>IF(D4311="","",IF(COUNTIF(离职清单!C:C,D4311)&gt;0,"已离职","在职"))</f>
        <v>在职</v>
      </c>
      <c r="P4311" s="28" t="str">
        <f>IF(AND(O4311="在职",J4311="是"),COUNTIF(O$2:O4311,"在职"),"")</f>
        <v/>
      </c>
    </row>
    <row r="4312" spans="1:16">
      <c r="A4312" s="10" t="str">
        <f t="shared" si="72"/>
        <v/>
      </c>
      <c r="D4312" s="120" t="s">
        <v>486</v>
      </c>
      <c r="O4312" s="28" t="str">
        <f>IF(D4312="","",IF(COUNTIF(离职清单!C:C,D4312)&gt;0,"已离职","在职"))</f>
        <v>在职</v>
      </c>
      <c r="P4312" s="28" t="str">
        <f>IF(AND(O4312="在职",J4312="是"),COUNTIF(O$2:O4312,"在职"),"")</f>
        <v/>
      </c>
    </row>
    <row r="4313" spans="1:16">
      <c r="A4313" s="14" t="str">
        <f t="shared" si="72"/>
        <v/>
      </c>
      <c r="D4313" s="120" t="s">
        <v>488</v>
      </c>
      <c r="O4313" s="28" t="str">
        <f>IF(D4313="","",IF(COUNTIF(离职清单!C:C,D4313)&gt;0,"已离职","在职"))</f>
        <v>在职</v>
      </c>
      <c r="P4313" s="28" t="str">
        <f>IF(AND(O4313="在职",J4313="是"),COUNTIF(O$2:O4313,"在职"),"")</f>
        <v/>
      </c>
    </row>
    <row r="4314" spans="1:16">
      <c r="A4314" s="10" t="str">
        <f t="shared" si="72"/>
        <v/>
      </c>
      <c r="D4314" s="120" t="s">
        <v>490</v>
      </c>
      <c r="O4314" s="28" t="str">
        <f>IF(D4314="","",IF(COUNTIF(离职清单!C:C,D4314)&gt;0,"已离职","在职"))</f>
        <v>在职</v>
      </c>
      <c r="P4314" s="28" t="str">
        <f>IF(AND(O4314="在职",J4314="是"),COUNTIF(O$2:O4314,"在职"),"")</f>
        <v/>
      </c>
    </row>
    <row r="4315" spans="1:16">
      <c r="A4315" s="14" t="str">
        <f t="shared" si="72"/>
        <v/>
      </c>
      <c r="D4315" s="120" t="s">
        <v>492</v>
      </c>
      <c r="O4315" s="28" t="str">
        <f>IF(D4315="","",IF(COUNTIF(离职清单!C:C,D4315)&gt;0,"已离职","在职"))</f>
        <v>在职</v>
      </c>
      <c r="P4315" s="28" t="str">
        <f>IF(AND(O4315="在职",J4315="是"),COUNTIF(O$2:O4315,"在职"),"")</f>
        <v/>
      </c>
    </row>
    <row r="4316" spans="1:16">
      <c r="A4316" s="10" t="str">
        <f t="shared" si="72"/>
        <v/>
      </c>
      <c r="D4316" s="120" t="s">
        <v>477</v>
      </c>
      <c r="O4316" s="28" t="str">
        <f>IF(D4316="","",IF(COUNTIF(离职清单!C:C,D4316)&gt;0,"已离职","在职"))</f>
        <v>在职</v>
      </c>
      <c r="P4316" s="28" t="str">
        <f>IF(AND(O4316="在职",J4316="是"),COUNTIF(O$2:O4316,"在职"),"")</f>
        <v/>
      </c>
    </row>
    <row r="4317" spans="1:16">
      <c r="A4317" s="14" t="str">
        <f t="shared" si="72"/>
        <v/>
      </c>
      <c r="D4317" s="120" t="s">
        <v>478</v>
      </c>
      <c r="O4317" s="28" t="str">
        <f>IF(D4317="","",IF(COUNTIF(离职清单!C:C,D4317)&gt;0,"已离职","在职"))</f>
        <v>在职</v>
      </c>
      <c r="P4317" s="28" t="str">
        <f>IF(AND(O4317="在职",J4317="是"),COUNTIF(O$2:O4317,"在职"),"")</f>
        <v/>
      </c>
    </row>
    <row r="4318" spans="1:16">
      <c r="A4318" s="10" t="str">
        <f t="shared" si="72"/>
        <v/>
      </c>
      <c r="D4318" s="120" t="s">
        <v>480</v>
      </c>
      <c r="O4318" s="28" t="str">
        <f>IF(D4318="","",IF(COUNTIF(离职清单!C:C,D4318)&gt;0,"已离职","在职"))</f>
        <v>在职</v>
      </c>
      <c r="P4318" s="28" t="str">
        <f>IF(AND(O4318="在职",J4318="是"),COUNTIF(O$2:O4318,"在职"),"")</f>
        <v/>
      </c>
    </row>
    <row r="4319" spans="1:16">
      <c r="A4319" s="14" t="str">
        <f t="shared" si="72"/>
        <v/>
      </c>
      <c r="D4319" s="120" t="s">
        <v>482</v>
      </c>
      <c r="O4319" s="28" t="str">
        <f>IF(D4319="","",IF(COUNTIF(离职清单!C:C,D4319)&gt;0,"已离职","在职"))</f>
        <v>在职</v>
      </c>
      <c r="P4319" s="28" t="str">
        <f>IF(AND(O4319="在职",J4319="是"),COUNTIF(O$2:O4319,"在职"),"")</f>
        <v/>
      </c>
    </row>
    <row r="4320" spans="1:16">
      <c r="A4320" s="10" t="str">
        <f t="shared" si="72"/>
        <v/>
      </c>
      <c r="D4320" s="120" t="s">
        <v>484</v>
      </c>
      <c r="O4320" s="28" t="str">
        <f>IF(D4320="","",IF(COUNTIF(离职清单!C:C,D4320)&gt;0,"已离职","在职"))</f>
        <v>在职</v>
      </c>
      <c r="P4320" s="28" t="str">
        <f>IF(AND(O4320="在职",J4320="是"),COUNTIF(O$2:O4320,"在职"),"")</f>
        <v/>
      </c>
    </row>
    <row r="4321" spans="1:16">
      <c r="A4321" s="14" t="str">
        <f t="shared" si="72"/>
        <v/>
      </c>
      <c r="D4321" s="120" t="s">
        <v>486</v>
      </c>
      <c r="O4321" s="28" t="str">
        <f>IF(D4321="","",IF(COUNTIF(离职清单!C:C,D4321)&gt;0,"已离职","在职"))</f>
        <v>在职</v>
      </c>
      <c r="P4321" s="28" t="str">
        <f>IF(AND(O4321="在职",J4321="是"),COUNTIF(O$2:O4321,"在职"),"")</f>
        <v/>
      </c>
    </row>
    <row r="4322" spans="1:16">
      <c r="A4322" s="10" t="str">
        <f t="shared" si="72"/>
        <v/>
      </c>
      <c r="D4322" s="120" t="s">
        <v>488</v>
      </c>
      <c r="O4322" s="28" t="str">
        <f>IF(D4322="","",IF(COUNTIF(离职清单!C:C,D4322)&gt;0,"已离职","在职"))</f>
        <v>在职</v>
      </c>
      <c r="P4322" s="28" t="str">
        <f>IF(AND(O4322="在职",J4322="是"),COUNTIF(O$2:O4322,"在职"),"")</f>
        <v/>
      </c>
    </row>
    <row r="4323" spans="1:16">
      <c r="A4323" s="14" t="str">
        <f t="shared" si="72"/>
        <v/>
      </c>
      <c r="D4323" s="120" t="s">
        <v>490</v>
      </c>
      <c r="O4323" s="28" t="str">
        <f>IF(D4323="","",IF(COUNTIF(离职清单!C:C,D4323)&gt;0,"已离职","在职"))</f>
        <v>在职</v>
      </c>
      <c r="P4323" s="28" t="str">
        <f>IF(AND(O4323="在职",J4323="是"),COUNTIF(O$2:O4323,"在职"),"")</f>
        <v/>
      </c>
    </row>
    <row r="4324" spans="1:16">
      <c r="A4324" s="10" t="str">
        <f t="shared" si="72"/>
        <v/>
      </c>
      <c r="D4324" s="120" t="s">
        <v>492</v>
      </c>
      <c r="O4324" s="28" t="str">
        <f>IF(D4324="","",IF(COUNTIF(离职清单!C:C,D4324)&gt;0,"已离职","在职"))</f>
        <v>在职</v>
      </c>
      <c r="P4324" s="28" t="str">
        <f>IF(AND(O4324="在职",J4324="是"),COUNTIF(O$2:O4324,"在职"),"")</f>
        <v/>
      </c>
    </row>
    <row r="4325" spans="1:16">
      <c r="A4325" s="14" t="str">
        <f t="shared" si="72"/>
        <v/>
      </c>
      <c r="D4325" s="120" t="s">
        <v>477</v>
      </c>
      <c r="O4325" s="28" t="str">
        <f>IF(D4325="","",IF(COUNTIF(离职清单!C:C,D4325)&gt;0,"已离职","在职"))</f>
        <v>在职</v>
      </c>
      <c r="P4325" s="28" t="str">
        <f>IF(AND(O4325="在职",J4325="是"),COUNTIF(O$2:O4325,"在职"),"")</f>
        <v/>
      </c>
    </row>
    <row r="4326" spans="1:16">
      <c r="A4326" s="10" t="str">
        <f t="shared" si="72"/>
        <v/>
      </c>
      <c r="D4326" s="120" t="s">
        <v>478</v>
      </c>
      <c r="O4326" s="28" t="str">
        <f>IF(D4326="","",IF(COUNTIF(离职清单!C:C,D4326)&gt;0,"已离职","在职"))</f>
        <v>在职</v>
      </c>
      <c r="P4326" s="28" t="str">
        <f>IF(AND(O4326="在职",J4326="是"),COUNTIF(O$2:O4326,"在职"),"")</f>
        <v/>
      </c>
    </row>
    <row r="4327" spans="1:16">
      <c r="A4327" s="14" t="str">
        <f t="shared" si="72"/>
        <v/>
      </c>
      <c r="D4327" s="120" t="s">
        <v>480</v>
      </c>
      <c r="O4327" s="28" t="str">
        <f>IF(D4327="","",IF(COUNTIF(离职清单!C:C,D4327)&gt;0,"已离职","在职"))</f>
        <v>在职</v>
      </c>
      <c r="P4327" s="28" t="str">
        <f>IF(AND(O4327="在职",J4327="是"),COUNTIF(O$2:O4327,"在职"),"")</f>
        <v/>
      </c>
    </row>
    <row r="4328" spans="1:16">
      <c r="A4328" s="10" t="str">
        <f t="shared" si="72"/>
        <v/>
      </c>
      <c r="D4328" s="120" t="s">
        <v>482</v>
      </c>
      <c r="O4328" s="28" t="str">
        <f>IF(D4328="","",IF(COUNTIF(离职清单!C:C,D4328)&gt;0,"已离职","在职"))</f>
        <v>在职</v>
      </c>
      <c r="P4328" s="28" t="str">
        <f>IF(AND(O4328="在职",J4328="是"),COUNTIF(O$2:O4328,"在职"),"")</f>
        <v/>
      </c>
    </row>
    <row r="4329" spans="1:16">
      <c r="A4329" s="14" t="str">
        <f t="shared" si="72"/>
        <v/>
      </c>
      <c r="D4329" s="120" t="s">
        <v>484</v>
      </c>
      <c r="O4329" s="28" t="str">
        <f>IF(D4329="","",IF(COUNTIF(离职清单!C:C,D4329)&gt;0,"已离职","在职"))</f>
        <v>在职</v>
      </c>
      <c r="P4329" s="28" t="str">
        <f>IF(AND(O4329="在职",J4329="是"),COUNTIF(O$2:O4329,"在职"),"")</f>
        <v/>
      </c>
    </row>
    <row r="4330" spans="1:16">
      <c r="A4330" s="10" t="str">
        <f t="shared" si="72"/>
        <v/>
      </c>
      <c r="D4330" s="120" t="s">
        <v>486</v>
      </c>
      <c r="O4330" s="28" t="str">
        <f>IF(D4330="","",IF(COUNTIF(离职清单!C:C,D4330)&gt;0,"已离职","在职"))</f>
        <v>在职</v>
      </c>
      <c r="P4330" s="28" t="str">
        <f>IF(AND(O4330="在职",J4330="是"),COUNTIF(O$2:O4330,"在职"),"")</f>
        <v/>
      </c>
    </row>
    <row r="4331" spans="1:16">
      <c r="A4331" s="14" t="str">
        <f t="shared" si="72"/>
        <v/>
      </c>
      <c r="D4331" s="120" t="s">
        <v>488</v>
      </c>
      <c r="O4331" s="28" t="str">
        <f>IF(D4331="","",IF(COUNTIF(离职清单!C:C,D4331)&gt;0,"已离职","在职"))</f>
        <v>在职</v>
      </c>
      <c r="P4331" s="28" t="str">
        <f>IF(AND(O4331="在职",J4331="是"),COUNTIF(O$2:O4331,"在职"),"")</f>
        <v/>
      </c>
    </row>
    <row r="4332" spans="1:16">
      <c r="A4332" s="10" t="str">
        <f t="shared" ref="A4332:A4395" si="73">IF(B4332&lt;&gt;"",ROW()-1,"")</f>
        <v/>
      </c>
      <c r="D4332" s="120" t="s">
        <v>490</v>
      </c>
      <c r="O4332" s="28" t="str">
        <f>IF(D4332="","",IF(COUNTIF(离职清单!C:C,D4332)&gt;0,"已离职","在职"))</f>
        <v>在职</v>
      </c>
      <c r="P4332" s="28" t="str">
        <f>IF(AND(O4332="在职",J4332="是"),COUNTIF(O$2:O4332,"在职"),"")</f>
        <v/>
      </c>
    </row>
    <row r="4333" spans="1:16">
      <c r="A4333" s="14" t="str">
        <f t="shared" si="73"/>
        <v/>
      </c>
      <c r="D4333" s="120" t="s">
        <v>492</v>
      </c>
      <c r="O4333" s="28" t="str">
        <f>IF(D4333="","",IF(COUNTIF(离职清单!C:C,D4333)&gt;0,"已离职","在职"))</f>
        <v>在职</v>
      </c>
      <c r="P4333" s="28" t="str">
        <f>IF(AND(O4333="在职",J4333="是"),COUNTIF(O$2:O4333,"在职"),"")</f>
        <v/>
      </c>
    </row>
    <row r="4334" spans="1:16">
      <c r="A4334" s="10" t="str">
        <f t="shared" si="73"/>
        <v/>
      </c>
      <c r="D4334" s="120" t="s">
        <v>477</v>
      </c>
      <c r="O4334" s="28" t="str">
        <f>IF(D4334="","",IF(COUNTIF(离职清单!C:C,D4334)&gt;0,"已离职","在职"))</f>
        <v>在职</v>
      </c>
      <c r="P4334" s="28" t="str">
        <f>IF(AND(O4334="在职",J4334="是"),COUNTIF(O$2:O4334,"在职"),"")</f>
        <v/>
      </c>
    </row>
    <row r="4335" spans="1:16">
      <c r="A4335" s="14" t="str">
        <f t="shared" si="73"/>
        <v/>
      </c>
      <c r="D4335" s="120" t="s">
        <v>478</v>
      </c>
      <c r="O4335" s="28" t="str">
        <f>IF(D4335="","",IF(COUNTIF(离职清单!C:C,D4335)&gt;0,"已离职","在职"))</f>
        <v>在职</v>
      </c>
      <c r="P4335" s="28" t="str">
        <f>IF(AND(O4335="在职",J4335="是"),COUNTIF(O$2:O4335,"在职"),"")</f>
        <v/>
      </c>
    </row>
    <row r="4336" spans="1:16">
      <c r="A4336" s="10" t="str">
        <f t="shared" si="73"/>
        <v/>
      </c>
      <c r="D4336" s="120" t="s">
        <v>480</v>
      </c>
      <c r="O4336" s="28" t="str">
        <f>IF(D4336="","",IF(COUNTIF(离职清单!C:C,D4336)&gt;0,"已离职","在职"))</f>
        <v>在职</v>
      </c>
      <c r="P4336" s="28" t="str">
        <f>IF(AND(O4336="在职",J4336="是"),COUNTIF(O$2:O4336,"在职"),"")</f>
        <v/>
      </c>
    </row>
    <row r="4337" spans="1:16">
      <c r="A4337" s="14" t="str">
        <f t="shared" si="73"/>
        <v/>
      </c>
      <c r="D4337" s="120" t="s">
        <v>482</v>
      </c>
      <c r="O4337" s="28" t="str">
        <f>IF(D4337="","",IF(COUNTIF(离职清单!C:C,D4337)&gt;0,"已离职","在职"))</f>
        <v>在职</v>
      </c>
      <c r="P4337" s="28" t="str">
        <f>IF(AND(O4337="在职",J4337="是"),COUNTIF(O$2:O4337,"在职"),"")</f>
        <v/>
      </c>
    </row>
    <row r="4338" spans="1:16">
      <c r="A4338" s="10" t="str">
        <f t="shared" si="73"/>
        <v/>
      </c>
      <c r="D4338" s="120" t="s">
        <v>484</v>
      </c>
      <c r="O4338" s="28" t="str">
        <f>IF(D4338="","",IF(COUNTIF(离职清单!C:C,D4338)&gt;0,"已离职","在职"))</f>
        <v>在职</v>
      </c>
      <c r="P4338" s="28" t="str">
        <f>IF(AND(O4338="在职",J4338="是"),COUNTIF(O$2:O4338,"在职"),"")</f>
        <v/>
      </c>
    </row>
    <row r="4339" spans="1:16">
      <c r="A4339" s="14" t="str">
        <f t="shared" si="73"/>
        <v/>
      </c>
      <c r="D4339" s="120" t="s">
        <v>486</v>
      </c>
      <c r="O4339" s="28" t="str">
        <f>IF(D4339="","",IF(COUNTIF(离职清单!C:C,D4339)&gt;0,"已离职","在职"))</f>
        <v>在职</v>
      </c>
      <c r="P4339" s="28" t="str">
        <f>IF(AND(O4339="在职",J4339="是"),COUNTIF(O$2:O4339,"在职"),"")</f>
        <v/>
      </c>
    </row>
    <row r="4340" spans="1:16">
      <c r="A4340" s="10" t="str">
        <f t="shared" si="73"/>
        <v/>
      </c>
      <c r="D4340" s="120" t="s">
        <v>488</v>
      </c>
      <c r="O4340" s="28" t="str">
        <f>IF(D4340="","",IF(COUNTIF(离职清单!C:C,D4340)&gt;0,"已离职","在职"))</f>
        <v>在职</v>
      </c>
      <c r="P4340" s="28" t="str">
        <f>IF(AND(O4340="在职",J4340="是"),COUNTIF(O$2:O4340,"在职"),"")</f>
        <v/>
      </c>
    </row>
    <row r="4341" spans="1:16">
      <c r="A4341" s="14" t="str">
        <f t="shared" si="73"/>
        <v/>
      </c>
      <c r="D4341" s="120" t="s">
        <v>490</v>
      </c>
      <c r="O4341" s="28" t="str">
        <f>IF(D4341="","",IF(COUNTIF(离职清单!C:C,D4341)&gt;0,"已离职","在职"))</f>
        <v>在职</v>
      </c>
      <c r="P4341" s="28" t="str">
        <f>IF(AND(O4341="在职",J4341="是"),COUNTIF(O$2:O4341,"在职"),"")</f>
        <v/>
      </c>
    </row>
    <row r="4342" spans="1:16">
      <c r="A4342" s="10" t="str">
        <f t="shared" si="73"/>
        <v/>
      </c>
      <c r="D4342" s="120" t="s">
        <v>492</v>
      </c>
      <c r="O4342" s="28" t="str">
        <f>IF(D4342="","",IF(COUNTIF(离职清单!C:C,D4342)&gt;0,"已离职","在职"))</f>
        <v>在职</v>
      </c>
      <c r="P4342" s="28" t="str">
        <f>IF(AND(O4342="在职",J4342="是"),COUNTIF(O$2:O4342,"在职"),"")</f>
        <v/>
      </c>
    </row>
    <row r="4343" spans="1:16">
      <c r="A4343" s="14" t="str">
        <f t="shared" si="73"/>
        <v/>
      </c>
      <c r="D4343" s="120" t="s">
        <v>477</v>
      </c>
      <c r="O4343" s="28" t="str">
        <f>IF(D4343="","",IF(COUNTIF(离职清单!C:C,D4343)&gt;0,"已离职","在职"))</f>
        <v>在职</v>
      </c>
      <c r="P4343" s="28" t="str">
        <f>IF(AND(O4343="在职",J4343="是"),COUNTIF(O$2:O4343,"在职"),"")</f>
        <v/>
      </c>
    </row>
    <row r="4344" spans="1:16">
      <c r="A4344" s="10" t="str">
        <f t="shared" si="73"/>
        <v/>
      </c>
      <c r="D4344" s="120" t="s">
        <v>478</v>
      </c>
      <c r="O4344" s="28" t="str">
        <f>IF(D4344="","",IF(COUNTIF(离职清单!C:C,D4344)&gt;0,"已离职","在职"))</f>
        <v>在职</v>
      </c>
      <c r="P4344" s="28" t="str">
        <f>IF(AND(O4344="在职",J4344="是"),COUNTIF(O$2:O4344,"在职"),"")</f>
        <v/>
      </c>
    </row>
    <row r="4345" spans="1:16">
      <c r="A4345" s="14" t="str">
        <f t="shared" si="73"/>
        <v/>
      </c>
      <c r="D4345" s="120" t="s">
        <v>480</v>
      </c>
      <c r="O4345" s="28" t="str">
        <f>IF(D4345="","",IF(COUNTIF(离职清单!C:C,D4345)&gt;0,"已离职","在职"))</f>
        <v>在职</v>
      </c>
      <c r="P4345" s="28" t="str">
        <f>IF(AND(O4345="在职",J4345="是"),COUNTIF(O$2:O4345,"在职"),"")</f>
        <v/>
      </c>
    </row>
    <row r="4346" spans="1:16">
      <c r="A4346" s="10" t="str">
        <f t="shared" si="73"/>
        <v/>
      </c>
      <c r="D4346" s="120" t="s">
        <v>482</v>
      </c>
      <c r="O4346" s="28" t="str">
        <f>IF(D4346="","",IF(COUNTIF(离职清单!C:C,D4346)&gt;0,"已离职","在职"))</f>
        <v>在职</v>
      </c>
      <c r="P4346" s="28" t="str">
        <f>IF(AND(O4346="在职",J4346="是"),COUNTIF(O$2:O4346,"在职"),"")</f>
        <v/>
      </c>
    </row>
    <row r="4347" spans="1:16">
      <c r="A4347" s="14" t="str">
        <f t="shared" si="73"/>
        <v/>
      </c>
      <c r="D4347" s="120" t="s">
        <v>484</v>
      </c>
      <c r="O4347" s="28" t="str">
        <f>IF(D4347="","",IF(COUNTIF(离职清单!C:C,D4347)&gt;0,"已离职","在职"))</f>
        <v>在职</v>
      </c>
      <c r="P4347" s="28" t="str">
        <f>IF(AND(O4347="在职",J4347="是"),COUNTIF(O$2:O4347,"在职"),"")</f>
        <v/>
      </c>
    </row>
    <row r="4348" spans="1:16">
      <c r="A4348" s="10" t="str">
        <f t="shared" si="73"/>
        <v/>
      </c>
      <c r="D4348" s="120" t="s">
        <v>486</v>
      </c>
      <c r="O4348" s="28" t="str">
        <f>IF(D4348="","",IF(COUNTIF(离职清单!C:C,D4348)&gt;0,"已离职","在职"))</f>
        <v>在职</v>
      </c>
      <c r="P4348" s="28" t="str">
        <f>IF(AND(O4348="在职",J4348="是"),COUNTIF(O$2:O4348,"在职"),"")</f>
        <v/>
      </c>
    </row>
    <row r="4349" spans="1:16">
      <c r="A4349" s="14" t="str">
        <f t="shared" si="73"/>
        <v/>
      </c>
      <c r="D4349" s="120" t="s">
        <v>488</v>
      </c>
      <c r="O4349" s="28" t="str">
        <f>IF(D4349="","",IF(COUNTIF(离职清单!C:C,D4349)&gt;0,"已离职","在职"))</f>
        <v>在职</v>
      </c>
      <c r="P4349" s="28" t="str">
        <f>IF(AND(O4349="在职",J4349="是"),COUNTIF(O$2:O4349,"在职"),"")</f>
        <v/>
      </c>
    </row>
    <row r="4350" spans="1:16">
      <c r="A4350" s="10" t="str">
        <f t="shared" si="73"/>
        <v/>
      </c>
      <c r="D4350" s="120" t="s">
        <v>490</v>
      </c>
      <c r="O4350" s="28" t="str">
        <f>IF(D4350="","",IF(COUNTIF(离职清单!C:C,D4350)&gt;0,"已离职","在职"))</f>
        <v>在职</v>
      </c>
      <c r="P4350" s="28" t="str">
        <f>IF(AND(O4350="在职",J4350="是"),COUNTIF(O$2:O4350,"在职"),"")</f>
        <v/>
      </c>
    </row>
    <row r="4351" spans="1:16">
      <c r="A4351" s="14" t="str">
        <f t="shared" si="73"/>
        <v/>
      </c>
      <c r="D4351" s="120" t="s">
        <v>492</v>
      </c>
      <c r="O4351" s="28" t="str">
        <f>IF(D4351="","",IF(COUNTIF(离职清单!C:C,D4351)&gt;0,"已离职","在职"))</f>
        <v>在职</v>
      </c>
      <c r="P4351" s="28" t="str">
        <f>IF(AND(O4351="在职",J4351="是"),COUNTIF(O$2:O4351,"在职"),"")</f>
        <v/>
      </c>
    </row>
    <row r="4352" spans="1:16">
      <c r="A4352" s="10" t="str">
        <f t="shared" si="73"/>
        <v/>
      </c>
      <c r="D4352" s="120" t="s">
        <v>477</v>
      </c>
      <c r="O4352" s="28" t="str">
        <f>IF(D4352="","",IF(COUNTIF(离职清单!C:C,D4352)&gt;0,"已离职","在职"))</f>
        <v>在职</v>
      </c>
      <c r="P4352" s="28" t="str">
        <f>IF(AND(O4352="在职",J4352="是"),COUNTIF(O$2:O4352,"在职"),"")</f>
        <v/>
      </c>
    </row>
    <row r="4353" spans="1:16">
      <c r="A4353" s="14" t="str">
        <f t="shared" si="73"/>
        <v/>
      </c>
      <c r="D4353" s="120" t="s">
        <v>478</v>
      </c>
      <c r="O4353" s="28" t="str">
        <f>IF(D4353="","",IF(COUNTIF(离职清单!C:C,D4353)&gt;0,"已离职","在职"))</f>
        <v>在职</v>
      </c>
      <c r="P4353" s="28" t="str">
        <f>IF(AND(O4353="在职",J4353="是"),COUNTIF(O$2:O4353,"在职"),"")</f>
        <v/>
      </c>
    </row>
    <row r="4354" spans="1:16">
      <c r="A4354" s="10" t="str">
        <f t="shared" si="73"/>
        <v/>
      </c>
      <c r="D4354" s="120" t="s">
        <v>480</v>
      </c>
      <c r="O4354" s="28" t="str">
        <f>IF(D4354="","",IF(COUNTIF(离职清单!C:C,D4354)&gt;0,"已离职","在职"))</f>
        <v>在职</v>
      </c>
      <c r="P4354" s="28" t="str">
        <f>IF(AND(O4354="在职",J4354="是"),COUNTIF(O$2:O4354,"在职"),"")</f>
        <v/>
      </c>
    </row>
    <row r="4355" spans="1:16">
      <c r="A4355" s="14" t="str">
        <f t="shared" si="73"/>
        <v/>
      </c>
      <c r="D4355" s="120" t="s">
        <v>482</v>
      </c>
      <c r="O4355" s="28" t="str">
        <f>IF(D4355="","",IF(COUNTIF(离职清单!C:C,D4355)&gt;0,"已离职","在职"))</f>
        <v>在职</v>
      </c>
      <c r="P4355" s="28" t="str">
        <f>IF(AND(O4355="在职",J4355="是"),COUNTIF(O$2:O4355,"在职"),"")</f>
        <v/>
      </c>
    </row>
    <row r="4356" spans="1:16">
      <c r="A4356" s="10" t="str">
        <f t="shared" si="73"/>
        <v/>
      </c>
      <c r="D4356" s="120" t="s">
        <v>484</v>
      </c>
      <c r="O4356" s="28" t="str">
        <f>IF(D4356="","",IF(COUNTIF(离职清单!C:C,D4356)&gt;0,"已离职","在职"))</f>
        <v>在职</v>
      </c>
      <c r="P4356" s="28" t="str">
        <f>IF(AND(O4356="在职",J4356="是"),COUNTIF(O$2:O4356,"在职"),"")</f>
        <v/>
      </c>
    </row>
    <row r="4357" spans="1:16">
      <c r="A4357" s="14" t="str">
        <f t="shared" si="73"/>
        <v/>
      </c>
      <c r="D4357" s="120" t="s">
        <v>486</v>
      </c>
      <c r="O4357" s="28" t="str">
        <f>IF(D4357="","",IF(COUNTIF(离职清单!C:C,D4357)&gt;0,"已离职","在职"))</f>
        <v>在职</v>
      </c>
      <c r="P4357" s="28" t="str">
        <f>IF(AND(O4357="在职",J4357="是"),COUNTIF(O$2:O4357,"在职"),"")</f>
        <v/>
      </c>
    </row>
    <row r="4358" spans="1:16">
      <c r="A4358" s="10" t="str">
        <f t="shared" si="73"/>
        <v/>
      </c>
      <c r="D4358" s="120" t="s">
        <v>488</v>
      </c>
      <c r="O4358" s="28" t="str">
        <f>IF(D4358="","",IF(COUNTIF(离职清单!C:C,D4358)&gt;0,"已离职","在职"))</f>
        <v>在职</v>
      </c>
      <c r="P4358" s="28" t="str">
        <f>IF(AND(O4358="在职",J4358="是"),COUNTIF(O$2:O4358,"在职"),"")</f>
        <v/>
      </c>
    </row>
    <row r="4359" spans="1:16">
      <c r="A4359" s="14" t="str">
        <f t="shared" si="73"/>
        <v/>
      </c>
      <c r="D4359" s="120" t="s">
        <v>490</v>
      </c>
      <c r="O4359" s="28" t="str">
        <f>IF(D4359="","",IF(COUNTIF(离职清单!C:C,D4359)&gt;0,"已离职","在职"))</f>
        <v>在职</v>
      </c>
      <c r="P4359" s="28" t="str">
        <f>IF(AND(O4359="在职",J4359="是"),COUNTIF(O$2:O4359,"在职"),"")</f>
        <v/>
      </c>
    </row>
    <row r="4360" spans="1:16">
      <c r="A4360" s="10" t="str">
        <f t="shared" si="73"/>
        <v/>
      </c>
      <c r="D4360" s="120" t="s">
        <v>492</v>
      </c>
      <c r="O4360" s="28" t="str">
        <f>IF(D4360="","",IF(COUNTIF(离职清单!C:C,D4360)&gt;0,"已离职","在职"))</f>
        <v>在职</v>
      </c>
      <c r="P4360" s="28" t="str">
        <f>IF(AND(O4360="在职",J4360="是"),COUNTIF(O$2:O4360,"在职"),"")</f>
        <v/>
      </c>
    </row>
    <row r="4361" spans="1:16">
      <c r="A4361" s="14" t="str">
        <f t="shared" si="73"/>
        <v/>
      </c>
      <c r="D4361" s="120" t="s">
        <v>477</v>
      </c>
      <c r="O4361" s="28" t="str">
        <f>IF(D4361="","",IF(COUNTIF(离职清单!C:C,D4361)&gt;0,"已离职","在职"))</f>
        <v>在职</v>
      </c>
      <c r="P4361" s="28" t="str">
        <f>IF(AND(O4361="在职",J4361="是"),COUNTIF(O$2:O4361,"在职"),"")</f>
        <v/>
      </c>
    </row>
    <row r="4362" spans="1:16">
      <c r="A4362" s="10" t="str">
        <f t="shared" si="73"/>
        <v/>
      </c>
      <c r="D4362" s="120" t="s">
        <v>477</v>
      </c>
      <c r="O4362" s="28" t="str">
        <f>IF(D4362="","",IF(COUNTIF(离职清单!C:C,D4362)&gt;0,"已离职","在职"))</f>
        <v>在职</v>
      </c>
      <c r="P4362" s="28" t="str">
        <f>IF(AND(O4362="在职",J4362="是"),COUNTIF(O$2:O4362,"在职"),"")</f>
        <v/>
      </c>
    </row>
    <row r="4363" spans="1:16">
      <c r="A4363" s="14" t="str">
        <f t="shared" si="73"/>
        <v/>
      </c>
      <c r="D4363" s="120" t="s">
        <v>478</v>
      </c>
      <c r="O4363" s="28" t="str">
        <f>IF(D4363="","",IF(COUNTIF(离职清单!C:C,D4363)&gt;0,"已离职","在职"))</f>
        <v>在职</v>
      </c>
      <c r="P4363" s="28" t="str">
        <f>IF(AND(O4363="在职",J4363="是"),COUNTIF(O$2:O4363,"在职"),"")</f>
        <v/>
      </c>
    </row>
    <row r="4364" spans="1:16">
      <c r="A4364" s="10" t="str">
        <f t="shared" si="73"/>
        <v/>
      </c>
      <c r="D4364" s="120" t="s">
        <v>480</v>
      </c>
      <c r="O4364" s="28" t="str">
        <f>IF(D4364="","",IF(COUNTIF(离职清单!C:C,D4364)&gt;0,"已离职","在职"))</f>
        <v>在职</v>
      </c>
      <c r="P4364" s="28" t="str">
        <f>IF(AND(O4364="在职",J4364="是"),COUNTIF(O$2:O4364,"在职"),"")</f>
        <v/>
      </c>
    </row>
    <row r="4365" spans="1:16">
      <c r="A4365" s="14" t="str">
        <f t="shared" si="73"/>
        <v/>
      </c>
      <c r="D4365" s="120" t="s">
        <v>482</v>
      </c>
      <c r="O4365" s="28" t="str">
        <f>IF(D4365="","",IF(COUNTIF(离职清单!C:C,D4365)&gt;0,"已离职","在职"))</f>
        <v>在职</v>
      </c>
      <c r="P4365" s="28" t="str">
        <f>IF(AND(O4365="在职",J4365="是"),COUNTIF(O$2:O4365,"在职"),"")</f>
        <v/>
      </c>
    </row>
    <row r="4366" spans="1:16">
      <c r="A4366" s="10" t="str">
        <f t="shared" si="73"/>
        <v/>
      </c>
      <c r="D4366" s="120" t="s">
        <v>484</v>
      </c>
      <c r="O4366" s="28" t="str">
        <f>IF(D4366="","",IF(COUNTIF(离职清单!C:C,D4366)&gt;0,"已离职","在职"))</f>
        <v>在职</v>
      </c>
      <c r="P4366" s="28" t="str">
        <f>IF(AND(O4366="在职",J4366="是"),COUNTIF(O$2:O4366,"在职"),"")</f>
        <v/>
      </c>
    </row>
    <row r="4367" spans="1:16">
      <c r="A4367" s="14" t="str">
        <f t="shared" si="73"/>
        <v/>
      </c>
      <c r="D4367" s="120" t="s">
        <v>486</v>
      </c>
      <c r="O4367" s="28" t="str">
        <f>IF(D4367="","",IF(COUNTIF(离职清单!C:C,D4367)&gt;0,"已离职","在职"))</f>
        <v>在职</v>
      </c>
      <c r="P4367" s="28" t="str">
        <f>IF(AND(O4367="在职",J4367="是"),COUNTIF(O$2:O4367,"在职"),"")</f>
        <v/>
      </c>
    </row>
    <row r="4368" spans="1:16">
      <c r="A4368" s="10" t="str">
        <f t="shared" si="73"/>
        <v/>
      </c>
      <c r="D4368" s="120" t="s">
        <v>488</v>
      </c>
      <c r="O4368" s="28" t="str">
        <f>IF(D4368="","",IF(COUNTIF(离职清单!C:C,D4368)&gt;0,"已离职","在职"))</f>
        <v>在职</v>
      </c>
      <c r="P4368" s="28" t="str">
        <f>IF(AND(O4368="在职",J4368="是"),COUNTIF(O$2:O4368,"在职"),"")</f>
        <v/>
      </c>
    </row>
    <row r="4369" spans="1:16">
      <c r="A4369" s="14" t="str">
        <f t="shared" si="73"/>
        <v/>
      </c>
      <c r="D4369" s="120" t="s">
        <v>490</v>
      </c>
      <c r="O4369" s="28" t="str">
        <f>IF(D4369="","",IF(COUNTIF(离职清单!C:C,D4369)&gt;0,"已离职","在职"))</f>
        <v>在职</v>
      </c>
      <c r="P4369" s="28" t="str">
        <f>IF(AND(O4369="在职",J4369="是"),COUNTIF(O$2:O4369,"在职"),"")</f>
        <v/>
      </c>
    </row>
    <row r="4370" spans="1:16">
      <c r="A4370" s="10" t="str">
        <f t="shared" si="73"/>
        <v/>
      </c>
      <c r="D4370" s="120" t="s">
        <v>492</v>
      </c>
      <c r="O4370" s="28" t="str">
        <f>IF(D4370="","",IF(COUNTIF(离职清单!C:C,D4370)&gt;0,"已离职","在职"))</f>
        <v>在职</v>
      </c>
      <c r="P4370" s="28" t="str">
        <f>IF(AND(O4370="在职",J4370="是"),COUNTIF(O$2:O4370,"在职"),"")</f>
        <v/>
      </c>
    </row>
    <row r="4371" spans="1:16">
      <c r="A4371" s="14" t="str">
        <f t="shared" si="73"/>
        <v/>
      </c>
      <c r="D4371" s="120" t="s">
        <v>477</v>
      </c>
      <c r="O4371" s="28" t="str">
        <f>IF(D4371="","",IF(COUNTIF(离职清单!C:C,D4371)&gt;0,"已离职","在职"))</f>
        <v>在职</v>
      </c>
      <c r="P4371" s="28" t="str">
        <f>IF(AND(O4371="在职",J4371="是"),COUNTIF(O$2:O4371,"在职"),"")</f>
        <v/>
      </c>
    </row>
    <row r="4372" spans="1:16">
      <c r="A4372" s="10" t="str">
        <f t="shared" si="73"/>
        <v/>
      </c>
      <c r="D4372" s="120" t="s">
        <v>478</v>
      </c>
      <c r="O4372" s="28" t="str">
        <f>IF(D4372="","",IF(COUNTIF(离职清单!C:C,D4372)&gt;0,"已离职","在职"))</f>
        <v>在职</v>
      </c>
      <c r="P4372" s="28" t="str">
        <f>IF(AND(O4372="在职",J4372="是"),COUNTIF(O$2:O4372,"在职"),"")</f>
        <v/>
      </c>
    </row>
    <row r="4373" spans="1:16">
      <c r="A4373" s="14" t="str">
        <f t="shared" si="73"/>
        <v/>
      </c>
      <c r="D4373" s="120" t="s">
        <v>480</v>
      </c>
      <c r="O4373" s="28" t="str">
        <f>IF(D4373="","",IF(COUNTIF(离职清单!C:C,D4373)&gt;0,"已离职","在职"))</f>
        <v>在职</v>
      </c>
      <c r="P4373" s="28" t="str">
        <f>IF(AND(O4373="在职",J4373="是"),COUNTIF(O$2:O4373,"在职"),"")</f>
        <v/>
      </c>
    </row>
    <row r="4374" spans="1:16">
      <c r="A4374" s="10" t="str">
        <f t="shared" si="73"/>
        <v/>
      </c>
      <c r="D4374" s="120" t="s">
        <v>482</v>
      </c>
      <c r="O4374" s="28" t="str">
        <f>IF(D4374="","",IF(COUNTIF(离职清单!C:C,D4374)&gt;0,"已离职","在职"))</f>
        <v>在职</v>
      </c>
      <c r="P4374" s="28" t="str">
        <f>IF(AND(O4374="在职",J4374="是"),COUNTIF(O$2:O4374,"在职"),"")</f>
        <v/>
      </c>
    </row>
    <row r="4375" spans="1:16">
      <c r="A4375" s="14" t="str">
        <f t="shared" si="73"/>
        <v/>
      </c>
      <c r="D4375" s="120" t="s">
        <v>484</v>
      </c>
      <c r="O4375" s="28" t="str">
        <f>IF(D4375="","",IF(COUNTIF(离职清单!C:C,D4375)&gt;0,"已离职","在职"))</f>
        <v>在职</v>
      </c>
      <c r="P4375" s="28" t="str">
        <f>IF(AND(O4375="在职",J4375="是"),COUNTIF(O$2:O4375,"在职"),"")</f>
        <v/>
      </c>
    </row>
    <row r="4376" spans="1:16">
      <c r="A4376" s="10" t="str">
        <f t="shared" si="73"/>
        <v/>
      </c>
      <c r="D4376" s="120" t="s">
        <v>486</v>
      </c>
      <c r="O4376" s="28" t="str">
        <f>IF(D4376="","",IF(COUNTIF(离职清单!C:C,D4376)&gt;0,"已离职","在职"))</f>
        <v>在职</v>
      </c>
      <c r="P4376" s="28" t="str">
        <f>IF(AND(O4376="在职",J4376="是"),COUNTIF(O$2:O4376,"在职"),"")</f>
        <v/>
      </c>
    </row>
    <row r="4377" spans="1:16">
      <c r="A4377" s="14" t="str">
        <f t="shared" si="73"/>
        <v/>
      </c>
      <c r="D4377" s="120" t="s">
        <v>488</v>
      </c>
      <c r="O4377" s="28" t="str">
        <f>IF(D4377="","",IF(COUNTIF(离职清单!C:C,D4377)&gt;0,"已离职","在职"))</f>
        <v>在职</v>
      </c>
      <c r="P4377" s="28" t="str">
        <f>IF(AND(O4377="在职",J4377="是"),COUNTIF(O$2:O4377,"在职"),"")</f>
        <v/>
      </c>
    </row>
    <row r="4378" spans="1:16">
      <c r="A4378" s="10" t="str">
        <f t="shared" si="73"/>
        <v/>
      </c>
      <c r="D4378" s="120" t="s">
        <v>490</v>
      </c>
      <c r="O4378" s="28" t="str">
        <f>IF(D4378="","",IF(COUNTIF(离职清单!C:C,D4378)&gt;0,"已离职","在职"))</f>
        <v>在职</v>
      </c>
      <c r="P4378" s="28" t="str">
        <f>IF(AND(O4378="在职",J4378="是"),COUNTIF(O$2:O4378,"在职"),"")</f>
        <v/>
      </c>
    </row>
    <row r="4379" spans="1:16">
      <c r="A4379" s="14" t="str">
        <f t="shared" si="73"/>
        <v/>
      </c>
      <c r="D4379" s="120" t="s">
        <v>492</v>
      </c>
      <c r="O4379" s="28" t="str">
        <f>IF(D4379="","",IF(COUNTIF(离职清单!C:C,D4379)&gt;0,"已离职","在职"))</f>
        <v>在职</v>
      </c>
      <c r="P4379" s="28" t="str">
        <f>IF(AND(O4379="在职",J4379="是"),COUNTIF(O$2:O4379,"在职"),"")</f>
        <v/>
      </c>
    </row>
    <row r="4380" spans="1:16">
      <c r="A4380" s="10" t="str">
        <f t="shared" si="73"/>
        <v/>
      </c>
      <c r="D4380" s="120" t="s">
        <v>477</v>
      </c>
      <c r="O4380" s="28" t="str">
        <f>IF(D4380="","",IF(COUNTIF(离职清单!C:C,D4380)&gt;0,"已离职","在职"))</f>
        <v>在职</v>
      </c>
      <c r="P4380" s="28" t="str">
        <f>IF(AND(O4380="在职",J4380="是"),COUNTIF(O$2:O4380,"在职"),"")</f>
        <v/>
      </c>
    </row>
    <row r="4381" spans="1:16">
      <c r="A4381" s="14" t="str">
        <f t="shared" si="73"/>
        <v/>
      </c>
      <c r="D4381" s="120" t="s">
        <v>478</v>
      </c>
      <c r="O4381" s="28" t="str">
        <f>IF(D4381="","",IF(COUNTIF(离职清单!C:C,D4381)&gt;0,"已离职","在职"))</f>
        <v>在职</v>
      </c>
      <c r="P4381" s="28" t="str">
        <f>IF(AND(O4381="在职",J4381="是"),COUNTIF(O$2:O4381,"在职"),"")</f>
        <v/>
      </c>
    </row>
    <row r="4382" spans="1:16">
      <c r="A4382" s="10" t="str">
        <f t="shared" si="73"/>
        <v/>
      </c>
      <c r="D4382" s="120" t="s">
        <v>480</v>
      </c>
      <c r="O4382" s="28" t="str">
        <f>IF(D4382="","",IF(COUNTIF(离职清单!C:C,D4382)&gt;0,"已离职","在职"))</f>
        <v>在职</v>
      </c>
      <c r="P4382" s="28" t="str">
        <f>IF(AND(O4382="在职",J4382="是"),COUNTIF(O$2:O4382,"在职"),"")</f>
        <v/>
      </c>
    </row>
    <row r="4383" spans="1:16">
      <c r="A4383" s="14" t="str">
        <f t="shared" si="73"/>
        <v/>
      </c>
      <c r="D4383" s="120" t="s">
        <v>482</v>
      </c>
      <c r="O4383" s="28" t="str">
        <f>IF(D4383="","",IF(COUNTIF(离职清单!C:C,D4383)&gt;0,"已离职","在职"))</f>
        <v>在职</v>
      </c>
      <c r="P4383" s="28" t="str">
        <f>IF(AND(O4383="在职",J4383="是"),COUNTIF(O$2:O4383,"在职"),"")</f>
        <v/>
      </c>
    </row>
    <row r="4384" spans="1:16">
      <c r="A4384" s="10" t="str">
        <f t="shared" si="73"/>
        <v/>
      </c>
      <c r="D4384" s="120" t="s">
        <v>484</v>
      </c>
      <c r="O4384" s="28" t="str">
        <f>IF(D4384="","",IF(COUNTIF(离职清单!C:C,D4384)&gt;0,"已离职","在职"))</f>
        <v>在职</v>
      </c>
      <c r="P4384" s="28" t="str">
        <f>IF(AND(O4384="在职",J4384="是"),COUNTIF(O$2:O4384,"在职"),"")</f>
        <v/>
      </c>
    </row>
    <row r="4385" spans="1:16">
      <c r="A4385" s="14" t="str">
        <f t="shared" si="73"/>
        <v/>
      </c>
      <c r="D4385" s="120" t="s">
        <v>486</v>
      </c>
      <c r="O4385" s="28" t="str">
        <f>IF(D4385="","",IF(COUNTIF(离职清单!C:C,D4385)&gt;0,"已离职","在职"))</f>
        <v>在职</v>
      </c>
      <c r="P4385" s="28" t="str">
        <f>IF(AND(O4385="在职",J4385="是"),COUNTIF(O$2:O4385,"在职"),"")</f>
        <v/>
      </c>
    </row>
    <row r="4386" spans="1:16">
      <c r="A4386" s="10" t="str">
        <f t="shared" si="73"/>
        <v/>
      </c>
      <c r="D4386" s="120" t="s">
        <v>488</v>
      </c>
      <c r="O4386" s="28" t="str">
        <f>IF(D4386="","",IF(COUNTIF(离职清单!C:C,D4386)&gt;0,"已离职","在职"))</f>
        <v>在职</v>
      </c>
      <c r="P4386" s="28" t="str">
        <f>IF(AND(O4386="在职",J4386="是"),COUNTIF(O$2:O4386,"在职"),"")</f>
        <v/>
      </c>
    </row>
    <row r="4387" spans="1:16">
      <c r="A4387" s="14" t="str">
        <f t="shared" si="73"/>
        <v/>
      </c>
      <c r="D4387" s="120" t="s">
        <v>490</v>
      </c>
      <c r="O4387" s="28" t="str">
        <f>IF(D4387="","",IF(COUNTIF(离职清单!C:C,D4387)&gt;0,"已离职","在职"))</f>
        <v>在职</v>
      </c>
      <c r="P4387" s="28" t="str">
        <f>IF(AND(O4387="在职",J4387="是"),COUNTIF(O$2:O4387,"在职"),"")</f>
        <v/>
      </c>
    </row>
    <row r="4388" spans="1:16">
      <c r="A4388" s="10" t="str">
        <f t="shared" si="73"/>
        <v/>
      </c>
      <c r="D4388" s="120" t="s">
        <v>492</v>
      </c>
      <c r="O4388" s="28" t="str">
        <f>IF(D4388="","",IF(COUNTIF(离职清单!C:C,D4388)&gt;0,"已离职","在职"))</f>
        <v>在职</v>
      </c>
      <c r="P4388" s="28" t="str">
        <f>IF(AND(O4388="在职",J4388="是"),COUNTIF(O$2:O4388,"在职"),"")</f>
        <v/>
      </c>
    </row>
    <row r="4389" spans="1:16">
      <c r="A4389" s="14" t="str">
        <f t="shared" si="73"/>
        <v/>
      </c>
      <c r="D4389" s="120" t="s">
        <v>477</v>
      </c>
      <c r="O4389" s="28" t="str">
        <f>IF(D4389="","",IF(COUNTIF(离职清单!C:C,D4389)&gt;0,"已离职","在职"))</f>
        <v>在职</v>
      </c>
      <c r="P4389" s="28" t="str">
        <f>IF(AND(O4389="在职",J4389="是"),COUNTIF(O$2:O4389,"在职"),"")</f>
        <v/>
      </c>
    </row>
    <row r="4390" spans="1:16">
      <c r="A4390" s="10" t="str">
        <f t="shared" si="73"/>
        <v/>
      </c>
      <c r="D4390" s="120" t="s">
        <v>478</v>
      </c>
      <c r="O4390" s="28" t="str">
        <f>IF(D4390="","",IF(COUNTIF(离职清单!C:C,D4390)&gt;0,"已离职","在职"))</f>
        <v>在职</v>
      </c>
      <c r="P4390" s="28" t="str">
        <f>IF(AND(O4390="在职",J4390="是"),COUNTIF(O$2:O4390,"在职"),"")</f>
        <v/>
      </c>
    </row>
    <row r="4391" spans="1:16">
      <c r="A4391" s="14" t="str">
        <f t="shared" si="73"/>
        <v/>
      </c>
      <c r="D4391" s="120" t="s">
        <v>480</v>
      </c>
      <c r="O4391" s="28" t="str">
        <f>IF(D4391="","",IF(COUNTIF(离职清单!C:C,D4391)&gt;0,"已离职","在职"))</f>
        <v>在职</v>
      </c>
      <c r="P4391" s="28" t="str">
        <f>IF(AND(O4391="在职",J4391="是"),COUNTIF(O$2:O4391,"在职"),"")</f>
        <v/>
      </c>
    </row>
    <row r="4392" spans="1:16">
      <c r="A4392" s="10" t="str">
        <f t="shared" si="73"/>
        <v/>
      </c>
      <c r="D4392" s="120" t="s">
        <v>482</v>
      </c>
      <c r="O4392" s="28" t="str">
        <f>IF(D4392="","",IF(COUNTIF(离职清单!C:C,D4392)&gt;0,"已离职","在职"))</f>
        <v>在职</v>
      </c>
      <c r="P4392" s="28" t="str">
        <f>IF(AND(O4392="在职",J4392="是"),COUNTIF(O$2:O4392,"在职"),"")</f>
        <v/>
      </c>
    </row>
    <row r="4393" spans="1:16">
      <c r="A4393" s="14" t="str">
        <f t="shared" si="73"/>
        <v/>
      </c>
      <c r="D4393" s="120" t="s">
        <v>484</v>
      </c>
      <c r="O4393" s="28" t="str">
        <f>IF(D4393="","",IF(COUNTIF(离职清单!C:C,D4393)&gt;0,"已离职","在职"))</f>
        <v>在职</v>
      </c>
      <c r="P4393" s="28" t="str">
        <f>IF(AND(O4393="在职",J4393="是"),COUNTIF(O$2:O4393,"在职"),"")</f>
        <v/>
      </c>
    </row>
    <row r="4394" spans="1:16">
      <c r="A4394" s="10" t="str">
        <f t="shared" si="73"/>
        <v/>
      </c>
      <c r="D4394" s="120" t="s">
        <v>486</v>
      </c>
      <c r="O4394" s="28" t="str">
        <f>IF(D4394="","",IF(COUNTIF(离职清单!C:C,D4394)&gt;0,"已离职","在职"))</f>
        <v>在职</v>
      </c>
      <c r="P4394" s="28" t="str">
        <f>IF(AND(O4394="在职",J4394="是"),COUNTIF(O$2:O4394,"在职"),"")</f>
        <v/>
      </c>
    </row>
    <row r="4395" spans="1:16">
      <c r="A4395" s="14" t="str">
        <f t="shared" si="73"/>
        <v/>
      </c>
      <c r="D4395" s="120" t="s">
        <v>488</v>
      </c>
      <c r="O4395" s="28" t="str">
        <f>IF(D4395="","",IF(COUNTIF(离职清单!C:C,D4395)&gt;0,"已离职","在职"))</f>
        <v>在职</v>
      </c>
      <c r="P4395" s="28" t="str">
        <f>IF(AND(O4395="在职",J4395="是"),COUNTIF(O$2:O4395,"在职"),"")</f>
        <v/>
      </c>
    </row>
    <row r="4396" spans="1:16">
      <c r="A4396" s="10" t="str">
        <f t="shared" ref="A4396:A4459" si="74">IF(B4396&lt;&gt;"",ROW()-1,"")</f>
        <v/>
      </c>
      <c r="D4396" s="120" t="s">
        <v>490</v>
      </c>
      <c r="O4396" s="28" t="str">
        <f>IF(D4396="","",IF(COUNTIF(离职清单!C:C,D4396)&gt;0,"已离职","在职"))</f>
        <v>在职</v>
      </c>
      <c r="P4396" s="28" t="str">
        <f>IF(AND(O4396="在职",J4396="是"),COUNTIF(O$2:O4396,"在职"),"")</f>
        <v/>
      </c>
    </row>
    <row r="4397" spans="1:16">
      <c r="A4397" s="14" t="str">
        <f t="shared" si="74"/>
        <v/>
      </c>
      <c r="D4397" s="120" t="s">
        <v>492</v>
      </c>
      <c r="O4397" s="28" t="str">
        <f>IF(D4397="","",IF(COUNTIF(离职清单!C:C,D4397)&gt;0,"已离职","在职"))</f>
        <v>在职</v>
      </c>
      <c r="P4397" s="28" t="str">
        <f>IF(AND(O4397="在职",J4397="是"),COUNTIF(O$2:O4397,"在职"),"")</f>
        <v/>
      </c>
    </row>
    <row r="4398" spans="1:16">
      <c r="A4398" s="10" t="str">
        <f t="shared" si="74"/>
        <v/>
      </c>
      <c r="D4398" s="120" t="s">
        <v>477</v>
      </c>
      <c r="O4398" s="28" t="str">
        <f>IF(D4398="","",IF(COUNTIF(离职清单!C:C,D4398)&gt;0,"已离职","在职"))</f>
        <v>在职</v>
      </c>
      <c r="P4398" s="28" t="str">
        <f>IF(AND(O4398="在职",J4398="是"),COUNTIF(O$2:O4398,"在职"),"")</f>
        <v/>
      </c>
    </row>
    <row r="4399" spans="1:16">
      <c r="A4399" s="14" t="str">
        <f t="shared" si="74"/>
        <v/>
      </c>
      <c r="D4399" s="120" t="s">
        <v>478</v>
      </c>
      <c r="O4399" s="28" t="str">
        <f>IF(D4399="","",IF(COUNTIF(离职清单!C:C,D4399)&gt;0,"已离职","在职"))</f>
        <v>在职</v>
      </c>
      <c r="P4399" s="28" t="str">
        <f>IF(AND(O4399="在职",J4399="是"),COUNTIF(O$2:O4399,"在职"),"")</f>
        <v/>
      </c>
    </row>
    <row r="4400" spans="1:16">
      <c r="A4400" s="10" t="str">
        <f t="shared" si="74"/>
        <v/>
      </c>
      <c r="D4400" s="120" t="s">
        <v>480</v>
      </c>
      <c r="O4400" s="28" t="str">
        <f>IF(D4400="","",IF(COUNTIF(离职清单!C:C,D4400)&gt;0,"已离职","在职"))</f>
        <v>在职</v>
      </c>
      <c r="P4400" s="28" t="str">
        <f>IF(AND(O4400="在职",J4400="是"),COUNTIF(O$2:O4400,"在职"),"")</f>
        <v/>
      </c>
    </row>
    <row r="4401" spans="1:16">
      <c r="A4401" s="14" t="str">
        <f t="shared" si="74"/>
        <v/>
      </c>
      <c r="D4401" s="120" t="s">
        <v>482</v>
      </c>
      <c r="O4401" s="28" t="str">
        <f>IF(D4401="","",IF(COUNTIF(离职清单!C:C,D4401)&gt;0,"已离职","在职"))</f>
        <v>在职</v>
      </c>
      <c r="P4401" s="28" t="str">
        <f>IF(AND(O4401="在职",J4401="是"),COUNTIF(O$2:O4401,"在职"),"")</f>
        <v/>
      </c>
    </row>
    <row r="4402" spans="1:16">
      <c r="A4402" s="10" t="str">
        <f t="shared" si="74"/>
        <v/>
      </c>
      <c r="D4402" s="120" t="s">
        <v>484</v>
      </c>
      <c r="O4402" s="28" t="str">
        <f>IF(D4402="","",IF(COUNTIF(离职清单!C:C,D4402)&gt;0,"已离职","在职"))</f>
        <v>在职</v>
      </c>
      <c r="P4402" s="28" t="str">
        <f>IF(AND(O4402="在职",J4402="是"),COUNTIF(O$2:O4402,"在职"),"")</f>
        <v/>
      </c>
    </row>
    <row r="4403" spans="1:16">
      <c r="A4403" s="14" t="str">
        <f t="shared" si="74"/>
        <v/>
      </c>
      <c r="D4403" s="120" t="s">
        <v>486</v>
      </c>
      <c r="O4403" s="28" t="str">
        <f>IF(D4403="","",IF(COUNTIF(离职清单!C:C,D4403)&gt;0,"已离职","在职"))</f>
        <v>在职</v>
      </c>
      <c r="P4403" s="28" t="str">
        <f>IF(AND(O4403="在职",J4403="是"),COUNTIF(O$2:O4403,"在职"),"")</f>
        <v/>
      </c>
    </row>
    <row r="4404" spans="1:16">
      <c r="A4404" s="10" t="str">
        <f t="shared" si="74"/>
        <v/>
      </c>
      <c r="D4404" s="120" t="s">
        <v>488</v>
      </c>
      <c r="O4404" s="28" t="str">
        <f>IF(D4404="","",IF(COUNTIF(离职清单!C:C,D4404)&gt;0,"已离职","在职"))</f>
        <v>在职</v>
      </c>
      <c r="P4404" s="28" t="str">
        <f>IF(AND(O4404="在职",J4404="是"),COUNTIF(O$2:O4404,"在职"),"")</f>
        <v/>
      </c>
    </row>
    <row r="4405" spans="1:16">
      <c r="A4405" s="14" t="str">
        <f t="shared" si="74"/>
        <v/>
      </c>
      <c r="D4405" s="120" t="s">
        <v>490</v>
      </c>
      <c r="O4405" s="28" t="str">
        <f>IF(D4405="","",IF(COUNTIF(离职清单!C:C,D4405)&gt;0,"已离职","在职"))</f>
        <v>在职</v>
      </c>
      <c r="P4405" s="28" t="str">
        <f>IF(AND(O4405="在职",J4405="是"),COUNTIF(O$2:O4405,"在职"),"")</f>
        <v/>
      </c>
    </row>
    <row r="4406" spans="1:16">
      <c r="A4406" s="10" t="str">
        <f t="shared" si="74"/>
        <v/>
      </c>
      <c r="D4406" s="120" t="s">
        <v>492</v>
      </c>
      <c r="O4406" s="28" t="str">
        <f>IF(D4406="","",IF(COUNTIF(离职清单!C:C,D4406)&gt;0,"已离职","在职"))</f>
        <v>在职</v>
      </c>
      <c r="P4406" s="28" t="str">
        <f>IF(AND(O4406="在职",J4406="是"),COUNTIF(O$2:O4406,"在职"),"")</f>
        <v/>
      </c>
    </row>
    <row r="4407" spans="1:16">
      <c r="A4407" s="14" t="str">
        <f t="shared" si="74"/>
        <v/>
      </c>
      <c r="D4407" s="120" t="s">
        <v>477</v>
      </c>
      <c r="O4407" s="28" t="str">
        <f>IF(D4407="","",IF(COUNTIF(离职清单!C:C,D4407)&gt;0,"已离职","在职"))</f>
        <v>在职</v>
      </c>
      <c r="P4407" s="28" t="str">
        <f>IF(AND(O4407="在职",J4407="是"),COUNTIF(O$2:O4407,"在职"),"")</f>
        <v/>
      </c>
    </row>
    <row r="4408" spans="1:16">
      <c r="A4408" s="10" t="str">
        <f t="shared" si="74"/>
        <v/>
      </c>
      <c r="D4408" s="120" t="s">
        <v>478</v>
      </c>
      <c r="O4408" s="28" t="str">
        <f>IF(D4408="","",IF(COUNTIF(离职清单!C:C,D4408)&gt;0,"已离职","在职"))</f>
        <v>在职</v>
      </c>
      <c r="P4408" s="28" t="str">
        <f>IF(AND(O4408="在职",J4408="是"),COUNTIF(O$2:O4408,"在职"),"")</f>
        <v/>
      </c>
    </row>
    <row r="4409" spans="1:16">
      <c r="A4409" s="14" t="str">
        <f t="shared" si="74"/>
        <v/>
      </c>
      <c r="D4409" s="120" t="s">
        <v>480</v>
      </c>
      <c r="O4409" s="28" t="str">
        <f>IF(D4409="","",IF(COUNTIF(离职清单!C:C,D4409)&gt;0,"已离职","在职"))</f>
        <v>在职</v>
      </c>
      <c r="P4409" s="28" t="str">
        <f>IF(AND(O4409="在职",J4409="是"),COUNTIF(O$2:O4409,"在职"),"")</f>
        <v/>
      </c>
    </row>
    <row r="4410" spans="1:16">
      <c r="A4410" s="10" t="str">
        <f t="shared" si="74"/>
        <v/>
      </c>
      <c r="D4410" s="120" t="s">
        <v>482</v>
      </c>
      <c r="O4410" s="28" t="str">
        <f>IF(D4410="","",IF(COUNTIF(离职清单!C:C,D4410)&gt;0,"已离职","在职"))</f>
        <v>在职</v>
      </c>
      <c r="P4410" s="28" t="str">
        <f>IF(AND(O4410="在职",J4410="是"),COUNTIF(O$2:O4410,"在职"),"")</f>
        <v/>
      </c>
    </row>
    <row r="4411" spans="1:16">
      <c r="A4411" s="14" t="str">
        <f t="shared" si="74"/>
        <v/>
      </c>
      <c r="D4411" s="120" t="s">
        <v>484</v>
      </c>
      <c r="O4411" s="28" t="str">
        <f>IF(D4411="","",IF(COUNTIF(离职清单!C:C,D4411)&gt;0,"已离职","在职"))</f>
        <v>在职</v>
      </c>
      <c r="P4411" s="28" t="str">
        <f>IF(AND(O4411="在职",J4411="是"),COUNTIF(O$2:O4411,"在职"),"")</f>
        <v/>
      </c>
    </row>
    <row r="4412" spans="1:16">
      <c r="A4412" s="10" t="str">
        <f t="shared" si="74"/>
        <v/>
      </c>
      <c r="D4412" s="120" t="s">
        <v>486</v>
      </c>
      <c r="O4412" s="28" t="str">
        <f>IF(D4412="","",IF(COUNTIF(离职清单!C:C,D4412)&gt;0,"已离职","在职"))</f>
        <v>在职</v>
      </c>
      <c r="P4412" s="28" t="str">
        <f>IF(AND(O4412="在职",J4412="是"),COUNTIF(O$2:O4412,"在职"),"")</f>
        <v/>
      </c>
    </row>
    <row r="4413" spans="1:16">
      <c r="A4413" s="14" t="str">
        <f t="shared" si="74"/>
        <v/>
      </c>
      <c r="D4413" s="120" t="s">
        <v>488</v>
      </c>
      <c r="O4413" s="28" t="str">
        <f>IF(D4413="","",IF(COUNTIF(离职清单!C:C,D4413)&gt;0,"已离职","在职"))</f>
        <v>在职</v>
      </c>
      <c r="P4413" s="28" t="str">
        <f>IF(AND(O4413="在职",J4413="是"),COUNTIF(O$2:O4413,"在职"),"")</f>
        <v/>
      </c>
    </row>
    <row r="4414" spans="1:16">
      <c r="A4414" s="10" t="str">
        <f t="shared" si="74"/>
        <v/>
      </c>
      <c r="D4414" s="120" t="s">
        <v>490</v>
      </c>
      <c r="O4414" s="28" t="str">
        <f>IF(D4414="","",IF(COUNTIF(离职清单!C:C,D4414)&gt;0,"已离职","在职"))</f>
        <v>在职</v>
      </c>
      <c r="P4414" s="28" t="str">
        <f>IF(AND(O4414="在职",J4414="是"),COUNTIF(O$2:O4414,"在职"),"")</f>
        <v/>
      </c>
    </row>
    <row r="4415" spans="1:16">
      <c r="A4415" s="14" t="str">
        <f t="shared" si="74"/>
        <v/>
      </c>
      <c r="D4415" s="120" t="s">
        <v>492</v>
      </c>
      <c r="O4415" s="28" t="str">
        <f>IF(D4415="","",IF(COUNTIF(离职清单!C:C,D4415)&gt;0,"已离职","在职"))</f>
        <v>在职</v>
      </c>
      <c r="P4415" s="28" t="str">
        <f>IF(AND(O4415="在职",J4415="是"),COUNTIF(O$2:O4415,"在职"),"")</f>
        <v/>
      </c>
    </row>
    <row r="4416" spans="1:16">
      <c r="A4416" s="10" t="str">
        <f t="shared" si="74"/>
        <v/>
      </c>
      <c r="D4416" s="120" t="s">
        <v>477</v>
      </c>
      <c r="O4416" s="28" t="str">
        <f>IF(D4416="","",IF(COUNTIF(离职清单!C:C,D4416)&gt;0,"已离职","在职"))</f>
        <v>在职</v>
      </c>
      <c r="P4416" s="28" t="str">
        <f>IF(AND(O4416="在职",J4416="是"),COUNTIF(O$2:O4416,"在职"),"")</f>
        <v/>
      </c>
    </row>
    <row r="4417" spans="1:16">
      <c r="A4417" s="14" t="str">
        <f t="shared" si="74"/>
        <v/>
      </c>
      <c r="D4417" s="120" t="s">
        <v>477</v>
      </c>
      <c r="O4417" s="28" t="str">
        <f>IF(D4417="","",IF(COUNTIF(离职清单!C:C,D4417)&gt;0,"已离职","在职"))</f>
        <v>在职</v>
      </c>
      <c r="P4417" s="28" t="str">
        <f>IF(AND(O4417="在职",J4417="是"),COUNTIF(O$2:O4417,"在职"),"")</f>
        <v/>
      </c>
    </row>
    <row r="4418" spans="1:16">
      <c r="A4418" s="10" t="str">
        <f t="shared" si="74"/>
        <v/>
      </c>
      <c r="D4418" s="120" t="s">
        <v>478</v>
      </c>
      <c r="O4418" s="28" t="str">
        <f>IF(D4418="","",IF(COUNTIF(离职清单!C:C,D4418)&gt;0,"已离职","在职"))</f>
        <v>在职</v>
      </c>
      <c r="P4418" s="28" t="str">
        <f>IF(AND(O4418="在职",J4418="是"),COUNTIF(O$2:O4418,"在职"),"")</f>
        <v/>
      </c>
    </row>
    <row r="4419" spans="1:16">
      <c r="A4419" s="14" t="str">
        <f t="shared" si="74"/>
        <v/>
      </c>
      <c r="D4419" s="120" t="s">
        <v>480</v>
      </c>
      <c r="O4419" s="28" t="str">
        <f>IF(D4419="","",IF(COUNTIF(离职清单!C:C,D4419)&gt;0,"已离职","在职"))</f>
        <v>在职</v>
      </c>
      <c r="P4419" s="28" t="str">
        <f>IF(AND(O4419="在职",J4419="是"),COUNTIF(O$2:O4419,"在职"),"")</f>
        <v/>
      </c>
    </row>
    <row r="4420" spans="1:16">
      <c r="A4420" s="10" t="str">
        <f t="shared" si="74"/>
        <v/>
      </c>
      <c r="D4420" s="120" t="s">
        <v>482</v>
      </c>
      <c r="O4420" s="28" t="str">
        <f>IF(D4420="","",IF(COUNTIF(离职清单!C:C,D4420)&gt;0,"已离职","在职"))</f>
        <v>在职</v>
      </c>
      <c r="P4420" s="28" t="str">
        <f>IF(AND(O4420="在职",J4420="是"),COUNTIF(O$2:O4420,"在职"),"")</f>
        <v/>
      </c>
    </row>
    <row r="4421" spans="1:16">
      <c r="A4421" s="14" t="str">
        <f t="shared" si="74"/>
        <v/>
      </c>
      <c r="D4421" s="120" t="s">
        <v>484</v>
      </c>
      <c r="O4421" s="28" t="str">
        <f>IF(D4421="","",IF(COUNTIF(离职清单!C:C,D4421)&gt;0,"已离职","在职"))</f>
        <v>在职</v>
      </c>
      <c r="P4421" s="28" t="str">
        <f>IF(AND(O4421="在职",J4421="是"),COUNTIF(O$2:O4421,"在职"),"")</f>
        <v/>
      </c>
    </row>
    <row r="4422" spans="1:16">
      <c r="A4422" s="10" t="str">
        <f t="shared" si="74"/>
        <v/>
      </c>
      <c r="D4422" s="120" t="s">
        <v>486</v>
      </c>
      <c r="O4422" s="28" t="str">
        <f>IF(D4422="","",IF(COUNTIF(离职清单!C:C,D4422)&gt;0,"已离职","在职"))</f>
        <v>在职</v>
      </c>
      <c r="P4422" s="28" t="str">
        <f>IF(AND(O4422="在职",J4422="是"),COUNTIF(O$2:O4422,"在职"),"")</f>
        <v/>
      </c>
    </row>
    <row r="4423" spans="1:16">
      <c r="A4423" s="14" t="str">
        <f t="shared" si="74"/>
        <v/>
      </c>
      <c r="D4423" s="120" t="s">
        <v>488</v>
      </c>
      <c r="O4423" s="28" t="str">
        <f>IF(D4423="","",IF(COUNTIF(离职清单!C:C,D4423)&gt;0,"已离职","在职"))</f>
        <v>在职</v>
      </c>
      <c r="P4423" s="28" t="str">
        <f>IF(AND(O4423="在职",J4423="是"),COUNTIF(O$2:O4423,"在职"),"")</f>
        <v/>
      </c>
    </row>
    <row r="4424" spans="1:16">
      <c r="A4424" s="10" t="str">
        <f t="shared" si="74"/>
        <v/>
      </c>
      <c r="D4424" s="120" t="s">
        <v>490</v>
      </c>
      <c r="O4424" s="28" t="str">
        <f>IF(D4424="","",IF(COUNTIF(离职清单!C:C,D4424)&gt;0,"已离职","在职"))</f>
        <v>在职</v>
      </c>
      <c r="P4424" s="28" t="str">
        <f>IF(AND(O4424="在职",J4424="是"),COUNTIF(O$2:O4424,"在职"),"")</f>
        <v/>
      </c>
    </row>
    <row r="4425" spans="1:16">
      <c r="A4425" s="14" t="str">
        <f t="shared" si="74"/>
        <v/>
      </c>
      <c r="D4425" s="120" t="s">
        <v>492</v>
      </c>
      <c r="O4425" s="28" t="str">
        <f>IF(D4425="","",IF(COUNTIF(离职清单!C:C,D4425)&gt;0,"已离职","在职"))</f>
        <v>在职</v>
      </c>
      <c r="P4425" s="28" t="str">
        <f>IF(AND(O4425="在职",J4425="是"),COUNTIF(O$2:O4425,"在职"),"")</f>
        <v/>
      </c>
    </row>
    <row r="4426" spans="1:16">
      <c r="A4426" s="10" t="str">
        <f t="shared" si="74"/>
        <v/>
      </c>
      <c r="D4426" s="120" t="s">
        <v>477</v>
      </c>
      <c r="O4426" s="28" t="str">
        <f>IF(D4426="","",IF(COUNTIF(离职清单!C:C,D4426)&gt;0,"已离职","在职"))</f>
        <v>在职</v>
      </c>
      <c r="P4426" s="28" t="str">
        <f>IF(AND(O4426="在职",J4426="是"),COUNTIF(O$2:O4426,"在职"),"")</f>
        <v/>
      </c>
    </row>
    <row r="4427" spans="1:16">
      <c r="A4427" s="14" t="str">
        <f t="shared" si="74"/>
        <v/>
      </c>
      <c r="D4427" s="120" t="s">
        <v>478</v>
      </c>
      <c r="O4427" s="28" t="str">
        <f>IF(D4427="","",IF(COUNTIF(离职清单!C:C,D4427)&gt;0,"已离职","在职"))</f>
        <v>在职</v>
      </c>
      <c r="P4427" s="28" t="str">
        <f>IF(AND(O4427="在职",J4427="是"),COUNTIF(O$2:O4427,"在职"),"")</f>
        <v/>
      </c>
    </row>
    <row r="4428" spans="1:16">
      <c r="A4428" s="10" t="str">
        <f t="shared" si="74"/>
        <v/>
      </c>
      <c r="D4428" s="120" t="s">
        <v>480</v>
      </c>
      <c r="O4428" s="28" t="str">
        <f>IF(D4428="","",IF(COUNTIF(离职清单!C:C,D4428)&gt;0,"已离职","在职"))</f>
        <v>在职</v>
      </c>
      <c r="P4428" s="28" t="str">
        <f>IF(AND(O4428="在职",J4428="是"),COUNTIF(O$2:O4428,"在职"),"")</f>
        <v/>
      </c>
    </row>
    <row r="4429" spans="1:16">
      <c r="A4429" s="14" t="str">
        <f t="shared" si="74"/>
        <v/>
      </c>
      <c r="D4429" s="120" t="s">
        <v>482</v>
      </c>
      <c r="O4429" s="28" t="str">
        <f>IF(D4429="","",IF(COUNTIF(离职清单!C:C,D4429)&gt;0,"已离职","在职"))</f>
        <v>在职</v>
      </c>
      <c r="P4429" s="28" t="str">
        <f>IF(AND(O4429="在职",J4429="是"),COUNTIF(O$2:O4429,"在职"),"")</f>
        <v/>
      </c>
    </row>
    <row r="4430" spans="1:16">
      <c r="A4430" s="10" t="str">
        <f t="shared" si="74"/>
        <v/>
      </c>
      <c r="D4430" s="120" t="s">
        <v>484</v>
      </c>
      <c r="O4430" s="28" t="str">
        <f>IF(D4430="","",IF(COUNTIF(离职清单!C:C,D4430)&gt;0,"已离职","在职"))</f>
        <v>在职</v>
      </c>
      <c r="P4430" s="28" t="str">
        <f>IF(AND(O4430="在职",J4430="是"),COUNTIF(O$2:O4430,"在职"),"")</f>
        <v/>
      </c>
    </row>
    <row r="4431" spans="1:16">
      <c r="A4431" s="14" t="str">
        <f t="shared" si="74"/>
        <v/>
      </c>
      <c r="D4431" s="120" t="s">
        <v>486</v>
      </c>
      <c r="O4431" s="28" t="str">
        <f>IF(D4431="","",IF(COUNTIF(离职清单!C:C,D4431)&gt;0,"已离职","在职"))</f>
        <v>在职</v>
      </c>
      <c r="P4431" s="28" t="str">
        <f>IF(AND(O4431="在职",J4431="是"),COUNTIF(O$2:O4431,"在职"),"")</f>
        <v/>
      </c>
    </row>
    <row r="4432" spans="1:16">
      <c r="A4432" s="10" t="str">
        <f t="shared" si="74"/>
        <v/>
      </c>
      <c r="D4432" s="120" t="s">
        <v>488</v>
      </c>
      <c r="O4432" s="28" t="str">
        <f>IF(D4432="","",IF(COUNTIF(离职清单!C:C,D4432)&gt;0,"已离职","在职"))</f>
        <v>在职</v>
      </c>
      <c r="P4432" s="28" t="str">
        <f>IF(AND(O4432="在职",J4432="是"),COUNTIF(O$2:O4432,"在职"),"")</f>
        <v/>
      </c>
    </row>
    <row r="4433" spans="1:16">
      <c r="A4433" s="14" t="str">
        <f t="shared" si="74"/>
        <v/>
      </c>
      <c r="D4433" s="120" t="s">
        <v>490</v>
      </c>
      <c r="O4433" s="28" t="str">
        <f>IF(D4433="","",IF(COUNTIF(离职清单!C:C,D4433)&gt;0,"已离职","在职"))</f>
        <v>在职</v>
      </c>
      <c r="P4433" s="28" t="str">
        <f>IF(AND(O4433="在职",J4433="是"),COUNTIF(O$2:O4433,"在职"),"")</f>
        <v/>
      </c>
    </row>
    <row r="4434" spans="1:16">
      <c r="A4434" s="10" t="str">
        <f t="shared" si="74"/>
        <v/>
      </c>
      <c r="D4434" s="120" t="s">
        <v>492</v>
      </c>
      <c r="O4434" s="28" t="str">
        <f>IF(D4434="","",IF(COUNTIF(离职清单!C:C,D4434)&gt;0,"已离职","在职"))</f>
        <v>在职</v>
      </c>
      <c r="P4434" s="28" t="str">
        <f>IF(AND(O4434="在职",J4434="是"),COUNTIF(O$2:O4434,"在职"),"")</f>
        <v/>
      </c>
    </row>
    <row r="4435" spans="1:16">
      <c r="A4435" s="14" t="str">
        <f t="shared" si="74"/>
        <v/>
      </c>
      <c r="D4435" s="120" t="s">
        <v>477</v>
      </c>
      <c r="O4435" s="28" t="str">
        <f>IF(D4435="","",IF(COUNTIF(离职清单!C:C,D4435)&gt;0,"已离职","在职"))</f>
        <v>在职</v>
      </c>
      <c r="P4435" s="28" t="str">
        <f>IF(AND(O4435="在职",J4435="是"),COUNTIF(O$2:O4435,"在职"),"")</f>
        <v/>
      </c>
    </row>
    <row r="4436" spans="1:16">
      <c r="A4436" s="10" t="str">
        <f t="shared" si="74"/>
        <v/>
      </c>
      <c r="D4436" s="120" t="s">
        <v>478</v>
      </c>
      <c r="O4436" s="28" t="str">
        <f>IF(D4436="","",IF(COUNTIF(离职清单!C:C,D4436)&gt;0,"已离职","在职"))</f>
        <v>在职</v>
      </c>
      <c r="P4436" s="28" t="str">
        <f>IF(AND(O4436="在职",J4436="是"),COUNTIF(O$2:O4436,"在职"),"")</f>
        <v/>
      </c>
    </row>
    <row r="4437" spans="1:16">
      <c r="A4437" s="14" t="str">
        <f t="shared" si="74"/>
        <v/>
      </c>
      <c r="D4437" s="120" t="s">
        <v>480</v>
      </c>
      <c r="O4437" s="28" t="str">
        <f>IF(D4437="","",IF(COUNTIF(离职清单!C:C,D4437)&gt;0,"已离职","在职"))</f>
        <v>在职</v>
      </c>
      <c r="P4437" s="28" t="str">
        <f>IF(AND(O4437="在职",J4437="是"),COUNTIF(O$2:O4437,"在职"),"")</f>
        <v/>
      </c>
    </row>
    <row r="4438" spans="1:16">
      <c r="A4438" s="10" t="str">
        <f t="shared" si="74"/>
        <v/>
      </c>
      <c r="D4438" s="120" t="s">
        <v>482</v>
      </c>
      <c r="O4438" s="28" t="str">
        <f>IF(D4438="","",IF(COUNTIF(离职清单!C:C,D4438)&gt;0,"已离职","在职"))</f>
        <v>在职</v>
      </c>
      <c r="P4438" s="28" t="str">
        <f>IF(AND(O4438="在职",J4438="是"),COUNTIF(O$2:O4438,"在职"),"")</f>
        <v/>
      </c>
    </row>
    <row r="4439" spans="1:16">
      <c r="A4439" s="14" t="str">
        <f t="shared" si="74"/>
        <v/>
      </c>
      <c r="D4439" s="120" t="s">
        <v>484</v>
      </c>
      <c r="O4439" s="28" t="str">
        <f>IF(D4439="","",IF(COUNTIF(离职清单!C:C,D4439)&gt;0,"已离职","在职"))</f>
        <v>在职</v>
      </c>
      <c r="P4439" s="28" t="str">
        <f>IF(AND(O4439="在职",J4439="是"),COUNTIF(O$2:O4439,"在职"),"")</f>
        <v/>
      </c>
    </row>
    <row r="4440" spans="1:16">
      <c r="A4440" s="10" t="str">
        <f t="shared" si="74"/>
        <v/>
      </c>
      <c r="D4440" s="120" t="s">
        <v>486</v>
      </c>
      <c r="O4440" s="28" t="str">
        <f>IF(D4440="","",IF(COUNTIF(离职清单!C:C,D4440)&gt;0,"已离职","在职"))</f>
        <v>在职</v>
      </c>
      <c r="P4440" s="28" t="str">
        <f>IF(AND(O4440="在职",J4440="是"),COUNTIF(O$2:O4440,"在职"),"")</f>
        <v/>
      </c>
    </row>
    <row r="4441" spans="1:16">
      <c r="A4441" s="14" t="str">
        <f t="shared" si="74"/>
        <v/>
      </c>
      <c r="D4441" s="120" t="s">
        <v>488</v>
      </c>
      <c r="O4441" s="28" t="str">
        <f>IF(D4441="","",IF(COUNTIF(离职清单!C:C,D4441)&gt;0,"已离职","在职"))</f>
        <v>在职</v>
      </c>
      <c r="P4441" s="28" t="str">
        <f>IF(AND(O4441="在职",J4441="是"),COUNTIF(O$2:O4441,"在职"),"")</f>
        <v/>
      </c>
    </row>
    <row r="4442" spans="1:16">
      <c r="A4442" s="10" t="str">
        <f t="shared" si="74"/>
        <v/>
      </c>
      <c r="D4442" s="120" t="s">
        <v>490</v>
      </c>
      <c r="O4442" s="28" t="str">
        <f>IF(D4442="","",IF(COUNTIF(离职清单!C:C,D4442)&gt;0,"已离职","在职"))</f>
        <v>在职</v>
      </c>
      <c r="P4442" s="28" t="str">
        <f>IF(AND(O4442="在职",J4442="是"),COUNTIF(O$2:O4442,"在职"),"")</f>
        <v/>
      </c>
    </row>
    <row r="4443" spans="1:16">
      <c r="A4443" s="14" t="str">
        <f t="shared" si="74"/>
        <v/>
      </c>
      <c r="D4443" s="120" t="s">
        <v>492</v>
      </c>
      <c r="O4443" s="28" t="str">
        <f>IF(D4443="","",IF(COUNTIF(离职清单!C:C,D4443)&gt;0,"已离职","在职"))</f>
        <v>在职</v>
      </c>
      <c r="P4443" s="28" t="str">
        <f>IF(AND(O4443="在职",J4443="是"),COUNTIF(O$2:O4443,"在职"),"")</f>
        <v/>
      </c>
    </row>
    <row r="4444" spans="1:16">
      <c r="A4444" s="10" t="str">
        <f t="shared" si="74"/>
        <v/>
      </c>
      <c r="D4444" s="120" t="s">
        <v>477</v>
      </c>
      <c r="O4444" s="28" t="str">
        <f>IF(D4444="","",IF(COUNTIF(离职清单!C:C,D4444)&gt;0,"已离职","在职"))</f>
        <v>在职</v>
      </c>
      <c r="P4444" s="28" t="str">
        <f>IF(AND(O4444="在职",J4444="是"),COUNTIF(O$2:O4444,"在职"),"")</f>
        <v/>
      </c>
    </row>
    <row r="4445" spans="1:16">
      <c r="A4445" s="14" t="str">
        <f t="shared" si="74"/>
        <v/>
      </c>
      <c r="D4445" s="120" t="s">
        <v>478</v>
      </c>
      <c r="O4445" s="28" t="str">
        <f>IF(D4445="","",IF(COUNTIF(离职清单!C:C,D4445)&gt;0,"已离职","在职"))</f>
        <v>在职</v>
      </c>
      <c r="P4445" s="28" t="str">
        <f>IF(AND(O4445="在职",J4445="是"),COUNTIF(O$2:O4445,"在职"),"")</f>
        <v/>
      </c>
    </row>
    <row r="4446" spans="1:16">
      <c r="A4446" s="10" t="str">
        <f t="shared" si="74"/>
        <v/>
      </c>
      <c r="D4446" s="120" t="s">
        <v>480</v>
      </c>
      <c r="O4446" s="28" t="str">
        <f>IF(D4446="","",IF(COUNTIF(离职清单!C:C,D4446)&gt;0,"已离职","在职"))</f>
        <v>在职</v>
      </c>
      <c r="P4446" s="28" t="str">
        <f>IF(AND(O4446="在职",J4446="是"),COUNTIF(O$2:O4446,"在职"),"")</f>
        <v/>
      </c>
    </row>
    <row r="4447" spans="1:16">
      <c r="A4447" s="14" t="str">
        <f t="shared" si="74"/>
        <v/>
      </c>
      <c r="D4447" s="120" t="s">
        <v>482</v>
      </c>
      <c r="O4447" s="28" t="str">
        <f>IF(D4447="","",IF(COUNTIF(离职清单!C:C,D4447)&gt;0,"已离职","在职"))</f>
        <v>在职</v>
      </c>
      <c r="P4447" s="28" t="str">
        <f>IF(AND(O4447="在职",J4447="是"),COUNTIF(O$2:O4447,"在职"),"")</f>
        <v/>
      </c>
    </row>
    <row r="4448" spans="1:16">
      <c r="A4448" s="10" t="str">
        <f t="shared" si="74"/>
        <v/>
      </c>
      <c r="D4448" s="120" t="s">
        <v>484</v>
      </c>
      <c r="O4448" s="28" t="str">
        <f>IF(D4448="","",IF(COUNTIF(离职清单!C:C,D4448)&gt;0,"已离职","在职"))</f>
        <v>在职</v>
      </c>
      <c r="P4448" s="28" t="str">
        <f>IF(AND(O4448="在职",J4448="是"),COUNTIF(O$2:O4448,"在职"),"")</f>
        <v/>
      </c>
    </row>
    <row r="4449" spans="1:16">
      <c r="A4449" s="14" t="str">
        <f t="shared" si="74"/>
        <v/>
      </c>
      <c r="D4449" s="120" t="s">
        <v>486</v>
      </c>
      <c r="O4449" s="28" t="str">
        <f>IF(D4449="","",IF(COUNTIF(离职清单!C:C,D4449)&gt;0,"已离职","在职"))</f>
        <v>在职</v>
      </c>
      <c r="P4449" s="28" t="str">
        <f>IF(AND(O4449="在职",J4449="是"),COUNTIF(O$2:O4449,"在职"),"")</f>
        <v/>
      </c>
    </row>
    <row r="4450" spans="1:16">
      <c r="A4450" s="10" t="str">
        <f t="shared" si="74"/>
        <v/>
      </c>
      <c r="D4450" s="120" t="s">
        <v>488</v>
      </c>
      <c r="O4450" s="28" t="str">
        <f>IF(D4450="","",IF(COUNTIF(离职清单!C:C,D4450)&gt;0,"已离职","在职"))</f>
        <v>在职</v>
      </c>
      <c r="P4450" s="28" t="str">
        <f>IF(AND(O4450="在职",J4450="是"),COUNTIF(O$2:O4450,"在职"),"")</f>
        <v/>
      </c>
    </row>
    <row r="4451" spans="1:16">
      <c r="A4451" s="14" t="str">
        <f t="shared" si="74"/>
        <v/>
      </c>
      <c r="D4451" s="120" t="s">
        <v>490</v>
      </c>
      <c r="O4451" s="28" t="str">
        <f>IF(D4451="","",IF(COUNTIF(离职清单!C:C,D4451)&gt;0,"已离职","在职"))</f>
        <v>在职</v>
      </c>
      <c r="P4451" s="28" t="str">
        <f>IF(AND(O4451="在职",J4451="是"),COUNTIF(O$2:O4451,"在职"),"")</f>
        <v/>
      </c>
    </row>
    <row r="4452" spans="1:16">
      <c r="A4452" s="10" t="str">
        <f t="shared" si="74"/>
        <v/>
      </c>
      <c r="D4452" s="120" t="s">
        <v>492</v>
      </c>
      <c r="O4452" s="28" t="str">
        <f>IF(D4452="","",IF(COUNTIF(离职清单!C:C,D4452)&gt;0,"已离职","在职"))</f>
        <v>在职</v>
      </c>
      <c r="P4452" s="28" t="str">
        <f>IF(AND(O4452="在职",J4452="是"),COUNTIF(O$2:O4452,"在职"),"")</f>
        <v/>
      </c>
    </row>
    <row r="4453" spans="1:16">
      <c r="A4453" s="14" t="str">
        <f t="shared" si="74"/>
        <v/>
      </c>
      <c r="D4453" s="120" t="s">
        <v>477</v>
      </c>
      <c r="O4453" s="28" t="str">
        <f>IF(D4453="","",IF(COUNTIF(离职清单!C:C,D4453)&gt;0,"已离职","在职"))</f>
        <v>在职</v>
      </c>
      <c r="P4453" s="28" t="str">
        <f>IF(AND(O4453="在职",J4453="是"),COUNTIF(O$2:O4453,"在职"),"")</f>
        <v/>
      </c>
    </row>
    <row r="4454" spans="1:16">
      <c r="A4454" s="10" t="str">
        <f t="shared" si="74"/>
        <v/>
      </c>
      <c r="D4454" s="120" t="s">
        <v>478</v>
      </c>
      <c r="O4454" s="28" t="str">
        <f>IF(D4454="","",IF(COUNTIF(离职清单!C:C,D4454)&gt;0,"已离职","在职"))</f>
        <v>在职</v>
      </c>
      <c r="P4454" s="28" t="str">
        <f>IF(AND(O4454="在职",J4454="是"),COUNTIF(O$2:O4454,"在职"),"")</f>
        <v/>
      </c>
    </row>
    <row r="4455" spans="1:16">
      <c r="A4455" s="14" t="str">
        <f t="shared" si="74"/>
        <v/>
      </c>
      <c r="D4455" s="120" t="s">
        <v>480</v>
      </c>
      <c r="O4455" s="28" t="str">
        <f>IF(D4455="","",IF(COUNTIF(离职清单!C:C,D4455)&gt;0,"已离职","在职"))</f>
        <v>在职</v>
      </c>
      <c r="P4455" s="28" t="str">
        <f>IF(AND(O4455="在职",J4455="是"),COUNTIF(O$2:O4455,"在职"),"")</f>
        <v/>
      </c>
    </row>
    <row r="4456" spans="1:16">
      <c r="A4456" s="10" t="str">
        <f t="shared" si="74"/>
        <v/>
      </c>
      <c r="D4456" s="120" t="s">
        <v>482</v>
      </c>
      <c r="O4456" s="28" t="str">
        <f>IF(D4456="","",IF(COUNTIF(离职清单!C:C,D4456)&gt;0,"已离职","在职"))</f>
        <v>在职</v>
      </c>
      <c r="P4456" s="28" t="str">
        <f>IF(AND(O4456="在职",J4456="是"),COUNTIF(O$2:O4456,"在职"),"")</f>
        <v/>
      </c>
    </row>
    <row r="4457" spans="1:16">
      <c r="A4457" s="14" t="str">
        <f t="shared" si="74"/>
        <v/>
      </c>
      <c r="D4457" s="120" t="s">
        <v>484</v>
      </c>
      <c r="O4457" s="28" t="str">
        <f>IF(D4457="","",IF(COUNTIF(离职清单!C:C,D4457)&gt;0,"已离职","在职"))</f>
        <v>在职</v>
      </c>
      <c r="P4457" s="28" t="str">
        <f>IF(AND(O4457="在职",J4457="是"),COUNTIF(O$2:O4457,"在职"),"")</f>
        <v/>
      </c>
    </row>
    <row r="4458" spans="1:16">
      <c r="A4458" s="10" t="str">
        <f t="shared" si="74"/>
        <v/>
      </c>
      <c r="D4458" s="120" t="s">
        <v>486</v>
      </c>
      <c r="O4458" s="28" t="str">
        <f>IF(D4458="","",IF(COUNTIF(离职清单!C:C,D4458)&gt;0,"已离职","在职"))</f>
        <v>在职</v>
      </c>
      <c r="P4458" s="28" t="str">
        <f>IF(AND(O4458="在职",J4458="是"),COUNTIF(O$2:O4458,"在职"),"")</f>
        <v/>
      </c>
    </row>
    <row r="4459" spans="1:16">
      <c r="A4459" s="14" t="str">
        <f t="shared" si="74"/>
        <v/>
      </c>
      <c r="D4459" s="120" t="s">
        <v>488</v>
      </c>
      <c r="O4459" s="28" t="str">
        <f>IF(D4459="","",IF(COUNTIF(离职清单!C:C,D4459)&gt;0,"已离职","在职"))</f>
        <v>在职</v>
      </c>
      <c r="P4459" s="28" t="str">
        <f>IF(AND(O4459="在职",J4459="是"),COUNTIF(O$2:O4459,"在职"),"")</f>
        <v/>
      </c>
    </row>
    <row r="4460" spans="1:16">
      <c r="A4460" s="10" t="str">
        <f t="shared" ref="A4460:A4523" si="75">IF(B4460&lt;&gt;"",ROW()-1,"")</f>
        <v/>
      </c>
      <c r="D4460" s="120" t="s">
        <v>490</v>
      </c>
      <c r="O4460" s="28" t="str">
        <f>IF(D4460="","",IF(COUNTIF(离职清单!C:C,D4460)&gt;0,"已离职","在职"))</f>
        <v>在职</v>
      </c>
      <c r="P4460" s="28" t="str">
        <f>IF(AND(O4460="在职",J4460="是"),COUNTIF(O$2:O4460,"在职"),"")</f>
        <v/>
      </c>
    </row>
    <row r="4461" spans="1:16">
      <c r="A4461" s="14" t="str">
        <f t="shared" si="75"/>
        <v/>
      </c>
      <c r="D4461" s="120" t="s">
        <v>492</v>
      </c>
      <c r="O4461" s="28" t="str">
        <f>IF(D4461="","",IF(COUNTIF(离职清单!C:C,D4461)&gt;0,"已离职","在职"))</f>
        <v>在职</v>
      </c>
      <c r="P4461" s="28" t="str">
        <f>IF(AND(O4461="在职",J4461="是"),COUNTIF(O$2:O4461,"在职"),"")</f>
        <v/>
      </c>
    </row>
    <row r="4462" spans="1:16">
      <c r="A4462" s="10" t="str">
        <f t="shared" si="75"/>
        <v/>
      </c>
      <c r="D4462" s="120" t="s">
        <v>477</v>
      </c>
      <c r="O4462" s="28" t="str">
        <f>IF(D4462="","",IF(COUNTIF(离职清单!C:C,D4462)&gt;0,"已离职","在职"))</f>
        <v>在职</v>
      </c>
      <c r="P4462" s="28" t="str">
        <f>IF(AND(O4462="在职",J4462="是"),COUNTIF(O$2:O4462,"在职"),"")</f>
        <v/>
      </c>
    </row>
    <row r="4463" spans="1:16">
      <c r="A4463" s="14" t="str">
        <f t="shared" si="75"/>
        <v/>
      </c>
      <c r="D4463" s="120" t="s">
        <v>478</v>
      </c>
      <c r="O4463" s="28" t="str">
        <f>IF(D4463="","",IF(COUNTIF(离职清单!C:C,D4463)&gt;0,"已离职","在职"))</f>
        <v>在职</v>
      </c>
      <c r="P4463" s="28" t="str">
        <f>IF(AND(O4463="在职",J4463="是"),COUNTIF(O$2:O4463,"在职"),"")</f>
        <v/>
      </c>
    </row>
    <row r="4464" spans="1:16">
      <c r="A4464" s="10" t="str">
        <f t="shared" si="75"/>
        <v/>
      </c>
      <c r="D4464" s="120" t="s">
        <v>480</v>
      </c>
      <c r="O4464" s="28" t="str">
        <f>IF(D4464="","",IF(COUNTIF(离职清单!C:C,D4464)&gt;0,"已离职","在职"))</f>
        <v>在职</v>
      </c>
      <c r="P4464" s="28" t="str">
        <f>IF(AND(O4464="在职",J4464="是"),COUNTIF(O$2:O4464,"在职"),"")</f>
        <v/>
      </c>
    </row>
    <row r="4465" spans="1:16">
      <c r="A4465" s="14" t="str">
        <f t="shared" si="75"/>
        <v/>
      </c>
      <c r="D4465" s="120" t="s">
        <v>482</v>
      </c>
      <c r="O4465" s="28" t="str">
        <f>IF(D4465="","",IF(COUNTIF(离职清单!C:C,D4465)&gt;0,"已离职","在职"))</f>
        <v>在职</v>
      </c>
      <c r="P4465" s="28" t="str">
        <f>IF(AND(O4465="在职",J4465="是"),COUNTIF(O$2:O4465,"在职"),"")</f>
        <v/>
      </c>
    </row>
    <row r="4466" spans="1:16">
      <c r="A4466" s="10" t="str">
        <f t="shared" si="75"/>
        <v/>
      </c>
      <c r="D4466" s="120" t="s">
        <v>484</v>
      </c>
      <c r="O4466" s="28" t="str">
        <f>IF(D4466="","",IF(COUNTIF(离职清单!C:C,D4466)&gt;0,"已离职","在职"))</f>
        <v>在职</v>
      </c>
      <c r="P4466" s="28" t="str">
        <f>IF(AND(O4466="在职",J4466="是"),COUNTIF(O$2:O4466,"在职"),"")</f>
        <v/>
      </c>
    </row>
    <row r="4467" spans="1:16">
      <c r="A4467" s="14" t="str">
        <f t="shared" si="75"/>
        <v/>
      </c>
      <c r="D4467" s="120" t="s">
        <v>486</v>
      </c>
      <c r="O4467" s="28" t="str">
        <f>IF(D4467="","",IF(COUNTIF(离职清单!C:C,D4467)&gt;0,"已离职","在职"))</f>
        <v>在职</v>
      </c>
      <c r="P4467" s="28" t="str">
        <f>IF(AND(O4467="在职",J4467="是"),COUNTIF(O$2:O4467,"在职"),"")</f>
        <v/>
      </c>
    </row>
    <row r="4468" spans="1:16">
      <c r="A4468" s="10" t="str">
        <f t="shared" si="75"/>
        <v/>
      </c>
      <c r="D4468" s="120" t="s">
        <v>488</v>
      </c>
      <c r="O4468" s="28" t="str">
        <f>IF(D4468="","",IF(COUNTIF(离职清单!C:C,D4468)&gt;0,"已离职","在职"))</f>
        <v>在职</v>
      </c>
      <c r="P4468" s="28" t="str">
        <f>IF(AND(O4468="在职",J4468="是"),COUNTIF(O$2:O4468,"在职"),"")</f>
        <v/>
      </c>
    </row>
    <row r="4469" spans="1:16">
      <c r="A4469" s="14" t="str">
        <f t="shared" si="75"/>
        <v/>
      </c>
      <c r="D4469" s="120" t="s">
        <v>490</v>
      </c>
      <c r="O4469" s="28" t="str">
        <f>IF(D4469="","",IF(COUNTIF(离职清单!C:C,D4469)&gt;0,"已离职","在职"))</f>
        <v>在职</v>
      </c>
      <c r="P4469" s="28" t="str">
        <f>IF(AND(O4469="在职",J4469="是"),COUNTIF(O$2:O4469,"在职"),"")</f>
        <v/>
      </c>
    </row>
    <row r="4470" spans="1:16">
      <c r="A4470" s="10" t="str">
        <f t="shared" si="75"/>
        <v/>
      </c>
      <c r="D4470" s="120" t="s">
        <v>492</v>
      </c>
      <c r="O4470" s="28" t="str">
        <f>IF(D4470="","",IF(COUNTIF(离职清单!C:C,D4470)&gt;0,"已离职","在职"))</f>
        <v>在职</v>
      </c>
      <c r="P4470" s="28" t="str">
        <f>IF(AND(O4470="在职",J4470="是"),COUNTIF(O$2:O4470,"在职"),"")</f>
        <v/>
      </c>
    </row>
    <row r="4471" spans="1:16">
      <c r="A4471" s="14" t="str">
        <f t="shared" si="75"/>
        <v/>
      </c>
      <c r="D4471" s="120" t="s">
        <v>477</v>
      </c>
      <c r="O4471" s="28" t="str">
        <f>IF(D4471="","",IF(COUNTIF(离职清单!C:C,D4471)&gt;0,"已离职","在职"))</f>
        <v>在职</v>
      </c>
      <c r="P4471" s="28" t="str">
        <f>IF(AND(O4471="在职",J4471="是"),COUNTIF(O$2:O4471,"在职"),"")</f>
        <v/>
      </c>
    </row>
    <row r="4472" spans="1:16">
      <c r="A4472" s="10" t="str">
        <f t="shared" si="75"/>
        <v/>
      </c>
      <c r="D4472" s="120" t="s">
        <v>477</v>
      </c>
      <c r="O4472" s="28" t="str">
        <f>IF(D4472="","",IF(COUNTIF(离职清单!C:C,D4472)&gt;0,"已离职","在职"))</f>
        <v>在职</v>
      </c>
      <c r="P4472" s="28" t="str">
        <f>IF(AND(O4472="在职",J4472="是"),COUNTIF(O$2:O4472,"在职"),"")</f>
        <v/>
      </c>
    </row>
    <row r="4473" spans="1:16">
      <c r="A4473" s="14" t="str">
        <f t="shared" si="75"/>
        <v/>
      </c>
      <c r="D4473" s="120" t="s">
        <v>478</v>
      </c>
      <c r="O4473" s="28" t="str">
        <f>IF(D4473="","",IF(COUNTIF(离职清单!C:C,D4473)&gt;0,"已离职","在职"))</f>
        <v>在职</v>
      </c>
      <c r="P4473" s="28" t="str">
        <f>IF(AND(O4473="在职",J4473="是"),COUNTIF(O$2:O4473,"在职"),"")</f>
        <v/>
      </c>
    </row>
    <row r="4474" spans="1:16">
      <c r="A4474" s="10" t="str">
        <f t="shared" si="75"/>
        <v/>
      </c>
      <c r="D4474" s="120" t="s">
        <v>480</v>
      </c>
      <c r="O4474" s="28" t="str">
        <f>IF(D4474="","",IF(COUNTIF(离职清单!C:C,D4474)&gt;0,"已离职","在职"))</f>
        <v>在职</v>
      </c>
      <c r="P4474" s="28" t="str">
        <f>IF(AND(O4474="在职",J4474="是"),COUNTIF(O$2:O4474,"在职"),"")</f>
        <v/>
      </c>
    </row>
    <row r="4475" spans="1:16">
      <c r="A4475" s="14" t="str">
        <f t="shared" si="75"/>
        <v/>
      </c>
      <c r="D4475" s="120" t="s">
        <v>482</v>
      </c>
      <c r="O4475" s="28" t="str">
        <f>IF(D4475="","",IF(COUNTIF(离职清单!C:C,D4475)&gt;0,"已离职","在职"))</f>
        <v>在职</v>
      </c>
      <c r="P4475" s="28" t="str">
        <f>IF(AND(O4475="在职",J4475="是"),COUNTIF(O$2:O4475,"在职"),"")</f>
        <v/>
      </c>
    </row>
    <row r="4476" spans="1:16">
      <c r="A4476" s="10" t="str">
        <f t="shared" si="75"/>
        <v/>
      </c>
      <c r="D4476" s="120" t="s">
        <v>484</v>
      </c>
      <c r="O4476" s="28" t="str">
        <f>IF(D4476="","",IF(COUNTIF(离职清单!C:C,D4476)&gt;0,"已离职","在职"))</f>
        <v>在职</v>
      </c>
      <c r="P4476" s="28" t="str">
        <f>IF(AND(O4476="在职",J4476="是"),COUNTIF(O$2:O4476,"在职"),"")</f>
        <v/>
      </c>
    </row>
    <row r="4477" spans="1:16">
      <c r="A4477" s="14" t="str">
        <f t="shared" si="75"/>
        <v/>
      </c>
      <c r="D4477" s="120" t="s">
        <v>486</v>
      </c>
      <c r="O4477" s="28" t="str">
        <f>IF(D4477="","",IF(COUNTIF(离职清单!C:C,D4477)&gt;0,"已离职","在职"))</f>
        <v>在职</v>
      </c>
      <c r="P4477" s="28" t="str">
        <f>IF(AND(O4477="在职",J4477="是"),COUNTIF(O$2:O4477,"在职"),"")</f>
        <v/>
      </c>
    </row>
    <row r="4478" spans="1:16">
      <c r="A4478" s="10" t="str">
        <f t="shared" si="75"/>
        <v/>
      </c>
      <c r="D4478" s="120" t="s">
        <v>488</v>
      </c>
      <c r="O4478" s="28" t="str">
        <f>IF(D4478="","",IF(COUNTIF(离职清单!C:C,D4478)&gt;0,"已离职","在职"))</f>
        <v>在职</v>
      </c>
      <c r="P4478" s="28" t="str">
        <f>IF(AND(O4478="在职",J4478="是"),COUNTIF(O$2:O4478,"在职"),"")</f>
        <v/>
      </c>
    </row>
    <row r="4479" spans="1:16">
      <c r="A4479" s="14" t="str">
        <f t="shared" si="75"/>
        <v/>
      </c>
      <c r="D4479" s="120" t="s">
        <v>490</v>
      </c>
      <c r="O4479" s="28" t="str">
        <f>IF(D4479="","",IF(COUNTIF(离职清单!C:C,D4479)&gt;0,"已离职","在职"))</f>
        <v>在职</v>
      </c>
      <c r="P4479" s="28" t="str">
        <f>IF(AND(O4479="在职",J4479="是"),COUNTIF(O$2:O4479,"在职"),"")</f>
        <v/>
      </c>
    </row>
    <row r="4480" spans="1:16">
      <c r="A4480" s="10" t="str">
        <f t="shared" si="75"/>
        <v/>
      </c>
      <c r="D4480" s="120" t="s">
        <v>492</v>
      </c>
      <c r="O4480" s="28" t="str">
        <f>IF(D4480="","",IF(COUNTIF(离职清单!C:C,D4480)&gt;0,"已离职","在职"))</f>
        <v>在职</v>
      </c>
      <c r="P4480" s="28" t="str">
        <f>IF(AND(O4480="在职",J4480="是"),COUNTIF(O$2:O4480,"在职"),"")</f>
        <v/>
      </c>
    </row>
    <row r="4481" spans="1:16">
      <c r="A4481" s="14" t="str">
        <f t="shared" si="75"/>
        <v/>
      </c>
      <c r="D4481" s="120" t="s">
        <v>477</v>
      </c>
      <c r="O4481" s="28" t="str">
        <f>IF(D4481="","",IF(COUNTIF(离职清单!C:C,D4481)&gt;0,"已离职","在职"))</f>
        <v>在职</v>
      </c>
      <c r="P4481" s="28" t="str">
        <f>IF(AND(O4481="在职",J4481="是"),COUNTIF(O$2:O4481,"在职"),"")</f>
        <v/>
      </c>
    </row>
    <row r="4482" spans="1:16">
      <c r="A4482" s="10" t="str">
        <f t="shared" si="75"/>
        <v/>
      </c>
      <c r="D4482" s="120" t="s">
        <v>478</v>
      </c>
      <c r="O4482" s="28" t="str">
        <f>IF(D4482="","",IF(COUNTIF(离职清单!C:C,D4482)&gt;0,"已离职","在职"))</f>
        <v>在职</v>
      </c>
      <c r="P4482" s="28" t="str">
        <f>IF(AND(O4482="在职",J4482="是"),COUNTIF(O$2:O4482,"在职"),"")</f>
        <v/>
      </c>
    </row>
    <row r="4483" spans="1:16">
      <c r="A4483" s="14" t="str">
        <f t="shared" si="75"/>
        <v/>
      </c>
      <c r="D4483" s="120" t="s">
        <v>480</v>
      </c>
      <c r="O4483" s="28" t="str">
        <f>IF(D4483="","",IF(COUNTIF(离职清单!C:C,D4483)&gt;0,"已离职","在职"))</f>
        <v>在职</v>
      </c>
      <c r="P4483" s="28" t="str">
        <f>IF(AND(O4483="在职",J4483="是"),COUNTIF(O$2:O4483,"在职"),"")</f>
        <v/>
      </c>
    </row>
    <row r="4484" spans="1:16">
      <c r="A4484" s="10" t="str">
        <f t="shared" si="75"/>
        <v/>
      </c>
      <c r="D4484" s="120" t="s">
        <v>482</v>
      </c>
      <c r="O4484" s="28" t="str">
        <f>IF(D4484="","",IF(COUNTIF(离职清单!C:C,D4484)&gt;0,"已离职","在职"))</f>
        <v>在职</v>
      </c>
      <c r="P4484" s="28" t="str">
        <f>IF(AND(O4484="在职",J4484="是"),COUNTIF(O$2:O4484,"在职"),"")</f>
        <v/>
      </c>
    </row>
    <row r="4485" spans="1:16">
      <c r="A4485" s="14" t="str">
        <f t="shared" si="75"/>
        <v/>
      </c>
      <c r="D4485" s="120" t="s">
        <v>484</v>
      </c>
      <c r="O4485" s="28" t="str">
        <f>IF(D4485="","",IF(COUNTIF(离职清单!C:C,D4485)&gt;0,"已离职","在职"))</f>
        <v>在职</v>
      </c>
      <c r="P4485" s="28" t="str">
        <f>IF(AND(O4485="在职",J4485="是"),COUNTIF(O$2:O4485,"在职"),"")</f>
        <v/>
      </c>
    </row>
    <row r="4486" spans="1:16">
      <c r="A4486" s="10" t="str">
        <f t="shared" si="75"/>
        <v/>
      </c>
      <c r="D4486" s="120" t="s">
        <v>486</v>
      </c>
      <c r="O4486" s="28" t="str">
        <f>IF(D4486="","",IF(COUNTIF(离职清单!C:C,D4486)&gt;0,"已离职","在职"))</f>
        <v>在职</v>
      </c>
      <c r="P4486" s="28" t="str">
        <f>IF(AND(O4486="在职",J4486="是"),COUNTIF(O$2:O4486,"在职"),"")</f>
        <v/>
      </c>
    </row>
    <row r="4487" spans="1:16">
      <c r="A4487" s="14" t="str">
        <f t="shared" si="75"/>
        <v/>
      </c>
      <c r="D4487" s="120" t="s">
        <v>488</v>
      </c>
      <c r="O4487" s="28" t="str">
        <f>IF(D4487="","",IF(COUNTIF(离职清单!C:C,D4487)&gt;0,"已离职","在职"))</f>
        <v>在职</v>
      </c>
      <c r="P4487" s="28" t="str">
        <f>IF(AND(O4487="在职",J4487="是"),COUNTIF(O$2:O4487,"在职"),"")</f>
        <v/>
      </c>
    </row>
    <row r="4488" spans="1:16">
      <c r="A4488" s="10" t="str">
        <f t="shared" si="75"/>
        <v/>
      </c>
      <c r="D4488" s="120" t="s">
        <v>490</v>
      </c>
      <c r="O4488" s="28" t="str">
        <f>IF(D4488="","",IF(COUNTIF(离职清单!C:C,D4488)&gt;0,"已离职","在职"))</f>
        <v>在职</v>
      </c>
      <c r="P4488" s="28" t="str">
        <f>IF(AND(O4488="在职",J4488="是"),COUNTIF(O$2:O4488,"在职"),"")</f>
        <v/>
      </c>
    </row>
    <row r="4489" spans="1:16">
      <c r="A4489" s="14" t="str">
        <f t="shared" si="75"/>
        <v/>
      </c>
      <c r="D4489" s="120" t="s">
        <v>492</v>
      </c>
      <c r="O4489" s="28" t="str">
        <f>IF(D4489="","",IF(COUNTIF(离职清单!C:C,D4489)&gt;0,"已离职","在职"))</f>
        <v>在职</v>
      </c>
      <c r="P4489" s="28" t="str">
        <f>IF(AND(O4489="在职",J4489="是"),COUNTIF(O$2:O4489,"在职"),"")</f>
        <v/>
      </c>
    </row>
    <row r="4490" spans="1:16">
      <c r="A4490" s="10" t="str">
        <f t="shared" si="75"/>
        <v/>
      </c>
      <c r="D4490" s="120" t="s">
        <v>477</v>
      </c>
      <c r="O4490" s="28" t="str">
        <f>IF(D4490="","",IF(COUNTIF(离职清单!C:C,D4490)&gt;0,"已离职","在职"))</f>
        <v>在职</v>
      </c>
      <c r="P4490" s="28" t="str">
        <f>IF(AND(O4490="在职",J4490="是"),COUNTIF(O$2:O4490,"在职"),"")</f>
        <v/>
      </c>
    </row>
    <row r="4491" spans="1:16">
      <c r="A4491" s="14" t="str">
        <f t="shared" si="75"/>
        <v/>
      </c>
      <c r="D4491" s="120" t="s">
        <v>478</v>
      </c>
      <c r="O4491" s="28" t="str">
        <f>IF(D4491="","",IF(COUNTIF(离职清单!C:C,D4491)&gt;0,"已离职","在职"))</f>
        <v>在职</v>
      </c>
      <c r="P4491" s="28" t="str">
        <f>IF(AND(O4491="在职",J4491="是"),COUNTIF(O$2:O4491,"在职"),"")</f>
        <v/>
      </c>
    </row>
    <row r="4492" spans="1:16">
      <c r="A4492" s="10" t="str">
        <f t="shared" si="75"/>
        <v/>
      </c>
      <c r="D4492" s="120" t="s">
        <v>480</v>
      </c>
      <c r="O4492" s="28" t="str">
        <f>IF(D4492="","",IF(COUNTIF(离职清单!C:C,D4492)&gt;0,"已离职","在职"))</f>
        <v>在职</v>
      </c>
      <c r="P4492" s="28" t="str">
        <f>IF(AND(O4492="在职",J4492="是"),COUNTIF(O$2:O4492,"在职"),"")</f>
        <v/>
      </c>
    </row>
    <row r="4493" spans="1:16">
      <c r="A4493" s="14" t="str">
        <f t="shared" si="75"/>
        <v/>
      </c>
      <c r="D4493" s="120" t="s">
        <v>482</v>
      </c>
      <c r="O4493" s="28" t="str">
        <f>IF(D4493="","",IF(COUNTIF(离职清单!C:C,D4493)&gt;0,"已离职","在职"))</f>
        <v>在职</v>
      </c>
      <c r="P4493" s="28" t="str">
        <f>IF(AND(O4493="在职",J4493="是"),COUNTIF(O$2:O4493,"在职"),"")</f>
        <v/>
      </c>
    </row>
    <row r="4494" spans="1:16">
      <c r="A4494" s="10" t="str">
        <f t="shared" si="75"/>
        <v/>
      </c>
      <c r="D4494" s="120" t="s">
        <v>484</v>
      </c>
      <c r="O4494" s="28" t="str">
        <f>IF(D4494="","",IF(COUNTIF(离职清单!C:C,D4494)&gt;0,"已离职","在职"))</f>
        <v>在职</v>
      </c>
      <c r="P4494" s="28" t="str">
        <f>IF(AND(O4494="在职",J4494="是"),COUNTIF(O$2:O4494,"在职"),"")</f>
        <v/>
      </c>
    </row>
    <row r="4495" spans="1:16">
      <c r="A4495" s="14" t="str">
        <f t="shared" si="75"/>
        <v/>
      </c>
      <c r="D4495" s="120" t="s">
        <v>486</v>
      </c>
      <c r="O4495" s="28" t="str">
        <f>IF(D4495="","",IF(COUNTIF(离职清单!C:C,D4495)&gt;0,"已离职","在职"))</f>
        <v>在职</v>
      </c>
      <c r="P4495" s="28" t="str">
        <f>IF(AND(O4495="在职",J4495="是"),COUNTIF(O$2:O4495,"在职"),"")</f>
        <v/>
      </c>
    </row>
    <row r="4496" spans="1:16">
      <c r="A4496" s="10" t="str">
        <f t="shared" si="75"/>
        <v/>
      </c>
      <c r="D4496" s="120" t="s">
        <v>488</v>
      </c>
      <c r="O4496" s="28" t="str">
        <f>IF(D4496="","",IF(COUNTIF(离职清单!C:C,D4496)&gt;0,"已离职","在职"))</f>
        <v>在职</v>
      </c>
      <c r="P4496" s="28" t="str">
        <f>IF(AND(O4496="在职",J4496="是"),COUNTIF(O$2:O4496,"在职"),"")</f>
        <v/>
      </c>
    </row>
    <row r="4497" spans="1:16">
      <c r="A4497" s="14" t="str">
        <f t="shared" si="75"/>
        <v/>
      </c>
      <c r="D4497" s="120" t="s">
        <v>490</v>
      </c>
      <c r="O4497" s="28" t="str">
        <f>IF(D4497="","",IF(COUNTIF(离职清单!C:C,D4497)&gt;0,"已离职","在职"))</f>
        <v>在职</v>
      </c>
      <c r="P4497" s="28" t="str">
        <f>IF(AND(O4497="在职",J4497="是"),COUNTIF(O$2:O4497,"在职"),"")</f>
        <v/>
      </c>
    </row>
    <row r="4498" spans="1:16">
      <c r="A4498" s="10" t="str">
        <f t="shared" si="75"/>
        <v/>
      </c>
      <c r="D4498" s="120" t="s">
        <v>492</v>
      </c>
      <c r="O4498" s="28" t="str">
        <f>IF(D4498="","",IF(COUNTIF(离职清单!C:C,D4498)&gt;0,"已离职","在职"))</f>
        <v>在职</v>
      </c>
      <c r="P4498" s="28" t="str">
        <f>IF(AND(O4498="在职",J4498="是"),COUNTIF(O$2:O4498,"在职"),"")</f>
        <v/>
      </c>
    </row>
    <row r="4499" spans="1:16">
      <c r="A4499" s="14" t="str">
        <f t="shared" si="75"/>
        <v/>
      </c>
      <c r="D4499" s="120" t="s">
        <v>477</v>
      </c>
      <c r="O4499" s="28" t="str">
        <f>IF(D4499="","",IF(COUNTIF(离职清单!C:C,D4499)&gt;0,"已离职","在职"))</f>
        <v>在职</v>
      </c>
      <c r="P4499" s="28" t="str">
        <f>IF(AND(O4499="在职",J4499="是"),COUNTIF(O$2:O4499,"在职"),"")</f>
        <v/>
      </c>
    </row>
    <row r="4500" spans="1:16">
      <c r="A4500" s="10" t="str">
        <f t="shared" si="75"/>
        <v/>
      </c>
      <c r="D4500" s="120" t="s">
        <v>478</v>
      </c>
      <c r="O4500" s="28" t="str">
        <f>IF(D4500="","",IF(COUNTIF(离职清单!C:C,D4500)&gt;0,"已离职","在职"))</f>
        <v>在职</v>
      </c>
      <c r="P4500" s="28" t="str">
        <f>IF(AND(O4500="在职",J4500="是"),COUNTIF(O$2:O4500,"在职"),"")</f>
        <v/>
      </c>
    </row>
    <row r="4501" spans="1:16">
      <c r="A4501" s="14" t="str">
        <f t="shared" si="75"/>
        <v/>
      </c>
      <c r="D4501" s="120" t="s">
        <v>480</v>
      </c>
      <c r="O4501" s="28" t="str">
        <f>IF(D4501="","",IF(COUNTIF(离职清单!C:C,D4501)&gt;0,"已离职","在职"))</f>
        <v>在职</v>
      </c>
      <c r="P4501" s="28" t="str">
        <f>IF(AND(O4501="在职",J4501="是"),COUNTIF(O$2:O4501,"在职"),"")</f>
        <v/>
      </c>
    </row>
    <row r="4502" spans="1:16">
      <c r="A4502" s="10" t="str">
        <f t="shared" si="75"/>
        <v/>
      </c>
      <c r="D4502" s="120" t="s">
        <v>482</v>
      </c>
      <c r="O4502" s="28" t="str">
        <f>IF(D4502="","",IF(COUNTIF(离职清单!C:C,D4502)&gt;0,"已离职","在职"))</f>
        <v>在职</v>
      </c>
      <c r="P4502" s="28" t="str">
        <f>IF(AND(O4502="在职",J4502="是"),COUNTIF(O$2:O4502,"在职"),"")</f>
        <v/>
      </c>
    </row>
    <row r="4503" spans="1:16">
      <c r="A4503" s="14" t="str">
        <f t="shared" si="75"/>
        <v/>
      </c>
      <c r="D4503" s="120" t="s">
        <v>484</v>
      </c>
      <c r="O4503" s="28" t="str">
        <f>IF(D4503="","",IF(COUNTIF(离职清单!C:C,D4503)&gt;0,"已离职","在职"))</f>
        <v>在职</v>
      </c>
      <c r="P4503" s="28" t="str">
        <f>IF(AND(O4503="在职",J4503="是"),COUNTIF(O$2:O4503,"在职"),"")</f>
        <v/>
      </c>
    </row>
    <row r="4504" spans="1:16">
      <c r="A4504" s="10" t="str">
        <f t="shared" si="75"/>
        <v/>
      </c>
      <c r="D4504" s="120" t="s">
        <v>486</v>
      </c>
      <c r="O4504" s="28" t="str">
        <f>IF(D4504="","",IF(COUNTIF(离职清单!C:C,D4504)&gt;0,"已离职","在职"))</f>
        <v>在职</v>
      </c>
      <c r="P4504" s="28" t="str">
        <f>IF(AND(O4504="在职",J4504="是"),COUNTIF(O$2:O4504,"在职"),"")</f>
        <v/>
      </c>
    </row>
    <row r="4505" spans="1:16">
      <c r="A4505" s="14" t="str">
        <f t="shared" si="75"/>
        <v/>
      </c>
      <c r="D4505" s="120" t="s">
        <v>488</v>
      </c>
      <c r="O4505" s="28" t="str">
        <f>IF(D4505="","",IF(COUNTIF(离职清单!C:C,D4505)&gt;0,"已离职","在职"))</f>
        <v>在职</v>
      </c>
      <c r="P4505" s="28" t="str">
        <f>IF(AND(O4505="在职",J4505="是"),COUNTIF(O$2:O4505,"在职"),"")</f>
        <v/>
      </c>
    </row>
    <row r="4506" spans="1:16">
      <c r="A4506" s="10" t="str">
        <f t="shared" si="75"/>
        <v/>
      </c>
      <c r="D4506" s="120" t="s">
        <v>490</v>
      </c>
      <c r="O4506" s="28" t="str">
        <f>IF(D4506="","",IF(COUNTIF(离职清单!C:C,D4506)&gt;0,"已离职","在职"))</f>
        <v>在职</v>
      </c>
      <c r="P4506" s="28" t="str">
        <f>IF(AND(O4506="在职",J4506="是"),COUNTIF(O$2:O4506,"在职"),"")</f>
        <v/>
      </c>
    </row>
    <row r="4507" spans="1:16">
      <c r="A4507" s="14" t="str">
        <f t="shared" si="75"/>
        <v/>
      </c>
      <c r="D4507" s="120" t="s">
        <v>492</v>
      </c>
      <c r="O4507" s="28" t="str">
        <f>IF(D4507="","",IF(COUNTIF(离职清单!C:C,D4507)&gt;0,"已离职","在职"))</f>
        <v>在职</v>
      </c>
      <c r="P4507" s="28" t="str">
        <f>IF(AND(O4507="在职",J4507="是"),COUNTIF(O$2:O4507,"在职"),"")</f>
        <v/>
      </c>
    </row>
    <row r="4508" spans="1:16">
      <c r="A4508" s="10" t="str">
        <f t="shared" si="75"/>
        <v/>
      </c>
      <c r="D4508" s="120" t="s">
        <v>477</v>
      </c>
      <c r="O4508" s="28" t="str">
        <f>IF(D4508="","",IF(COUNTIF(离职清单!C:C,D4508)&gt;0,"已离职","在职"))</f>
        <v>在职</v>
      </c>
      <c r="P4508" s="28" t="str">
        <f>IF(AND(O4508="在职",J4508="是"),COUNTIF(O$2:O4508,"在职"),"")</f>
        <v/>
      </c>
    </row>
    <row r="4509" spans="1:16">
      <c r="A4509" s="14" t="str">
        <f t="shared" si="75"/>
        <v/>
      </c>
      <c r="D4509" s="120" t="s">
        <v>478</v>
      </c>
      <c r="O4509" s="28" t="str">
        <f>IF(D4509="","",IF(COUNTIF(离职清单!C:C,D4509)&gt;0,"已离职","在职"))</f>
        <v>在职</v>
      </c>
      <c r="P4509" s="28" t="str">
        <f>IF(AND(O4509="在职",J4509="是"),COUNTIF(O$2:O4509,"在职"),"")</f>
        <v/>
      </c>
    </row>
    <row r="4510" spans="1:16">
      <c r="A4510" s="10" t="str">
        <f t="shared" si="75"/>
        <v/>
      </c>
      <c r="D4510" s="120" t="s">
        <v>480</v>
      </c>
      <c r="O4510" s="28" t="str">
        <f>IF(D4510="","",IF(COUNTIF(离职清单!C:C,D4510)&gt;0,"已离职","在职"))</f>
        <v>在职</v>
      </c>
      <c r="P4510" s="28" t="str">
        <f>IF(AND(O4510="在职",J4510="是"),COUNTIF(O$2:O4510,"在职"),"")</f>
        <v/>
      </c>
    </row>
    <row r="4511" spans="1:16">
      <c r="A4511" s="14" t="str">
        <f t="shared" si="75"/>
        <v/>
      </c>
      <c r="D4511" s="120" t="s">
        <v>482</v>
      </c>
      <c r="O4511" s="28" t="str">
        <f>IF(D4511="","",IF(COUNTIF(离职清单!C:C,D4511)&gt;0,"已离职","在职"))</f>
        <v>在职</v>
      </c>
      <c r="P4511" s="28" t="str">
        <f>IF(AND(O4511="在职",J4511="是"),COUNTIF(O$2:O4511,"在职"),"")</f>
        <v/>
      </c>
    </row>
    <row r="4512" spans="1:16">
      <c r="A4512" s="10" t="str">
        <f t="shared" si="75"/>
        <v/>
      </c>
      <c r="D4512" s="120" t="s">
        <v>484</v>
      </c>
      <c r="O4512" s="28" t="str">
        <f>IF(D4512="","",IF(COUNTIF(离职清单!C:C,D4512)&gt;0,"已离职","在职"))</f>
        <v>在职</v>
      </c>
      <c r="P4512" s="28" t="str">
        <f>IF(AND(O4512="在职",J4512="是"),COUNTIF(O$2:O4512,"在职"),"")</f>
        <v/>
      </c>
    </row>
    <row r="4513" spans="1:16">
      <c r="A4513" s="14" t="str">
        <f t="shared" si="75"/>
        <v/>
      </c>
      <c r="D4513" s="120" t="s">
        <v>486</v>
      </c>
      <c r="O4513" s="28" t="str">
        <f>IF(D4513="","",IF(COUNTIF(离职清单!C:C,D4513)&gt;0,"已离职","在职"))</f>
        <v>在职</v>
      </c>
      <c r="P4513" s="28" t="str">
        <f>IF(AND(O4513="在职",J4513="是"),COUNTIF(O$2:O4513,"在职"),"")</f>
        <v/>
      </c>
    </row>
    <row r="4514" spans="1:16">
      <c r="A4514" s="10" t="str">
        <f t="shared" si="75"/>
        <v/>
      </c>
      <c r="D4514" s="120" t="s">
        <v>488</v>
      </c>
      <c r="O4514" s="28" t="str">
        <f>IF(D4514="","",IF(COUNTIF(离职清单!C:C,D4514)&gt;0,"已离职","在职"))</f>
        <v>在职</v>
      </c>
      <c r="P4514" s="28" t="str">
        <f>IF(AND(O4514="在职",J4514="是"),COUNTIF(O$2:O4514,"在职"),"")</f>
        <v/>
      </c>
    </row>
    <row r="4515" spans="1:16">
      <c r="A4515" s="14" t="str">
        <f t="shared" si="75"/>
        <v/>
      </c>
      <c r="D4515" s="120" t="s">
        <v>490</v>
      </c>
      <c r="O4515" s="28" t="str">
        <f>IF(D4515="","",IF(COUNTIF(离职清单!C:C,D4515)&gt;0,"已离职","在职"))</f>
        <v>在职</v>
      </c>
      <c r="P4515" s="28" t="str">
        <f>IF(AND(O4515="在职",J4515="是"),COUNTIF(O$2:O4515,"在职"),"")</f>
        <v/>
      </c>
    </row>
    <row r="4516" spans="1:16">
      <c r="A4516" s="10" t="str">
        <f t="shared" si="75"/>
        <v/>
      </c>
      <c r="D4516" s="120" t="s">
        <v>492</v>
      </c>
      <c r="O4516" s="28" t="str">
        <f>IF(D4516="","",IF(COUNTIF(离职清单!C:C,D4516)&gt;0,"已离职","在职"))</f>
        <v>在职</v>
      </c>
      <c r="P4516" s="28" t="str">
        <f>IF(AND(O4516="在职",J4516="是"),COUNTIF(O$2:O4516,"在职"),"")</f>
        <v/>
      </c>
    </row>
    <row r="4517" spans="1:16">
      <c r="A4517" s="14" t="str">
        <f t="shared" si="75"/>
        <v/>
      </c>
      <c r="D4517" s="120" t="s">
        <v>477</v>
      </c>
      <c r="O4517" s="28" t="str">
        <f>IF(D4517="","",IF(COUNTIF(离职清单!C:C,D4517)&gt;0,"已离职","在职"))</f>
        <v>在职</v>
      </c>
      <c r="P4517" s="28" t="str">
        <f>IF(AND(O4517="在职",J4517="是"),COUNTIF(O$2:O4517,"在职"),"")</f>
        <v/>
      </c>
    </row>
    <row r="4518" spans="1:16">
      <c r="A4518" s="10" t="str">
        <f t="shared" si="75"/>
        <v/>
      </c>
      <c r="D4518" s="120" t="s">
        <v>478</v>
      </c>
      <c r="O4518" s="28" t="str">
        <f>IF(D4518="","",IF(COUNTIF(离职清单!C:C,D4518)&gt;0,"已离职","在职"))</f>
        <v>在职</v>
      </c>
      <c r="P4518" s="28" t="str">
        <f>IF(AND(O4518="在职",J4518="是"),COUNTIF(O$2:O4518,"在职"),"")</f>
        <v/>
      </c>
    </row>
    <row r="4519" spans="1:16">
      <c r="A4519" s="14" t="str">
        <f t="shared" si="75"/>
        <v/>
      </c>
      <c r="D4519" s="120" t="s">
        <v>480</v>
      </c>
      <c r="O4519" s="28" t="str">
        <f>IF(D4519="","",IF(COUNTIF(离职清单!C:C,D4519)&gt;0,"已离职","在职"))</f>
        <v>在职</v>
      </c>
      <c r="P4519" s="28" t="str">
        <f>IF(AND(O4519="在职",J4519="是"),COUNTIF(O$2:O4519,"在职"),"")</f>
        <v/>
      </c>
    </row>
    <row r="4520" spans="1:16">
      <c r="A4520" s="10" t="str">
        <f t="shared" si="75"/>
        <v/>
      </c>
      <c r="D4520" s="120" t="s">
        <v>482</v>
      </c>
      <c r="O4520" s="28" t="str">
        <f>IF(D4520="","",IF(COUNTIF(离职清单!C:C,D4520)&gt;0,"已离职","在职"))</f>
        <v>在职</v>
      </c>
      <c r="P4520" s="28" t="str">
        <f>IF(AND(O4520="在职",J4520="是"),COUNTIF(O$2:O4520,"在职"),"")</f>
        <v/>
      </c>
    </row>
    <row r="4521" spans="1:16">
      <c r="A4521" s="14" t="str">
        <f t="shared" si="75"/>
        <v/>
      </c>
      <c r="D4521" s="120" t="s">
        <v>484</v>
      </c>
      <c r="O4521" s="28" t="str">
        <f>IF(D4521="","",IF(COUNTIF(离职清单!C:C,D4521)&gt;0,"已离职","在职"))</f>
        <v>在职</v>
      </c>
      <c r="P4521" s="28" t="str">
        <f>IF(AND(O4521="在职",J4521="是"),COUNTIF(O$2:O4521,"在职"),"")</f>
        <v/>
      </c>
    </row>
    <row r="4522" spans="1:16">
      <c r="A4522" s="10" t="str">
        <f t="shared" si="75"/>
        <v/>
      </c>
      <c r="D4522" s="120" t="s">
        <v>486</v>
      </c>
      <c r="O4522" s="28" t="str">
        <f>IF(D4522="","",IF(COUNTIF(离职清单!C:C,D4522)&gt;0,"已离职","在职"))</f>
        <v>在职</v>
      </c>
      <c r="P4522" s="28" t="str">
        <f>IF(AND(O4522="在职",J4522="是"),COUNTIF(O$2:O4522,"在职"),"")</f>
        <v/>
      </c>
    </row>
    <row r="4523" spans="1:16">
      <c r="A4523" s="14" t="str">
        <f t="shared" si="75"/>
        <v/>
      </c>
      <c r="D4523" s="120" t="s">
        <v>488</v>
      </c>
      <c r="O4523" s="28" t="str">
        <f>IF(D4523="","",IF(COUNTIF(离职清单!C:C,D4523)&gt;0,"已离职","在职"))</f>
        <v>在职</v>
      </c>
      <c r="P4523" s="28" t="str">
        <f>IF(AND(O4523="在职",J4523="是"),COUNTIF(O$2:O4523,"在职"),"")</f>
        <v/>
      </c>
    </row>
    <row r="4524" spans="1:16">
      <c r="A4524" s="10" t="str">
        <f t="shared" ref="A4524:A4587" si="76">IF(B4524&lt;&gt;"",ROW()-1,"")</f>
        <v/>
      </c>
      <c r="D4524" s="120" t="s">
        <v>490</v>
      </c>
      <c r="O4524" s="28" t="str">
        <f>IF(D4524="","",IF(COUNTIF(离职清单!C:C,D4524)&gt;0,"已离职","在职"))</f>
        <v>在职</v>
      </c>
      <c r="P4524" s="28" t="str">
        <f>IF(AND(O4524="在职",J4524="是"),COUNTIF(O$2:O4524,"在职"),"")</f>
        <v/>
      </c>
    </row>
    <row r="4525" spans="1:16">
      <c r="A4525" s="14" t="str">
        <f t="shared" si="76"/>
        <v/>
      </c>
      <c r="D4525" s="120" t="s">
        <v>492</v>
      </c>
      <c r="O4525" s="28" t="str">
        <f>IF(D4525="","",IF(COUNTIF(离职清单!C:C,D4525)&gt;0,"已离职","在职"))</f>
        <v>在职</v>
      </c>
      <c r="P4525" s="28" t="str">
        <f>IF(AND(O4525="在职",J4525="是"),COUNTIF(O$2:O4525,"在职"),"")</f>
        <v/>
      </c>
    </row>
    <row r="4526" spans="1:16">
      <c r="A4526" s="10" t="str">
        <f t="shared" si="76"/>
        <v/>
      </c>
      <c r="D4526" s="120" t="s">
        <v>477</v>
      </c>
      <c r="O4526" s="28" t="str">
        <f>IF(D4526="","",IF(COUNTIF(离职清单!C:C,D4526)&gt;0,"已离职","在职"))</f>
        <v>在职</v>
      </c>
      <c r="P4526" s="28" t="str">
        <f>IF(AND(O4526="在职",J4526="是"),COUNTIF(O$2:O4526,"在职"),"")</f>
        <v/>
      </c>
    </row>
    <row r="4527" spans="1:16">
      <c r="A4527" s="14" t="str">
        <f t="shared" si="76"/>
        <v/>
      </c>
      <c r="D4527" s="120" t="s">
        <v>477</v>
      </c>
      <c r="O4527" s="28" t="str">
        <f>IF(D4527="","",IF(COUNTIF(离职清单!C:C,D4527)&gt;0,"已离职","在职"))</f>
        <v>在职</v>
      </c>
      <c r="P4527" s="28" t="str">
        <f>IF(AND(O4527="在职",J4527="是"),COUNTIF(O$2:O4527,"在职"),"")</f>
        <v/>
      </c>
    </row>
    <row r="4528" spans="1:16">
      <c r="A4528" s="10" t="str">
        <f t="shared" si="76"/>
        <v/>
      </c>
      <c r="D4528" s="120" t="s">
        <v>478</v>
      </c>
      <c r="O4528" s="28" t="str">
        <f>IF(D4528="","",IF(COUNTIF(离职清单!C:C,D4528)&gt;0,"已离职","在职"))</f>
        <v>在职</v>
      </c>
      <c r="P4528" s="28" t="str">
        <f>IF(AND(O4528="在职",J4528="是"),COUNTIF(O$2:O4528,"在职"),"")</f>
        <v/>
      </c>
    </row>
    <row r="4529" spans="1:16">
      <c r="A4529" s="14" t="str">
        <f t="shared" si="76"/>
        <v/>
      </c>
      <c r="D4529" s="120" t="s">
        <v>480</v>
      </c>
      <c r="O4529" s="28" t="str">
        <f>IF(D4529="","",IF(COUNTIF(离职清单!C:C,D4529)&gt;0,"已离职","在职"))</f>
        <v>在职</v>
      </c>
      <c r="P4529" s="28" t="str">
        <f>IF(AND(O4529="在职",J4529="是"),COUNTIF(O$2:O4529,"在职"),"")</f>
        <v/>
      </c>
    </row>
    <row r="4530" spans="1:16">
      <c r="A4530" s="10" t="str">
        <f t="shared" si="76"/>
        <v/>
      </c>
      <c r="D4530" s="120" t="s">
        <v>482</v>
      </c>
      <c r="O4530" s="28" t="str">
        <f>IF(D4530="","",IF(COUNTIF(离职清单!C:C,D4530)&gt;0,"已离职","在职"))</f>
        <v>在职</v>
      </c>
      <c r="P4530" s="28" t="str">
        <f>IF(AND(O4530="在职",J4530="是"),COUNTIF(O$2:O4530,"在职"),"")</f>
        <v/>
      </c>
    </row>
    <row r="4531" spans="1:16">
      <c r="A4531" s="14" t="str">
        <f t="shared" si="76"/>
        <v/>
      </c>
      <c r="D4531" s="120" t="s">
        <v>484</v>
      </c>
      <c r="O4531" s="28" t="str">
        <f>IF(D4531="","",IF(COUNTIF(离职清单!C:C,D4531)&gt;0,"已离职","在职"))</f>
        <v>在职</v>
      </c>
      <c r="P4531" s="28" t="str">
        <f>IF(AND(O4531="在职",J4531="是"),COUNTIF(O$2:O4531,"在职"),"")</f>
        <v/>
      </c>
    </row>
    <row r="4532" spans="1:16">
      <c r="A4532" s="10" t="str">
        <f t="shared" si="76"/>
        <v/>
      </c>
      <c r="D4532" s="120" t="s">
        <v>486</v>
      </c>
      <c r="O4532" s="28" t="str">
        <f>IF(D4532="","",IF(COUNTIF(离职清单!C:C,D4532)&gt;0,"已离职","在职"))</f>
        <v>在职</v>
      </c>
      <c r="P4532" s="28" t="str">
        <f>IF(AND(O4532="在职",J4532="是"),COUNTIF(O$2:O4532,"在职"),"")</f>
        <v/>
      </c>
    </row>
    <row r="4533" spans="1:16">
      <c r="A4533" s="14" t="str">
        <f t="shared" si="76"/>
        <v/>
      </c>
      <c r="D4533" s="120" t="s">
        <v>488</v>
      </c>
      <c r="O4533" s="28" t="str">
        <f>IF(D4533="","",IF(COUNTIF(离职清单!C:C,D4533)&gt;0,"已离职","在职"))</f>
        <v>在职</v>
      </c>
      <c r="P4533" s="28" t="str">
        <f>IF(AND(O4533="在职",J4533="是"),COUNTIF(O$2:O4533,"在职"),"")</f>
        <v/>
      </c>
    </row>
    <row r="4534" spans="1:16">
      <c r="A4534" s="10" t="str">
        <f t="shared" si="76"/>
        <v/>
      </c>
      <c r="D4534" s="120" t="s">
        <v>490</v>
      </c>
      <c r="O4534" s="28" t="str">
        <f>IF(D4534="","",IF(COUNTIF(离职清单!C:C,D4534)&gt;0,"已离职","在职"))</f>
        <v>在职</v>
      </c>
      <c r="P4534" s="28" t="str">
        <f>IF(AND(O4534="在职",J4534="是"),COUNTIF(O$2:O4534,"在职"),"")</f>
        <v/>
      </c>
    </row>
    <row r="4535" spans="1:16">
      <c r="A4535" s="14" t="str">
        <f t="shared" si="76"/>
        <v/>
      </c>
      <c r="D4535" s="120" t="s">
        <v>492</v>
      </c>
      <c r="O4535" s="28" t="str">
        <f>IF(D4535="","",IF(COUNTIF(离职清单!C:C,D4535)&gt;0,"已离职","在职"))</f>
        <v>在职</v>
      </c>
      <c r="P4535" s="28" t="str">
        <f>IF(AND(O4535="在职",J4535="是"),COUNTIF(O$2:O4535,"在职"),"")</f>
        <v/>
      </c>
    </row>
    <row r="4536" spans="1:16">
      <c r="A4536" s="10" t="str">
        <f t="shared" si="76"/>
        <v/>
      </c>
      <c r="D4536" s="120" t="s">
        <v>477</v>
      </c>
      <c r="O4536" s="28" t="str">
        <f>IF(D4536="","",IF(COUNTIF(离职清单!C:C,D4536)&gt;0,"已离职","在职"))</f>
        <v>在职</v>
      </c>
      <c r="P4536" s="28" t="str">
        <f>IF(AND(O4536="在职",J4536="是"),COUNTIF(O$2:O4536,"在职"),"")</f>
        <v/>
      </c>
    </row>
    <row r="4537" spans="1:16">
      <c r="A4537" s="14" t="str">
        <f t="shared" si="76"/>
        <v/>
      </c>
      <c r="D4537" s="120" t="s">
        <v>478</v>
      </c>
      <c r="O4537" s="28" t="str">
        <f>IF(D4537="","",IF(COUNTIF(离职清单!C:C,D4537)&gt;0,"已离职","在职"))</f>
        <v>在职</v>
      </c>
      <c r="P4537" s="28" t="str">
        <f>IF(AND(O4537="在职",J4537="是"),COUNTIF(O$2:O4537,"在职"),"")</f>
        <v/>
      </c>
    </row>
    <row r="4538" spans="1:16">
      <c r="A4538" s="10" t="str">
        <f t="shared" si="76"/>
        <v/>
      </c>
      <c r="D4538" s="120" t="s">
        <v>480</v>
      </c>
      <c r="O4538" s="28" t="str">
        <f>IF(D4538="","",IF(COUNTIF(离职清单!C:C,D4538)&gt;0,"已离职","在职"))</f>
        <v>在职</v>
      </c>
      <c r="P4538" s="28" t="str">
        <f>IF(AND(O4538="在职",J4538="是"),COUNTIF(O$2:O4538,"在职"),"")</f>
        <v/>
      </c>
    </row>
    <row r="4539" spans="1:16">
      <c r="A4539" s="14" t="str">
        <f t="shared" si="76"/>
        <v/>
      </c>
      <c r="D4539" s="120" t="s">
        <v>482</v>
      </c>
      <c r="O4539" s="28" t="str">
        <f>IF(D4539="","",IF(COUNTIF(离职清单!C:C,D4539)&gt;0,"已离职","在职"))</f>
        <v>在职</v>
      </c>
      <c r="P4539" s="28" t="str">
        <f>IF(AND(O4539="在职",J4539="是"),COUNTIF(O$2:O4539,"在职"),"")</f>
        <v/>
      </c>
    </row>
    <row r="4540" spans="1:16">
      <c r="A4540" s="10" t="str">
        <f t="shared" si="76"/>
        <v/>
      </c>
      <c r="D4540" s="120" t="s">
        <v>484</v>
      </c>
      <c r="O4540" s="28" t="str">
        <f>IF(D4540="","",IF(COUNTIF(离职清单!C:C,D4540)&gt;0,"已离职","在职"))</f>
        <v>在职</v>
      </c>
      <c r="P4540" s="28" t="str">
        <f>IF(AND(O4540="在职",J4540="是"),COUNTIF(O$2:O4540,"在职"),"")</f>
        <v/>
      </c>
    </row>
    <row r="4541" spans="1:16">
      <c r="A4541" s="14" t="str">
        <f t="shared" si="76"/>
        <v/>
      </c>
      <c r="D4541" s="120" t="s">
        <v>486</v>
      </c>
      <c r="O4541" s="28" t="str">
        <f>IF(D4541="","",IF(COUNTIF(离职清单!C:C,D4541)&gt;0,"已离职","在职"))</f>
        <v>在职</v>
      </c>
      <c r="P4541" s="28" t="str">
        <f>IF(AND(O4541="在职",J4541="是"),COUNTIF(O$2:O4541,"在职"),"")</f>
        <v/>
      </c>
    </row>
    <row r="4542" spans="1:16">
      <c r="A4542" s="10" t="str">
        <f t="shared" si="76"/>
        <v/>
      </c>
      <c r="D4542" s="120" t="s">
        <v>488</v>
      </c>
      <c r="O4542" s="28" t="str">
        <f>IF(D4542="","",IF(COUNTIF(离职清单!C:C,D4542)&gt;0,"已离职","在职"))</f>
        <v>在职</v>
      </c>
      <c r="P4542" s="28" t="str">
        <f>IF(AND(O4542="在职",J4542="是"),COUNTIF(O$2:O4542,"在职"),"")</f>
        <v/>
      </c>
    </row>
    <row r="4543" spans="1:16">
      <c r="A4543" s="14" t="str">
        <f t="shared" si="76"/>
        <v/>
      </c>
      <c r="D4543" s="120" t="s">
        <v>490</v>
      </c>
      <c r="O4543" s="28" t="str">
        <f>IF(D4543="","",IF(COUNTIF(离职清单!C:C,D4543)&gt;0,"已离职","在职"))</f>
        <v>在职</v>
      </c>
      <c r="P4543" s="28" t="str">
        <f>IF(AND(O4543="在职",J4543="是"),COUNTIF(O$2:O4543,"在职"),"")</f>
        <v/>
      </c>
    </row>
    <row r="4544" spans="1:16">
      <c r="A4544" s="10" t="str">
        <f t="shared" si="76"/>
        <v/>
      </c>
      <c r="D4544" s="120" t="s">
        <v>492</v>
      </c>
      <c r="O4544" s="28" t="str">
        <f>IF(D4544="","",IF(COUNTIF(离职清单!C:C,D4544)&gt;0,"已离职","在职"))</f>
        <v>在职</v>
      </c>
      <c r="P4544" s="28" t="str">
        <f>IF(AND(O4544="在职",J4544="是"),COUNTIF(O$2:O4544,"在职"),"")</f>
        <v/>
      </c>
    </row>
    <row r="4545" spans="1:16">
      <c r="A4545" s="14" t="str">
        <f t="shared" si="76"/>
        <v/>
      </c>
      <c r="D4545" s="120" t="s">
        <v>477</v>
      </c>
      <c r="O4545" s="28" t="str">
        <f>IF(D4545="","",IF(COUNTIF(离职清单!C:C,D4545)&gt;0,"已离职","在职"))</f>
        <v>在职</v>
      </c>
      <c r="P4545" s="28" t="str">
        <f>IF(AND(O4545="在职",J4545="是"),COUNTIF(O$2:O4545,"在职"),"")</f>
        <v/>
      </c>
    </row>
    <row r="4546" spans="1:16">
      <c r="A4546" s="10" t="str">
        <f t="shared" si="76"/>
        <v/>
      </c>
      <c r="D4546" s="120" t="s">
        <v>478</v>
      </c>
      <c r="O4546" s="28" t="str">
        <f>IF(D4546="","",IF(COUNTIF(离职清单!C:C,D4546)&gt;0,"已离职","在职"))</f>
        <v>在职</v>
      </c>
      <c r="P4546" s="28" t="str">
        <f>IF(AND(O4546="在职",J4546="是"),COUNTIF(O$2:O4546,"在职"),"")</f>
        <v/>
      </c>
    </row>
    <row r="4547" spans="1:16">
      <c r="A4547" s="14" t="str">
        <f t="shared" si="76"/>
        <v/>
      </c>
      <c r="D4547" s="120" t="s">
        <v>480</v>
      </c>
      <c r="O4547" s="28" t="str">
        <f>IF(D4547="","",IF(COUNTIF(离职清单!C:C,D4547)&gt;0,"已离职","在职"))</f>
        <v>在职</v>
      </c>
      <c r="P4547" s="28" t="str">
        <f>IF(AND(O4547="在职",J4547="是"),COUNTIF(O$2:O4547,"在职"),"")</f>
        <v/>
      </c>
    </row>
    <row r="4548" spans="1:16">
      <c r="A4548" s="10" t="str">
        <f t="shared" si="76"/>
        <v/>
      </c>
      <c r="D4548" s="120" t="s">
        <v>482</v>
      </c>
      <c r="O4548" s="28" t="str">
        <f>IF(D4548="","",IF(COUNTIF(离职清单!C:C,D4548)&gt;0,"已离职","在职"))</f>
        <v>在职</v>
      </c>
      <c r="P4548" s="28" t="str">
        <f>IF(AND(O4548="在职",J4548="是"),COUNTIF(O$2:O4548,"在职"),"")</f>
        <v/>
      </c>
    </row>
    <row r="4549" spans="1:16">
      <c r="A4549" s="14" t="str">
        <f t="shared" si="76"/>
        <v/>
      </c>
      <c r="D4549" s="120" t="s">
        <v>484</v>
      </c>
      <c r="O4549" s="28" t="str">
        <f>IF(D4549="","",IF(COUNTIF(离职清单!C:C,D4549)&gt;0,"已离职","在职"))</f>
        <v>在职</v>
      </c>
      <c r="P4549" s="28" t="str">
        <f>IF(AND(O4549="在职",J4549="是"),COUNTIF(O$2:O4549,"在职"),"")</f>
        <v/>
      </c>
    </row>
    <row r="4550" spans="1:16">
      <c r="A4550" s="10" t="str">
        <f t="shared" si="76"/>
        <v/>
      </c>
      <c r="D4550" s="120" t="s">
        <v>486</v>
      </c>
      <c r="O4550" s="28" t="str">
        <f>IF(D4550="","",IF(COUNTIF(离职清单!C:C,D4550)&gt;0,"已离职","在职"))</f>
        <v>在职</v>
      </c>
      <c r="P4550" s="28" t="str">
        <f>IF(AND(O4550="在职",J4550="是"),COUNTIF(O$2:O4550,"在职"),"")</f>
        <v/>
      </c>
    </row>
    <row r="4551" spans="1:16">
      <c r="A4551" s="14" t="str">
        <f t="shared" si="76"/>
        <v/>
      </c>
      <c r="D4551" s="120" t="s">
        <v>488</v>
      </c>
      <c r="O4551" s="28" t="str">
        <f>IF(D4551="","",IF(COUNTIF(离职清单!C:C,D4551)&gt;0,"已离职","在职"))</f>
        <v>在职</v>
      </c>
      <c r="P4551" s="28" t="str">
        <f>IF(AND(O4551="在职",J4551="是"),COUNTIF(O$2:O4551,"在职"),"")</f>
        <v/>
      </c>
    </row>
    <row r="4552" spans="1:16">
      <c r="A4552" s="10" t="str">
        <f t="shared" si="76"/>
        <v/>
      </c>
      <c r="D4552" s="120" t="s">
        <v>490</v>
      </c>
      <c r="O4552" s="28" t="str">
        <f>IF(D4552="","",IF(COUNTIF(离职清单!C:C,D4552)&gt;0,"已离职","在职"))</f>
        <v>在职</v>
      </c>
      <c r="P4552" s="28" t="str">
        <f>IF(AND(O4552="在职",J4552="是"),COUNTIF(O$2:O4552,"在职"),"")</f>
        <v/>
      </c>
    </row>
    <row r="4553" spans="1:16">
      <c r="A4553" s="14" t="str">
        <f t="shared" si="76"/>
        <v/>
      </c>
      <c r="D4553" s="120" t="s">
        <v>492</v>
      </c>
      <c r="O4553" s="28" t="str">
        <f>IF(D4553="","",IF(COUNTIF(离职清单!C:C,D4553)&gt;0,"已离职","在职"))</f>
        <v>在职</v>
      </c>
      <c r="P4553" s="28" t="str">
        <f>IF(AND(O4553="在职",J4553="是"),COUNTIF(O$2:O4553,"在职"),"")</f>
        <v/>
      </c>
    </row>
    <row r="4554" spans="1:16">
      <c r="A4554" s="10" t="str">
        <f t="shared" si="76"/>
        <v/>
      </c>
      <c r="D4554" s="120" t="s">
        <v>477</v>
      </c>
      <c r="O4554" s="28" t="str">
        <f>IF(D4554="","",IF(COUNTIF(离职清单!C:C,D4554)&gt;0,"已离职","在职"))</f>
        <v>在职</v>
      </c>
      <c r="P4554" s="28" t="str">
        <f>IF(AND(O4554="在职",J4554="是"),COUNTIF(O$2:O4554,"在职"),"")</f>
        <v/>
      </c>
    </row>
    <row r="4555" spans="1:16">
      <c r="A4555" s="14" t="str">
        <f t="shared" si="76"/>
        <v/>
      </c>
      <c r="D4555" s="120" t="s">
        <v>478</v>
      </c>
      <c r="O4555" s="28" t="str">
        <f>IF(D4555="","",IF(COUNTIF(离职清单!C:C,D4555)&gt;0,"已离职","在职"))</f>
        <v>在职</v>
      </c>
      <c r="P4555" s="28" t="str">
        <f>IF(AND(O4555="在职",J4555="是"),COUNTIF(O$2:O4555,"在职"),"")</f>
        <v/>
      </c>
    </row>
    <row r="4556" spans="1:16">
      <c r="A4556" s="10" t="str">
        <f t="shared" si="76"/>
        <v/>
      </c>
      <c r="D4556" s="120" t="s">
        <v>480</v>
      </c>
      <c r="O4556" s="28" t="str">
        <f>IF(D4556="","",IF(COUNTIF(离职清单!C:C,D4556)&gt;0,"已离职","在职"))</f>
        <v>在职</v>
      </c>
      <c r="P4556" s="28" t="str">
        <f>IF(AND(O4556="在职",J4556="是"),COUNTIF(O$2:O4556,"在职"),"")</f>
        <v/>
      </c>
    </row>
    <row r="4557" spans="1:16">
      <c r="A4557" s="14" t="str">
        <f t="shared" si="76"/>
        <v/>
      </c>
      <c r="D4557" s="120" t="s">
        <v>482</v>
      </c>
      <c r="O4557" s="28" t="str">
        <f>IF(D4557="","",IF(COUNTIF(离职清单!C:C,D4557)&gt;0,"已离职","在职"))</f>
        <v>在职</v>
      </c>
      <c r="P4557" s="28" t="str">
        <f>IF(AND(O4557="在职",J4557="是"),COUNTIF(O$2:O4557,"在职"),"")</f>
        <v/>
      </c>
    </row>
    <row r="4558" spans="1:16">
      <c r="A4558" s="10" t="str">
        <f t="shared" si="76"/>
        <v/>
      </c>
      <c r="D4558" s="120" t="s">
        <v>484</v>
      </c>
      <c r="O4558" s="28" t="str">
        <f>IF(D4558="","",IF(COUNTIF(离职清单!C:C,D4558)&gt;0,"已离职","在职"))</f>
        <v>在职</v>
      </c>
      <c r="P4558" s="28" t="str">
        <f>IF(AND(O4558="在职",J4558="是"),COUNTIF(O$2:O4558,"在职"),"")</f>
        <v/>
      </c>
    </row>
    <row r="4559" spans="1:16">
      <c r="A4559" s="14" t="str">
        <f t="shared" si="76"/>
        <v/>
      </c>
      <c r="D4559" s="120" t="s">
        <v>486</v>
      </c>
      <c r="O4559" s="28" t="str">
        <f>IF(D4559="","",IF(COUNTIF(离职清单!C:C,D4559)&gt;0,"已离职","在职"))</f>
        <v>在职</v>
      </c>
      <c r="P4559" s="28" t="str">
        <f>IF(AND(O4559="在职",J4559="是"),COUNTIF(O$2:O4559,"在职"),"")</f>
        <v/>
      </c>
    </row>
    <row r="4560" spans="1:16">
      <c r="A4560" s="10" t="str">
        <f t="shared" si="76"/>
        <v/>
      </c>
      <c r="D4560" s="120" t="s">
        <v>488</v>
      </c>
      <c r="O4560" s="28" t="str">
        <f>IF(D4560="","",IF(COUNTIF(离职清单!C:C,D4560)&gt;0,"已离职","在职"))</f>
        <v>在职</v>
      </c>
      <c r="P4560" s="28" t="str">
        <f>IF(AND(O4560="在职",J4560="是"),COUNTIF(O$2:O4560,"在职"),"")</f>
        <v/>
      </c>
    </row>
    <row r="4561" spans="1:16">
      <c r="A4561" s="14" t="str">
        <f t="shared" si="76"/>
        <v/>
      </c>
      <c r="D4561" s="120" t="s">
        <v>490</v>
      </c>
      <c r="O4561" s="28" t="str">
        <f>IF(D4561="","",IF(COUNTIF(离职清单!C:C,D4561)&gt;0,"已离职","在职"))</f>
        <v>在职</v>
      </c>
      <c r="P4561" s="28" t="str">
        <f>IF(AND(O4561="在职",J4561="是"),COUNTIF(O$2:O4561,"在职"),"")</f>
        <v/>
      </c>
    </row>
    <row r="4562" spans="1:16">
      <c r="A4562" s="10" t="str">
        <f t="shared" si="76"/>
        <v/>
      </c>
      <c r="D4562" s="120" t="s">
        <v>492</v>
      </c>
      <c r="O4562" s="28" t="str">
        <f>IF(D4562="","",IF(COUNTIF(离职清单!C:C,D4562)&gt;0,"已离职","在职"))</f>
        <v>在职</v>
      </c>
      <c r="P4562" s="28" t="str">
        <f>IF(AND(O4562="在职",J4562="是"),COUNTIF(O$2:O4562,"在职"),"")</f>
        <v/>
      </c>
    </row>
    <row r="4563" spans="1:16">
      <c r="A4563" s="14" t="str">
        <f t="shared" si="76"/>
        <v/>
      </c>
      <c r="D4563" s="120" t="s">
        <v>477</v>
      </c>
      <c r="O4563" s="28" t="str">
        <f>IF(D4563="","",IF(COUNTIF(离职清单!C:C,D4563)&gt;0,"已离职","在职"))</f>
        <v>在职</v>
      </c>
      <c r="P4563" s="28" t="str">
        <f>IF(AND(O4563="在职",J4563="是"),COUNTIF(O$2:O4563,"在职"),"")</f>
        <v/>
      </c>
    </row>
    <row r="4564" spans="1:16">
      <c r="A4564" s="10" t="str">
        <f t="shared" si="76"/>
        <v/>
      </c>
      <c r="D4564" s="120" t="s">
        <v>478</v>
      </c>
      <c r="O4564" s="28" t="str">
        <f>IF(D4564="","",IF(COUNTIF(离职清单!C:C,D4564)&gt;0,"已离职","在职"))</f>
        <v>在职</v>
      </c>
      <c r="P4564" s="28" t="str">
        <f>IF(AND(O4564="在职",J4564="是"),COUNTIF(O$2:O4564,"在职"),"")</f>
        <v/>
      </c>
    </row>
    <row r="4565" spans="1:16">
      <c r="A4565" s="14" t="str">
        <f t="shared" si="76"/>
        <v/>
      </c>
      <c r="D4565" s="120" t="s">
        <v>480</v>
      </c>
      <c r="O4565" s="28" t="str">
        <f>IF(D4565="","",IF(COUNTIF(离职清单!C:C,D4565)&gt;0,"已离职","在职"))</f>
        <v>在职</v>
      </c>
      <c r="P4565" s="28" t="str">
        <f>IF(AND(O4565="在职",J4565="是"),COUNTIF(O$2:O4565,"在职"),"")</f>
        <v/>
      </c>
    </row>
    <row r="4566" spans="1:16">
      <c r="A4566" s="10" t="str">
        <f t="shared" si="76"/>
        <v/>
      </c>
      <c r="D4566" s="120" t="s">
        <v>482</v>
      </c>
      <c r="O4566" s="28" t="str">
        <f>IF(D4566="","",IF(COUNTIF(离职清单!C:C,D4566)&gt;0,"已离职","在职"))</f>
        <v>在职</v>
      </c>
      <c r="P4566" s="28" t="str">
        <f>IF(AND(O4566="在职",J4566="是"),COUNTIF(O$2:O4566,"在职"),"")</f>
        <v/>
      </c>
    </row>
    <row r="4567" spans="1:16">
      <c r="A4567" s="14" t="str">
        <f t="shared" si="76"/>
        <v/>
      </c>
      <c r="D4567" s="120" t="s">
        <v>484</v>
      </c>
      <c r="O4567" s="28" t="str">
        <f>IF(D4567="","",IF(COUNTIF(离职清单!C:C,D4567)&gt;0,"已离职","在职"))</f>
        <v>在职</v>
      </c>
      <c r="P4567" s="28" t="str">
        <f>IF(AND(O4567="在职",J4567="是"),COUNTIF(O$2:O4567,"在职"),"")</f>
        <v/>
      </c>
    </row>
    <row r="4568" spans="1:16">
      <c r="A4568" s="10" t="str">
        <f t="shared" si="76"/>
        <v/>
      </c>
      <c r="D4568" s="120" t="s">
        <v>486</v>
      </c>
      <c r="O4568" s="28" t="str">
        <f>IF(D4568="","",IF(COUNTIF(离职清单!C:C,D4568)&gt;0,"已离职","在职"))</f>
        <v>在职</v>
      </c>
      <c r="P4568" s="28" t="str">
        <f>IF(AND(O4568="在职",J4568="是"),COUNTIF(O$2:O4568,"在职"),"")</f>
        <v/>
      </c>
    </row>
    <row r="4569" spans="1:16">
      <c r="A4569" s="14" t="str">
        <f t="shared" si="76"/>
        <v/>
      </c>
      <c r="D4569" s="120" t="s">
        <v>488</v>
      </c>
      <c r="O4569" s="28" t="str">
        <f>IF(D4569="","",IF(COUNTIF(离职清单!C:C,D4569)&gt;0,"已离职","在职"))</f>
        <v>在职</v>
      </c>
      <c r="P4569" s="28" t="str">
        <f>IF(AND(O4569="在职",J4569="是"),COUNTIF(O$2:O4569,"在职"),"")</f>
        <v/>
      </c>
    </row>
    <row r="4570" spans="1:16">
      <c r="A4570" s="10" t="str">
        <f t="shared" si="76"/>
        <v/>
      </c>
      <c r="D4570" s="120" t="s">
        <v>490</v>
      </c>
      <c r="O4570" s="28" t="str">
        <f>IF(D4570="","",IF(COUNTIF(离职清单!C:C,D4570)&gt;0,"已离职","在职"))</f>
        <v>在职</v>
      </c>
      <c r="P4570" s="28" t="str">
        <f>IF(AND(O4570="在职",J4570="是"),COUNTIF(O$2:O4570,"在职"),"")</f>
        <v/>
      </c>
    </row>
    <row r="4571" spans="1:16">
      <c r="A4571" s="14" t="str">
        <f t="shared" si="76"/>
        <v/>
      </c>
      <c r="D4571" s="120" t="s">
        <v>492</v>
      </c>
      <c r="O4571" s="28" t="str">
        <f>IF(D4571="","",IF(COUNTIF(离职清单!C:C,D4571)&gt;0,"已离职","在职"))</f>
        <v>在职</v>
      </c>
      <c r="P4571" s="28" t="str">
        <f>IF(AND(O4571="在职",J4571="是"),COUNTIF(O$2:O4571,"在职"),"")</f>
        <v/>
      </c>
    </row>
    <row r="4572" spans="1:16">
      <c r="A4572" s="10" t="str">
        <f t="shared" si="76"/>
        <v/>
      </c>
      <c r="D4572" s="120" t="s">
        <v>477</v>
      </c>
      <c r="O4572" s="28" t="str">
        <f>IF(D4572="","",IF(COUNTIF(离职清单!C:C,D4572)&gt;0,"已离职","在职"))</f>
        <v>在职</v>
      </c>
      <c r="P4572" s="28" t="str">
        <f>IF(AND(O4572="在职",J4572="是"),COUNTIF(O$2:O4572,"在职"),"")</f>
        <v/>
      </c>
    </row>
    <row r="4573" spans="1:16">
      <c r="A4573" s="14" t="str">
        <f t="shared" si="76"/>
        <v/>
      </c>
      <c r="D4573" s="120" t="s">
        <v>478</v>
      </c>
      <c r="O4573" s="28" t="str">
        <f>IF(D4573="","",IF(COUNTIF(离职清单!C:C,D4573)&gt;0,"已离职","在职"))</f>
        <v>在职</v>
      </c>
      <c r="P4573" s="28" t="str">
        <f>IF(AND(O4573="在职",J4573="是"),COUNTIF(O$2:O4573,"在职"),"")</f>
        <v/>
      </c>
    </row>
    <row r="4574" spans="1:16">
      <c r="A4574" s="10" t="str">
        <f t="shared" si="76"/>
        <v/>
      </c>
      <c r="D4574" s="120" t="s">
        <v>480</v>
      </c>
      <c r="O4574" s="28" t="str">
        <f>IF(D4574="","",IF(COUNTIF(离职清单!C:C,D4574)&gt;0,"已离职","在职"))</f>
        <v>在职</v>
      </c>
      <c r="P4574" s="28" t="str">
        <f>IF(AND(O4574="在职",J4574="是"),COUNTIF(O$2:O4574,"在职"),"")</f>
        <v/>
      </c>
    </row>
    <row r="4575" spans="1:16">
      <c r="A4575" s="14" t="str">
        <f t="shared" si="76"/>
        <v/>
      </c>
      <c r="D4575" s="120" t="s">
        <v>482</v>
      </c>
      <c r="O4575" s="28" t="str">
        <f>IF(D4575="","",IF(COUNTIF(离职清单!C:C,D4575)&gt;0,"已离职","在职"))</f>
        <v>在职</v>
      </c>
      <c r="P4575" s="28" t="str">
        <f>IF(AND(O4575="在职",J4575="是"),COUNTIF(O$2:O4575,"在职"),"")</f>
        <v/>
      </c>
    </row>
    <row r="4576" spans="1:16">
      <c r="A4576" s="10" t="str">
        <f t="shared" si="76"/>
        <v/>
      </c>
      <c r="D4576" s="120" t="s">
        <v>484</v>
      </c>
      <c r="O4576" s="28" t="str">
        <f>IF(D4576="","",IF(COUNTIF(离职清单!C:C,D4576)&gt;0,"已离职","在职"))</f>
        <v>在职</v>
      </c>
      <c r="P4576" s="28" t="str">
        <f>IF(AND(O4576="在职",J4576="是"),COUNTIF(O$2:O4576,"在职"),"")</f>
        <v/>
      </c>
    </row>
    <row r="4577" spans="1:16">
      <c r="A4577" s="14" t="str">
        <f t="shared" si="76"/>
        <v/>
      </c>
      <c r="D4577" s="120" t="s">
        <v>486</v>
      </c>
      <c r="O4577" s="28" t="str">
        <f>IF(D4577="","",IF(COUNTIF(离职清单!C:C,D4577)&gt;0,"已离职","在职"))</f>
        <v>在职</v>
      </c>
      <c r="P4577" s="28" t="str">
        <f>IF(AND(O4577="在职",J4577="是"),COUNTIF(O$2:O4577,"在职"),"")</f>
        <v/>
      </c>
    </row>
    <row r="4578" spans="1:16">
      <c r="A4578" s="10" t="str">
        <f t="shared" si="76"/>
        <v/>
      </c>
      <c r="D4578" s="120" t="s">
        <v>488</v>
      </c>
      <c r="O4578" s="28" t="str">
        <f>IF(D4578="","",IF(COUNTIF(离职清单!C:C,D4578)&gt;0,"已离职","在职"))</f>
        <v>在职</v>
      </c>
      <c r="P4578" s="28" t="str">
        <f>IF(AND(O4578="在职",J4578="是"),COUNTIF(O$2:O4578,"在职"),"")</f>
        <v/>
      </c>
    </row>
    <row r="4579" spans="1:16">
      <c r="A4579" s="14" t="str">
        <f t="shared" si="76"/>
        <v/>
      </c>
      <c r="D4579" s="120" t="s">
        <v>490</v>
      </c>
      <c r="O4579" s="28" t="str">
        <f>IF(D4579="","",IF(COUNTIF(离职清单!C:C,D4579)&gt;0,"已离职","在职"))</f>
        <v>在职</v>
      </c>
      <c r="P4579" s="28" t="str">
        <f>IF(AND(O4579="在职",J4579="是"),COUNTIF(O$2:O4579,"在职"),"")</f>
        <v/>
      </c>
    </row>
    <row r="4580" spans="1:16">
      <c r="A4580" s="10" t="str">
        <f t="shared" si="76"/>
        <v/>
      </c>
      <c r="D4580" s="120" t="s">
        <v>492</v>
      </c>
      <c r="O4580" s="28" t="str">
        <f>IF(D4580="","",IF(COUNTIF(离职清单!C:C,D4580)&gt;0,"已离职","在职"))</f>
        <v>在职</v>
      </c>
      <c r="P4580" s="28" t="str">
        <f>IF(AND(O4580="在职",J4580="是"),COUNTIF(O$2:O4580,"在职"),"")</f>
        <v/>
      </c>
    </row>
    <row r="4581" spans="1:16">
      <c r="A4581" s="14" t="str">
        <f t="shared" si="76"/>
        <v/>
      </c>
      <c r="D4581" s="120" t="s">
        <v>477</v>
      </c>
      <c r="O4581" s="28" t="str">
        <f>IF(D4581="","",IF(COUNTIF(离职清单!C:C,D4581)&gt;0,"已离职","在职"))</f>
        <v>在职</v>
      </c>
      <c r="P4581" s="28" t="str">
        <f>IF(AND(O4581="在职",J4581="是"),COUNTIF(O$2:O4581,"在职"),"")</f>
        <v/>
      </c>
    </row>
    <row r="4582" spans="1:16">
      <c r="A4582" s="10" t="str">
        <f t="shared" si="76"/>
        <v/>
      </c>
      <c r="D4582" s="120" t="s">
        <v>477</v>
      </c>
      <c r="O4582" s="28" t="str">
        <f>IF(D4582="","",IF(COUNTIF(离职清单!C:C,D4582)&gt;0,"已离职","在职"))</f>
        <v>在职</v>
      </c>
      <c r="P4582" s="28" t="str">
        <f>IF(AND(O4582="在职",J4582="是"),COUNTIF(O$2:O4582,"在职"),"")</f>
        <v/>
      </c>
    </row>
    <row r="4583" spans="1:16">
      <c r="A4583" s="14" t="str">
        <f t="shared" si="76"/>
        <v/>
      </c>
      <c r="D4583" s="120" t="s">
        <v>478</v>
      </c>
      <c r="O4583" s="28" t="str">
        <f>IF(D4583="","",IF(COUNTIF(离职清单!C:C,D4583)&gt;0,"已离职","在职"))</f>
        <v>在职</v>
      </c>
      <c r="P4583" s="28" t="str">
        <f>IF(AND(O4583="在职",J4583="是"),COUNTIF(O$2:O4583,"在职"),"")</f>
        <v/>
      </c>
    </row>
    <row r="4584" spans="1:16">
      <c r="A4584" s="10" t="str">
        <f t="shared" si="76"/>
        <v/>
      </c>
      <c r="D4584" s="120" t="s">
        <v>480</v>
      </c>
      <c r="O4584" s="28" t="str">
        <f>IF(D4584="","",IF(COUNTIF(离职清单!C:C,D4584)&gt;0,"已离职","在职"))</f>
        <v>在职</v>
      </c>
      <c r="P4584" s="28" t="str">
        <f>IF(AND(O4584="在职",J4584="是"),COUNTIF(O$2:O4584,"在职"),"")</f>
        <v/>
      </c>
    </row>
    <row r="4585" spans="1:16">
      <c r="A4585" s="14" t="str">
        <f t="shared" si="76"/>
        <v/>
      </c>
      <c r="D4585" s="120" t="s">
        <v>482</v>
      </c>
      <c r="O4585" s="28" t="str">
        <f>IF(D4585="","",IF(COUNTIF(离职清单!C:C,D4585)&gt;0,"已离职","在职"))</f>
        <v>在职</v>
      </c>
      <c r="P4585" s="28" t="str">
        <f>IF(AND(O4585="在职",J4585="是"),COUNTIF(O$2:O4585,"在职"),"")</f>
        <v/>
      </c>
    </row>
    <row r="4586" spans="1:16">
      <c r="A4586" s="10" t="str">
        <f t="shared" si="76"/>
        <v/>
      </c>
      <c r="D4586" s="120" t="s">
        <v>484</v>
      </c>
      <c r="O4586" s="28" t="str">
        <f>IF(D4586="","",IF(COUNTIF(离职清单!C:C,D4586)&gt;0,"已离职","在职"))</f>
        <v>在职</v>
      </c>
      <c r="P4586" s="28" t="str">
        <f>IF(AND(O4586="在职",J4586="是"),COUNTIF(O$2:O4586,"在职"),"")</f>
        <v/>
      </c>
    </row>
    <row r="4587" spans="1:16">
      <c r="A4587" s="14" t="str">
        <f t="shared" si="76"/>
        <v/>
      </c>
      <c r="D4587" s="120" t="s">
        <v>486</v>
      </c>
      <c r="O4587" s="28" t="str">
        <f>IF(D4587="","",IF(COUNTIF(离职清单!C:C,D4587)&gt;0,"已离职","在职"))</f>
        <v>在职</v>
      </c>
      <c r="P4587" s="28" t="str">
        <f>IF(AND(O4587="在职",J4587="是"),COUNTIF(O$2:O4587,"在职"),"")</f>
        <v/>
      </c>
    </row>
    <row r="4588" spans="1:16">
      <c r="A4588" s="10" t="str">
        <f t="shared" ref="A4588:A4651" si="77">IF(B4588&lt;&gt;"",ROW()-1,"")</f>
        <v/>
      </c>
      <c r="D4588" s="120" t="s">
        <v>488</v>
      </c>
      <c r="O4588" s="28" t="str">
        <f>IF(D4588="","",IF(COUNTIF(离职清单!C:C,D4588)&gt;0,"已离职","在职"))</f>
        <v>在职</v>
      </c>
      <c r="P4588" s="28" t="str">
        <f>IF(AND(O4588="在职",J4588="是"),COUNTIF(O$2:O4588,"在职"),"")</f>
        <v/>
      </c>
    </row>
    <row r="4589" spans="1:16">
      <c r="A4589" s="14" t="str">
        <f t="shared" si="77"/>
        <v/>
      </c>
      <c r="D4589" s="120" t="s">
        <v>490</v>
      </c>
      <c r="O4589" s="28" t="str">
        <f>IF(D4589="","",IF(COUNTIF(离职清单!C:C,D4589)&gt;0,"已离职","在职"))</f>
        <v>在职</v>
      </c>
      <c r="P4589" s="28" t="str">
        <f>IF(AND(O4589="在职",J4589="是"),COUNTIF(O$2:O4589,"在职"),"")</f>
        <v/>
      </c>
    </row>
    <row r="4590" spans="1:16">
      <c r="A4590" s="10" t="str">
        <f t="shared" si="77"/>
        <v/>
      </c>
      <c r="D4590" s="120" t="s">
        <v>492</v>
      </c>
      <c r="O4590" s="28" t="str">
        <f>IF(D4590="","",IF(COUNTIF(离职清单!C:C,D4590)&gt;0,"已离职","在职"))</f>
        <v>在职</v>
      </c>
      <c r="P4590" s="28" t="str">
        <f>IF(AND(O4590="在职",J4590="是"),COUNTIF(O$2:O4590,"在职"),"")</f>
        <v/>
      </c>
    </row>
    <row r="4591" spans="1:16">
      <c r="A4591" s="14" t="str">
        <f t="shared" si="77"/>
        <v/>
      </c>
      <c r="D4591" s="120" t="s">
        <v>477</v>
      </c>
      <c r="O4591" s="28" t="str">
        <f>IF(D4591="","",IF(COUNTIF(离职清单!C:C,D4591)&gt;0,"已离职","在职"))</f>
        <v>在职</v>
      </c>
      <c r="P4591" s="28" t="str">
        <f>IF(AND(O4591="在职",J4591="是"),COUNTIF(O$2:O4591,"在职"),"")</f>
        <v/>
      </c>
    </row>
    <row r="4592" spans="1:16">
      <c r="A4592" s="10" t="str">
        <f t="shared" si="77"/>
        <v/>
      </c>
      <c r="D4592" s="120" t="s">
        <v>478</v>
      </c>
      <c r="O4592" s="28" t="str">
        <f>IF(D4592="","",IF(COUNTIF(离职清单!C:C,D4592)&gt;0,"已离职","在职"))</f>
        <v>在职</v>
      </c>
      <c r="P4592" s="28" t="str">
        <f>IF(AND(O4592="在职",J4592="是"),COUNTIF(O$2:O4592,"在职"),"")</f>
        <v/>
      </c>
    </row>
    <row r="4593" spans="1:16">
      <c r="A4593" s="14" t="str">
        <f t="shared" si="77"/>
        <v/>
      </c>
      <c r="D4593" s="120" t="s">
        <v>480</v>
      </c>
      <c r="O4593" s="28" t="str">
        <f>IF(D4593="","",IF(COUNTIF(离职清单!C:C,D4593)&gt;0,"已离职","在职"))</f>
        <v>在职</v>
      </c>
      <c r="P4593" s="28" t="str">
        <f>IF(AND(O4593="在职",J4593="是"),COUNTIF(O$2:O4593,"在职"),"")</f>
        <v/>
      </c>
    </row>
    <row r="4594" spans="1:16">
      <c r="A4594" s="10" t="str">
        <f t="shared" si="77"/>
        <v/>
      </c>
      <c r="D4594" s="120" t="s">
        <v>482</v>
      </c>
      <c r="O4594" s="28" t="str">
        <f>IF(D4594="","",IF(COUNTIF(离职清单!C:C,D4594)&gt;0,"已离职","在职"))</f>
        <v>在职</v>
      </c>
      <c r="P4594" s="28" t="str">
        <f>IF(AND(O4594="在职",J4594="是"),COUNTIF(O$2:O4594,"在职"),"")</f>
        <v/>
      </c>
    </row>
    <row r="4595" spans="1:16">
      <c r="A4595" s="14" t="str">
        <f t="shared" si="77"/>
        <v/>
      </c>
      <c r="D4595" s="120" t="s">
        <v>484</v>
      </c>
      <c r="O4595" s="28" t="str">
        <f>IF(D4595="","",IF(COUNTIF(离职清单!C:C,D4595)&gt;0,"已离职","在职"))</f>
        <v>在职</v>
      </c>
      <c r="P4595" s="28" t="str">
        <f>IF(AND(O4595="在职",J4595="是"),COUNTIF(O$2:O4595,"在职"),"")</f>
        <v/>
      </c>
    </row>
    <row r="4596" spans="1:16">
      <c r="A4596" s="10" t="str">
        <f t="shared" si="77"/>
        <v/>
      </c>
      <c r="D4596" s="120" t="s">
        <v>486</v>
      </c>
      <c r="O4596" s="28" t="str">
        <f>IF(D4596="","",IF(COUNTIF(离职清单!C:C,D4596)&gt;0,"已离职","在职"))</f>
        <v>在职</v>
      </c>
      <c r="P4596" s="28" t="str">
        <f>IF(AND(O4596="在职",J4596="是"),COUNTIF(O$2:O4596,"在职"),"")</f>
        <v/>
      </c>
    </row>
    <row r="4597" spans="1:16">
      <c r="A4597" s="14" t="str">
        <f t="shared" si="77"/>
        <v/>
      </c>
      <c r="D4597" s="120" t="s">
        <v>488</v>
      </c>
      <c r="O4597" s="28" t="str">
        <f>IF(D4597="","",IF(COUNTIF(离职清单!C:C,D4597)&gt;0,"已离职","在职"))</f>
        <v>在职</v>
      </c>
      <c r="P4597" s="28" t="str">
        <f>IF(AND(O4597="在职",J4597="是"),COUNTIF(O$2:O4597,"在职"),"")</f>
        <v/>
      </c>
    </row>
    <row r="4598" spans="1:16">
      <c r="A4598" s="10" t="str">
        <f t="shared" si="77"/>
        <v/>
      </c>
      <c r="D4598" s="120" t="s">
        <v>490</v>
      </c>
      <c r="O4598" s="28" t="str">
        <f>IF(D4598="","",IF(COUNTIF(离职清单!C:C,D4598)&gt;0,"已离职","在职"))</f>
        <v>在职</v>
      </c>
      <c r="P4598" s="28" t="str">
        <f>IF(AND(O4598="在职",J4598="是"),COUNTIF(O$2:O4598,"在职"),"")</f>
        <v/>
      </c>
    </row>
    <row r="4599" spans="1:16">
      <c r="A4599" s="14" t="str">
        <f t="shared" si="77"/>
        <v/>
      </c>
      <c r="D4599" s="120" t="s">
        <v>492</v>
      </c>
      <c r="O4599" s="28" t="str">
        <f>IF(D4599="","",IF(COUNTIF(离职清单!C:C,D4599)&gt;0,"已离职","在职"))</f>
        <v>在职</v>
      </c>
      <c r="P4599" s="28" t="str">
        <f>IF(AND(O4599="在职",J4599="是"),COUNTIF(O$2:O4599,"在职"),"")</f>
        <v/>
      </c>
    </row>
    <row r="4600" spans="1:16">
      <c r="A4600" s="10" t="str">
        <f t="shared" si="77"/>
        <v/>
      </c>
      <c r="D4600" s="120" t="s">
        <v>477</v>
      </c>
      <c r="O4600" s="28" t="str">
        <f>IF(D4600="","",IF(COUNTIF(离职清单!C:C,D4600)&gt;0,"已离职","在职"))</f>
        <v>在职</v>
      </c>
      <c r="P4600" s="28" t="str">
        <f>IF(AND(O4600="在职",J4600="是"),COUNTIF(O$2:O4600,"在职"),"")</f>
        <v/>
      </c>
    </row>
    <row r="4601" spans="1:16">
      <c r="A4601" s="14" t="str">
        <f t="shared" si="77"/>
        <v/>
      </c>
      <c r="D4601" s="120" t="s">
        <v>478</v>
      </c>
      <c r="O4601" s="28" t="str">
        <f>IF(D4601="","",IF(COUNTIF(离职清单!C:C,D4601)&gt;0,"已离职","在职"))</f>
        <v>在职</v>
      </c>
      <c r="P4601" s="28" t="str">
        <f>IF(AND(O4601="在职",J4601="是"),COUNTIF(O$2:O4601,"在职"),"")</f>
        <v/>
      </c>
    </row>
    <row r="4602" spans="1:16">
      <c r="A4602" s="10" t="str">
        <f t="shared" si="77"/>
        <v/>
      </c>
      <c r="D4602" s="120" t="s">
        <v>480</v>
      </c>
      <c r="O4602" s="28" t="str">
        <f>IF(D4602="","",IF(COUNTIF(离职清单!C:C,D4602)&gt;0,"已离职","在职"))</f>
        <v>在职</v>
      </c>
      <c r="P4602" s="28" t="str">
        <f>IF(AND(O4602="在职",J4602="是"),COUNTIF(O$2:O4602,"在职"),"")</f>
        <v/>
      </c>
    </row>
    <row r="4603" spans="1:16">
      <c r="A4603" s="14" t="str">
        <f t="shared" si="77"/>
        <v/>
      </c>
      <c r="D4603" s="120" t="s">
        <v>482</v>
      </c>
      <c r="O4603" s="28" t="str">
        <f>IF(D4603="","",IF(COUNTIF(离职清单!C:C,D4603)&gt;0,"已离职","在职"))</f>
        <v>在职</v>
      </c>
      <c r="P4603" s="28" t="str">
        <f>IF(AND(O4603="在职",J4603="是"),COUNTIF(O$2:O4603,"在职"),"")</f>
        <v/>
      </c>
    </row>
    <row r="4604" spans="1:16">
      <c r="A4604" s="10" t="str">
        <f t="shared" si="77"/>
        <v/>
      </c>
      <c r="D4604" s="120" t="s">
        <v>484</v>
      </c>
      <c r="O4604" s="28" t="str">
        <f>IF(D4604="","",IF(COUNTIF(离职清单!C:C,D4604)&gt;0,"已离职","在职"))</f>
        <v>在职</v>
      </c>
      <c r="P4604" s="28" t="str">
        <f>IF(AND(O4604="在职",J4604="是"),COUNTIF(O$2:O4604,"在职"),"")</f>
        <v/>
      </c>
    </row>
    <row r="4605" spans="1:16">
      <c r="A4605" s="14" t="str">
        <f t="shared" si="77"/>
        <v/>
      </c>
      <c r="D4605" s="120" t="s">
        <v>486</v>
      </c>
      <c r="O4605" s="28" t="str">
        <f>IF(D4605="","",IF(COUNTIF(离职清单!C:C,D4605)&gt;0,"已离职","在职"))</f>
        <v>在职</v>
      </c>
      <c r="P4605" s="28" t="str">
        <f>IF(AND(O4605="在职",J4605="是"),COUNTIF(O$2:O4605,"在职"),"")</f>
        <v/>
      </c>
    </row>
    <row r="4606" spans="1:16">
      <c r="A4606" s="10" t="str">
        <f t="shared" si="77"/>
        <v/>
      </c>
      <c r="D4606" s="120" t="s">
        <v>488</v>
      </c>
      <c r="O4606" s="28" t="str">
        <f>IF(D4606="","",IF(COUNTIF(离职清单!C:C,D4606)&gt;0,"已离职","在职"))</f>
        <v>在职</v>
      </c>
      <c r="P4606" s="28" t="str">
        <f>IF(AND(O4606="在职",J4606="是"),COUNTIF(O$2:O4606,"在职"),"")</f>
        <v/>
      </c>
    </row>
    <row r="4607" spans="1:16">
      <c r="A4607" s="14" t="str">
        <f t="shared" si="77"/>
        <v/>
      </c>
      <c r="D4607" s="120" t="s">
        <v>490</v>
      </c>
      <c r="O4607" s="28" t="str">
        <f>IF(D4607="","",IF(COUNTIF(离职清单!C:C,D4607)&gt;0,"已离职","在职"))</f>
        <v>在职</v>
      </c>
      <c r="P4607" s="28" t="str">
        <f>IF(AND(O4607="在职",J4607="是"),COUNTIF(O$2:O4607,"在职"),"")</f>
        <v/>
      </c>
    </row>
    <row r="4608" spans="1:16">
      <c r="A4608" s="10" t="str">
        <f t="shared" si="77"/>
        <v/>
      </c>
      <c r="D4608" s="120" t="s">
        <v>492</v>
      </c>
      <c r="O4608" s="28" t="str">
        <f>IF(D4608="","",IF(COUNTIF(离职清单!C:C,D4608)&gt;0,"已离职","在职"))</f>
        <v>在职</v>
      </c>
      <c r="P4608" s="28" t="str">
        <f>IF(AND(O4608="在职",J4608="是"),COUNTIF(O$2:O4608,"在职"),"")</f>
        <v/>
      </c>
    </row>
    <row r="4609" spans="1:16">
      <c r="A4609" s="14" t="str">
        <f t="shared" si="77"/>
        <v/>
      </c>
      <c r="D4609" s="120" t="s">
        <v>477</v>
      </c>
      <c r="O4609" s="28" t="str">
        <f>IF(D4609="","",IF(COUNTIF(离职清单!C:C,D4609)&gt;0,"已离职","在职"))</f>
        <v>在职</v>
      </c>
      <c r="P4609" s="28" t="str">
        <f>IF(AND(O4609="在职",J4609="是"),COUNTIF(O$2:O4609,"在职"),"")</f>
        <v/>
      </c>
    </row>
    <row r="4610" spans="1:16">
      <c r="A4610" s="10" t="str">
        <f t="shared" si="77"/>
        <v/>
      </c>
      <c r="D4610" s="120" t="s">
        <v>478</v>
      </c>
      <c r="O4610" s="28" t="str">
        <f>IF(D4610="","",IF(COUNTIF(离职清单!C:C,D4610)&gt;0,"已离职","在职"))</f>
        <v>在职</v>
      </c>
      <c r="P4610" s="28" t="str">
        <f>IF(AND(O4610="在职",J4610="是"),COUNTIF(O$2:O4610,"在职"),"")</f>
        <v/>
      </c>
    </row>
    <row r="4611" spans="1:16">
      <c r="A4611" s="14" t="str">
        <f t="shared" si="77"/>
        <v/>
      </c>
      <c r="D4611" s="120" t="s">
        <v>480</v>
      </c>
      <c r="O4611" s="28" t="str">
        <f>IF(D4611="","",IF(COUNTIF(离职清单!C:C,D4611)&gt;0,"已离职","在职"))</f>
        <v>在职</v>
      </c>
      <c r="P4611" s="28" t="str">
        <f>IF(AND(O4611="在职",J4611="是"),COUNTIF(O$2:O4611,"在职"),"")</f>
        <v/>
      </c>
    </row>
    <row r="4612" spans="1:16">
      <c r="A4612" s="10" t="str">
        <f t="shared" si="77"/>
        <v/>
      </c>
      <c r="D4612" s="120" t="s">
        <v>482</v>
      </c>
      <c r="O4612" s="28" t="str">
        <f>IF(D4612="","",IF(COUNTIF(离职清单!C:C,D4612)&gt;0,"已离职","在职"))</f>
        <v>在职</v>
      </c>
      <c r="P4612" s="28" t="str">
        <f>IF(AND(O4612="在职",J4612="是"),COUNTIF(O$2:O4612,"在职"),"")</f>
        <v/>
      </c>
    </row>
    <row r="4613" spans="1:16">
      <c r="A4613" s="14" t="str">
        <f t="shared" si="77"/>
        <v/>
      </c>
      <c r="D4613" s="120" t="s">
        <v>484</v>
      </c>
      <c r="O4613" s="28" t="str">
        <f>IF(D4613="","",IF(COUNTIF(离职清单!C:C,D4613)&gt;0,"已离职","在职"))</f>
        <v>在职</v>
      </c>
      <c r="P4613" s="28" t="str">
        <f>IF(AND(O4613="在职",J4613="是"),COUNTIF(O$2:O4613,"在职"),"")</f>
        <v/>
      </c>
    </row>
    <row r="4614" spans="1:16">
      <c r="A4614" s="10" t="str">
        <f t="shared" si="77"/>
        <v/>
      </c>
      <c r="D4614" s="120" t="s">
        <v>486</v>
      </c>
      <c r="O4614" s="28" t="str">
        <f>IF(D4614="","",IF(COUNTIF(离职清单!C:C,D4614)&gt;0,"已离职","在职"))</f>
        <v>在职</v>
      </c>
      <c r="P4614" s="28" t="str">
        <f>IF(AND(O4614="在职",J4614="是"),COUNTIF(O$2:O4614,"在职"),"")</f>
        <v/>
      </c>
    </row>
    <row r="4615" spans="1:16">
      <c r="A4615" s="14" t="str">
        <f t="shared" si="77"/>
        <v/>
      </c>
      <c r="D4615" s="120" t="s">
        <v>488</v>
      </c>
      <c r="O4615" s="28" t="str">
        <f>IF(D4615="","",IF(COUNTIF(离职清单!C:C,D4615)&gt;0,"已离职","在职"))</f>
        <v>在职</v>
      </c>
      <c r="P4615" s="28" t="str">
        <f>IF(AND(O4615="在职",J4615="是"),COUNTIF(O$2:O4615,"在职"),"")</f>
        <v/>
      </c>
    </row>
    <row r="4616" spans="1:16">
      <c r="A4616" s="10" t="str">
        <f t="shared" si="77"/>
        <v/>
      </c>
      <c r="D4616" s="120" t="s">
        <v>490</v>
      </c>
      <c r="O4616" s="28" t="str">
        <f>IF(D4616="","",IF(COUNTIF(离职清单!C:C,D4616)&gt;0,"已离职","在职"))</f>
        <v>在职</v>
      </c>
      <c r="P4616" s="28" t="str">
        <f>IF(AND(O4616="在职",J4616="是"),COUNTIF(O$2:O4616,"在职"),"")</f>
        <v/>
      </c>
    </row>
    <row r="4617" spans="1:16">
      <c r="A4617" s="14" t="str">
        <f t="shared" si="77"/>
        <v/>
      </c>
      <c r="D4617" s="120" t="s">
        <v>492</v>
      </c>
      <c r="O4617" s="28" t="str">
        <f>IF(D4617="","",IF(COUNTIF(离职清单!C:C,D4617)&gt;0,"已离职","在职"))</f>
        <v>在职</v>
      </c>
      <c r="P4617" s="28" t="str">
        <f>IF(AND(O4617="在职",J4617="是"),COUNTIF(O$2:O4617,"在职"),"")</f>
        <v/>
      </c>
    </row>
    <row r="4618" spans="1:16">
      <c r="A4618" s="10" t="str">
        <f t="shared" si="77"/>
        <v/>
      </c>
      <c r="D4618" s="120" t="s">
        <v>477</v>
      </c>
      <c r="O4618" s="28" t="str">
        <f>IF(D4618="","",IF(COUNTIF(离职清单!C:C,D4618)&gt;0,"已离职","在职"))</f>
        <v>在职</v>
      </c>
      <c r="P4618" s="28" t="str">
        <f>IF(AND(O4618="在职",J4618="是"),COUNTIF(O$2:O4618,"在职"),"")</f>
        <v/>
      </c>
    </row>
    <row r="4619" spans="1:16">
      <c r="A4619" s="14" t="str">
        <f t="shared" si="77"/>
        <v/>
      </c>
      <c r="D4619" s="120" t="s">
        <v>478</v>
      </c>
      <c r="O4619" s="28" t="str">
        <f>IF(D4619="","",IF(COUNTIF(离职清单!C:C,D4619)&gt;0,"已离职","在职"))</f>
        <v>在职</v>
      </c>
      <c r="P4619" s="28" t="str">
        <f>IF(AND(O4619="在职",J4619="是"),COUNTIF(O$2:O4619,"在职"),"")</f>
        <v/>
      </c>
    </row>
    <row r="4620" spans="1:16">
      <c r="A4620" s="10" t="str">
        <f t="shared" si="77"/>
        <v/>
      </c>
      <c r="D4620" s="120" t="s">
        <v>480</v>
      </c>
      <c r="O4620" s="28" t="str">
        <f>IF(D4620="","",IF(COUNTIF(离职清单!C:C,D4620)&gt;0,"已离职","在职"))</f>
        <v>在职</v>
      </c>
      <c r="P4620" s="28" t="str">
        <f>IF(AND(O4620="在职",J4620="是"),COUNTIF(O$2:O4620,"在职"),"")</f>
        <v/>
      </c>
    </row>
    <row r="4621" spans="1:16">
      <c r="A4621" s="14" t="str">
        <f t="shared" si="77"/>
        <v/>
      </c>
      <c r="D4621" s="120" t="s">
        <v>482</v>
      </c>
      <c r="O4621" s="28" t="str">
        <f>IF(D4621="","",IF(COUNTIF(离职清单!C:C,D4621)&gt;0,"已离职","在职"))</f>
        <v>在职</v>
      </c>
      <c r="P4621" s="28" t="str">
        <f>IF(AND(O4621="在职",J4621="是"),COUNTIF(O$2:O4621,"在职"),"")</f>
        <v/>
      </c>
    </row>
    <row r="4622" spans="1:16">
      <c r="A4622" s="10" t="str">
        <f t="shared" si="77"/>
        <v/>
      </c>
      <c r="D4622" s="120" t="s">
        <v>484</v>
      </c>
      <c r="O4622" s="28" t="str">
        <f>IF(D4622="","",IF(COUNTIF(离职清单!C:C,D4622)&gt;0,"已离职","在职"))</f>
        <v>在职</v>
      </c>
      <c r="P4622" s="28" t="str">
        <f>IF(AND(O4622="在职",J4622="是"),COUNTIF(O$2:O4622,"在职"),"")</f>
        <v/>
      </c>
    </row>
    <row r="4623" spans="1:16">
      <c r="A4623" s="14" t="str">
        <f t="shared" si="77"/>
        <v/>
      </c>
      <c r="D4623" s="120" t="s">
        <v>486</v>
      </c>
      <c r="O4623" s="28" t="str">
        <f>IF(D4623="","",IF(COUNTIF(离职清单!C:C,D4623)&gt;0,"已离职","在职"))</f>
        <v>在职</v>
      </c>
      <c r="P4623" s="28" t="str">
        <f>IF(AND(O4623="在职",J4623="是"),COUNTIF(O$2:O4623,"在职"),"")</f>
        <v/>
      </c>
    </row>
    <row r="4624" spans="1:16">
      <c r="A4624" s="10" t="str">
        <f t="shared" si="77"/>
        <v/>
      </c>
      <c r="D4624" s="120" t="s">
        <v>488</v>
      </c>
      <c r="O4624" s="28" t="str">
        <f>IF(D4624="","",IF(COUNTIF(离职清单!C:C,D4624)&gt;0,"已离职","在职"))</f>
        <v>在职</v>
      </c>
      <c r="P4624" s="28" t="str">
        <f>IF(AND(O4624="在职",J4624="是"),COUNTIF(O$2:O4624,"在职"),"")</f>
        <v/>
      </c>
    </row>
    <row r="4625" spans="1:16">
      <c r="A4625" s="14" t="str">
        <f t="shared" si="77"/>
        <v/>
      </c>
      <c r="D4625" s="120" t="s">
        <v>490</v>
      </c>
      <c r="O4625" s="28" t="str">
        <f>IF(D4625="","",IF(COUNTIF(离职清单!C:C,D4625)&gt;0,"已离职","在职"))</f>
        <v>在职</v>
      </c>
      <c r="P4625" s="28" t="str">
        <f>IF(AND(O4625="在职",J4625="是"),COUNTIF(O$2:O4625,"在职"),"")</f>
        <v/>
      </c>
    </row>
    <row r="4626" spans="1:16">
      <c r="A4626" s="10" t="str">
        <f t="shared" si="77"/>
        <v/>
      </c>
      <c r="D4626" s="120" t="s">
        <v>492</v>
      </c>
      <c r="O4626" s="28" t="str">
        <f>IF(D4626="","",IF(COUNTIF(离职清单!C:C,D4626)&gt;0,"已离职","在职"))</f>
        <v>在职</v>
      </c>
      <c r="P4626" s="28" t="str">
        <f>IF(AND(O4626="在职",J4626="是"),COUNTIF(O$2:O4626,"在职"),"")</f>
        <v/>
      </c>
    </row>
    <row r="4627" spans="1:16">
      <c r="A4627" s="14" t="str">
        <f t="shared" si="77"/>
        <v/>
      </c>
      <c r="D4627" s="120" t="s">
        <v>477</v>
      </c>
      <c r="O4627" s="28" t="str">
        <f>IF(D4627="","",IF(COUNTIF(离职清单!C:C,D4627)&gt;0,"已离职","在职"))</f>
        <v>在职</v>
      </c>
      <c r="P4627" s="28" t="str">
        <f>IF(AND(O4627="在职",J4627="是"),COUNTIF(O$2:O4627,"在职"),"")</f>
        <v/>
      </c>
    </row>
    <row r="4628" spans="1:16">
      <c r="A4628" s="10" t="str">
        <f t="shared" si="77"/>
        <v/>
      </c>
      <c r="D4628" s="120" t="s">
        <v>478</v>
      </c>
      <c r="O4628" s="28" t="str">
        <f>IF(D4628="","",IF(COUNTIF(离职清单!C:C,D4628)&gt;0,"已离职","在职"))</f>
        <v>在职</v>
      </c>
      <c r="P4628" s="28" t="str">
        <f>IF(AND(O4628="在职",J4628="是"),COUNTIF(O$2:O4628,"在职"),"")</f>
        <v/>
      </c>
    </row>
    <row r="4629" spans="1:16">
      <c r="A4629" s="14" t="str">
        <f t="shared" si="77"/>
        <v/>
      </c>
      <c r="D4629" s="120" t="s">
        <v>480</v>
      </c>
      <c r="O4629" s="28" t="str">
        <f>IF(D4629="","",IF(COUNTIF(离职清单!C:C,D4629)&gt;0,"已离职","在职"))</f>
        <v>在职</v>
      </c>
      <c r="P4629" s="28" t="str">
        <f>IF(AND(O4629="在职",J4629="是"),COUNTIF(O$2:O4629,"在职"),"")</f>
        <v/>
      </c>
    </row>
    <row r="4630" spans="1:16">
      <c r="A4630" s="10" t="str">
        <f t="shared" si="77"/>
        <v/>
      </c>
      <c r="D4630" s="120" t="s">
        <v>482</v>
      </c>
      <c r="O4630" s="28" t="str">
        <f>IF(D4630="","",IF(COUNTIF(离职清单!C:C,D4630)&gt;0,"已离职","在职"))</f>
        <v>在职</v>
      </c>
      <c r="P4630" s="28" t="str">
        <f>IF(AND(O4630="在职",J4630="是"),COUNTIF(O$2:O4630,"在职"),"")</f>
        <v/>
      </c>
    </row>
    <row r="4631" spans="1:16">
      <c r="A4631" s="14" t="str">
        <f t="shared" si="77"/>
        <v/>
      </c>
      <c r="D4631" s="120" t="s">
        <v>484</v>
      </c>
      <c r="O4631" s="28" t="str">
        <f>IF(D4631="","",IF(COUNTIF(离职清单!C:C,D4631)&gt;0,"已离职","在职"))</f>
        <v>在职</v>
      </c>
      <c r="P4631" s="28" t="str">
        <f>IF(AND(O4631="在职",J4631="是"),COUNTIF(O$2:O4631,"在职"),"")</f>
        <v/>
      </c>
    </row>
    <row r="4632" spans="1:16">
      <c r="A4632" s="10" t="str">
        <f t="shared" si="77"/>
        <v/>
      </c>
      <c r="D4632" s="120" t="s">
        <v>486</v>
      </c>
      <c r="O4632" s="28" t="str">
        <f>IF(D4632="","",IF(COUNTIF(离职清单!C:C,D4632)&gt;0,"已离职","在职"))</f>
        <v>在职</v>
      </c>
      <c r="P4632" s="28" t="str">
        <f>IF(AND(O4632="在职",J4632="是"),COUNTIF(O$2:O4632,"在职"),"")</f>
        <v/>
      </c>
    </row>
    <row r="4633" spans="1:16">
      <c r="A4633" s="14" t="str">
        <f t="shared" si="77"/>
        <v/>
      </c>
      <c r="D4633" s="120" t="s">
        <v>488</v>
      </c>
      <c r="O4633" s="28" t="str">
        <f>IF(D4633="","",IF(COUNTIF(离职清单!C:C,D4633)&gt;0,"已离职","在职"))</f>
        <v>在职</v>
      </c>
      <c r="P4633" s="28" t="str">
        <f>IF(AND(O4633="在职",J4633="是"),COUNTIF(O$2:O4633,"在职"),"")</f>
        <v/>
      </c>
    </row>
    <row r="4634" spans="1:16">
      <c r="A4634" s="10" t="str">
        <f t="shared" si="77"/>
        <v/>
      </c>
      <c r="D4634" s="120" t="s">
        <v>490</v>
      </c>
      <c r="O4634" s="28" t="str">
        <f>IF(D4634="","",IF(COUNTIF(离职清单!C:C,D4634)&gt;0,"已离职","在职"))</f>
        <v>在职</v>
      </c>
      <c r="P4634" s="28" t="str">
        <f>IF(AND(O4634="在职",J4634="是"),COUNTIF(O$2:O4634,"在职"),"")</f>
        <v/>
      </c>
    </row>
    <row r="4635" spans="1:16">
      <c r="A4635" s="14" t="str">
        <f t="shared" si="77"/>
        <v/>
      </c>
      <c r="D4635" s="120" t="s">
        <v>492</v>
      </c>
      <c r="O4635" s="28" t="str">
        <f>IF(D4635="","",IF(COUNTIF(离职清单!C:C,D4635)&gt;0,"已离职","在职"))</f>
        <v>在职</v>
      </c>
      <c r="P4635" s="28" t="str">
        <f>IF(AND(O4635="在职",J4635="是"),COUNTIF(O$2:O4635,"在职"),"")</f>
        <v/>
      </c>
    </row>
    <row r="4636" spans="1:16">
      <c r="A4636" s="10" t="str">
        <f t="shared" si="77"/>
        <v/>
      </c>
      <c r="D4636" s="120" t="s">
        <v>477</v>
      </c>
      <c r="O4636" s="28" t="str">
        <f>IF(D4636="","",IF(COUNTIF(离职清单!C:C,D4636)&gt;0,"已离职","在职"))</f>
        <v>在职</v>
      </c>
      <c r="P4636" s="28" t="str">
        <f>IF(AND(O4636="在职",J4636="是"),COUNTIF(O$2:O4636,"在职"),"")</f>
        <v/>
      </c>
    </row>
    <row r="4637" spans="1:16">
      <c r="A4637" s="14" t="str">
        <f t="shared" si="77"/>
        <v/>
      </c>
      <c r="D4637" s="120" t="s">
        <v>477</v>
      </c>
      <c r="O4637" s="28" t="str">
        <f>IF(D4637="","",IF(COUNTIF(离职清单!C:C,D4637)&gt;0,"已离职","在职"))</f>
        <v>在职</v>
      </c>
      <c r="P4637" s="28" t="str">
        <f>IF(AND(O4637="在职",J4637="是"),COUNTIF(O$2:O4637,"在职"),"")</f>
        <v/>
      </c>
    </row>
    <row r="4638" spans="1:16">
      <c r="A4638" s="10" t="str">
        <f t="shared" si="77"/>
        <v/>
      </c>
      <c r="D4638" s="120" t="s">
        <v>478</v>
      </c>
      <c r="O4638" s="28" t="str">
        <f>IF(D4638="","",IF(COUNTIF(离职清单!C:C,D4638)&gt;0,"已离职","在职"))</f>
        <v>在职</v>
      </c>
      <c r="P4638" s="28" t="str">
        <f>IF(AND(O4638="在职",J4638="是"),COUNTIF(O$2:O4638,"在职"),"")</f>
        <v/>
      </c>
    </row>
    <row r="4639" spans="1:16">
      <c r="A4639" s="14" t="str">
        <f t="shared" si="77"/>
        <v/>
      </c>
      <c r="D4639" s="120" t="s">
        <v>480</v>
      </c>
      <c r="O4639" s="28" t="str">
        <f>IF(D4639="","",IF(COUNTIF(离职清单!C:C,D4639)&gt;0,"已离职","在职"))</f>
        <v>在职</v>
      </c>
      <c r="P4639" s="28" t="str">
        <f>IF(AND(O4639="在职",J4639="是"),COUNTIF(O$2:O4639,"在职"),"")</f>
        <v/>
      </c>
    </row>
    <row r="4640" spans="1:16">
      <c r="A4640" s="10" t="str">
        <f t="shared" si="77"/>
        <v/>
      </c>
      <c r="D4640" s="120" t="s">
        <v>482</v>
      </c>
      <c r="O4640" s="28" t="str">
        <f>IF(D4640="","",IF(COUNTIF(离职清单!C:C,D4640)&gt;0,"已离职","在职"))</f>
        <v>在职</v>
      </c>
      <c r="P4640" s="28" t="str">
        <f>IF(AND(O4640="在职",J4640="是"),COUNTIF(O$2:O4640,"在职"),"")</f>
        <v/>
      </c>
    </row>
    <row r="4641" spans="1:16">
      <c r="A4641" s="14" t="str">
        <f t="shared" si="77"/>
        <v/>
      </c>
      <c r="D4641" s="120" t="s">
        <v>484</v>
      </c>
      <c r="O4641" s="28" t="str">
        <f>IF(D4641="","",IF(COUNTIF(离职清单!C:C,D4641)&gt;0,"已离职","在职"))</f>
        <v>在职</v>
      </c>
      <c r="P4641" s="28" t="str">
        <f>IF(AND(O4641="在职",J4641="是"),COUNTIF(O$2:O4641,"在职"),"")</f>
        <v/>
      </c>
    </row>
    <row r="4642" spans="1:16">
      <c r="A4642" s="10" t="str">
        <f t="shared" si="77"/>
        <v/>
      </c>
      <c r="D4642" s="120" t="s">
        <v>486</v>
      </c>
      <c r="O4642" s="28" t="str">
        <f>IF(D4642="","",IF(COUNTIF(离职清单!C:C,D4642)&gt;0,"已离职","在职"))</f>
        <v>在职</v>
      </c>
      <c r="P4642" s="28" t="str">
        <f>IF(AND(O4642="在职",J4642="是"),COUNTIF(O$2:O4642,"在职"),"")</f>
        <v/>
      </c>
    </row>
    <row r="4643" spans="1:16">
      <c r="A4643" s="14" t="str">
        <f t="shared" si="77"/>
        <v/>
      </c>
      <c r="D4643" s="120" t="s">
        <v>488</v>
      </c>
      <c r="O4643" s="28" t="str">
        <f>IF(D4643="","",IF(COUNTIF(离职清单!C:C,D4643)&gt;0,"已离职","在职"))</f>
        <v>在职</v>
      </c>
      <c r="P4643" s="28" t="str">
        <f>IF(AND(O4643="在职",J4643="是"),COUNTIF(O$2:O4643,"在职"),"")</f>
        <v/>
      </c>
    </row>
    <row r="4644" spans="1:16">
      <c r="A4644" s="10" t="str">
        <f t="shared" si="77"/>
        <v/>
      </c>
      <c r="D4644" s="120" t="s">
        <v>490</v>
      </c>
      <c r="O4644" s="28" t="str">
        <f>IF(D4644="","",IF(COUNTIF(离职清单!C:C,D4644)&gt;0,"已离职","在职"))</f>
        <v>在职</v>
      </c>
      <c r="P4644" s="28" t="str">
        <f>IF(AND(O4644="在职",J4644="是"),COUNTIF(O$2:O4644,"在职"),"")</f>
        <v/>
      </c>
    </row>
    <row r="4645" spans="1:16">
      <c r="A4645" s="14" t="str">
        <f t="shared" si="77"/>
        <v/>
      </c>
      <c r="D4645" s="120" t="s">
        <v>492</v>
      </c>
      <c r="O4645" s="28" t="str">
        <f>IF(D4645="","",IF(COUNTIF(离职清单!C:C,D4645)&gt;0,"已离职","在职"))</f>
        <v>在职</v>
      </c>
      <c r="P4645" s="28" t="str">
        <f>IF(AND(O4645="在职",J4645="是"),COUNTIF(O$2:O4645,"在职"),"")</f>
        <v/>
      </c>
    </row>
    <row r="4646" spans="1:16">
      <c r="A4646" s="10" t="str">
        <f t="shared" si="77"/>
        <v/>
      </c>
      <c r="D4646" s="120" t="s">
        <v>477</v>
      </c>
      <c r="O4646" s="28" t="str">
        <f>IF(D4646="","",IF(COUNTIF(离职清单!C:C,D4646)&gt;0,"已离职","在职"))</f>
        <v>在职</v>
      </c>
      <c r="P4646" s="28" t="str">
        <f>IF(AND(O4646="在职",J4646="是"),COUNTIF(O$2:O4646,"在职"),"")</f>
        <v/>
      </c>
    </row>
    <row r="4647" spans="1:16">
      <c r="A4647" s="14" t="str">
        <f t="shared" si="77"/>
        <v/>
      </c>
      <c r="D4647" s="120" t="s">
        <v>478</v>
      </c>
      <c r="O4647" s="28" t="str">
        <f>IF(D4647="","",IF(COUNTIF(离职清单!C:C,D4647)&gt;0,"已离职","在职"))</f>
        <v>在职</v>
      </c>
      <c r="P4647" s="28" t="str">
        <f>IF(AND(O4647="在职",J4647="是"),COUNTIF(O$2:O4647,"在职"),"")</f>
        <v/>
      </c>
    </row>
    <row r="4648" spans="1:16">
      <c r="A4648" s="10" t="str">
        <f t="shared" si="77"/>
        <v/>
      </c>
      <c r="D4648" s="120" t="s">
        <v>480</v>
      </c>
      <c r="O4648" s="28" t="str">
        <f>IF(D4648="","",IF(COUNTIF(离职清单!C:C,D4648)&gt;0,"已离职","在职"))</f>
        <v>在职</v>
      </c>
      <c r="P4648" s="28" t="str">
        <f>IF(AND(O4648="在职",J4648="是"),COUNTIF(O$2:O4648,"在职"),"")</f>
        <v/>
      </c>
    </row>
    <row r="4649" spans="1:16">
      <c r="A4649" s="14" t="str">
        <f t="shared" si="77"/>
        <v/>
      </c>
      <c r="D4649" s="120" t="s">
        <v>482</v>
      </c>
      <c r="O4649" s="28" t="str">
        <f>IF(D4649="","",IF(COUNTIF(离职清单!C:C,D4649)&gt;0,"已离职","在职"))</f>
        <v>在职</v>
      </c>
      <c r="P4649" s="28" t="str">
        <f>IF(AND(O4649="在职",J4649="是"),COUNTIF(O$2:O4649,"在职"),"")</f>
        <v/>
      </c>
    </row>
    <row r="4650" spans="1:16">
      <c r="A4650" s="10" t="str">
        <f t="shared" si="77"/>
        <v/>
      </c>
      <c r="D4650" s="120" t="s">
        <v>484</v>
      </c>
      <c r="O4650" s="28" t="str">
        <f>IF(D4650="","",IF(COUNTIF(离职清单!C:C,D4650)&gt;0,"已离职","在职"))</f>
        <v>在职</v>
      </c>
      <c r="P4650" s="28" t="str">
        <f>IF(AND(O4650="在职",J4650="是"),COUNTIF(O$2:O4650,"在职"),"")</f>
        <v/>
      </c>
    </row>
    <row r="4651" spans="1:16">
      <c r="A4651" s="14" t="str">
        <f t="shared" si="77"/>
        <v/>
      </c>
      <c r="D4651" s="120" t="s">
        <v>486</v>
      </c>
      <c r="O4651" s="28" t="str">
        <f>IF(D4651="","",IF(COUNTIF(离职清单!C:C,D4651)&gt;0,"已离职","在职"))</f>
        <v>在职</v>
      </c>
      <c r="P4651" s="28" t="str">
        <f>IF(AND(O4651="在职",J4651="是"),COUNTIF(O$2:O4651,"在职"),"")</f>
        <v/>
      </c>
    </row>
    <row r="4652" spans="1:16">
      <c r="A4652" s="10" t="str">
        <f t="shared" ref="A4652:A4715" si="78">IF(B4652&lt;&gt;"",ROW()-1,"")</f>
        <v/>
      </c>
      <c r="D4652" s="120" t="s">
        <v>488</v>
      </c>
      <c r="O4652" s="28" t="str">
        <f>IF(D4652="","",IF(COUNTIF(离职清单!C:C,D4652)&gt;0,"已离职","在职"))</f>
        <v>在职</v>
      </c>
      <c r="P4652" s="28" t="str">
        <f>IF(AND(O4652="在职",J4652="是"),COUNTIF(O$2:O4652,"在职"),"")</f>
        <v/>
      </c>
    </row>
    <row r="4653" spans="1:16">
      <c r="A4653" s="14" t="str">
        <f t="shared" si="78"/>
        <v/>
      </c>
      <c r="D4653" s="120" t="s">
        <v>490</v>
      </c>
      <c r="O4653" s="28" t="str">
        <f>IF(D4653="","",IF(COUNTIF(离职清单!C:C,D4653)&gt;0,"已离职","在职"))</f>
        <v>在职</v>
      </c>
      <c r="P4653" s="28" t="str">
        <f>IF(AND(O4653="在职",J4653="是"),COUNTIF(O$2:O4653,"在职"),"")</f>
        <v/>
      </c>
    </row>
    <row r="4654" spans="1:16">
      <c r="A4654" s="10" t="str">
        <f t="shared" si="78"/>
        <v/>
      </c>
      <c r="D4654" s="120" t="s">
        <v>492</v>
      </c>
      <c r="O4654" s="28" t="str">
        <f>IF(D4654="","",IF(COUNTIF(离职清单!C:C,D4654)&gt;0,"已离职","在职"))</f>
        <v>在职</v>
      </c>
      <c r="P4654" s="28" t="str">
        <f>IF(AND(O4654="在职",J4654="是"),COUNTIF(O$2:O4654,"在职"),"")</f>
        <v/>
      </c>
    </row>
    <row r="4655" spans="1:16">
      <c r="A4655" s="14" t="str">
        <f t="shared" si="78"/>
        <v/>
      </c>
      <c r="D4655" s="120" t="s">
        <v>477</v>
      </c>
      <c r="O4655" s="28" t="str">
        <f>IF(D4655="","",IF(COUNTIF(离职清单!C:C,D4655)&gt;0,"已离职","在职"))</f>
        <v>在职</v>
      </c>
      <c r="P4655" s="28" t="str">
        <f>IF(AND(O4655="在职",J4655="是"),COUNTIF(O$2:O4655,"在职"),"")</f>
        <v/>
      </c>
    </row>
    <row r="4656" spans="1:16">
      <c r="A4656" s="10" t="str">
        <f t="shared" si="78"/>
        <v/>
      </c>
      <c r="D4656" s="120" t="s">
        <v>478</v>
      </c>
      <c r="O4656" s="28" t="str">
        <f>IF(D4656="","",IF(COUNTIF(离职清单!C:C,D4656)&gt;0,"已离职","在职"))</f>
        <v>在职</v>
      </c>
      <c r="P4656" s="28" t="str">
        <f>IF(AND(O4656="在职",J4656="是"),COUNTIF(O$2:O4656,"在职"),"")</f>
        <v/>
      </c>
    </row>
    <row r="4657" spans="1:16">
      <c r="A4657" s="14" t="str">
        <f t="shared" si="78"/>
        <v/>
      </c>
      <c r="D4657" s="120" t="s">
        <v>480</v>
      </c>
      <c r="O4657" s="28" t="str">
        <f>IF(D4657="","",IF(COUNTIF(离职清单!C:C,D4657)&gt;0,"已离职","在职"))</f>
        <v>在职</v>
      </c>
      <c r="P4657" s="28" t="str">
        <f>IF(AND(O4657="在职",J4657="是"),COUNTIF(O$2:O4657,"在职"),"")</f>
        <v/>
      </c>
    </row>
    <row r="4658" spans="1:16">
      <c r="A4658" s="10" t="str">
        <f t="shared" si="78"/>
        <v/>
      </c>
      <c r="D4658" s="120" t="s">
        <v>482</v>
      </c>
      <c r="O4658" s="28" t="str">
        <f>IF(D4658="","",IF(COUNTIF(离职清单!C:C,D4658)&gt;0,"已离职","在职"))</f>
        <v>在职</v>
      </c>
      <c r="P4658" s="28" t="str">
        <f>IF(AND(O4658="在职",J4658="是"),COUNTIF(O$2:O4658,"在职"),"")</f>
        <v/>
      </c>
    </row>
    <row r="4659" spans="1:16">
      <c r="A4659" s="14" t="str">
        <f t="shared" si="78"/>
        <v/>
      </c>
      <c r="D4659" s="120" t="s">
        <v>484</v>
      </c>
      <c r="O4659" s="28" t="str">
        <f>IF(D4659="","",IF(COUNTIF(离职清单!C:C,D4659)&gt;0,"已离职","在职"))</f>
        <v>在职</v>
      </c>
      <c r="P4659" s="28" t="str">
        <f>IF(AND(O4659="在职",J4659="是"),COUNTIF(O$2:O4659,"在职"),"")</f>
        <v/>
      </c>
    </row>
    <row r="4660" spans="1:16">
      <c r="A4660" s="10" t="str">
        <f t="shared" si="78"/>
        <v/>
      </c>
      <c r="D4660" s="120" t="s">
        <v>486</v>
      </c>
      <c r="O4660" s="28" t="str">
        <f>IF(D4660="","",IF(COUNTIF(离职清单!C:C,D4660)&gt;0,"已离职","在职"))</f>
        <v>在职</v>
      </c>
      <c r="P4660" s="28" t="str">
        <f>IF(AND(O4660="在职",J4660="是"),COUNTIF(O$2:O4660,"在职"),"")</f>
        <v/>
      </c>
    </row>
    <row r="4661" spans="1:16">
      <c r="A4661" s="14" t="str">
        <f t="shared" si="78"/>
        <v/>
      </c>
      <c r="D4661" s="120" t="s">
        <v>488</v>
      </c>
      <c r="O4661" s="28" t="str">
        <f>IF(D4661="","",IF(COUNTIF(离职清单!C:C,D4661)&gt;0,"已离职","在职"))</f>
        <v>在职</v>
      </c>
      <c r="P4661" s="28" t="str">
        <f>IF(AND(O4661="在职",J4661="是"),COUNTIF(O$2:O4661,"在职"),"")</f>
        <v/>
      </c>
    </row>
    <row r="4662" spans="1:16">
      <c r="A4662" s="10" t="str">
        <f t="shared" si="78"/>
        <v/>
      </c>
      <c r="D4662" s="120" t="s">
        <v>490</v>
      </c>
      <c r="O4662" s="28" t="str">
        <f>IF(D4662="","",IF(COUNTIF(离职清单!C:C,D4662)&gt;0,"已离职","在职"))</f>
        <v>在职</v>
      </c>
      <c r="P4662" s="28" t="str">
        <f>IF(AND(O4662="在职",J4662="是"),COUNTIF(O$2:O4662,"在职"),"")</f>
        <v/>
      </c>
    </row>
    <row r="4663" spans="1:16">
      <c r="A4663" s="14" t="str">
        <f t="shared" si="78"/>
        <v/>
      </c>
      <c r="D4663" s="120" t="s">
        <v>492</v>
      </c>
      <c r="O4663" s="28" t="str">
        <f>IF(D4663="","",IF(COUNTIF(离职清单!C:C,D4663)&gt;0,"已离职","在职"))</f>
        <v>在职</v>
      </c>
      <c r="P4663" s="28" t="str">
        <f>IF(AND(O4663="在职",J4663="是"),COUNTIF(O$2:O4663,"在职"),"")</f>
        <v/>
      </c>
    </row>
    <row r="4664" spans="1:16">
      <c r="A4664" s="10" t="str">
        <f t="shared" si="78"/>
        <v/>
      </c>
      <c r="D4664" s="120" t="s">
        <v>477</v>
      </c>
      <c r="O4664" s="28" t="str">
        <f>IF(D4664="","",IF(COUNTIF(离职清单!C:C,D4664)&gt;0,"已离职","在职"))</f>
        <v>在职</v>
      </c>
      <c r="P4664" s="28" t="str">
        <f>IF(AND(O4664="在职",J4664="是"),COUNTIF(O$2:O4664,"在职"),"")</f>
        <v/>
      </c>
    </row>
    <row r="4665" spans="1:16">
      <c r="A4665" s="14" t="str">
        <f t="shared" si="78"/>
        <v/>
      </c>
      <c r="D4665" s="120" t="s">
        <v>478</v>
      </c>
      <c r="O4665" s="28" t="str">
        <f>IF(D4665="","",IF(COUNTIF(离职清单!C:C,D4665)&gt;0,"已离职","在职"))</f>
        <v>在职</v>
      </c>
      <c r="P4665" s="28" t="str">
        <f>IF(AND(O4665="在职",J4665="是"),COUNTIF(O$2:O4665,"在职"),"")</f>
        <v/>
      </c>
    </row>
    <row r="4666" spans="1:16">
      <c r="A4666" s="10" t="str">
        <f t="shared" si="78"/>
        <v/>
      </c>
      <c r="D4666" s="120" t="s">
        <v>480</v>
      </c>
      <c r="O4666" s="28" t="str">
        <f>IF(D4666="","",IF(COUNTIF(离职清单!C:C,D4666)&gt;0,"已离职","在职"))</f>
        <v>在职</v>
      </c>
      <c r="P4666" s="28" t="str">
        <f>IF(AND(O4666="在职",J4666="是"),COUNTIF(O$2:O4666,"在职"),"")</f>
        <v/>
      </c>
    </row>
    <row r="4667" spans="1:16">
      <c r="A4667" s="14" t="str">
        <f t="shared" si="78"/>
        <v/>
      </c>
      <c r="D4667" s="120" t="s">
        <v>482</v>
      </c>
      <c r="O4667" s="28" t="str">
        <f>IF(D4667="","",IF(COUNTIF(离职清单!C:C,D4667)&gt;0,"已离职","在职"))</f>
        <v>在职</v>
      </c>
      <c r="P4667" s="28" t="str">
        <f>IF(AND(O4667="在职",J4667="是"),COUNTIF(O$2:O4667,"在职"),"")</f>
        <v/>
      </c>
    </row>
    <row r="4668" spans="1:16">
      <c r="A4668" s="10" t="str">
        <f t="shared" si="78"/>
        <v/>
      </c>
      <c r="D4668" s="120" t="s">
        <v>484</v>
      </c>
      <c r="O4668" s="28" t="str">
        <f>IF(D4668="","",IF(COUNTIF(离职清单!C:C,D4668)&gt;0,"已离职","在职"))</f>
        <v>在职</v>
      </c>
      <c r="P4668" s="28" t="str">
        <f>IF(AND(O4668="在职",J4668="是"),COUNTIF(O$2:O4668,"在职"),"")</f>
        <v/>
      </c>
    </row>
    <row r="4669" spans="1:16">
      <c r="A4669" s="14" t="str">
        <f t="shared" si="78"/>
        <v/>
      </c>
      <c r="D4669" s="120" t="s">
        <v>486</v>
      </c>
      <c r="O4669" s="28" t="str">
        <f>IF(D4669="","",IF(COUNTIF(离职清单!C:C,D4669)&gt;0,"已离职","在职"))</f>
        <v>在职</v>
      </c>
      <c r="P4669" s="28" t="str">
        <f>IF(AND(O4669="在职",J4669="是"),COUNTIF(O$2:O4669,"在职"),"")</f>
        <v/>
      </c>
    </row>
    <row r="4670" spans="1:16">
      <c r="A4670" s="10" t="str">
        <f t="shared" si="78"/>
        <v/>
      </c>
      <c r="D4670" s="120" t="s">
        <v>488</v>
      </c>
      <c r="O4670" s="28" t="str">
        <f>IF(D4670="","",IF(COUNTIF(离职清单!C:C,D4670)&gt;0,"已离职","在职"))</f>
        <v>在职</v>
      </c>
      <c r="P4670" s="28" t="str">
        <f>IF(AND(O4670="在职",J4670="是"),COUNTIF(O$2:O4670,"在职"),"")</f>
        <v/>
      </c>
    </row>
    <row r="4671" spans="1:16">
      <c r="A4671" s="14" t="str">
        <f t="shared" si="78"/>
        <v/>
      </c>
      <c r="D4671" s="120" t="s">
        <v>490</v>
      </c>
      <c r="O4671" s="28" t="str">
        <f>IF(D4671="","",IF(COUNTIF(离职清单!C:C,D4671)&gt;0,"已离职","在职"))</f>
        <v>在职</v>
      </c>
      <c r="P4671" s="28" t="str">
        <f>IF(AND(O4671="在职",J4671="是"),COUNTIF(O$2:O4671,"在职"),"")</f>
        <v/>
      </c>
    </row>
    <row r="4672" spans="1:16">
      <c r="A4672" s="10" t="str">
        <f t="shared" si="78"/>
        <v/>
      </c>
      <c r="D4672" s="120" t="s">
        <v>492</v>
      </c>
      <c r="O4672" s="28" t="str">
        <f>IF(D4672="","",IF(COUNTIF(离职清单!C:C,D4672)&gt;0,"已离职","在职"))</f>
        <v>在职</v>
      </c>
      <c r="P4672" s="28" t="str">
        <f>IF(AND(O4672="在职",J4672="是"),COUNTIF(O$2:O4672,"在职"),"")</f>
        <v/>
      </c>
    </row>
    <row r="4673" spans="1:16">
      <c r="A4673" s="14" t="str">
        <f t="shared" si="78"/>
        <v/>
      </c>
      <c r="D4673" s="120" t="s">
        <v>477</v>
      </c>
      <c r="O4673" s="28" t="str">
        <f>IF(D4673="","",IF(COUNTIF(离职清单!C:C,D4673)&gt;0,"已离职","在职"))</f>
        <v>在职</v>
      </c>
      <c r="P4673" s="28" t="str">
        <f>IF(AND(O4673="在职",J4673="是"),COUNTIF(O$2:O4673,"在职"),"")</f>
        <v/>
      </c>
    </row>
    <row r="4674" spans="1:16">
      <c r="A4674" s="10" t="str">
        <f t="shared" si="78"/>
        <v/>
      </c>
      <c r="D4674" s="120" t="s">
        <v>478</v>
      </c>
      <c r="O4674" s="28" t="str">
        <f>IF(D4674="","",IF(COUNTIF(离职清单!C:C,D4674)&gt;0,"已离职","在职"))</f>
        <v>在职</v>
      </c>
      <c r="P4674" s="28" t="str">
        <f>IF(AND(O4674="在职",J4674="是"),COUNTIF(O$2:O4674,"在职"),"")</f>
        <v/>
      </c>
    </row>
    <row r="4675" spans="1:16">
      <c r="A4675" s="14" t="str">
        <f t="shared" si="78"/>
        <v/>
      </c>
      <c r="D4675" s="120" t="s">
        <v>480</v>
      </c>
      <c r="O4675" s="28" t="str">
        <f>IF(D4675="","",IF(COUNTIF(离职清单!C:C,D4675)&gt;0,"已离职","在职"))</f>
        <v>在职</v>
      </c>
      <c r="P4675" s="28" t="str">
        <f>IF(AND(O4675="在职",J4675="是"),COUNTIF(O$2:O4675,"在职"),"")</f>
        <v/>
      </c>
    </row>
    <row r="4676" spans="1:16">
      <c r="A4676" s="10" t="str">
        <f t="shared" si="78"/>
        <v/>
      </c>
      <c r="D4676" s="120" t="s">
        <v>482</v>
      </c>
      <c r="O4676" s="28" t="str">
        <f>IF(D4676="","",IF(COUNTIF(离职清单!C:C,D4676)&gt;0,"已离职","在职"))</f>
        <v>在职</v>
      </c>
      <c r="P4676" s="28" t="str">
        <f>IF(AND(O4676="在职",J4676="是"),COUNTIF(O$2:O4676,"在职"),"")</f>
        <v/>
      </c>
    </row>
    <row r="4677" spans="1:16">
      <c r="A4677" s="14" t="str">
        <f t="shared" si="78"/>
        <v/>
      </c>
      <c r="D4677" s="120" t="s">
        <v>484</v>
      </c>
      <c r="O4677" s="28" t="str">
        <f>IF(D4677="","",IF(COUNTIF(离职清单!C:C,D4677)&gt;0,"已离职","在职"))</f>
        <v>在职</v>
      </c>
      <c r="P4677" s="28" t="str">
        <f>IF(AND(O4677="在职",J4677="是"),COUNTIF(O$2:O4677,"在职"),"")</f>
        <v/>
      </c>
    </row>
    <row r="4678" spans="1:16">
      <c r="A4678" s="10" t="str">
        <f t="shared" si="78"/>
        <v/>
      </c>
      <c r="D4678" s="120" t="s">
        <v>486</v>
      </c>
      <c r="O4678" s="28" t="str">
        <f>IF(D4678="","",IF(COUNTIF(离职清单!C:C,D4678)&gt;0,"已离职","在职"))</f>
        <v>在职</v>
      </c>
      <c r="P4678" s="28" t="str">
        <f>IF(AND(O4678="在职",J4678="是"),COUNTIF(O$2:O4678,"在职"),"")</f>
        <v/>
      </c>
    </row>
    <row r="4679" spans="1:16">
      <c r="A4679" s="14" t="str">
        <f t="shared" si="78"/>
        <v/>
      </c>
      <c r="D4679" s="120" t="s">
        <v>488</v>
      </c>
      <c r="O4679" s="28" t="str">
        <f>IF(D4679="","",IF(COUNTIF(离职清单!C:C,D4679)&gt;0,"已离职","在职"))</f>
        <v>在职</v>
      </c>
      <c r="P4679" s="28" t="str">
        <f>IF(AND(O4679="在职",J4679="是"),COUNTIF(O$2:O4679,"在职"),"")</f>
        <v/>
      </c>
    </row>
    <row r="4680" spans="1:16">
      <c r="A4680" s="10" t="str">
        <f t="shared" si="78"/>
        <v/>
      </c>
      <c r="D4680" s="120" t="s">
        <v>490</v>
      </c>
      <c r="O4680" s="28" t="str">
        <f>IF(D4680="","",IF(COUNTIF(离职清单!C:C,D4680)&gt;0,"已离职","在职"))</f>
        <v>在职</v>
      </c>
      <c r="P4680" s="28" t="str">
        <f>IF(AND(O4680="在职",J4680="是"),COUNTIF(O$2:O4680,"在职"),"")</f>
        <v/>
      </c>
    </row>
    <row r="4681" spans="1:16">
      <c r="A4681" s="14" t="str">
        <f t="shared" si="78"/>
        <v/>
      </c>
      <c r="D4681" s="120" t="s">
        <v>492</v>
      </c>
      <c r="O4681" s="28" t="str">
        <f>IF(D4681="","",IF(COUNTIF(离职清单!C:C,D4681)&gt;0,"已离职","在职"))</f>
        <v>在职</v>
      </c>
      <c r="P4681" s="28" t="str">
        <f>IF(AND(O4681="在职",J4681="是"),COUNTIF(O$2:O4681,"在职"),"")</f>
        <v/>
      </c>
    </row>
    <row r="4682" spans="1:16">
      <c r="A4682" s="10" t="str">
        <f t="shared" si="78"/>
        <v/>
      </c>
      <c r="D4682" s="120" t="s">
        <v>477</v>
      </c>
      <c r="O4682" s="28" t="str">
        <f>IF(D4682="","",IF(COUNTIF(离职清单!C:C,D4682)&gt;0,"已离职","在职"))</f>
        <v>在职</v>
      </c>
      <c r="P4682" s="28" t="str">
        <f>IF(AND(O4682="在职",J4682="是"),COUNTIF(O$2:O4682,"在职"),"")</f>
        <v/>
      </c>
    </row>
    <row r="4683" spans="1:16">
      <c r="A4683" s="14" t="str">
        <f t="shared" si="78"/>
        <v/>
      </c>
      <c r="D4683" s="120" t="s">
        <v>478</v>
      </c>
      <c r="O4683" s="28" t="str">
        <f>IF(D4683="","",IF(COUNTIF(离职清单!C:C,D4683)&gt;0,"已离职","在职"))</f>
        <v>在职</v>
      </c>
      <c r="P4683" s="28" t="str">
        <f>IF(AND(O4683="在职",J4683="是"),COUNTIF(O$2:O4683,"在职"),"")</f>
        <v/>
      </c>
    </row>
    <row r="4684" spans="1:16">
      <c r="A4684" s="10" t="str">
        <f t="shared" si="78"/>
        <v/>
      </c>
      <c r="D4684" s="120" t="s">
        <v>480</v>
      </c>
      <c r="O4684" s="28" t="str">
        <f>IF(D4684="","",IF(COUNTIF(离职清单!C:C,D4684)&gt;0,"已离职","在职"))</f>
        <v>在职</v>
      </c>
      <c r="P4684" s="28" t="str">
        <f>IF(AND(O4684="在职",J4684="是"),COUNTIF(O$2:O4684,"在职"),"")</f>
        <v/>
      </c>
    </row>
    <row r="4685" spans="1:16">
      <c r="A4685" s="14" t="str">
        <f t="shared" si="78"/>
        <v/>
      </c>
      <c r="D4685" s="120" t="s">
        <v>482</v>
      </c>
      <c r="O4685" s="28" t="str">
        <f>IF(D4685="","",IF(COUNTIF(离职清单!C:C,D4685)&gt;0,"已离职","在职"))</f>
        <v>在职</v>
      </c>
      <c r="P4685" s="28" t="str">
        <f>IF(AND(O4685="在职",J4685="是"),COUNTIF(O$2:O4685,"在职"),"")</f>
        <v/>
      </c>
    </row>
    <row r="4686" spans="1:16">
      <c r="A4686" s="10" t="str">
        <f t="shared" si="78"/>
        <v/>
      </c>
      <c r="D4686" s="120" t="s">
        <v>484</v>
      </c>
      <c r="O4686" s="28" t="str">
        <f>IF(D4686="","",IF(COUNTIF(离职清单!C:C,D4686)&gt;0,"已离职","在职"))</f>
        <v>在职</v>
      </c>
      <c r="P4686" s="28" t="str">
        <f>IF(AND(O4686="在职",J4686="是"),COUNTIF(O$2:O4686,"在职"),"")</f>
        <v/>
      </c>
    </row>
    <row r="4687" spans="1:16">
      <c r="A4687" s="14" t="str">
        <f t="shared" si="78"/>
        <v/>
      </c>
      <c r="D4687" s="120" t="s">
        <v>486</v>
      </c>
      <c r="O4687" s="28" t="str">
        <f>IF(D4687="","",IF(COUNTIF(离职清单!C:C,D4687)&gt;0,"已离职","在职"))</f>
        <v>在职</v>
      </c>
      <c r="P4687" s="28" t="str">
        <f>IF(AND(O4687="在职",J4687="是"),COUNTIF(O$2:O4687,"在职"),"")</f>
        <v/>
      </c>
    </row>
    <row r="4688" spans="1:16">
      <c r="A4688" s="10" t="str">
        <f t="shared" si="78"/>
        <v/>
      </c>
      <c r="D4688" s="120" t="s">
        <v>488</v>
      </c>
      <c r="O4688" s="28" t="str">
        <f>IF(D4688="","",IF(COUNTIF(离职清单!C:C,D4688)&gt;0,"已离职","在职"))</f>
        <v>在职</v>
      </c>
      <c r="P4688" s="28" t="str">
        <f>IF(AND(O4688="在职",J4688="是"),COUNTIF(O$2:O4688,"在职"),"")</f>
        <v/>
      </c>
    </row>
    <row r="4689" spans="1:16">
      <c r="A4689" s="14" t="str">
        <f t="shared" si="78"/>
        <v/>
      </c>
      <c r="D4689" s="120" t="s">
        <v>490</v>
      </c>
      <c r="O4689" s="28" t="str">
        <f>IF(D4689="","",IF(COUNTIF(离职清单!C:C,D4689)&gt;0,"已离职","在职"))</f>
        <v>在职</v>
      </c>
      <c r="P4689" s="28" t="str">
        <f>IF(AND(O4689="在职",J4689="是"),COUNTIF(O$2:O4689,"在职"),"")</f>
        <v/>
      </c>
    </row>
    <row r="4690" spans="1:16">
      <c r="A4690" s="10" t="str">
        <f t="shared" si="78"/>
        <v/>
      </c>
      <c r="D4690" s="120" t="s">
        <v>492</v>
      </c>
      <c r="O4690" s="28" t="str">
        <f>IF(D4690="","",IF(COUNTIF(离职清单!C:C,D4690)&gt;0,"已离职","在职"))</f>
        <v>在职</v>
      </c>
      <c r="P4690" s="28" t="str">
        <f>IF(AND(O4690="在职",J4690="是"),COUNTIF(O$2:O4690,"在职"),"")</f>
        <v/>
      </c>
    </row>
    <row r="4691" spans="1:16">
      <c r="A4691" s="14" t="str">
        <f t="shared" si="78"/>
        <v/>
      </c>
      <c r="D4691" s="120" t="s">
        <v>477</v>
      </c>
      <c r="O4691" s="28" t="str">
        <f>IF(D4691="","",IF(COUNTIF(离职清单!C:C,D4691)&gt;0,"已离职","在职"))</f>
        <v>在职</v>
      </c>
      <c r="P4691" s="28" t="str">
        <f>IF(AND(O4691="在职",J4691="是"),COUNTIF(O$2:O4691,"在职"),"")</f>
        <v/>
      </c>
    </row>
    <row r="4692" spans="1:16">
      <c r="A4692" s="10" t="str">
        <f t="shared" si="78"/>
        <v/>
      </c>
      <c r="D4692" s="120" t="s">
        <v>477</v>
      </c>
      <c r="O4692" s="28" t="str">
        <f>IF(D4692="","",IF(COUNTIF(离职清单!C:C,D4692)&gt;0,"已离职","在职"))</f>
        <v>在职</v>
      </c>
      <c r="P4692" s="28" t="str">
        <f>IF(AND(O4692="在职",J4692="是"),COUNTIF(O$2:O4692,"在职"),"")</f>
        <v/>
      </c>
    </row>
    <row r="4693" spans="1:16">
      <c r="A4693" s="14" t="str">
        <f t="shared" si="78"/>
        <v/>
      </c>
      <c r="D4693" s="120" t="s">
        <v>478</v>
      </c>
      <c r="O4693" s="28" t="str">
        <f>IF(D4693="","",IF(COUNTIF(离职清单!C:C,D4693)&gt;0,"已离职","在职"))</f>
        <v>在职</v>
      </c>
      <c r="P4693" s="28" t="str">
        <f>IF(AND(O4693="在职",J4693="是"),COUNTIF(O$2:O4693,"在职"),"")</f>
        <v/>
      </c>
    </row>
    <row r="4694" spans="1:16">
      <c r="A4694" s="10" t="str">
        <f t="shared" si="78"/>
        <v/>
      </c>
      <c r="D4694" s="120" t="s">
        <v>480</v>
      </c>
      <c r="O4694" s="28" t="str">
        <f>IF(D4694="","",IF(COUNTIF(离职清单!C:C,D4694)&gt;0,"已离职","在职"))</f>
        <v>在职</v>
      </c>
      <c r="P4694" s="28" t="str">
        <f>IF(AND(O4694="在职",J4694="是"),COUNTIF(O$2:O4694,"在职"),"")</f>
        <v/>
      </c>
    </row>
    <row r="4695" spans="1:16">
      <c r="A4695" s="14" t="str">
        <f t="shared" si="78"/>
        <v/>
      </c>
      <c r="D4695" s="120" t="s">
        <v>482</v>
      </c>
      <c r="O4695" s="28" t="str">
        <f>IF(D4695="","",IF(COUNTIF(离职清单!C:C,D4695)&gt;0,"已离职","在职"))</f>
        <v>在职</v>
      </c>
      <c r="P4695" s="28" t="str">
        <f>IF(AND(O4695="在职",J4695="是"),COUNTIF(O$2:O4695,"在职"),"")</f>
        <v/>
      </c>
    </row>
    <row r="4696" spans="1:16">
      <c r="A4696" s="10" t="str">
        <f t="shared" si="78"/>
        <v/>
      </c>
      <c r="D4696" s="120" t="s">
        <v>484</v>
      </c>
      <c r="O4696" s="28" t="str">
        <f>IF(D4696="","",IF(COUNTIF(离职清单!C:C,D4696)&gt;0,"已离职","在职"))</f>
        <v>在职</v>
      </c>
      <c r="P4696" s="28" t="str">
        <f>IF(AND(O4696="在职",J4696="是"),COUNTIF(O$2:O4696,"在职"),"")</f>
        <v/>
      </c>
    </row>
    <row r="4697" spans="1:16">
      <c r="A4697" s="14" t="str">
        <f t="shared" si="78"/>
        <v/>
      </c>
      <c r="D4697" s="120" t="s">
        <v>486</v>
      </c>
      <c r="O4697" s="28" t="str">
        <f>IF(D4697="","",IF(COUNTIF(离职清单!C:C,D4697)&gt;0,"已离职","在职"))</f>
        <v>在职</v>
      </c>
      <c r="P4697" s="28" t="str">
        <f>IF(AND(O4697="在职",J4697="是"),COUNTIF(O$2:O4697,"在职"),"")</f>
        <v/>
      </c>
    </row>
    <row r="4698" spans="1:16">
      <c r="A4698" s="10" t="str">
        <f t="shared" si="78"/>
        <v/>
      </c>
      <c r="D4698" s="120" t="s">
        <v>488</v>
      </c>
      <c r="O4698" s="28" t="str">
        <f>IF(D4698="","",IF(COUNTIF(离职清单!C:C,D4698)&gt;0,"已离职","在职"))</f>
        <v>在职</v>
      </c>
      <c r="P4698" s="28" t="str">
        <f>IF(AND(O4698="在职",J4698="是"),COUNTIF(O$2:O4698,"在职"),"")</f>
        <v/>
      </c>
    </row>
    <row r="4699" spans="1:16">
      <c r="A4699" s="14" t="str">
        <f t="shared" si="78"/>
        <v/>
      </c>
      <c r="D4699" s="120" t="s">
        <v>490</v>
      </c>
      <c r="O4699" s="28" t="str">
        <f>IF(D4699="","",IF(COUNTIF(离职清单!C:C,D4699)&gt;0,"已离职","在职"))</f>
        <v>在职</v>
      </c>
      <c r="P4699" s="28" t="str">
        <f>IF(AND(O4699="在职",J4699="是"),COUNTIF(O$2:O4699,"在职"),"")</f>
        <v/>
      </c>
    </row>
    <row r="4700" spans="1:16">
      <c r="A4700" s="10" t="str">
        <f t="shared" si="78"/>
        <v/>
      </c>
      <c r="D4700" s="120" t="s">
        <v>492</v>
      </c>
      <c r="O4700" s="28" t="str">
        <f>IF(D4700="","",IF(COUNTIF(离职清单!C:C,D4700)&gt;0,"已离职","在职"))</f>
        <v>在职</v>
      </c>
      <c r="P4700" s="28" t="str">
        <f>IF(AND(O4700="在职",J4700="是"),COUNTIF(O$2:O4700,"在职"),"")</f>
        <v/>
      </c>
    </row>
    <row r="4701" spans="1:16">
      <c r="A4701" s="14" t="str">
        <f t="shared" si="78"/>
        <v/>
      </c>
      <c r="D4701" s="120" t="s">
        <v>477</v>
      </c>
      <c r="O4701" s="28" t="str">
        <f>IF(D4701="","",IF(COUNTIF(离职清单!C:C,D4701)&gt;0,"已离职","在职"))</f>
        <v>在职</v>
      </c>
      <c r="P4701" s="28" t="str">
        <f>IF(AND(O4701="在职",J4701="是"),COUNTIF(O$2:O4701,"在职"),"")</f>
        <v/>
      </c>
    </row>
    <row r="4702" spans="1:16">
      <c r="A4702" s="10" t="str">
        <f t="shared" si="78"/>
        <v/>
      </c>
      <c r="D4702" s="120" t="s">
        <v>478</v>
      </c>
      <c r="O4702" s="28" t="str">
        <f>IF(D4702="","",IF(COUNTIF(离职清单!C:C,D4702)&gt;0,"已离职","在职"))</f>
        <v>在职</v>
      </c>
      <c r="P4702" s="28" t="str">
        <f>IF(AND(O4702="在职",J4702="是"),COUNTIF(O$2:O4702,"在职"),"")</f>
        <v/>
      </c>
    </row>
    <row r="4703" spans="1:16">
      <c r="A4703" s="14" t="str">
        <f t="shared" si="78"/>
        <v/>
      </c>
      <c r="D4703" s="120" t="s">
        <v>480</v>
      </c>
      <c r="O4703" s="28" t="str">
        <f>IF(D4703="","",IF(COUNTIF(离职清单!C:C,D4703)&gt;0,"已离职","在职"))</f>
        <v>在职</v>
      </c>
      <c r="P4703" s="28" t="str">
        <f>IF(AND(O4703="在职",J4703="是"),COUNTIF(O$2:O4703,"在职"),"")</f>
        <v/>
      </c>
    </row>
    <row r="4704" spans="1:16">
      <c r="A4704" s="10" t="str">
        <f t="shared" si="78"/>
        <v/>
      </c>
      <c r="D4704" s="120" t="s">
        <v>482</v>
      </c>
      <c r="O4704" s="28" t="str">
        <f>IF(D4704="","",IF(COUNTIF(离职清单!C:C,D4704)&gt;0,"已离职","在职"))</f>
        <v>在职</v>
      </c>
      <c r="P4704" s="28" t="str">
        <f>IF(AND(O4704="在职",J4704="是"),COUNTIF(O$2:O4704,"在职"),"")</f>
        <v/>
      </c>
    </row>
    <row r="4705" spans="1:16">
      <c r="A4705" s="14" t="str">
        <f t="shared" si="78"/>
        <v/>
      </c>
      <c r="D4705" s="120" t="s">
        <v>484</v>
      </c>
      <c r="O4705" s="28" t="str">
        <f>IF(D4705="","",IF(COUNTIF(离职清单!C:C,D4705)&gt;0,"已离职","在职"))</f>
        <v>在职</v>
      </c>
      <c r="P4705" s="28" t="str">
        <f>IF(AND(O4705="在职",J4705="是"),COUNTIF(O$2:O4705,"在职"),"")</f>
        <v/>
      </c>
    </row>
    <row r="4706" spans="1:16">
      <c r="A4706" s="10" t="str">
        <f t="shared" si="78"/>
        <v/>
      </c>
      <c r="D4706" s="120" t="s">
        <v>486</v>
      </c>
      <c r="O4706" s="28" t="str">
        <f>IF(D4706="","",IF(COUNTIF(离职清单!C:C,D4706)&gt;0,"已离职","在职"))</f>
        <v>在职</v>
      </c>
      <c r="P4706" s="28" t="str">
        <f>IF(AND(O4706="在职",J4706="是"),COUNTIF(O$2:O4706,"在职"),"")</f>
        <v/>
      </c>
    </row>
    <row r="4707" spans="1:16">
      <c r="A4707" s="14" t="str">
        <f t="shared" si="78"/>
        <v/>
      </c>
      <c r="D4707" s="120" t="s">
        <v>488</v>
      </c>
      <c r="O4707" s="28" t="str">
        <f>IF(D4707="","",IF(COUNTIF(离职清单!C:C,D4707)&gt;0,"已离职","在职"))</f>
        <v>在职</v>
      </c>
      <c r="P4707" s="28" t="str">
        <f>IF(AND(O4707="在职",J4707="是"),COUNTIF(O$2:O4707,"在职"),"")</f>
        <v/>
      </c>
    </row>
    <row r="4708" spans="1:16">
      <c r="A4708" s="10" t="str">
        <f t="shared" si="78"/>
        <v/>
      </c>
      <c r="D4708" s="120" t="s">
        <v>490</v>
      </c>
      <c r="O4708" s="28" t="str">
        <f>IF(D4708="","",IF(COUNTIF(离职清单!C:C,D4708)&gt;0,"已离职","在职"))</f>
        <v>在职</v>
      </c>
      <c r="P4708" s="28" t="str">
        <f>IF(AND(O4708="在职",J4708="是"),COUNTIF(O$2:O4708,"在职"),"")</f>
        <v/>
      </c>
    </row>
    <row r="4709" spans="1:16">
      <c r="A4709" s="14" t="str">
        <f t="shared" si="78"/>
        <v/>
      </c>
      <c r="D4709" s="120" t="s">
        <v>492</v>
      </c>
      <c r="O4709" s="28" t="str">
        <f>IF(D4709="","",IF(COUNTIF(离职清单!C:C,D4709)&gt;0,"已离职","在职"))</f>
        <v>在职</v>
      </c>
      <c r="P4709" s="28" t="str">
        <f>IF(AND(O4709="在职",J4709="是"),COUNTIF(O$2:O4709,"在职"),"")</f>
        <v/>
      </c>
    </row>
    <row r="4710" spans="1:16">
      <c r="A4710" s="10" t="str">
        <f t="shared" si="78"/>
        <v/>
      </c>
      <c r="D4710" s="120" t="s">
        <v>477</v>
      </c>
      <c r="O4710" s="28" t="str">
        <f>IF(D4710="","",IF(COUNTIF(离职清单!C:C,D4710)&gt;0,"已离职","在职"))</f>
        <v>在职</v>
      </c>
      <c r="P4710" s="28" t="str">
        <f>IF(AND(O4710="在职",J4710="是"),COUNTIF(O$2:O4710,"在职"),"")</f>
        <v/>
      </c>
    </row>
    <row r="4711" spans="1:16">
      <c r="A4711" s="14" t="str">
        <f t="shared" si="78"/>
        <v/>
      </c>
      <c r="D4711" s="120" t="s">
        <v>478</v>
      </c>
      <c r="O4711" s="28" t="str">
        <f>IF(D4711="","",IF(COUNTIF(离职清单!C:C,D4711)&gt;0,"已离职","在职"))</f>
        <v>在职</v>
      </c>
      <c r="P4711" s="28" t="str">
        <f>IF(AND(O4711="在职",J4711="是"),COUNTIF(O$2:O4711,"在职"),"")</f>
        <v/>
      </c>
    </row>
    <row r="4712" spans="1:16">
      <c r="A4712" s="10" t="str">
        <f t="shared" si="78"/>
        <v/>
      </c>
      <c r="D4712" s="120" t="s">
        <v>480</v>
      </c>
      <c r="O4712" s="28" t="str">
        <f>IF(D4712="","",IF(COUNTIF(离职清单!C:C,D4712)&gt;0,"已离职","在职"))</f>
        <v>在职</v>
      </c>
      <c r="P4712" s="28" t="str">
        <f>IF(AND(O4712="在职",J4712="是"),COUNTIF(O$2:O4712,"在职"),"")</f>
        <v/>
      </c>
    </row>
    <row r="4713" spans="1:16">
      <c r="A4713" s="14" t="str">
        <f t="shared" si="78"/>
        <v/>
      </c>
      <c r="D4713" s="120" t="s">
        <v>482</v>
      </c>
      <c r="O4713" s="28" t="str">
        <f>IF(D4713="","",IF(COUNTIF(离职清单!C:C,D4713)&gt;0,"已离职","在职"))</f>
        <v>在职</v>
      </c>
      <c r="P4713" s="28" t="str">
        <f>IF(AND(O4713="在职",J4713="是"),COUNTIF(O$2:O4713,"在职"),"")</f>
        <v/>
      </c>
    </row>
    <row r="4714" spans="1:16">
      <c r="A4714" s="10" t="str">
        <f t="shared" si="78"/>
        <v/>
      </c>
      <c r="D4714" s="120" t="s">
        <v>484</v>
      </c>
      <c r="O4714" s="28" t="str">
        <f>IF(D4714="","",IF(COUNTIF(离职清单!C:C,D4714)&gt;0,"已离职","在职"))</f>
        <v>在职</v>
      </c>
      <c r="P4714" s="28" t="str">
        <f>IF(AND(O4714="在职",J4714="是"),COUNTIF(O$2:O4714,"在职"),"")</f>
        <v/>
      </c>
    </row>
    <row r="4715" spans="1:16">
      <c r="A4715" s="14" t="str">
        <f t="shared" si="78"/>
        <v/>
      </c>
      <c r="D4715" s="120" t="s">
        <v>486</v>
      </c>
      <c r="O4715" s="28" t="str">
        <f>IF(D4715="","",IF(COUNTIF(离职清单!C:C,D4715)&gt;0,"已离职","在职"))</f>
        <v>在职</v>
      </c>
      <c r="P4715" s="28" t="str">
        <f>IF(AND(O4715="在职",J4715="是"),COUNTIF(O$2:O4715,"在职"),"")</f>
        <v/>
      </c>
    </row>
    <row r="4716" spans="1:16">
      <c r="A4716" s="10" t="str">
        <f t="shared" ref="A4716:A4779" si="79">IF(B4716&lt;&gt;"",ROW()-1,"")</f>
        <v/>
      </c>
      <c r="D4716" s="120" t="s">
        <v>488</v>
      </c>
      <c r="O4716" s="28" t="str">
        <f>IF(D4716="","",IF(COUNTIF(离职清单!C:C,D4716)&gt;0,"已离职","在职"))</f>
        <v>在职</v>
      </c>
      <c r="P4716" s="28" t="str">
        <f>IF(AND(O4716="在职",J4716="是"),COUNTIF(O$2:O4716,"在职"),"")</f>
        <v/>
      </c>
    </row>
    <row r="4717" spans="1:16">
      <c r="A4717" s="14" t="str">
        <f t="shared" si="79"/>
        <v/>
      </c>
      <c r="D4717" s="120" t="s">
        <v>490</v>
      </c>
      <c r="O4717" s="28" t="str">
        <f>IF(D4717="","",IF(COUNTIF(离职清单!C:C,D4717)&gt;0,"已离职","在职"))</f>
        <v>在职</v>
      </c>
      <c r="P4717" s="28" t="str">
        <f>IF(AND(O4717="在职",J4717="是"),COUNTIF(O$2:O4717,"在职"),"")</f>
        <v/>
      </c>
    </row>
    <row r="4718" spans="1:16">
      <c r="A4718" s="10" t="str">
        <f t="shared" si="79"/>
        <v/>
      </c>
      <c r="D4718" s="120" t="s">
        <v>492</v>
      </c>
      <c r="O4718" s="28" t="str">
        <f>IF(D4718="","",IF(COUNTIF(离职清单!C:C,D4718)&gt;0,"已离职","在职"))</f>
        <v>在职</v>
      </c>
      <c r="P4718" s="28" t="str">
        <f>IF(AND(O4718="在职",J4718="是"),COUNTIF(O$2:O4718,"在职"),"")</f>
        <v/>
      </c>
    </row>
    <row r="4719" spans="1:16">
      <c r="A4719" s="14" t="str">
        <f t="shared" si="79"/>
        <v/>
      </c>
      <c r="D4719" s="120" t="s">
        <v>477</v>
      </c>
      <c r="O4719" s="28" t="str">
        <f>IF(D4719="","",IF(COUNTIF(离职清单!C:C,D4719)&gt;0,"已离职","在职"))</f>
        <v>在职</v>
      </c>
      <c r="P4719" s="28" t="str">
        <f>IF(AND(O4719="在职",J4719="是"),COUNTIF(O$2:O4719,"在职"),"")</f>
        <v/>
      </c>
    </row>
    <row r="4720" spans="1:16">
      <c r="A4720" s="10" t="str">
        <f t="shared" si="79"/>
        <v/>
      </c>
      <c r="D4720" s="120" t="s">
        <v>478</v>
      </c>
      <c r="O4720" s="28" t="str">
        <f>IF(D4720="","",IF(COUNTIF(离职清单!C:C,D4720)&gt;0,"已离职","在职"))</f>
        <v>在职</v>
      </c>
      <c r="P4720" s="28" t="str">
        <f>IF(AND(O4720="在职",J4720="是"),COUNTIF(O$2:O4720,"在职"),"")</f>
        <v/>
      </c>
    </row>
    <row r="4721" spans="1:16">
      <c r="A4721" s="14" t="str">
        <f t="shared" si="79"/>
        <v/>
      </c>
      <c r="D4721" s="120" t="s">
        <v>480</v>
      </c>
      <c r="O4721" s="28" t="str">
        <f>IF(D4721="","",IF(COUNTIF(离职清单!C:C,D4721)&gt;0,"已离职","在职"))</f>
        <v>在职</v>
      </c>
      <c r="P4721" s="28" t="str">
        <f>IF(AND(O4721="在职",J4721="是"),COUNTIF(O$2:O4721,"在职"),"")</f>
        <v/>
      </c>
    </row>
    <row r="4722" spans="1:16">
      <c r="A4722" s="10" t="str">
        <f t="shared" si="79"/>
        <v/>
      </c>
      <c r="D4722" s="120" t="s">
        <v>482</v>
      </c>
      <c r="O4722" s="28" t="str">
        <f>IF(D4722="","",IF(COUNTIF(离职清单!C:C,D4722)&gt;0,"已离职","在职"))</f>
        <v>在职</v>
      </c>
      <c r="P4722" s="28" t="str">
        <f>IF(AND(O4722="在职",J4722="是"),COUNTIF(O$2:O4722,"在职"),"")</f>
        <v/>
      </c>
    </row>
    <row r="4723" spans="1:16">
      <c r="A4723" s="14" t="str">
        <f t="shared" si="79"/>
        <v/>
      </c>
      <c r="D4723" s="120" t="s">
        <v>484</v>
      </c>
      <c r="O4723" s="28" t="str">
        <f>IF(D4723="","",IF(COUNTIF(离职清单!C:C,D4723)&gt;0,"已离职","在职"))</f>
        <v>在职</v>
      </c>
      <c r="P4723" s="28" t="str">
        <f>IF(AND(O4723="在职",J4723="是"),COUNTIF(O$2:O4723,"在职"),"")</f>
        <v/>
      </c>
    </row>
    <row r="4724" spans="1:16">
      <c r="A4724" s="10" t="str">
        <f t="shared" si="79"/>
        <v/>
      </c>
      <c r="D4724" s="120" t="s">
        <v>486</v>
      </c>
      <c r="O4724" s="28" t="str">
        <f>IF(D4724="","",IF(COUNTIF(离职清单!C:C,D4724)&gt;0,"已离职","在职"))</f>
        <v>在职</v>
      </c>
      <c r="P4724" s="28" t="str">
        <f>IF(AND(O4724="在职",J4724="是"),COUNTIF(O$2:O4724,"在职"),"")</f>
        <v/>
      </c>
    </row>
    <row r="4725" spans="1:16">
      <c r="A4725" s="14" t="str">
        <f t="shared" si="79"/>
        <v/>
      </c>
      <c r="D4725" s="120" t="s">
        <v>488</v>
      </c>
      <c r="O4725" s="28" t="str">
        <f>IF(D4725="","",IF(COUNTIF(离职清单!C:C,D4725)&gt;0,"已离职","在职"))</f>
        <v>在职</v>
      </c>
      <c r="P4725" s="28" t="str">
        <f>IF(AND(O4725="在职",J4725="是"),COUNTIF(O$2:O4725,"在职"),"")</f>
        <v/>
      </c>
    </row>
    <row r="4726" spans="1:16">
      <c r="A4726" s="10" t="str">
        <f t="shared" si="79"/>
        <v/>
      </c>
      <c r="D4726" s="120" t="s">
        <v>490</v>
      </c>
      <c r="O4726" s="28" t="str">
        <f>IF(D4726="","",IF(COUNTIF(离职清单!C:C,D4726)&gt;0,"已离职","在职"))</f>
        <v>在职</v>
      </c>
      <c r="P4726" s="28" t="str">
        <f>IF(AND(O4726="在职",J4726="是"),COUNTIF(O$2:O4726,"在职"),"")</f>
        <v/>
      </c>
    </row>
    <row r="4727" spans="1:16">
      <c r="A4727" s="14" t="str">
        <f t="shared" si="79"/>
        <v/>
      </c>
      <c r="D4727" s="120" t="s">
        <v>492</v>
      </c>
      <c r="O4727" s="28" t="str">
        <f>IF(D4727="","",IF(COUNTIF(离职清单!C:C,D4727)&gt;0,"已离职","在职"))</f>
        <v>在职</v>
      </c>
      <c r="P4727" s="28" t="str">
        <f>IF(AND(O4727="在职",J4727="是"),COUNTIF(O$2:O4727,"在职"),"")</f>
        <v/>
      </c>
    </row>
    <row r="4728" spans="1:16">
      <c r="A4728" s="10" t="str">
        <f t="shared" si="79"/>
        <v/>
      </c>
      <c r="D4728" s="120" t="s">
        <v>477</v>
      </c>
      <c r="O4728" s="28" t="str">
        <f>IF(D4728="","",IF(COUNTIF(离职清单!C:C,D4728)&gt;0,"已离职","在职"))</f>
        <v>在职</v>
      </c>
      <c r="P4728" s="28" t="str">
        <f>IF(AND(O4728="在职",J4728="是"),COUNTIF(O$2:O4728,"在职"),"")</f>
        <v/>
      </c>
    </row>
    <row r="4729" spans="1:16">
      <c r="A4729" s="14" t="str">
        <f t="shared" si="79"/>
        <v/>
      </c>
      <c r="D4729" s="120" t="s">
        <v>478</v>
      </c>
      <c r="O4729" s="28" t="str">
        <f>IF(D4729="","",IF(COUNTIF(离职清单!C:C,D4729)&gt;0,"已离职","在职"))</f>
        <v>在职</v>
      </c>
      <c r="P4729" s="28" t="str">
        <f>IF(AND(O4729="在职",J4729="是"),COUNTIF(O$2:O4729,"在职"),"")</f>
        <v/>
      </c>
    </row>
    <row r="4730" spans="1:16">
      <c r="A4730" s="10" t="str">
        <f t="shared" si="79"/>
        <v/>
      </c>
      <c r="D4730" s="120" t="s">
        <v>480</v>
      </c>
      <c r="O4730" s="28" t="str">
        <f>IF(D4730="","",IF(COUNTIF(离职清单!C:C,D4730)&gt;0,"已离职","在职"))</f>
        <v>在职</v>
      </c>
      <c r="P4730" s="28" t="str">
        <f>IF(AND(O4730="在职",J4730="是"),COUNTIF(O$2:O4730,"在职"),"")</f>
        <v/>
      </c>
    </row>
    <row r="4731" spans="1:16">
      <c r="A4731" s="14" t="str">
        <f t="shared" si="79"/>
        <v/>
      </c>
      <c r="D4731" s="120" t="s">
        <v>482</v>
      </c>
      <c r="O4731" s="28" t="str">
        <f>IF(D4731="","",IF(COUNTIF(离职清单!C:C,D4731)&gt;0,"已离职","在职"))</f>
        <v>在职</v>
      </c>
      <c r="P4731" s="28" t="str">
        <f>IF(AND(O4731="在职",J4731="是"),COUNTIF(O$2:O4731,"在职"),"")</f>
        <v/>
      </c>
    </row>
    <row r="4732" spans="1:16">
      <c r="A4732" s="10" t="str">
        <f t="shared" si="79"/>
        <v/>
      </c>
      <c r="D4732" s="120" t="s">
        <v>484</v>
      </c>
      <c r="O4732" s="28" t="str">
        <f>IF(D4732="","",IF(COUNTIF(离职清单!C:C,D4732)&gt;0,"已离职","在职"))</f>
        <v>在职</v>
      </c>
      <c r="P4732" s="28" t="str">
        <f>IF(AND(O4732="在职",J4732="是"),COUNTIF(O$2:O4732,"在职"),"")</f>
        <v/>
      </c>
    </row>
    <row r="4733" spans="1:16">
      <c r="A4733" s="14" t="str">
        <f t="shared" si="79"/>
        <v/>
      </c>
      <c r="D4733" s="120" t="s">
        <v>486</v>
      </c>
      <c r="O4733" s="28" t="str">
        <f>IF(D4733="","",IF(COUNTIF(离职清单!C:C,D4733)&gt;0,"已离职","在职"))</f>
        <v>在职</v>
      </c>
      <c r="P4733" s="28" t="str">
        <f>IF(AND(O4733="在职",J4733="是"),COUNTIF(O$2:O4733,"在职"),"")</f>
        <v/>
      </c>
    </row>
    <row r="4734" spans="1:16">
      <c r="A4734" s="10" t="str">
        <f t="shared" si="79"/>
        <v/>
      </c>
      <c r="D4734" s="120" t="s">
        <v>488</v>
      </c>
      <c r="O4734" s="28" t="str">
        <f>IF(D4734="","",IF(COUNTIF(离职清单!C:C,D4734)&gt;0,"已离职","在职"))</f>
        <v>在职</v>
      </c>
      <c r="P4734" s="28" t="str">
        <f>IF(AND(O4734="在职",J4734="是"),COUNTIF(O$2:O4734,"在职"),"")</f>
        <v/>
      </c>
    </row>
    <row r="4735" spans="1:16">
      <c r="A4735" s="14" t="str">
        <f t="shared" si="79"/>
        <v/>
      </c>
      <c r="D4735" s="120" t="s">
        <v>490</v>
      </c>
      <c r="O4735" s="28" t="str">
        <f>IF(D4735="","",IF(COUNTIF(离职清单!C:C,D4735)&gt;0,"已离职","在职"))</f>
        <v>在职</v>
      </c>
      <c r="P4735" s="28" t="str">
        <f>IF(AND(O4735="在职",J4735="是"),COUNTIF(O$2:O4735,"在职"),"")</f>
        <v/>
      </c>
    </row>
    <row r="4736" spans="1:16">
      <c r="A4736" s="10" t="str">
        <f t="shared" si="79"/>
        <v/>
      </c>
      <c r="D4736" s="120" t="s">
        <v>492</v>
      </c>
      <c r="O4736" s="28" t="str">
        <f>IF(D4736="","",IF(COUNTIF(离职清单!C:C,D4736)&gt;0,"已离职","在职"))</f>
        <v>在职</v>
      </c>
      <c r="P4736" s="28" t="str">
        <f>IF(AND(O4736="在职",J4736="是"),COUNTIF(O$2:O4736,"在职"),"")</f>
        <v/>
      </c>
    </row>
    <row r="4737" spans="1:16">
      <c r="A4737" s="14" t="str">
        <f t="shared" si="79"/>
        <v/>
      </c>
      <c r="D4737" s="120" t="s">
        <v>477</v>
      </c>
      <c r="O4737" s="28" t="str">
        <f>IF(D4737="","",IF(COUNTIF(离职清单!C:C,D4737)&gt;0,"已离职","在职"))</f>
        <v>在职</v>
      </c>
      <c r="P4737" s="28" t="str">
        <f>IF(AND(O4737="在职",J4737="是"),COUNTIF(O$2:O4737,"在职"),"")</f>
        <v/>
      </c>
    </row>
    <row r="4738" spans="1:16">
      <c r="A4738" s="10" t="str">
        <f t="shared" si="79"/>
        <v/>
      </c>
      <c r="D4738" s="120" t="s">
        <v>478</v>
      </c>
      <c r="O4738" s="28" t="str">
        <f>IF(D4738="","",IF(COUNTIF(离职清单!C:C,D4738)&gt;0,"已离职","在职"))</f>
        <v>在职</v>
      </c>
      <c r="P4738" s="28" t="str">
        <f>IF(AND(O4738="在职",J4738="是"),COUNTIF(O$2:O4738,"在职"),"")</f>
        <v/>
      </c>
    </row>
    <row r="4739" spans="1:16">
      <c r="A4739" s="14" t="str">
        <f t="shared" si="79"/>
        <v/>
      </c>
      <c r="D4739" s="120" t="s">
        <v>480</v>
      </c>
      <c r="O4739" s="28" t="str">
        <f>IF(D4739="","",IF(COUNTIF(离职清单!C:C,D4739)&gt;0,"已离职","在职"))</f>
        <v>在职</v>
      </c>
      <c r="P4739" s="28" t="str">
        <f>IF(AND(O4739="在职",J4739="是"),COUNTIF(O$2:O4739,"在职"),"")</f>
        <v/>
      </c>
    </row>
    <row r="4740" spans="1:16">
      <c r="A4740" s="10" t="str">
        <f t="shared" si="79"/>
        <v/>
      </c>
      <c r="D4740" s="120" t="s">
        <v>482</v>
      </c>
      <c r="O4740" s="28" t="str">
        <f>IF(D4740="","",IF(COUNTIF(离职清单!C:C,D4740)&gt;0,"已离职","在职"))</f>
        <v>在职</v>
      </c>
      <c r="P4740" s="28" t="str">
        <f>IF(AND(O4740="在职",J4740="是"),COUNTIF(O$2:O4740,"在职"),"")</f>
        <v/>
      </c>
    </row>
    <row r="4741" spans="1:16">
      <c r="A4741" s="14" t="str">
        <f t="shared" si="79"/>
        <v/>
      </c>
      <c r="D4741" s="120" t="s">
        <v>484</v>
      </c>
      <c r="O4741" s="28" t="str">
        <f>IF(D4741="","",IF(COUNTIF(离职清单!C:C,D4741)&gt;0,"已离职","在职"))</f>
        <v>在职</v>
      </c>
      <c r="P4741" s="28" t="str">
        <f>IF(AND(O4741="在职",J4741="是"),COUNTIF(O$2:O4741,"在职"),"")</f>
        <v/>
      </c>
    </row>
    <row r="4742" spans="1:16">
      <c r="A4742" s="10" t="str">
        <f t="shared" si="79"/>
        <v/>
      </c>
      <c r="D4742" s="120" t="s">
        <v>486</v>
      </c>
      <c r="O4742" s="28" t="str">
        <f>IF(D4742="","",IF(COUNTIF(离职清单!C:C,D4742)&gt;0,"已离职","在职"))</f>
        <v>在职</v>
      </c>
      <c r="P4742" s="28" t="str">
        <f>IF(AND(O4742="在职",J4742="是"),COUNTIF(O$2:O4742,"在职"),"")</f>
        <v/>
      </c>
    </row>
    <row r="4743" spans="1:16">
      <c r="A4743" s="14" t="str">
        <f t="shared" si="79"/>
        <v/>
      </c>
      <c r="D4743" s="120" t="s">
        <v>488</v>
      </c>
      <c r="O4743" s="28" t="str">
        <f>IF(D4743="","",IF(COUNTIF(离职清单!C:C,D4743)&gt;0,"已离职","在职"))</f>
        <v>在职</v>
      </c>
      <c r="P4743" s="28" t="str">
        <f>IF(AND(O4743="在职",J4743="是"),COUNTIF(O$2:O4743,"在职"),"")</f>
        <v/>
      </c>
    </row>
    <row r="4744" spans="1:16">
      <c r="A4744" s="10" t="str">
        <f t="shared" si="79"/>
        <v/>
      </c>
      <c r="D4744" s="120" t="s">
        <v>490</v>
      </c>
      <c r="O4744" s="28" t="str">
        <f>IF(D4744="","",IF(COUNTIF(离职清单!C:C,D4744)&gt;0,"已离职","在职"))</f>
        <v>在职</v>
      </c>
      <c r="P4744" s="28" t="str">
        <f>IF(AND(O4744="在职",J4744="是"),COUNTIF(O$2:O4744,"在职"),"")</f>
        <v/>
      </c>
    </row>
    <row r="4745" spans="1:16">
      <c r="A4745" s="14" t="str">
        <f t="shared" si="79"/>
        <v/>
      </c>
      <c r="D4745" s="120" t="s">
        <v>492</v>
      </c>
      <c r="O4745" s="28" t="str">
        <f>IF(D4745="","",IF(COUNTIF(离职清单!C:C,D4745)&gt;0,"已离职","在职"))</f>
        <v>在职</v>
      </c>
      <c r="P4745" s="28" t="str">
        <f>IF(AND(O4745="在职",J4745="是"),COUNTIF(O$2:O4745,"在职"),"")</f>
        <v/>
      </c>
    </row>
    <row r="4746" spans="1:16">
      <c r="A4746" s="10" t="str">
        <f t="shared" si="79"/>
        <v/>
      </c>
      <c r="D4746" s="120" t="s">
        <v>477</v>
      </c>
      <c r="O4746" s="28" t="str">
        <f>IF(D4746="","",IF(COUNTIF(离职清单!C:C,D4746)&gt;0,"已离职","在职"))</f>
        <v>在职</v>
      </c>
      <c r="P4746" s="28" t="str">
        <f>IF(AND(O4746="在职",J4746="是"),COUNTIF(O$2:O4746,"在职"),"")</f>
        <v/>
      </c>
    </row>
    <row r="4747" spans="1:16">
      <c r="A4747" s="14" t="str">
        <f t="shared" si="79"/>
        <v/>
      </c>
      <c r="D4747" s="120" t="s">
        <v>477</v>
      </c>
      <c r="O4747" s="28" t="str">
        <f>IF(D4747="","",IF(COUNTIF(离职清单!C:C,D4747)&gt;0,"已离职","在职"))</f>
        <v>在职</v>
      </c>
      <c r="P4747" s="28" t="str">
        <f>IF(AND(O4747="在职",J4747="是"),COUNTIF(O$2:O4747,"在职"),"")</f>
        <v/>
      </c>
    </row>
    <row r="4748" spans="1:16">
      <c r="A4748" s="10" t="str">
        <f t="shared" si="79"/>
        <v/>
      </c>
      <c r="D4748" s="120" t="s">
        <v>478</v>
      </c>
      <c r="O4748" s="28" t="str">
        <f>IF(D4748="","",IF(COUNTIF(离职清单!C:C,D4748)&gt;0,"已离职","在职"))</f>
        <v>在职</v>
      </c>
      <c r="P4748" s="28" t="str">
        <f>IF(AND(O4748="在职",J4748="是"),COUNTIF(O$2:O4748,"在职"),"")</f>
        <v/>
      </c>
    </row>
    <row r="4749" spans="1:16">
      <c r="A4749" s="14" t="str">
        <f t="shared" si="79"/>
        <v/>
      </c>
      <c r="D4749" s="120" t="s">
        <v>480</v>
      </c>
      <c r="O4749" s="28" t="str">
        <f>IF(D4749="","",IF(COUNTIF(离职清单!C:C,D4749)&gt;0,"已离职","在职"))</f>
        <v>在职</v>
      </c>
      <c r="P4749" s="28" t="str">
        <f>IF(AND(O4749="在职",J4749="是"),COUNTIF(O$2:O4749,"在职"),"")</f>
        <v/>
      </c>
    </row>
    <row r="4750" spans="1:16">
      <c r="A4750" s="10" t="str">
        <f t="shared" si="79"/>
        <v/>
      </c>
      <c r="D4750" s="120" t="s">
        <v>482</v>
      </c>
      <c r="O4750" s="28" t="str">
        <f>IF(D4750="","",IF(COUNTIF(离职清单!C:C,D4750)&gt;0,"已离职","在职"))</f>
        <v>在职</v>
      </c>
      <c r="P4750" s="28" t="str">
        <f>IF(AND(O4750="在职",J4750="是"),COUNTIF(O$2:O4750,"在职"),"")</f>
        <v/>
      </c>
    </row>
    <row r="4751" spans="1:16">
      <c r="A4751" s="14" t="str">
        <f t="shared" si="79"/>
        <v/>
      </c>
      <c r="D4751" s="120" t="s">
        <v>484</v>
      </c>
      <c r="O4751" s="28" t="str">
        <f>IF(D4751="","",IF(COUNTIF(离职清单!C:C,D4751)&gt;0,"已离职","在职"))</f>
        <v>在职</v>
      </c>
      <c r="P4751" s="28" t="str">
        <f>IF(AND(O4751="在职",J4751="是"),COUNTIF(O$2:O4751,"在职"),"")</f>
        <v/>
      </c>
    </row>
    <row r="4752" spans="1:16">
      <c r="A4752" s="10" t="str">
        <f t="shared" si="79"/>
        <v/>
      </c>
      <c r="D4752" s="120" t="s">
        <v>486</v>
      </c>
      <c r="O4752" s="28" t="str">
        <f>IF(D4752="","",IF(COUNTIF(离职清单!C:C,D4752)&gt;0,"已离职","在职"))</f>
        <v>在职</v>
      </c>
      <c r="P4752" s="28" t="str">
        <f>IF(AND(O4752="在职",J4752="是"),COUNTIF(O$2:O4752,"在职"),"")</f>
        <v/>
      </c>
    </row>
    <row r="4753" spans="1:16">
      <c r="A4753" s="14" t="str">
        <f t="shared" si="79"/>
        <v/>
      </c>
      <c r="D4753" s="120" t="s">
        <v>488</v>
      </c>
      <c r="O4753" s="28" t="str">
        <f>IF(D4753="","",IF(COUNTIF(离职清单!C:C,D4753)&gt;0,"已离职","在职"))</f>
        <v>在职</v>
      </c>
      <c r="P4753" s="28" t="str">
        <f>IF(AND(O4753="在职",J4753="是"),COUNTIF(O$2:O4753,"在职"),"")</f>
        <v/>
      </c>
    </row>
    <row r="4754" spans="1:16">
      <c r="A4754" s="10" t="str">
        <f t="shared" si="79"/>
        <v/>
      </c>
      <c r="D4754" s="120" t="s">
        <v>490</v>
      </c>
      <c r="O4754" s="28" t="str">
        <f>IF(D4754="","",IF(COUNTIF(离职清单!C:C,D4754)&gt;0,"已离职","在职"))</f>
        <v>在职</v>
      </c>
      <c r="P4754" s="28" t="str">
        <f>IF(AND(O4754="在职",J4754="是"),COUNTIF(O$2:O4754,"在职"),"")</f>
        <v/>
      </c>
    </row>
    <row r="4755" spans="1:16">
      <c r="A4755" s="14" t="str">
        <f t="shared" si="79"/>
        <v/>
      </c>
      <c r="D4755" s="120" t="s">
        <v>492</v>
      </c>
      <c r="O4755" s="28" t="str">
        <f>IF(D4755="","",IF(COUNTIF(离职清单!C:C,D4755)&gt;0,"已离职","在职"))</f>
        <v>在职</v>
      </c>
      <c r="P4755" s="28" t="str">
        <f>IF(AND(O4755="在职",J4755="是"),COUNTIF(O$2:O4755,"在职"),"")</f>
        <v/>
      </c>
    </row>
    <row r="4756" spans="1:16">
      <c r="A4756" s="10" t="str">
        <f t="shared" si="79"/>
        <v/>
      </c>
      <c r="D4756" s="120" t="s">
        <v>477</v>
      </c>
      <c r="O4756" s="28" t="str">
        <f>IF(D4756="","",IF(COUNTIF(离职清单!C:C,D4756)&gt;0,"已离职","在职"))</f>
        <v>在职</v>
      </c>
      <c r="P4756" s="28" t="str">
        <f>IF(AND(O4756="在职",J4756="是"),COUNTIF(O$2:O4756,"在职"),"")</f>
        <v/>
      </c>
    </row>
    <row r="4757" spans="1:16">
      <c r="A4757" s="14" t="str">
        <f t="shared" si="79"/>
        <v/>
      </c>
      <c r="D4757" s="120" t="s">
        <v>478</v>
      </c>
      <c r="O4757" s="28" t="str">
        <f>IF(D4757="","",IF(COUNTIF(离职清单!C:C,D4757)&gt;0,"已离职","在职"))</f>
        <v>在职</v>
      </c>
      <c r="P4757" s="28" t="str">
        <f>IF(AND(O4757="在职",J4757="是"),COUNTIF(O$2:O4757,"在职"),"")</f>
        <v/>
      </c>
    </row>
    <row r="4758" spans="1:16">
      <c r="A4758" s="10" t="str">
        <f t="shared" si="79"/>
        <v/>
      </c>
      <c r="D4758" s="120" t="s">
        <v>480</v>
      </c>
      <c r="O4758" s="28" t="str">
        <f>IF(D4758="","",IF(COUNTIF(离职清单!C:C,D4758)&gt;0,"已离职","在职"))</f>
        <v>在职</v>
      </c>
      <c r="P4758" s="28" t="str">
        <f>IF(AND(O4758="在职",J4758="是"),COUNTIF(O$2:O4758,"在职"),"")</f>
        <v/>
      </c>
    </row>
    <row r="4759" spans="1:16">
      <c r="A4759" s="14" t="str">
        <f t="shared" si="79"/>
        <v/>
      </c>
      <c r="D4759" s="120" t="s">
        <v>482</v>
      </c>
      <c r="O4759" s="28" t="str">
        <f>IF(D4759="","",IF(COUNTIF(离职清单!C:C,D4759)&gt;0,"已离职","在职"))</f>
        <v>在职</v>
      </c>
      <c r="P4759" s="28" t="str">
        <f>IF(AND(O4759="在职",J4759="是"),COUNTIF(O$2:O4759,"在职"),"")</f>
        <v/>
      </c>
    </row>
    <row r="4760" spans="1:16">
      <c r="A4760" s="10" t="str">
        <f t="shared" si="79"/>
        <v/>
      </c>
      <c r="D4760" s="120" t="s">
        <v>484</v>
      </c>
      <c r="O4760" s="28" t="str">
        <f>IF(D4760="","",IF(COUNTIF(离职清单!C:C,D4760)&gt;0,"已离职","在职"))</f>
        <v>在职</v>
      </c>
      <c r="P4760" s="28" t="str">
        <f>IF(AND(O4760="在职",J4760="是"),COUNTIF(O$2:O4760,"在职"),"")</f>
        <v/>
      </c>
    </row>
    <row r="4761" spans="1:16">
      <c r="A4761" s="14" t="str">
        <f t="shared" si="79"/>
        <v/>
      </c>
      <c r="D4761" s="120" t="s">
        <v>486</v>
      </c>
      <c r="O4761" s="28" t="str">
        <f>IF(D4761="","",IF(COUNTIF(离职清单!C:C,D4761)&gt;0,"已离职","在职"))</f>
        <v>在职</v>
      </c>
      <c r="P4761" s="28" t="str">
        <f>IF(AND(O4761="在职",J4761="是"),COUNTIF(O$2:O4761,"在职"),"")</f>
        <v/>
      </c>
    </row>
    <row r="4762" spans="1:16">
      <c r="A4762" s="10" t="str">
        <f t="shared" si="79"/>
        <v/>
      </c>
      <c r="D4762" s="120" t="s">
        <v>488</v>
      </c>
      <c r="O4762" s="28" t="str">
        <f>IF(D4762="","",IF(COUNTIF(离职清单!C:C,D4762)&gt;0,"已离职","在职"))</f>
        <v>在职</v>
      </c>
      <c r="P4762" s="28" t="str">
        <f>IF(AND(O4762="在职",J4762="是"),COUNTIF(O$2:O4762,"在职"),"")</f>
        <v/>
      </c>
    </row>
    <row r="4763" spans="1:16">
      <c r="A4763" s="14" t="str">
        <f t="shared" si="79"/>
        <v/>
      </c>
      <c r="D4763" s="120" t="s">
        <v>490</v>
      </c>
      <c r="O4763" s="28" t="str">
        <f>IF(D4763="","",IF(COUNTIF(离职清单!C:C,D4763)&gt;0,"已离职","在职"))</f>
        <v>在职</v>
      </c>
      <c r="P4763" s="28" t="str">
        <f>IF(AND(O4763="在职",J4763="是"),COUNTIF(O$2:O4763,"在职"),"")</f>
        <v/>
      </c>
    </row>
    <row r="4764" spans="1:16">
      <c r="A4764" s="10" t="str">
        <f t="shared" si="79"/>
        <v/>
      </c>
      <c r="D4764" s="120" t="s">
        <v>492</v>
      </c>
      <c r="O4764" s="28" t="str">
        <f>IF(D4764="","",IF(COUNTIF(离职清单!C:C,D4764)&gt;0,"已离职","在职"))</f>
        <v>在职</v>
      </c>
      <c r="P4764" s="28" t="str">
        <f>IF(AND(O4764="在职",J4764="是"),COUNTIF(O$2:O4764,"在职"),"")</f>
        <v/>
      </c>
    </row>
    <row r="4765" spans="1:16">
      <c r="A4765" s="14" t="str">
        <f t="shared" si="79"/>
        <v/>
      </c>
      <c r="D4765" s="120" t="s">
        <v>477</v>
      </c>
      <c r="O4765" s="28" t="str">
        <f>IF(D4765="","",IF(COUNTIF(离职清单!C:C,D4765)&gt;0,"已离职","在职"))</f>
        <v>在职</v>
      </c>
      <c r="P4765" s="28" t="str">
        <f>IF(AND(O4765="在职",J4765="是"),COUNTIF(O$2:O4765,"在职"),"")</f>
        <v/>
      </c>
    </row>
    <row r="4766" spans="1:16">
      <c r="A4766" s="10" t="str">
        <f t="shared" si="79"/>
        <v/>
      </c>
      <c r="D4766" s="120" t="s">
        <v>478</v>
      </c>
      <c r="O4766" s="28" t="str">
        <f>IF(D4766="","",IF(COUNTIF(离职清单!C:C,D4766)&gt;0,"已离职","在职"))</f>
        <v>在职</v>
      </c>
      <c r="P4766" s="28" t="str">
        <f>IF(AND(O4766="在职",J4766="是"),COUNTIF(O$2:O4766,"在职"),"")</f>
        <v/>
      </c>
    </row>
    <row r="4767" spans="1:16">
      <c r="A4767" s="14" t="str">
        <f t="shared" si="79"/>
        <v/>
      </c>
      <c r="D4767" s="120" t="s">
        <v>480</v>
      </c>
      <c r="O4767" s="28" t="str">
        <f>IF(D4767="","",IF(COUNTIF(离职清单!C:C,D4767)&gt;0,"已离职","在职"))</f>
        <v>在职</v>
      </c>
      <c r="P4767" s="28" t="str">
        <f>IF(AND(O4767="在职",J4767="是"),COUNTIF(O$2:O4767,"在职"),"")</f>
        <v/>
      </c>
    </row>
    <row r="4768" spans="1:16">
      <c r="A4768" s="10" t="str">
        <f t="shared" si="79"/>
        <v/>
      </c>
      <c r="D4768" s="120" t="s">
        <v>482</v>
      </c>
      <c r="O4768" s="28" t="str">
        <f>IF(D4768="","",IF(COUNTIF(离职清单!C:C,D4768)&gt;0,"已离职","在职"))</f>
        <v>在职</v>
      </c>
      <c r="P4768" s="28" t="str">
        <f>IF(AND(O4768="在职",J4768="是"),COUNTIF(O$2:O4768,"在职"),"")</f>
        <v/>
      </c>
    </row>
    <row r="4769" spans="1:16">
      <c r="A4769" s="14" t="str">
        <f t="shared" si="79"/>
        <v/>
      </c>
      <c r="D4769" s="120" t="s">
        <v>484</v>
      </c>
      <c r="O4769" s="28" t="str">
        <f>IF(D4769="","",IF(COUNTIF(离职清单!C:C,D4769)&gt;0,"已离职","在职"))</f>
        <v>在职</v>
      </c>
      <c r="P4769" s="28" t="str">
        <f>IF(AND(O4769="在职",J4769="是"),COUNTIF(O$2:O4769,"在职"),"")</f>
        <v/>
      </c>
    </row>
    <row r="4770" spans="1:16">
      <c r="A4770" s="10" t="str">
        <f t="shared" si="79"/>
        <v/>
      </c>
      <c r="D4770" s="120" t="s">
        <v>486</v>
      </c>
      <c r="O4770" s="28" t="str">
        <f>IF(D4770="","",IF(COUNTIF(离职清单!C:C,D4770)&gt;0,"已离职","在职"))</f>
        <v>在职</v>
      </c>
      <c r="P4770" s="28" t="str">
        <f>IF(AND(O4770="在职",J4770="是"),COUNTIF(O$2:O4770,"在职"),"")</f>
        <v/>
      </c>
    </row>
    <row r="4771" spans="1:16">
      <c r="A4771" s="14" t="str">
        <f t="shared" si="79"/>
        <v/>
      </c>
      <c r="D4771" s="120" t="s">
        <v>488</v>
      </c>
      <c r="O4771" s="28" t="str">
        <f>IF(D4771="","",IF(COUNTIF(离职清单!C:C,D4771)&gt;0,"已离职","在职"))</f>
        <v>在职</v>
      </c>
      <c r="P4771" s="28" t="str">
        <f>IF(AND(O4771="在职",J4771="是"),COUNTIF(O$2:O4771,"在职"),"")</f>
        <v/>
      </c>
    </row>
    <row r="4772" spans="1:16">
      <c r="A4772" s="10" t="str">
        <f t="shared" si="79"/>
        <v/>
      </c>
      <c r="D4772" s="120" t="s">
        <v>490</v>
      </c>
      <c r="O4772" s="28" t="str">
        <f>IF(D4772="","",IF(COUNTIF(离职清单!C:C,D4772)&gt;0,"已离职","在职"))</f>
        <v>在职</v>
      </c>
      <c r="P4772" s="28" t="str">
        <f>IF(AND(O4772="在职",J4772="是"),COUNTIF(O$2:O4772,"在职"),"")</f>
        <v/>
      </c>
    </row>
    <row r="4773" spans="1:16">
      <c r="A4773" s="14" t="str">
        <f t="shared" si="79"/>
        <v/>
      </c>
      <c r="D4773" s="120" t="s">
        <v>492</v>
      </c>
      <c r="O4773" s="28" t="str">
        <f>IF(D4773="","",IF(COUNTIF(离职清单!C:C,D4773)&gt;0,"已离职","在职"))</f>
        <v>在职</v>
      </c>
      <c r="P4773" s="28" t="str">
        <f>IF(AND(O4773="在职",J4773="是"),COUNTIF(O$2:O4773,"在职"),"")</f>
        <v/>
      </c>
    </row>
    <row r="4774" spans="1:16">
      <c r="A4774" s="10" t="str">
        <f t="shared" si="79"/>
        <v/>
      </c>
      <c r="D4774" s="120" t="s">
        <v>477</v>
      </c>
      <c r="O4774" s="28" t="str">
        <f>IF(D4774="","",IF(COUNTIF(离职清单!C:C,D4774)&gt;0,"已离职","在职"))</f>
        <v>在职</v>
      </c>
      <c r="P4774" s="28" t="str">
        <f>IF(AND(O4774="在职",J4774="是"),COUNTIF(O$2:O4774,"在职"),"")</f>
        <v/>
      </c>
    </row>
    <row r="4775" spans="1:16">
      <c r="A4775" s="14" t="str">
        <f t="shared" si="79"/>
        <v/>
      </c>
      <c r="D4775" s="120" t="s">
        <v>478</v>
      </c>
      <c r="O4775" s="28" t="str">
        <f>IF(D4775="","",IF(COUNTIF(离职清单!C:C,D4775)&gt;0,"已离职","在职"))</f>
        <v>在职</v>
      </c>
      <c r="P4775" s="28" t="str">
        <f>IF(AND(O4775="在职",J4775="是"),COUNTIF(O$2:O4775,"在职"),"")</f>
        <v/>
      </c>
    </row>
    <row r="4776" spans="1:16">
      <c r="A4776" s="10" t="str">
        <f t="shared" si="79"/>
        <v/>
      </c>
      <c r="D4776" s="120" t="s">
        <v>480</v>
      </c>
      <c r="O4776" s="28" t="str">
        <f>IF(D4776="","",IF(COUNTIF(离职清单!C:C,D4776)&gt;0,"已离职","在职"))</f>
        <v>在职</v>
      </c>
      <c r="P4776" s="28" t="str">
        <f>IF(AND(O4776="在职",J4776="是"),COUNTIF(O$2:O4776,"在职"),"")</f>
        <v/>
      </c>
    </row>
    <row r="4777" spans="1:16">
      <c r="A4777" s="14" t="str">
        <f t="shared" si="79"/>
        <v/>
      </c>
      <c r="D4777" s="120" t="s">
        <v>482</v>
      </c>
      <c r="O4777" s="28" t="str">
        <f>IF(D4777="","",IF(COUNTIF(离职清单!C:C,D4777)&gt;0,"已离职","在职"))</f>
        <v>在职</v>
      </c>
      <c r="P4777" s="28" t="str">
        <f>IF(AND(O4777="在职",J4777="是"),COUNTIF(O$2:O4777,"在职"),"")</f>
        <v/>
      </c>
    </row>
    <row r="4778" spans="1:16">
      <c r="A4778" s="10" t="str">
        <f t="shared" si="79"/>
        <v/>
      </c>
      <c r="D4778" s="120" t="s">
        <v>484</v>
      </c>
      <c r="O4778" s="28" t="str">
        <f>IF(D4778="","",IF(COUNTIF(离职清单!C:C,D4778)&gt;0,"已离职","在职"))</f>
        <v>在职</v>
      </c>
      <c r="P4778" s="28" t="str">
        <f>IF(AND(O4778="在职",J4778="是"),COUNTIF(O$2:O4778,"在职"),"")</f>
        <v/>
      </c>
    </row>
    <row r="4779" spans="1:16">
      <c r="A4779" s="14" t="str">
        <f t="shared" si="79"/>
        <v/>
      </c>
      <c r="D4779" s="120" t="s">
        <v>486</v>
      </c>
      <c r="O4779" s="28" t="str">
        <f>IF(D4779="","",IF(COUNTIF(离职清单!C:C,D4779)&gt;0,"已离职","在职"))</f>
        <v>在职</v>
      </c>
      <c r="P4779" s="28" t="str">
        <f>IF(AND(O4779="在职",J4779="是"),COUNTIF(O$2:O4779,"在职"),"")</f>
        <v/>
      </c>
    </row>
    <row r="4780" spans="1:16">
      <c r="A4780" s="10" t="str">
        <f t="shared" ref="A4780:A4843" si="80">IF(B4780&lt;&gt;"",ROW()-1,"")</f>
        <v/>
      </c>
      <c r="D4780" s="120" t="s">
        <v>488</v>
      </c>
      <c r="O4780" s="28" t="str">
        <f>IF(D4780="","",IF(COUNTIF(离职清单!C:C,D4780)&gt;0,"已离职","在职"))</f>
        <v>在职</v>
      </c>
      <c r="P4780" s="28" t="str">
        <f>IF(AND(O4780="在职",J4780="是"),COUNTIF(O$2:O4780,"在职"),"")</f>
        <v/>
      </c>
    </row>
    <row r="4781" spans="1:16">
      <c r="A4781" s="14" t="str">
        <f t="shared" si="80"/>
        <v/>
      </c>
      <c r="D4781" s="120" t="s">
        <v>490</v>
      </c>
      <c r="O4781" s="28" t="str">
        <f>IF(D4781="","",IF(COUNTIF(离职清单!C:C,D4781)&gt;0,"已离职","在职"))</f>
        <v>在职</v>
      </c>
      <c r="P4781" s="28" t="str">
        <f>IF(AND(O4781="在职",J4781="是"),COUNTIF(O$2:O4781,"在职"),"")</f>
        <v/>
      </c>
    </row>
    <row r="4782" spans="1:16">
      <c r="A4782" s="10" t="str">
        <f t="shared" si="80"/>
        <v/>
      </c>
      <c r="D4782" s="120" t="s">
        <v>492</v>
      </c>
      <c r="O4782" s="28" t="str">
        <f>IF(D4782="","",IF(COUNTIF(离职清单!C:C,D4782)&gt;0,"已离职","在职"))</f>
        <v>在职</v>
      </c>
      <c r="P4782" s="28" t="str">
        <f>IF(AND(O4782="在职",J4782="是"),COUNTIF(O$2:O4782,"在职"),"")</f>
        <v/>
      </c>
    </row>
    <row r="4783" spans="1:16">
      <c r="A4783" s="14" t="str">
        <f t="shared" si="80"/>
        <v/>
      </c>
      <c r="D4783" s="120" t="s">
        <v>477</v>
      </c>
      <c r="O4783" s="28" t="str">
        <f>IF(D4783="","",IF(COUNTIF(离职清单!C:C,D4783)&gt;0,"已离职","在职"))</f>
        <v>在职</v>
      </c>
      <c r="P4783" s="28" t="str">
        <f>IF(AND(O4783="在职",J4783="是"),COUNTIF(O$2:O4783,"在职"),"")</f>
        <v/>
      </c>
    </row>
    <row r="4784" spans="1:16">
      <c r="A4784" s="10" t="str">
        <f t="shared" si="80"/>
        <v/>
      </c>
      <c r="D4784" s="120" t="s">
        <v>478</v>
      </c>
      <c r="O4784" s="28" t="str">
        <f>IF(D4784="","",IF(COUNTIF(离职清单!C:C,D4784)&gt;0,"已离职","在职"))</f>
        <v>在职</v>
      </c>
      <c r="P4784" s="28" t="str">
        <f>IF(AND(O4784="在职",J4784="是"),COUNTIF(O$2:O4784,"在职"),"")</f>
        <v/>
      </c>
    </row>
    <row r="4785" spans="1:16">
      <c r="A4785" s="14" t="str">
        <f t="shared" si="80"/>
        <v/>
      </c>
      <c r="D4785" s="120" t="s">
        <v>480</v>
      </c>
      <c r="O4785" s="28" t="str">
        <f>IF(D4785="","",IF(COUNTIF(离职清单!C:C,D4785)&gt;0,"已离职","在职"))</f>
        <v>在职</v>
      </c>
      <c r="P4785" s="28" t="str">
        <f>IF(AND(O4785="在职",J4785="是"),COUNTIF(O$2:O4785,"在职"),"")</f>
        <v/>
      </c>
    </row>
    <row r="4786" spans="1:16">
      <c r="A4786" s="10" t="str">
        <f t="shared" si="80"/>
        <v/>
      </c>
      <c r="D4786" s="120" t="s">
        <v>482</v>
      </c>
      <c r="O4786" s="28" t="str">
        <f>IF(D4786="","",IF(COUNTIF(离职清单!C:C,D4786)&gt;0,"已离职","在职"))</f>
        <v>在职</v>
      </c>
      <c r="P4786" s="28" t="str">
        <f>IF(AND(O4786="在职",J4786="是"),COUNTIF(O$2:O4786,"在职"),"")</f>
        <v/>
      </c>
    </row>
    <row r="4787" spans="1:16">
      <c r="A4787" s="14" t="str">
        <f t="shared" si="80"/>
        <v/>
      </c>
      <c r="D4787" s="120" t="s">
        <v>484</v>
      </c>
      <c r="O4787" s="28" t="str">
        <f>IF(D4787="","",IF(COUNTIF(离职清单!C:C,D4787)&gt;0,"已离职","在职"))</f>
        <v>在职</v>
      </c>
      <c r="P4787" s="28" t="str">
        <f>IF(AND(O4787="在职",J4787="是"),COUNTIF(O$2:O4787,"在职"),"")</f>
        <v/>
      </c>
    </row>
    <row r="4788" spans="1:16">
      <c r="A4788" s="10" t="str">
        <f t="shared" si="80"/>
        <v/>
      </c>
      <c r="D4788" s="120" t="s">
        <v>486</v>
      </c>
      <c r="O4788" s="28" t="str">
        <f>IF(D4788="","",IF(COUNTIF(离职清单!C:C,D4788)&gt;0,"已离职","在职"))</f>
        <v>在职</v>
      </c>
      <c r="P4788" s="28" t="str">
        <f>IF(AND(O4788="在职",J4788="是"),COUNTIF(O$2:O4788,"在职"),"")</f>
        <v/>
      </c>
    </row>
    <row r="4789" spans="1:16">
      <c r="A4789" s="14" t="str">
        <f t="shared" si="80"/>
        <v/>
      </c>
      <c r="D4789" s="120" t="s">
        <v>488</v>
      </c>
      <c r="O4789" s="28" t="str">
        <f>IF(D4789="","",IF(COUNTIF(离职清单!C:C,D4789)&gt;0,"已离职","在职"))</f>
        <v>在职</v>
      </c>
      <c r="P4789" s="28" t="str">
        <f>IF(AND(O4789="在职",J4789="是"),COUNTIF(O$2:O4789,"在职"),"")</f>
        <v/>
      </c>
    </row>
    <row r="4790" spans="1:16">
      <c r="A4790" s="10" t="str">
        <f t="shared" si="80"/>
        <v/>
      </c>
      <c r="D4790" s="120" t="s">
        <v>490</v>
      </c>
      <c r="O4790" s="28" t="str">
        <f>IF(D4790="","",IF(COUNTIF(离职清单!C:C,D4790)&gt;0,"已离职","在职"))</f>
        <v>在职</v>
      </c>
      <c r="P4790" s="28" t="str">
        <f>IF(AND(O4790="在职",J4790="是"),COUNTIF(O$2:O4790,"在职"),"")</f>
        <v/>
      </c>
    </row>
    <row r="4791" spans="1:16">
      <c r="A4791" s="14" t="str">
        <f t="shared" si="80"/>
        <v/>
      </c>
      <c r="D4791" s="120" t="s">
        <v>492</v>
      </c>
      <c r="O4791" s="28" t="str">
        <f>IF(D4791="","",IF(COUNTIF(离职清单!C:C,D4791)&gt;0,"已离职","在职"))</f>
        <v>在职</v>
      </c>
      <c r="P4791" s="28" t="str">
        <f>IF(AND(O4791="在职",J4791="是"),COUNTIF(O$2:O4791,"在职"),"")</f>
        <v/>
      </c>
    </row>
    <row r="4792" spans="1:16">
      <c r="A4792" s="10" t="str">
        <f t="shared" si="80"/>
        <v/>
      </c>
      <c r="D4792" s="120" t="s">
        <v>477</v>
      </c>
      <c r="O4792" s="28" t="str">
        <f>IF(D4792="","",IF(COUNTIF(离职清单!C:C,D4792)&gt;0,"已离职","在职"))</f>
        <v>在职</v>
      </c>
      <c r="P4792" s="28" t="str">
        <f>IF(AND(O4792="在职",J4792="是"),COUNTIF(O$2:O4792,"在职"),"")</f>
        <v/>
      </c>
    </row>
    <row r="4793" spans="1:16">
      <c r="A4793" s="14" t="str">
        <f t="shared" si="80"/>
        <v/>
      </c>
      <c r="D4793" s="120" t="s">
        <v>478</v>
      </c>
      <c r="O4793" s="28" t="str">
        <f>IF(D4793="","",IF(COUNTIF(离职清单!C:C,D4793)&gt;0,"已离职","在职"))</f>
        <v>在职</v>
      </c>
      <c r="P4793" s="28" t="str">
        <f>IF(AND(O4793="在职",J4793="是"),COUNTIF(O$2:O4793,"在职"),"")</f>
        <v/>
      </c>
    </row>
    <row r="4794" spans="1:16">
      <c r="A4794" s="10" t="str">
        <f t="shared" si="80"/>
        <v/>
      </c>
      <c r="D4794" s="120" t="s">
        <v>480</v>
      </c>
      <c r="O4794" s="28" t="str">
        <f>IF(D4794="","",IF(COUNTIF(离职清单!C:C,D4794)&gt;0,"已离职","在职"))</f>
        <v>在职</v>
      </c>
      <c r="P4794" s="28" t="str">
        <f>IF(AND(O4794="在职",J4794="是"),COUNTIF(O$2:O4794,"在职"),"")</f>
        <v/>
      </c>
    </row>
    <row r="4795" spans="1:16">
      <c r="A4795" s="14" t="str">
        <f t="shared" si="80"/>
        <v/>
      </c>
      <c r="D4795" s="120" t="s">
        <v>482</v>
      </c>
      <c r="O4795" s="28" t="str">
        <f>IF(D4795="","",IF(COUNTIF(离职清单!C:C,D4795)&gt;0,"已离职","在职"))</f>
        <v>在职</v>
      </c>
      <c r="P4795" s="28" t="str">
        <f>IF(AND(O4795="在职",J4795="是"),COUNTIF(O$2:O4795,"在职"),"")</f>
        <v/>
      </c>
    </row>
    <row r="4796" spans="1:16">
      <c r="A4796" s="10" t="str">
        <f t="shared" si="80"/>
        <v/>
      </c>
      <c r="D4796" s="120" t="s">
        <v>484</v>
      </c>
      <c r="O4796" s="28" t="str">
        <f>IF(D4796="","",IF(COUNTIF(离职清单!C:C,D4796)&gt;0,"已离职","在职"))</f>
        <v>在职</v>
      </c>
      <c r="P4796" s="28" t="str">
        <f>IF(AND(O4796="在职",J4796="是"),COUNTIF(O$2:O4796,"在职"),"")</f>
        <v/>
      </c>
    </row>
    <row r="4797" spans="1:16">
      <c r="A4797" s="14" t="str">
        <f t="shared" si="80"/>
        <v/>
      </c>
      <c r="D4797" s="120" t="s">
        <v>486</v>
      </c>
      <c r="O4797" s="28" t="str">
        <f>IF(D4797="","",IF(COUNTIF(离职清单!C:C,D4797)&gt;0,"已离职","在职"))</f>
        <v>在职</v>
      </c>
      <c r="P4797" s="28" t="str">
        <f>IF(AND(O4797="在职",J4797="是"),COUNTIF(O$2:O4797,"在职"),"")</f>
        <v/>
      </c>
    </row>
    <row r="4798" spans="1:16">
      <c r="A4798" s="10" t="str">
        <f t="shared" si="80"/>
        <v/>
      </c>
      <c r="D4798" s="120" t="s">
        <v>488</v>
      </c>
      <c r="O4798" s="28" t="str">
        <f>IF(D4798="","",IF(COUNTIF(离职清单!C:C,D4798)&gt;0,"已离职","在职"))</f>
        <v>在职</v>
      </c>
      <c r="P4798" s="28" t="str">
        <f>IF(AND(O4798="在职",J4798="是"),COUNTIF(O$2:O4798,"在职"),"")</f>
        <v/>
      </c>
    </row>
    <row r="4799" spans="1:16">
      <c r="A4799" s="14" t="str">
        <f t="shared" si="80"/>
        <v/>
      </c>
      <c r="D4799" s="120" t="s">
        <v>490</v>
      </c>
      <c r="O4799" s="28" t="str">
        <f>IF(D4799="","",IF(COUNTIF(离职清单!C:C,D4799)&gt;0,"已离职","在职"))</f>
        <v>在职</v>
      </c>
      <c r="P4799" s="28" t="str">
        <f>IF(AND(O4799="在职",J4799="是"),COUNTIF(O$2:O4799,"在职"),"")</f>
        <v/>
      </c>
    </row>
    <row r="4800" spans="1:16">
      <c r="A4800" s="10" t="str">
        <f t="shared" si="80"/>
        <v/>
      </c>
      <c r="D4800" s="120" t="s">
        <v>492</v>
      </c>
      <c r="O4800" s="28" t="str">
        <f>IF(D4800="","",IF(COUNTIF(离职清单!C:C,D4800)&gt;0,"已离职","在职"))</f>
        <v>在职</v>
      </c>
      <c r="P4800" s="28" t="str">
        <f>IF(AND(O4800="在职",J4800="是"),COUNTIF(O$2:O4800,"在职"),"")</f>
        <v/>
      </c>
    </row>
    <row r="4801" spans="1:16">
      <c r="A4801" s="14" t="str">
        <f t="shared" si="80"/>
        <v/>
      </c>
      <c r="D4801" s="120" t="s">
        <v>477</v>
      </c>
      <c r="O4801" s="28" t="str">
        <f>IF(D4801="","",IF(COUNTIF(离职清单!C:C,D4801)&gt;0,"已离职","在职"))</f>
        <v>在职</v>
      </c>
      <c r="P4801" s="28" t="str">
        <f>IF(AND(O4801="在职",J4801="是"),COUNTIF(O$2:O4801,"在职"),"")</f>
        <v/>
      </c>
    </row>
    <row r="4802" spans="1:16">
      <c r="A4802" s="10" t="str">
        <f t="shared" si="80"/>
        <v/>
      </c>
      <c r="D4802" s="120" t="s">
        <v>477</v>
      </c>
      <c r="O4802" s="28" t="str">
        <f>IF(D4802="","",IF(COUNTIF(离职清单!C:C,D4802)&gt;0,"已离职","在职"))</f>
        <v>在职</v>
      </c>
      <c r="P4802" s="28" t="str">
        <f>IF(AND(O4802="在职",J4802="是"),COUNTIF(O$2:O4802,"在职"),"")</f>
        <v/>
      </c>
    </row>
    <row r="4803" spans="1:16">
      <c r="A4803" s="14" t="str">
        <f t="shared" si="80"/>
        <v/>
      </c>
      <c r="D4803" s="120" t="s">
        <v>478</v>
      </c>
      <c r="O4803" s="28" t="str">
        <f>IF(D4803="","",IF(COUNTIF(离职清单!C:C,D4803)&gt;0,"已离职","在职"))</f>
        <v>在职</v>
      </c>
      <c r="P4803" s="28" t="str">
        <f>IF(AND(O4803="在职",J4803="是"),COUNTIF(O$2:O4803,"在职"),"")</f>
        <v/>
      </c>
    </row>
    <row r="4804" spans="1:16">
      <c r="A4804" s="10" t="str">
        <f t="shared" si="80"/>
        <v/>
      </c>
      <c r="D4804" s="120" t="s">
        <v>480</v>
      </c>
      <c r="O4804" s="28" t="str">
        <f>IF(D4804="","",IF(COUNTIF(离职清单!C:C,D4804)&gt;0,"已离职","在职"))</f>
        <v>在职</v>
      </c>
      <c r="P4804" s="28" t="str">
        <f>IF(AND(O4804="在职",J4804="是"),COUNTIF(O$2:O4804,"在职"),"")</f>
        <v/>
      </c>
    </row>
    <row r="4805" spans="1:16">
      <c r="A4805" s="14" t="str">
        <f t="shared" si="80"/>
        <v/>
      </c>
      <c r="D4805" s="120" t="s">
        <v>482</v>
      </c>
      <c r="O4805" s="28" t="str">
        <f>IF(D4805="","",IF(COUNTIF(离职清单!C:C,D4805)&gt;0,"已离职","在职"))</f>
        <v>在职</v>
      </c>
      <c r="P4805" s="28" t="str">
        <f>IF(AND(O4805="在职",J4805="是"),COUNTIF(O$2:O4805,"在职"),"")</f>
        <v/>
      </c>
    </row>
    <row r="4806" spans="1:16">
      <c r="A4806" s="10" t="str">
        <f t="shared" si="80"/>
        <v/>
      </c>
      <c r="D4806" s="120" t="s">
        <v>484</v>
      </c>
      <c r="O4806" s="28" t="str">
        <f>IF(D4806="","",IF(COUNTIF(离职清单!C:C,D4806)&gt;0,"已离职","在职"))</f>
        <v>在职</v>
      </c>
      <c r="P4806" s="28" t="str">
        <f>IF(AND(O4806="在职",J4806="是"),COUNTIF(O$2:O4806,"在职"),"")</f>
        <v/>
      </c>
    </row>
    <row r="4807" spans="1:16">
      <c r="A4807" s="14" t="str">
        <f t="shared" si="80"/>
        <v/>
      </c>
      <c r="D4807" s="120" t="s">
        <v>486</v>
      </c>
      <c r="O4807" s="28" t="str">
        <f>IF(D4807="","",IF(COUNTIF(离职清单!C:C,D4807)&gt;0,"已离职","在职"))</f>
        <v>在职</v>
      </c>
      <c r="P4807" s="28" t="str">
        <f>IF(AND(O4807="在职",J4807="是"),COUNTIF(O$2:O4807,"在职"),"")</f>
        <v/>
      </c>
    </row>
    <row r="4808" spans="1:16">
      <c r="A4808" s="10" t="str">
        <f t="shared" si="80"/>
        <v/>
      </c>
      <c r="D4808" s="120" t="s">
        <v>488</v>
      </c>
      <c r="O4808" s="28" t="str">
        <f>IF(D4808="","",IF(COUNTIF(离职清单!C:C,D4808)&gt;0,"已离职","在职"))</f>
        <v>在职</v>
      </c>
      <c r="P4808" s="28" t="str">
        <f>IF(AND(O4808="在职",J4808="是"),COUNTIF(O$2:O4808,"在职"),"")</f>
        <v/>
      </c>
    </row>
    <row r="4809" spans="1:16">
      <c r="A4809" s="14" t="str">
        <f t="shared" si="80"/>
        <v/>
      </c>
      <c r="D4809" s="120" t="s">
        <v>490</v>
      </c>
      <c r="O4809" s="28" t="str">
        <f>IF(D4809="","",IF(COUNTIF(离职清单!C:C,D4809)&gt;0,"已离职","在职"))</f>
        <v>在职</v>
      </c>
      <c r="P4809" s="28" t="str">
        <f>IF(AND(O4809="在职",J4809="是"),COUNTIF(O$2:O4809,"在职"),"")</f>
        <v/>
      </c>
    </row>
    <row r="4810" spans="1:16">
      <c r="A4810" s="10" t="str">
        <f t="shared" si="80"/>
        <v/>
      </c>
      <c r="D4810" s="120" t="s">
        <v>492</v>
      </c>
      <c r="O4810" s="28" t="str">
        <f>IF(D4810="","",IF(COUNTIF(离职清单!C:C,D4810)&gt;0,"已离职","在职"))</f>
        <v>在职</v>
      </c>
      <c r="P4810" s="28" t="str">
        <f>IF(AND(O4810="在职",J4810="是"),COUNTIF(O$2:O4810,"在职"),"")</f>
        <v/>
      </c>
    </row>
    <row r="4811" spans="1:16">
      <c r="A4811" s="14" t="str">
        <f t="shared" si="80"/>
        <v/>
      </c>
      <c r="D4811" s="120" t="s">
        <v>477</v>
      </c>
      <c r="O4811" s="28" t="str">
        <f>IF(D4811="","",IF(COUNTIF(离职清单!C:C,D4811)&gt;0,"已离职","在职"))</f>
        <v>在职</v>
      </c>
      <c r="P4811" s="28" t="str">
        <f>IF(AND(O4811="在职",J4811="是"),COUNTIF(O$2:O4811,"在职"),"")</f>
        <v/>
      </c>
    </row>
    <row r="4812" spans="1:16">
      <c r="A4812" s="10" t="str">
        <f t="shared" si="80"/>
        <v/>
      </c>
      <c r="D4812" s="120" t="s">
        <v>478</v>
      </c>
      <c r="O4812" s="28" t="str">
        <f>IF(D4812="","",IF(COUNTIF(离职清单!C:C,D4812)&gt;0,"已离职","在职"))</f>
        <v>在职</v>
      </c>
      <c r="P4812" s="28" t="str">
        <f>IF(AND(O4812="在职",J4812="是"),COUNTIF(O$2:O4812,"在职"),"")</f>
        <v/>
      </c>
    </row>
    <row r="4813" spans="1:16">
      <c r="A4813" s="14" t="str">
        <f t="shared" si="80"/>
        <v/>
      </c>
      <c r="D4813" s="120" t="s">
        <v>480</v>
      </c>
      <c r="O4813" s="28" t="str">
        <f>IF(D4813="","",IF(COUNTIF(离职清单!C:C,D4813)&gt;0,"已离职","在职"))</f>
        <v>在职</v>
      </c>
      <c r="P4813" s="28" t="str">
        <f>IF(AND(O4813="在职",J4813="是"),COUNTIF(O$2:O4813,"在职"),"")</f>
        <v/>
      </c>
    </row>
    <row r="4814" spans="1:16">
      <c r="A4814" s="10" t="str">
        <f t="shared" si="80"/>
        <v/>
      </c>
      <c r="D4814" s="120" t="s">
        <v>482</v>
      </c>
      <c r="O4814" s="28" t="str">
        <f>IF(D4814="","",IF(COUNTIF(离职清单!C:C,D4814)&gt;0,"已离职","在职"))</f>
        <v>在职</v>
      </c>
      <c r="P4814" s="28" t="str">
        <f>IF(AND(O4814="在职",J4814="是"),COUNTIF(O$2:O4814,"在职"),"")</f>
        <v/>
      </c>
    </row>
    <row r="4815" spans="1:16">
      <c r="A4815" s="14" t="str">
        <f t="shared" si="80"/>
        <v/>
      </c>
      <c r="D4815" s="120" t="s">
        <v>484</v>
      </c>
      <c r="O4815" s="28" t="str">
        <f>IF(D4815="","",IF(COUNTIF(离职清单!C:C,D4815)&gt;0,"已离职","在职"))</f>
        <v>在职</v>
      </c>
      <c r="P4815" s="28" t="str">
        <f>IF(AND(O4815="在职",J4815="是"),COUNTIF(O$2:O4815,"在职"),"")</f>
        <v/>
      </c>
    </row>
    <row r="4816" spans="1:16">
      <c r="A4816" s="10" t="str">
        <f t="shared" si="80"/>
        <v/>
      </c>
      <c r="D4816" s="120" t="s">
        <v>486</v>
      </c>
      <c r="O4816" s="28" t="str">
        <f>IF(D4816="","",IF(COUNTIF(离职清单!C:C,D4816)&gt;0,"已离职","在职"))</f>
        <v>在职</v>
      </c>
      <c r="P4816" s="28" t="str">
        <f>IF(AND(O4816="在职",J4816="是"),COUNTIF(O$2:O4816,"在职"),"")</f>
        <v/>
      </c>
    </row>
    <row r="4817" spans="1:16">
      <c r="A4817" s="14" t="str">
        <f t="shared" si="80"/>
        <v/>
      </c>
      <c r="D4817" s="120" t="s">
        <v>488</v>
      </c>
      <c r="O4817" s="28" t="str">
        <f>IF(D4817="","",IF(COUNTIF(离职清单!C:C,D4817)&gt;0,"已离职","在职"))</f>
        <v>在职</v>
      </c>
      <c r="P4817" s="28" t="str">
        <f>IF(AND(O4817="在职",J4817="是"),COUNTIF(O$2:O4817,"在职"),"")</f>
        <v/>
      </c>
    </row>
    <row r="4818" spans="1:16">
      <c r="A4818" s="10" t="str">
        <f t="shared" si="80"/>
        <v/>
      </c>
      <c r="D4818" s="120" t="s">
        <v>490</v>
      </c>
      <c r="O4818" s="28" t="str">
        <f>IF(D4818="","",IF(COUNTIF(离职清单!C:C,D4818)&gt;0,"已离职","在职"))</f>
        <v>在职</v>
      </c>
      <c r="P4818" s="28" t="str">
        <f>IF(AND(O4818="在职",J4818="是"),COUNTIF(O$2:O4818,"在职"),"")</f>
        <v/>
      </c>
    </row>
    <row r="4819" spans="1:16">
      <c r="A4819" s="14" t="str">
        <f t="shared" si="80"/>
        <v/>
      </c>
      <c r="D4819" s="120" t="s">
        <v>492</v>
      </c>
      <c r="O4819" s="28" t="str">
        <f>IF(D4819="","",IF(COUNTIF(离职清单!C:C,D4819)&gt;0,"已离职","在职"))</f>
        <v>在职</v>
      </c>
      <c r="P4819" s="28" t="str">
        <f>IF(AND(O4819="在职",J4819="是"),COUNTIF(O$2:O4819,"在职"),"")</f>
        <v/>
      </c>
    </row>
    <row r="4820" spans="1:16">
      <c r="A4820" s="10" t="str">
        <f t="shared" si="80"/>
        <v/>
      </c>
      <c r="D4820" s="120" t="s">
        <v>477</v>
      </c>
      <c r="O4820" s="28" t="str">
        <f>IF(D4820="","",IF(COUNTIF(离职清单!C:C,D4820)&gt;0,"已离职","在职"))</f>
        <v>在职</v>
      </c>
      <c r="P4820" s="28" t="str">
        <f>IF(AND(O4820="在职",J4820="是"),COUNTIF(O$2:O4820,"在职"),"")</f>
        <v/>
      </c>
    </row>
    <row r="4821" spans="1:16">
      <c r="A4821" s="14" t="str">
        <f t="shared" si="80"/>
        <v/>
      </c>
      <c r="D4821" s="120" t="s">
        <v>478</v>
      </c>
      <c r="O4821" s="28" t="str">
        <f>IF(D4821="","",IF(COUNTIF(离职清单!C:C,D4821)&gt;0,"已离职","在职"))</f>
        <v>在职</v>
      </c>
      <c r="P4821" s="28" t="str">
        <f>IF(AND(O4821="在职",J4821="是"),COUNTIF(O$2:O4821,"在职"),"")</f>
        <v/>
      </c>
    </row>
    <row r="4822" spans="1:16">
      <c r="A4822" s="10" t="str">
        <f t="shared" si="80"/>
        <v/>
      </c>
      <c r="D4822" s="120" t="s">
        <v>480</v>
      </c>
      <c r="O4822" s="28" t="str">
        <f>IF(D4822="","",IF(COUNTIF(离职清单!C:C,D4822)&gt;0,"已离职","在职"))</f>
        <v>在职</v>
      </c>
      <c r="P4822" s="28" t="str">
        <f>IF(AND(O4822="在职",J4822="是"),COUNTIF(O$2:O4822,"在职"),"")</f>
        <v/>
      </c>
    </row>
    <row r="4823" spans="1:16">
      <c r="A4823" s="14" t="str">
        <f t="shared" si="80"/>
        <v/>
      </c>
      <c r="D4823" s="120" t="s">
        <v>482</v>
      </c>
      <c r="O4823" s="28" t="str">
        <f>IF(D4823="","",IF(COUNTIF(离职清单!C:C,D4823)&gt;0,"已离职","在职"))</f>
        <v>在职</v>
      </c>
      <c r="P4823" s="28" t="str">
        <f>IF(AND(O4823="在职",J4823="是"),COUNTIF(O$2:O4823,"在职"),"")</f>
        <v/>
      </c>
    </row>
    <row r="4824" spans="1:16">
      <c r="A4824" s="10" t="str">
        <f t="shared" si="80"/>
        <v/>
      </c>
      <c r="D4824" s="120" t="s">
        <v>484</v>
      </c>
      <c r="O4824" s="28" t="str">
        <f>IF(D4824="","",IF(COUNTIF(离职清单!C:C,D4824)&gt;0,"已离职","在职"))</f>
        <v>在职</v>
      </c>
      <c r="P4824" s="28" t="str">
        <f>IF(AND(O4824="在职",J4824="是"),COUNTIF(O$2:O4824,"在职"),"")</f>
        <v/>
      </c>
    </row>
    <row r="4825" spans="1:16">
      <c r="A4825" s="14" t="str">
        <f t="shared" si="80"/>
        <v/>
      </c>
      <c r="D4825" s="120" t="s">
        <v>486</v>
      </c>
      <c r="O4825" s="28" t="str">
        <f>IF(D4825="","",IF(COUNTIF(离职清单!C:C,D4825)&gt;0,"已离职","在职"))</f>
        <v>在职</v>
      </c>
      <c r="P4825" s="28" t="str">
        <f>IF(AND(O4825="在职",J4825="是"),COUNTIF(O$2:O4825,"在职"),"")</f>
        <v/>
      </c>
    </row>
    <row r="4826" spans="1:16">
      <c r="A4826" s="10" t="str">
        <f t="shared" si="80"/>
        <v/>
      </c>
      <c r="D4826" s="120" t="s">
        <v>488</v>
      </c>
      <c r="O4826" s="28" t="str">
        <f>IF(D4826="","",IF(COUNTIF(离职清单!C:C,D4826)&gt;0,"已离职","在职"))</f>
        <v>在职</v>
      </c>
      <c r="P4826" s="28" t="str">
        <f>IF(AND(O4826="在职",J4826="是"),COUNTIF(O$2:O4826,"在职"),"")</f>
        <v/>
      </c>
    </row>
    <row r="4827" spans="1:16">
      <c r="A4827" s="14" t="str">
        <f t="shared" si="80"/>
        <v/>
      </c>
      <c r="D4827" s="120" t="s">
        <v>490</v>
      </c>
      <c r="O4827" s="28" t="str">
        <f>IF(D4827="","",IF(COUNTIF(离职清单!C:C,D4827)&gt;0,"已离职","在职"))</f>
        <v>在职</v>
      </c>
      <c r="P4827" s="28" t="str">
        <f>IF(AND(O4827="在职",J4827="是"),COUNTIF(O$2:O4827,"在职"),"")</f>
        <v/>
      </c>
    </row>
    <row r="4828" spans="1:16">
      <c r="A4828" s="10" t="str">
        <f t="shared" si="80"/>
        <v/>
      </c>
      <c r="D4828" s="120" t="s">
        <v>492</v>
      </c>
      <c r="O4828" s="28" t="str">
        <f>IF(D4828="","",IF(COUNTIF(离职清单!C:C,D4828)&gt;0,"已离职","在职"))</f>
        <v>在职</v>
      </c>
      <c r="P4828" s="28" t="str">
        <f>IF(AND(O4828="在职",J4828="是"),COUNTIF(O$2:O4828,"在职"),"")</f>
        <v/>
      </c>
    </row>
    <row r="4829" spans="1:16">
      <c r="A4829" s="14" t="str">
        <f t="shared" si="80"/>
        <v/>
      </c>
      <c r="D4829" s="120" t="s">
        <v>477</v>
      </c>
      <c r="O4829" s="28" t="str">
        <f>IF(D4829="","",IF(COUNTIF(离职清单!C:C,D4829)&gt;0,"已离职","在职"))</f>
        <v>在职</v>
      </c>
      <c r="P4829" s="28" t="str">
        <f>IF(AND(O4829="在职",J4829="是"),COUNTIF(O$2:O4829,"在职"),"")</f>
        <v/>
      </c>
    </row>
    <row r="4830" spans="1:16">
      <c r="A4830" s="10" t="str">
        <f t="shared" si="80"/>
        <v/>
      </c>
      <c r="D4830" s="120" t="s">
        <v>478</v>
      </c>
      <c r="O4830" s="28" t="str">
        <f>IF(D4830="","",IF(COUNTIF(离职清单!C:C,D4830)&gt;0,"已离职","在职"))</f>
        <v>在职</v>
      </c>
      <c r="P4830" s="28" t="str">
        <f>IF(AND(O4830="在职",J4830="是"),COUNTIF(O$2:O4830,"在职"),"")</f>
        <v/>
      </c>
    </row>
    <row r="4831" spans="1:16">
      <c r="A4831" s="14" t="str">
        <f t="shared" si="80"/>
        <v/>
      </c>
      <c r="D4831" s="120" t="s">
        <v>480</v>
      </c>
      <c r="O4831" s="28" t="str">
        <f>IF(D4831="","",IF(COUNTIF(离职清单!C:C,D4831)&gt;0,"已离职","在职"))</f>
        <v>在职</v>
      </c>
      <c r="P4831" s="28" t="str">
        <f>IF(AND(O4831="在职",J4831="是"),COUNTIF(O$2:O4831,"在职"),"")</f>
        <v/>
      </c>
    </row>
    <row r="4832" spans="1:16">
      <c r="A4832" s="10" t="str">
        <f t="shared" si="80"/>
        <v/>
      </c>
      <c r="D4832" s="120" t="s">
        <v>482</v>
      </c>
      <c r="O4832" s="28" t="str">
        <f>IF(D4832="","",IF(COUNTIF(离职清单!C:C,D4832)&gt;0,"已离职","在职"))</f>
        <v>在职</v>
      </c>
      <c r="P4832" s="28" t="str">
        <f>IF(AND(O4832="在职",J4832="是"),COUNTIF(O$2:O4832,"在职"),"")</f>
        <v/>
      </c>
    </row>
    <row r="4833" spans="1:16">
      <c r="A4833" s="14" t="str">
        <f t="shared" si="80"/>
        <v/>
      </c>
      <c r="D4833" s="120" t="s">
        <v>484</v>
      </c>
      <c r="O4833" s="28" t="str">
        <f>IF(D4833="","",IF(COUNTIF(离职清单!C:C,D4833)&gt;0,"已离职","在职"))</f>
        <v>在职</v>
      </c>
      <c r="P4833" s="28" t="str">
        <f>IF(AND(O4833="在职",J4833="是"),COUNTIF(O$2:O4833,"在职"),"")</f>
        <v/>
      </c>
    </row>
    <row r="4834" spans="1:16">
      <c r="A4834" s="10" t="str">
        <f t="shared" si="80"/>
        <v/>
      </c>
      <c r="D4834" s="120" t="s">
        <v>486</v>
      </c>
      <c r="O4834" s="28" t="str">
        <f>IF(D4834="","",IF(COUNTIF(离职清单!C:C,D4834)&gt;0,"已离职","在职"))</f>
        <v>在职</v>
      </c>
      <c r="P4834" s="28" t="str">
        <f>IF(AND(O4834="在职",J4834="是"),COUNTIF(O$2:O4834,"在职"),"")</f>
        <v/>
      </c>
    </row>
    <row r="4835" spans="1:16">
      <c r="A4835" s="14" t="str">
        <f t="shared" si="80"/>
        <v/>
      </c>
      <c r="D4835" s="120" t="s">
        <v>488</v>
      </c>
      <c r="O4835" s="28" t="str">
        <f>IF(D4835="","",IF(COUNTIF(离职清单!C:C,D4835)&gt;0,"已离职","在职"))</f>
        <v>在职</v>
      </c>
      <c r="P4835" s="28" t="str">
        <f>IF(AND(O4835="在职",J4835="是"),COUNTIF(O$2:O4835,"在职"),"")</f>
        <v/>
      </c>
    </row>
    <row r="4836" spans="1:16">
      <c r="A4836" s="10" t="str">
        <f t="shared" si="80"/>
        <v/>
      </c>
      <c r="D4836" s="120" t="s">
        <v>490</v>
      </c>
      <c r="O4836" s="28" t="str">
        <f>IF(D4836="","",IF(COUNTIF(离职清单!C:C,D4836)&gt;0,"已离职","在职"))</f>
        <v>在职</v>
      </c>
      <c r="P4836" s="28" t="str">
        <f>IF(AND(O4836="在职",J4836="是"),COUNTIF(O$2:O4836,"在职"),"")</f>
        <v/>
      </c>
    </row>
    <row r="4837" spans="1:16">
      <c r="A4837" s="14" t="str">
        <f t="shared" si="80"/>
        <v/>
      </c>
      <c r="D4837" s="120" t="s">
        <v>492</v>
      </c>
      <c r="O4837" s="28" t="str">
        <f>IF(D4837="","",IF(COUNTIF(离职清单!C:C,D4837)&gt;0,"已离职","在职"))</f>
        <v>在职</v>
      </c>
      <c r="P4837" s="28" t="str">
        <f>IF(AND(O4837="在职",J4837="是"),COUNTIF(O$2:O4837,"在职"),"")</f>
        <v/>
      </c>
    </row>
    <row r="4838" spans="1:16">
      <c r="A4838" s="10" t="str">
        <f t="shared" si="80"/>
        <v/>
      </c>
      <c r="D4838" s="120" t="s">
        <v>477</v>
      </c>
      <c r="O4838" s="28" t="str">
        <f>IF(D4838="","",IF(COUNTIF(离职清单!C:C,D4838)&gt;0,"已离职","在职"))</f>
        <v>在职</v>
      </c>
      <c r="P4838" s="28" t="str">
        <f>IF(AND(O4838="在职",J4838="是"),COUNTIF(O$2:O4838,"在职"),"")</f>
        <v/>
      </c>
    </row>
    <row r="4839" spans="1:16">
      <c r="A4839" s="14" t="str">
        <f t="shared" si="80"/>
        <v/>
      </c>
      <c r="D4839" s="120" t="s">
        <v>478</v>
      </c>
      <c r="O4839" s="28" t="str">
        <f>IF(D4839="","",IF(COUNTIF(离职清单!C:C,D4839)&gt;0,"已离职","在职"))</f>
        <v>在职</v>
      </c>
      <c r="P4839" s="28" t="str">
        <f>IF(AND(O4839="在职",J4839="是"),COUNTIF(O$2:O4839,"在职"),"")</f>
        <v/>
      </c>
    </row>
    <row r="4840" spans="1:16">
      <c r="A4840" s="10" t="str">
        <f t="shared" si="80"/>
        <v/>
      </c>
      <c r="D4840" s="120" t="s">
        <v>480</v>
      </c>
      <c r="O4840" s="28" t="str">
        <f>IF(D4840="","",IF(COUNTIF(离职清单!C:C,D4840)&gt;0,"已离职","在职"))</f>
        <v>在职</v>
      </c>
      <c r="P4840" s="28" t="str">
        <f>IF(AND(O4840="在职",J4840="是"),COUNTIF(O$2:O4840,"在职"),"")</f>
        <v/>
      </c>
    </row>
    <row r="4841" spans="1:16">
      <c r="A4841" s="14" t="str">
        <f t="shared" si="80"/>
        <v/>
      </c>
      <c r="D4841" s="120" t="s">
        <v>482</v>
      </c>
      <c r="O4841" s="28" t="str">
        <f>IF(D4841="","",IF(COUNTIF(离职清单!C:C,D4841)&gt;0,"已离职","在职"))</f>
        <v>在职</v>
      </c>
      <c r="P4841" s="28" t="str">
        <f>IF(AND(O4841="在职",J4841="是"),COUNTIF(O$2:O4841,"在职"),"")</f>
        <v/>
      </c>
    </row>
    <row r="4842" spans="1:16">
      <c r="A4842" s="10" t="str">
        <f t="shared" si="80"/>
        <v/>
      </c>
      <c r="D4842" s="120" t="s">
        <v>484</v>
      </c>
      <c r="O4842" s="28" t="str">
        <f>IF(D4842="","",IF(COUNTIF(离职清单!C:C,D4842)&gt;0,"已离职","在职"))</f>
        <v>在职</v>
      </c>
      <c r="P4842" s="28" t="str">
        <f>IF(AND(O4842="在职",J4842="是"),COUNTIF(O$2:O4842,"在职"),"")</f>
        <v/>
      </c>
    </row>
    <row r="4843" spans="1:16">
      <c r="A4843" s="14" t="str">
        <f t="shared" si="80"/>
        <v/>
      </c>
      <c r="D4843" s="120" t="s">
        <v>486</v>
      </c>
      <c r="O4843" s="28" t="str">
        <f>IF(D4843="","",IF(COUNTIF(离职清单!C:C,D4843)&gt;0,"已离职","在职"))</f>
        <v>在职</v>
      </c>
      <c r="P4843" s="28" t="str">
        <f>IF(AND(O4843="在职",J4843="是"),COUNTIF(O$2:O4843,"在职"),"")</f>
        <v/>
      </c>
    </row>
    <row r="4844" spans="1:16">
      <c r="A4844" s="10" t="str">
        <f t="shared" ref="A4844:A4851" si="81">IF(B4844&lt;&gt;"",ROW()-1,"")</f>
        <v/>
      </c>
      <c r="D4844" s="120" t="s">
        <v>488</v>
      </c>
      <c r="O4844" s="28" t="str">
        <f>IF(D4844="","",IF(COUNTIF(离职清单!C:C,D4844)&gt;0,"已离职","在职"))</f>
        <v>在职</v>
      </c>
      <c r="P4844" s="28" t="str">
        <f>IF(AND(O4844="在职",J4844="是"),COUNTIF(O$2:O4844,"在职"),"")</f>
        <v/>
      </c>
    </row>
    <row r="4845" spans="1:16">
      <c r="A4845" s="14" t="str">
        <f t="shared" si="81"/>
        <v/>
      </c>
      <c r="D4845" s="120" t="s">
        <v>490</v>
      </c>
      <c r="O4845" s="28" t="str">
        <f>IF(D4845="","",IF(COUNTIF(离职清单!C:C,D4845)&gt;0,"已离职","在职"))</f>
        <v>在职</v>
      </c>
      <c r="P4845" s="28" t="str">
        <f>IF(AND(O4845="在职",J4845="是"),COUNTIF(O$2:O4845,"在职"),"")</f>
        <v/>
      </c>
    </row>
    <row r="4846" spans="1:16">
      <c r="A4846" s="10" t="str">
        <f t="shared" si="81"/>
        <v/>
      </c>
      <c r="D4846" s="120" t="s">
        <v>492</v>
      </c>
      <c r="O4846" s="28" t="str">
        <f>IF(D4846="","",IF(COUNTIF(离职清单!C:C,D4846)&gt;0,"已离职","在职"))</f>
        <v>在职</v>
      </c>
      <c r="P4846" s="28" t="str">
        <f>IF(AND(O4846="在职",J4846="是"),COUNTIF(O$2:O4846,"在职"),"")</f>
        <v/>
      </c>
    </row>
    <row r="4847" spans="1:16">
      <c r="A4847" s="14" t="str">
        <f t="shared" si="81"/>
        <v/>
      </c>
      <c r="D4847" s="120" t="s">
        <v>477</v>
      </c>
      <c r="O4847" s="28" t="str">
        <f>IF(D4847="","",IF(COUNTIF(离职清单!C:C,D4847)&gt;0,"已离职","在职"))</f>
        <v>在职</v>
      </c>
      <c r="P4847" s="28" t="str">
        <f>IF(AND(O4847="在职",J4847="是"),COUNTIF(O$2:O4847,"在职"),"")</f>
        <v/>
      </c>
    </row>
    <row r="4848" spans="1:16">
      <c r="A4848" s="10" t="str">
        <f t="shared" si="81"/>
        <v/>
      </c>
      <c r="D4848" s="120" t="s">
        <v>478</v>
      </c>
      <c r="O4848" s="28" t="str">
        <f>IF(D4848="","",IF(COUNTIF(离职清单!C:C,D4848)&gt;0,"已离职","在职"))</f>
        <v>在职</v>
      </c>
      <c r="P4848" s="28" t="str">
        <f>IF(AND(O4848="在职",J4848="是"),COUNTIF(O$2:O4848,"在职"),"")</f>
        <v/>
      </c>
    </row>
    <row r="4849" spans="1:16">
      <c r="A4849" s="14" t="str">
        <f t="shared" si="81"/>
        <v/>
      </c>
      <c r="D4849" s="120" t="s">
        <v>480</v>
      </c>
      <c r="O4849" s="28" t="str">
        <f>IF(D4849="","",IF(COUNTIF(离职清单!C:C,D4849)&gt;0,"已离职","在职"))</f>
        <v>在职</v>
      </c>
      <c r="P4849" s="28" t="str">
        <f>IF(AND(O4849="在职",J4849="是"),COUNTIF(O$2:O4849,"在职"),"")</f>
        <v/>
      </c>
    </row>
    <row r="4850" spans="1:16">
      <c r="A4850" s="10" t="str">
        <f t="shared" si="81"/>
        <v/>
      </c>
      <c r="D4850" s="120" t="s">
        <v>482</v>
      </c>
      <c r="O4850" s="28" t="str">
        <f>IF(D4850="","",IF(COUNTIF(离职清单!C:C,D4850)&gt;0,"已离职","在职"))</f>
        <v>在职</v>
      </c>
      <c r="P4850" s="28" t="str">
        <f>IF(AND(O4850="在职",J4850="是"),COUNTIF(O$2:O4850,"在职"),"")</f>
        <v/>
      </c>
    </row>
    <row r="4851" spans="1:16">
      <c r="A4851" s="14" t="str">
        <f t="shared" si="81"/>
        <v/>
      </c>
      <c r="D4851" s="120" t="s">
        <v>484</v>
      </c>
      <c r="O4851" s="28" t="str">
        <f>IF(D4851="","",IF(COUNTIF(离职清单!C:C,D4851)&gt;0,"已离职","在职"))</f>
        <v>在职</v>
      </c>
      <c r="P4851" s="28" t="str">
        <f>IF(AND(O4851="在职",J4851="是"),COUNTIF(O$2:O4851,"在职"),"")</f>
        <v/>
      </c>
    </row>
    <row r="1045979" customFormat="1" spans="2:14">
      <c r="B1045979" s="26"/>
      <c r="C1045979" s="26"/>
      <c r="D1045979" s="4"/>
      <c r="E1045979" s="26"/>
      <c r="F1045979" s="26"/>
      <c r="G1045979" s="26"/>
      <c r="H1045979" s="26"/>
      <c r="I1045979" s="27"/>
      <c r="J1045979" s="26"/>
      <c r="K1045979" s="26"/>
      <c r="L1045979" s="4"/>
      <c r="M1045979" s="4"/>
      <c r="N1045979" s="26"/>
    </row>
    <row r="1045980" customFormat="1" spans="2:14">
      <c r="B1045980" s="26"/>
      <c r="C1045980" s="26"/>
      <c r="D1045980" s="4"/>
      <c r="E1045980" s="26"/>
      <c r="F1045980" s="26"/>
      <c r="G1045980" s="26"/>
      <c r="H1045980" s="26"/>
      <c r="I1045980" s="27"/>
      <c r="J1045980" s="26"/>
      <c r="K1045980" s="26"/>
      <c r="L1045980" s="4"/>
      <c r="M1045980" s="4"/>
      <c r="N1045980" s="26"/>
    </row>
    <row r="1045981" customFormat="1" spans="2:14">
      <c r="B1045981" s="26"/>
      <c r="C1045981" s="26"/>
      <c r="D1045981" s="4"/>
      <c r="E1045981" s="26"/>
      <c r="F1045981" s="26"/>
      <c r="G1045981" s="26"/>
      <c r="H1045981" s="26"/>
      <c r="I1045981" s="27"/>
      <c r="J1045981" s="26"/>
      <c r="K1045981" s="26"/>
      <c r="L1045981" s="4"/>
      <c r="M1045981" s="4"/>
      <c r="N1045981" s="26"/>
    </row>
    <row r="1045982" customFormat="1" spans="2:14">
      <c r="B1045982" s="26"/>
      <c r="C1045982" s="26"/>
      <c r="D1045982" s="4"/>
      <c r="E1045982" s="26"/>
      <c r="F1045982" s="26"/>
      <c r="G1045982" s="26"/>
      <c r="H1045982" s="26"/>
      <c r="I1045982" s="27"/>
      <c r="J1045982" s="26"/>
      <c r="K1045982" s="26"/>
      <c r="L1045982" s="4"/>
      <c r="M1045982" s="4"/>
      <c r="N1045982" s="26"/>
    </row>
    <row r="1045983" customFormat="1" spans="2:14">
      <c r="B1045983" s="26"/>
      <c r="C1045983" s="26"/>
      <c r="D1045983" s="4"/>
      <c r="E1045983" s="26"/>
      <c r="F1045983" s="26"/>
      <c r="G1045983" s="26"/>
      <c r="H1045983" s="26"/>
      <c r="I1045983" s="27"/>
      <c r="J1045983" s="26"/>
      <c r="K1045983" s="26"/>
      <c r="L1045983" s="4"/>
      <c r="M1045983" s="4"/>
      <c r="N1045983" s="26"/>
    </row>
    <row r="1045984" customFormat="1" spans="2:14">
      <c r="B1045984" s="26"/>
      <c r="C1045984" s="26"/>
      <c r="D1045984" s="4"/>
      <c r="E1045984" s="26"/>
      <c r="F1045984" s="26"/>
      <c r="G1045984" s="26"/>
      <c r="H1045984" s="26"/>
      <c r="I1045984" s="27"/>
      <c r="J1045984" s="26"/>
      <c r="K1045984" s="26"/>
      <c r="L1045984" s="4"/>
      <c r="M1045984" s="4"/>
      <c r="N1045984" s="26"/>
    </row>
    <row r="1045985" customFormat="1" spans="2:14">
      <c r="B1045985" s="26"/>
      <c r="C1045985" s="26"/>
      <c r="D1045985" s="4"/>
      <c r="E1045985" s="26"/>
      <c r="F1045985" s="26"/>
      <c r="G1045985" s="26"/>
      <c r="H1045985" s="26"/>
      <c r="I1045985" s="27"/>
      <c r="J1045985" s="26"/>
      <c r="K1045985" s="26"/>
      <c r="L1045985" s="4"/>
      <c r="M1045985" s="4"/>
      <c r="N1045985" s="26"/>
    </row>
    <row r="1045986" customFormat="1" spans="2:14">
      <c r="B1045986" s="26"/>
      <c r="C1045986" s="26"/>
      <c r="D1045986" s="4"/>
      <c r="E1045986" s="26"/>
      <c r="F1045986" s="26"/>
      <c r="G1045986" s="26"/>
      <c r="H1045986" s="26"/>
      <c r="I1045986" s="27"/>
      <c r="J1045986" s="26"/>
      <c r="K1045986" s="26"/>
      <c r="L1045986" s="4"/>
      <c r="M1045986" s="4"/>
      <c r="N1045986" s="26"/>
    </row>
    <row r="1045987" customFormat="1" spans="2:14">
      <c r="B1045987" s="26"/>
      <c r="C1045987" s="26"/>
      <c r="D1045987" s="4"/>
      <c r="E1045987" s="26"/>
      <c r="F1045987" s="26"/>
      <c r="G1045987" s="26"/>
      <c r="H1045987" s="26"/>
      <c r="I1045987" s="27"/>
      <c r="J1045987" s="26"/>
      <c r="K1045987" s="26"/>
      <c r="L1045987" s="4"/>
      <c r="M1045987" s="4"/>
      <c r="N1045987" s="26"/>
    </row>
    <row r="1045988" customFormat="1" spans="2:14">
      <c r="B1045988" s="26"/>
      <c r="C1045988" s="26"/>
      <c r="D1045988" s="4"/>
      <c r="E1045988" s="26"/>
      <c r="F1045988" s="26"/>
      <c r="G1045988" s="26"/>
      <c r="H1045988" s="26"/>
      <c r="I1045988" s="27"/>
      <c r="J1045988" s="26"/>
      <c r="K1045988" s="26"/>
      <c r="L1045988" s="4"/>
      <c r="M1045988" s="4"/>
      <c r="N1045988" s="26"/>
    </row>
    <row r="1045989" customFormat="1" spans="2:14">
      <c r="B1045989" s="26"/>
      <c r="C1045989" s="26"/>
      <c r="D1045989" s="4"/>
      <c r="E1045989" s="26"/>
      <c r="F1045989" s="26"/>
      <c r="G1045989" s="26"/>
      <c r="H1045989" s="26"/>
      <c r="I1045989" s="27"/>
      <c r="J1045989" s="26"/>
      <c r="K1045989" s="26"/>
      <c r="L1045989" s="4"/>
      <c r="M1045989" s="4"/>
      <c r="N1045989" s="26"/>
    </row>
    <row r="1045990" customFormat="1" spans="2:14">
      <c r="B1045990" s="26"/>
      <c r="C1045990" s="26"/>
      <c r="D1045990" s="4"/>
      <c r="E1045990" s="26"/>
      <c r="F1045990" s="26"/>
      <c r="G1045990" s="26"/>
      <c r="H1045990" s="26"/>
      <c r="I1045990" s="27"/>
      <c r="J1045990" s="26"/>
      <c r="K1045990" s="26"/>
      <c r="L1045990" s="4"/>
      <c r="M1045990" s="4"/>
      <c r="N1045990" s="26"/>
    </row>
    <row r="1045991" customFormat="1" spans="2:14">
      <c r="B1045991" s="26"/>
      <c r="C1045991" s="26"/>
      <c r="D1045991" s="4"/>
      <c r="E1045991" s="26"/>
      <c r="F1045991" s="26"/>
      <c r="G1045991" s="26"/>
      <c r="H1045991" s="26"/>
      <c r="I1045991" s="27"/>
      <c r="J1045991" s="26"/>
      <c r="K1045991" s="26"/>
      <c r="L1045991" s="4"/>
      <c r="M1045991" s="4"/>
      <c r="N1045991" s="26"/>
    </row>
    <row r="1045992" customFormat="1" spans="2:14">
      <c r="B1045992" s="26"/>
      <c r="C1045992" s="26"/>
      <c r="D1045992" s="4"/>
      <c r="E1045992" s="26"/>
      <c r="F1045992" s="26"/>
      <c r="G1045992" s="26"/>
      <c r="H1045992" s="26"/>
      <c r="I1045992" s="27"/>
      <c r="J1045992" s="26"/>
      <c r="K1045992" s="26"/>
      <c r="L1045992" s="4"/>
      <c r="M1045992" s="4"/>
      <c r="N1045992" s="26"/>
    </row>
    <row r="1045993" customFormat="1" spans="2:14">
      <c r="B1045993" s="26"/>
      <c r="C1045993" s="26"/>
      <c r="D1045993" s="4"/>
      <c r="E1045993" s="26"/>
      <c r="F1045993" s="26"/>
      <c r="G1045993" s="26"/>
      <c r="H1045993" s="26"/>
      <c r="I1045993" s="27"/>
      <c r="J1045993" s="26"/>
      <c r="K1045993" s="26"/>
      <c r="L1045993" s="4"/>
      <c r="M1045993" s="4"/>
      <c r="N1045993" s="26"/>
    </row>
    <row r="1045994" customFormat="1" spans="2:14">
      <c r="B1045994" s="26"/>
      <c r="C1045994" s="26"/>
      <c r="D1045994" s="4"/>
      <c r="E1045994" s="26"/>
      <c r="F1045994" s="26"/>
      <c r="G1045994" s="26"/>
      <c r="H1045994" s="26"/>
      <c r="I1045994" s="27"/>
      <c r="J1045994" s="26"/>
      <c r="K1045994" s="26"/>
      <c r="L1045994" s="4"/>
      <c r="M1045994" s="4"/>
      <c r="N1045994" s="26"/>
    </row>
    <row r="1045995" customFormat="1" spans="2:14">
      <c r="B1045995" s="26"/>
      <c r="C1045995" s="26"/>
      <c r="D1045995" s="4"/>
      <c r="E1045995" s="26"/>
      <c r="F1045995" s="26"/>
      <c r="G1045995" s="26"/>
      <c r="H1045995" s="26"/>
      <c r="I1045995" s="27"/>
      <c r="J1045995" s="26"/>
      <c r="K1045995" s="26"/>
      <c r="L1045995" s="4"/>
      <c r="M1045995" s="4"/>
      <c r="N1045995" s="26"/>
    </row>
    <row r="1045996" customFormat="1" spans="2:14">
      <c r="B1045996" s="26"/>
      <c r="C1045996" s="26"/>
      <c r="D1045996" s="4"/>
      <c r="E1045996" s="26"/>
      <c r="F1045996" s="26"/>
      <c r="G1045996" s="26"/>
      <c r="H1045996" s="26"/>
      <c r="I1045996" s="27"/>
      <c r="J1045996" s="26"/>
      <c r="K1045996" s="26"/>
      <c r="L1045996" s="4"/>
      <c r="M1045996" s="4"/>
      <c r="N1045996" s="26"/>
    </row>
    <row r="1045997" customFormat="1" spans="2:14">
      <c r="B1045997" s="26"/>
      <c r="C1045997" s="26"/>
      <c r="D1045997" s="4"/>
      <c r="E1045997" s="26"/>
      <c r="F1045997" s="26"/>
      <c r="G1045997" s="26"/>
      <c r="H1045997" s="26"/>
      <c r="I1045997" s="27"/>
      <c r="J1045997" s="26"/>
      <c r="K1045997" s="26"/>
      <c r="L1045997" s="4"/>
      <c r="M1045997" s="4"/>
      <c r="N1045997" s="26"/>
    </row>
    <row r="1045998" customFormat="1" spans="2:14">
      <c r="B1045998" s="26"/>
      <c r="C1045998" s="26"/>
      <c r="D1045998" s="4"/>
      <c r="E1045998" s="26"/>
      <c r="F1045998" s="26"/>
      <c r="G1045998" s="26"/>
      <c r="H1045998" s="26"/>
      <c r="I1045998" s="27"/>
      <c r="J1045998" s="26"/>
      <c r="K1045998" s="26"/>
      <c r="L1045998" s="4"/>
      <c r="M1045998" s="4"/>
      <c r="N1045998" s="26"/>
    </row>
    <row r="1045999" customFormat="1" spans="2:14">
      <c r="B1045999" s="26"/>
      <c r="C1045999" s="26"/>
      <c r="D1045999" s="4"/>
      <c r="E1045999" s="26"/>
      <c r="F1045999" s="26"/>
      <c r="G1045999" s="26"/>
      <c r="H1045999" s="26"/>
      <c r="I1045999" s="27"/>
      <c r="J1045999" s="26"/>
      <c r="K1045999" s="26"/>
      <c r="L1045999" s="4"/>
      <c r="M1045999" s="4"/>
      <c r="N1045999" s="26"/>
    </row>
    <row r="1046000" customFormat="1" spans="2:14">
      <c r="B1046000" s="26"/>
      <c r="C1046000" s="26"/>
      <c r="D1046000" s="4"/>
      <c r="E1046000" s="26"/>
      <c r="F1046000" s="26"/>
      <c r="G1046000" s="26"/>
      <c r="H1046000" s="26"/>
      <c r="I1046000" s="27"/>
      <c r="J1046000" s="26"/>
      <c r="K1046000" s="26"/>
      <c r="L1046000" s="4"/>
      <c r="M1046000" s="4"/>
      <c r="N1046000" s="26"/>
    </row>
    <row r="1046001" customFormat="1" spans="2:14">
      <c r="B1046001" s="26"/>
      <c r="C1046001" s="26"/>
      <c r="D1046001" s="4"/>
      <c r="E1046001" s="26"/>
      <c r="F1046001" s="26"/>
      <c r="G1046001" s="26"/>
      <c r="H1046001" s="26"/>
      <c r="I1046001" s="27"/>
      <c r="J1046001" s="26"/>
      <c r="K1046001" s="26"/>
      <c r="L1046001" s="4"/>
      <c r="M1046001" s="4"/>
      <c r="N1046001" s="26"/>
    </row>
    <row r="1046002" customFormat="1" spans="2:14">
      <c r="B1046002" s="26"/>
      <c r="C1046002" s="26"/>
      <c r="D1046002" s="4"/>
      <c r="E1046002" s="26"/>
      <c r="F1046002" s="26"/>
      <c r="G1046002" s="26"/>
      <c r="H1046002" s="26"/>
      <c r="I1046002" s="27"/>
      <c r="J1046002" s="26"/>
      <c r="K1046002" s="26"/>
      <c r="L1046002" s="4"/>
      <c r="M1046002" s="4"/>
      <c r="N1046002" s="26"/>
    </row>
    <row r="1046003" customFormat="1" spans="2:14">
      <c r="B1046003" s="26"/>
      <c r="C1046003" s="26"/>
      <c r="D1046003" s="4"/>
      <c r="E1046003" s="26"/>
      <c r="F1046003" s="26"/>
      <c r="G1046003" s="26"/>
      <c r="H1046003" s="26"/>
      <c r="I1046003" s="27"/>
      <c r="J1046003" s="26"/>
      <c r="K1046003" s="26"/>
      <c r="L1046003" s="4"/>
      <c r="M1046003" s="4"/>
      <c r="N1046003" s="26"/>
    </row>
    <row r="1046004" customFormat="1" spans="2:14">
      <c r="B1046004" s="26"/>
      <c r="C1046004" s="26"/>
      <c r="D1046004" s="4"/>
      <c r="E1046004" s="26"/>
      <c r="F1046004" s="26"/>
      <c r="G1046004" s="26"/>
      <c r="H1046004" s="26"/>
      <c r="I1046004" s="27"/>
      <c r="J1046004" s="26"/>
      <c r="K1046004" s="26"/>
      <c r="L1046004" s="4"/>
      <c r="M1046004" s="4"/>
      <c r="N1046004" s="26"/>
    </row>
    <row r="1046005" customFormat="1" spans="2:14">
      <c r="B1046005" s="26"/>
      <c r="C1046005" s="26"/>
      <c r="D1046005" s="4"/>
      <c r="E1046005" s="26"/>
      <c r="F1046005" s="26"/>
      <c r="G1046005" s="26"/>
      <c r="H1046005" s="26"/>
      <c r="I1046005" s="27"/>
      <c r="J1046005" s="26"/>
      <c r="K1046005" s="26"/>
      <c r="L1046005" s="4"/>
      <c r="M1046005" s="4"/>
      <c r="N1046005" s="26"/>
    </row>
    <row r="1046006" customFormat="1" spans="2:14">
      <c r="B1046006" s="26"/>
      <c r="C1046006" s="26"/>
      <c r="D1046006" s="4"/>
      <c r="E1046006" s="26"/>
      <c r="F1046006" s="26"/>
      <c r="G1046006" s="26"/>
      <c r="H1046006" s="26"/>
      <c r="I1046006" s="27"/>
      <c r="J1046006" s="26"/>
      <c r="K1046006" s="26"/>
      <c r="L1046006" s="4"/>
      <c r="M1046006" s="4"/>
      <c r="N1046006" s="26"/>
    </row>
    <row r="1046007" customFormat="1" spans="2:14">
      <c r="B1046007" s="26"/>
      <c r="C1046007" s="26"/>
      <c r="D1046007" s="4"/>
      <c r="E1046007" s="26"/>
      <c r="F1046007" s="26"/>
      <c r="G1046007" s="26"/>
      <c r="H1046007" s="26"/>
      <c r="I1046007" s="27"/>
      <c r="J1046007" s="26"/>
      <c r="K1046007" s="26"/>
      <c r="L1046007" s="4"/>
      <c r="M1046007" s="4"/>
      <c r="N1046007" s="26"/>
    </row>
    <row r="1046008" customFormat="1" spans="2:14">
      <c r="B1046008" s="26"/>
      <c r="C1046008" s="26"/>
      <c r="D1046008" s="4"/>
      <c r="E1046008" s="26"/>
      <c r="F1046008" s="26"/>
      <c r="G1046008" s="26"/>
      <c r="H1046008" s="26"/>
      <c r="I1046008" s="27"/>
      <c r="J1046008" s="26"/>
      <c r="K1046008" s="26"/>
      <c r="L1046008" s="4"/>
      <c r="M1046008" s="4"/>
      <c r="N1046008" s="26"/>
    </row>
    <row r="1046009" customFormat="1" spans="2:14">
      <c r="B1046009" s="26"/>
      <c r="C1046009" s="26"/>
      <c r="D1046009" s="4"/>
      <c r="E1046009" s="26"/>
      <c r="F1046009" s="26"/>
      <c r="G1046009" s="26"/>
      <c r="H1046009" s="26"/>
      <c r="I1046009" s="27"/>
      <c r="J1046009" s="26"/>
      <c r="K1046009" s="26"/>
      <c r="L1046009" s="4"/>
      <c r="M1046009" s="4"/>
      <c r="N1046009" s="26"/>
    </row>
    <row r="1046010" customFormat="1" spans="2:14">
      <c r="B1046010" s="26"/>
      <c r="C1046010" s="26"/>
      <c r="D1046010" s="4"/>
      <c r="E1046010" s="26"/>
      <c r="F1046010" s="26"/>
      <c r="G1046010" s="26"/>
      <c r="H1046010" s="26"/>
      <c r="I1046010" s="27"/>
      <c r="J1046010" s="26"/>
      <c r="K1046010" s="26"/>
      <c r="L1046010" s="4"/>
      <c r="M1046010" s="4"/>
      <c r="N1046010" s="26"/>
    </row>
    <row r="1046011" customFormat="1" spans="2:14">
      <c r="B1046011" s="26"/>
      <c r="C1046011" s="26"/>
      <c r="D1046011" s="4"/>
      <c r="E1046011" s="26"/>
      <c r="F1046011" s="26"/>
      <c r="G1046011" s="26"/>
      <c r="H1046011" s="26"/>
      <c r="I1046011" s="27"/>
      <c r="J1046011" s="26"/>
      <c r="K1046011" s="26"/>
      <c r="L1046011" s="4"/>
      <c r="M1046011" s="4"/>
      <c r="N1046011" s="26"/>
    </row>
    <row r="1046012" customFormat="1" spans="2:14">
      <c r="B1046012" s="26"/>
      <c r="C1046012" s="26"/>
      <c r="D1046012" s="4"/>
      <c r="E1046012" s="26"/>
      <c r="F1046012" s="26"/>
      <c r="G1046012" s="26"/>
      <c r="H1046012" s="26"/>
      <c r="I1046012" s="27"/>
      <c r="J1046012" s="26"/>
      <c r="K1046012" s="26"/>
      <c r="L1046012" s="4"/>
      <c r="M1046012" s="4"/>
      <c r="N1046012" s="26"/>
    </row>
    <row r="1046013" customFormat="1" spans="2:14">
      <c r="B1046013" s="26"/>
      <c r="C1046013" s="26"/>
      <c r="D1046013" s="4"/>
      <c r="E1046013" s="26"/>
      <c r="F1046013" s="26"/>
      <c r="G1046013" s="26"/>
      <c r="H1046013" s="26"/>
      <c r="I1046013" s="27"/>
      <c r="J1046013" s="26"/>
      <c r="K1046013" s="26"/>
      <c r="L1046013" s="4"/>
      <c r="M1046013" s="4"/>
      <c r="N1046013" s="26"/>
    </row>
    <row r="1046014" customFormat="1" spans="2:14">
      <c r="B1046014" s="26"/>
      <c r="C1046014" s="26"/>
      <c r="D1046014" s="4"/>
      <c r="E1046014" s="26"/>
      <c r="F1046014" s="26"/>
      <c r="G1046014" s="26"/>
      <c r="H1046014" s="26"/>
      <c r="I1046014" s="27"/>
      <c r="J1046014" s="26"/>
      <c r="K1046014" s="26"/>
      <c r="L1046014" s="4"/>
      <c r="M1046014" s="4"/>
      <c r="N1046014" s="26"/>
    </row>
    <row r="1046015" customFormat="1" spans="2:14">
      <c r="B1046015" s="26"/>
      <c r="C1046015" s="26"/>
      <c r="D1046015" s="4"/>
      <c r="E1046015" s="26"/>
      <c r="F1046015" s="26"/>
      <c r="G1046015" s="26"/>
      <c r="H1046015" s="26"/>
      <c r="I1046015" s="27"/>
      <c r="J1046015" s="26"/>
      <c r="K1046015" s="26"/>
      <c r="L1046015" s="4"/>
      <c r="M1046015" s="4"/>
      <c r="N1046015" s="26"/>
    </row>
    <row r="1046016" customFormat="1" spans="2:14">
      <c r="B1046016" s="26"/>
      <c r="C1046016" s="26"/>
      <c r="D1046016" s="4"/>
      <c r="E1046016" s="26"/>
      <c r="F1046016" s="26"/>
      <c r="G1046016" s="26"/>
      <c r="H1046016" s="26"/>
      <c r="I1046016" s="27"/>
      <c r="J1046016" s="26"/>
      <c r="K1046016" s="26"/>
      <c r="L1046016" s="4"/>
      <c r="M1046016" s="4"/>
      <c r="N1046016" s="26"/>
    </row>
    <row r="1046017" customFormat="1" spans="2:14">
      <c r="B1046017" s="26"/>
      <c r="C1046017" s="26"/>
      <c r="D1046017" s="4"/>
      <c r="E1046017" s="26"/>
      <c r="F1046017" s="26"/>
      <c r="G1046017" s="26"/>
      <c r="H1046017" s="26"/>
      <c r="I1046017" s="27"/>
      <c r="J1046017" s="26"/>
      <c r="K1046017" s="26"/>
      <c r="L1046017" s="4"/>
      <c r="M1046017" s="4"/>
      <c r="N1046017" s="26"/>
    </row>
    <row r="1046018" customFormat="1" spans="2:14">
      <c r="B1046018" s="26"/>
      <c r="C1046018" s="26"/>
      <c r="D1046018" s="4"/>
      <c r="E1046018" s="26"/>
      <c r="F1046018" s="26"/>
      <c r="G1046018" s="26"/>
      <c r="H1046018" s="26"/>
      <c r="I1046018" s="27"/>
      <c r="J1046018" s="26"/>
      <c r="K1046018" s="26"/>
      <c r="L1046018" s="4"/>
      <c r="M1046018" s="4"/>
      <c r="N1046018" s="26"/>
    </row>
    <row r="1046019" customFormat="1" spans="2:14">
      <c r="B1046019" s="26"/>
      <c r="C1046019" s="26"/>
      <c r="D1046019" s="4"/>
      <c r="E1046019" s="26"/>
      <c r="F1046019" s="26"/>
      <c r="G1046019" s="26"/>
      <c r="H1046019" s="26"/>
      <c r="I1046019" s="27"/>
      <c r="J1046019" s="26"/>
      <c r="K1046019" s="26"/>
      <c r="L1046019" s="4"/>
      <c r="M1046019" s="4"/>
      <c r="N1046019" s="26"/>
    </row>
    <row r="1046020" customFormat="1" spans="2:14">
      <c r="B1046020" s="26"/>
      <c r="C1046020" s="26"/>
      <c r="D1046020" s="4"/>
      <c r="E1046020" s="26"/>
      <c r="F1046020" s="26"/>
      <c r="G1046020" s="26"/>
      <c r="H1046020" s="26"/>
      <c r="I1046020" s="27"/>
      <c r="J1046020" s="26"/>
      <c r="K1046020" s="26"/>
      <c r="L1046020" s="4"/>
      <c r="M1046020" s="4"/>
      <c r="N1046020" s="26"/>
    </row>
    <row r="1046021" customFormat="1" spans="2:14">
      <c r="B1046021" s="26"/>
      <c r="C1046021" s="26"/>
      <c r="D1046021" s="4"/>
      <c r="E1046021" s="26"/>
      <c r="F1046021" s="26"/>
      <c r="G1046021" s="26"/>
      <c r="H1046021" s="26"/>
      <c r="I1046021" s="27"/>
      <c r="J1046021" s="26"/>
      <c r="K1046021" s="26"/>
      <c r="L1046021" s="4"/>
      <c r="M1046021" s="4"/>
      <c r="N1046021" s="26"/>
    </row>
    <row r="1046022" customFormat="1" spans="2:14">
      <c r="B1046022" s="26"/>
      <c r="C1046022" s="26"/>
      <c r="D1046022" s="4"/>
      <c r="E1046022" s="26"/>
      <c r="F1046022" s="26"/>
      <c r="G1046022" s="26"/>
      <c r="H1046022" s="26"/>
      <c r="I1046022" s="27"/>
      <c r="J1046022" s="26"/>
      <c r="K1046022" s="26"/>
      <c r="L1046022" s="4"/>
      <c r="M1046022" s="4"/>
      <c r="N1046022" s="26"/>
    </row>
    <row r="1046023" customFormat="1" spans="2:14">
      <c r="B1046023" s="26"/>
      <c r="C1046023" s="26"/>
      <c r="D1046023" s="4"/>
      <c r="E1046023" s="26"/>
      <c r="F1046023" s="26"/>
      <c r="G1046023" s="26"/>
      <c r="H1046023" s="26"/>
      <c r="I1046023" s="27"/>
      <c r="J1046023" s="26"/>
      <c r="K1046023" s="26"/>
      <c r="L1046023" s="4"/>
      <c r="M1046023" s="4"/>
      <c r="N1046023" s="26"/>
    </row>
    <row r="1046024" customFormat="1" spans="2:14">
      <c r="B1046024" s="26"/>
      <c r="C1046024" s="26"/>
      <c r="D1046024" s="4"/>
      <c r="E1046024" s="26"/>
      <c r="F1046024" s="26"/>
      <c r="G1046024" s="26"/>
      <c r="H1046024" s="26"/>
      <c r="I1046024" s="27"/>
      <c r="J1046024" s="26"/>
      <c r="K1046024" s="26"/>
      <c r="L1046024" s="4"/>
      <c r="M1046024" s="4"/>
      <c r="N1046024" s="26"/>
    </row>
    <row r="1046025" customFormat="1" spans="2:14">
      <c r="B1046025" s="26"/>
      <c r="C1046025" s="26"/>
      <c r="D1046025" s="4"/>
      <c r="E1046025" s="26"/>
      <c r="F1046025" s="26"/>
      <c r="G1046025" s="26"/>
      <c r="H1046025" s="26"/>
      <c r="I1046025" s="27"/>
      <c r="J1046025" s="26"/>
      <c r="K1046025" s="26"/>
      <c r="L1046025" s="4"/>
      <c r="M1046025" s="4"/>
      <c r="N1046025" s="26"/>
    </row>
    <row r="1046026" customFormat="1" spans="2:14">
      <c r="B1046026" s="26"/>
      <c r="C1046026" s="26"/>
      <c r="D1046026" s="4"/>
      <c r="E1046026" s="26"/>
      <c r="F1046026" s="26"/>
      <c r="G1046026" s="26"/>
      <c r="H1046026" s="26"/>
      <c r="I1046026" s="27"/>
      <c r="J1046026" s="26"/>
      <c r="K1046026" s="26"/>
      <c r="L1046026" s="4"/>
      <c r="M1046026" s="4"/>
      <c r="N1046026" s="26"/>
    </row>
    <row r="1046027" customFormat="1" spans="2:14">
      <c r="B1046027" s="26"/>
      <c r="C1046027" s="26"/>
      <c r="D1046027" s="4"/>
      <c r="E1046027" s="26"/>
      <c r="F1046027" s="26"/>
      <c r="G1046027" s="26"/>
      <c r="H1046027" s="26"/>
      <c r="I1046027" s="27"/>
      <c r="J1046027" s="26"/>
      <c r="K1046027" s="26"/>
      <c r="L1046027" s="4"/>
      <c r="M1046027" s="4"/>
      <c r="N1046027" s="26"/>
    </row>
    <row r="1046028" customFormat="1" spans="2:14">
      <c r="B1046028" s="26"/>
      <c r="C1046028" s="26"/>
      <c r="D1046028" s="4"/>
      <c r="E1046028" s="26"/>
      <c r="F1046028" s="26"/>
      <c r="G1046028" s="26"/>
      <c r="H1046028" s="26"/>
      <c r="I1046028" s="27"/>
      <c r="J1046028" s="26"/>
      <c r="K1046028" s="26"/>
      <c r="L1046028" s="4"/>
      <c r="M1046028" s="4"/>
      <c r="N1046028" s="26"/>
    </row>
    <row r="1046029" customFormat="1" spans="2:14">
      <c r="B1046029" s="26"/>
      <c r="C1046029" s="26"/>
      <c r="D1046029" s="4"/>
      <c r="E1046029" s="26"/>
      <c r="F1046029" s="26"/>
      <c r="G1046029" s="26"/>
      <c r="H1046029" s="26"/>
      <c r="I1046029" s="27"/>
      <c r="J1046029" s="26"/>
      <c r="K1046029" s="26"/>
      <c r="L1046029" s="4"/>
      <c r="M1046029" s="4"/>
      <c r="N1046029" s="26"/>
    </row>
    <row r="1046030" customFormat="1" spans="2:14">
      <c r="B1046030" s="26"/>
      <c r="C1046030" s="26"/>
      <c r="D1046030" s="4"/>
      <c r="E1046030" s="26"/>
      <c r="F1046030" s="26"/>
      <c r="G1046030" s="26"/>
      <c r="H1046030" s="26"/>
      <c r="I1046030" s="27"/>
      <c r="J1046030" s="26"/>
      <c r="K1046030" s="26"/>
      <c r="L1046030" s="4"/>
      <c r="M1046030" s="4"/>
      <c r="N1046030" s="26"/>
    </row>
    <row r="1046031" customFormat="1" spans="2:14">
      <c r="B1046031" s="26"/>
      <c r="C1046031" s="26"/>
      <c r="D1046031" s="4"/>
      <c r="E1046031" s="26"/>
      <c r="F1046031" s="26"/>
      <c r="G1046031" s="26"/>
      <c r="H1046031" s="26"/>
      <c r="I1046031" s="27"/>
      <c r="J1046031" s="26"/>
      <c r="K1046031" s="26"/>
      <c r="L1046031" s="4"/>
      <c r="M1046031" s="4"/>
      <c r="N1046031" s="26"/>
    </row>
    <row r="1046032" customFormat="1" spans="2:14">
      <c r="B1046032" s="26"/>
      <c r="C1046032" s="26"/>
      <c r="D1046032" s="4"/>
      <c r="E1046032" s="26"/>
      <c r="F1046032" s="26"/>
      <c r="G1046032" s="26"/>
      <c r="H1046032" s="26"/>
      <c r="I1046032" s="27"/>
      <c r="J1046032" s="26"/>
      <c r="K1046032" s="26"/>
      <c r="L1046032" s="4"/>
      <c r="M1046032" s="4"/>
      <c r="N1046032" s="26"/>
    </row>
    <row r="1046033" customFormat="1" spans="2:14">
      <c r="B1046033" s="26"/>
      <c r="C1046033" s="26"/>
      <c r="D1046033" s="4"/>
      <c r="E1046033" s="26"/>
      <c r="F1046033" s="26"/>
      <c r="G1046033" s="26"/>
      <c r="H1046033" s="26"/>
      <c r="I1046033" s="27"/>
      <c r="J1046033" s="26"/>
      <c r="K1046033" s="26"/>
      <c r="L1046033" s="4"/>
      <c r="M1046033" s="4"/>
      <c r="N1046033" s="26"/>
    </row>
    <row r="1046034" customFormat="1" spans="2:14">
      <c r="B1046034" s="26"/>
      <c r="C1046034" s="26"/>
      <c r="D1046034" s="4"/>
      <c r="E1046034" s="26"/>
      <c r="F1046034" s="26"/>
      <c r="G1046034" s="26"/>
      <c r="H1046034" s="26"/>
      <c r="I1046034" s="27"/>
      <c r="J1046034" s="26"/>
      <c r="K1046034" s="26"/>
      <c r="L1046034" s="4"/>
      <c r="M1046034" s="4"/>
      <c r="N1046034" s="26"/>
    </row>
    <row r="1046035" customFormat="1" spans="2:14">
      <c r="B1046035" s="26"/>
      <c r="C1046035" s="26"/>
      <c r="D1046035" s="4"/>
      <c r="E1046035" s="26"/>
      <c r="F1046035" s="26"/>
      <c r="G1046035" s="26"/>
      <c r="H1046035" s="26"/>
      <c r="I1046035" s="27"/>
      <c r="J1046035" s="26"/>
      <c r="K1046035" s="26"/>
      <c r="L1046035" s="4"/>
      <c r="M1046035" s="4"/>
      <c r="N1046035" s="26"/>
    </row>
    <row r="1046036" customFormat="1" spans="2:14">
      <c r="B1046036" s="26"/>
      <c r="C1046036" s="26"/>
      <c r="D1046036" s="4"/>
      <c r="E1046036" s="26"/>
      <c r="F1046036" s="26"/>
      <c r="G1046036" s="26"/>
      <c r="H1046036" s="26"/>
      <c r="I1046036" s="27"/>
      <c r="J1046036" s="26"/>
      <c r="K1046036" s="26"/>
      <c r="L1046036" s="4"/>
      <c r="M1046036" s="4"/>
      <c r="N1046036" s="26"/>
    </row>
    <row r="1046037" customFormat="1" spans="2:14">
      <c r="B1046037" s="26"/>
      <c r="C1046037" s="26"/>
      <c r="D1046037" s="4"/>
      <c r="E1046037" s="26"/>
      <c r="F1046037" s="26"/>
      <c r="G1046037" s="26"/>
      <c r="H1046037" s="26"/>
      <c r="I1046037" s="27"/>
      <c r="J1046037" s="26"/>
      <c r="K1046037" s="26"/>
      <c r="L1046037" s="4"/>
      <c r="M1046037" s="4"/>
      <c r="N1046037" s="26"/>
    </row>
    <row r="1046038" customFormat="1" spans="2:14">
      <c r="B1046038" s="26"/>
      <c r="C1046038" s="26"/>
      <c r="D1046038" s="4"/>
      <c r="E1046038" s="26"/>
      <c r="F1046038" s="26"/>
      <c r="G1046038" s="26"/>
      <c r="H1046038" s="26"/>
      <c r="I1046038" s="27"/>
      <c r="J1046038" s="26"/>
      <c r="K1046038" s="26"/>
      <c r="L1046038" s="4"/>
      <c r="M1046038" s="4"/>
      <c r="N1046038" s="26"/>
    </row>
    <row r="1046039" customFormat="1" spans="2:14">
      <c r="B1046039" s="26"/>
      <c r="C1046039" s="26"/>
      <c r="D1046039" s="4"/>
      <c r="E1046039" s="26"/>
      <c r="F1046039" s="26"/>
      <c r="G1046039" s="26"/>
      <c r="H1046039" s="26"/>
      <c r="I1046039" s="27"/>
      <c r="J1046039" s="26"/>
      <c r="K1046039" s="26"/>
      <c r="L1046039" s="4"/>
      <c r="M1046039" s="4"/>
      <c r="N1046039" s="26"/>
    </row>
    <row r="1046040" customFormat="1" spans="2:14">
      <c r="B1046040" s="26"/>
      <c r="C1046040" s="26"/>
      <c r="D1046040" s="4"/>
      <c r="E1046040" s="26"/>
      <c r="F1046040" s="26"/>
      <c r="G1046040" s="26"/>
      <c r="H1046040" s="26"/>
      <c r="I1046040" s="27"/>
      <c r="J1046040" s="26"/>
      <c r="K1046040" s="26"/>
      <c r="L1046040" s="4"/>
      <c r="M1046040" s="4"/>
      <c r="N1046040" s="26"/>
    </row>
    <row r="1046041" customFormat="1" spans="2:14">
      <c r="B1046041" s="26"/>
      <c r="C1046041" s="26"/>
      <c r="D1046041" s="4"/>
      <c r="E1046041" s="26"/>
      <c r="F1046041" s="26"/>
      <c r="G1046041" s="26"/>
      <c r="H1046041" s="26"/>
      <c r="I1046041" s="27"/>
      <c r="J1046041" s="26"/>
      <c r="K1046041" s="26"/>
      <c r="L1046041" s="4"/>
      <c r="M1046041" s="4"/>
      <c r="N1046041" s="26"/>
    </row>
    <row r="1046042" customFormat="1" spans="2:14">
      <c r="B1046042" s="26"/>
      <c r="C1046042" s="26"/>
      <c r="D1046042" s="4"/>
      <c r="E1046042" s="26"/>
      <c r="F1046042" s="26"/>
      <c r="G1046042" s="26"/>
      <c r="H1046042" s="26"/>
      <c r="I1046042" s="27"/>
      <c r="J1046042" s="26"/>
      <c r="K1046042" s="26"/>
      <c r="L1046042" s="4"/>
      <c r="M1046042" s="4"/>
      <c r="N1046042" s="26"/>
    </row>
    <row r="1046043" customFormat="1" spans="2:14">
      <c r="B1046043" s="26"/>
      <c r="C1046043" s="26"/>
      <c r="D1046043" s="4"/>
      <c r="E1046043" s="26"/>
      <c r="F1046043" s="26"/>
      <c r="G1046043" s="26"/>
      <c r="H1046043" s="26"/>
      <c r="I1046043" s="27"/>
      <c r="J1046043" s="26"/>
      <c r="K1046043" s="26"/>
      <c r="L1046043" s="4"/>
      <c r="M1046043" s="4"/>
      <c r="N1046043" s="26"/>
    </row>
    <row r="1046044" customFormat="1" spans="2:14">
      <c r="B1046044" s="26"/>
      <c r="C1046044" s="26"/>
      <c r="D1046044" s="4"/>
      <c r="E1046044" s="26"/>
      <c r="F1046044" s="26"/>
      <c r="G1046044" s="26"/>
      <c r="H1046044" s="26"/>
      <c r="I1046044" s="27"/>
      <c r="J1046044" s="26"/>
      <c r="K1046044" s="26"/>
      <c r="L1046044" s="4"/>
      <c r="M1046044" s="4"/>
      <c r="N1046044" s="26"/>
    </row>
    <row r="1046045" customFormat="1" spans="2:14">
      <c r="B1046045" s="26"/>
      <c r="C1046045" s="26"/>
      <c r="D1046045" s="4"/>
      <c r="E1046045" s="26"/>
      <c r="F1046045" s="26"/>
      <c r="G1046045" s="26"/>
      <c r="H1046045" s="26"/>
      <c r="I1046045" s="27"/>
      <c r="J1046045" s="26"/>
      <c r="K1046045" s="26"/>
      <c r="L1046045" s="4"/>
      <c r="M1046045" s="4"/>
      <c r="N1046045" s="26"/>
    </row>
    <row r="1046046" customFormat="1" spans="2:14">
      <c r="B1046046" s="26"/>
      <c r="C1046046" s="26"/>
      <c r="D1046046" s="4"/>
      <c r="E1046046" s="26"/>
      <c r="F1046046" s="26"/>
      <c r="G1046046" s="26"/>
      <c r="H1046046" s="26"/>
      <c r="I1046046" s="27"/>
      <c r="J1046046" s="26"/>
      <c r="K1046046" s="26"/>
      <c r="L1046046" s="4"/>
      <c r="M1046046" s="4"/>
      <c r="N1046046" s="26"/>
    </row>
    <row r="1046047" customFormat="1" spans="2:14">
      <c r="B1046047" s="26"/>
      <c r="C1046047" s="26"/>
      <c r="D1046047" s="4"/>
      <c r="E1046047" s="26"/>
      <c r="F1046047" s="26"/>
      <c r="G1046047" s="26"/>
      <c r="H1046047" s="26"/>
      <c r="I1046047" s="27"/>
      <c r="J1046047" s="26"/>
      <c r="K1046047" s="26"/>
      <c r="L1046047" s="4"/>
      <c r="M1046047" s="4"/>
      <c r="N1046047" s="26"/>
    </row>
    <row r="1046048" customFormat="1" spans="2:14">
      <c r="B1046048" s="26"/>
      <c r="C1046048" s="26"/>
      <c r="D1046048" s="4"/>
      <c r="E1046048" s="26"/>
      <c r="F1046048" s="26"/>
      <c r="G1046048" s="26"/>
      <c r="H1046048" s="26"/>
      <c r="I1046048" s="27"/>
      <c r="J1046048" s="26"/>
      <c r="K1046048" s="26"/>
      <c r="L1046048" s="4"/>
      <c r="M1046048" s="4"/>
      <c r="N1046048" s="26"/>
    </row>
    <row r="1046049" customFormat="1" spans="2:14">
      <c r="B1046049" s="26"/>
      <c r="C1046049" s="26"/>
      <c r="D1046049" s="4"/>
      <c r="E1046049" s="26"/>
      <c r="F1046049" s="26"/>
      <c r="G1046049" s="26"/>
      <c r="H1046049" s="26"/>
      <c r="I1046049" s="27"/>
      <c r="J1046049" s="26"/>
      <c r="K1046049" s="26"/>
      <c r="L1046049" s="4"/>
      <c r="M1046049" s="4"/>
      <c r="N1046049" s="26"/>
    </row>
    <row r="1046050" customFormat="1" spans="2:14">
      <c r="B1046050" s="26"/>
      <c r="C1046050" s="26"/>
      <c r="D1046050" s="4"/>
      <c r="E1046050" s="26"/>
      <c r="F1046050" s="26"/>
      <c r="G1046050" s="26"/>
      <c r="H1046050" s="26"/>
      <c r="I1046050" s="27"/>
      <c r="J1046050" s="26"/>
      <c r="K1046050" s="26"/>
      <c r="L1046050" s="4"/>
      <c r="M1046050" s="4"/>
      <c r="N1046050" s="26"/>
    </row>
    <row r="1046051" customFormat="1" spans="2:14">
      <c r="B1046051" s="26"/>
      <c r="C1046051" s="26"/>
      <c r="D1046051" s="4"/>
      <c r="E1046051" s="26"/>
      <c r="F1046051" s="26"/>
      <c r="G1046051" s="26"/>
      <c r="H1046051" s="26"/>
      <c r="I1046051" s="27"/>
      <c r="J1046051" s="26"/>
      <c r="K1046051" s="26"/>
      <c r="L1046051" s="4"/>
      <c r="M1046051" s="4"/>
      <c r="N1046051" s="26"/>
    </row>
    <row r="1046052" customFormat="1" spans="2:14">
      <c r="B1046052" s="26"/>
      <c r="C1046052" s="26"/>
      <c r="D1046052" s="4"/>
      <c r="E1046052" s="26"/>
      <c r="F1046052" s="26"/>
      <c r="G1046052" s="26"/>
      <c r="H1046052" s="26"/>
      <c r="I1046052" s="27"/>
      <c r="J1046052" s="26"/>
      <c r="K1046052" s="26"/>
      <c r="L1046052" s="4"/>
      <c r="M1046052" s="4"/>
      <c r="N1046052" s="26"/>
    </row>
    <row r="1046053" customFormat="1" spans="2:14">
      <c r="B1046053" s="26"/>
      <c r="C1046053" s="26"/>
      <c r="D1046053" s="4"/>
      <c r="E1046053" s="26"/>
      <c r="F1046053" s="26"/>
      <c r="G1046053" s="26"/>
      <c r="H1046053" s="26"/>
      <c r="I1046053" s="27"/>
      <c r="J1046053" s="26"/>
      <c r="K1046053" s="26"/>
      <c r="L1046053" s="4"/>
      <c r="M1046053" s="4"/>
      <c r="N1046053" s="26"/>
    </row>
    <row r="1046054" customFormat="1" spans="2:14">
      <c r="B1046054" s="26"/>
      <c r="C1046054" s="26"/>
      <c r="D1046054" s="4"/>
      <c r="E1046054" s="26"/>
      <c r="F1046054" s="26"/>
      <c r="G1046054" s="26"/>
      <c r="H1046054" s="26"/>
      <c r="I1046054" s="27"/>
      <c r="J1046054" s="26"/>
      <c r="K1046054" s="26"/>
      <c r="L1046054" s="4"/>
      <c r="M1046054" s="4"/>
      <c r="N1046054" s="26"/>
    </row>
    <row r="1046055" customFormat="1" spans="2:14">
      <c r="B1046055" s="26"/>
      <c r="C1046055" s="26"/>
      <c r="D1046055" s="4"/>
      <c r="E1046055" s="26"/>
      <c r="F1046055" s="26"/>
      <c r="G1046055" s="26"/>
      <c r="H1046055" s="26"/>
      <c r="I1046055" s="27"/>
      <c r="J1046055" s="26"/>
      <c r="K1046055" s="26"/>
      <c r="L1046055" s="4"/>
      <c r="M1046055" s="4"/>
      <c r="N1046055" s="26"/>
    </row>
    <row r="1046056" customFormat="1" spans="2:14">
      <c r="B1046056" s="26"/>
      <c r="C1046056" s="26"/>
      <c r="D1046056" s="4"/>
      <c r="E1046056" s="26"/>
      <c r="F1046056" s="26"/>
      <c r="G1046056" s="26"/>
      <c r="H1046056" s="26"/>
      <c r="I1046056" s="27"/>
      <c r="J1046056" s="26"/>
      <c r="K1046056" s="26"/>
      <c r="L1046056" s="4"/>
      <c r="M1046056" s="4"/>
      <c r="N1046056" s="26"/>
    </row>
    <row r="1046057" customFormat="1" spans="2:14">
      <c r="B1046057" s="26"/>
      <c r="C1046057" s="26"/>
      <c r="D1046057" s="4"/>
      <c r="E1046057" s="26"/>
      <c r="F1046057" s="26"/>
      <c r="G1046057" s="26"/>
      <c r="H1046057" s="26"/>
      <c r="I1046057" s="27"/>
      <c r="J1046057" s="26"/>
      <c r="K1046057" s="26"/>
      <c r="L1046057" s="4"/>
      <c r="M1046057" s="4"/>
      <c r="N1046057" s="26"/>
    </row>
    <row r="1046058" customFormat="1" spans="2:14">
      <c r="B1046058" s="26"/>
      <c r="C1046058" s="26"/>
      <c r="D1046058" s="4"/>
      <c r="E1046058" s="26"/>
      <c r="F1046058" s="26"/>
      <c r="G1046058" s="26"/>
      <c r="H1046058" s="26"/>
      <c r="I1046058" s="27"/>
      <c r="J1046058" s="26"/>
      <c r="K1046058" s="26"/>
      <c r="L1046058" s="4"/>
      <c r="M1046058" s="4"/>
      <c r="N1046058" s="26"/>
    </row>
    <row r="1046059" customFormat="1" spans="2:14">
      <c r="B1046059" s="26"/>
      <c r="C1046059" s="26"/>
      <c r="D1046059" s="4"/>
      <c r="E1046059" s="26"/>
      <c r="F1046059" s="26"/>
      <c r="G1046059" s="26"/>
      <c r="H1046059" s="26"/>
      <c r="I1046059" s="27"/>
      <c r="J1046059" s="26"/>
      <c r="K1046059" s="26"/>
      <c r="L1046059" s="4"/>
      <c r="M1046059" s="4"/>
      <c r="N1046059" s="26"/>
    </row>
    <row r="1046060" customFormat="1" spans="2:14">
      <c r="B1046060" s="26"/>
      <c r="C1046060" s="26"/>
      <c r="D1046060" s="4"/>
      <c r="E1046060" s="26"/>
      <c r="F1046060" s="26"/>
      <c r="G1046060" s="26"/>
      <c r="H1046060" s="26"/>
      <c r="I1046060" s="27"/>
      <c r="J1046060" s="26"/>
      <c r="K1046060" s="26"/>
      <c r="L1046060" s="4"/>
      <c r="M1046060" s="4"/>
      <c r="N1046060" s="26"/>
    </row>
    <row r="1046061" customFormat="1" spans="2:14">
      <c r="B1046061" s="26"/>
      <c r="C1046061" s="26"/>
      <c r="D1046061" s="4"/>
      <c r="E1046061" s="26"/>
      <c r="F1046061" s="26"/>
      <c r="G1046061" s="26"/>
      <c r="H1046061" s="26"/>
      <c r="I1046061" s="27"/>
      <c r="J1046061" s="26"/>
      <c r="K1046061" s="26"/>
      <c r="L1046061" s="4"/>
      <c r="M1046061" s="4"/>
      <c r="N1046061" s="26"/>
    </row>
    <row r="1046062" customFormat="1" spans="2:14">
      <c r="B1046062" s="26"/>
      <c r="C1046062" s="26"/>
      <c r="D1046062" s="4"/>
      <c r="E1046062" s="26"/>
      <c r="F1046062" s="26"/>
      <c r="G1046062" s="26"/>
      <c r="H1046062" s="26"/>
      <c r="I1046062" s="27"/>
      <c r="J1046062" s="26"/>
      <c r="K1046062" s="26"/>
      <c r="L1046062" s="4"/>
      <c r="M1046062" s="4"/>
      <c r="N1046062" s="26"/>
    </row>
    <row r="1046063" customFormat="1" spans="2:14">
      <c r="B1046063" s="26"/>
      <c r="C1046063" s="26"/>
      <c r="D1046063" s="4"/>
      <c r="E1046063" s="26"/>
      <c r="F1046063" s="26"/>
      <c r="G1046063" s="26"/>
      <c r="H1046063" s="26"/>
      <c r="I1046063" s="27"/>
      <c r="J1046063" s="26"/>
      <c r="K1046063" s="26"/>
      <c r="L1046063" s="4"/>
      <c r="M1046063" s="4"/>
      <c r="N1046063" s="26"/>
    </row>
    <row r="1046064" customFormat="1" spans="2:14">
      <c r="B1046064" s="26"/>
      <c r="C1046064" s="26"/>
      <c r="D1046064" s="4"/>
      <c r="E1046064" s="26"/>
      <c r="F1046064" s="26"/>
      <c r="G1046064" s="26"/>
      <c r="H1046064" s="26"/>
      <c r="I1046064" s="27"/>
      <c r="J1046064" s="26"/>
      <c r="K1046064" s="26"/>
      <c r="L1046064" s="4"/>
      <c r="M1046064" s="4"/>
      <c r="N1046064" s="26"/>
    </row>
    <row r="1046065" customFormat="1" spans="2:14">
      <c r="B1046065" s="26"/>
      <c r="C1046065" s="26"/>
      <c r="D1046065" s="4"/>
      <c r="E1046065" s="26"/>
      <c r="F1046065" s="26"/>
      <c r="G1046065" s="26"/>
      <c r="H1046065" s="26"/>
      <c r="I1046065" s="27"/>
      <c r="J1046065" s="26"/>
      <c r="K1046065" s="26"/>
      <c r="L1046065" s="4"/>
      <c r="M1046065" s="4"/>
      <c r="N1046065" s="26"/>
    </row>
    <row r="1046066" customFormat="1" spans="2:14">
      <c r="B1046066" s="26"/>
      <c r="C1046066" s="26"/>
      <c r="D1046066" s="4"/>
      <c r="E1046066" s="26"/>
      <c r="F1046066" s="26"/>
      <c r="G1046066" s="26"/>
      <c r="H1046066" s="26"/>
      <c r="I1046066" s="27"/>
      <c r="J1046066" s="26"/>
      <c r="K1046066" s="26"/>
      <c r="L1046066" s="4"/>
      <c r="M1046066" s="4"/>
      <c r="N1046066" s="26"/>
    </row>
    <row r="1046067" customFormat="1" spans="2:14">
      <c r="B1046067" s="26"/>
      <c r="C1046067" s="26"/>
      <c r="D1046067" s="4"/>
      <c r="E1046067" s="26"/>
      <c r="F1046067" s="26"/>
      <c r="G1046067" s="26"/>
      <c r="H1046067" s="26"/>
      <c r="I1046067" s="27"/>
      <c r="J1046067" s="26"/>
      <c r="K1046067" s="26"/>
      <c r="L1046067" s="4"/>
      <c r="M1046067" s="4"/>
      <c r="N1046067" s="26"/>
    </row>
    <row r="1046068" customFormat="1" spans="2:14">
      <c r="B1046068" s="26"/>
      <c r="C1046068" s="26"/>
      <c r="D1046068" s="4"/>
      <c r="E1046068" s="26"/>
      <c r="F1046068" s="26"/>
      <c r="G1046068" s="26"/>
      <c r="H1046068" s="26"/>
      <c r="I1046068" s="27"/>
      <c r="J1046068" s="26"/>
      <c r="K1046068" s="26"/>
      <c r="L1046068" s="4"/>
      <c r="M1046068" s="4"/>
      <c r="N1046068" s="26"/>
    </row>
    <row r="1046069" customFormat="1" spans="2:14">
      <c r="B1046069" s="26"/>
      <c r="C1046069" s="26"/>
      <c r="D1046069" s="4"/>
      <c r="E1046069" s="26"/>
      <c r="F1046069" s="26"/>
      <c r="G1046069" s="26"/>
      <c r="H1046069" s="26"/>
      <c r="I1046069" s="27"/>
      <c r="J1046069" s="26"/>
      <c r="K1046069" s="26"/>
      <c r="L1046069" s="4"/>
      <c r="M1046069" s="4"/>
      <c r="N1046069" s="26"/>
    </row>
    <row r="1046070" customFormat="1" spans="2:14">
      <c r="B1046070" s="26"/>
      <c r="C1046070" s="26"/>
      <c r="D1046070" s="4"/>
      <c r="E1046070" s="26"/>
      <c r="F1046070" s="26"/>
      <c r="G1046070" s="26"/>
      <c r="H1046070" s="26"/>
      <c r="I1046070" s="27"/>
      <c r="J1046070" s="26"/>
      <c r="K1046070" s="26"/>
      <c r="L1046070" s="4"/>
      <c r="M1046070" s="4"/>
      <c r="N1046070" s="26"/>
    </row>
    <row r="1046071" customFormat="1" spans="2:14">
      <c r="B1046071" s="26"/>
      <c r="C1046071" s="26"/>
      <c r="D1046071" s="4"/>
      <c r="E1046071" s="26"/>
      <c r="F1046071" s="26"/>
      <c r="G1046071" s="26"/>
      <c r="H1046071" s="26"/>
      <c r="I1046071" s="27"/>
      <c r="J1046071" s="26"/>
      <c r="K1046071" s="26"/>
      <c r="L1046071" s="4"/>
      <c r="M1046071" s="4"/>
      <c r="N1046071" s="26"/>
    </row>
    <row r="1046072" customFormat="1" spans="2:14">
      <c r="B1046072" s="26"/>
      <c r="C1046072" s="26"/>
      <c r="D1046072" s="4"/>
      <c r="E1046072" s="26"/>
      <c r="F1046072" s="26"/>
      <c r="G1046072" s="26"/>
      <c r="H1046072" s="26"/>
      <c r="I1046072" s="27"/>
      <c r="J1046072" s="26"/>
      <c r="K1046072" s="26"/>
      <c r="L1046072" s="4"/>
      <c r="M1046072" s="4"/>
      <c r="N1046072" s="26"/>
    </row>
    <row r="1046073" customFormat="1" spans="2:14">
      <c r="B1046073" s="26"/>
      <c r="C1046073" s="26"/>
      <c r="D1046073" s="4"/>
      <c r="E1046073" s="26"/>
      <c r="F1046073" s="26"/>
      <c r="G1046073" s="26"/>
      <c r="H1046073" s="26"/>
      <c r="I1046073" s="27"/>
      <c r="J1046073" s="26"/>
      <c r="K1046073" s="26"/>
      <c r="L1046073" s="4"/>
      <c r="M1046073" s="4"/>
      <c r="N1046073" s="26"/>
    </row>
    <row r="1046074" customFormat="1" spans="2:14">
      <c r="B1046074" s="26"/>
      <c r="C1046074" s="26"/>
      <c r="D1046074" s="4"/>
      <c r="E1046074" s="26"/>
      <c r="F1046074" s="26"/>
      <c r="G1046074" s="26"/>
      <c r="H1046074" s="26"/>
      <c r="I1046074" s="27"/>
      <c r="J1046074" s="26"/>
      <c r="K1046074" s="26"/>
      <c r="L1046074" s="4"/>
      <c r="M1046074" s="4"/>
      <c r="N1046074" s="26"/>
    </row>
    <row r="1046075" customFormat="1" spans="2:14">
      <c r="B1046075" s="26"/>
      <c r="C1046075" s="26"/>
      <c r="D1046075" s="4"/>
      <c r="E1046075" s="26"/>
      <c r="F1046075" s="26"/>
      <c r="G1046075" s="26"/>
      <c r="H1046075" s="26"/>
      <c r="I1046075" s="27"/>
      <c r="J1046075" s="26"/>
      <c r="K1046075" s="26"/>
      <c r="L1046075" s="4"/>
      <c r="M1046075" s="4"/>
      <c r="N1046075" s="26"/>
    </row>
    <row r="1046076" customFormat="1" spans="2:14">
      <c r="B1046076" s="26"/>
      <c r="C1046076" s="26"/>
      <c r="D1046076" s="4"/>
      <c r="E1046076" s="26"/>
      <c r="F1046076" s="26"/>
      <c r="G1046076" s="26"/>
      <c r="H1046076" s="26"/>
      <c r="I1046076" s="27"/>
      <c r="J1046076" s="26"/>
      <c r="K1046076" s="26"/>
      <c r="L1046076" s="4"/>
      <c r="M1046076" s="4"/>
      <c r="N1046076" s="26"/>
    </row>
    <row r="1046077" customFormat="1" spans="2:14">
      <c r="B1046077" s="26"/>
      <c r="C1046077" s="26"/>
      <c r="D1046077" s="4"/>
      <c r="E1046077" s="26"/>
      <c r="F1046077" s="26"/>
      <c r="G1046077" s="26"/>
      <c r="H1046077" s="26"/>
      <c r="I1046077" s="27"/>
      <c r="J1046077" s="26"/>
      <c r="K1046077" s="26"/>
      <c r="L1046077" s="4"/>
      <c r="M1046077" s="4"/>
      <c r="N1046077" s="26"/>
    </row>
    <row r="1046078" customFormat="1" spans="2:14">
      <c r="B1046078" s="26"/>
      <c r="C1046078" s="26"/>
      <c r="D1046078" s="4"/>
      <c r="E1046078" s="26"/>
      <c r="F1046078" s="26"/>
      <c r="G1046078" s="26"/>
      <c r="H1046078" s="26"/>
      <c r="I1046078" s="27"/>
      <c r="J1046078" s="26"/>
      <c r="K1046078" s="26"/>
      <c r="L1046078" s="4"/>
      <c r="M1046078" s="4"/>
      <c r="N1046078" s="26"/>
    </row>
    <row r="1046079" customFormat="1" spans="2:14">
      <c r="B1046079" s="26"/>
      <c r="C1046079" s="26"/>
      <c r="D1046079" s="4"/>
      <c r="E1046079" s="26"/>
      <c r="F1046079" s="26"/>
      <c r="G1046079" s="26"/>
      <c r="H1046079" s="26"/>
      <c r="I1046079" s="27"/>
      <c r="J1046079" s="26"/>
      <c r="K1046079" s="26"/>
      <c r="L1046079" s="4"/>
      <c r="M1046079" s="4"/>
      <c r="N1046079" s="26"/>
    </row>
    <row r="1046080" customFormat="1" spans="2:14">
      <c r="B1046080" s="26"/>
      <c r="C1046080" s="26"/>
      <c r="D1046080" s="4"/>
      <c r="E1046080" s="26"/>
      <c r="F1046080" s="26"/>
      <c r="G1046080" s="26"/>
      <c r="H1046080" s="26"/>
      <c r="I1046080" s="27"/>
      <c r="J1046080" s="26"/>
      <c r="K1046080" s="26"/>
      <c r="L1046080" s="4"/>
      <c r="M1046080" s="4"/>
      <c r="N1046080" s="26"/>
    </row>
    <row r="1046081" customFormat="1" spans="2:14">
      <c r="B1046081" s="26"/>
      <c r="C1046081" s="26"/>
      <c r="D1046081" s="4"/>
      <c r="E1046081" s="26"/>
      <c r="F1046081" s="26"/>
      <c r="G1046081" s="26"/>
      <c r="H1046081" s="26"/>
      <c r="I1046081" s="27"/>
      <c r="J1046081" s="26"/>
      <c r="K1046081" s="26"/>
      <c r="L1046081" s="4"/>
      <c r="M1046081" s="4"/>
      <c r="N1046081" s="26"/>
    </row>
    <row r="1046082" customFormat="1" spans="2:14">
      <c r="B1046082" s="26"/>
      <c r="C1046082" s="26"/>
      <c r="D1046082" s="4"/>
      <c r="E1046082" s="26"/>
      <c r="F1046082" s="26"/>
      <c r="G1046082" s="26"/>
      <c r="H1046082" s="26"/>
      <c r="I1046082" s="27"/>
      <c r="J1046082" s="26"/>
      <c r="K1046082" s="26"/>
      <c r="L1046082" s="4"/>
      <c r="M1046082" s="4"/>
      <c r="N1046082" s="26"/>
    </row>
    <row r="1046083" customFormat="1" spans="2:14">
      <c r="B1046083" s="26"/>
      <c r="C1046083" s="26"/>
      <c r="D1046083" s="4"/>
      <c r="E1046083" s="26"/>
      <c r="F1046083" s="26"/>
      <c r="G1046083" s="26"/>
      <c r="H1046083" s="26"/>
      <c r="I1046083" s="27"/>
      <c r="J1046083" s="26"/>
      <c r="K1046083" s="26"/>
      <c r="L1046083" s="4"/>
      <c r="M1046083" s="4"/>
      <c r="N1046083" s="26"/>
    </row>
    <row r="1046084" customFormat="1" spans="2:14">
      <c r="B1046084" s="26"/>
      <c r="C1046084" s="26"/>
      <c r="D1046084" s="4"/>
      <c r="E1046084" s="26"/>
      <c r="F1046084" s="26"/>
      <c r="G1046084" s="26"/>
      <c r="H1046084" s="26"/>
      <c r="I1046084" s="27"/>
      <c r="J1046084" s="26"/>
      <c r="K1046084" s="26"/>
      <c r="L1046084" s="4"/>
      <c r="M1046084" s="4"/>
      <c r="N1046084" s="26"/>
    </row>
    <row r="1046085" customFormat="1" spans="2:14">
      <c r="B1046085" s="26"/>
      <c r="C1046085" s="26"/>
      <c r="D1046085" s="4"/>
      <c r="E1046085" s="26"/>
      <c r="F1046085" s="26"/>
      <c r="G1046085" s="26"/>
      <c r="H1046085" s="26"/>
      <c r="I1046085" s="27"/>
      <c r="J1046085" s="26"/>
      <c r="K1046085" s="26"/>
      <c r="L1046085" s="4"/>
      <c r="M1046085" s="4"/>
      <c r="N1046085" s="26"/>
    </row>
    <row r="1046086" customFormat="1" spans="2:14">
      <c r="B1046086" s="26"/>
      <c r="C1046086" s="26"/>
      <c r="D1046086" s="4"/>
      <c r="E1046086" s="26"/>
      <c r="F1046086" s="26"/>
      <c r="G1046086" s="26"/>
      <c r="H1046086" s="26"/>
      <c r="I1046086" s="27"/>
      <c r="J1046086" s="26"/>
      <c r="K1046086" s="26"/>
      <c r="L1046086" s="4"/>
      <c r="M1046086" s="4"/>
      <c r="N1046086" s="26"/>
    </row>
    <row r="1046087" customFormat="1" spans="2:14">
      <c r="B1046087" s="26"/>
      <c r="C1046087" s="26"/>
      <c r="D1046087" s="4"/>
      <c r="E1046087" s="26"/>
      <c r="F1046087" s="26"/>
      <c r="G1046087" s="26"/>
      <c r="H1046087" s="26"/>
      <c r="I1046087" s="27"/>
      <c r="J1046087" s="26"/>
      <c r="K1046087" s="26"/>
      <c r="L1046087" s="4"/>
      <c r="M1046087" s="4"/>
      <c r="N1046087" s="26"/>
    </row>
    <row r="1046088" customFormat="1" spans="2:14">
      <c r="B1046088" s="26"/>
      <c r="C1046088" s="26"/>
      <c r="D1046088" s="4"/>
      <c r="E1046088" s="26"/>
      <c r="F1046088" s="26"/>
      <c r="G1046088" s="26"/>
      <c r="H1046088" s="26"/>
      <c r="I1046088" s="27"/>
      <c r="J1046088" s="26"/>
      <c r="K1046088" s="26"/>
      <c r="L1046088" s="4"/>
      <c r="M1046088" s="4"/>
      <c r="N1046088" s="26"/>
    </row>
    <row r="1046089" customFormat="1" spans="2:14">
      <c r="B1046089" s="26"/>
      <c r="C1046089" s="26"/>
      <c r="D1046089" s="4"/>
      <c r="E1046089" s="26"/>
      <c r="F1046089" s="26"/>
      <c r="G1046089" s="26"/>
      <c r="H1046089" s="26"/>
      <c r="I1046089" s="27"/>
      <c r="J1046089" s="26"/>
      <c r="K1046089" s="26"/>
      <c r="L1046089" s="4"/>
      <c r="M1046089" s="4"/>
      <c r="N1046089" s="26"/>
    </row>
    <row r="1046090" customFormat="1" spans="2:14">
      <c r="B1046090" s="26"/>
      <c r="C1046090" s="26"/>
      <c r="D1046090" s="4"/>
      <c r="E1046090" s="26"/>
      <c r="F1046090" s="26"/>
      <c r="G1046090" s="26"/>
      <c r="H1046090" s="26"/>
      <c r="I1046090" s="27"/>
      <c r="J1046090" s="26"/>
      <c r="K1046090" s="26"/>
      <c r="L1046090" s="4"/>
      <c r="M1046090" s="4"/>
      <c r="N1046090" s="26"/>
    </row>
    <row r="1046091" customFormat="1" spans="2:14">
      <c r="B1046091" s="26"/>
      <c r="C1046091" s="26"/>
      <c r="D1046091" s="4"/>
      <c r="E1046091" s="26"/>
      <c r="F1046091" s="26"/>
      <c r="G1046091" s="26"/>
      <c r="H1046091" s="26"/>
      <c r="I1046091" s="27"/>
      <c r="J1046091" s="26"/>
      <c r="K1046091" s="26"/>
      <c r="L1046091" s="4"/>
      <c r="M1046091" s="4"/>
      <c r="N1046091" s="26"/>
    </row>
    <row r="1046092" customFormat="1" spans="2:14">
      <c r="B1046092" s="26"/>
      <c r="C1046092" s="26"/>
      <c r="D1046092" s="4"/>
      <c r="E1046092" s="26"/>
      <c r="F1046092" s="26"/>
      <c r="G1046092" s="26"/>
      <c r="H1046092" s="26"/>
      <c r="I1046092" s="27"/>
      <c r="J1046092" s="26"/>
      <c r="K1046092" s="26"/>
      <c r="L1046092" s="4"/>
      <c r="M1046092" s="4"/>
      <c r="N1046092" s="26"/>
    </row>
    <row r="1046093" customFormat="1" spans="2:14">
      <c r="B1046093" s="26"/>
      <c r="C1046093" s="26"/>
      <c r="D1046093" s="4"/>
      <c r="E1046093" s="26"/>
      <c r="F1046093" s="26"/>
      <c r="G1046093" s="26"/>
      <c r="H1046093" s="26"/>
      <c r="I1046093" s="27"/>
      <c r="J1046093" s="26"/>
      <c r="K1046093" s="26"/>
      <c r="L1046093" s="4"/>
      <c r="M1046093" s="4"/>
      <c r="N1046093" s="26"/>
    </row>
    <row r="1046094" customFormat="1" spans="2:14">
      <c r="B1046094" s="26"/>
      <c r="C1046094" s="26"/>
      <c r="D1046094" s="4"/>
      <c r="E1046094" s="26"/>
      <c r="F1046094" s="26"/>
      <c r="G1046094" s="26"/>
      <c r="H1046094" s="26"/>
      <c r="I1046094" s="27"/>
      <c r="J1046094" s="26"/>
      <c r="K1046094" s="26"/>
      <c r="L1046094" s="4"/>
      <c r="M1046094" s="4"/>
      <c r="N1046094" s="26"/>
    </row>
    <row r="1046095" customFormat="1" spans="2:14">
      <c r="B1046095" s="26"/>
      <c r="C1046095" s="26"/>
      <c r="D1046095" s="4"/>
      <c r="E1046095" s="26"/>
      <c r="F1046095" s="26"/>
      <c r="G1046095" s="26"/>
      <c r="H1046095" s="26"/>
      <c r="I1046095" s="27"/>
      <c r="J1046095" s="26"/>
      <c r="K1046095" s="26"/>
      <c r="L1046095" s="4"/>
      <c r="M1046095" s="4"/>
      <c r="N1046095" s="26"/>
    </row>
    <row r="1046096" customFormat="1" spans="2:14">
      <c r="B1046096" s="26"/>
      <c r="C1046096" s="26"/>
      <c r="D1046096" s="4"/>
      <c r="E1046096" s="26"/>
      <c r="F1046096" s="26"/>
      <c r="G1046096" s="26"/>
      <c r="H1046096" s="26"/>
      <c r="I1046096" s="27"/>
      <c r="J1046096" s="26"/>
      <c r="K1046096" s="26"/>
      <c r="L1046096" s="4"/>
      <c r="M1046096" s="4"/>
      <c r="N1046096" s="26"/>
    </row>
    <row r="1046097" customFormat="1" spans="2:14">
      <c r="B1046097" s="26"/>
      <c r="C1046097" s="26"/>
      <c r="D1046097" s="4"/>
      <c r="E1046097" s="26"/>
      <c r="F1046097" s="26"/>
      <c r="G1046097" s="26"/>
      <c r="H1046097" s="26"/>
      <c r="I1046097" s="27"/>
      <c r="J1046097" s="26"/>
      <c r="K1046097" s="26"/>
      <c r="L1046097" s="4"/>
      <c r="M1046097" s="4"/>
      <c r="N1046097" s="26"/>
    </row>
    <row r="1046098" customFormat="1" spans="2:14">
      <c r="B1046098" s="26"/>
      <c r="C1046098" s="26"/>
      <c r="D1046098" s="4"/>
      <c r="E1046098" s="26"/>
      <c r="F1046098" s="26"/>
      <c r="G1046098" s="26"/>
      <c r="H1046098" s="26"/>
      <c r="I1046098" s="27"/>
      <c r="J1046098" s="26"/>
      <c r="K1046098" s="26"/>
      <c r="L1046098" s="4"/>
      <c r="M1046098" s="4"/>
      <c r="N1046098" s="26"/>
    </row>
    <row r="1046099" customFormat="1" spans="2:14">
      <c r="B1046099" s="26"/>
      <c r="C1046099" s="26"/>
      <c r="D1046099" s="4"/>
      <c r="E1046099" s="26"/>
      <c r="F1046099" s="26"/>
      <c r="G1046099" s="26"/>
      <c r="H1046099" s="26"/>
      <c r="I1046099" s="27"/>
      <c r="J1046099" s="26"/>
      <c r="K1046099" s="26"/>
      <c r="L1046099" s="4"/>
      <c r="M1046099" s="4"/>
      <c r="N1046099" s="26"/>
    </row>
    <row r="1046100" customFormat="1" spans="2:14">
      <c r="B1046100" s="26"/>
      <c r="C1046100" s="26"/>
      <c r="D1046100" s="4"/>
      <c r="E1046100" s="26"/>
      <c r="F1046100" s="26"/>
      <c r="G1046100" s="26"/>
      <c r="H1046100" s="26"/>
      <c r="I1046100" s="27"/>
      <c r="J1046100" s="26"/>
      <c r="K1046100" s="26"/>
      <c r="L1046100" s="4"/>
      <c r="M1046100" s="4"/>
      <c r="N1046100" s="26"/>
    </row>
    <row r="1046101" customFormat="1" spans="2:14">
      <c r="B1046101" s="26"/>
      <c r="C1046101" s="26"/>
      <c r="D1046101" s="4"/>
      <c r="E1046101" s="26"/>
      <c r="F1046101" s="26"/>
      <c r="G1046101" s="26"/>
      <c r="H1046101" s="26"/>
      <c r="I1046101" s="27"/>
      <c r="J1046101" s="26"/>
      <c r="K1046101" s="26"/>
      <c r="L1046101" s="4"/>
      <c r="M1046101" s="4"/>
      <c r="N1046101" s="26"/>
    </row>
    <row r="1046102" customFormat="1" spans="2:14">
      <c r="B1046102" s="26"/>
      <c r="C1046102" s="26"/>
      <c r="D1046102" s="4"/>
      <c r="E1046102" s="26"/>
      <c r="F1046102" s="26"/>
      <c r="G1046102" s="26"/>
      <c r="H1046102" s="26"/>
      <c r="I1046102" s="27"/>
      <c r="J1046102" s="26"/>
      <c r="K1046102" s="26"/>
      <c r="L1046102" s="4"/>
      <c r="M1046102" s="4"/>
      <c r="N1046102" s="26"/>
    </row>
    <row r="1046103" customFormat="1" spans="2:14">
      <c r="B1046103" s="26"/>
      <c r="C1046103" s="26"/>
      <c r="D1046103" s="4"/>
      <c r="E1046103" s="26"/>
      <c r="F1046103" s="26"/>
      <c r="G1046103" s="26"/>
      <c r="H1046103" s="26"/>
      <c r="I1046103" s="27"/>
      <c r="J1046103" s="26"/>
      <c r="K1046103" s="26"/>
      <c r="L1046103" s="4"/>
      <c r="M1046103" s="4"/>
      <c r="N1046103" s="26"/>
    </row>
    <row r="1046104" customFormat="1" spans="2:14">
      <c r="B1046104" s="26"/>
      <c r="C1046104" s="26"/>
      <c r="D1046104" s="4"/>
      <c r="E1046104" s="26"/>
      <c r="F1046104" s="26"/>
      <c r="G1046104" s="26"/>
      <c r="H1046104" s="26"/>
      <c r="I1046104" s="27"/>
      <c r="J1046104" s="26"/>
      <c r="K1046104" s="26"/>
      <c r="L1046104" s="4"/>
      <c r="M1046104" s="4"/>
      <c r="N1046104" s="26"/>
    </row>
    <row r="1046105" customFormat="1" spans="2:14">
      <c r="B1046105" s="26"/>
      <c r="C1046105" s="26"/>
      <c r="D1046105" s="4"/>
      <c r="E1046105" s="26"/>
      <c r="F1046105" s="26"/>
      <c r="G1046105" s="26"/>
      <c r="H1046105" s="26"/>
      <c r="I1046105" s="27"/>
      <c r="J1046105" s="26"/>
      <c r="K1046105" s="26"/>
      <c r="L1046105" s="4"/>
      <c r="M1046105" s="4"/>
      <c r="N1046105" s="26"/>
    </row>
    <row r="1046106" customFormat="1" spans="2:14">
      <c r="B1046106" s="26"/>
      <c r="C1046106" s="26"/>
      <c r="D1046106" s="4"/>
      <c r="E1046106" s="26"/>
      <c r="F1046106" s="26"/>
      <c r="G1046106" s="26"/>
      <c r="H1046106" s="26"/>
      <c r="I1046106" s="27"/>
      <c r="J1046106" s="26"/>
      <c r="K1046106" s="26"/>
      <c r="L1046106" s="4"/>
      <c r="M1046106" s="4"/>
      <c r="N1046106" s="26"/>
    </row>
    <row r="1046107" customFormat="1" spans="2:14">
      <c r="B1046107" s="26"/>
      <c r="C1046107" s="26"/>
      <c r="D1046107" s="4"/>
      <c r="E1046107" s="26"/>
      <c r="F1046107" s="26"/>
      <c r="G1046107" s="26"/>
      <c r="H1046107" s="26"/>
      <c r="I1046107" s="27"/>
      <c r="J1046107" s="26"/>
      <c r="K1046107" s="26"/>
      <c r="L1046107" s="4"/>
      <c r="M1046107" s="4"/>
      <c r="N1046107" s="26"/>
    </row>
    <row r="1046108" customFormat="1" spans="2:14">
      <c r="B1046108" s="26"/>
      <c r="C1046108" s="26"/>
      <c r="D1046108" s="4"/>
      <c r="E1046108" s="26"/>
      <c r="F1046108" s="26"/>
      <c r="G1046108" s="26"/>
      <c r="H1046108" s="26"/>
      <c r="I1046108" s="27"/>
      <c r="J1046108" s="26"/>
      <c r="K1046108" s="26"/>
      <c r="L1046108" s="4"/>
      <c r="M1046108" s="4"/>
      <c r="N1046108" s="26"/>
    </row>
    <row r="1046109" customFormat="1" spans="2:14">
      <c r="B1046109" s="26"/>
      <c r="C1046109" s="26"/>
      <c r="D1046109" s="4"/>
      <c r="E1046109" s="26"/>
      <c r="F1046109" s="26"/>
      <c r="G1046109" s="26"/>
      <c r="H1046109" s="26"/>
      <c r="I1046109" s="27"/>
      <c r="J1046109" s="26"/>
      <c r="K1046109" s="26"/>
      <c r="L1046109" s="4"/>
      <c r="M1046109" s="4"/>
      <c r="N1046109" s="26"/>
    </row>
    <row r="1046110" customFormat="1" spans="2:14">
      <c r="B1046110" s="26"/>
      <c r="C1046110" s="26"/>
      <c r="D1046110" s="4"/>
      <c r="E1046110" s="26"/>
      <c r="F1046110" s="26"/>
      <c r="G1046110" s="26"/>
      <c r="H1046110" s="26"/>
      <c r="I1046110" s="27"/>
      <c r="J1046110" s="26"/>
      <c r="K1046110" s="26"/>
      <c r="L1046110" s="4"/>
      <c r="M1046110" s="4"/>
      <c r="N1046110" s="26"/>
    </row>
    <row r="1046111" customFormat="1" spans="2:14">
      <c r="B1046111" s="26"/>
      <c r="C1046111" s="26"/>
      <c r="D1046111" s="4"/>
      <c r="E1046111" s="26"/>
      <c r="F1046111" s="26"/>
      <c r="G1046111" s="26"/>
      <c r="H1046111" s="26"/>
      <c r="I1046111" s="27"/>
      <c r="J1046111" s="26"/>
      <c r="K1046111" s="26"/>
      <c r="L1046111" s="4"/>
      <c r="M1046111" s="4"/>
      <c r="N1046111" s="26"/>
    </row>
    <row r="1046112" customFormat="1" spans="2:14">
      <c r="B1046112" s="26"/>
      <c r="C1046112" s="26"/>
      <c r="D1046112" s="4"/>
      <c r="E1046112" s="26"/>
      <c r="F1046112" s="26"/>
      <c r="G1046112" s="26"/>
      <c r="H1046112" s="26"/>
      <c r="I1046112" s="27"/>
      <c r="J1046112" s="26"/>
      <c r="K1046112" s="26"/>
      <c r="L1046112" s="4"/>
      <c r="M1046112" s="4"/>
      <c r="N1046112" s="26"/>
    </row>
    <row r="1046113" customFormat="1" spans="2:14">
      <c r="B1046113" s="26"/>
      <c r="C1046113" s="26"/>
      <c r="D1046113" s="4"/>
      <c r="E1046113" s="26"/>
      <c r="F1046113" s="26"/>
      <c r="G1046113" s="26"/>
      <c r="H1046113" s="26"/>
      <c r="I1046113" s="27"/>
      <c r="J1046113" s="26"/>
      <c r="K1046113" s="26"/>
      <c r="L1046113" s="4"/>
      <c r="M1046113" s="4"/>
      <c r="N1046113" s="26"/>
    </row>
    <row r="1046114" customFormat="1" spans="2:14">
      <c r="B1046114" s="26"/>
      <c r="C1046114" s="26"/>
      <c r="D1046114" s="4"/>
      <c r="E1046114" s="26"/>
      <c r="F1046114" s="26"/>
      <c r="G1046114" s="26"/>
      <c r="H1046114" s="26"/>
      <c r="I1046114" s="27"/>
      <c r="J1046114" s="26"/>
      <c r="K1046114" s="26"/>
      <c r="L1046114" s="4"/>
      <c r="M1046114" s="4"/>
      <c r="N1046114" s="26"/>
    </row>
    <row r="1046115" customFormat="1" spans="2:14">
      <c r="B1046115" s="26"/>
      <c r="C1046115" s="26"/>
      <c r="D1046115" s="4"/>
      <c r="E1046115" s="26"/>
      <c r="F1046115" s="26"/>
      <c r="G1046115" s="26"/>
      <c r="H1046115" s="26"/>
      <c r="I1046115" s="27"/>
      <c r="J1046115" s="26"/>
      <c r="K1046115" s="26"/>
      <c r="L1046115" s="4"/>
      <c r="M1046115" s="4"/>
      <c r="N1046115" s="26"/>
    </row>
    <row r="1046116" customFormat="1" spans="2:14">
      <c r="B1046116" s="26"/>
      <c r="C1046116" s="26"/>
      <c r="D1046116" s="4"/>
      <c r="E1046116" s="26"/>
      <c r="F1046116" s="26"/>
      <c r="G1046116" s="26"/>
      <c r="H1046116" s="26"/>
      <c r="I1046116" s="27"/>
      <c r="J1046116" s="26"/>
      <c r="K1046116" s="26"/>
      <c r="L1046116" s="4"/>
      <c r="M1046116" s="4"/>
      <c r="N1046116" s="26"/>
    </row>
    <row r="1046117" customFormat="1" spans="2:14">
      <c r="B1046117" s="26"/>
      <c r="C1046117" s="26"/>
      <c r="D1046117" s="4"/>
      <c r="E1046117" s="26"/>
      <c r="F1046117" s="26"/>
      <c r="G1046117" s="26"/>
      <c r="H1046117" s="26"/>
      <c r="I1046117" s="27"/>
      <c r="J1046117" s="26"/>
      <c r="K1046117" s="26"/>
      <c r="L1046117" s="4"/>
      <c r="M1046117" s="4"/>
      <c r="N1046117" s="26"/>
    </row>
    <row r="1046118" customFormat="1" spans="2:14">
      <c r="B1046118" s="26"/>
      <c r="C1046118" s="26"/>
      <c r="D1046118" s="4"/>
      <c r="E1046118" s="26"/>
      <c r="F1046118" s="26"/>
      <c r="G1046118" s="26"/>
      <c r="H1046118" s="26"/>
      <c r="I1046118" s="27"/>
      <c r="J1046118" s="26"/>
      <c r="K1046118" s="26"/>
      <c r="L1046118" s="4"/>
      <c r="M1046118" s="4"/>
      <c r="N1046118" s="26"/>
    </row>
    <row r="1046119" customFormat="1" spans="2:14">
      <c r="B1046119" s="26"/>
      <c r="C1046119" s="26"/>
      <c r="D1046119" s="4"/>
      <c r="E1046119" s="26"/>
      <c r="F1046119" s="26"/>
      <c r="G1046119" s="26"/>
      <c r="H1046119" s="26"/>
      <c r="I1046119" s="27"/>
      <c r="J1046119" s="26"/>
      <c r="K1046119" s="26"/>
      <c r="L1046119" s="4"/>
      <c r="M1046119" s="4"/>
      <c r="N1046119" s="26"/>
    </row>
    <row r="1046120" customFormat="1" spans="2:14">
      <c r="B1046120" s="26"/>
      <c r="C1046120" s="26"/>
      <c r="D1046120" s="4"/>
      <c r="E1046120" s="26"/>
      <c r="F1046120" s="26"/>
      <c r="G1046120" s="26"/>
      <c r="H1046120" s="26"/>
      <c r="I1046120" s="27"/>
      <c r="J1046120" s="26"/>
      <c r="K1046120" s="26"/>
      <c r="L1046120" s="4"/>
      <c r="M1046120" s="4"/>
      <c r="N1046120" s="26"/>
    </row>
    <row r="1046121" customFormat="1" spans="2:14">
      <c r="B1046121" s="26"/>
      <c r="C1046121" s="26"/>
      <c r="D1046121" s="4"/>
      <c r="E1046121" s="26"/>
      <c r="F1046121" s="26"/>
      <c r="G1046121" s="26"/>
      <c r="H1046121" s="26"/>
      <c r="I1046121" s="27"/>
      <c r="J1046121" s="26"/>
      <c r="K1046121" s="26"/>
      <c r="L1046121" s="4"/>
      <c r="M1046121" s="4"/>
      <c r="N1046121" s="26"/>
    </row>
    <row r="1046122" customFormat="1" spans="2:14">
      <c r="B1046122" s="26"/>
      <c r="C1046122" s="26"/>
      <c r="D1046122" s="4"/>
      <c r="E1046122" s="26"/>
      <c r="F1046122" s="26"/>
      <c r="G1046122" s="26"/>
      <c r="H1046122" s="26"/>
      <c r="I1046122" s="27"/>
      <c r="J1046122" s="26"/>
      <c r="K1046122" s="26"/>
      <c r="L1046122" s="4"/>
      <c r="M1046122" s="4"/>
      <c r="N1046122" s="26"/>
    </row>
    <row r="1046123" customFormat="1" spans="2:14">
      <c r="B1046123" s="26"/>
      <c r="C1046123" s="26"/>
      <c r="D1046123" s="4"/>
      <c r="E1046123" s="26"/>
      <c r="F1046123" s="26"/>
      <c r="G1046123" s="26"/>
      <c r="H1046123" s="26"/>
      <c r="I1046123" s="27"/>
      <c r="J1046123" s="26"/>
      <c r="K1046123" s="26"/>
      <c r="L1046123" s="4"/>
      <c r="M1046123" s="4"/>
      <c r="N1046123" s="26"/>
    </row>
    <row r="1046124" customFormat="1" spans="2:14">
      <c r="B1046124" s="26"/>
      <c r="C1046124" s="26"/>
      <c r="D1046124" s="4"/>
      <c r="E1046124" s="26"/>
      <c r="F1046124" s="26"/>
      <c r="G1046124" s="26"/>
      <c r="H1046124" s="26"/>
      <c r="I1046124" s="27"/>
      <c r="J1046124" s="26"/>
      <c r="K1046124" s="26"/>
      <c r="L1046124" s="4"/>
      <c r="M1046124" s="4"/>
      <c r="N1046124" s="26"/>
    </row>
    <row r="1046125" customFormat="1" spans="2:14">
      <c r="B1046125" s="26"/>
      <c r="C1046125" s="26"/>
      <c r="D1046125" s="4"/>
      <c r="E1046125" s="26"/>
      <c r="F1046125" s="26"/>
      <c r="G1046125" s="26"/>
      <c r="H1046125" s="26"/>
      <c r="I1046125" s="27"/>
      <c r="J1046125" s="26"/>
      <c r="K1046125" s="26"/>
      <c r="L1046125" s="4"/>
      <c r="M1046125" s="4"/>
      <c r="N1046125" s="26"/>
    </row>
    <row r="1046126" customFormat="1" spans="2:14">
      <c r="B1046126" s="26"/>
      <c r="C1046126" s="26"/>
      <c r="D1046126" s="4"/>
      <c r="E1046126" s="26"/>
      <c r="F1046126" s="26"/>
      <c r="G1046126" s="26"/>
      <c r="H1046126" s="26"/>
      <c r="I1046126" s="27"/>
      <c r="J1046126" s="26"/>
      <c r="K1046126" s="26"/>
      <c r="L1046126" s="4"/>
      <c r="M1046126" s="4"/>
      <c r="N1046126" s="26"/>
    </row>
    <row r="1046127" customFormat="1" spans="2:14">
      <c r="B1046127" s="26"/>
      <c r="C1046127" s="26"/>
      <c r="D1046127" s="4"/>
      <c r="E1046127" s="26"/>
      <c r="F1046127" s="26"/>
      <c r="G1046127" s="26"/>
      <c r="H1046127" s="26"/>
      <c r="I1046127" s="27"/>
      <c r="J1046127" s="26"/>
      <c r="K1046127" s="26"/>
      <c r="L1046127" s="4"/>
      <c r="M1046127" s="4"/>
      <c r="N1046127" s="26"/>
    </row>
    <row r="1046128" customFormat="1" spans="2:14">
      <c r="B1046128" s="26"/>
      <c r="C1046128" s="26"/>
      <c r="D1046128" s="4"/>
      <c r="E1046128" s="26"/>
      <c r="F1046128" s="26"/>
      <c r="G1046128" s="26"/>
      <c r="H1046128" s="26"/>
      <c r="I1046128" s="27"/>
      <c r="J1046128" s="26"/>
      <c r="K1046128" s="26"/>
      <c r="L1046128" s="4"/>
      <c r="M1046128" s="4"/>
      <c r="N1046128" s="26"/>
    </row>
    <row r="1046129" customFormat="1" spans="2:14">
      <c r="B1046129" s="26"/>
      <c r="C1046129" s="26"/>
      <c r="D1046129" s="4"/>
      <c r="E1046129" s="26"/>
      <c r="F1046129" s="26"/>
      <c r="G1046129" s="26"/>
      <c r="H1046129" s="26"/>
      <c r="I1046129" s="27"/>
      <c r="J1046129" s="26"/>
      <c r="K1046129" s="26"/>
      <c r="L1046129" s="4"/>
      <c r="M1046129" s="4"/>
      <c r="N1046129" s="26"/>
    </row>
    <row r="1046130" customFormat="1" spans="2:14">
      <c r="B1046130" s="26"/>
      <c r="C1046130" s="26"/>
      <c r="D1046130" s="4"/>
      <c r="E1046130" s="26"/>
      <c r="F1046130" s="26"/>
      <c r="G1046130" s="26"/>
      <c r="H1046130" s="26"/>
      <c r="I1046130" s="27"/>
      <c r="J1046130" s="26"/>
      <c r="K1046130" s="26"/>
      <c r="L1046130" s="4"/>
      <c r="M1046130" s="4"/>
      <c r="N1046130" s="26"/>
    </row>
    <row r="1046131" customFormat="1" spans="2:14">
      <c r="B1046131" s="26"/>
      <c r="C1046131" s="26"/>
      <c r="D1046131" s="4"/>
      <c r="E1046131" s="26"/>
      <c r="F1046131" s="26"/>
      <c r="G1046131" s="26"/>
      <c r="H1046131" s="26"/>
      <c r="I1046131" s="27"/>
      <c r="J1046131" s="26"/>
      <c r="K1046131" s="26"/>
      <c r="L1046131" s="4"/>
      <c r="M1046131" s="4"/>
      <c r="N1046131" s="26"/>
    </row>
    <row r="1046132" customFormat="1" spans="2:14">
      <c r="B1046132" s="26"/>
      <c r="C1046132" s="26"/>
      <c r="D1046132" s="4"/>
      <c r="E1046132" s="26"/>
      <c r="F1046132" s="26"/>
      <c r="G1046132" s="26"/>
      <c r="H1046132" s="26"/>
      <c r="I1046132" s="27"/>
      <c r="J1046132" s="26"/>
      <c r="K1046132" s="26"/>
      <c r="L1046132" s="4"/>
      <c r="M1046132" s="4"/>
      <c r="N1046132" s="26"/>
    </row>
    <row r="1046133" customFormat="1" spans="2:14">
      <c r="B1046133" s="26"/>
      <c r="C1046133" s="26"/>
      <c r="D1046133" s="4"/>
      <c r="E1046133" s="26"/>
      <c r="F1046133" s="26"/>
      <c r="G1046133" s="26"/>
      <c r="H1046133" s="26"/>
      <c r="I1046133" s="27"/>
      <c r="J1046133" s="26"/>
      <c r="K1046133" s="26"/>
      <c r="L1046133" s="4"/>
      <c r="M1046133" s="4"/>
      <c r="N1046133" s="26"/>
    </row>
    <row r="1046134" customFormat="1" spans="2:14">
      <c r="B1046134" s="26"/>
      <c r="C1046134" s="26"/>
      <c r="D1046134" s="4"/>
      <c r="E1046134" s="26"/>
      <c r="F1046134" s="26"/>
      <c r="G1046134" s="26"/>
      <c r="H1046134" s="26"/>
      <c r="I1046134" s="27"/>
      <c r="J1046134" s="26"/>
      <c r="K1046134" s="26"/>
      <c r="L1046134" s="4"/>
      <c r="M1046134" s="4"/>
      <c r="N1046134" s="26"/>
    </row>
    <row r="1046135" customFormat="1" spans="2:14">
      <c r="B1046135" s="26"/>
      <c r="C1046135" s="26"/>
      <c r="D1046135" s="4"/>
      <c r="E1046135" s="26"/>
      <c r="F1046135" s="26"/>
      <c r="G1046135" s="26"/>
      <c r="H1046135" s="26"/>
      <c r="I1046135" s="27"/>
      <c r="J1046135" s="26"/>
      <c r="K1046135" s="26"/>
      <c r="L1046135" s="4"/>
      <c r="M1046135" s="4"/>
      <c r="N1046135" s="26"/>
    </row>
    <row r="1046136" customFormat="1" spans="2:14">
      <c r="B1046136" s="26"/>
      <c r="C1046136" s="26"/>
      <c r="D1046136" s="4"/>
      <c r="E1046136" s="26"/>
      <c r="F1046136" s="26"/>
      <c r="G1046136" s="26"/>
      <c r="H1046136" s="26"/>
      <c r="I1046136" s="27"/>
      <c r="J1046136" s="26"/>
      <c r="K1046136" s="26"/>
      <c r="L1046136" s="4"/>
      <c r="M1046136" s="4"/>
      <c r="N1046136" s="26"/>
    </row>
    <row r="1046137" customFormat="1" spans="2:14">
      <c r="B1046137" s="26"/>
      <c r="C1046137" s="26"/>
      <c r="D1046137" s="4"/>
      <c r="E1046137" s="26"/>
      <c r="F1046137" s="26"/>
      <c r="G1046137" s="26"/>
      <c r="H1046137" s="26"/>
      <c r="I1046137" s="27"/>
      <c r="J1046137" s="26"/>
      <c r="K1046137" s="26"/>
      <c r="L1046137" s="4"/>
      <c r="M1046137" s="4"/>
      <c r="N1046137" s="26"/>
    </row>
    <row r="1046138" customFormat="1" spans="2:14">
      <c r="B1046138" s="26"/>
      <c r="C1046138" s="26"/>
      <c r="D1046138" s="4"/>
      <c r="E1046138" s="26"/>
      <c r="F1046138" s="26"/>
      <c r="G1046138" s="26"/>
      <c r="H1046138" s="26"/>
      <c r="I1046138" s="27"/>
      <c r="J1046138" s="26"/>
      <c r="K1046138" s="26"/>
      <c r="L1046138" s="4"/>
      <c r="M1046138" s="4"/>
      <c r="N1046138" s="26"/>
    </row>
    <row r="1046139" customFormat="1" spans="2:14">
      <c r="B1046139" s="26"/>
      <c r="C1046139" s="26"/>
      <c r="D1046139" s="4"/>
      <c r="E1046139" s="26"/>
      <c r="F1046139" s="26"/>
      <c r="G1046139" s="26"/>
      <c r="H1046139" s="26"/>
      <c r="I1046139" s="27"/>
      <c r="J1046139" s="26"/>
      <c r="K1046139" s="26"/>
      <c r="L1046139" s="4"/>
      <c r="M1046139" s="4"/>
      <c r="N1046139" s="26"/>
    </row>
    <row r="1046140" customFormat="1" spans="2:14">
      <c r="B1046140" s="26"/>
      <c r="C1046140" s="26"/>
      <c r="D1046140" s="4"/>
      <c r="E1046140" s="26"/>
      <c r="F1046140" s="26"/>
      <c r="G1046140" s="26"/>
      <c r="H1046140" s="26"/>
      <c r="I1046140" s="27"/>
      <c r="J1046140" s="26"/>
      <c r="K1046140" s="26"/>
      <c r="L1046140" s="4"/>
      <c r="M1046140" s="4"/>
      <c r="N1046140" s="26"/>
    </row>
    <row r="1046141" customFormat="1" spans="2:14">
      <c r="B1046141" s="26"/>
      <c r="C1046141" s="26"/>
      <c r="D1046141" s="4"/>
      <c r="E1046141" s="26"/>
      <c r="F1046141" s="26"/>
      <c r="G1046141" s="26"/>
      <c r="H1046141" s="26"/>
      <c r="I1046141" s="27"/>
      <c r="J1046141" s="26"/>
      <c r="K1046141" s="26"/>
      <c r="L1046141" s="4"/>
      <c r="M1046141" s="4"/>
      <c r="N1046141" s="26"/>
    </row>
    <row r="1046142" customFormat="1" spans="2:14">
      <c r="B1046142" s="26"/>
      <c r="C1046142" s="26"/>
      <c r="D1046142" s="4"/>
      <c r="E1046142" s="26"/>
      <c r="F1046142" s="26"/>
      <c r="G1046142" s="26"/>
      <c r="H1046142" s="26"/>
      <c r="I1046142" s="27"/>
      <c r="J1046142" s="26"/>
      <c r="K1046142" s="26"/>
      <c r="L1046142" s="4"/>
      <c r="M1046142" s="4"/>
      <c r="N1046142" s="26"/>
    </row>
    <row r="1046143" customFormat="1" spans="2:14">
      <c r="B1046143" s="26"/>
      <c r="C1046143" s="26"/>
      <c r="D1046143" s="4"/>
      <c r="E1046143" s="26"/>
      <c r="F1046143" s="26"/>
      <c r="G1046143" s="26"/>
      <c r="H1046143" s="26"/>
      <c r="I1046143" s="27"/>
      <c r="J1046143" s="26"/>
      <c r="K1046143" s="26"/>
      <c r="L1046143" s="4"/>
      <c r="M1046143" s="4"/>
      <c r="N1046143" s="26"/>
    </row>
    <row r="1046144" customFormat="1" spans="2:14">
      <c r="B1046144" s="26"/>
      <c r="C1046144" s="26"/>
      <c r="D1046144" s="4"/>
      <c r="E1046144" s="26"/>
      <c r="F1046144" s="26"/>
      <c r="G1046144" s="26"/>
      <c r="H1046144" s="26"/>
      <c r="I1046144" s="27"/>
      <c r="J1046144" s="26"/>
      <c r="K1046144" s="26"/>
      <c r="L1046144" s="4"/>
      <c r="M1046144" s="4"/>
      <c r="N1046144" s="26"/>
    </row>
    <row r="1046145" customFormat="1" spans="2:14">
      <c r="B1046145" s="26"/>
      <c r="C1046145" s="26"/>
      <c r="D1046145" s="4"/>
      <c r="E1046145" s="26"/>
      <c r="F1046145" s="26"/>
      <c r="G1046145" s="26"/>
      <c r="H1046145" s="26"/>
      <c r="I1046145" s="27"/>
      <c r="J1046145" s="26"/>
      <c r="K1046145" s="26"/>
      <c r="L1046145" s="4"/>
      <c r="M1046145" s="4"/>
      <c r="N1046145" s="26"/>
    </row>
    <row r="1046146" customFormat="1" spans="2:14">
      <c r="B1046146" s="26"/>
      <c r="C1046146" s="26"/>
      <c r="D1046146" s="4"/>
      <c r="E1046146" s="26"/>
      <c r="F1046146" s="26"/>
      <c r="G1046146" s="26"/>
      <c r="H1046146" s="26"/>
      <c r="I1046146" s="27"/>
      <c r="J1046146" s="26"/>
      <c r="K1046146" s="26"/>
      <c r="L1046146" s="4"/>
      <c r="M1046146" s="4"/>
      <c r="N1046146" s="26"/>
    </row>
    <row r="1046147" customFormat="1" spans="2:14">
      <c r="B1046147" s="26"/>
      <c r="C1046147" s="26"/>
      <c r="D1046147" s="4"/>
      <c r="E1046147" s="26"/>
      <c r="F1046147" s="26"/>
      <c r="G1046147" s="26"/>
      <c r="H1046147" s="26"/>
      <c r="I1046147" s="27"/>
      <c r="J1046147" s="26"/>
      <c r="K1046147" s="26"/>
      <c r="L1046147" s="4"/>
      <c r="M1046147" s="4"/>
      <c r="N1046147" s="26"/>
    </row>
    <row r="1046148" customFormat="1" spans="2:14">
      <c r="B1046148" s="26"/>
      <c r="C1046148" s="26"/>
      <c r="D1046148" s="4"/>
      <c r="E1046148" s="26"/>
      <c r="F1046148" s="26"/>
      <c r="G1046148" s="26"/>
      <c r="H1046148" s="26"/>
      <c r="I1046148" s="27"/>
      <c r="J1046148" s="26"/>
      <c r="K1046148" s="26"/>
      <c r="L1046148" s="4"/>
      <c r="M1046148" s="4"/>
      <c r="N1046148" s="26"/>
    </row>
    <row r="1046149" customFormat="1" spans="2:14">
      <c r="B1046149" s="26"/>
      <c r="C1046149" s="26"/>
      <c r="D1046149" s="4"/>
      <c r="E1046149" s="26"/>
      <c r="F1046149" s="26"/>
      <c r="G1046149" s="26"/>
      <c r="H1046149" s="26"/>
      <c r="I1046149" s="27"/>
      <c r="J1046149" s="26"/>
      <c r="K1046149" s="26"/>
      <c r="L1046149" s="4"/>
      <c r="M1046149" s="4"/>
      <c r="N1046149" s="26"/>
    </row>
    <row r="1046150" customFormat="1" spans="2:14">
      <c r="B1046150" s="26"/>
      <c r="C1046150" s="26"/>
      <c r="D1046150" s="4"/>
      <c r="E1046150" s="26"/>
      <c r="F1046150" s="26"/>
      <c r="G1046150" s="26"/>
      <c r="H1046150" s="26"/>
      <c r="I1046150" s="27"/>
      <c r="J1046150" s="26"/>
      <c r="K1046150" s="26"/>
      <c r="L1046150" s="4"/>
      <c r="M1046150" s="4"/>
      <c r="N1046150" s="26"/>
    </row>
    <row r="1046151" customFormat="1" spans="2:14">
      <c r="B1046151" s="26"/>
      <c r="C1046151" s="26"/>
      <c r="D1046151" s="4"/>
      <c r="E1046151" s="26"/>
      <c r="F1046151" s="26"/>
      <c r="G1046151" s="26"/>
      <c r="H1046151" s="26"/>
      <c r="I1046151" s="27"/>
      <c r="J1046151" s="26"/>
      <c r="K1046151" s="26"/>
      <c r="L1046151" s="4"/>
      <c r="M1046151" s="4"/>
      <c r="N1046151" s="26"/>
    </row>
    <row r="1046152" customFormat="1" spans="2:14">
      <c r="B1046152" s="26"/>
      <c r="C1046152" s="26"/>
      <c r="D1046152" s="4"/>
      <c r="E1046152" s="26"/>
      <c r="F1046152" s="26"/>
      <c r="G1046152" s="26"/>
      <c r="H1046152" s="26"/>
      <c r="I1046152" s="27"/>
      <c r="J1046152" s="26"/>
      <c r="K1046152" s="26"/>
      <c r="L1046152" s="4"/>
      <c r="M1046152" s="4"/>
      <c r="N1046152" s="26"/>
    </row>
    <row r="1046153" customFormat="1" spans="2:14">
      <c r="B1046153" s="26"/>
      <c r="C1046153" s="26"/>
      <c r="D1046153" s="4"/>
      <c r="E1046153" s="26"/>
      <c r="F1046153" s="26"/>
      <c r="G1046153" s="26"/>
      <c r="H1046153" s="26"/>
      <c r="I1046153" s="27"/>
      <c r="J1046153" s="26"/>
      <c r="K1046153" s="26"/>
      <c r="L1046153" s="4"/>
      <c r="M1046153" s="4"/>
      <c r="N1046153" s="26"/>
    </row>
    <row r="1046154" customFormat="1" spans="2:14">
      <c r="B1046154" s="26"/>
      <c r="C1046154" s="26"/>
      <c r="D1046154" s="4"/>
      <c r="E1046154" s="26"/>
      <c r="F1046154" s="26"/>
      <c r="G1046154" s="26"/>
      <c r="H1046154" s="26"/>
      <c r="I1046154" s="27"/>
      <c r="J1046154" s="26"/>
      <c r="K1046154" s="26"/>
      <c r="L1046154" s="4"/>
      <c r="M1046154" s="4"/>
      <c r="N1046154" s="26"/>
    </row>
    <row r="1046155" customFormat="1" spans="2:14">
      <c r="B1046155" s="26"/>
      <c r="C1046155" s="26"/>
      <c r="D1046155" s="4"/>
      <c r="E1046155" s="26"/>
      <c r="F1046155" s="26"/>
      <c r="G1046155" s="26"/>
      <c r="H1046155" s="26"/>
      <c r="I1046155" s="27"/>
      <c r="J1046155" s="26"/>
      <c r="K1046155" s="26"/>
      <c r="L1046155" s="4"/>
      <c r="M1046155" s="4"/>
      <c r="N1046155" s="26"/>
    </row>
    <row r="1046156" customFormat="1" spans="2:14">
      <c r="B1046156" s="26"/>
      <c r="C1046156" s="26"/>
      <c r="D1046156" s="4"/>
      <c r="E1046156" s="26"/>
      <c r="F1046156" s="26"/>
      <c r="G1046156" s="26"/>
      <c r="H1046156" s="26"/>
      <c r="I1046156" s="27"/>
      <c r="J1046156" s="26"/>
      <c r="K1046156" s="26"/>
      <c r="L1046156" s="4"/>
      <c r="M1046156" s="4"/>
      <c r="N1046156" s="26"/>
    </row>
    <row r="1046157" customFormat="1" spans="2:14">
      <c r="B1046157" s="26"/>
      <c r="C1046157" s="26"/>
      <c r="D1046157" s="4"/>
      <c r="E1046157" s="26"/>
      <c r="F1046157" s="26"/>
      <c r="G1046157" s="26"/>
      <c r="H1046157" s="26"/>
      <c r="I1046157" s="27"/>
      <c r="J1046157" s="26"/>
      <c r="K1046157" s="26"/>
      <c r="L1046157" s="4"/>
      <c r="M1046157" s="4"/>
      <c r="N1046157" s="26"/>
    </row>
    <row r="1046158" customFormat="1" spans="2:14">
      <c r="B1046158" s="26"/>
      <c r="C1046158" s="26"/>
      <c r="D1046158" s="4"/>
      <c r="E1046158" s="26"/>
      <c r="F1046158" s="26"/>
      <c r="G1046158" s="26"/>
      <c r="H1046158" s="26"/>
      <c r="I1046158" s="27"/>
      <c r="J1046158" s="26"/>
      <c r="K1046158" s="26"/>
      <c r="L1046158" s="4"/>
      <c r="M1046158" s="4"/>
      <c r="N1046158" s="26"/>
    </row>
    <row r="1046159" customFormat="1" spans="2:14">
      <c r="B1046159" s="26"/>
      <c r="C1046159" s="26"/>
      <c r="D1046159" s="4"/>
      <c r="E1046159" s="26"/>
      <c r="F1046159" s="26"/>
      <c r="G1046159" s="26"/>
      <c r="H1046159" s="26"/>
      <c r="I1046159" s="27"/>
      <c r="J1046159" s="26"/>
      <c r="K1046159" s="26"/>
      <c r="L1046159" s="4"/>
      <c r="M1046159" s="4"/>
      <c r="N1046159" s="26"/>
    </row>
    <row r="1046160" customFormat="1" spans="2:14">
      <c r="B1046160" s="26"/>
      <c r="C1046160" s="26"/>
      <c r="D1046160" s="4"/>
      <c r="E1046160" s="26"/>
      <c r="F1046160" s="26"/>
      <c r="G1046160" s="26"/>
      <c r="H1046160" s="26"/>
      <c r="I1046160" s="27"/>
      <c r="J1046160" s="26"/>
      <c r="K1046160" s="26"/>
      <c r="L1046160" s="4"/>
      <c r="M1046160" s="4"/>
      <c r="N1046160" s="26"/>
    </row>
    <row r="1046161" customFormat="1" spans="2:14">
      <c r="B1046161" s="26"/>
      <c r="C1046161" s="26"/>
      <c r="D1046161" s="4"/>
      <c r="E1046161" s="26"/>
      <c r="F1046161" s="26"/>
      <c r="G1046161" s="26"/>
      <c r="H1046161" s="26"/>
      <c r="I1046161" s="27"/>
      <c r="J1046161" s="26"/>
      <c r="K1046161" s="26"/>
      <c r="L1046161" s="4"/>
      <c r="M1046161" s="4"/>
      <c r="N1046161" s="26"/>
    </row>
    <row r="1046162" customFormat="1" spans="2:14">
      <c r="B1046162" s="26"/>
      <c r="C1046162" s="26"/>
      <c r="D1046162" s="4"/>
      <c r="E1046162" s="26"/>
      <c r="F1046162" s="26"/>
      <c r="G1046162" s="26"/>
      <c r="H1046162" s="26"/>
      <c r="I1046162" s="27"/>
      <c r="J1046162" s="26"/>
      <c r="K1046162" s="26"/>
      <c r="L1046162" s="4"/>
      <c r="M1046162" s="4"/>
      <c r="N1046162" s="26"/>
    </row>
    <row r="1046163" customFormat="1" spans="2:14">
      <c r="B1046163" s="26"/>
      <c r="C1046163" s="26"/>
      <c r="D1046163" s="4"/>
      <c r="E1046163" s="26"/>
      <c r="F1046163" s="26"/>
      <c r="G1046163" s="26"/>
      <c r="H1046163" s="26"/>
      <c r="I1046163" s="27"/>
      <c r="J1046163" s="26"/>
      <c r="K1046163" s="26"/>
      <c r="L1046163" s="4"/>
      <c r="M1046163" s="4"/>
      <c r="N1046163" s="26"/>
    </row>
    <row r="1046164" customFormat="1" spans="2:14">
      <c r="B1046164" s="26"/>
      <c r="C1046164" s="26"/>
      <c r="D1046164" s="4"/>
      <c r="E1046164" s="26"/>
      <c r="F1046164" s="26"/>
      <c r="G1046164" s="26"/>
      <c r="H1046164" s="26"/>
      <c r="I1046164" s="27"/>
      <c r="J1046164" s="26"/>
      <c r="K1046164" s="26"/>
      <c r="L1046164" s="4"/>
      <c r="M1046164" s="4"/>
      <c r="N1046164" s="26"/>
    </row>
    <row r="1046165" customFormat="1" spans="2:14">
      <c r="B1046165" s="26"/>
      <c r="C1046165" s="26"/>
      <c r="D1046165" s="4"/>
      <c r="E1046165" s="26"/>
      <c r="F1046165" s="26"/>
      <c r="G1046165" s="26"/>
      <c r="H1046165" s="26"/>
      <c r="I1046165" s="27"/>
      <c r="J1046165" s="26"/>
      <c r="K1046165" s="26"/>
      <c r="L1046165" s="4"/>
      <c r="M1046165" s="4"/>
      <c r="N1046165" s="26"/>
    </row>
    <row r="1046166" customFormat="1" spans="2:14">
      <c r="B1046166" s="26"/>
      <c r="C1046166" s="26"/>
      <c r="D1046166" s="4"/>
      <c r="E1046166" s="26"/>
      <c r="F1046166" s="26"/>
      <c r="G1046166" s="26"/>
      <c r="H1046166" s="26"/>
      <c r="I1046166" s="27"/>
      <c r="J1046166" s="26"/>
      <c r="K1046166" s="26"/>
      <c r="L1046166" s="4"/>
      <c r="M1046166" s="4"/>
      <c r="N1046166" s="26"/>
    </row>
    <row r="1046167" customFormat="1" spans="2:14">
      <c r="B1046167" s="26"/>
      <c r="C1046167" s="26"/>
      <c r="D1046167" s="4"/>
      <c r="E1046167" s="26"/>
      <c r="F1046167" s="26"/>
      <c r="G1046167" s="26"/>
      <c r="H1046167" s="26"/>
      <c r="I1046167" s="27"/>
      <c r="J1046167" s="26"/>
      <c r="K1046167" s="26"/>
      <c r="L1046167" s="4"/>
      <c r="M1046167" s="4"/>
      <c r="N1046167" s="26"/>
    </row>
    <row r="1046168" customFormat="1" spans="2:14">
      <c r="B1046168" s="26"/>
      <c r="C1046168" s="26"/>
      <c r="D1046168" s="4"/>
      <c r="E1046168" s="26"/>
      <c r="F1046168" s="26"/>
      <c r="G1046168" s="26"/>
      <c r="H1046168" s="26"/>
      <c r="I1046168" s="27"/>
      <c r="J1046168" s="26"/>
      <c r="K1046168" s="26"/>
      <c r="L1046168" s="4"/>
      <c r="M1046168" s="4"/>
      <c r="N1046168" s="26"/>
    </row>
    <row r="1046169" customFormat="1" spans="2:14">
      <c r="B1046169" s="26"/>
      <c r="C1046169" s="26"/>
      <c r="D1046169" s="4"/>
      <c r="E1046169" s="26"/>
      <c r="F1046169" s="26"/>
      <c r="G1046169" s="26"/>
      <c r="H1046169" s="26"/>
      <c r="I1046169" s="27"/>
      <c r="J1046169" s="26"/>
      <c r="K1046169" s="26"/>
      <c r="L1046169" s="4"/>
      <c r="M1046169" s="4"/>
      <c r="N1046169" s="26"/>
    </row>
    <row r="1046170" customFormat="1" spans="2:14">
      <c r="B1046170" s="26"/>
      <c r="C1046170" s="26"/>
      <c r="D1046170" s="4"/>
      <c r="E1046170" s="26"/>
      <c r="F1046170" s="26"/>
      <c r="G1046170" s="26"/>
      <c r="H1046170" s="26"/>
      <c r="I1046170" s="27"/>
      <c r="J1046170" s="26"/>
      <c r="K1046170" s="26"/>
      <c r="L1046170" s="4"/>
      <c r="M1046170" s="4"/>
      <c r="N1046170" s="26"/>
    </row>
    <row r="1046171" customFormat="1" spans="2:14">
      <c r="B1046171" s="26"/>
      <c r="C1046171" s="26"/>
      <c r="D1046171" s="4"/>
      <c r="E1046171" s="26"/>
      <c r="F1046171" s="26"/>
      <c r="G1046171" s="26"/>
      <c r="H1046171" s="26"/>
      <c r="I1046171" s="27"/>
      <c r="J1046171" s="26"/>
      <c r="K1046171" s="26"/>
      <c r="L1046171" s="4"/>
      <c r="M1046171" s="4"/>
      <c r="N1046171" s="26"/>
    </row>
    <row r="1046172" customFormat="1" spans="2:14">
      <c r="B1046172" s="26"/>
      <c r="C1046172" s="26"/>
      <c r="D1046172" s="4"/>
      <c r="E1046172" s="26"/>
      <c r="F1046172" s="26"/>
      <c r="G1046172" s="26"/>
      <c r="H1046172" s="26"/>
      <c r="I1046172" s="27"/>
      <c r="J1046172" s="26"/>
      <c r="K1046172" s="26"/>
      <c r="L1046172" s="4"/>
      <c r="M1046172" s="4"/>
      <c r="N1046172" s="26"/>
    </row>
    <row r="1046173" customFormat="1" spans="2:14">
      <c r="B1046173" s="26"/>
      <c r="C1046173" s="26"/>
      <c r="D1046173" s="4"/>
      <c r="E1046173" s="26"/>
      <c r="F1046173" s="26"/>
      <c r="G1046173" s="26"/>
      <c r="H1046173" s="26"/>
      <c r="I1046173" s="27"/>
      <c r="J1046173" s="26"/>
      <c r="K1046173" s="26"/>
      <c r="L1046173" s="4"/>
      <c r="M1046173" s="4"/>
      <c r="N1046173" s="26"/>
    </row>
    <row r="1046174" customFormat="1" spans="2:14">
      <c r="B1046174" s="26"/>
      <c r="C1046174" s="26"/>
      <c r="D1046174" s="4"/>
      <c r="E1046174" s="26"/>
      <c r="F1046174" s="26"/>
      <c r="G1046174" s="26"/>
      <c r="H1046174" s="26"/>
      <c r="I1046174" s="27"/>
      <c r="J1046174" s="26"/>
      <c r="K1046174" s="26"/>
      <c r="L1046174" s="4"/>
      <c r="M1046174" s="4"/>
      <c r="N1046174" s="26"/>
    </row>
    <row r="1046175" customFormat="1" spans="2:14">
      <c r="B1046175" s="26"/>
      <c r="C1046175" s="26"/>
      <c r="D1046175" s="4"/>
      <c r="E1046175" s="26"/>
      <c r="F1046175" s="26"/>
      <c r="G1046175" s="26"/>
      <c r="H1046175" s="26"/>
      <c r="I1046175" s="27"/>
      <c r="J1046175" s="26"/>
      <c r="K1046175" s="26"/>
      <c r="L1046175" s="4"/>
      <c r="M1046175" s="4"/>
      <c r="N1046175" s="26"/>
    </row>
    <row r="1046176" customFormat="1" spans="2:14">
      <c r="B1046176" s="26"/>
      <c r="C1046176" s="26"/>
      <c r="D1046176" s="4"/>
      <c r="E1046176" s="26"/>
      <c r="F1046176" s="26"/>
      <c r="G1046176" s="26"/>
      <c r="H1046176" s="26"/>
      <c r="I1046176" s="27"/>
      <c r="J1046176" s="26"/>
      <c r="K1046176" s="26"/>
      <c r="L1046176" s="4"/>
      <c r="M1046176" s="4"/>
      <c r="N1046176" s="26"/>
    </row>
    <row r="1046177" customFormat="1" spans="2:14">
      <c r="B1046177" s="26"/>
      <c r="C1046177" s="26"/>
      <c r="D1046177" s="4"/>
      <c r="E1046177" s="26"/>
      <c r="F1046177" s="26"/>
      <c r="G1046177" s="26"/>
      <c r="H1046177" s="26"/>
      <c r="I1046177" s="27"/>
      <c r="J1046177" s="26"/>
      <c r="K1046177" s="26"/>
      <c r="L1046177" s="4"/>
      <c r="M1046177" s="4"/>
      <c r="N1046177" s="26"/>
    </row>
    <row r="1046178" customFormat="1" spans="2:14">
      <c r="B1046178" s="26"/>
      <c r="C1046178" s="26"/>
      <c r="D1046178" s="4"/>
      <c r="E1046178" s="26"/>
      <c r="F1046178" s="26"/>
      <c r="G1046178" s="26"/>
      <c r="H1046178" s="26"/>
      <c r="I1046178" s="27"/>
      <c r="J1046178" s="26"/>
      <c r="K1046178" s="26"/>
      <c r="L1046178" s="4"/>
      <c r="M1046178" s="4"/>
      <c r="N1046178" s="26"/>
    </row>
    <row r="1046179" customFormat="1" spans="2:14">
      <c r="B1046179" s="26"/>
      <c r="C1046179" s="26"/>
      <c r="D1046179" s="4"/>
      <c r="E1046179" s="26"/>
      <c r="F1046179" s="26"/>
      <c r="G1046179" s="26"/>
      <c r="H1046179" s="26"/>
      <c r="I1046179" s="27"/>
      <c r="J1046179" s="26"/>
      <c r="K1046179" s="26"/>
      <c r="L1046179" s="4"/>
      <c r="M1046179" s="4"/>
      <c r="N1046179" s="26"/>
    </row>
    <row r="1046180" customFormat="1" spans="2:14">
      <c r="B1046180" s="26"/>
      <c r="C1046180" s="26"/>
      <c r="D1046180" s="4"/>
      <c r="E1046180" s="26"/>
      <c r="F1046180" s="26"/>
      <c r="G1046180" s="26"/>
      <c r="H1046180" s="26"/>
      <c r="I1046180" s="27"/>
      <c r="J1046180" s="26"/>
      <c r="K1046180" s="26"/>
      <c r="L1046180" s="4"/>
      <c r="M1046180" s="4"/>
      <c r="N1046180" s="26"/>
    </row>
    <row r="1046181" customFormat="1" spans="2:14">
      <c r="B1046181" s="26"/>
      <c r="C1046181" s="26"/>
      <c r="D1046181" s="4"/>
      <c r="E1046181" s="26"/>
      <c r="F1046181" s="26"/>
      <c r="G1046181" s="26"/>
      <c r="H1046181" s="26"/>
      <c r="I1046181" s="27"/>
      <c r="J1046181" s="26"/>
      <c r="K1046181" s="26"/>
      <c r="L1046181" s="4"/>
      <c r="M1046181" s="4"/>
      <c r="N1046181" s="26"/>
    </row>
    <row r="1046182" customFormat="1" spans="2:14">
      <c r="B1046182" s="26"/>
      <c r="C1046182" s="26"/>
      <c r="D1046182" s="4"/>
      <c r="E1046182" s="26"/>
      <c r="F1046182" s="26"/>
      <c r="G1046182" s="26"/>
      <c r="H1046182" s="26"/>
      <c r="I1046182" s="27"/>
      <c r="J1046182" s="26"/>
      <c r="K1046182" s="26"/>
      <c r="L1046182" s="4"/>
      <c r="M1046182" s="4"/>
      <c r="N1046182" s="26"/>
    </row>
    <row r="1046183" customFormat="1" spans="2:14">
      <c r="B1046183" s="26"/>
      <c r="C1046183" s="26"/>
      <c r="D1046183" s="4"/>
      <c r="E1046183" s="26"/>
      <c r="F1046183" s="26"/>
      <c r="G1046183" s="26"/>
      <c r="H1046183" s="26"/>
      <c r="I1046183" s="27"/>
      <c r="J1046183" s="26"/>
      <c r="K1046183" s="26"/>
      <c r="L1046183" s="4"/>
      <c r="M1046183" s="4"/>
      <c r="N1046183" s="26"/>
    </row>
    <row r="1046184" customFormat="1" spans="2:14">
      <c r="B1046184" s="26"/>
      <c r="C1046184" s="26"/>
      <c r="D1046184" s="4"/>
      <c r="E1046184" s="26"/>
      <c r="F1046184" s="26"/>
      <c r="G1046184" s="26"/>
      <c r="H1046184" s="26"/>
      <c r="I1046184" s="27"/>
      <c r="J1046184" s="26"/>
      <c r="K1046184" s="26"/>
      <c r="L1046184" s="4"/>
      <c r="M1046184" s="4"/>
      <c r="N1046184" s="26"/>
    </row>
    <row r="1046185" customFormat="1" spans="2:14">
      <c r="B1046185" s="26"/>
      <c r="C1046185" s="26"/>
      <c r="D1046185" s="4"/>
      <c r="E1046185" s="26"/>
      <c r="F1046185" s="26"/>
      <c r="G1046185" s="26"/>
      <c r="H1046185" s="26"/>
      <c r="I1046185" s="27"/>
      <c r="J1046185" s="26"/>
      <c r="K1046185" s="26"/>
      <c r="L1046185" s="4"/>
      <c r="M1046185" s="4"/>
      <c r="N1046185" s="26"/>
    </row>
    <row r="1046186" customFormat="1" spans="2:14">
      <c r="B1046186" s="26"/>
      <c r="C1046186" s="26"/>
      <c r="D1046186" s="4"/>
      <c r="E1046186" s="26"/>
      <c r="F1046186" s="26"/>
      <c r="G1046186" s="26"/>
      <c r="H1046186" s="26"/>
      <c r="I1046186" s="27"/>
      <c r="J1046186" s="26"/>
      <c r="K1046186" s="26"/>
      <c r="L1046186" s="4"/>
      <c r="M1046186" s="4"/>
      <c r="N1046186" s="26"/>
    </row>
    <row r="1046187" customFormat="1" spans="2:14">
      <c r="B1046187" s="26"/>
      <c r="C1046187" s="26"/>
      <c r="D1046187" s="4"/>
      <c r="E1046187" s="26"/>
      <c r="F1046187" s="26"/>
      <c r="G1046187" s="26"/>
      <c r="H1046187" s="26"/>
      <c r="I1046187" s="27"/>
      <c r="J1046187" s="26"/>
      <c r="K1046187" s="26"/>
      <c r="L1046187" s="4"/>
      <c r="M1046187" s="4"/>
      <c r="N1046187" s="26"/>
    </row>
    <row r="1046188" customFormat="1" spans="2:14">
      <c r="B1046188" s="26"/>
      <c r="C1046188" s="26"/>
      <c r="D1046188" s="4"/>
      <c r="E1046188" s="26"/>
      <c r="F1046188" s="26"/>
      <c r="G1046188" s="26"/>
      <c r="H1046188" s="26"/>
      <c r="I1046188" s="27"/>
      <c r="J1046188" s="26"/>
      <c r="K1046188" s="26"/>
      <c r="L1046188" s="4"/>
      <c r="M1046188" s="4"/>
      <c r="N1046188" s="26"/>
    </row>
    <row r="1046189" customFormat="1" spans="2:14">
      <c r="B1046189" s="26"/>
      <c r="C1046189" s="26"/>
      <c r="D1046189" s="4"/>
      <c r="E1046189" s="26"/>
      <c r="F1046189" s="26"/>
      <c r="G1046189" s="26"/>
      <c r="H1046189" s="26"/>
      <c r="I1046189" s="27"/>
      <c r="J1046189" s="26"/>
      <c r="K1046189" s="26"/>
      <c r="L1046189" s="4"/>
      <c r="M1046189" s="4"/>
      <c r="N1046189" s="26"/>
    </row>
    <row r="1046190" customFormat="1" spans="2:14">
      <c r="B1046190" s="26"/>
      <c r="C1046190" s="26"/>
      <c r="D1046190" s="4"/>
      <c r="E1046190" s="26"/>
      <c r="F1046190" s="26"/>
      <c r="G1046190" s="26"/>
      <c r="H1046190" s="26"/>
      <c r="I1046190" s="27"/>
      <c r="J1046190" s="26"/>
      <c r="K1046190" s="26"/>
      <c r="L1046190" s="4"/>
      <c r="M1046190" s="4"/>
      <c r="N1046190" s="26"/>
    </row>
    <row r="1046191" customFormat="1" spans="2:14">
      <c r="B1046191" s="26"/>
      <c r="C1046191" s="26"/>
      <c r="D1046191" s="4"/>
      <c r="E1046191" s="26"/>
      <c r="F1046191" s="26"/>
      <c r="G1046191" s="26"/>
      <c r="H1046191" s="26"/>
      <c r="I1046191" s="27"/>
      <c r="J1046191" s="26"/>
      <c r="K1046191" s="26"/>
      <c r="L1046191" s="4"/>
      <c r="M1046191" s="4"/>
      <c r="N1046191" s="26"/>
    </row>
    <row r="1046192" customFormat="1" spans="2:14">
      <c r="B1046192" s="26"/>
      <c r="C1046192" s="26"/>
      <c r="D1046192" s="4"/>
      <c r="E1046192" s="26"/>
      <c r="F1046192" s="26"/>
      <c r="G1046192" s="26"/>
      <c r="H1046192" s="26"/>
      <c r="I1046192" s="27"/>
      <c r="J1046192" s="26"/>
      <c r="K1046192" s="26"/>
      <c r="L1046192" s="4"/>
      <c r="M1046192" s="4"/>
      <c r="N1046192" s="26"/>
    </row>
    <row r="1046193" customFormat="1" spans="2:14">
      <c r="B1046193" s="26"/>
      <c r="C1046193" s="26"/>
      <c r="D1046193" s="4"/>
      <c r="E1046193" s="26"/>
      <c r="F1046193" s="26"/>
      <c r="G1046193" s="26"/>
      <c r="H1046193" s="26"/>
      <c r="I1046193" s="27"/>
      <c r="J1046193" s="26"/>
      <c r="K1046193" s="26"/>
      <c r="L1046193" s="4"/>
      <c r="M1046193" s="4"/>
      <c r="N1046193" s="26"/>
    </row>
    <row r="1046194" customFormat="1" spans="2:14">
      <c r="B1046194" s="26"/>
      <c r="C1046194" s="26"/>
      <c r="D1046194" s="4"/>
      <c r="E1046194" s="26"/>
      <c r="F1046194" s="26"/>
      <c r="G1046194" s="26"/>
      <c r="H1046194" s="26"/>
      <c r="I1046194" s="27"/>
      <c r="J1046194" s="26"/>
      <c r="K1046194" s="26"/>
      <c r="L1046194" s="4"/>
      <c r="M1046194" s="4"/>
      <c r="N1046194" s="26"/>
    </row>
    <row r="1046195" customFormat="1" spans="2:14">
      <c r="B1046195" s="26"/>
      <c r="C1046195" s="26"/>
      <c r="D1046195" s="4"/>
      <c r="E1046195" s="26"/>
      <c r="F1046195" s="26"/>
      <c r="G1046195" s="26"/>
      <c r="H1046195" s="26"/>
      <c r="I1046195" s="27"/>
      <c r="J1046195" s="26"/>
      <c r="K1046195" s="26"/>
      <c r="L1046195" s="4"/>
      <c r="M1046195" s="4"/>
      <c r="N1046195" s="26"/>
    </row>
    <row r="1046196" customFormat="1" spans="2:14">
      <c r="B1046196" s="26"/>
      <c r="C1046196" s="26"/>
      <c r="D1046196" s="4"/>
      <c r="E1046196" s="26"/>
      <c r="F1046196" s="26"/>
      <c r="G1046196" s="26"/>
      <c r="H1046196" s="26"/>
      <c r="I1046196" s="27"/>
      <c r="J1046196" s="26"/>
      <c r="K1046196" s="26"/>
      <c r="L1046196" s="4"/>
      <c r="M1046196" s="4"/>
      <c r="N1046196" s="26"/>
    </row>
    <row r="1046197" customFormat="1" spans="2:14">
      <c r="B1046197" s="26"/>
      <c r="C1046197" s="26"/>
      <c r="D1046197" s="4"/>
      <c r="E1046197" s="26"/>
      <c r="F1046197" s="26"/>
      <c r="G1046197" s="26"/>
      <c r="H1046197" s="26"/>
      <c r="I1046197" s="27"/>
      <c r="J1046197" s="26"/>
      <c r="K1046197" s="26"/>
      <c r="L1046197" s="4"/>
      <c r="M1046197" s="4"/>
      <c r="N1046197" s="26"/>
    </row>
    <row r="1046198" customFormat="1" spans="2:14">
      <c r="B1046198" s="26"/>
      <c r="C1046198" s="26"/>
      <c r="D1046198" s="4"/>
      <c r="E1046198" s="26"/>
      <c r="F1046198" s="26"/>
      <c r="G1046198" s="26"/>
      <c r="H1046198" s="26"/>
      <c r="I1046198" s="27"/>
      <c r="J1046198" s="26"/>
      <c r="K1046198" s="26"/>
      <c r="L1046198" s="4"/>
      <c r="M1046198" s="4"/>
      <c r="N1046198" s="26"/>
    </row>
    <row r="1046199" customFormat="1" spans="2:14">
      <c r="B1046199" s="26"/>
      <c r="C1046199" s="26"/>
      <c r="D1046199" s="4"/>
      <c r="E1046199" s="26"/>
      <c r="F1046199" s="26"/>
      <c r="G1046199" s="26"/>
      <c r="H1046199" s="26"/>
      <c r="I1046199" s="27"/>
      <c r="J1046199" s="26"/>
      <c r="K1046199" s="26"/>
      <c r="L1046199" s="4"/>
      <c r="M1046199" s="4"/>
      <c r="N1046199" s="26"/>
    </row>
    <row r="1046200" customFormat="1" spans="2:14">
      <c r="B1046200" s="26"/>
      <c r="C1046200" s="26"/>
      <c r="D1046200" s="4"/>
      <c r="E1046200" s="26"/>
      <c r="F1046200" s="26"/>
      <c r="G1046200" s="26"/>
      <c r="H1046200" s="26"/>
      <c r="I1046200" s="27"/>
      <c r="J1046200" s="26"/>
      <c r="K1046200" s="26"/>
      <c r="L1046200" s="4"/>
      <c r="M1046200" s="4"/>
      <c r="N1046200" s="26"/>
    </row>
    <row r="1046201" customFormat="1" spans="2:14">
      <c r="B1046201" s="26"/>
      <c r="C1046201" s="26"/>
      <c r="D1046201" s="4"/>
      <c r="E1046201" s="26"/>
      <c r="F1046201" s="26"/>
      <c r="G1046201" s="26"/>
      <c r="H1046201" s="26"/>
      <c r="I1046201" s="27"/>
      <c r="J1046201" s="26"/>
      <c r="K1046201" s="26"/>
      <c r="L1046201" s="4"/>
      <c r="M1046201" s="4"/>
      <c r="N1046201" s="26"/>
    </row>
    <row r="1046202" customFormat="1" spans="2:14">
      <c r="B1046202" s="26"/>
      <c r="C1046202" s="26"/>
      <c r="D1046202" s="4"/>
      <c r="E1046202" s="26"/>
      <c r="F1046202" s="26"/>
      <c r="G1046202" s="26"/>
      <c r="H1046202" s="26"/>
      <c r="I1046202" s="27"/>
      <c r="J1046202" s="26"/>
      <c r="K1046202" s="26"/>
      <c r="L1046202" s="4"/>
      <c r="M1046202" s="4"/>
      <c r="N1046202" s="26"/>
    </row>
    <row r="1046203" customFormat="1" spans="2:14">
      <c r="B1046203" s="26"/>
      <c r="C1046203" s="26"/>
      <c r="D1046203" s="4"/>
      <c r="E1046203" s="26"/>
      <c r="F1046203" s="26"/>
      <c r="G1046203" s="26"/>
      <c r="H1046203" s="26"/>
      <c r="I1046203" s="27"/>
      <c r="J1046203" s="26"/>
      <c r="K1046203" s="26"/>
      <c r="L1046203" s="4"/>
      <c r="M1046203" s="4"/>
      <c r="N1046203" s="26"/>
    </row>
    <row r="1046204" customFormat="1" spans="2:14">
      <c r="B1046204" s="26"/>
      <c r="C1046204" s="26"/>
      <c r="D1046204" s="4"/>
      <c r="E1046204" s="26"/>
      <c r="F1046204" s="26"/>
      <c r="G1046204" s="26"/>
      <c r="H1046204" s="26"/>
      <c r="I1046204" s="27"/>
      <c r="J1046204" s="26"/>
      <c r="K1046204" s="26"/>
      <c r="L1046204" s="4"/>
      <c r="M1046204" s="4"/>
      <c r="N1046204" s="26"/>
    </row>
    <row r="1046205" customFormat="1" spans="2:14">
      <c r="B1046205" s="26"/>
      <c r="C1046205" s="26"/>
      <c r="D1046205" s="4"/>
      <c r="E1046205" s="26"/>
      <c r="F1046205" s="26"/>
      <c r="G1046205" s="26"/>
      <c r="H1046205" s="26"/>
      <c r="I1046205" s="27"/>
      <c r="J1046205" s="26"/>
      <c r="K1046205" s="26"/>
      <c r="L1046205" s="4"/>
      <c r="M1046205" s="4"/>
      <c r="N1046205" s="26"/>
    </row>
    <row r="1046206" customFormat="1" spans="2:14">
      <c r="B1046206" s="26"/>
      <c r="C1046206" s="26"/>
      <c r="D1046206" s="4"/>
      <c r="E1046206" s="26"/>
      <c r="F1046206" s="26"/>
      <c r="G1046206" s="26"/>
      <c r="H1046206" s="26"/>
      <c r="I1046206" s="27"/>
      <c r="J1046206" s="26"/>
      <c r="K1046206" s="26"/>
      <c r="L1046206" s="4"/>
      <c r="M1046206" s="4"/>
      <c r="N1046206" s="26"/>
    </row>
    <row r="1046207" customFormat="1" spans="2:14">
      <c r="B1046207" s="26"/>
      <c r="C1046207" s="26"/>
      <c r="D1046207" s="4"/>
      <c r="E1046207" s="26"/>
      <c r="F1046207" s="26"/>
      <c r="G1046207" s="26"/>
      <c r="H1046207" s="26"/>
      <c r="I1046207" s="27"/>
      <c r="J1046207" s="26"/>
      <c r="K1046207" s="26"/>
      <c r="L1046207" s="4"/>
      <c r="M1046207" s="4"/>
      <c r="N1046207" s="26"/>
    </row>
    <row r="1046208" customFormat="1" spans="2:14">
      <c r="B1046208" s="26"/>
      <c r="C1046208" s="26"/>
      <c r="D1046208" s="4"/>
      <c r="E1046208" s="26"/>
      <c r="F1046208" s="26"/>
      <c r="G1046208" s="26"/>
      <c r="H1046208" s="26"/>
      <c r="I1046208" s="27"/>
      <c r="J1046208" s="26"/>
      <c r="K1046208" s="26"/>
      <c r="L1046208" s="4"/>
      <c r="M1046208" s="4"/>
      <c r="N1046208" s="26"/>
    </row>
    <row r="1046209" customFormat="1" spans="2:14">
      <c r="B1046209" s="26"/>
      <c r="C1046209" s="26"/>
      <c r="D1046209" s="4"/>
      <c r="E1046209" s="26"/>
      <c r="F1046209" s="26"/>
      <c r="G1046209" s="26"/>
      <c r="H1046209" s="26"/>
      <c r="I1046209" s="27"/>
      <c r="J1046209" s="26"/>
      <c r="K1046209" s="26"/>
      <c r="L1046209" s="4"/>
      <c r="M1046209" s="4"/>
      <c r="N1046209" s="26"/>
    </row>
    <row r="1046210" customFormat="1" spans="2:14">
      <c r="B1046210" s="26"/>
      <c r="C1046210" s="26"/>
      <c r="D1046210" s="4"/>
      <c r="E1046210" s="26"/>
      <c r="F1046210" s="26"/>
      <c r="G1046210" s="26"/>
      <c r="H1046210" s="26"/>
      <c r="I1046210" s="27"/>
      <c r="J1046210" s="26"/>
      <c r="K1046210" s="26"/>
      <c r="L1046210" s="4"/>
      <c r="M1046210" s="4"/>
      <c r="N1046210" s="26"/>
    </row>
    <row r="1046211" customFormat="1" spans="2:14">
      <c r="B1046211" s="26"/>
      <c r="C1046211" s="26"/>
      <c r="D1046211" s="4"/>
      <c r="E1046211" s="26"/>
      <c r="F1046211" s="26"/>
      <c r="G1046211" s="26"/>
      <c r="H1046211" s="26"/>
      <c r="I1046211" s="27"/>
      <c r="J1046211" s="26"/>
      <c r="K1046211" s="26"/>
      <c r="L1046211" s="4"/>
      <c r="M1046211" s="4"/>
      <c r="N1046211" s="26"/>
    </row>
    <row r="1046212" customFormat="1" spans="2:14">
      <c r="B1046212" s="26"/>
      <c r="C1046212" s="26"/>
      <c r="D1046212" s="4"/>
      <c r="E1046212" s="26"/>
      <c r="F1046212" s="26"/>
      <c r="G1046212" s="26"/>
      <c r="H1046212" s="26"/>
      <c r="I1046212" s="27"/>
      <c r="J1046212" s="26"/>
      <c r="K1046212" s="26"/>
      <c r="L1046212" s="4"/>
      <c r="M1046212" s="4"/>
      <c r="N1046212" s="26"/>
    </row>
    <row r="1046213" customFormat="1" spans="2:14">
      <c r="B1046213" s="26"/>
      <c r="C1046213" s="26"/>
      <c r="D1046213" s="4"/>
      <c r="E1046213" s="26"/>
      <c r="F1046213" s="26"/>
      <c r="G1046213" s="26"/>
      <c r="H1046213" s="26"/>
      <c r="I1046213" s="27"/>
      <c r="J1046213" s="26"/>
      <c r="K1046213" s="26"/>
      <c r="L1046213" s="4"/>
      <c r="M1046213" s="4"/>
      <c r="N1046213" s="26"/>
    </row>
    <row r="1046214" customFormat="1" spans="2:14">
      <c r="B1046214" s="26"/>
      <c r="C1046214" s="26"/>
      <c r="D1046214" s="4"/>
      <c r="E1046214" s="26"/>
      <c r="F1046214" s="26"/>
      <c r="G1046214" s="26"/>
      <c r="H1046214" s="26"/>
      <c r="I1046214" s="27"/>
      <c r="J1046214" s="26"/>
      <c r="K1046214" s="26"/>
      <c r="L1046214" s="4"/>
      <c r="M1046214" s="4"/>
      <c r="N1046214" s="26"/>
    </row>
    <row r="1046215" customFormat="1" spans="2:14">
      <c r="B1046215" s="26"/>
      <c r="C1046215" s="26"/>
      <c r="D1046215" s="4"/>
      <c r="E1046215" s="26"/>
      <c r="F1046215" s="26"/>
      <c r="G1046215" s="26"/>
      <c r="H1046215" s="26"/>
      <c r="I1046215" s="27"/>
      <c r="J1046215" s="26"/>
      <c r="K1046215" s="26"/>
      <c r="L1046215" s="4"/>
      <c r="M1046215" s="4"/>
      <c r="N1046215" s="26"/>
    </row>
    <row r="1046216" customFormat="1" spans="2:14">
      <c r="B1046216" s="26"/>
      <c r="C1046216" s="26"/>
      <c r="D1046216" s="4"/>
      <c r="E1046216" s="26"/>
      <c r="F1046216" s="26"/>
      <c r="G1046216" s="26"/>
      <c r="H1046216" s="26"/>
      <c r="I1046216" s="27"/>
      <c r="J1046216" s="26"/>
      <c r="K1046216" s="26"/>
      <c r="L1046216" s="4"/>
      <c r="M1046216" s="4"/>
      <c r="N1046216" s="26"/>
    </row>
    <row r="1046217" customFormat="1" spans="2:14">
      <c r="B1046217" s="26"/>
      <c r="C1046217" s="26"/>
      <c r="D1046217" s="4"/>
      <c r="E1046217" s="26"/>
      <c r="F1046217" s="26"/>
      <c r="G1046217" s="26"/>
      <c r="H1046217" s="26"/>
      <c r="I1046217" s="27"/>
      <c r="J1046217" s="26"/>
      <c r="K1046217" s="26"/>
      <c r="L1046217" s="4"/>
      <c r="M1046217" s="4"/>
      <c r="N1046217" s="26"/>
    </row>
    <row r="1046218" customFormat="1" spans="2:14">
      <c r="B1046218" s="26"/>
      <c r="C1046218" s="26"/>
      <c r="D1046218" s="4"/>
      <c r="E1046218" s="26"/>
      <c r="F1046218" s="26"/>
      <c r="G1046218" s="26"/>
      <c r="H1046218" s="26"/>
      <c r="I1046218" s="27"/>
      <c r="J1046218" s="26"/>
      <c r="K1046218" s="26"/>
      <c r="L1046218" s="4"/>
      <c r="M1046218" s="4"/>
      <c r="N1046218" s="26"/>
    </row>
    <row r="1046219" customFormat="1" spans="2:14">
      <c r="B1046219" s="26"/>
      <c r="C1046219" s="26"/>
      <c r="D1046219" s="4"/>
      <c r="E1046219" s="26"/>
      <c r="F1046219" s="26"/>
      <c r="G1046219" s="26"/>
      <c r="H1046219" s="26"/>
      <c r="I1046219" s="27"/>
      <c r="J1046219" s="26"/>
      <c r="K1046219" s="26"/>
      <c r="L1046219" s="4"/>
      <c r="M1046219" s="4"/>
      <c r="N1046219" s="26"/>
    </row>
    <row r="1046220" customFormat="1" spans="2:14">
      <c r="B1046220" s="26"/>
      <c r="C1046220" s="26"/>
      <c r="D1046220" s="4"/>
      <c r="E1046220" s="26"/>
      <c r="F1046220" s="26"/>
      <c r="G1046220" s="26"/>
      <c r="H1046220" s="26"/>
      <c r="I1046220" s="27"/>
      <c r="J1046220" s="26"/>
      <c r="K1046220" s="26"/>
      <c r="L1046220" s="4"/>
      <c r="M1046220" s="4"/>
      <c r="N1046220" s="26"/>
    </row>
    <row r="1046221" customFormat="1" spans="2:14">
      <c r="B1046221" s="26"/>
      <c r="C1046221" s="26"/>
      <c r="D1046221" s="4"/>
      <c r="E1046221" s="26"/>
      <c r="F1046221" s="26"/>
      <c r="G1046221" s="26"/>
      <c r="H1046221" s="26"/>
      <c r="I1046221" s="27"/>
      <c r="J1046221" s="26"/>
      <c r="K1046221" s="26"/>
      <c r="L1046221" s="4"/>
      <c r="M1046221" s="4"/>
      <c r="N1046221" s="26"/>
    </row>
    <row r="1046222" customFormat="1" spans="2:14">
      <c r="B1046222" s="26"/>
      <c r="C1046222" s="26"/>
      <c r="D1046222" s="4"/>
      <c r="E1046222" s="26"/>
      <c r="F1046222" s="26"/>
      <c r="G1046222" s="26"/>
      <c r="H1046222" s="26"/>
      <c r="I1046222" s="27"/>
      <c r="J1046222" s="26"/>
      <c r="K1046222" s="26"/>
      <c r="L1046222" s="4"/>
      <c r="M1046222" s="4"/>
      <c r="N1046222" s="26"/>
    </row>
    <row r="1046223" customFormat="1" spans="2:14">
      <c r="B1046223" s="26"/>
      <c r="C1046223" s="26"/>
      <c r="D1046223" s="4"/>
      <c r="E1046223" s="26"/>
      <c r="F1046223" s="26"/>
      <c r="G1046223" s="26"/>
      <c r="H1046223" s="26"/>
      <c r="I1046223" s="27"/>
      <c r="J1046223" s="26"/>
      <c r="K1046223" s="26"/>
      <c r="L1046223" s="4"/>
      <c r="M1046223" s="4"/>
      <c r="N1046223" s="26"/>
    </row>
    <row r="1046224" customFormat="1" spans="2:14">
      <c r="B1046224" s="26"/>
      <c r="C1046224" s="26"/>
      <c r="D1046224" s="4"/>
      <c r="E1046224" s="26"/>
      <c r="F1046224" s="26"/>
      <c r="G1046224" s="26"/>
      <c r="H1046224" s="26"/>
      <c r="I1046224" s="27"/>
      <c r="J1046224" s="26"/>
      <c r="K1046224" s="26"/>
      <c r="L1046224" s="4"/>
      <c r="M1046224" s="4"/>
      <c r="N1046224" s="26"/>
    </row>
    <row r="1046225" customFormat="1" spans="2:14">
      <c r="B1046225" s="26"/>
      <c r="C1046225" s="26"/>
      <c r="D1046225" s="4"/>
      <c r="E1046225" s="26"/>
      <c r="F1046225" s="26"/>
      <c r="G1046225" s="26"/>
      <c r="H1046225" s="26"/>
      <c r="I1046225" s="27"/>
      <c r="J1046225" s="26"/>
      <c r="K1046225" s="26"/>
      <c r="L1046225" s="4"/>
      <c r="M1046225" s="4"/>
      <c r="N1046225" s="26"/>
    </row>
    <row r="1046226" customFormat="1" spans="2:14">
      <c r="B1046226" s="26"/>
      <c r="C1046226" s="26"/>
      <c r="D1046226" s="4"/>
      <c r="E1046226" s="26"/>
      <c r="F1046226" s="26"/>
      <c r="G1046226" s="26"/>
      <c r="H1046226" s="26"/>
      <c r="I1046226" s="27"/>
      <c r="J1046226" s="26"/>
      <c r="K1046226" s="26"/>
      <c r="L1046226" s="4"/>
      <c r="M1046226" s="4"/>
      <c r="N1046226" s="26"/>
    </row>
    <row r="1046227" customFormat="1" spans="2:14">
      <c r="B1046227" s="26"/>
      <c r="C1046227" s="26"/>
      <c r="D1046227" s="4"/>
      <c r="E1046227" s="26"/>
      <c r="F1046227" s="26"/>
      <c r="G1046227" s="26"/>
      <c r="H1046227" s="26"/>
      <c r="I1046227" s="27"/>
      <c r="J1046227" s="26"/>
      <c r="K1046227" s="26"/>
      <c r="L1046227" s="4"/>
      <c r="M1046227" s="4"/>
      <c r="N1046227" s="26"/>
    </row>
    <row r="1046228" customFormat="1" spans="2:14">
      <c r="B1046228" s="26"/>
      <c r="C1046228" s="26"/>
      <c r="D1046228" s="4"/>
      <c r="E1046228" s="26"/>
      <c r="F1046228" s="26"/>
      <c r="G1046228" s="26"/>
      <c r="H1046228" s="26"/>
      <c r="I1046228" s="27"/>
      <c r="J1046228" s="26"/>
      <c r="K1046228" s="26"/>
      <c r="L1046228" s="4"/>
      <c r="M1046228" s="4"/>
      <c r="N1046228" s="26"/>
    </row>
    <row r="1046229" customFormat="1" spans="2:14">
      <c r="B1046229" s="26"/>
      <c r="C1046229" s="26"/>
      <c r="D1046229" s="4"/>
      <c r="E1046229" s="26"/>
      <c r="F1046229" s="26"/>
      <c r="G1046229" s="26"/>
      <c r="H1046229" s="26"/>
      <c r="I1046229" s="27"/>
      <c r="J1046229" s="26"/>
      <c r="K1046229" s="26"/>
      <c r="L1046229" s="4"/>
      <c r="M1046229" s="4"/>
      <c r="N1046229" s="26"/>
    </row>
    <row r="1046230" customFormat="1" spans="2:14">
      <c r="B1046230" s="26"/>
      <c r="C1046230" s="26"/>
      <c r="D1046230" s="4"/>
      <c r="E1046230" s="26"/>
      <c r="F1046230" s="26"/>
      <c r="G1046230" s="26"/>
      <c r="H1046230" s="26"/>
      <c r="I1046230" s="27"/>
      <c r="J1046230" s="26"/>
      <c r="K1046230" s="26"/>
      <c r="L1046230" s="4"/>
      <c r="M1046230" s="4"/>
      <c r="N1046230" s="26"/>
    </row>
    <row r="1046231" customFormat="1" spans="2:14">
      <c r="B1046231" s="26"/>
      <c r="C1046231" s="26"/>
      <c r="D1046231" s="4"/>
      <c r="E1046231" s="26"/>
      <c r="F1046231" s="26"/>
      <c r="G1046231" s="26"/>
      <c r="H1046231" s="26"/>
      <c r="I1046231" s="27"/>
      <c r="J1046231" s="26"/>
      <c r="K1046231" s="26"/>
      <c r="L1046231" s="4"/>
      <c r="M1046231" s="4"/>
      <c r="N1046231" s="26"/>
    </row>
    <row r="1046232" customFormat="1" spans="2:14">
      <c r="B1046232" s="26"/>
      <c r="C1046232" s="26"/>
      <c r="D1046232" s="4"/>
      <c r="E1046232" s="26"/>
      <c r="F1046232" s="26"/>
      <c r="G1046232" s="26"/>
      <c r="H1046232" s="26"/>
      <c r="I1046232" s="27"/>
      <c r="J1046232" s="26"/>
      <c r="K1046232" s="26"/>
      <c r="L1046232" s="4"/>
      <c r="M1046232" s="4"/>
      <c r="N1046232" s="26"/>
    </row>
    <row r="1046233" customFormat="1" spans="2:14">
      <c r="B1046233" s="26"/>
      <c r="C1046233" s="26"/>
      <c r="D1046233" s="4"/>
      <c r="E1046233" s="26"/>
      <c r="F1046233" s="26"/>
      <c r="G1046233" s="26"/>
      <c r="H1046233" s="26"/>
      <c r="I1046233" s="27"/>
      <c r="J1046233" s="26"/>
      <c r="K1046233" s="26"/>
      <c r="L1046233" s="4"/>
      <c r="M1046233" s="4"/>
      <c r="N1046233" s="26"/>
    </row>
    <row r="1046234" customFormat="1" spans="2:14">
      <c r="B1046234" s="26"/>
      <c r="C1046234" s="26"/>
      <c r="D1046234" s="4"/>
      <c r="E1046234" s="26"/>
      <c r="F1046234" s="26"/>
      <c r="G1046234" s="26"/>
      <c r="H1046234" s="26"/>
      <c r="I1046234" s="27"/>
      <c r="J1046234" s="26"/>
      <c r="K1046234" s="26"/>
      <c r="L1046234" s="4"/>
      <c r="M1046234" s="4"/>
      <c r="N1046234" s="26"/>
    </row>
    <row r="1046235" customFormat="1" spans="2:14">
      <c r="B1046235" s="26"/>
      <c r="C1046235" s="26"/>
      <c r="D1046235" s="4"/>
      <c r="E1046235" s="26"/>
      <c r="F1046235" s="26"/>
      <c r="G1046235" s="26"/>
      <c r="H1046235" s="26"/>
      <c r="I1046235" s="27"/>
      <c r="J1046235" s="26"/>
      <c r="K1046235" s="26"/>
      <c r="L1046235" s="4"/>
      <c r="M1046235" s="4"/>
      <c r="N1046235" s="26"/>
    </row>
    <row r="1046236" customFormat="1" spans="2:14">
      <c r="B1046236" s="26"/>
      <c r="C1046236" s="26"/>
      <c r="D1046236" s="4"/>
      <c r="E1046236" s="26"/>
      <c r="F1046236" s="26"/>
      <c r="G1046236" s="26"/>
      <c r="H1046236" s="26"/>
      <c r="I1046236" s="27"/>
      <c r="J1046236" s="26"/>
      <c r="K1046236" s="26"/>
      <c r="L1046236" s="4"/>
      <c r="M1046236" s="4"/>
      <c r="N1046236" s="26"/>
    </row>
    <row r="1046237" customFormat="1" spans="2:14">
      <c r="B1046237" s="26"/>
      <c r="C1046237" s="26"/>
      <c r="D1046237" s="4"/>
      <c r="E1046237" s="26"/>
      <c r="F1046237" s="26"/>
      <c r="G1046237" s="26"/>
      <c r="H1046237" s="26"/>
      <c r="I1046237" s="27"/>
      <c r="J1046237" s="26"/>
      <c r="K1046237" s="26"/>
      <c r="L1046237" s="4"/>
      <c r="M1046237" s="4"/>
      <c r="N1046237" s="26"/>
    </row>
    <row r="1046238" customFormat="1" spans="2:14">
      <c r="B1046238" s="26"/>
      <c r="C1046238" s="26"/>
      <c r="D1046238" s="4"/>
      <c r="E1046238" s="26"/>
      <c r="F1046238" s="26"/>
      <c r="G1046238" s="26"/>
      <c r="H1046238" s="26"/>
      <c r="I1046238" s="27"/>
      <c r="J1046238" s="26"/>
      <c r="K1046238" s="26"/>
      <c r="L1046238" s="4"/>
      <c r="M1046238" s="4"/>
      <c r="N1046238" s="26"/>
    </row>
    <row r="1046239" customFormat="1" spans="2:14">
      <c r="B1046239" s="26"/>
      <c r="C1046239" s="26"/>
      <c r="D1046239" s="4"/>
      <c r="E1046239" s="26"/>
      <c r="F1046239" s="26"/>
      <c r="G1046239" s="26"/>
      <c r="H1046239" s="26"/>
      <c r="I1046239" s="27"/>
      <c r="J1046239" s="26"/>
      <c r="K1046239" s="26"/>
      <c r="L1046239" s="4"/>
      <c r="M1046239" s="4"/>
      <c r="N1046239" s="26"/>
    </row>
    <row r="1046240" customFormat="1" spans="2:14">
      <c r="B1046240" s="26"/>
      <c r="C1046240" s="26"/>
      <c r="D1046240" s="4"/>
      <c r="E1046240" s="26"/>
      <c r="F1046240" s="26"/>
      <c r="G1046240" s="26"/>
      <c r="H1046240" s="26"/>
      <c r="I1046240" s="27"/>
      <c r="J1046240" s="26"/>
      <c r="K1046240" s="26"/>
      <c r="L1046240" s="4"/>
      <c r="M1046240" s="4"/>
      <c r="N1046240" s="26"/>
    </row>
    <row r="1046241" customFormat="1" spans="2:14">
      <c r="B1046241" s="26"/>
      <c r="C1046241" s="26"/>
      <c r="D1046241" s="4"/>
      <c r="E1046241" s="26"/>
      <c r="F1046241" s="26"/>
      <c r="G1046241" s="26"/>
      <c r="H1046241" s="26"/>
      <c r="I1046241" s="27"/>
      <c r="J1046241" s="26"/>
      <c r="K1046241" s="26"/>
      <c r="L1046241" s="4"/>
      <c r="M1046241" s="4"/>
      <c r="N1046241" s="26"/>
    </row>
    <row r="1046242" customFormat="1" spans="2:14">
      <c r="B1046242" s="26"/>
      <c r="C1046242" s="26"/>
      <c r="D1046242" s="4"/>
      <c r="E1046242" s="26"/>
      <c r="F1046242" s="26"/>
      <c r="G1046242" s="26"/>
      <c r="H1046242" s="26"/>
      <c r="I1046242" s="27"/>
      <c r="J1046242" s="26"/>
      <c r="K1046242" s="26"/>
      <c r="L1046242" s="4"/>
      <c r="M1046242" s="4"/>
      <c r="N1046242" s="26"/>
    </row>
    <row r="1046243" customFormat="1" spans="2:14">
      <c r="B1046243" s="26"/>
      <c r="C1046243" s="26"/>
      <c r="D1046243" s="4"/>
      <c r="E1046243" s="26"/>
      <c r="F1046243" s="26"/>
      <c r="G1046243" s="26"/>
      <c r="H1046243" s="26"/>
      <c r="I1046243" s="27"/>
      <c r="J1046243" s="26"/>
      <c r="K1046243" s="26"/>
      <c r="L1046243" s="4"/>
      <c r="M1046243" s="4"/>
      <c r="N1046243" s="26"/>
    </row>
    <row r="1046244" customFormat="1" spans="2:14">
      <c r="B1046244" s="26"/>
      <c r="C1046244" s="26"/>
      <c r="D1046244" s="4"/>
      <c r="E1046244" s="26"/>
      <c r="F1046244" s="26"/>
      <c r="G1046244" s="26"/>
      <c r="H1046244" s="26"/>
      <c r="I1046244" s="27"/>
      <c r="J1046244" s="26"/>
      <c r="K1046244" s="26"/>
      <c r="L1046244" s="4"/>
      <c r="M1046244" s="4"/>
      <c r="N1046244" s="26"/>
    </row>
    <row r="1046245" customFormat="1" spans="2:14">
      <c r="B1046245" s="26"/>
      <c r="C1046245" s="26"/>
      <c r="D1046245" s="4"/>
      <c r="E1046245" s="26"/>
      <c r="F1046245" s="26"/>
      <c r="G1046245" s="26"/>
      <c r="H1046245" s="26"/>
      <c r="I1046245" s="27"/>
      <c r="J1046245" s="26"/>
      <c r="K1046245" s="26"/>
      <c r="L1046245" s="4"/>
      <c r="M1046245" s="4"/>
      <c r="N1046245" s="26"/>
    </row>
    <row r="1046246" customFormat="1" spans="2:14">
      <c r="B1046246" s="26"/>
      <c r="C1046246" s="26"/>
      <c r="D1046246" s="4"/>
      <c r="E1046246" s="26"/>
      <c r="F1046246" s="26"/>
      <c r="G1046246" s="26"/>
      <c r="H1046246" s="26"/>
      <c r="I1046246" s="27"/>
      <c r="J1046246" s="26"/>
      <c r="K1046246" s="26"/>
      <c r="L1046246" s="4"/>
      <c r="M1046246" s="4"/>
      <c r="N1046246" s="26"/>
    </row>
    <row r="1046247" customFormat="1" spans="2:14">
      <c r="B1046247" s="26"/>
      <c r="C1046247" s="26"/>
      <c r="D1046247" s="4"/>
      <c r="E1046247" s="26"/>
      <c r="F1046247" s="26"/>
      <c r="G1046247" s="26"/>
      <c r="H1046247" s="26"/>
      <c r="I1046247" s="27"/>
      <c r="J1046247" s="26"/>
      <c r="K1046247" s="26"/>
      <c r="L1046247" s="4"/>
      <c r="M1046247" s="4"/>
      <c r="N1046247" s="26"/>
    </row>
    <row r="1046248" customFormat="1" spans="2:14">
      <c r="B1046248" s="26"/>
      <c r="C1046248" s="26"/>
      <c r="D1046248" s="4"/>
      <c r="E1046248" s="26"/>
      <c r="F1046248" s="26"/>
      <c r="G1046248" s="26"/>
      <c r="H1046248" s="26"/>
      <c r="I1046248" s="27"/>
      <c r="J1046248" s="26"/>
      <c r="K1046248" s="26"/>
      <c r="L1046248" s="4"/>
      <c r="M1046248" s="4"/>
      <c r="N1046248" s="26"/>
    </row>
    <row r="1046249" customFormat="1" spans="2:14">
      <c r="B1046249" s="26"/>
      <c r="C1046249" s="26"/>
      <c r="D1046249" s="4"/>
      <c r="E1046249" s="26"/>
      <c r="F1046249" s="26"/>
      <c r="G1046249" s="26"/>
      <c r="H1046249" s="26"/>
      <c r="I1046249" s="27"/>
      <c r="J1046249" s="26"/>
      <c r="K1046249" s="26"/>
      <c r="L1046249" s="4"/>
      <c r="M1046249" s="4"/>
      <c r="N1046249" s="26"/>
    </row>
    <row r="1046250" customFormat="1" spans="2:14">
      <c r="B1046250" s="26"/>
      <c r="C1046250" s="26"/>
      <c r="D1046250" s="4"/>
      <c r="E1046250" s="26"/>
      <c r="F1046250" s="26"/>
      <c r="G1046250" s="26"/>
      <c r="H1046250" s="26"/>
      <c r="I1046250" s="27"/>
      <c r="J1046250" s="26"/>
      <c r="K1046250" s="26"/>
      <c r="L1046250" s="4"/>
      <c r="M1046250" s="4"/>
      <c r="N1046250" s="26"/>
    </row>
    <row r="1046251" customFormat="1" spans="2:14">
      <c r="B1046251" s="26"/>
      <c r="C1046251" s="26"/>
      <c r="D1046251" s="4"/>
      <c r="E1046251" s="26"/>
      <c r="F1046251" s="26"/>
      <c r="G1046251" s="26"/>
      <c r="H1046251" s="26"/>
      <c r="I1046251" s="27"/>
      <c r="J1046251" s="26"/>
      <c r="K1046251" s="26"/>
      <c r="L1046251" s="4"/>
      <c r="M1046251" s="4"/>
      <c r="N1046251" s="26"/>
    </row>
    <row r="1046252" customFormat="1" spans="2:14">
      <c r="B1046252" s="26"/>
      <c r="C1046252" s="26"/>
      <c r="D1046252" s="4"/>
      <c r="E1046252" s="26"/>
      <c r="F1046252" s="26"/>
      <c r="G1046252" s="26"/>
      <c r="H1046252" s="26"/>
      <c r="I1046252" s="27"/>
      <c r="J1046252" s="26"/>
      <c r="K1046252" s="26"/>
      <c r="L1046252" s="4"/>
      <c r="M1046252" s="4"/>
      <c r="N1046252" s="26"/>
    </row>
    <row r="1046253" customFormat="1" spans="2:14">
      <c r="B1046253" s="26"/>
      <c r="C1046253" s="26"/>
      <c r="D1046253" s="4"/>
      <c r="E1046253" s="26"/>
      <c r="F1046253" s="26"/>
      <c r="G1046253" s="26"/>
      <c r="H1046253" s="26"/>
      <c r="I1046253" s="27"/>
      <c r="J1046253" s="26"/>
      <c r="K1046253" s="26"/>
      <c r="L1046253" s="4"/>
      <c r="M1046253" s="4"/>
      <c r="N1046253" s="26"/>
    </row>
    <row r="1046254" customFormat="1" spans="2:14">
      <c r="B1046254" s="26"/>
      <c r="C1046254" s="26"/>
      <c r="D1046254" s="4"/>
      <c r="E1046254" s="26"/>
      <c r="F1046254" s="26"/>
      <c r="G1046254" s="26"/>
      <c r="H1046254" s="26"/>
      <c r="I1046254" s="27"/>
      <c r="J1046254" s="26"/>
      <c r="K1046254" s="26"/>
      <c r="L1046254" s="4"/>
      <c r="M1046254" s="4"/>
      <c r="N1046254" s="26"/>
    </row>
    <row r="1046255" customFormat="1" spans="2:14">
      <c r="B1046255" s="26"/>
      <c r="C1046255" s="26"/>
      <c r="D1046255" s="4"/>
      <c r="E1046255" s="26"/>
      <c r="F1046255" s="26"/>
      <c r="G1046255" s="26"/>
      <c r="H1046255" s="26"/>
      <c r="I1046255" s="27"/>
      <c r="J1046255" s="26"/>
      <c r="K1046255" s="26"/>
      <c r="L1046255" s="4"/>
      <c r="M1046255" s="4"/>
      <c r="N1046255" s="26"/>
    </row>
    <row r="1046256" customFormat="1" spans="2:14">
      <c r="B1046256" s="26"/>
      <c r="C1046256" s="26"/>
      <c r="D1046256" s="4"/>
      <c r="E1046256" s="26"/>
      <c r="F1046256" s="26"/>
      <c r="G1046256" s="26"/>
      <c r="H1046256" s="26"/>
      <c r="I1046256" s="27"/>
      <c r="J1046256" s="26"/>
      <c r="K1046256" s="26"/>
      <c r="L1046256" s="4"/>
      <c r="M1046256" s="4"/>
      <c r="N1046256" s="26"/>
    </row>
    <row r="1046257" customFormat="1" spans="2:14">
      <c r="B1046257" s="26"/>
      <c r="C1046257" s="26"/>
      <c r="D1046257" s="4"/>
      <c r="E1046257" s="26"/>
      <c r="F1046257" s="26"/>
      <c r="G1046257" s="26"/>
      <c r="H1046257" s="26"/>
      <c r="I1046257" s="27"/>
      <c r="J1046257" s="26"/>
      <c r="K1046257" s="26"/>
      <c r="L1046257" s="4"/>
      <c r="M1046257" s="4"/>
      <c r="N1046257" s="26"/>
    </row>
    <row r="1046258" customFormat="1" spans="2:14">
      <c r="B1046258" s="26"/>
      <c r="C1046258" s="26"/>
      <c r="D1046258" s="4"/>
      <c r="E1046258" s="26"/>
      <c r="F1046258" s="26"/>
      <c r="G1046258" s="26"/>
      <c r="H1046258" s="26"/>
      <c r="I1046258" s="27"/>
      <c r="J1046258" s="26"/>
      <c r="K1046258" s="26"/>
      <c r="L1046258" s="4"/>
      <c r="M1046258" s="4"/>
      <c r="N1046258" s="26"/>
    </row>
    <row r="1046259" customFormat="1" spans="2:14">
      <c r="B1046259" s="26"/>
      <c r="C1046259" s="26"/>
      <c r="D1046259" s="4"/>
      <c r="E1046259" s="26"/>
      <c r="F1046259" s="26"/>
      <c r="G1046259" s="26"/>
      <c r="H1046259" s="26"/>
      <c r="I1046259" s="27"/>
      <c r="J1046259" s="26"/>
      <c r="K1046259" s="26"/>
      <c r="L1046259" s="4"/>
      <c r="M1046259" s="4"/>
      <c r="N1046259" s="26"/>
    </row>
    <row r="1046260" customFormat="1" spans="2:14">
      <c r="B1046260" s="26"/>
      <c r="C1046260" s="26"/>
      <c r="D1046260" s="4"/>
      <c r="E1046260" s="26"/>
      <c r="F1046260" s="26"/>
      <c r="G1046260" s="26"/>
      <c r="H1046260" s="26"/>
      <c r="I1046260" s="27"/>
      <c r="J1046260" s="26"/>
      <c r="K1046260" s="26"/>
      <c r="L1046260" s="4"/>
      <c r="M1046260" s="4"/>
      <c r="N1046260" s="26"/>
    </row>
    <row r="1046261" customFormat="1" spans="2:14">
      <c r="B1046261" s="26"/>
      <c r="C1046261" s="26"/>
      <c r="D1046261" s="4"/>
      <c r="E1046261" s="26"/>
      <c r="F1046261" s="26"/>
      <c r="G1046261" s="26"/>
      <c r="H1046261" s="26"/>
      <c r="I1046261" s="27"/>
      <c r="J1046261" s="26"/>
      <c r="K1046261" s="26"/>
      <c r="L1046261" s="4"/>
      <c r="M1046261" s="4"/>
      <c r="N1046261" s="26"/>
    </row>
    <row r="1046262" customFormat="1" spans="2:14">
      <c r="B1046262" s="26"/>
      <c r="C1046262" s="26"/>
      <c r="D1046262" s="4"/>
      <c r="E1046262" s="26"/>
      <c r="F1046262" s="26"/>
      <c r="G1046262" s="26"/>
      <c r="H1046262" s="26"/>
      <c r="I1046262" s="27"/>
      <c r="J1046262" s="26"/>
      <c r="K1046262" s="26"/>
      <c r="L1046262" s="4"/>
      <c r="M1046262" s="4"/>
      <c r="N1046262" s="26"/>
    </row>
    <row r="1046263" customFormat="1" spans="2:14">
      <c r="B1046263" s="26"/>
      <c r="C1046263" s="26"/>
      <c r="D1046263" s="4"/>
      <c r="E1046263" s="26"/>
      <c r="F1046263" s="26"/>
      <c r="G1046263" s="26"/>
      <c r="H1046263" s="26"/>
      <c r="I1046263" s="27"/>
      <c r="J1046263" s="26"/>
      <c r="K1046263" s="26"/>
      <c r="L1046263" s="4"/>
      <c r="M1046263" s="4"/>
      <c r="N1046263" s="26"/>
    </row>
    <row r="1046264" customFormat="1" spans="2:14">
      <c r="B1046264" s="26"/>
      <c r="C1046264" s="26"/>
      <c r="D1046264" s="4"/>
      <c r="E1046264" s="26"/>
      <c r="F1046264" s="26"/>
      <c r="G1046264" s="26"/>
      <c r="H1046264" s="26"/>
      <c r="I1046264" s="27"/>
      <c r="J1046264" s="26"/>
      <c r="K1046264" s="26"/>
      <c r="L1046264" s="4"/>
      <c r="M1046264" s="4"/>
      <c r="N1046264" s="26"/>
    </row>
    <row r="1046265" customFormat="1" spans="2:14">
      <c r="B1046265" s="26"/>
      <c r="C1046265" s="26"/>
      <c r="D1046265" s="4"/>
      <c r="E1046265" s="26"/>
      <c r="F1046265" s="26"/>
      <c r="G1046265" s="26"/>
      <c r="H1046265" s="26"/>
      <c r="I1046265" s="27"/>
      <c r="J1046265" s="26"/>
      <c r="K1046265" s="26"/>
      <c r="L1046265" s="4"/>
      <c r="M1046265" s="4"/>
      <c r="N1046265" s="26"/>
    </row>
    <row r="1046266" customFormat="1" spans="2:14">
      <c r="B1046266" s="26"/>
      <c r="C1046266" s="26"/>
      <c r="D1046266" s="4"/>
      <c r="E1046266" s="26"/>
      <c r="F1046266" s="26"/>
      <c r="G1046266" s="26"/>
      <c r="H1046266" s="26"/>
      <c r="I1046266" s="27"/>
      <c r="J1046266" s="26"/>
      <c r="K1046266" s="26"/>
      <c r="L1046266" s="4"/>
      <c r="M1046266" s="4"/>
      <c r="N1046266" s="26"/>
    </row>
    <row r="1046267" customFormat="1" spans="2:14">
      <c r="B1046267" s="26"/>
      <c r="C1046267" s="26"/>
      <c r="D1046267" s="4"/>
      <c r="E1046267" s="26"/>
      <c r="F1046267" s="26"/>
      <c r="G1046267" s="26"/>
      <c r="H1046267" s="26"/>
      <c r="I1046267" s="27"/>
      <c r="J1046267" s="26"/>
      <c r="K1046267" s="26"/>
      <c r="L1046267" s="4"/>
      <c r="M1046267" s="4"/>
      <c r="N1046267" s="26"/>
    </row>
    <row r="1046268" customFormat="1" spans="2:14">
      <c r="B1046268" s="26"/>
      <c r="C1046268" s="26"/>
      <c r="D1046268" s="4"/>
      <c r="E1046268" s="26"/>
      <c r="F1046268" s="26"/>
      <c r="G1046268" s="26"/>
      <c r="H1046268" s="26"/>
      <c r="I1046268" s="27"/>
      <c r="J1046268" s="26"/>
      <c r="K1046268" s="26"/>
      <c r="L1046268" s="4"/>
      <c r="M1046268" s="4"/>
      <c r="N1046268" s="26"/>
    </row>
    <row r="1046269" customFormat="1" spans="2:14">
      <c r="B1046269" s="26"/>
      <c r="C1046269" s="26"/>
      <c r="D1046269" s="4"/>
      <c r="E1046269" s="26"/>
      <c r="F1046269" s="26"/>
      <c r="G1046269" s="26"/>
      <c r="H1046269" s="26"/>
      <c r="I1046269" s="27"/>
      <c r="J1046269" s="26"/>
      <c r="K1046269" s="26"/>
      <c r="L1046269" s="4"/>
      <c r="M1046269" s="4"/>
      <c r="N1046269" s="26"/>
    </row>
    <row r="1046270" customFormat="1" spans="2:14">
      <c r="B1046270" s="26"/>
      <c r="C1046270" s="26"/>
      <c r="D1046270" s="4"/>
      <c r="E1046270" s="26"/>
      <c r="F1046270" s="26"/>
      <c r="G1046270" s="26"/>
      <c r="H1046270" s="26"/>
      <c r="I1046270" s="27"/>
      <c r="J1046270" s="26"/>
      <c r="K1046270" s="26"/>
      <c r="L1046270" s="4"/>
      <c r="M1046270" s="4"/>
      <c r="N1046270" s="26"/>
    </row>
    <row r="1046271" customFormat="1" spans="2:14">
      <c r="B1046271" s="26"/>
      <c r="C1046271" s="26"/>
      <c r="D1046271" s="4"/>
      <c r="E1046271" s="26"/>
      <c r="F1046271" s="26"/>
      <c r="G1046271" s="26"/>
      <c r="H1046271" s="26"/>
      <c r="I1046271" s="27"/>
      <c r="J1046271" s="26"/>
      <c r="K1046271" s="26"/>
      <c r="L1046271" s="4"/>
      <c r="M1046271" s="4"/>
      <c r="N1046271" s="26"/>
    </row>
    <row r="1046272" customFormat="1" spans="2:14">
      <c r="B1046272" s="26"/>
      <c r="C1046272" s="26"/>
      <c r="D1046272" s="4"/>
      <c r="E1046272" s="26"/>
      <c r="F1046272" s="26"/>
      <c r="G1046272" s="26"/>
      <c r="H1046272" s="26"/>
      <c r="I1046272" s="27"/>
      <c r="J1046272" s="26"/>
      <c r="K1046272" s="26"/>
      <c r="L1046272" s="4"/>
      <c r="M1046272" s="4"/>
      <c r="N1046272" s="26"/>
    </row>
    <row r="1046273" customFormat="1" spans="2:14">
      <c r="B1046273" s="26"/>
      <c r="C1046273" s="26"/>
      <c r="D1046273" s="4"/>
      <c r="E1046273" s="26"/>
      <c r="F1046273" s="26"/>
      <c r="G1046273" s="26"/>
      <c r="H1046273" s="26"/>
      <c r="I1046273" s="27"/>
      <c r="J1046273" s="26"/>
      <c r="K1046273" s="26"/>
      <c r="L1046273" s="4"/>
      <c r="M1046273" s="4"/>
      <c r="N1046273" s="26"/>
    </row>
    <row r="1046274" customFormat="1" spans="2:14">
      <c r="B1046274" s="26"/>
      <c r="C1046274" s="26"/>
      <c r="D1046274" s="4"/>
      <c r="E1046274" s="26"/>
      <c r="F1046274" s="26"/>
      <c r="G1046274" s="26"/>
      <c r="H1046274" s="26"/>
      <c r="I1046274" s="27"/>
      <c r="J1046274" s="26"/>
      <c r="K1046274" s="26"/>
      <c r="L1046274" s="4"/>
      <c r="M1046274" s="4"/>
      <c r="N1046274" s="26"/>
    </row>
    <row r="1046275" customFormat="1" spans="2:14">
      <c r="B1046275" s="26"/>
      <c r="C1046275" s="26"/>
      <c r="D1046275" s="4"/>
      <c r="E1046275" s="26"/>
      <c r="F1046275" s="26"/>
      <c r="G1046275" s="26"/>
      <c r="H1046275" s="26"/>
      <c r="I1046275" s="27"/>
      <c r="J1046275" s="26"/>
      <c r="K1046275" s="26"/>
      <c r="L1046275" s="4"/>
      <c r="M1046275" s="4"/>
      <c r="N1046275" s="26"/>
    </row>
    <row r="1046276" customFormat="1" spans="2:14">
      <c r="B1046276" s="26"/>
      <c r="C1046276" s="26"/>
      <c r="D1046276" s="4"/>
      <c r="E1046276" s="26"/>
      <c r="F1046276" s="26"/>
      <c r="G1046276" s="26"/>
      <c r="H1046276" s="26"/>
      <c r="I1046276" s="27"/>
      <c r="J1046276" s="26"/>
      <c r="K1046276" s="26"/>
      <c r="L1046276" s="4"/>
      <c r="M1046276" s="4"/>
      <c r="N1046276" s="26"/>
    </row>
    <row r="1046277" customFormat="1" spans="2:14">
      <c r="B1046277" s="26"/>
      <c r="C1046277" s="26"/>
      <c r="D1046277" s="4"/>
      <c r="E1046277" s="26"/>
      <c r="F1046277" s="26"/>
      <c r="G1046277" s="26"/>
      <c r="H1046277" s="26"/>
      <c r="I1046277" s="27"/>
      <c r="J1046277" s="26"/>
      <c r="K1046277" s="26"/>
      <c r="L1046277" s="4"/>
      <c r="M1046277" s="4"/>
      <c r="N1046277" s="26"/>
    </row>
    <row r="1046278" customFormat="1" spans="2:14">
      <c r="B1046278" s="26"/>
      <c r="C1046278" s="26"/>
      <c r="D1046278" s="4"/>
      <c r="E1046278" s="26"/>
      <c r="F1046278" s="26"/>
      <c r="G1046278" s="26"/>
      <c r="H1046278" s="26"/>
      <c r="I1046278" s="27"/>
      <c r="J1046278" s="26"/>
      <c r="K1046278" s="26"/>
      <c r="L1046278" s="4"/>
      <c r="M1046278" s="4"/>
      <c r="N1046278" s="26"/>
    </row>
    <row r="1046279" customFormat="1" spans="2:14">
      <c r="B1046279" s="26"/>
      <c r="C1046279" s="26"/>
      <c r="D1046279" s="4"/>
      <c r="E1046279" s="26"/>
      <c r="F1046279" s="26"/>
      <c r="G1046279" s="26"/>
      <c r="H1046279" s="26"/>
      <c r="I1046279" s="27"/>
      <c r="J1046279" s="26"/>
      <c r="K1046279" s="26"/>
      <c r="L1046279" s="4"/>
      <c r="M1046279" s="4"/>
      <c r="N1046279" s="26"/>
    </row>
    <row r="1046280" customFormat="1" spans="2:14">
      <c r="B1046280" s="26"/>
      <c r="C1046280" s="26"/>
      <c r="D1046280" s="4"/>
      <c r="E1046280" s="26"/>
      <c r="F1046280" s="26"/>
      <c r="G1046280" s="26"/>
      <c r="H1046280" s="26"/>
      <c r="I1046280" s="27"/>
      <c r="J1046280" s="26"/>
      <c r="K1046280" s="26"/>
      <c r="L1046280" s="4"/>
      <c r="M1046280" s="4"/>
      <c r="N1046280" s="26"/>
    </row>
    <row r="1046281" customFormat="1" spans="2:14">
      <c r="B1046281" s="26"/>
      <c r="C1046281" s="26"/>
      <c r="D1046281" s="4"/>
      <c r="E1046281" s="26"/>
      <c r="F1046281" s="26"/>
      <c r="G1046281" s="26"/>
      <c r="H1046281" s="26"/>
      <c r="I1046281" s="27"/>
      <c r="J1046281" s="26"/>
      <c r="K1046281" s="26"/>
      <c r="L1046281" s="4"/>
      <c r="M1046281" s="4"/>
      <c r="N1046281" s="26"/>
    </row>
    <row r="1046282" customFormat="1" spans="2:14">
      <c r="B1046282" s="26"/>
      <c r="C1046282" s="26"/>
      <c r="D1046282" s="4"/>
      <c r="E1046282" s="26"/>
      <c r="F1046282" s="26"/>
      <c r="G1046282" s="26"/>
      <c r="H1046282" s="26"/>
      <c r="I1046282" s="27"/>
      <c r="J1046282" s="26"/>
      <c r="K1046282" s="26"/>
      <c r="L1046282" s="4"/>
      <c r="M1046282" s="4"/>
      <c r="N1046282" s="26"/>
    </row>
    <row r="1046283" customFormat="1" spans="2:14">
      <c r="B1046283" s="26"/>
      <c r="C1046283" s="26"/>
      <c r="D1046283" s="4"/>
      <c r="E1046283" s="26"/>
      <c r="F1046283" s="26"/>
      <c r="G1046283" s="26"/>
      <c r="H1046283" s="26"/>
      <c r="I1046283" s="27"/>
      <c r="J1046283" s="26"/>
      <c r="K1046283" s="26"/>
      <c r="L1046283" s="4"/>
      <c r="M1046283" s="4"/>
      <c r="N1046283" s="26"/>
    </row>
    <row r="1046284" customFormat="1" spans="2:14">
      <c r="B1046284" s="26"/>
      <c r="C1046284" s="26"/>
      <c r="D1046284" s="4"/>
      <c r="E1046284" s="26"/>
      <c r="F1046284" s="26"/>
      <c r="G1046284" s="26"/>
      <c r="H1046284" s="26"/>
      <c r="I1046284" s="27"/>
      <c r="J1046284" s="26"/>
      <c r="K1046284" s="26"/>
      <c r="L1046284" s="4"/>
      <c r="M1046284" s="4"/>
      <c r="N1046284" s="26"/>
    </row>
    <row r="1046285" customFormat="1" spans="2:14">
      <c r="B1046285" s="26"/>
      <c r="C1046285" s="26"/>
      <c r="D1046285" s="4"/>
      <c r="E1046285" s="26"/>
      <c r="F1046285" s="26"/>
      <c r="G1046285" s="26"/>
      <c r="H1046285" s="26"/>
      <c r="I1046285" s="27"/>
      <c r="J1046285" s="26"/>
      <c r="K1046285" s="26"/>
      <c r="L1046285" s="4"/>
      <c r="M1046285" s="4"/>
      <c r="N1046285" s="26"/>
    </row>
    <row r="1046286" customFormat="1" spans="2:14">
      <c r="B1046286" s="26"/>
      <c r="C1046286" s="26"/>
      <c r="D1046286" s="4"/>
      <c r="E1046286" s="26"/>
      <c r="F1046286" s="26"/>
      <c r="G1046286" s="26"/>
      <c r="H1046286" s="26"/>
      <c r="I1046286" s="27"/>
      <c r="J1046286" s="26"/>
      <c r="K1046286" s="26"/>
      <c r="L1046286" s="4"/>
      <c r="M1046286" s="4"/>
      <c r="N1046286" s="26"/>
    </row>
    <row r="1046287" customFormat="1" spans="2:14">
      <c r="B1046287" s="26"/>
      <c r="C1046287" s="26"/>
      <c r="D1046287" s="4"/>
      <c r="E1046287" s="26"/>
      <c r="F1046287" s="26"/>
      <c r="G1046287" s="26"/>
      <c r="H1046287" s="26"/>
      <c r="I1046287" s="27"/>
      <c r="J1046287" s="26"/>
      <c r="K1046287" s="26"/>
      <c r="L1046287" s="4"/>
      <c r="M1046287" s="4"/>
      <c r="N1046287" s="26"/>
    </row>
    <row r="1046288" customFormat="1" spans="2:14">
      <c r="B1046288" s="26"/>
      <c r="C1046288" s="26"/>
      <c r="D1046288" s="4"/>
      <c r="E1046288" s="26"/>
      <c r="F1046288" s="26"/>
      <c r="G1046288" s="26"/>
      <c r="H1046288" s="26"/>
      <c r="I1046288" s="27"/>
      <c r="J1046288" s="26"/>
      <c r="K1046288" s="26"/>
      <c r="L1046288" s="4"/>
      <c r="M1046288" s="4"/>
      <c r="N1046288" s="26"/>
    </row>
    <row r="1046289" customFormat="1" spans="2:14">
      <c r="B1046289" s="26"/>
      <c r="C1046289" s="26"/>
      <c r="D1046289" s="4"/>
      <c r="E1046289" s="26"/>
      <c r="F1046289" s="26"/>
      <c r="G1046289" s="26"/>
      <c r="H1046289" s="26"/>
      <c r="I1046289" s="27"/>
      <c r="J1046289" s="26"/>
      <c r="K1046289" s="26"/>
      <c r="L1046289" s="4"/>
      <c r="M1046289" s="4"/>
      <c r="N1046289" s="26"/>
    </row>
    <row r="1046290" customFormat="1" spans="2:14">
      <c r="B1046290" s="26"/>
      <c r="C1046290" s="26"/>
      <c r="D1046290" s="4"/>
      <c r="E1046290" s="26"/>
      <c r="F1046290" s="26"/>
      <c r="G1046290" s="26"/>
      <c r="H1046290" s="26"/>
      <c r="I1046290" s="27"/>
      <c r="J1046290" s="26"/>
      <c r="K1046290" s="26"/>
      <c r="L1046290" s="4"/>
      <c r="M1046290" s="4"/>
      <c r="N1046290" s="26"/>
    </row>
    <row r="1046291" customFormat="1" spans="2:14">
      <c r="B1046291" s="26"/>
      <c r="C1046291" s="26"/>
      <c r="D1046291" s="4"/>
      <c r="E1046291" s="26"/>
      <c r="F1046291" s="26"/>
      <c r="G1046291" s="26"/>
      <c r="H1046291" s="26"/>
      <c r="I1046291" s="27"/>
      <c r="J1046291" s="26"/>
      <c r="K1046291" s="26"/>
      <c r="L1046291" s="4"/>
      <c r="M1046291" s="4"/>
      <c r="N1046291" s="26"/>
    </row>
    <row r="1046292" customFormat="1" spans="2:14">
      <c r="B1046292" s="26"/>
      <c r="C1046292" s="26"/>
      <c r="D1046292" s="4"/>
      <c r="E1046292" s="26"/>
      <c r="F1046292" s="26"/>
      <c r="G1046292" s="26"/>
      <c r="H1046292" s="26"/>
      <c r="I1046292" s="27"/>
      <c r="J1046292" s="26"/>
      <c r="K1046292" s="26"/>
      <c r="L1046292" s="4"/>
      <c r="M1046292" s="4"/>
      <c r="N1046292" s="26"/>
    </row>
    <row r="1046293" customFormat="1" spans="2:14">
      <c r="B1046293" s="26"/>
      <c r="C1046293" s="26"/>
      <c r="D1046293" s="4"/>
      <c r="E1046293" s="26"/>
      <c r="F1046293" s="26"/>
      <c r="G1046293" s="26"/>
      <c r="H1046293" s="26"/>
      <c r="I1046293" s="27"/>
      <c r="J1046293" s="26"/>
      <c r="K1046293" s="26"/>
      <c r="L1046293" s="4"/>
      <c r="M1046293" s="4"/>
      <c r="N1046293" s="26"/>
    </row>
    <row r="1046294" customFormat="1" spans="2:14">
      <c r="B1046294" s="26"/>
      <c r="C1046294" s="26"/>
      <c r="D1046294" s="4"/>
      <c r="E1046294" s="26"/>
      <c r="F1046294" s="26"/>
      <c r="G1046294" s="26"/>
      <c r="H1046294" s="26"/>
      <c r="I1046294" s="27"/>
      <c r="J1046294" s="26"/>
      <c r="K1046294" s="26"/>
      <c r="L1046294" s="4"/>
      <c r="M1046294" s="4"/>
      <c r="N1046294" s="26"/>
    </row>
    <row r="1046295" customFormat="1" spans="2:14">
      <c r="B1046295" s="26"/>
      <c r="C1046295" s="26"/>
      <c r="D1046295" s="4"/>
      <c r="E1046295" s="26"/>
      <c r="F1046295" s="26"/>
      <c r="G1046295" s="26"/>
      <c r="H1046295" s="26"/>
      <c r="I1046295" s="27"/>
      <c r="J1046295" s="26"/>
      <c r="K1046295" s="26"/>
      <c r="L1046295" s="4"/>
      <c r="M1046295" s="4"/>
      <c r="N1046295" s="26"/>
    </row>
    <row r="1046296" customFormat="1" spans="2:14">
      <c r="B1046296" s="26"/>
      <c r="C1046296" s="26"/>
      <c r="D1046296" s="4"/>
      <c r="E1046296" s="26"/>
      <c r="F1046296" s="26"/>
      <c r="G1046296" s="26"/>
      <c r="H1046296" s="26"/>
      <c r="I1046296" s="27"/>
      <c r="J1046296" s="26"/>
      <c r="K1046296" s="26"/>
      <c r="L1046296" s="4"/>
      <c r="M1046296" s="4"/>
      <c r="N1046296" s="26"/>
    </row>
    <row r="1046297" customFormat="1" spans="2:14">
      <c r="B1046297" s="26"/>
      <c r="C1046297" s="26"/>
      <c r="D1046297" s="4"/>
      <c r="E1046297" s="26"/>
      <c r="F1046297" s="26"/>
      <c r="G1046297" s="26"/>
      <c r="H1046297" s="26"/>
      <c r="I1046297" s="27"/>
      <c r="J1046297" s="26"/>
      <c r="K1046297" s="26"/>
      <c r="L1046297" s="4"/>
      <c r="M1046297" s="4"/>
      <c r="N1046297" s="26"/>
    </row>
    <row r="1046298" customFormat="1" spans="2:14">
      <c r="B1046298" s="26"/>
      <c r="C1046298" s="26"/>
      <c r="D1046298" s="4"/>
      <c r="E1046298" s="26"/>
      <c r="F1046298" s="26"/>
      <c r="G1046298" s="26"/>
      <c r="H1046298" s="26"/>
      <c r="I1046298" s="27"/>
      <c r="J1046298" s="26"/>
      <c r="K1046298" s="26"/>
      <c r="L1046298" s="4"/>
      <c r="M1046298" s="4"/>
      <c r="N1046298" s="26"/>
    </row>
    <row r="1046299" customFormat="1" spans="2:14">
      <c r="B1046299" s="26"/>
      <c r="C1046299" s="26"/>
      <c r="D1046299" s="4"/>
      <c r="E1046299" s="26"/>
      <c r="F1046299" s="26"/>
      <c r="G1046299" s="26"/>
      <c r="H1046299" s="26"/>
      <c r="I1046299" s="27"/>
      <c r="J1046299" s="26"/>
      <c r="K1046299" s="26"/>
      <c r="L1046299" s="4"/>
      <c r="M1046299" s="4"/>
      <c r="N1046299" s="26"/>
    </row>
    <row r="1046300" customFormat="1" spans="2:14">
      <c r="B1046300" s="26"/>
      <c r="C1046300" s="26"/>
      <c r="D1046300" s="4"/>
      <c r="E1046300" s="26"/>
      <c r="F1046300" s="26"/>
      <c r="G1046300" s="26"/>
      <c r="H1046300" s="26"/>
      <c r="I1046300" s="27"/>
      <c r="J1046300" s="26"/>
      <c r="K1046300" s="26"/>
      <c r="L1046300" s="4"/>
      <c r="M1046300" s="4"/>
      <c r="N1046300" s="26"/>
    </row>
    <row r="1046301" customFormat="1" spans="2:14">
      <c r="B1046301" s="26"/>
      <c r="C1046301" s="26"/>
      <c r="D1046301" s="4"/>
      <c r="E1046301" s="26"/>
      <c r="F1046301" s="26"/>
      <c r="G1046301" s="26"/>
      <c r="H1046301" s="26"/>
      <c r="I1046301" s="27"/>
      <c r="J1046301" s="26"/>
      <c r="K1046301" s="26"/>
      <c r="L1046301" s="4"/>
      <c r="M1046301" s="4"/>
      <c r="N1046301" s="26"/>
    </row>
    <row r="1046302" customFormat="1" spans="2:14">
      <c r="B1046302" s="26"/>
      <c r="C1046302" s="26"/>
      <c r="D1046302" s="4"/>
      <c r="E1046302" s="26"/>
      <c r="F1046302" s="26"/>
      <c r="G1046302" s="26"/>
      <c r="H1046302" s="26"/>
      <c r="I1046302" s="27"/>
      <c r="J1046302" s="26"/>
      <c r="K1046302" s="26"/>
      <c r="L1046302" s="4"/>
      <c r="M1046302" s="4"/>
      <c r="N1046302" s="26"/>
    </row>
    <row r="1046303" customFormat="1" spans="2:14">
      <c r="B1046303" s="26"/>
      <c r="C1046303" s="26"/>
      <c r="D1046303" s="4"/>
      <c r="E1046303" s="26"/>
      <c r="F1046303" s="26"/>
      <c r="G1046303" s="26"/>
      <c r="H1046303" s="26"/>
      <c r="I1046303" s="27"/>
      <c r="J1046303" s="26"/>
      <c r="K1046303" s="26"/>
      <c r="L1046303" s="4"/>
      <c r="M1046303" s="4"/>
      <c r="N1046303" s="26"/>
    </row>
    <row r="1046304" customFormat="1" spans="2:14">
      <c r="B1046304" s="26"/>
      <c r="C1046304" s="26"/>
      <c r="D1046304" s="4"/>
      <c r="E1046304" s="26"/>
      <c r="F1046304" s="26"/>
      <c r="G1046304" s="26"/>
      <c r="H1046304" s="26"/>
      <c r="I1046304" s="27"/>
      <c r="J1046304" s="26"/>
      <c r="K1046304" s="26"/>
      <c r="L1046304" s="4"/>
      <c r="M1046304" s="4"/>
      <c r="N1046304" s="26"/>
    </row>
    <row r="1046305" customFormat="1" spans="2:14">
      <c r="B1046305" s="26"/>
      <c r="C1046305" s="26"/>
      <c r="D1046305" s="4"/>
      <c r="E1046305" s="26"/>
      <c r="F1046305" s="26"/>
      <c r="G1046305" s="26"/>
      <c r="H1046305" s="26"/>
      <c r="I1046305" s="27"/>
      <c r="J1046305" s="26"/>
      <c r="K1046305" s="26"/>
      <c r="L1046305" s="4"/>
      <c r="M1046305" s="4"/>
      <c r="N1046305" s="26"/>
    </row>
    <row r="1046306" customFormat="1" spans="2:14">
      <c r="B1046306" s="26"/>
      <c r="C1046306" s="26"/>
      <c r="D1046306" s="4"/>
      <c r="E1046306" s="26"/>
      <c r="F1046306" s="26"/>
      <c r="G1046306" s="26"/>
      <c r="H1046306" s="26"/>
      <c r="I1046306" s="27"/>
      <c r="J1046306" s="26"/>
      <c r="K1046306" s="26"/>
      <c r="L1046306" s="4"/>
      <c r="M1046306" s="4"/>
      <c r="N1046306" s="26"/>
    </row>
    <row r="1046307" customFormat="1" spans="2:14">
      <c r="B1046307" s="26"/>
      <c r="C1046307" s="26"/>
      <c r="D1046307" s="4"/>
      <c r="E1046307" s="26"/>
      <c r="F1046307" s="26"/>
      <c r="G1046307" s="26"/>
      <c r="H1046307" s="26"/>
      <c r="I1046307" s="27"/>
      <c r="J1046307" s="26"/>
      <c r="K1046307" s="26"/>
      <c r="L1046307" s="4"/>
      <c r="M1046307" s="4"/>
      <c r="N1046307" s="26"/>
    </row>
    <row r="1046308" customFormat="1" spans="2:14">
      <c r="B1046308" s="26"/>
      <c r="C1046308" s="26"/>
      <c r="D1046308" s="4"/>
      <c r="E1046308" s="26"/>
      <c r="F1046308" s="26"/>
      <c r="G1046308" s="26"/>
      <c r="H1046308" s="26"/>
      <c r="I1046308" s="27"/>
      <c r="J1046308" s="26"/>
      <c r="K1046308" s="26"/>
      <c r="L1046308" s="4"/>
      <c r="M1046308" s="4"/>
      <c r="N1046308" s="26"/>
    </row>
    <row r="1046309" customFormat="1" spans="2:14">
      <c r="B1046309" s="26"/>
      <c r="C1046309" s="26"/>
      <c r="D1046309" s="4"/>
      <c r="E1046309" s="26"/>
      <c r="F1046309" s="26"/>
      <c r="G1046309" s="26"/>
      <c r="H1046309" s="26"/>
      <c r="I1046309" s="27"/>
      <c r="J1046309" s="26"/>
      <c r="K1046309" s="26"/>
      <c r="L1046309" s="4"/>
      <c r="M1046309" s="4"/>
      <c r="N1046309" s="26"/>
    </row>
    <row r="1046310" customFormat="1" spans="2:14">
      <c r="B1046310" s="26"/>
      <c r="C1046310" s="26"/>
      <c r="D1046310" s="4"/>
      <c r="E1046310" s="26"/>
      <c r="F1046310" s="26"/>
      <c r="G1046310" s="26"/>
      <c r="H1046310" s="26"/>
      <c r="I1046310" s="27"/>
      <c r="J1046310" s="26"/>
      <c r="K1046310" s="26"/>
      <c r="L1046310" s="4"/>
      <c r="M1046310" s="4"/>
      <c r="N1046310" s="26"/>
    </row>
    <row r="1046311" customFormat="1" spans="2:14">
      <c r="B1046311" s="26"/>
      <c r="C1046311" s="26"/>
      <c r="D1046311" s="4"/>
      <c r="E1046311" s="26"/>
      <c r="F1046311" s="26"/>
      <c r="G1046311" s="26"/>
      <c r="H1046311" s="26"/>
      <c r="I1046311" s="27"/>
      <c r="J1046311" s="26"/>
      <c r="K1046311" s="26"/>
      <c r="L1046311" s="4"/>
      <c r="M1046311" s="4"/>
      <c r="N1046311" s="26"/>
    </row>
    <row r="1046312" customFormat="1" spans="2:14">
      <c r="B1046312" s="26"/>
      <c r="C1046312" s="26"/>
      <c r="D1046312" s="4"/>
      <c r="E1046312" s="26"/>
      <c r="F1046312" s="26"/>
      <c r="G1046312" s="26"/>
      <c r="H1046312" s="26"/>
      <c r="I1046312" s="27"/>
      <c r="J1046312" s="26"/>
      <c r="K1046312" s="26"/>
      <c r="L1046312" s="4"/>
      <c r="M1046312" s="4"/>
      <c r="N1046312" s="26"/>
    </row>
    <row r="1046313" customFormat="1" spans="2:14">
      <c r="B1046313" s="26"/>
      <c r="C1046313" s="26"/>
      <c r="D1046313" s="4"/>
      <c r="E1046313" s="26"/>
      <c r="F1046313" s="26"/>
      <c r="G1046313" s="26"/>
      <c r="H1046313" s="26"/>
      <c r="I1046313" s="27"/>
      <c r="J1046313" s="26"/>
      <c r="K1046313" s="26"/>
      <c r="L1046313" s="4"/>
      <c r="M1046313" s="4"/>
      <c r="N1046313" s="26"/>
    </row>
    <row r="1046314" customFormat="1" spans="2:14">
      <c r="B1046314" s="26"/>
      <c r="C1046314" s="26"/>
      <c r="D1046314" s="4"/>
      <c r="E1046314" s="26"/>
      <c r="F1046314" s="26"/>
      <c r="G1046314" s="26"/>
      <c r="H1046314" s="26"/>
      <c r="I1046314" s="27"/>
      <c r="J1046314" s="26"/>
      <c r="K1046314" s="26"/>
      <c r="L1046314" s="4"/>
      <c r="M1046314" s="4"/>
      <c r="N1046314" s="26"/>
    </row>
    <row r="1046315" customFormat="1" spans="2:14">
      <c r="B1046315" s="26"/>
      <c r="C1046315" s="26"/>
      <c r="D1046315" s="4"/>
      <c r="E1046315" s="26"/>
      <c r="F1046315" s="26"/>
      <c r="G1046315" s="26"/>
      <c r="H1046315" s="26"/>
      <c r="I1046315" s="27"/>
      <c r="J1046315" s="26"/>
      <c r="K1046315" s="26"/>
      <c r="L1046315" s="4"/>
      <c r="M1046315" s="4"/>
      <c r="N1046315" s="26"/>
    </row>
    <row r="1046316" customFormat="1" spans="2:14">
      <c r="B1046316" s="26"/>
      <c r="C1046316" s="26"/>
      <c r="D1046316" s="4"/>
      <c r="E1046316" s="26"/>
      <c r="F1046316" s="26"/>
      <c r="G1046316" s="26"/>
      <c r="H1046316" s="26"/>
      <c r="I1046316" s="27"/>
      <c r="J1046316" s="26"/>
      <c r="K1046316" s="26"/>
      <c r="L1046316" s="4"/>
      <c r="M1046316" s="4"/>
      <c r="N1046316" s="26"/>
    </row>
    <row r="1046317" customFormat="1" spans="2:14">
      <c r="B1046317" s="26"/>
      <c r="C1046317" s="26"/>
      <c r="D1046317" s="4"/>
      <c r="E1046317" s="26"/>
      <c r="F1046317" s="26"/>
      <c r="G1046317" s="26"/>
      <c r="H1046317" s="26"/>
      <c r="I1046317" s="27"/>
      <c r="J1046317" s="26"/>
      <c r="K1046317" s="26"/>
      <c r="L1046317" s="4"/>
      <c r="M1046317" s="4"/>
      <c r="N1046317" s="26"/>
    </row>
    <row r="1046318" customFormat="1" spans="2:14">
      <c r="B1046318" s="26"/>
      <c r="C1046318" s="26"/>
      <c r="D1046318" s="4"/>
      <c r="E1046318" s="26"/>
      <c r="F1046318" s="26"/>
      <c r="G1046318" s="26"/>
      <c r="H1046318" s="26"/>
      <c r="I1046318" s="27"/>
      <c r="J1046318" s="26"/>
      <c r="K1046318" s="26"/>
      <c r="L1046318" s="4"/>
      <c r="M1046318" s="4"/>
      <c r="N1046318" s="26"/>
    </row>
    <row r="1046319" customFormat="1" spans="2:14">
      <c r="B1046319" s="26"/>
      <c r="C1046319" s="26"/>
      <c r="D1046319" s="4"/>
      <c r="E1046319" s="26"/>
      <c r="F1046319" s="26"/>
      <c r="G1046319" s="26"/>
      <c r="H1046319" s="26"/>
      <c r="I1046319" s="27"/>
      <c r="J1046319" s="26"/>
      <c r="K1046319" s="26"/>
      <c r="L1046319" s="4"/>
      <c r="M1046319" s="4"/>
      <c r="N1046319" s="26"/>
    </row>
    <row r="1046320" customFormat="1" spans="2:14">
      <c r="B1046320" s="26"/>
      <c r="C1046320" s="26"/>
      <c r="D1046320" s="4"/>
      <c r="E1046320" s="26"/>
      <c r="F1046320" s="26"/>
      <c r="G1046320" s="26"/>
      <c r="H1046320" s="26"/>
      <c r="I1046320" s="27"/>
      <c r="J1046320" s="26"/>
      <c r="K1046320" s="26"/>
      <c r="L1046320" s="4"/>
      <c r="M1046320" s="4"/>
      <c r="N1046320" s="26"/>
    </row>
    <row r="1046321" customFormat="1" spans="2:14">
      <c r="B1046321" s="26"/>
      <c r="C1046321" s="26"/>
      <c r="D1046321" s="4"/>
      <c r="E1046321" s="26"/>
      <c r="F1046321" s="26"/>
      <c r="G1046321" s="26"/>
      <c r="H1046321" s="26"/>
      <c r="I1046321" s="27"/>
      <c r="J1046321" s="26"/>
      <c r="K1046321" s="26"/>
      <c r="L1046321" s="4"/>
      <c r="M1046321" s="4"/>
      <c r="N1046321" s="26"/>
    </row>
    <row r="1046322" customFormat="1" spans="2:14">
      <c r="B1046322" s="26"/>
      <c r="C1046322" s="26"/>
      <c r="D1046322" s="4"/>
      <c r="E1046322" s="26"/>
      <c r="F1046322" s="26"/>
      <c r="G1046322" s="26"/>
      <c r="H1046322" s="26"/>
      <c r="I1046322" s="27"/>
      <c r="J1046322" s="26"/>
      <c r="K1046322" s="26"/>
      <c r="L1046322" s="4"/>
      <c r="M1046322" s="4"/>
      <c r="N1046322" s="26"/>
    </row>
    <row r="1046323" customFormat="1" spans="2:14">
      <c r="B1046323" s="26"/>
      <c r="C1046323" s="26"/>
      <c r="D1046323" s="4"/>
      <c r="E1046323" s="26"/>
      <c r="F1046323" s="26"/>
      <c r="G1046323" s="26"/>
      <c r="H1046323" s="26"/>
      <c r="I1046323" s="27"/>
      <c r="J1046323" s="26"/>
      <c r="K1046323" s="26"/>
      <c r="L1046323" s="4"/>
      <c r="M1046323" s="4"/>
      <c r="N1046323" s="26"/>
    </row>
    <row r="1046324" customFormat="1" spans="2:14">
      <c r="B1046324" s="26"/>
      <c r="C1046324" s="26"/>
      <c r="D1046324" s="4"/>
      <c r="E1046324" s="26"/>
      <c r="F1046324" s="26"/>
      <c r="G1046324" s="26"/>
      <c r="H1046324" s="26"/>
      <c r="I1046324" s="27"/>
      <c r="J1046324" s="26"/>
      <c r="K1046324" s="26"/>
      <c r="L1046324" s="4"/>
      <c r="M1046324" s="4"/>
      <c r="N1046324" s="26"/>
    </row>
    <row r="1046325" customFormat="1" spans="2:14">
      <c r="B1046325" s="26"/>
      <c r="C1046325" s="26"/>
      <c r="D1046325" s="4"/>
      <c r="E1046325" s="26"/>
      <c r="F1046325" s="26"/>
      <c r="G1046325" s="26"/>
      <c r="H1046325" s="26"/>
      <c r="I1046325" s="27"/>
      <c r="J1046325" s="26"/>
      <c r="K1046325" s="26"/>
      <c r="L1046325" s="4"/>
      <c r="M1046325" s="4"/>
      <c r="N1046325" s="26"/>
    </row>
    <row r="1046326" customFormat="1" spans="2:14">
      <c r="B1046326" s="26"/>
      <c r="C1046326" s="26"/>
      <c r="D1046326" s="4"/>
      <c r="E1046326" s="26"/>
      <c r="F1046326" s="26"/>
      <c r="G1046326" s="26"/>
      <c r="H1046326" s="26"/>
      <c r="I1046326" s="27"/>
      <c r="J1046326" s="26"/>
      <c r="K1046326" s="26"/>
      <c r="L1046326" s="4"/>
      <c r="M1046326" s="4"/>
      <c r="N1046326" s="26"/>
    </row>
    <row r="1046327" customFormat="1" spans="2:14">
      <c r="B1046327" s="26"/>
      <c r="C1046327" s="26"/>
      <c r="D1046327" s="4"/>
      <c r="E1046327" s="26"/>
      <c r="F1046327" s="26"/>
      <c r="G1046327" s="26"/>
      <c r="H1046327" s="26"/>
      <c r="I1046327" s="27"/>
      <c r="J1046327" s="26"/>
      <c r="K1046327" s="26"/>
      <c r="L1046327" s="4"/>
      <c r="M1046327" s="4"/>
      <c r="N1046327" s="26"/>
    </row>
    <row r="1046328" customFormat="1" spans="2:14">
      <c r="B1046328" s="26"/>
      <c r="C1046328" s="26"/>
      <c r="D1046328" s="4"/>
      <c r="E1046328" s="26"/>
      <c r="F1046328" s="26"/>
      <c r="G1046328" s="26"/>
      <c r="H1046328" s="26"/>
      <c r="I1046328" s="27"/>
      <c r="J1046328" s="26"/>
      <c r="K1046328" s="26"/>
      <c r="L1046328" s="4"/>
      <c r="M1046328" s="4"/>
      <c r="N1046328" s="26"/>
    </row>
    <row r="1046329" customFormat="1" spans="2:14">
      <c r="B1046329" s="26"/>
      <c r="C1046329" s="26"/>
      <c r="D1046329" s="4"/>
      <c r="E1046329" s="26"/>
      <c r="F1046329" s="26"/>
      <c r="G1046329" s="26"/>
      <c r="H1046329" s="26"/>
      <c r="I1046329" s="27"/>
      <c r="J1046329" s="26"/>
      <c r="K1046329" s="26"/>
      <c r="L1046329" s="4"/>
      <c r="M1046329" s="4"/>
      <c r="N1046329" s="26"/>
    </row>
    <row r="1046330" customFormat="1" spans="2:14">
      <c r="B1046330" s="26"/>
      <c r="C1046330" s="26"/>
      <c r="D1046330" s="4"/>
      <c r="E1046330" s="26"/>
      <c r="F1046330" s="26"/>
      <c r="G1046330" s="26"/>
      <c r="H1046330" s="26"/>
      <c r="I1046330" s="27"/>
      <c r="J1046330" s="26"/>
      <c r="K1046330" s="26"/>
      <c r="L1046330" s="4"/>
      <c r="M1046330" s="4"/>
      <c r="N1046330" s="26"/>
    </row>
    <row r="1046331" customFormat="1" spans="2:14">
      <c r="B1046331" s="26"/>
      <c r="C1046331" s="26"/>
      <c r="D1046331" s="4"/>
      <c r="E1046331" s="26"/>
      <c r="F1046331" s="26"/>
      <c r="G1046331" s="26"/>
      <c r="H1046331" s="26"/>
      <c r="I1046331" s="27"/>
      <c r="J1046331" s="26"/>
      <c r="K1046331" s="26"/>
      <c r="L1046331" s="4"/>
      <c r="M1046331" s="4"/>
      <c r="N1046331" s="26"/>
    </row>
    <row r="1046332" customFormat="1" spans="2:14">
      <c r="B1046332" s="26"/>
      <c r="C1046332" s="26"/>
      <c r="D1046332" s="4"/>
      <c r="E1046332" s="26"/>
      <c r="F1046332" s="26"/>
      <c r="G1046332" s="26"/>
      <c r="H1046332" s="26"/>
      <c r="I1046332" s="27"/>
      <c r="J1046332" s="26"/>
      <c r="K1046332" s="26"/>
      <c r="L1046332" s="4"/>
      <c r="M1046332" s="4"/>
      <c r="N1046332" s="26"/>
    </row>
    <row r="1046333" customFormat="1" spans="2:14">
      <c r="B1046333" s="26"/>
      <c r="C1046333" s="26"/>
      <c r="D1046333" s="4"/>
      <c r="E1046333" s="26"/>
      <c r="F1046333" s="26"/>
      <c r="G1046333" s="26"/>
      <c r="H1046333" s="26"/>
      <c r="I1046333" s="27"/>
      <c r="J1046333" s="26"/>
      <c r="K1046333" s="26"/>
      <c r="L1046333" s="4"/>
      <c r="M1046333" s="4"/>
      <c r="N1046333" s="26"/>
    </row>
    <row r="1046334" customFormat="1" spans="2:14">
      <c r="B1046334" s="26"/>
      <c r="C1046334" s="26"/>
      <c r="D1046334" s="4"/>
      <c r="E1046334" s="26"/>
      <c r="F1046334" s="26"/>
      <c r="G1046334" s="26"/>
      <c r="H1046334" s="26"/>
      <c r="I1046334" s="27"/>
      <c r="J1046334" s="26"/>
      <c r="K1046334" s="26"/>
      <c r="L1046334" s="4"/>
      <c r="M1046334" s="4"/>
      <c r="N1046334" s="26"/>
    </row>
    <row r="1046335" customFormat="1" spans="2:14">
      <c r="B1046335" s="26"/>
      <c r="C1046335" s="26"/>
      <c r="D1046335" s="4"/>
      <c r="E1046335" s="26"/>
      <c r="F1046335" s="26"/>
      <c r="G1046335" s="26"/>
      <c r="H1046335" s="26"/>
      <c r="I1046335" s="27"/>
      <c r="J1046335" s="26"/>
      <c r="K1046335" s="26"/>
      <c r="L1046335" s="4"/>
      <c r="M1046335" s="4"/>
      <c r="N1046335" s="26"/>
    </row>
    <row r="1046336" customFormat="1" spans="2:14">
      <c r="B1046336" s="26"/>
      <c r="C1046336" s="26"/>
      <c r="D1046336" s="4"/>
      <c r="E1046336" s="26"/>
      <c r="F1046336" s="26"/>
      <c r="G1046336" s="26"/>
      <c r="H1046336" s="26"/>
      <c r="I1046336" s="27"/>
      <c r="J1046336" s="26"/>
      <c r="K1046336" s="26"/>
      <c r="L1046336" s="4"/>
      <c r="M1046336" s="4"/>
      <c r="N1046336" s="26"/>
    </row>
    <row r="1046337" customFormat="1" spans="2:14">
      <c r="B1046337" s="26"/>
      <c r="C1046337" s="26"/>
      <c r="D1046337" s="4"/>
      <c r="E1046337" s="26"/>
      <c r="F1046337" s="26"/>
      <c r="G1046337" s="26"/>
      <c r="H1046337" s="26"/>
      <c r="I1046337" s="27"/>
      <c r="J1046337" s="26"/>
      <c r="K1046337" s="26"/>
      <c r="L1046337" s="4"/>
      <c r="M1046337" s="4"/>
      <c r="N1046337" s="26"/>
    </row>
    <row r="1046338" customFormat="1" spans="2:14">
      <c r="B1046338" s="26"/>
      <c r="C1046338" s="26"/>
      <c r="D1046338" s="4"/>
      <c r="E1046338" s="26"/>
      <c r="F1046338" s="26"/>
      <c r="G1046338" s="26"/>
      <c r="H1046338" s="26"/>
      <c r="I1046338" s="27"/>
      <c r="J1046338" s="26"/>
      <c r="K1046338" s="26"/>
      <c r="L1046338" s="4"/>
      <c r="M1046338" s="4"/>
      <c r="N1046338" s="26"/>
    </row>
    <row r="1046339" customFormat="1" spans="2:14">
      <c r="B1046339" s="26"/>
      <c r="C1046339" s="26"/>
      <c r="D1046339" s="4"/>
      <c r="E1046339" s="26"/>
      <c r="F1046339" s="26"/>
      <c r="G1046339" s="26"/>
      <c r="H1046339" s="26"/>
      <c r="I1046339" s="27"/>
      <c r="J1046339" s="26"/>
      <c r="K1046339" s="26"/>
      <c r="L1046339" s="4"/>
      <c r="M1046339" s="4"/>
      <c r="N1046339" s="26"/>
    </row>
    <row r="1046340" customFormat="1" spans="2:14">
      <c r="B1046340" s="26"/>
      <c r="C1046340" s="26"/>
      <c r="D1046340" s="4"/>
      <c r="E1046340" s="26"/>
      <c r="F1046340" s="26"/>
      <c r="G1046340" s="26"/>
      <c r="H1046340" s="26"/>
      <c r="I1046340" s="27"/>
      <c r="J1046340" s="26"/>
      <c r="K1046340" s="26"/>
      <c r="L1046340" s="4"/>
      <c r="M1046340" s="4"/>
      <c r="N1046340" s="26"/>
    </row>
    <row r="1046341" customFormat="1" spans="2:14">
      <c r="B1046341" s="26"/>
      <c r="C1046341" s="26"/>
      <c r="D1046341" s="4"/>
      <c r="E1046341" s="26"/>
      <c r="F1046341" s="26"/>
      <c r="G1046341" s="26"/>
      <c r="H1046341" s="26"/>
      <c r="I1046341" s="27"/>
      <c r="J1046341" s="26"/>
      <c r="K1046341" s="26"/>
      <c r="L1046341" s="4"/>
      <c r="M1046341" s="4"/>
      <c r="N1046341" s="26"/>
    </row>
    <row r="1046342" customFormat="1" spans="2:14">
      <c r="B1046342" s="26"/>
      <c r="C1046342" s="26"/>
      <c r="D1046342" s="4"/>
      <c r="E1046342" s="26"/>
      <c r="F1046342" s="26"/>
      <c r="G1046342" s="26"/>
      <c r="H1046342" s="26"/>
      <c r="I1046342" s="27"/>
      <c r="J1046342" s="26"/>
      <c r="K1046342" s="26"/>
      <c r="L1046342" s="4"/>
      <c r="M1046342" s="4"/>
      <c r="N1046342" s="26"/>
    </row>
    <row r="1046343" customFormat="1" spans="2:14">
      <c r="B1046343" s="26"/>
      <c r="C1046343" s="26"/>
      <c r="D1046343" s="4"/>
      <c r="E1046343" s="26"/>
      <c r="F1046343" s="26"/>
      <c r="G1046343" s="26"/>
      <c r="H1046343" s="26"/>
      <c r="I1046343" s="27"/>
      <c r="J1046343" s="26"/>
      <c r="K1046343" s="26"/>
      <c r="L1046343" s="4"/>
      <c r="M1046343" s="4"/>
      <c r="N1046343" s="26"/>
    </row>
    <row r="1046344" customFormat="1" spans="2:14">
      <c r="B1046344" s="26"/>
      <c r="C1046344" s="26"/>
      <c r="D1046344" s="4"/>
      <c r="E1046344" s="26"/>
      <c r="F1046344" s="26"/>
      <c r="G1046344" s="26"/>
      <c r="H1046344" s="26"/>
      <c r="I1046344" s="27"/>
      <c r="J1046344" s="26"/>
      <c r="K1046344" s="26"/>
      <c r="L1046344" s="4"/>
      <c r="M1046344" s="4"/>
      <c r="N1046344" s="26"/>
    </row>
    <row r="1046345" customFormat="1" spans="2:14">
      <c r="B1046345" s="26"/>
      <c r="C1046345" s="26"/>
      <c r="D1046345" s="4"/>
      <c r="E1046345" s="26"/>
      <c r="F1046345" s="26"/>
      <c r="G1046345" s="26"/>
      <c r="H1046345" s="26"/>
      <c r="I1046345" s="27"/>
      <c r="J1046345" s="26"/>
      <c r="K1046345" s="26"/>
      <c r="L1046345" s="4"/>
      <c r="M1046345" s="4"/>
      <c r="N1046345" s="26"/>
    </row>
    <row r="1046346" customFormat="1" spans="2:14">
      <c r="B1046346" s="26"/>
      <c r="C1046346" s="26"/>
      <c r="D1046346" s="4"/>
      <c r="E1046346" s="26"/>
      <c r="F1046346" s="26"/>
      <c r="G1046346" s="26"/>
      <c r="H1046346" s="26"/>
      <c r="I1046346" s="27"/>
      <c r="J1046346" s="26"/>
      <c r="K1046346" s="26"/>
      <c r="L1046346" s="4"/>
      <c r="M1046346" s="4"/>
      <c r="N1046346" s="26"/>
    </row>
    <row r="1046347" customFormat="1" spans="2:14">
      <c r="B1046347" s="26"/>
      <c r="C1046347" s="26"/>
      <c r="D1046347" s="4"/>
      <c r="E1046347" s="26"/>
      <c r="F1046347" s="26"/>
      <c r="G1046347" s="26"/>
      <c r="H1046347" s="26"/>
      <c r="I1046347" s="27"/>
      <c r="J1046347" s="26"/>
      <c r="K1046347" s="26"/>
      <c r="L1046347" s="4"/>
      <c r="M1046347" s="4"/>
      <c r="N1046347" s="26"/>
    </row>
    <row r="1046348" customFormat="1" spans="2:14">
      <c r="B1046348" s="26"/>
      <c r="C1046348" s="26"/>
      <c r="D1046348" s="4"/>
      <c r="E1046348" s="26"/>
      <c r="F1046348" s="26"/>
      <c r="G1046348" s="26"/>
      <c r="H1046348" s="26"/>
      <c r="I1046348" s="27"/>
      <c r="J1046348" s="26"/>
      <c r="K1046348" s="26"/>
      <c r="L1046348" s="4"/>
      <c r="M1046348" s="4"/>
      <c r="N1046348" s="26"/>
    </row>
    <row r="1046349" customFormat="1" spans="2:14">
      <c r="B1046349" s="26"/>
      <c r="C1046349" s="26"/>
      <c r="D1046349" s="4"/>
      <c r="E1046349" s="26"/>
      <c r="F1046349" s="26"/>
      <c r="G1046349" s="26"/>
      <c r="H1046349" s="26"/>
      <c r="I1046349" s="27"/>
      <c r="J1046349" s="26"/>
      <c r="K1046349" s="26"/>
      <c r="L1046349" s="4"/>
      <c r="M1046349" s="4"/>
      <c r="N1046349" s="26"/>
    </row>
    <row r="1046350" customFormat="1" spans="2:14">
      <c r="B1046350" s="26"/>
      <c r="C1046350" s="26"/>
      <c r="D1046350" s="4"/>
      <c r="E1046350" s="26"/>
      <c r="F1046350" s="26"/>
      <c r="G1046350" s="26"/>
      <c r="H1046350" s="26"/>
      <c r="I1046350" s="27"/>
      <c r="J1046350" s="26"/>
      <c r="K1046350" s="26"/>
      <c r="L1046350" s="4"/>
      <c r="M1046350" s="4"/>
      <c r="N1046350" s="26"/>
    </row>
    <row r="1046351" customFormat="1" spans="2:14">
      <c r="B1046351" s="26"/>
      <c r="C1046351" s="26"/>
      <c r="D1046351" s="4"/>
      <c r="E1046351" s="26"/>
      <c r="F1046351" s="26"/>
      <c r="G1046351" s="26"/>
      <c r="H1046351" s="26"/>
      <c r="I1046351" s="27"/>
      <c r="J1046351" s="26"/>
      <c r="K1046351" s="26"/>
      <c r="L1046351" s="4"/>
      <c r="M1046351" s="4"/>
      <c r="N1046351" s="26"/>
    </row>
    <row r="1046352" customFormat="1" spans="2:14">
      <c r="B1046352" s="26"/>
      <c r="C1046352" s="26"/>
      <c r="D1046352" s="4"/>
      <c r="E1046352" s="26"/>
      <c r="F1046352" s="26"/>
      <c r="G1046352" s="26"/>
      <c r="H1046352" s="26"/>
      <c r="I1046352" s="27"/>
      <c r="J1046352" s="26"/>
      <c r="K1046352" s="26"/>
      <c r="L1046352" s="4"/>
      <c r="M1046352" s="4"/>
      <c r="N1046352" s="26"/>
    </row>
    <row r="1046353" customFormat="1" spans="2:14">
      <c r="B1046353" s="26"/>
      <c r="C1046353" s="26"/>
      <c r="D1046353" s="4"/>
      <c r="E1046353" s="26"/>
      <c r="F1046353" s="26"/>
      <c r="G1046353" s="26"/>
      <c r="H1046353" s="26"/>
      <c r="I1046353" s="27"/>
      <c r="J1046353" s="26"/>
      <c r="K1046353" s="26"/>
      <c r="L1046353" s="4"/>
      <c r="M1046353" s="4"/>
      <c r="N1046353" s="26"/>
    </row>
    <row r="1046354" customFormat="1" spans="2:14">
      <c r="B1046354" s="26"/>
      <c r="C1046354" s="26"/>
      <c r="D1046354" s="4"/>
      <c r="E1046354" s="26"/>
      <c r="F1046354" s="26"/>
      <c r="G1046354" s="26"/>
      <c r="H1046354" s="26"/>
      <c r="I1046354" s="27"/>
      <c r="J1046354" s="26"/>
      <c r="K1046354" s="26"/>
      <c r="L1046354" s="4"/>
      <c r="M1046354" s="4"/>
      <c r="N1046354" s="26"/>
    </row>
    <row r="1046355" customFormat="1" spans="2:14">
      <c r="B1046355" s="26"/>
      <c r="C1046355" s="26"/>
      <c r="D1046355" s="4"/>
      <c r="E1046355" s="26"/>
      <c r="F1046355" s="26"/>
      <c r="G1046355" s="26"/>
      <c r="H1046355" s="26"/>
      <c r="I1046355" s="27"/>
      <c r="J1046355" s="26"/>
      <c r="K1046355" s="26"/>
      <c r="L1046355" s="4"/>
      <c r="M1046355" s="4"/>
      <c r="N1046355" s="26"/>
    </row>
    <row r="1046356" customFormat="1" spans="2:14">
      <c r="B1046356" s="26"/>
      <c r="C1046356" s="26"/>
      <c r="D1046356" s="4"/>
      <c r="E1046356" s="26"/>
      <c r="F1046356" s="26"/>
      <c r="G1046356" s="26"/>
      <c r="H1046356" s="26"/>
      <c r="I1046356" s="27"/>
      <c r="J1046356" s="26"/>
      <c r="K1046356" s="26"/>
      <c r="L1046356" s="4"/>
      <c r="M1046356" s="4"/>
      <c r="N1046356" s="26"/>
    </row>
    <row r="1046357" customFormat="1" spans="2:14">
      <c r="B1046357" s="26"/>
      <c r="C1046357" s="26"/>
      <c r="D1046357" s="4"/>
      <c r="E1046357" s="26"/>
      <c r="F1046357" s="26"/>
      <c r="G1046357" s="26"/>
      <c r="H1046357" s="26"/>
      <c r="I1046357" s="27"/>
      <c r="J1046357" s="26"/>
      <c r="K1046357" s="26"/>
      <c r="L1046357" s="4"/>
      <c r="M1046357" s="4"/>
      <c r="N1046357" s="26"/>
    </row>
    <row r="1046358" customFormat="1" spans="2:14">
      <c r="B1046358" s="26"/>
      <c r="C1046358" s="26"/>
      <c r="D1046358" s="4"/>
      <c r="E1046358" s="26"/>
      <c r="F1046358" s="26"/>
      <c r="G1046358" s="26"/>
      <c r="H1046358" s="26"/>
      <c r="I1046358" s="27"/>
      <c r="J1046358" s="26"/>
      <c r="K1046358" s="26"/>
      <c r="L1046358" s="4"/>
      <c r="M1046358" s="4"/>
      <c r="N1046358" s="26"/>
    </row>
    <row r="1046359" customFormat="1" spans="2:14">
      <c r="B1046359" s="26"/>
      <c r="C1046359" s="26"/>
      <c r="D1046359" s="4"/>
      <c r="E1046359" s="26"/>
      <c r="F1046359" s="26"/>
      <c r="G1046359" s="26"/>
      <c r="H1046359" s="26"/>
      <c r="I1046359" s="27"/>
      <c r="J1046359" s="26"/>
      <c r="K1046359" s="26"/>
      <c r="L1046359" s="4"/>
      <c r="M1046359" s="4"/>
      <c r="N1046359" s="26"/>
    </row>
    <row r="1046360" customFormat="1" spans="2:14">
      <c r="B1046360" s="26"/>
      <c r="C1046360" s="26"/>
      <c r="D1046360" s="4"/>
      <c r="E1046360" s="26"/>
      <c r="F1046360" s="26"/>
      <c r="G1046360" s="26"/>
      <c r="H1046360" s="26"/>
      <c r="I1046360" s="27"/>
      <c r="J1046360" s="26"/>
      <c r="K1046360" s="26"/>
      <c r="L1046360" s="4"/>
      <c r="M1046360" s="4"/>
      <c r="N1046360" s="26"/>
    </row>
    <row r="1046361" customFormat="1" spans="2:14">
      <c r="B1046361" s="26"/>
      <c r="C1046361" s="26"/>
      <c r="D1046361" s="4"/>
      <c r="E1046361" s="26"/>
      <c r="F1046361" s="26"/>
      <c r="G1046361" s="26"/>
      <c r="H1046361" s="26"/>
      <c r="I1046361" s="27"/>
      <c r="J1046361" s="26"/>
      <c r="K1046361" s="26"/>
      <c r="L1046361" s="4"/>
      <c r="M1046361" s="4"/>
      <c r="N1046361" s="26"/>
    </row>
    <row r="1046362" customFormat="1" spans="2:14">
      <c r="B1046362" s="26"/>
      <c r="C1046362" s="26"/>
      <c r="D1046362" s="4"/>
      <c r="E1046362" s="26"/>
      <c r="F1046362" s="26"/>
      <c r="G1046362" s="26"/>
      <c r="H1046362" s="26"/>
      <c r="I1046362" s="27"/>
      <c r="J1046362" s="26"/>
      <c r="K1046362" s="26"/>
      <c r="L1046362" s="4"/>
      <c r="M1046362" s="4"/>
      <c r="N1046362" s="26"/>
    </row>
    <row r="1046363" customFormat="1" spans="2:14">
      <c r="B1046363" s="26"/>
      <c r="C1046363" s="26"/>
      <c r="D1046363" s="4"/>
      <c r="E1046363" s="26"/>
      <c r="F1046363" s="26"/>
      <c r="G1046363" s="26"/>
      <c r="H1046363" s="26"/>
      <c r="I1046363" s="27"/>
      <c r="J1046363" s="26"/>
      <c r="K1046363" s="26"/>
      <c r="L1046363" s="4"/>
      <c r="M1046363" s="4"/>
      <c r="N1046363" s="26"/>
    </row>
    <row r="1046364" customFormat="1" spans="2:14">
      <c r="B1046364" s="26"/>
      <c r="C1046364" s="26"/>
      <c r="D1046364" s="4"/>
      <c r="E1046364" s="26"/>
      <c r="F1046364" s="26"/>
      <c r="G1046364" s="26"/>
      <c r="H1046364" s="26"/>
      <c r="I1046364" s="27"/>
      <c r="J1046364" s="26"/>
      <c r="K1046364" s="26"/>
      <c r="L1046364" s="4"/>
      <c r="M1046364" s="4"/>
      <c r="N1046364" s="26"/>
    </row>
    <row r="1046365" customFormat="1" spans="2:14">
      <c r="B1046365" s="26"/>
      <c r="C1046365" s="26"/>
      <c r="D1046365" s="4"/>
      <c r="E1046365" s="26"/>
      <c r="F1046365" s="26"/>
      <c r="G1046365" s="26"/>
      <c r="H1046365" s="26"/>
      <c r="I1046365" s="27"/>
      <c r="J1046365" s="26"/>
      <c r="K1046365" s="26"/>
      <c r="L1046365" s="4"/>
      <c r="M1046365" s="4"/>
      <c r="N1046365" s="26"/>
    </row>
    <row r="1046366" customFormat="1" spans="2:14">
      <c r="B1046366" s="26"/>
      <c r="C1046366" s="26"/>
      <c r="D1046366" s="4"/>
      <c r="E1046366" s="26"/>
      <c r="F1046366" s="26"/>
      <c r="G1046366" s="26"/>
      <c r="H1046366" s="26"/>
      <c r="I1046366" s="27"/>
      <c r="J1046366" s="26"/>
      <c r="K1046366" s="26"/>
      <c r="L1046366" s="4"/>
      <c r="M1046366" s="4"/>
      <c r="N1046366" s="26"/>
    </row>
    <row r="1046367" customFormat="1" spans="2:14">
      <c r="B1046367" s="26"/>
      <c r="C1046367" s="26"/>
      <c r="D1046367" s="4"/>
      <c r="E1046367" s="26"/>
      <c r="F1046367" s="26"/>
      <c r="G1046367" s="26"/>
      <c r="H1046367" s="26"/>
      <c r="I1046367" s="27"/>
      <c r="J1046367" s="26"/>
      <c r="K1046367" s="26"/>
      <c r="L1046367" s="4"/>
      <c r="M1046367" s="4"/>
      <c r="N1046367" s="26"/>
    </row>
    <row r="1046368" customFormat="1" spans="2:14">
      <c r="B1046368" s="26"/>
      <c r="C1046368" s="26"/>
      <c r="D1046368" s="4"/>
      <c r="E1046368" s="26"/>
      <c r="F1046368" s="26"/>
      <c r="G1046368" s="26"/>
      <c r="H1046368" s="26"/>
      <c r="I1046368" s="27"/>
      <c r="J1046368" s="26"/>
      <c r="K1046368" s="26"/>
      <c r="L1046368" s="4"/>
      <c r="M1046368" s="4"/>
      <c r="N1046368" s="26"/>
    </row>
    <row r="1046369" customFormat="1" spans="2:14">
      <c r="B1046369" s="26"/>
      <c r="C1046369" s="26"/>
      <c r="D1046369" s="4"/>
      <c r="E1046369" s="26"/>
      <c r="F1046369" s="26"/>
      <c r="G1046369" s="26"/>
      <c r="H1046369" s="26"/>
      <c r="I1046369" s="27"/>
      <c r="J1046369" s="26"/>
      <c r="K1046369" s="26"/>
      <c r="L1046369" s="4"/>
      <c r="M1046369" s="4"/>
      <c r="N1046369" s="26"/>
    </row>
    <row r="1046370" customFormat="1" spans="2:14">
      <c r="B1046370" s="26"/>
      <c r="C1046370" s="26"/>
      <c r="D1046370" s="4"/>
      <c r="E1046370" s="26"/>
      <c r="F1046370" s="26"/>
      <c r="G1046370" s="26"/>
      <c r="H1046370" s="26"/>
      <c r="I1046370" s="27"/>
      <c r="J1046370" s="26"/>
      <c r="K1046370" s="26"/>
      <c r="L1046370" s="4"/>
      <c r="M1046370" s="4"/>
      <c r="N1046370" s="26"/>
    </row>
    <row r="1046371" customFormat="1" spans="2:14">
      <c r="B1046371" s="26"/>
      <c r="C1046371" s="26"/>
      <c r="D1046371" s="4"/>
      <c r="E1046371" s="26"/>
      <c r="F1046371" s="26"/>
      <c r="G1046371" s="26"/>
      <c r="H1046371" s="26"/>
      <c r="I1046371" s="27"/>
      <c r="J1046371" s="26"/>
      <c r="K1046371" s="26"/>
      <c r="L1046371" s="4"/>
      <c r="M1046371" s="4"/>
      <c r="N1046371" s="26"/>
    </row>
    <row r="1046372" customFormat="1" spans="2:14">
      <c r="B1046372" s="26"/>
      <c r="C1046372" s="26"/>
      <c r="D1046372" s="4"/>
      <c r="E1046372" s="26"/>
      <c r="F1046372" s="26"/>
      <c r="G1046372" s="26"/>
      <c r="H1046372" s="26"/>
      <c r="I1046372" s="27"/>
      <c r="J1046372" s="26"/>
      <c r="K1046372" s="26"/>
      <c r="L1046372" s="4"/>
      <c r="M1046372" s="4"/>
      <c r="N1046372" s="26"/>
    </row>
    <row r="1046373" customFormat="1" spans="2:14">
      <c r="B1046373" s="26"/>
      <c r="C1046373" s="26"/>
      <c r="D1046373" s="4"/>
      <c r="E1046373" s="26"/>
      <c r="F1046373" s="26"/>
      <c r="G1046373" s="26"/>
      <c r="H1046373" s="26"/>
      <c r="I1046373" s="27"/>
      <c r="J1046373" s="26"/>
      <c r="K1046373" s="26"/>
      <c r="L1046373" s="4"/>
      <c r="M1046373" s="4"/>
      <c r="N1046373" s="26"/>
    </row>
    <row r="1046374" customFormat="1" spans="2:14">
      <c r="B1046374" s="26"/>
      <c r="C1046374" s="26"/>
      <c r="D1046374" s="4"/>
      <c r="E1046374" s="26"/>
      <c r="F1046374" s="26"/>
      <c r="G1046374" s="26"/>
      <c r="H1046374" s="26"/>
      <c r="I1046374" s="27"/>
      <c r="J1046374" s="26"/>
      <c r="K1046374" s="26"/>
      <c r="L1046374" s="4"/>
      <c r="M1046374" s="4"/>
      <c r="N1046374" s="26"/>
    </row>
    <row r="1046375" customFormat="1" spans="2:14">
      <c r="B1046375" s="26"/>
      <c r="C1046375" s="26"/>
      <c r="D1046375" s="4"/>
      <c r="E1046375" s="26"/>
      <c r="F1046375" s="26"/>
      <c r="G1046375" s="26"/>
      <c r="H1046375" s="26"/>
      <c r="I1046375" s="27"/>
      <c r="J1046375" s="26"/>
      <c r="K1046375" s="26"/>
      <c r="L1046375" s="4"/>
      <c r="M1046375" s="4"/>
      <c r="N1046375" s="26"/>
    </row>
    <row r="1046376" customFormat="1" spans="2:14">
      <c r="B1046376" s="26"/>
      <c r="C1046376" s="26"/>
      <c r="D1046376" s="4"/>
      <c r="E1046376" s="26"/>
      <c r="F1046376" s="26"/>
      <c r="G1046376" s="26"/>
      <c r="H1046376" s="26"/>
      <c r="I1046376" s="27"/>
      <c r="J1046376" s="26"/>
      <c r="K1046376" s="26"/>
      <c r="L1046376" s="4"/>
      <c r="M1046376" s="4"/>
      <c r="N1046376" s="26"/>
    </row>
    <row r="1046377" customFormat="1" spans="2:14">
      <c r="B1046377" s="26"/>
      <c r="C1046377" s="26"/>
      <c r="D1046377" s="4"/>
      <c r="E1046377" s="26"/>
      <c r="F1046377" s="26"/>
      <c r="G1046377" s="26"/>
      <c r="H1046377" s="26"/>
      <c r="I1046377" s="27"/>
      <c r="J1046377" s="26"/>
      <c r="K1046377" s="26"/>
      <c r="L1046377" s="4"/>
      <c r="M1046377" s="4"/>
      <c r="N1046377" s="26"/>
    </row>
    <row r="1046378" customFormat="1" spans="2:14">
      <c r="B1046378" s="26"/>
      <c r="C1046378" s="26"/>
      <c r="D1046378" s="4"/>
      <c r="E1046378" s="26"/>
      <c r="F1046378" s="26"/>
      <c r="G1046378" s="26"/>
      <c r="H1046378" s="26"/>
      <c r="I1046378" s="27"/>
      <c r="J1046378" s="26"/>
      <c r="K1046378" s="26"/>
      <c r="L1046378" s="4"/>
      <c r="M1046378" s="4"/>
      <c r="N1046378" s="26"/>
    </row>
    <row r="1046379" customFormat="1" spans="2:14">
      <c r="B1046379" s="26"/>
      <c r="C1046379" s="26"/>
      <c r="D1046379" s="4"/>
      <c r="E1046379" s="26"/>
      <c r="F1046379" s="26"/>
      <c r="G1046379" s="26"/>
      <c r="H1046379" s="26"/>
      <c r="I1046379" s="27"/>
      <c r="J1046379" s="26"/>
      <c r="K1046379" s="26"/>
      <c r="L1046379" s="4"/>
      <c r="M1046379" s="4"/>
      <c r="N1046379" s="26"/>
    </row>
    <row r="1046380" customFormat="1" spans="2:14">
      <c r="B1046380" s="26"/>
      <c r="C1046380" s="26"/>
      <c r="D1046380" s="4"/>
      <c r="E1046380" s="26"/>
      <c r="F1046380" s="26"/>
      <c r="G1046380" s="26"/>
      <c r="H1046380" s="26"/>
      <c r="I1046380" s="27"/>
      <c r="J1046380" s="26"/>
      <c r="K1046380" s="26"/>
      <c r="L1046380" s="4"/>
      <c r="M1046380" s="4"/>
      <c r="N1046380" s="26"/>
    </row>
    <row r="1046381" customFormat="1" spans="2:14">
      <c r="B1046381" s="26"/>
      <c r="C1046381" s="26"/>
      <c r="D1046381" s="4"/>
      <c r="E1046381" s="26"/>
      <c r="F1046381" s="26"/>
      <c r="G1046381" s="26"/>
      <c r="H1046381" s="26"/>
      <c r="I1046381" s="27"/>
      <c r="J1046381" s="26"/>
      <c r="K1046381" s="26"/>
      <c r="L1046381" s="4"/>
      <c r="M1046381" s="4"/>
      <c r="N1046381" s="26"/>
    </row>
    <row r="1046382" customFormat="1" spans="2:14">
      <c r="B1046382" s="26"/>
      <c r="C1046382" s="26"/>
      <c r="D1046382" s="4"/>
      <c r="E1046382" s="26"/>
      <c r="F1046382" s="26"/>
      <c r="G1046382" s="26"/>
      <c r="H1046382" s="26"/>
      <c r="I1046382" s="27"/>
      <c r="J1046382" s="26"/>
      <c r="K1046382" s="26"/>
      <c r="L1046382" s="4"/>
      <c r="M1046382" s="4"/>
      <c r="N1046382" s="26"/>
    </row>
    <row r="1046383" customFormat="1" spans="2:14">
      <c r="B1046383" s="26"/>
      <c r="C1046383" s="26"/>
      <c r="D1046383" s="4"/>
      <c r="E1046383" s="26"/>
      <c r="F1046383" s="26"/>
      <c r="G1046383" s="26"/>
      <c r="H1046383" s="26"/>
      <c r="I1046383" s="27"/>
      <c r="J1046383" s="26"/>
      <c r="K1046383" s="26"/>
      <c r="L1046383" s="4"/>
      <c r="M1046383" s="4"/>
      <c r="N1046383" s="26"/>
    </row>
    <row r="1046384" customFormat="1" spans="2:14">
      <c r="B1046384" s="26"/>
      <c r="C1046384" s="26"/>
      <c r="D1046384" s="4"/>
      <c r="E1046384" s="26"/>
      <c r="F1046384" s="26"/>
      <c r="G1046384" s="26"/>
      <c r="H1046384" s="26"/>
      <c r="I1046384" s="27"/>
      <c r="J1046384" s="26"/>
      <c r="K1046384" s="26"/>
      <c r="L1046384" s="4"/>
      <c r="M1046384" s="4"/>
      <c r="N1046384" s="26"/>
    </row>
    <row r="1046385" customFormat="1" spans="2:14">
      <c r="B1046385" s="26"/>
      <c r="C1046385" s="26"/>
      <c r="D1046385" s="4"/>
      <c r="E1046385" s="26"/>
      <c r="F1046385" s="26"/>
      <c r="G1046385" s="26"/>
      <c r="H1046385" s="26"/>
      <c r="I1046385" s="27"/>
      <c r="J1046385" s="26"/>
      <c r="K1046385" s="26"/>
      <c r="L1046385" s="4"/>
      <c r="M1046385" s="4"/>
      <c r="N1046385" s="26"/>
    </row>
    <row r="1046386" customFormat="1" spans="2:14">
      <c r="B1046386" s="26"/>
      <c r="C1046386" s="26"/>
      <c r="D1046386" s="4"/>
      <c r="E1046386" s="26"/>
      <c r="F1046386" s="26"/>
      <c r="G1046386" s="26"/>
      <c r="H1046386" s="26"/>
      <c r="I1046386" s="27"/>
      <c r="J1046386" s="26"/>
      <c r="K1046386" s="26"/>
      <c r="L1046386" s="4"/>
      <c r="M1046386" s="4"/>
      <c r="N1046386" s="26"/>
    </row>
    <row r="1046387" customFormat="1" spans="2:14">
      <c r="B1046387" s="26"/>
      <c r="C1046387" s="26"/>
      <c r="D1046387" s="4"/>
      <c r="E1046387" s="26"/>
      <c r="F1046387" s="26"/>
      <c r="G1046387" s="26"/>
      <c r="H1046387" s="26"/>
      <c r="I1046387" s="27"/>
      <c r="J1046387" s="26"/>
      <c r="K1046387" s="26"/>
      <c r="L1046387" s="4"/>
      <c r="M1046387" s="4"/>
      <c r="N1046387" s="26"/>
    </row>
    <row r="1046388" customFormat="1" spans="2:14">
      <c r="B1046388" s="26"/>
      <c r="C1046388" s="26"/>
      <c r="D1046388" s="4"/>
      <c r="E1046388" s="26"/>
      <c r="F1046388" s="26"/>
      <c r="G1046388" s="26"/>
      <c r="H1046388" s="26"/>
      <c r="I1046388" s="27"/>
      <c r="J1046388" s="26"/>
      <c r="K1046388" s="26"/>
      <c r="L1046388" s="4"/>
      <c r="M1046388" s="4"/>
      <c r="N1046388" s="26"/>
    </row>
    <row r="1046389" customFormat="1" spans="2:14">
      <c r="B1046389" s="26"/>
      <c r="C1046389" s="26"/>
      <c r="D1046389" s="4"/>
      <c r="E1046389" s="26"/>
      <c r="F1046389" s="26"/>
      <c r="G1046389" s="26"/>
      <c r="H1046389" s="26"/>
      <c r="I1046389" s="27"/>
      <c r="J1046389" s="26"/>
      <c r="K1046389" s="26"/>
      <c r="L1046389" s="4"/>
      <c r="M1046389" s="4"/>
      <c r="N1046389" s="26"/>
    </row>
    <row r="1046390" customFormat="1" spans="2:14">
      <c r="B1046390" s="26"/>
      <c r="C1046390" s="26"/>
      <c r="D1046390" s="4"/>
      <c r="E1046390" s="26"/>
      <c r="F1046390" s="26"/>
      <c r="G1046390" s="26"/>
      <c r="H1046390" s="26"/>
      <c r="I1046390" s="27"/>
      <c r="J1046390" s="26"/>
      <c r="K1046390" s="26"/>
      <c r="L1046390" s="4"/>
      <c r="M1046390" s="4"/>
      <c r="N1046390" s="26"/>
    </row>
    <row r="1046391" customFormat="1" spans="2:14">
      <c r="B1046391" s="26"/>
      <c r="C1046391" s="26"/>
      <c r="D1046391" s="4"/>
      <c r="E1046391" s="26"/>
      <c r="F1046391" s="26"/>
      <c r="G1046391" s="26"/>
      <c r="H1046391" s="26"/>
      <c r="I1046391" s="27"/>
      <c r="J1046391" s="26"/>
      <c r="K1046391" s="26"/>
      <c r="L1046391" s="4"/>
      <c r="M1046391" s="4"/>
      <c r="N1046391" s="26"/>
    </row>
    <row r="1046392" customFormat="1" spans="2:14">
      <c r="B1046392" s="26"/>
      <c r="C1046392" s="26"/>
      <c r="D1046392" s="4"/>
      <c r="E1046392" s="26"/>
      <c r="F1046392" s="26"/>
      <c r="G1046392" s="26"/>
      <c r="H1046392" s="26"/>
      <c r="I1046392" s="27"/>
      <c r="J1046392" s="26"/>
      <c r="K1046392" s="26"/>
      <c r="L1046392" s="4"/>
      <c r="M1046392" s="4"/>
      <c r="N1046392" s="26"/>
    </row>
    <row r="1046393" customFormat="1" spans="2:14">
      <c r="B1046393" s="26"/>
      <c r="C1046393" s="26"/>
      <c r="D1046393" s="4"/>
      <c r="E1046393" s="26"/>
      <c r="F1046393" s="26"/>
      <c r="G1046393" s="26"/>
      <c r="H1046393" s="26"/>
      <c r="I1046393" s="27"/>
      <c r="J1046393" s="26"/>
      <c r="K1046393" s="26"/>
      <c r="L1046393" s="4"/>
      <c r="M1046393" s="4"/>
      <c r="N1046393" s="26"/>
    </row>
    <row r="1046394" customFormat="1" spans="2:14">
      <c r="B1046394" s="26"/>
      <c r="C1046394" s="26"/>
      <c r="D1046394" s="4"/>
      <c r="E1046394" s="26"/>
      <c r="F1046394" s="26"/>
      <c r="G1046394" s="26"/>
      <c r="H1046394" s="26"/>
      <c r="I1046394" s="27"/>
      <c r="J1046394" s="26"/>
      <c r="K1046394" s="26"/>
      <c r="L1046394" s="4"/>
      <c r="M1046394" s="4"/>
      <c r="N1046394" s="26"/>
    </row>
    <row r="1046395" customFormat="1" spans="2:14">
      <c r="B1046395" s="26"/>
      <c r="C1046395" s="26"/>
      <c r="D1046395" s="4"/>
      <c r="E1046395" s="26"/>
      <c r="F1046395" s="26"/>
      <c r="G1046395" s="26"/>
      <c r="H1046395" s="26"/>
      <c r="I1046395" s="27"/>
      <c r="J1046395" s="26"/>
      <c r="K1046395" s="26"/>
      <c r="L1046395" s="4"/>
      <c r="M1046395" s="4"/>
      <c r="N1046395" s="26"/>
    </row>
    <row r="1046396" customFormat="1" spans="2:14">
      <c r="B1046396" s="26"/>
      <c r="C1046396" s="26"/>
      <c r="D1046396" s="4"/>
      <c r="E1046396" s="26"/>
      <c r="F1046396" s="26"/>
      <c r="G1046396" s="26"/>
      <c r="H1046396" s="26"/>
      <c r="I1046396" s="27"/>
      <c r="J1046396" s="26"/>
      <c r="K1046396" s="26"/>
      <c r="L1046396" s="4"/>
      <c r="M1046396" s="4"/>
      <c r="N1046396" s="26"/>
    </row>
    <row r="1046397" customFormat="1" spans="2:14">
      <c r="B1046397" s="26"/>
      <c r="C1046397" s="26"/>
      <c r="D1046397" s="4"/>
      <c r="E1046397" s="26"/>
      <c r="F1046397" s="26"/>
      <c r="G1046397" s="26"/>
      <c r="H1046397" s="26"/>
      <c r="I1046397" s="27"/>
      <c r="J1046397" s="26"/>
      <c r="K1046397" s="26"/>
      <c r="L1046397" s="4"/>
      <c r="M1046397" s="4"/>
      <c r="N1046397" s="26"/>
    </row>
    <row r="1046398" customFormat="1" spans="2:14">
      <c r="B1046398" s="26"/>
      <c r="C1046398" s="26"/>
      <c r="D1046398" s="4"/>
      <c r="E1046398" s="26"/>
      <c r="F1046398" s="26"/>
      <c r="G1046398" s="26"/>
      <c r="H1046398" s="26"/>
      <c r="I1046398" s="27"/>
      <c r="J1046398" s="26"/>
      <c r="K1046398" s="26"/>
      <c r="L1046398" s="4"/>
      <c r="M1046398" s="4"/>
      <c r="N1046398" s="26"/>
    </row>
    <row r="1046399" customFormat="1" spans="2:14">
      <c r="B1046399" s="26"/>
      <c r="C1046399" s="26"/>
      <c r="D1046399" s="4"/>
      <c r="E1046399" s="26"/>
      <c r="F1046399" s="26"/>
      <c r="G1046399" s="26"/>
      <c r="H1046399" s="26"/>
      <c r="I1046399" s="27"/>
      <c r="J1046399" s="26"/>
      <c r="K1046399" s="26"/>
      <c r="L1046399" s="4"/>
      <c r="M1046399" s="4"/>
      <c r="N1046399" s="26"/>
    </row>
    <row r="1046400" customFormat="1" spans="2:14">
      <c r="B1046400" s="26"/>
      <c r="C1046400" s="26"/>
      <c r="D1046400" s="4"/>
      <c r="E1046400" s="26"/>
      <c r="F1046400" s="26"/>
      <c r="G1046400" s="26"/>
      <c r="H1046400" s="26"/>
      <c r="I1046400" s="27"/>
      <c r="J1046400" s="26"/>
      <c r="K1046400" s="26"/>
      <c r="L1046400" s="4"/>
      <c r="M1046400" s="4"/>
      <c r="N1046400" s="26"/>
    </row>
    <row r="1046401" customFormat="1" spans="2:14">
      <c r="B1046401" s="26"/>
      <c r="C1046401" s="26"/>
      <c r="D1046401" s="4"/>
      <c r="E1046401" s="26"/>
      <c r="F1046401" s="26"/>
      <c r="G1046401" s="26"/>
      <c r="H1046401" s="26"/>
      <c r="I1046401" s="27"/>
      <c r="J1046401" s="26"/>
      <c r="K1046401" s="26"/>
      <c r="L1046401" s="4"/>
      <c r="M1046401" s="4"/>
      <c r="N1046401" s="26"/>
    </row>
    <row r="1046402" customFormat="1" spans="2:14">
      <c r="B1046402" s="26"/>
      <c r="C1046402" s="26"/>
      <c r="D1046402" s="4"/>
      <c r="E1046402" s="26"/>
      <c r="F1046402" s="26"/>
      <c r="G1046402" s="26"/>
      <c r="H1046402" s="26"/>
      <c r="I1046402" s="27"/>
      <c r="J1046402" s="26"/>
      <c r="K1046402" s="26"/>
      <c r="L1046402" s="4"/>
      <c r="M1046402" s="4"/>
      <c r="N1046402" s="26"/>
    </row>
    <row r="1046403" customFormat="1" spans="2:14">
      <c r="B1046403" s="26"/>
      <c r="C1046403" s="26"/>
      <c r="D1046403" s="4"/>
      <c r="E1046403" s="26"/>
      <c r="F1046403" s="26"/>
      <c r="G1046403" s="26"/>
      <c r="H1046403" s="26"/>
      <c r="I1046403" s="27"/>
      <c r="J1046403" s="26"/>
      <c r="K1046403" s="26"/>
      <c r="L1046403" s="4"/>
      <c r="M1046403" s="4"/>
      <c r="N1046403" s="26"/>
    </row>
    <row r="1046404" customFormat="1" spans="2:14">
      <c r="B1046404" s="26"/>
      <c r="C1046404" s="26"/>
      <c r="D1046404" s="4"/>
      <c r="E1046404" s="26"/>
      <c r="F1046404" s="26"/>
      <c r="G1046404" s="26"/>
      <c r="H1046404" s="26"/>
      <c r="I1046404" s="27"/>
      <c r="J1046404" s="26"/>
      <c r="K1046404" s="26"/>
      <c r="L1046404" s="4"/>
      <c r="M1046404" s="4"/>
      <c r="N1046404" s="26"/>
    </row>
    <row r="1046405" customFormat="1" spans="2:14">
      <c r="B1046405" s="26"/>
      <c r="C1046405" s="26"/>
      <c r="D1046405" s="4"/>
      <c r="E1046405" s="26"/>
      <c r="F1046405" s="26"/>
      <c r="G1046405" s="26"/>
      <c r="H1046405" s="26"/>
      <c r="I1046405" s="27"/>
      <c r="J1046405" s="26"/>
      <c r="K1046405" s="26"/>
      <c r="L1046405" s="4"/>
      <c r="M1046405" s="4"/>
      <c r="N1046405" s="26"/>
    </row>
    <row r="1046406" customFormat="1" spans="2:14">
      <c r="B1046406" s="26"/>
      <c r="C1046406" s="26"/>
      <c r="D1046406" s="4"/>
      <c r="E1046406" s="26"/>
      <c r="F1046406" s="26"/>
      <c r="G1046406" s="26"/>
      <c r="H1046406" s="26"/>
      <c r="I1046406" s="27"/>
      <c r="J1046406" s="26"/>
      <c r="K1046406" s="26"/>
      <c r="L1046406" s="4"/>
      <c r="M1046406" s="4"/>
      <c r="N1046406" s="26"/>
    </row>
    <row r="1046407" customFormat="1" spans="2:14">
      <c r="B1046407" s="26"/>
      <c r="C1046407" s="26"/>
      <c r="D1046407" s="4"/>
      <c r="E1046407" s="26"/>
      <c r="F1046407" s="26"/>
      <c r="G1046407" s="26"/>
      <c r="H1046407" s="26"/>
      <c r="I1046407" s="27"/>
      <c r="J1046407" s="26"/>
      <c r="K1046407" s="26"/>
      <c r="L1046407" s="4"/>
      <c r="M1046407" s="4"/>
      <c r="N1046407" s="26"/>
    </row>
    <row r="1046408" customFormat="1" spans="2:14">
      <c r="B1046408" s="26"/>
      <c r="C1046408" s="26"/>
      <c r="D1046408" s="4"/>
      <c r="E1046408" s="26"/>
      <c r="F1046408" s="26"/>
      <c r="G1046408" s="26"/>
      <c r="H1046408" s="26"/>
      <c r="I1046408" s="27"/>
      <c r="J1046408" s="26"/>
      <c r="K1046408" s="26"/>
      <c r="L1046408" s="4"/>
      <c r="M1046408" s="4"/>
      <c r="N1046408" s="26"/>
    </row>
    <row r="1046409" customFormat="1" spans="2:14">
      <c r="B1046409" s="26"/>
      <c r="C1046409" s="26"/>
      <c r="D1046409" s="4"/>
      <c r="E1046409" s="26"/>
      <c r="F1046409" s="26"/>
      <c r="G1046409" s="26"/>
      <c r="H1046409" s="26"/>
      <c r="I1046409" s="27"/>
      <c r="J1046409" s="26"/>
      <c r="K1046409" s="26"/>
      <c r="L1046409" s="4"/>
      <c r="M1046409" s="4"/>
      <c r="N1046409" s="26"/>
    </row>
    <row r="1046410" customFormat="1" spans="2:14">
      <c r="B1046410" s="26"/>
      <c r="C1046410" s="26"/>
      <c r="D1046410" s="4"/>
      <c r="E1046410" s="26"/>
      <c r="F1046410" s="26"/>
      <c r="G1046410" s="26"/>
      <c r="H1046410" s="26"/>
      <c r="I1046410" s="27"/>
      <c r="J1046410" s="26"/>
      <c r="K1046410" s="26"/>
      <c r="L1046410" s="4"/>
      <c r="M1046410" s="4"/>
      <c r="N1046410" s="26"/>
    </row>
    <row r="1046411" customFormat="1" spans="2:14">
      <c r="B1046411" s="26"/>
      <c r="C1046411" s="26"/>
      <c r="D1046411" s="4"/>
      <c r="E1046411" s="26"/>
      <c r="F1046411" s="26"/>
      <c r="G1046411" s="26"/>
      <c r="H1046411" s="26"/>
      <c r="I1046411" s="27"/>
      <c r="J1046411" s="26"/>
      <c r="K1046411" s="26"/>
      <c r="L1046411" s="4"/>
      <c r="M1046411" s="4"/>
      <c r="N1046411" s="26"/>
    </row>
    <row r="1046412" customFormat="1" spans="2:14">
      <c r="B1046412" s="26"/>
      <c r="C1046412" s="26"/>
      <c r="D1046412" s="4"/>
      <c r="E1046412" s="26"/>
      <c r="F1046412" s="26"/>
      <c r="G1046412" s="26"/>
      <c r="H1046412" s="26"/>
      <c r="I1046412" s="27"/>
      <c r="J1046412" s="26"/>
      <c r="K1046412" s="26"/>
      <c r="L1046412" s="4"/>
      <c r="M1046412" s="4"/>
      <c r="N1046412" s="26"/>
    </row>
    <row r="1046413" customFormat="1" spans="2:14">
      <c r="B1046413" s="26"/>
      <c r="C1046413" s="26"/>
      <c r="D1046413" s="4"/>
      <c r="E1046413" s="26"/>
      <c r="F1046413" s="26"/>
      <c r="G1046413" s="26"/>
      <c r="H1046413" s="26"/>
      <c r="I1046413" s="27"/>
      <c r="J1046413" s="26"/>
      <c r="K1046413" s="26"/>
      <c r="L1046413" s="4"/>
      <c r="M1046413" s="4"/>
      <c r="N1046413" s="26"/>
    </row>
    <row r="1046414" customFormat="1" spans="2:14">
      <c r="B1046414" s="26"/>
      <c r="C1046414" s="26"/>
      <c r="D1046414" s="4"/>
      <c r="E1046414" s="26"/>
      <c r="F1046414" s="26"/>
      <c r="G1046414" s="26"/>
      <c r="H1046414" s="26"/>
      <c r="I1046414" s="27"/>
      <c r="J1046414" s="26"/>
      <c r="K1046414" s="26"/>
      <c r="L1046414" s="4"/>
      <c r="M1046414" s="4"/>
      <c r="N1046414" s="26"/>
    </row>
    <row r="1046415" customFormat="1" spans="2:14">
      <c r="B1046415" s="26"/>
      <c r="C1046415" s="26"/>
      <c r="D1046415" s="4"/>
      <c r="E1046415" s="26"/>
      <c r="F1046415" s="26"/>
      <c r="G1046415" s="26"/>
      <c r="H1046415" s="26"/>
      <c r="I1046415" s="27"/>
      <c r="J1046415" s="26"/>
      <c r="K1046415" s="26"/>
      <c r="L1046415" s="4"/>
      <c r="M1046415" s="4"/>
      <c r="N1046415" s="26"/>
    </row>
    <row r="1046416" customFormat="1" spans="2:14">
      <c r="B1046416" s="26"/>
      <c r="C1046416" s="26"/>
      <c r="D1046416" s="4"/>
      <c r="E1046416" s="26"/>
      <c r="F1046416" s="26"/>
      <c r="G1046416" s="26"/>
      <c r="H1046416" s="26"/>
      <c r="I1046416" s="27"/>
      <c r="J1046416" s="26"/>
      <c r="K1046416" s="26"/>
      <c r="L1046416" s="4"/>
      <c r="M1046416" s="4"/>
      <c r="N1046416" s="26"/>
    </row>
    <row r="1046417" customFormat="1" spans="2:14">
      <c r="B1046417" s="26"/>
      <c r="C1046417" s="26"/>
      <c r="D1046417" s="4"/>
      <c r="E1046417" s="26"/>
      <c r="F1046417" s="26"/>
      <c r="G1046417" s="26"/>
      <c r="H1046417" s="26"/>
      <c r="I1046417" s="27"/>
      <c r="J1046417" s="26"/>
      <c r="K1046417" s="26"/>
      <c r="L1046417" s="4"/>
      <c r="M1046417" s="4"/>
      <c r="N1046417" s="26"/>
    </row>
    <row r="1046418" customFormat="1" spans="2:14">
      <c r="B1046418" s="26"/>
      <c r="C1046418" s="26"/>
      <c r="D1046418" s="4"/>
      <c r="E1046418" s="26"/>
      <c r="F1046418" s="26"/>
      <c r="G1046418" s="26"/>
      <c r="H1046418" s="26"/>
      <c r="I1046418" s="27"/>
      <c r="J1046418" s="26"/>
      <c r="K1046418" s="26"/>
      <c r="L1046418" s="4"/>
      <c r="M1046418" s="4"/>
      <c r="N1046418" s="26"/>
    </row>
    <row r="1046419" customFormat="1" spans="2:14">
      <c r="B1046419" s="26"/>
      <c r="C1046419" s="26"/>
      <c r="D1046419" s="4"/>
      <c r="E1046419" s="26"/>
      <c r="F1046419" s="26"/>
      <c r="G1046419" s="26"/>
      <c r="H1046419" s="26"/>
      <c r="I1046419" s="27"/>
      <c r="J1046419" s="26"/>
      <c r="K1046419" s="26"/>
      <c r="L1046419" s="4"/>
      <c r="M1046419" s="4"/>
      <c r="N1046419" s="26"/>
    </row>
    <row r="1046420" customFormat="1" spans="2:14">
      <c r="B1046420" s="26"/>
      <c r="C1046420" s="26"/>
      <c r="D1046420" s="4"/>
      <c r="E1046420" s="26"/>
      <c r="F1046420" s="26"/>
      <c r="G1046420" s="26"/>
      <c r="H1046420" s="26"/>
      <c r="I1046420" s="27"/>
      <c r="J1046420" s="26"/>
      <c r="K1046420" s="26"/>
      <c r="L1046420" s="4"/>
      <c r="M1046420" s="4"/>
      <c r="N1046420" s="26"/>
    </row>
    <row r="1046421" customFormat="1" spans="2:14">
      <c r="B1046421" s="26"/>
      <c r="C1046421" s="26"/>
      <c r="D1046421" s="4"/>
      <c r="E1046421" s="26"/>
      <c r="F1046421" s="26"/>
      <c r="G1046421" s="26"/>
      <c r="H1046421" s="26"/>
      <c r="I1046421" s="27"/>
      <c r="J1046421" s="26"/>
      <c r="K1046421" s="26"/>
      <c r="L1046421" s="4"/>
      <c r="M1046421" s="4"/>
      <c r="N1046421" s="26"/>
    </row>
    <row r="1046422" customFormat="1" spans="2:14">
      <c r="B1046422" s="26"/>
      <c r="C1046422" s="26"/>
      <c r="D1046422" s="4"/>
      <c r="E1046422" s="26"/>
      <c r="F1046422" s="26"/>
      <c r="G1046422" s="26"/>
      <c r="H1046422" s="26"/>
      <c r="I1046422" s="27"/>
      <c r="J1046422" s="26"/>
      <c r="K1046422" s="26"/>
      <c r="L1046422" s="4"/>
      <c r="M1046422" s="4"/>
      <c r="N1046422" s="26"/>
    </row>
    <row r="1046423" customFormat="1" spans="2:14">
      <c r="B1046423" s="26"/>
      <c r="C1046423" s="26"/>
      <c r="D1046423" s="4"/>
      <c r="E1046423" s="26"/>
      <c r="F1046423" s="26"/>
      <c r="G1046423" s="26"/>
      <c r="H1046423" s="26"/>
      <c r="I1046423" s="27"/>
      <c r="J1046423" s="26"/>
      <c r="K1046423" s="26"/>
      <c r="L1046423" s="4"/>
      <c r="M1046423" s="4"/>
      <c r="N1046423" s="26"/>
    </row>
    <row r="1046424" customFormat="1" spans="2:14">
      <c r="B1046424" s="26"/>
      <c r="C1046424" s="26"/>
      <c r="D1046424" s="4"/>
      <c r="E1046424" s="26"/>
      <c r="F1046424" s="26"/>
      <c r="G1046424" s="26"/>
      <c r="H1046424" s="26"/>
      <c r="I1046424" s="27"/>
      <c r="J1046424" s="26"/>
      <c r="K1046424" s="26"/>
      <c r="L1046424" s="4"/>
      <c r="M1046424" s="4"/>
      <c r="N1046424" s="26"/>
    </row>
    <row r="1046425" customFormat="1" spans="2:14">
      <c r="B1046425" s="26"/>
      <c r="C1046425" s="26"/>
      <c r="D1046425" s="4"/>
      <c r="E1046425" s="26"/>
      <c r="F1046425" s="26"/>
      <c r="G1046425" s="26"/>
      <c r="H1046425" s="26"/>
      <c r="I1046425" s="27"/>
      <c r="J1046425" s="26"/>
      <c r="K1046425" s="26"/>
      <c r="L1046425" s="4"/>
      <c r="M1046425" s="4"/>
      <c r="N1046425" s="26"/>
    </row>
    <row r="1046426" customFormat="1" spans="2:14">
      <c r="B1046426" s="26"/>
      <c r="C1046426" s="26"/>
      <c r="D1046426" s="4"/>
      <c r="E1046426" s="26"/>
      <c r="F1046426" s="26"/>
      <c r="G1046426" s="26"/>
      <c r="H1046426" s="26"/>
      <c r="I1046426" s="27"/>
      <c r="J1046426" s="26"/>
      <c r="K1046426" s="26"/>
      <c r="L1046426" s="4"/>
      <c r="M1046426" s="4"/>
      <c r="N1046426" s="26"/>
    </row>
    <row r="1046427" customFormat="1" spans="2:14">
      <c r="B1046427" s="26"/>
      <c r="C1046427" s="26"/>
      <c r="D1046427" s="4"/>
      <c r="E1046427" s="26"/>
      <c r="F1046427" s="26"/>
      <c r="G1046427" s="26"/>
      <c r="H1046427" s="26"/>
      <c r="I1046427" s="27"/>
      <c r="J1046427" s="26"/>
      <c r="K1046427" s="26"/>
      <c r="L1046427" s="4"/>
      <c r="M1046427" s="4"/>
      <c r="N1046427" s="26"/>
    </row>
    <row r="1046428" customFormat="1" spans="2:14">
      <c r="B1046428" s="26"/>
      <c r="C1046428" s="26"/>
      <c r="D1046428" s="4"/>
      <c r="E1046428" s="26"/>
      <c r="F1046428" s="26"/>
      <c r="G1046428" s="26"/>
      <c r="H1046428" s="26"/>
      <c r="I1046428" s="27"/>
      <c r="J1046428" s="26"/>
      <c r="K1046428" s="26"/>
      <c r="L1046428" s="4"/>
      <c r="M1046428" s="4"/>
      <c r="N1046428" s="26"/>
    </row>
    <row r="1046429" customFormat="1" spans="2:14">
      <c r="B1046429" s="26"/>
      <c r="C1046429" s="26"/>
      <c r="D1046429" s="4"/>
      <c r="E1046429" s="26"/>
      <c r="F1046429" s="26"/>
      <c r="G1046429" s="26"/>
      <c r="H1046429" s="26"/>
      <c r="I1046429" s="27"/>
      <c r="J1046429" s="26"/>
      <c r="K1046429" s="26"/>
      <c r="L1046429" s="4"/>
      <c r="M1046429" s="4"/>
      <c r="N1046429" s="26"/>
    </row>
    <row r="1046430" customFormat="1" spans="2:14">
      <c r="B1046430" s="26"/>
      <c r="C1046430" s="26"/>
      <c r="D1046430" s="4"/>
      <c r="E1046430" s="26"/>
      <c r="F1046430" s="26"/>
      <c r="G1046430" s="26"/>
      <c r="H1046430" s="26"/>
      <c r="I1046430" s="27"/>
      <c r="J1046430" s="26"/>
      <c r="K1046430" s="26"/>
      <c r="L1046430" s="4"/>
      <c r="M1046430" s="4"/>
      <c r="N1046430" s="26"/>
    </row>
    <row r="1046431" customFormat="1" spans="2:14">
      <c r="B1046431" s="26"/>
      <c r="C1046431" s="26"/>
      <c r="D1046431" s="4"/>
      <c r="E1046431" s="26"/>
      <c r="F1046431" s="26"/>
      <c r="G1046431" s="26"/>
      <c r="H1046431" s="26"/>
      <c r="I1046431" s="27"/>
      <c r="J1046431" s="26"/>
      <c r="K1046431" s="26"/>
      <c r="L1046431" s="4"/>
      <c r="M1046431" s="4"/>
      <c r="N1046431" s="26"/>
    </row>
    <row r="1046432" customFormat="1" spans="2:14">
      <c r="B1046432" s="26"/>
      <c r="C1046432" s="26"/>
      <c r="D1046432" s="4"/>
      <c r="E1046432" s="26"/>
      <c r="F1046432" s="26"/>
      <c r="G1046432" s="26"/>
      <c r="H1046432" s="26"/>
      <c r="I1046432" s="27"/>
      <c r="J1046432" s="26"/>
      <c r="K1046432" s="26"/>
      <c r="L1046432" s="4"/>
      <c r="M1046432" s="4"/>
      <c r="N1046432" s="26"/>
    </row>
    <row r="1046433" customFormat="1" spans="2:14">
      <c r="B1046433" s="26"/>
      <c r="C1046433" s="26"/>
      <c r="D1046433" s="4"/>
      <c r="E1046433" s="26"/>
      <c r="F1046433" s="26"/>
      <c r="G1046433" s="26"/>
      <c r="H1046433" s="26"/>
      <c r="I1046433" s="27"/>
      <c r="J1046433" s="26"/>
      <c r="K1046433" s="26"/>
      <c r="L1046433" s="4"/>
      <c r="M1046433" s="4"/>
      <c r="N1046433" s="26"/>
    </row>
    <row r="1046434" customFormat="1" spans="2:14">
      <c r="B1046434" s="26"/>
      <c r="C1046434" s="26"/>
      <c r="D1046434" s="4"/>
      <c r="E1046434" s="26"/>
      <c r="F1046434" s="26"/>
      <c r="G1046434" s="26"/>
      <c r="H1046434" s="26"/>
      <c r="I1046434" s="27"/>
      <c r="J1046434" s="26"/>
      <c r="K1046434" s="26"/>
      <c r="L1046434" s="4"/>
      <c r="M1046434" s="4"/>
      <c r="N1046434" s="26"/>
    </row>
    <row r="1046435" customFormat="1" spans="2:14">
      <c r="B1046435" s="26"/>
      <c r="C1046435" s="26"/>
      <c r="D1046435" s="4"/>
      <c r="E1046435" s="26"/>
      <c r="F1046435" s="26"/>
      <c r="G1046435" s="26"/>
      <c r="H1046435" s="26"/>
      <c r="I1046435" s="27"/>
      <c r="J1046435" s="26"/>
      <c r="K1046435" s="26"/>
      <c r="L1046435" s="4"/>
      <c r="M1046435" s="4"/>
      <c r="N1046435" s="26"/>
    </row>
    <row r="1046436" customFormat="1" spans="2:14">
      <c r="B1046436" s="26"/>
      <c r="C1046436" s="26"/>
      <c r="D1046436" s="4"/>
      <c r="E1046436" s="26"/>
      <c r="F1046436" s="26"/>
      <c r="G1046436" s="26"/>
      <c r="H1046436" s="26"/>
      <c r="I1046436" s="27"/>
      <c r="J1046436" s="26"/>
      <c r="K1046436" s="26"/>
      <c r="L1046436" s="4"/>
      <c r="M1046436" s="4"/>
      <c r="N1046436" s="26"/>
    </row>
    <row r="1046437" customFormat="1" spans="2:14">
      <c r="B1046437" s="26"/>
      <c r="C1046437" s="26"/>
      <c r="D1046437" s="4"/>
      <c r="E1046437" s="26"/>
      <c r="F1046437" s="26"/>
      <c r="G1046437" s="26"/>
      <c r="H1046437" s="26"/>
      <c r="I1046437" s="27"/>
      <c r="J1046437" s="26"/>
      <c r="K1046437" s="26"/>
      <c r="L1046437" s="4"/>
      <c r="M1046437" s="4"/>
      <c r="N1046437" s="26"/>
    </row>
    <row r="1046438" customFormat="1" spans="2:14">
      <c r="B1046438" s="26"/>
      <c r="C1046438" s="26"/>
      <c r="D1046438" s="4"/>
      <c r="E1046438" s="26"/>
      <c r="F1046438" s="26"/>
      <c r="G1046438" s="26"/>
      <c r="H1046438" s="26"/>
      <c r="I1046438" s="27"/>
      <c r="J1046438" s="26"/>
      <c r="K1046438" s="26"/>
      <c r="L1046438" s="4"/>
      <c r="M1046438" s="4"/>
      <c r="N1046438" s="26"/>
    </row>
    <row r="1046439" customFormat="1" spans="2:14">
      <c r="B1046439" s="26"/>
      <c r="C1046439" s="26"/>
      <c r="D1046439" s="4"/>
      <c r="E1046439" s="26"/>
      <c r="F1046439" s="26"/>
      <c r="G1046439" s="26"/>
      <c r="H1046439" s="26"/>
      <c r="I1046439" s="27"/>
      <c r="J1046439" s="26"/>
      <c r="K1046439" s="26"/>
      <c r="L1046439" s="4"/>
      <c r="M1046439" s="4"/>
      <c r="N1046439" s="26"/>
    </row>
    <row r="1046440" customFormat="1" spans="2:14">
      <c r="B1046440" s="26"/>
      <c r="C1046440" s="26"/>
      <c r="D1046440" s="4"/>
      <c r="E1046440" s="26"/>
      <c r="F1046440" s="26"/>
      <c r="G1046440" s="26"/>
      <c r="H1046440" s="26"/>
      <c r="I1046440" s="27"/>
      <c r="J1046440" s="26"/>
      <c r="K1046440" s="26"/>
      <c r="L1046440" s="4"/>
      <c r="M1046440" s="4"/>
      <c r="N1046440" s="26"/>
    </row>
    <row r="1046441" customFormat="1" spans="2:14">
      <c r="B1046441" s="26"/>
      <c r="C1046441" s="26"/>
      <c r="D1046441" s="4"/>
      <c r="E1046441" s="26"/>
      <c r="F1046441" s="26"/>
      <c r="G1046441" s="26"/>
      <c r="H1046441" s="26"/>
      <c r="I1046441" s="27"/>
      <c r="J1046441" s="26"/>
      <c r="K1046441" s="26"/>
      <c r="L1046441" s="4"/>
      <c r="M1046441" s="4"/>
      <c r="N1046441" s="26"/>
    </row>
    <row r="1046442" customFormat="1" spans="2:14">
      <c r="B1046442" s="26"/>
      <c r="C1046442" s="26"/>
      <c r="D1046442" s="4"/>
      <c r="E1046442" s="26"/>
      <c r="F1046442" s="26"/>
      <c r="G1046442" s="26"/>
      <c r="H1046442" s="26"/>
      <c r="I1046442" s="27"/>
      <c r="J1046442" s="26"/>
      <c r="K1046442" s="26"/>
      <c r="L1046442" s="4"/>
      <c r="M1046442" s="4"/>
      <c r="N1046442" s="26"/>
    </row>
    <row r="1046443" customFormat="1" spans="2:14">
      <c r="B1046443" s="26"/>
      <c r="C1046443" s="26"/>
      <c r="D1046443" s="4"/>
      <c r="E1046443" s="26"/>
      <c r="F1046443" s="26"/>
      <c r="G1046443" s="26"/>
      <c r="H1046443" s="26"/>
      <c r="I1046443" s="27"/>
      <c r="J1046443" s="26"/>
      <c r="K1046443" s="26"/>
      <c r="L1046443" s="4"/>
      <c r="M1046443" s="4"/>
      <c r="N1046443" s="26"/>
    </row>
    <row r="1046444" customFormat="1" spans="2:14">
      <c r="B1046444" s="26"/>
      <c r="C1046444" s="26"/>
      <c r="D1046444" s="4"/>
      <c r="E1046444" s="26"/>
      <c r="F1046444" s="26"/>
      <c r="G1046444" s="26"/>
      <c r="H1046444" s="26"/>
      <c r="I1046444" s="27"/>
      <c r="J1046444" s="26"/>
      <c r="K1046444" s="26"/>
      <c r="L1046444" s="4"/>
      <c r="M1046444" s="4"/>
      <c r="N1046444" s="26"/>
    </row>
    <row r="1046445" customFormat="1" spans="2:14">
      <c r="B1046445" s="26"/>
      <c r="C1046445" s="26"/>
      <c r="D1046445" s="4"/>
      <c r="E1046445" s="26"/>
      <c r="F1046445" s="26"/>
      <c r="G1046445" s="26"/>
      <c r="H1046445" s="26"/>
      <c r="I1046445" s="27"/>
      <c r="J1046445" s="26"/>
      <c r="K1046445" s="26"/>
      <c r="L1046445" s="4"/>
      <c r="M1046445" s="4"/>
      <c r="N1046445" s="26"/>
    </row>
    <row r="1046446" customFormat="1" spans="2:14">
      <c r="B1046446" s="26"/>
      <c r="C1046446" s="26"/>
      <c r="D1046446" s="4"/>
      <c r="E1046446" s="26"/>
      <c r="F1046446" s="26"/>
      <c r="G1046446" s="26"/>
      <c r="H1046446" s="26"/>
      <c r="I1046446" s="27"/>
      <c r="J1046446" s="26"/>
      <c r="K1046446" s="26"/>
      <c r="L1046446" s="4"/>
      <c r="M1046446" s="4"/>
      <c r="N1046446" s="26"/>
    </row>
    <row r="1046447" customFormat="1" spans="2:14">
      <c r="B1046447" s="26"/>
      <c r="C1046447" s="26"/>
      <c r="D1046447" s="4"/>
      <c r="E1046447" s="26"/>
      <c r="F1046447" s="26"/>
      <c r="G1046447" s="26"/>
      <c r="H1046447" s="26"/>
      <c r="I1046447" s="27"/>
      <c r="J1046447" s="26"/>
      <c r="K1046447" s="26"/>
      <c r="L1046447" s="4"/>
      <c r="M1046447" s="4"/>
      <c r="N1046447" s="26"/>
    </row>
    <row r="1046448" customFormat="1" spans="2:14">
      <c r="B1046448" s="26"/>
      <c r="C1046448" s="26"/>
      <c r="D1046448" s="4"/>
      <c r="E1046448" s="26"/>
      <c r="F1046448" s="26"/>
      <c r="G1046448" s="26"/>
      <c r="H1046448" s="26"/>
      <c r="I1046448" s="27"/>
      <c r="J1046448" s="26"/>
      <c r="K1046448" s="26"/>
      <c r="L1046448" s="4"/>
      <c r="M1046448" s="4"/>
      <c r="N1046448" s="26"/>
    </row>
    <row r="1046449" customFormat="1" spans="2:14">
      <c r="B1046449" s="26"/>
      <c r="C1046449" s="26"/>
      <c r="D1046449" s="4"/>
      <c r="E1046449" s="26"/>
      <c r="F1046449" s="26"/>
      <c r="G1046449" s="26"/>
      <c r="H1046449" s="26"/>
      <c r="I1046449" s="27"/>
      <c r="J1046449" s="26"/>
      <c r="K1046449" s="26"/>
      <c r="L1046449" s="4"/>
      <c r="M1046449" s="4"/>
      <c r="N1046449" s="26"/>
    </row>
    <row r="1046450" customFormat="1" spans="2:14">
      <c r="B1046450" s="26"/>
      <c r="C1046450" s="26"/>
      <c r="D1046450" s="4"/>
      <c r="E1046450" s="26"/>
      <c r="F1046450" s="26"/>
      <c r="G1046450" s="26"/>
      <c r="H1046450" s="26"/>
      <c r="I1046450" s="27"/>
      <c r="J1046450" s="26"/>
      <c r="K1046450" s="26"/>
      <c r="L1046450" s="4"/>
      <c r="M1046450" s="4"/>
      <c r="N1046450" s="26"/>
    </row>
    <row r="1046451" customFormat="1" spans="2:14">
      <c r="B1046451" s="26"/>
      <c r="C1046451" s="26"/>
      <c r="D1046451" s="4"/>
      <c r="E1046451" s="26"/>
      <c r="F1046451" s="26"/>
      <c r="G1046451" s="26"/>
      <c r="H1046451" s="26"/>
      <c r="I1046451" s="27"/>
      <c r="J1046451" s="26"/>
      <c r="K1046451" s="26"/>
      <c r="L1046451" s="4"/>
      <c r="M1046451" s="4"/>
      <c r="N1046451" s="26"/>
    </row>
    <row r="1046452" customFormat="1" spans="2:14">
      <c r="B1046452" s="26"/>
      <c r="C1046452" s="26"/>
      <c r="D1046452" s="4"/>
      <c r="E1046452" s="26"/>
      <c r="F1046452" s="26"/>
      <c r="G1046452" s="26"/>
      <c r="H1046452" s="26"/>
      <c r="I1046452" s="27"/>
      <c r="J1046452" s="26"/>
      <c r="K1046452" s="26"/>
      <c r="L1046452" s="4"/>
      <c r="M1046452" s="4"/>
      <c r="N1046452" s="26"/>
    </row>
    <row r="1046453" customFormat="1" spans="2:14">
      <c r="B1046453" s="26"/>
      <c r="C1046453" s="26"/>
      <c r="D1046453" s="4"/>
      <c r="E1046453" s="26"/>
      <c r="F1046453" s="26"/>
      <c r="G1046453" s="26"/>
      <c r="H1046453" s="26"/>
      <c r="I1046453" s="27"/>
      <c r="J1046453" s="26"/>
      <c r="K1046453" s="26"/>
      <c r="L1046453" s="4"/>
      <c r="M1046453" s="4"/>
      <c r="N1046453" s="26"/>
    </row>
    <row r="1046454" customFormat="1" spans="2:14">
      <c r="B1046454" s="26"/>
      <c r="C1046454" s="26"/>
      <c r="D1046454" s="4"/>
      <c r="E1046454" s="26"/>
      <c r="F1046454" s="26"/>
      <c r="G1046454" s="26"/>
      <c r="H1046454" s="26"/>
      <c r="I1046454" s="27"/>
      <c r="J1046454" s="26"/>
      <c r="K1046454" s="26"/>
      <c r="L1046454" s="4"/>
      <c r="M1046454" s="4"/>
      <c r="N1046454" s="26"/>
    </row>
    <row r="1046455" customFormat="1" spans="2:14">
      <c r="B1046455" s="26"/>
      <c r="C1046455" s="26"/>
      <c r="D1046455" s="4"/>
      <c r="E1046455" s="26"/>
      <c r="F1046455" s="26"/>
      <c r="G1046455" s="26"/>
      <c r="H1046455" s="26"/>
      <c r="I1046455" s="27"/>
      <c r="J1046455" s="26"/>
      <c r="K1046455" s="26"/>
      <c r="L1046455" s="4"/>
      <c r="M1046455" s="4"/>
      <c r="N1046455" s="26"/>
    </row>
    <row r="1046456" customFormat="1" spans="2:14">
      <c r="B1046456" s="26"/>
      <c r="C1046456" s="26"/>
      <c r="D1046456" s="4"/>
      <c r="E1046456" s="26"/>
      <c r="F1046456" s="26"/>
      <c r="G1046456" s="26"/>
      <c r="H1046456" s="26"/>
      <c r="I1046456" s="27"/>
      <c r="J1046456" s="26"/>
      <c r="K1046456" s="26"/>
      <c r="L1046456" s="4"/>
      <c r="M1046456" s="4"/>
      <c r="N1046456" s="26"/>
    </row>
    <row r="1046457" customFormat="1" spans="2:14">
      <c r="B1046457" s="26"/>
      <c r="C1046457" s="26"/>
      <c r="D1046457" s="4"/>
      <c r="E1046457" s="26"/>
      <c r="F1046457" s="26"/>
      <c r="G1046457" s="26"/>
      <c r="H1046457" s="26"/>
      <c r="I1046457" s="27"/>
      <c r="J1046457" s="26"/>
      <c r="K1046457" s="26"/>
      <c r="L1046457" s="4"/>
      <c r="M1046457" s="4"/>
      <c r="N1046457" s="26"/>
    </row>
    <row r="1046458" customFormat="1" spans="2:14">
      <c r="B1046458" s="26"/>
      <c r="C1046458" s="26"/>
      <c r="D1046458" s="4"/>
      <c r="E1046458" s="26"/>
      <c r="F1046458" s="26"/>
      <c r="G1046458" s="26"/>
      <c r="H1046458" s="26"/>
      <c r="I1046458" s="27"/>
      <c r="J1046458" s="26"/>
      <c r="K1046458" s="26"/>
      <c r="L1046458" s="4"/>
      <c r="M1046458" s="4"/>
      <c r="N1046458" s="26"/>
    </row>
    <row r="1046459" customFormat="1" spans="2:14">
      <c r="B1046459" s="26"/>
      <c r="C1046459" s="26"/>
      <c r="D1046459" s="4"/>
      <c r="E1046459" s="26"/>
      <c r="F1046459" s="26"/>
      <c r="G1046459" s="26"/>
      <c r="H1046459" s="26"/>
      <c r="I1046459" s="27"/>
      <c r="J1046459" s="26"/>
      <c r="K1046459" s="26"/>
      <c r="L1046459" s="4"/>
      <c r="M1046459" s="4"/>
      <c r="N1046459" s="26"/>
    </row>
    <row r="1046460" customFormat="1" spans="2:14">
      <c r="B1046460" s="26"/>
      <c r="C1046460" s="26"/>
      <c r="D1046460" s="4"/>
      <c r="E1046460" s="26"/>
      <c r="F1046460" s="26"/>
      <c r="G1046460" s="26"/>
      <c r="H1046460" s="26"/>
      <c r="I1046460" s="27"/>
      <c r="J1046460" s="26"/>
      <c r="K1046460" s="26"/>
      <c r="L1046460" s="4"/>
      <c r="M1046460" s="4"/>
      <c r="N1046460" s="26"/>
    </row>
    <row r="1046461" customFormat="1" spans="2:14">
      <c r="B1046461" s="26"/>
      <c r="C1046461" s="26"/>
      <c r="D1046461" s="4"/>
      <c r="E1046461" s="26"/>
      <c r="F1046461" s="26"/>
      <c r="G1046461" s="26"/>
      <c r="H1046461" s="26"/>
      <c r="I1046461" s="27"/>
      <c r="J1046461" s="26"/>
      <c r="K1046461" s="26"/>
      <c r="L1046461" s="4"/>
      <c r="M1046461" s="4"/>
      <c r="N1046461" s="26"/>
    </row>
    <row r="1046462" customFormat="1" spans="2:14">
      <c r="B1046462" s="26"/>
      <c r="C1046462" s="26"/>
      <c r="D1046462" s="4"/>
      <c r="E1046462" s="26"/>
      <c r="F1046462" s="26"/>
      <c r="G1046462" s="26"/>
      <c r="H1046462" s="26"/>
      <c r="I1046462" s="27"/>
      <c r="J1046462" s="26"/>
      <c r="K1046462" s="26"/>
      <c r="L1046462" s="4"/>
      <c r="M1046462" s="4"/>
      <c r="N1046462" s="26"/>
    </row>
    <row r="1046463" customFormat="1" spans="2:14">
      <c r="B1046463" s="26"/>
      <c r="C1046463" s="26"/>
      <c r="D1046463" s="4"/>
      <c r="E1046463" s="26"/>
      <c r="F1046463" s="26"/>
      <c r="G1046463" s="26"/>
      <c r="H1046463" s="26"/>
      <c r="I1046463" s="27"/>
      <c r="J1046463" s="26"/>
      <c r="K1046463" s="26"/>
      <c r="L1046463" s="4"/>
      <c r="M1046463" s="4"/>
      <c r="N1046463" s="26"/>
    </row>
    <row r="1046464" customFormat="1" spans="2:14">
      <c r="B1046464" s="26"/>
      <c r="C1046464" s="26"/>
      <c r="D1046464" s="4"/>
      <c r="E1046464" s="26"/>
      <c r="F1046464" s="26"/>
      <c r="G1046464" s="26"/>
      <c r="H1046464" s="26"/>
      <c r="I1046464" s="27"/>
      <c r="J1046464" s="26"/>
      <c r="K1046464" s="26"/>
      <c r="L1046464" s="4"/>
      <c r="M1046464" s="4"/>
      <c r="N1046464" s="26"/>
    </row>
    <row r="1046465" customFormat="1" spans="2:14">
      <c r="B1046465" s="26"/>
      <c r="C1046465" s="26"/>
      <c r="D1046465" s="4"/>
      <c r="E1046465" s="26"/>
      <c r="F1046465" s="26"/>
      <c r="G1046465" s="26"/>
      <c r="H1046465" s="26"/>
      <c r="I1046465" s="27"/>
      <c r="J1046465" s="26"/>
      <c r="K1046465" s="26"/>
      <c r="L1046465" s="4"/>
      <c r="M1046465" s="4"/>
      <c r="N1046465" s="26"/>
    </row>
    <row r="1046466" customFormat="1" spans="2:14">
      <c r="B1046466" s="26"/>
      <c r="C1046466" s="26"/>
      <c r="D1046466" s="4"/>
      <c r="E1046466" s="26"/>
      <c r="F1046466" s="26"/>
      <c r="G1046466" s="26"/>
      <c r="H1046466" s="26"/>
      <c r="I1046466" s="27"/>
      <c r="J1046466" s="26"/>
      <c r="K1046466" s="26"/>
      <c r="L1046466" s="4"/>
      <c r="M1046466" s="4"/>
      <c r="N1046466" s="26"/>
    </row>
    <row r="1046467" customFormat="1" spans="2:14">
      <c r="B1046467" s="26"/>
      <c r="C1046467" s="26"/>
      <c r="D1046467" s="4"/>
      <c r="E1046467" s="26"/>
      <c r="F1046467" s="26"/>
      <c r="G1046467" s="26"/>
      <c r="H1046467" s="26"/>
      <c r="I1046467" s="27"/>
      <c r="J1046467" s="26"/>
      <c r="K1046467" s="26"/>
      <c r="L1046467" s="4"/>
      <c r="M1046467" s="4"/>
      <c r="N1046467" s="26"/>
    </row>
    <row r="1046468" customFormat="1" spans="2:14">
      <c r="B1046468" s="26"/>
      <c r="C1046468" s="26"/>
      <c r="D1046468" s="4"/>
      <c r="E1046468" s="26"/>
      <c r="F1046468" s="26"/>
      <c r="G1046468" s="26"/>
      <c r="H1046468" s="26"/>
      <c r="I1046468" s="27"/>
      <c r="J1046468" s="26"/>
      <c r="K1046468" s="26"/>
      <c r="L1046468" s="4"/>
      <c r="M1046468" s="4"/>
      <c r="N1046468" s="26"/>
    </row>
    <row r="1046469" customFormat="1" spans="2:14">
      <c r="B1046469" s="26"/>
      <c r="C1046469" s="26"/>
      <c r="D1046469" s="4"/>
      <c r="E1046469" s="26"/>
      <c r="F1046469" s="26"/>
      <c r="G1046469" s="26"/>
      <c r="H1046469" s="26"/>
      <c r="I1046469" s="27"/>
      <c r="J1046469" s="26"/>
      <c r="K1046469" s="26"/>
      <c r="L1046469" s="4"/>
      <c r="M1046469" s="4"/>
      <c r="N1046469" s="26"/>
    </row>
    <row r="1046470" customFormat="1" spans="2:14">
      <c r="B1046470" s="26"/>
      <c r="C1046470" s="26"/>
      <c r="D1046470" s="4"/>
      <c r="E1046470" s="26"/>
      <c r="F1046470" s="26"/>
      <c r="G1046470" s="26"/>
      <c r="H1046470" s="26"/>
      <c r="I1046470" s="27"/>
      <c r="J1046470" s="26"/>
      <c r="K1046470" s="26"/>
      <c r="L1046470" s="4"/>
      <c r="M1046470" s="4"/>
      <c r="N1046470" s="26"/>
    </row>
    <row r="1046471" customFormat="1" spans="2:14">
      <c r="B1046471" s="26"/>
      <c r="C1046471" s="26"/>
      <c r="D1046471" s="4"/>
      <c r="E1046471" s="26"/>
      <c r="F1046471" s="26"/>
      <c r="G1046471" s="26"/>
      <c r="H1046471" s="26"/>
      <c r="I1046471" s="27"/>
      <c r="J1046471" s="26"/>
      <c r="K1046471" s="26"/>
      <c r="L1046471" s="4"/>
      <c r="M1046471" s="4"/>
      <c r="N1046471" s="26"/>
    </row>
    <row r="1046472" customFormat="1" spans="2:14">
      <c r="B1046472" s="26"/>
      <c r="C1046472" s="26"/>
      <c r="D1046472" s="4"/>
      <c r="E1046472" s="26"/>
      <c r="F1046472" s="26"/>
      <c r="G1046472" s="26"/>
      <c r="H1046472" s="26"/>
      <c r="I1046472" s="27"/>
      <c r="J1046472" s="26"/>
      <c r="K1046472" s="26"/>
      <c r="L1046472" s="4"/>
      <c r="M1046472" s="4"/>
      <c r="N1046472" s="26"/>
    </row>
    <row r="1046473" customFormat="1" spans="2:14">
      <c r="B1046473" s="26"/>
      <c r="C1046473" s="26"/>
      <c r="D1046473" s="4"/>
      <c r="E1046473" s="26"/>
      <c r="F1046473" s="26"/>
      <c r="G1046473" s="26"/>
      <c r="H1046473" s="26"/>
      <c r="I1046473" s="27"/>
      <c r="J1046473" s="26"/>
      <c r="K1046473" s="26"/>
      <c r="L1046473" s="4"/>
      <c r="M1046473" s="4"/>
      <c r="N1046473" s="26"/>
    </row>
    <row r="1046474" customFormat="1" spans="2:14">
      <c r="B1046474" s="26"/>
      <c r="C1046474" s="26"/>
      <c r="D1046474" s="4"/>
      <c r="E1046474" s="26"/>
      <c r="F1046474" s="26"/>
      <c r="G1046474" s="26"/>
      <c r="H1046474" s="26"/>
      <c r="I1046474" s="27"/>
      <c r="J1046474" s="26"/>
      <c r="K1046474" s="26"/>
      <c r="L1046474" s="4"/>
      <c r="M1046474" s="4"/>
      <c r="N1046474" s="26"/>
    </row>
    <row r="1046475" customFormat="1" spans="2:14">
      <c r="B1046475" s="26"/>
      <c r="C1046475" s="26"/>
      <c r="D1046475" s="4"/>
      <c r="E1046475" s="26"/>
      <c r="F1046475" s="26"/>
      <c r="G1046475" s="26"/>
      <c r="H1046475" s="26"/>
      <c r="I1046475" s="27"/>
      <c r="J1046475" s="26"/>
      <c r="K1046475" s="26"/>
      <c r="L1046475" s="4"/>
      <c r="M1046475" s="4"/>
      <c r="N1046475" s="26"/>
    </row>
    <row r="1046476" customFormat="1" spans="2:14">
      <c r="B1046476" s="26"/>
      <c r="C1046476" s="26"/>
      <c r="D1046476" s="4"/>
      <c r="E1046476" s="26"/>
      <c r="F1046476" s="26"/>
      <c r="G1046476" s="26"/>
      <c r="H1046476" s="26"/>
      <c r="I1046476" s="27"/>
      <c r="J1046476" s="26"/>
      <c r="K1046476" s="26"/>
      <c r="L1046476" s="4"/>
      <c r="M1046476" s="4"/>
      <c r="N1046476" s="26"/>
    </row>
    <row r="1046477" customFormat="1" spans="2:14">
      <c r="B1046477" s="26"/>
      <c r="C1046477" s="26"/>
      <c r="D1046477" s="4"/>
      <c r="E1046477" s="26"/>
      <c r="F1046477" s="26"/>
      <c r="G1046477" s="26"/>
      <c r="H1046477" s="26"/>
      <c r="I1046477" s="27"/>
      <c r="J1046477" s="26"/>
      <c r="K1046477" s="26"/>
      <c r="L1046477" s="4"/>
      <c r="M1046477" s="4"/>
      <c r="N1046477" s="26"/>
    </row>
    <row r="1046478" customFormat="1" spans="2:14">
      <c r="B1046478" s="26"/>
      <c r="C1046478" s="26"/>
      <c r="D1046478" s="4"/>
      <c r="E1046478" s="26"/>
      <c r="F1046478" s="26"/>
      <c r="G1046478" s="26"/>
      <c r="H1046478" s="26"/>
      <c r="I1046478" s="27"/>
      <c r="J1046478" s="26"/>
      <c r="K1046478" s="26"/>
      <c r="L1046478" s="4"/>
      <c r="M1046478" s="4"/>
      <c r="N1046478" s="26"/>
    </row>
    <row r="1046479" customFormat="1" spans="2:14">
      <c r="B1046479" s="26"/>
      <c r="C1046479" s="26"/>
      <c r="D1046479" s="4"/>
      <c r="E1046479" s="26"/>
      <c r="F1046479" s="26"/>
      <c r="G1046479" s="26"/>
      <c r="H1046479" s="26"/>
      <c r="I1046479" s="27"/>
      <c r="J1046479" s="26"/>
      <c r="K1046479" s="26"/>
      <c r="L1046479" s="4"/>
      <c r="M1046479" s="4"/>
      <c r="N1046479" s="26"/>
    </row>
    <row r="1046480" customFormat="1" spans="2:14">
      <c r="B1046480" s="26"/>
      <c r="C1046480" s="26"/>
      <c r="D1046480" s="4"/>
      <c r="E1046480" s="26"/>
      <c r="F1046480" s="26"/>
      <c r="G1046480" s="26"/>
      <c r="H1046480" s="26"/>
      <c r="I1046480" s="27"/>
      <c r="J1046480" s="26"/>
      <c r="K1046480" s="26"/>
      <c r="L1046480" s="4"/>
      <c r="M1046480" s="4"/>
      <c r="N1046480" s="26"/>
    </row>
    <row r="1046481" customFormat="1" spans="2:14">
      <c r="B1046481" s="26"/>
      <c r="C1046481" s="26"/>
      <c r="D1046481" s="4"/>
      <c r="E1046481" s="26"/>
      <c r="F1046481" s="26"/>
      <c r="G1046481" s="26"/>
      <c r="H1046481" s="26"/>
      <c r="I1046481" s="27"/>
      <c r="J1046481" s="26"/>
      <c r="K1046481" s="26"/>
      <c r="L1046481" s="4"/>
      <c r="M1046481" s="4"/>
      <c r="N1046481" s="26"/>
    </row>
    <row r="1046482" customFormat="1" spans="2:14">
      <c r="B1046482" s="26"/>
      <c r="C1046482" s="26"/>
      <c r="D1046482" s="4"/>
      <c r="E1046482" s="26"/>
      <c r="F1046482" s="26"/>
      <c r="G1046482" s="26"/>
      <c r="H1046482" s="26"/>
      <c r="I1046482" s="27"/>
      <c r="J1046482" s="26"/>
      <c r="K1046482" s="26"/>
      <c r="L1046482" s="4"/>
      <c r="M1046482" s="4"/>
      <c r="N1046482" s="26"/>
    </row>
    <row r="1046483" customFormat="1" spans="2:14">
      <c r="B1046483" s="26"/>
      <c r="C1046483" s="26"/>
      <c r="D1046483" s="4"/>
      <c r="E1046483" s="26"/>
      <c r="F1046483" s="26"/>
      <c r="G1046483" s="26"/>
      <c r="H1046483" s="26"/>
      <c r="I1046483" s="27"/>
      <c r="J1046483" s="26"/>
      <c r="K1046483" s="26"/>
      <c r="L1046483" s="4"/>
      <c r="M1046483" s="4"/>
      <c r="N1046483" s="26"/>
    </row>
    <row r="1046484" customFormat="1" spans="2:14">
      <c r="B1046484" s="26"/>
      <c r="C1046484" s="26"/>
      <c r="D1046484" s="4"/>
      <c r="E1046484" s="26"/>
      <c r="F1046484" s="26"/>
      <c r="G1046484" s="26"/>
      <c r="H1046484" s="26"/>
      <c r="I1046484" s="27"/>
      <c r="J1046484" s="26"/>
      <c r="K1046484" s="26"/>
      <c r="L1046484" s="4"/>
      <c r="M1046484" s="4"/>
      <c r="N1046484" s="26"/>
    </row>
    <row r="1046485" customFormat="1" spans="2:14">
      <c r="B1046485" s="26"/>
      <c r="C1046485" s="26"/>
      <c r="D1046485" s="4"/>
      <c r="E1046485" s="26"/>
      <c r="F1046485" s="26"/>
      <c r="G1046485" s="26"/>
      <c r="H1046485" s="26"/>
      <c r="I1046485" s="27"/>
      <c r="J1046485" s="26"/>
      <c r="K1046485" s="26"/>
      <c r="L1046485" s="4"/>
      <c r="M1046485" s="4"/>
      <c r="N1046485" s="26"/>
    </row>
    <row r="1046486" customFormat="1" spans="2:14">
      <c r="B1046486" s="26"/>
      <c r="C1046486" s="26"/>
      <c r="D1046486" s="4"/>
      <c r="E1046486" s="26"/>
      <c r="F1046486" s="26"/>
      <c r="G1046486" s="26"/>
      <c r="H1046486" s="26"/>
      <c r="I1046486" s="27"/>
      <c r="J1046486" s="26"/>
      <c r="K1046486" s="26"/>
      <c r="L1046486" s="4"/>
      <c r="M1046486" s="4"/>
      <c r="N1046486" s="26"/>
    </row>
    <row r="1046487" customFormat="1" spans="2:14">
      <c r="B1046487" s="26"/>
      <c r="C1046487" s="26"/>
      <c r="D1046487" s="4"/>
      <c r="E1046487" s="26"/>
      <c r="F1046487" s="26"/>
      <c r="G1046487" s="26"/>
      <c r="H1046487" s="26"/>
      <c r="I1046487" s="27"/>
      <c r="J1046487" s="26"/>
      <c r="K1046487" s="26"/>
      <c r="L1046487" s="4"/>
      <c r="M1046487" s="4"/>
      <c r="N1046487" s="26"/>
    </row>
    <row r="1046488" customFormat="1" spans="2:14">
      <c r="B1046488" s="26"/>
      <c r="C1046488" s="26"/>
      <c r="D1046488" s="4"/>
      <c r="E1046488" s="26"/>
      <c r="F1046488" s="26"/>
      <c r="G1046488" s="26"/>
      <c r="H1046488" s="26"/>
      <c r="I1046488" s="27"/>
      <c r="J1046488" s="26"/>
      <c r="K1046488" s="26"/>
      <c r="L1046488" s="4"/>
      <c r="M1046488" s="4"/>
      <c r="N1046488" s="26"/>
    </row>
    <row r="1046489" customFormat="1" spans="2:14">
      <c r="B1046489" s="26"/>
      <c r="C1046489" s="26"/>
      <c r="D1046489" s="4"/>
      <c r="E1046489" s="26"/>
      <c r="F1046489" s="26"/>
      <c r="G1046489" s="26"/>
      <c r="H1046489" s="26"/>
      <c r="I1046489" s="27"/>
      <c r="J1046489" s="26"/>
      <c r="K1046489" s="26"/>
      <c r="L1046489" s="4"/>
      <c r="M1046489" s="4"/>
      <c r="N1046489" s="26"/>
    </row>
    <row r="1046490" customFormat="1" spans="2:14">
      <c r="B1046490" s="26"/>
      <c r="C1046490" s="26"/>
      <c r="D1046490" s="4"/>
      <c r="E1046490" s="26"/>
      <c r="F1046490" s="26"/>
      <c r="G1046490" s="26"/>
      <c r="H1046490" s="26"/>
      <c r="I1046490" s="27"/>
      <c r="J1046490" s="26"/>
      <c r="K1046490" s="26"/>
      <c r="L1046490" s="4"/>
      <c r="M1046490" s="4"/>
      <c r="N1046490" s="26"/>
    </row>
    <row r="1046491" customFormat="1" spans="2:14">
      <c r="B1046491" s="26"/>
      <c r="C1046491" s="26"/>
      <c r="D1046491" s="4"/>
      <c r="E1046491" s="26"/>
      <c r="F1046491" s="26"/>
      <c r="G1046491" s="26"/>
      <c r="H1046491" s="26"/>
      <c r="I1046491" s="27"/>
      <c r="J1046491" s="26"/>
      <c r="K1046491" s="26"/>
      <c r="L1046491" s="4"/>
      <c r="M1046491" s="4"/>
      <c r="N1046491" s="26"/>
    </row>
    <row r="1046492" customFormat="1" spans="2:14">
      <c r="B1046492" s="26"/>
      <c r="C1046492" s="26"/>
      <c r="D1046492" s="4"/>
      <c r="E1046492" s="26"/>
      <c r="F1046492" s="26"/>
      <c r="G1046492" s="26"/>
      <c r="H1046492" s="26"/>
      <c r="I1046492" s="27"/>
      <c r="J1046492" s="26"/>
      <c r="K1046492" s="26"/>
      <c r="L1046492" s="4"/>
      <c r="M1046492" s="4"/>
      <c r="N1046492" s="26"/>
    </row>
    <row r="1046493" customFormat="1" spans="2:14">
      <c r="B1046493" s="26"/>
      <c r="C1046493" s="26"/>
      <c r="D1046493" s="4"/>
      <c r="E1046493" s="26"/>
      <c r="F1046493" s="26"/>
      <c r="G1046493" s="26"/>
      <c r="H1046493" s="26"/>
      <c r="I1046493" s="27"/>
      <c r="J1046493" s="26"/>
      <c r="K1046493" s="26"/>
      <c r="L1046493" s="4"/>
      <c r="M1046493" s="4"/>
      <c r="N1046493" s="26"/>
    </row>
    <row r="1046494" customFormat="1" spans="2:14">
      <c r="B1046494" s="26"/>
      <c r="C1046494" s="26"/>
      <c r="D1046494" s="4"/>
      <c r="E1046494" s="26"/>
      <c r="F1046494" s="26"/>
      <c r="G1046494" s="26"/>
      <c r="H1046494" s="26"/>
      <c r="I1046494" s="27"/>
      <c r="J1046494" s="26"/>
      <c r="K1046494" s="26"/>
      <c r="L1046494" s="4"/>
      <c r="M1046494" s="4"/>
      <c r="N1046494" s="26"/>
    </row>
    <row r="1046495" customFormat="1" spans="2:14">
      <c r="B1046495" s="26"/>
      <c r="C1046495" s="26"/>
      <c r="D1046495" s="4"/>
      <c r="E1046495" s="26"/>
      <c r="F1046495" s="26"/>
      <c r="G1046495" s="26"/>
      <c r="H1046495" s="26"/>
      <c r="I1046495" s="27"/>
      <c r="J1046495" s="26"/>
      <c r="K1046495" s="26"/>
      <c r="L1046495" s="4"/>
      <c r="M1046495" s="4"/>
      <c r="N1046495" s="26"/>
    </row>
    <row r="1046496" customFormat="1" spans="2:14">
      <c r="B1046496" s="26"/>
      <c r="C1046496" s="26"/>
      <c r="D1046496" s="4"/>
      <c r="E1046496" s="26"/>
      <c r="F1046496" s="26"/>
      <c r="G1046496" s="26"/>
      <c r="H1046496" s="26"/>
      <c r="I1046496" s="27"/>
      <c r="J1046496" s="26"/>
      <c r="K1046496" s="26"/>
      <c r="L1046496" s="4"/>
      <c r="M1046496" s="4"/>
      <c r="N1046496" s="26"/>
    </row>
    <row r="1046497" customFormat="1" spans="2:14">
      <c r="B1046497" s="26"/>
      <c r="C1046497" s="26"/>
      <c r="D1046497" s="4"/>
      <c r="E1046497" s="26"/>
      <c r="F1046497" s="26"/>
      <c r="G1046497" s="26"/>
      <c r="H1046497" s="26"/>
      <c r="I1046497" s="27"/>
      <c r="J1046497" s="26"/>
      <c r="K1046497" s="26"/>
      <c r="L1046497" s="4"/>
      <c r="M1046497" s="4"/>
      <c r="N1046497" s="26"/>
    </row>
    <row r="1046498" customFormat="1" spans="2:14">
      <c r="B1046498" s="26"/>
      <c r="C1046498" s="26"/>
      <c r="D1046498" s="4"/>
      <c r="E1046498" s="26"/>
      <c r="F1046498" s="26"/>
      <c r="G1046498" s="26"/>
      <c r="H1046498" s="26"/>
      <c r="I1046498" s="27"/>
      <c r="J1046498" s="26"/>
      <c r="K1046498" s="26"/>
      <c r="L1046498" s="4"/>
      <c r="M1046498" s="4"/>
      <c r="N1046498" s="26"/>
    </row>
    <row r="1046499" customFormat="1" spans="2:14">
      <c r="B1046499" s="26"/>
      <c r="C1046499" s="26"/>
      <c r="D1046499" s="4"/>
      <c r="E1046499" s="26"/>
      <c r="F1046499" s="26"/>
      <c r="G1046499" s="26"/>
      <c r="H1046499" s="26"/>
      <c r="I1046499" s="27"/>
      <c r="J1046499" s="26"/>
      <c r="K1046499" s="26"/>
      <c r="L1046499" s="4"/>
      <c r="M1046499" s="4"/>
      <c r="N1046499" s="26"/>
    </row>
    <row r="1046500" customFormat="1" spans="2:14">
      <c r="B1046500" s="26"/>
      <c r="C1046500" s="26"/>
      <c r="D1046500" s="4"/>
      <c r="E1046500" s="26"/>
      <c r="F1046500" s="26"/>
      <c r="G1046500" s="26"/>
      <c r="H1046500" s="26"/>
      <c r="I1046500" s="27"/>
      <c r="J1046500" s="26"/>
      <c r="K1046500" s="26"/>
      <c r="L1046500" s="4"/>
      <c r="M1046500" s="4"/>
      <c r="N1046500" s="26"/>
    </row>
    <row r="1046501" customFormat="1" spans="2:14">
      <c r="B1046501" s="26"/>
      <c r="C1046501" s="26"/>
      <c r="D1046501" s="4"/>
      <c r="E1046501" s="26"/>
      <c r="F1046501" s="26"/>
      <c r="G1046501" s="26"/>
      <c r="H1046501" s="26"/>
      <c r="I1046501" s="27"/>
      <c r="J1046501" s="26"/>
      <c r="K1046501" s="26"/>
      <c r="L1046501" s="4"/>
      <c r="M1046501" s="4"/>
      <c r="N1046501" s="26"/>
    </row>
    <row r="1046502" customFormat="1" spans="2:14">
      <c r="B1046502" s="26"/>
      <c r="C1046502" s="26"/>
      <c r="D1046502" s="4"/>
      <c r="E1046502" s="26"/>
      <c r="F1046502" s="26"/>
      <c r="G1046502" s="26"/>
      <c r="H1046502" s="26"/>
      <c r="I1046502" s="27"/>
      <c r="J1046502" s="26"/>
      <c r="K1046502" s="26"/>
      <c r="L1046502" s="4"/>
      <c r="M1046502" s="4"/>
      <c r="N1046502" s="26"/>
    </row>
    <row r="1046503" customFormat="1" spans="2:14">
      <c r="B1046503" s="26"/>
      <c r="C1046503" s="26"/>
      <c r="D1046503" s="4"/>
      <c r="E1046503" s="26"/>
      <c r="F1046503" s="26"/>
      <c r="G1046503" s="26"/>
      <c r="H1046503" s="26"/>
      <c r="I1046503" s="27"/>
      <c r="J1046503" s="26"/>
      <c r="K1046503" s="26"/>
      <c r="L1046503" s="4"/>
      <c r="M1046503" s="4"/>
      <c r="N1046503" s="26"/>
    </row>
    <row r="1046504" customFormat="1" spans="2:14">
      <c r="B1046504" s="26"/>
      <c r="C1046504" s="26"/>
      <c r="D1046504" s="4"/>
      <c r="E1046504" s="26"/>
      <c r="F1046504" s="26"/>
      <c r="G1046504" s="26"/>
      <c r="H1046504" s="26"/>
      <c r="I1046504" s="27"/>
      <c r="J1046504" s="26"/>
      <c r="K1046504" s="26"/>
      <c r="L1046504" s="4"/>
      <c r="M1046504" s="4"/>
      <c r="N1046504" s="26"/>
    </row>
    <row r="1046505" customFormat="1" spans="2:14">
      <c r="B1046505" s="26"/>
      <c r="C1046505" s="26"/>
      <c r="D1046505" s="4"/>
      <c r="E1046505" s="26"/>
      <c r="F1046505" s="26"/>
      <c r="G1046505" s="26"/>
      <c r="H1046505" s="26"/>
      <c r="I1046505" s="27"/>
      <c r="J1046505" s="26"/>
      <c r="K1046505" s="26"/>
      <c r="L1046505" s="4"/>
      <c r="M1046505" s="4"/>
      <c r="N1046505" s="26"/>
    </row>
    <row r="1046506" customFormat="1" spans="2:14">
      <c r="B1046506" s="26"/>
      <c r="C1046506" s="26"/>
      <c r="D1046506" s="4"/>
      <c r="E1046506" s="26"/>
      <c r="F1046506" s="26"/>
      <c r="G1046506" s="26"/>
      <c r="H1046506" s="26"/>
      <c r="I1046506" s="27"/>
      <c r="J1046506" s="26"/>
      <c r="K1046506" s="26"/>
      <c r="L1046506" s="4"/>
      <c r="M1046506" s="4"/>
      <c r="N1046506" s="26"/>
    </row>
    <row r="1046507" customFormat="1" spans="2:14">
      <c r="B1046507" s="26"/>
      <c r="C1046507" s="26"/>
      <c r="D1046507" s="4"/>
      <c r="E1046507" s="26"/>
      <c r="F1046507" s="26"/>
      <c r="G1046507" s="26"/>
      <c r="H1046507" s="26"/>
      <c r="I1046507" s="27"/>
      <c r="J1046507" s="26"/>
      <c r="K1046507" s="26"/>
      <c r="L1046507" s="4"/>
      <c r="M1046507" s="4"/>
      <c r="N1046507" s="26"/>
    </row>
    <row r="1046508" customFormat="1" spans="2:14">
      <c r="B1046508" s="26"/>
      <c r="C1046508" s="26"/>
      <c r="D1046508" s="4"/>
      <c r="E1046508" s="26"/>
      <c r="F1046508" s="26"/>
      <c r="G1046508" s="26"/>
      <c r="H1046508" s="26"/>
      <c r="I1046508" s="27"/>
      <c r="J1046508" s="26"/>
      <c r="K1046508" s="26"/>
      <c r="L1046508" s="4"/>
      <c r="M1046508" s="4"/>
      <c r="N1046508" s="26"/>
    </row>
    <row r="1046509" customFormat="1" spans="2:14">
      <c r="B1046509" s="26"/>
      <c r="C1046509" s="26"/>
      <c r="D1046509" s="4"/>
      <c r="E1046509" s="26"/>
      <c r="F1046509" s="26"/>
      <c r="G1046509" s="26"/>
      <c r="H1046509" s="26"/>
      <c r="I1046509" s="27"/>
      <c r="J1046509" s="26"/>
      <c r="K1046509" s="26"/>
      <c r="L1046509" s="4"/>
      <c r="M1046509" s="4"/>
      <c r="N1046509" s="26"/>
    </row>
    <row r="1046510" customFormat="1" spans="2:14">
      <c r="B1046510" s="26"/>
      <c r="C1046510" s="26"/>
      <c r="D1046510" s="4"/>
      <c r="E1046510" s="26"/>
      <c r="F1046510" s="26"/>
      <c r="G1046510" s="26"/>
      <c r="H1046510" s="26"/>
      <c r="I1046510" s="27"/>
      <c r="J1046510" s="26"/>
      <c r="K1046510" s="26"/>
      <c r="L1046510" s="4"/>
      <c r="M1046510" s="4"/>
      <c r="N1046510" s="26"/>
    </row>
    <row r="1046511" customFormat="1" spans="2:14">
      <c r="B1046511" s="26"/>
      <c r="C1046511" s="26"/>
      <c r="D1046511" s="4"/>
      <c r="E1046511" s="26"/>
      <c r="F1046511" s="26"/>
      <c r="G1046511" s="26"/>
      <c r="H1046511" s="26"/>
      <c r="I1046511" s="27"/>
      <c r="J1046511" s="26"/>
      <c r="K1046511" s="26"/>
      <c r="L1046511" s="4"/>
      <c r="M1046511" s="4"/>
      <c r="N1046511" s="26"/>
    </row>
    <row r="1046512" customFormat="1" spans="2:14">
      <c r="B1046512" s="26"/>
      <c r="C1046512" s="26"/>
      <c r="D1046512" s="4"/>
      <c r="E1046512" s="26"/>
      <c r="F1046512" s="26"/>
      <c r="G1046512" s="26"/>
      <c r="H1046512" s="26"/>
      <c r="I1046512" s="27"/>
      <c r="J1046512" s="26"/>
      <c r="K1046512" s="26"/>
      <c r="L1046512" s="4"/>
      <c r="M1046512" s="4"/>
      <c r="N1046512" s="26"/>
    </row>
    <row r="1046513" customFormat="1" spans="2:14">
      <c r="B1046513" s="26"/>
      <c r="C1046513" s="26"/>
      <c r="D1046513" s="4"/>
      <c r="E1046513" s="26"/>
      <c r="F1046513" s="26"/>
      <c r="G1046513" s="26"/>
      <c r="H1046513" s="26"/>
      <c r="I1046513" s="27"/>
      <c r="J1046513" s="26"/>
      <c r="K1046513" s="26"/>
      <c r="L1046513" s="4"/>
      <c r="M1046513" s="4"/>
      <c r="N1046513" s="26"/>
    </row>
    <row r="1046514" customFormat="1" spans="2:14">
      <c r="B1046514" s="26"/>
      <c r="C1046514" s="26"/>
      <c r="D1046514" s="4"/>
      <c r="E1046514" s="26"/>
      <c r="F1046514" s="26"/>
      <c r="G1046514" s="26"/>
      <c r="H1046514" s="26"/>
      <c r="I1046514" s="27"/>
      <c r="J1046514" s="26"/>
      <c r="K1046514" s="26"/>
      <c r="L1046514" s="4"/>
      <c r="M1046514" s="4"/>
      <c r="N1046514" s="26"/>
    </row>
    <row r="1046515" customFormat="1" spans="2:14">
      <c r="B1046515" s="26"/>
      <c r="C1046515" s="26"/>
      <c r="D1046515" s="4"/>
      <c r="E1046515" s="26"/>
      <c r="F1046515" s="26"/>
      <c r="G1046515" s="26"/>
      <c r="H1046515" s="26"/>
      <c r="I1046515" s="27"/>
      <c r="J1046515" s="26"/>
      <c r="K1046515" s="26"/>
      <c r="L1046515" s="4"/>
      <c r="M1046515" s="4"/>
      <c r="N1046515" s="26"/>
    </row>
    <row r="1046516" customFormat="1" spans="2:14">
      <c r="B1046516" s="26"/>
      <c r="C1046516" s="26"/>
      <c r="D1046516" s="4"/>
      <c r="E1046516" s="26"/>
      <c r="F1046516" s="26"/>
      <c r="G1046516" s="26"/>
      <c r="H1046516" s="26"/>
      <c r="I1046516" s="27"/>
      <c r="J1046516" s="26"/>
      <c r="K1046516" s="26"/>
      <c r="L1046516" s="4"/>
      <c r="M1046516" s="4"/>
      <c r="N1046516" s="26"/>
    </row>
    <row r="1046517" customFormat="1" spans="2:14">
      <c r="B1046517" s="26"/>
      <c r="C1046517" s="26"/>
      <c r="D1046517" s="4"/>
      <c r="E1046517" s="26"/>
      <c r="F1046517" s="26"/>
      <c r="G1046517" s="26"/>
      <c r="H1046517" s="26"/>
      <c r="I1046517" s="27"/>
      <c r="J1046517" s="26"/>
      <c r="K1046517" s="26"/>
      <c r="L1046517" s="4"/>
      <c r="M1046517" s="4"/>
      <c r="N1046517" s="26"/>
    </row>
    <row r="1046518" customFormat="1" spans="2:14">
      <c r="B1046518" s="26"/>
      <c r="C1046518" s="26"/>
      <c r="D1046518" s="4"/>
      <c r="E1046518" s="26"/>
      <c r="F1046518" s="26"/>
      <c r="G1046518" s="26"/>
      <c r="H1046518" s="26"/>
      <c r="I1046518" s="27"/>
      <c r="J1046518" s="26"/>
      <c r="K1046518" s="26"/>
      <c r="L1046518" s="4"/>
      <c r="M1046518" s="4"/>
      <c r="N1046518" s="26"/>
    </row>
    <row r="1046519" customFormat="1" spans="2:14">
      <c r="B1046519" s="26"/>
      <c r="C1046519" s="26"/>
      <c r="D1046519" s="4"/>
      <c r="E1046519" s="26"/>
      <c r="F1046519" s="26"/>
      <c r="G1046519" s="26"/>
      <c r="H1046519" s="26"/>
      <c r="I1046519" s="27"/>
      <c r="J1046519" s="26"/>
      <c r="K1046519" s="26"/>
      <c r="L1046519" s="4"/>
      <c r="M1046519" s="4"/>
      <c r="N1046519" s="26"/>
    </row>
    <row r="1046520" customFormat="1" spans="2:14">
      <c r="B1046520" s="26"/>
      <c r="C1046520" s="26"/>
      <c r="D1046520" s="4"/>
      <c r="E1046520" s="26"/>
      <c r="F1046520" s="26"/>
      <c r="G1046520" s="26"/>
      <c r="H1046520" s="26"/>
      <c r="I1046520" s="27"/>
      <c r="J1046520" s="26"/>
      <c r="K1046520" s="26"/>
      <c r="L1046520" s="4"/>
      <c r="M1046520" s="4"/>
      <c r="N1046520" s="26"/>
    </row>
    <row r="1046521" customFormat="1" spans="2:14">
      <c r="B1046521" s="26"/>
      <c r="C1046521" s="26"/>
      <c r="D1046521" s="4"/>
      <c r="E1046521" s="26"/>
      <c r="F1046521" s="26"/>
      <c r="G1046521" s="26"/>
      <c r="H1046521" s="26"/>
      <c r="I1046521" s="27"/>
      <c r="J1046521" s="26"/>
      <c r="K1046521" s="26"/>
      <c r="L1046521" s="4"/>
      <c r="M1046521" s="4"/>
      <c r="N1046521" s="26"/>
    </row>
    <row r="1046522" customFormat="1" spans="2:14">
      <c r="B1046522" s="26"/>
      <c r="C1046522" s="26"/>
      <c r="D1046522" s="4"/>
      <c r="E1046522" s="26"/>
      <c r="F1046522" s="26"/>
      <c r="G1046522" s="26"/>
      <c r="H1046522" s="26"/>
      <c r="I1046522" s="27"/>
      <c r="J1046522" s="26"/>
      <c r="K1046522" s="26"/>
      <c r="L1046522" s="4"/>
      <c r="M1046522" s="4"/>
      <c r="N1046522" s="26"/>
    </row>
    <row r="1046523" customFormat="1" spans="2:14">
      <c r="B1046523" s="26"/>
      <c r="C1046523" s="26"/>
      <c r="D1046523" s="4"/>
      <c r="E1046523" s="26"/>
      <c r="F1046523" s="26"/>
      <c r="G1046523" s="26"/>
      <c r="H1046523" s="26"/>
      <c r="I1046523" s="27"/>
      <c r="J1046523" s="26"/>
      <c r="K1046523" s="26"/>
      <c r="L1046523" s="4"/>
      <c r="M1046523" s="4"/>
      <c r="N1046523" s="26"/>
    </row>
    <row r="1046524" customFormat="1" spans="2:14">
      <c r="B1046524" s="26"/>
      <c r="C1046524" s="26"/>
      <c r="D1046524" s="4"/>
      <c r="E1046524" s="26"/>
      <c r="F1046524" s="26"/>
      <c r="G1046524" s="26"/>
      <c r="H1046524" s="26"/>
      <c r="I1046524" s="27"/>
      <c r="J1046524" s="26"/>
      <c r="K1046524" s="26"/>
      <c r="L1046524" s="4"/>
      <c r="M1046524" s="4"/>
      <c r="N1046524" s="26"/>
    </row>
    <row r="1046525" customFormat="1" spans="2:14">
      <c r="B1046525" s="26"/>
      <c r="C1046525" s="26"/>
      <c r="D1046525" s="4"/>
      <c r="E1046525" s="26"/>
      <c r="F1046525" s="26"/>
      <c r="G1046525" s="26"/>
      <c r="H1046525" s="26"/>
      <c r="I1046525" s="27"/>
      <c r="J1046525" s="26"/>
      <c r="K1046525" s="26"/>
      <c r="L1046525" s="4"/>
      <c r="M1046525" s="4"/>
      <c r="N1046525" s="26"/>
    </row>
    <row r="1046526" customFormat="1" spans="2:14">
      <c r="B1046526" s="26"/>
      <c r="C1046526" s="26"/>
      <c r="D1046526" s="4"/>
      <c r="E1046526" s="26"/>
      <c r="F1046526" s="26"/>
      <c r="G1046526" s="26"/>
      <c r="H1046526" s="26"/>
      <c r="I1046526" s="27"/>
      <c r="J1046526" s="26"/>
      <c r="K1046526" s="26"/>
      <c r="L1046526" s="4"/>
      <c r="M1046526" s="4"/>
      <c r="N1046526" s="26"/>
    </row>
    <row r="1046527" customFormat="1" spans="2:14">
      <c r="B1046527" s="26"/>
      <c r="C1046527" s="26"/>
      <c r="D1046527" s="4"/>
      <c r="E1046527" s="26"/>
      <c r="F1046527" s="26"/>
      <c r="G1046527" s="26"/>
      <c r="H1046527" s="26"/>
      <c r="I1046527" s="27"/>
      <c r="J1046527" s="26"/>
      <c r="K1046527" s="26"/>
      <c r="L1046527" s="4"/>
      <c r="M1046527" s="4"/>
      <c r="N1046527" s="26"/>
    </row>
    <row r="1046528" customFormat="1" spans="2:14">
      <c r="B1046528" s="26"/>
      <c r="C1046528" s="26"/>
      <c r="D1046528" s="4"/>
      <c r="E1046528" s="26"/>
      <c r="F1046528" s="26"/>
      <c r="G1046528" s="26"/>
      <c r="H1046528" s="26"/>
      <c r="I1046528" s="27"/>
      <c r="J1046528" s="26"/>
      <c r="K1046528" s="26"/>
      <c r="L1046528" s="4"/>
      <c r="M1046528" s="4"/>
      <c r="N1046528" s="26"/>
    </row>
    <row r="1046529" customFormat="1" spans="2:14">
      <c r="B1046529" s="26"/>
      <c r="C1046529" s="26"/>
      <c r="D1046529" s="4"/>
      <c r="E1046529" s="26"/>
      <c r="F1046529" s="26"/>
      <c r="G1046529" s="26"/>
      <c r="H1046529" s="26"/>
      <c r="I1046529" s="27"/>
      <c r="J1046529" s="26"/>
      <c r="K1046529" s="26"/>
      <c r="L1046529" s="4"/>
      <c r="M1046529" s="4"/>
      <c r="N1046529" s="26"/>
    </row>
    <row r="1046530" customFormat="1" spans="2:14">
      <c r="B1046530" s="26"/>
      <c r="C1046530" s="26"/>
      <c r="D1046530" s="4"/>
      <c r="E1046530" s="26"/>
      <c r="F1046530" s="26"/>
      <c r="G1046530" s="26"/>
      <c r="H1046530" s="26"/>
      <c r="I1046530" s="27"/>
      <c r="J1046530" s="26"/>
      <c r="K1046530" s="26"/>
      <c r="L1046530" s="4"/>
      <c r="M1046530" s="4"/>
      <c r="N1046530" s="26"/>
    </row>
    <row r="1046531" customFormat="1" spans="2:14">
      <c r="B1046531" s="26"/>
      <c r="C1046531" s="26"/>
      <c r="D1046531" s="4"/>
      <c r="E1046531" s="26"/>
      <c r="F1046531" s="26"/>
      <c r="G1046531" s="26"/>
      <c r="H1046531" s="26"/>
      <c r="I1046531" s="27"/>
      <c r="J1046531" s="26"/>
      <c r="K1046531" s="26"/>
      <c r="L1046531" s="4"/>
      <c r="M1046531" s="4"/>
      <c r="N1046531" s="26"/>
    </row>
    <row r="1046532" customFormat="1" spans="2:14">
      <c r="B1046532" s="26"/>
      <c r="C1046532" s="26"/>
      <c r="D1046532" s="4"/>
      <c r="E1046532" s="26"/>
      <c r="F1046532" s="26"/>
      <c r="G1046532" s="26"/>
      <c r="H1046532" s="26"/>
      <c r="I1046532" s="27"/>
      <c r="J1046532" s="26"/>
      <c r="K1046532" s="26"/>
      <c r="L1046532" s="4"/>
      <c r="M1046532" s="4"/>
      <c r="N1046532" s="26"/>
    </row>
    <row r="1046533" customFormat="1" spans="2:14">
      <c r="B1046533" s="26"/>
      <c r="C1046533" s="26"/>
      <c r="D1046533" s="4"/>
      <c r="E1046533" s="26"/>
      <c r="F1046533" s="26"/>
      <c r="G1046533" s="26"/>
      <c r="H1046533" s="26"/>
      <c r="I1046533" s="27"/>
      <c r="J1046533" s="26"/>
      <c r="K1046533" s="26"/>
      <c r="L1046533" s="4"/>
      <c r="M1046533" s="4"/>
      <c r="N1046533" s="26"/>
    </row>
    <row r="1046534" customFormat="1" spans="2:14">
      <c r="B1046534" s="26"/>
      <c r="C1046534" s="26"/>
      <c r="D1046534" s="4"/>
      <c r="E1046534" s="26"/>
      <c r="F1046534" s="26"/>
      <c r="G1046534" s="26"/>
      <c r="H1046534" s="26"/>
      <c r="I1046534" s="27"/>
      <c r="J1046534" s="26"/>
      <c r="K1046534" s="26"/>
      <c r="L1046534" s="4"/>
      <c r="M1046534" s="4"/>
      <c r="N1046534" s="26"/>
    </row>
    <row r="1046535" customFormat="1" spans="2:14">
      <c r="B1046535" s="26"/>
      <c r="C1046535" s="26"/>
      <c r="D1046535" s="4"/>
      <c r="E1046535" s="26"/>
      <c r="F1046535" s="26"/>
      <c r="G1046535" s="26"/>
      <c r="H1046535" s="26"/>
      <c r="I1046535" s="27"/>
      <c r="J1046535" s="26"/>
      <c r="K1046535" s="26"/>
      <c r="L1046535" s="4"/>
      <c r="M1046535" s="4"/>
      <c r="N1046535" s="26"/>
    </row>
    <row r="1046536" customFormat="1" spans="2:14">
      <c r="B1046536" s="26"/>
      <c r="C1046536" s="26"/>
      <c r="D1046536" s="4"/>
      <c r="E1046536" s="26"/>
      <c r="F1046536" s="26"/>
      <c r="G1046536" s="26"/>
      <c r="H1046536" s="26"/>
      <c r="I1046536" s="27"/>
      <c r="J1046536" s="26"/>
      <c r="K1046536" s="26"/>
      <c r="L1046536" s="4"/>
      <c r="M1046536" s="4"/>
      <c r="N1046536" s="26"/>
    </row>
    <row r="1046537" customFormat="1" spans="2:14">
      <c r="B1046537" s="26"/>
      <c r="C1046537" s="26"/>
      <c r="D1046537" s="4"/>
      <c r="E1046537" s="26"/>
      <c r="F1046537" s="26"/>
      <c r="G1046537" s="26"/>
      <c r="H1046537" s="26"/>
      <c r="I1046537" s="27"/>
      <c r="J1046537" s="26"/>
      <c r="K1046537" s="26"/>
      <c r="L1046537" s="4"/>
      <c r="M1046537" s="4"/>
      <c r="N1046537" s="26"/>
    </row>
    <row r="1046538" customFormat="1" spans="2:14">
      <c r="B1046538" s="26"/>
      <c r="C1046538" s="26"/>
      <c r="D1046538" s="4"/>
      <c r="E1046538" s="26"/>
      <c r="F1046538" s="26"/>
      <c r="G1046538" s="26"/>
      <c r="H1046538" s="26"/>
      <c r="I1046538" s="27"/>
      <c r="J1046538" s="26"/>
      <c r="K1046538" s="26"/>
      <c r="L1046538" s="4"/>
      <c r="M1046538" s="4"/>
      <c r="N1046538" s="26"/>
    </row>
    <row r="1046539" customFormat="1" spans="2:14">
      <c r="B1046539" s="26"/>
      <c r="C1046539" s="26"/>
      <c r="D1046539" s="4"/>
      <c r="E1046539" s="26"/>
      <c r="F1046539" s="26"/>
      <c r="G1046539" s="26"/>
      <c r="H1046539" s="26"/>
      <c r="I1046539" s="27"/>
      <c r="J1046539" s="26"/>
      <c r="K1046539" s="26"/>
      <c r="L1046539" s="4"/>
      <c r="M1046539" s="4"/>
      <c r="N1046539" s="26"/>
    </row>
    <row r="1046540" customFormat="1" spans="2:14">
      <c r="B1046540" s="26"/>
      <c r="C1046540" s="26"/>
      <c r="D1046540" s="4"/>
      <c r="E1046540" s="26"/>
      <c r="F1046540" s="26"/>
      <c r="G1046540" s="26"/>
      <c r="H1046540" s="26"/>
      <c r="I1046540" s="27"/>
      <c r="J1046540" s="26"/>
      <c r="K1046540" s="26"/>
      <c r="L1046540" s="4"/>
      <c r="M1046540" s="4"/>
      <c r="N1046540" s="26"/>
    </row>
    <row r="1046541" customFormat="1" spans="2:14">
      <c r="B1046541" s="26"/>
      <c r="C1046541" s="26"/>
      <c r="D1046541" s="4"/>
      <c r="E1046541" s="26"/>
      <c r="F1046541" s="26"/>
      <c r="G1046541" s="26"/>
      <c r="H1046541" s="26"/>
      <c r="I1046541" s="27"/>
      <c r="J1046541" s="26"/>
      <c r="K1046541" s="26"/>
      <c r="L1046541" s="4"/>
      <c r="M1046541" s="4"/>
      <c r="N1046541" s="26"/>
    </row>
    <row r="1046542" customFormat="1" spans="2:14">
      <c r="B1046542" s="26"/>
      <c r="C1046542" s="26"/>
      <c r="D1046542" s="4"/>
      <c r="E1046542" s="26"/>
      <c r="F1046542" s="26"/>
      <c r="G1046542" s="26"/>
      <c r="H1046542" s="26"/>
      <c r="I1046542" s="27"/>
      <c r="J1046542" s="26"/>
      <c r="K1046542" s="26"/>
      <c r="L1046542" s="4"/>
      <c r="M1046542" s="4"/>
      <c r="N1046542" s="26"/>
    </row>
    <row r="1046543" customFormat="1" spans="2:14">
      <c r="B1046543" s="26"/>
      <c r="C1046543" s="26"/>
      <c r="D1046543" s="4"/>
      <c r="E1046543" s="26"/>
      <c r="F1046543" s="26"/>
      <c r="G1046543" s="26"/>
      <c r="H1046543" s="26"/>
      <c r="I1046543" s="27"/>
      <c r="J1046543" s="26"/>
      <c r="K1046543" s="26"/>
      <c r="L1046543" s="4"/>
      <c r="M1046543" s="4"/>
      <c r="N1046543" s="26"/>
    </row>
    <row r="1046544" customFormat="1" spans="2:14">
      <c r="B1046544" s="26"/>
      <c r="C1046544" s="26"/>
      <c r="D1046544" s="4"/>
      <c r="E1046544" s="26"/>
      <c r="F1046544" s="26"/>
      <c r="G1046544" s="26"/>
      <c r="H1046544" s="26"/>
      <c r="I1046544" s="27"/>
      <c r="J1046544" s="26"/>
      <c r="K1046544" s="26"/>
      <c r="L1046544" s="4"/>
      <c r="M1046544" s="4"/>
      <c r="N1046544" s="26"/>
    </row>
    <row r="1046545" customFormat="1" spans="2:14">
      <c r="B1046545" s="26"/>
      <c r="C1046545" s="26"/>
      <c r="D1046545" s="4"/>
      <c r="E1046545" s="26"/>
      <c r="F1046545" s="26"/>
      <c r="G1046545" s="26"/>
      <c r="H1046545" s="26"/>
      <c r="I1046545" s="27"/>
      <c r="J1046545" s="26"/>
      <c r="K1046545" s="26"/>
      <c r="L1046545" s="4"/>
      <c r="M1046545" s="4"/>
      <c r="N1046545" s="26"/>
    </row>
    <row r="1046546" customFormat="1" spans="2:14">
      <c r="B1046546" s="26"/>
      <c r="C1046546" s="26"/>
      <c r="D1046546" s="4"/>
      <c r="E1046546" s="26"/>
      <c r="F1046546" s="26"/>
      <c r="G1046546" s="26"/>
      <c r="H1046546" s="26"/>
      <c r="I1046546" s="27"/>
      <c r="J1046546" s="26"/>
      <c r="K1046546" s="26"/>
      <c r="L1046546" s="4"/>
      <c r="M1046546" s="4"/>
      <c r="N1046546" s="26"/>
    </row>
    <row r="1046547" customFormat="1" spans="2:14">
      <c r="B1046547" s="26"/>
      <c r="C1046547" s="26"/>
      <c r="D1046547" s="4"/>
      <c r="E1046547" s="26"/>
      <c r="F1046547" s="26"/>
      <c r="G1046547" s="26"/>
      <c r="H1046547" s="26"/>
      <c r="I1046547" s="27"/>
      <c r="J1046547" s="26"/>
      <c r="K1046547" s="26"/>
      <c r="L1046547" s="4"/>
      <c r="M1046547" s="4"/>
      <c r="N1046547" s="26"/>
    </row>
    <row r="1046548" customFormat="1" spans="2:14">
      <c r="B1046548" s="26"/>
      <c r="C1046548" s="26"/>
      <c r="D1046548" s="4"/>
      <c r="E1046548" s="26"/>
      <c r="F1046548" s="26"/>
      <c r="G1046548" s="26"/>
      <c r="H1046548" s="26"/>
      <c r="I1046548" s="27"/>
      <c r="J1046548" s="26"/>
      <c r="K1046548" s="26"/>
      <c r="L1046548" s="4"/>
      <c r="M1046548" s="4"/>
      <c r="N1046548" s="26"/>
    </row>
    <row r="1046549" customFormat="1" spans="2:14">
      <c r="B1046549" s="26"/>
      <c r="C1046549" s="26"/>
      <c r="D1046549" s="4"/>
      <c r="E1046549" s="26"/>
      <c r="F1046549" s="26"/>
      <c r="G1046549" s="26"/>
      <c r="H1046549" s="26"/>
      <c r="I1046549" s="27"/>
      <c r="J1046549" s="26"/>
      <c r="K1046549" s="26"/>
      <c r="L1046549" s="4"/>
      <c r="M1046549" s="4"/>
      <c r="N1046549" s="26"/>
    </row>
    <row r="1046550" customFormat="1" spans="2:14">
      <c r="B1046550" s="26"/>
      <c r="C1046550" s="26"/>
      <c r="D1046550" s="4"/>
      <c r="E1046550" s="26"/>
      <c r="F1046550" s="26"/>
      <c r="G1046550" s="26"/>
      <c r="H1046550" s="26"/>
      <c r="I1046550" s="27"/>
      <c r="J1046550" s="26"/>
      <c r="K1046550" s="26"/>
      <c r="L1046550" s="4"/>
      <c r="M1046550" s="4"/>
      <c r="N1046550" s="26"/>
    </row>
    <row r="1046551" customFormat="1" spans="2:14">
      <c r="B1046551" s="26"/>
      <c r="C1046551" s="26"/>
      <c r="D1046551" s="4"/>
      <c r="E1046551" s="26"/>
      <c r="F1046551" s="26"/>
      <c r="G1046551" s="26"/>
      <c r="H1046551" s="26"/>
      <c r="I1046551" s="27"/>
      <c r="J1046551" s="26"/>
      <c r="K1046551" s="26"/>
      <c r="L1046551" s="4"/>
      <c r="M1046551" s="4"/>
      <c r="N1046551" s="26"/>
    </row>
    <row r="1046552" customFormat="1" spans="2:14">
      <c r="B1046552" s="26"/>
      <c r="C1046552" s="26"/>
      <c r="D1046552" s="4"/>
      <c r="E1046552" s="26"/>
      <c r="F1046552" s="26"/>
      <c r="G1046552" s="26"/>
      <c r="H1046552" s="26"/>
      <c r="I1046552" s="27"/>
      <c r="J1046552" s="26"/>
      <c r="K1046552" s="26"/>
      <c r="L1046552" s="4"/>
      <c r="M1046552" s="4"/>
      <c r="N1046552" s="26"/>
    </row>
    <row r="1046553" customFormat="1" spans="2:14">
      <c r="B1046553" s="26"/>
      <c r="C1046553" s="26"/>
      <c r="D1046553" s="4"/>
      <c r="E1046553" s="26"/>
      <c r="F1046553" s="26"/>
      <c r="G1046553" s="26"/>
      <c r="H1046553" s="26"/>
      <c r="I1046553" s="27"/>
      <c r="J1046553" s="26"/>
      <c r="K1046553" s="26"/>
      <c r="L1046553" s="4"/>
      <c r="M1046553" s="4"/>
      <c r="N1046553" s="26"/>
    </row>
    <row r="1046554" customFormat="1" spans="2:14">
      <c r="B1046554" s="26"/>
      <c r="C1046554" s="26"/>
      <c r="D1046554" s="4"/>
      <c r="E1046554" s="26"/>
      <c r="F1046554" s="26"/>
      <c r="G1046554" s="26"/>
      <c r="H1046554" s="26"/>
      <c r="I1046554" s="27"/>
      <c r="J1046554" s="26"/>
      <c r="K1046554" s="26"/>
      <c r="L1046554" s="4"/>
      <c r="M1046554" s="4"/>
      <c r="N1046554" s="26"/>
    </row>
    <row r="1046555" customFormat="1" spans="2:14">
      <c r="B1046555" s="26"/>
      <c r="C1046555" s="26"/>
      <c r="D1046555" s="4"/>
      <c r="E1046555" s="26"/>
      <c r="F1046555" s="26"/>
      <c r="G1046555" s="26"/>
      <c r="H1046555" s="26"/>
      <c r="I1046555" s="27"/>
      <c r="J1046555" s="26"/>
      <c r="K1046555" s="26"/>
      <c r="L1046555" s="4"/>
      <c r="M1046555" s="4"/>
      <c r="N1046555" s="26"/>
    </row>
    <row r="1046556" customFormat="1" spans="2:14">
      <c r="B1046556" s="26"/>
      <c r="C1046556" s="26"/>
      <c r="D1046556" s="4"/>
      <c r="E1046556" s="26"/>
      <c r="F1046556" s="26"/>
      <c r="G1046556" s="26"/>
      <c r="H1046556" s="26"/>
      <c r="I1046556" s="27"/>
      <c r="J1046556" s="26"/>
      <c r="K1046556" s="26"/>
      <c r="L1046556" s="4"/>
      <c r="M1046556" s="4"/>
      <c r="N1046556" s="26"/>
    </row>
    <row r="1046557" customFormat="1" spans="2:14">
      <c r="B1046557" s="26"/>
      <c r="C1046557" s="26"/>
      <c r="D1046557" s="4"/>
      <c r="E1046557" s="26"/>
      <c r="F1046557" s="26"/>
      <c r="G1046557" s="26"/>
      <c r="H1046557" s="26"/>
      <c r="I1046557" s="27"/>
      <c r="J1046557" s="26"/>
      <c r="K1046557" s="26"/>
      <c r="L1046557" s="4"/>
      <c r="M1046557" s="4"/>
      <c r="N1046557" s="26"/>
    </row>
    <row r="1046558" customFormat="1" spans="2:14">
      <c r="B1046558" s="26"/>
      <c r="C1046558" s="26"/>
      <c r="D1046558" s="4"/>
      <c r="E1046558" s="26"/>
      <c r="F1046558" s="26"/>
      <c r="G1046558" s="26"/>
      <c r="H1046558" s="26"/>
      <c r="I1046558" s="27"/>
      <c r="J1046558" s="26"/>
      <c r="K1046558" s="26"/>
      <c r="L1046558" s="4"/>
      <c r="M1046558" s="4"/>
      <c r="N1046558" s="26"/>
    </row>
    <row r="1046559" customFormat="1" spans="2:14">
      <c r="B1046559" s="26"/>
      <c r="C1046559" s="26"/>
      <c r="D1046559" s="4"/>
      <c r="E1046559" s="26"/>
      <c r="F1046559" s="26"/>
      <c r="G1046559" s="26"/>
      <c r="H1046559" s="26"/>
      <c r="I1046559" s="27"/>
      <c r="J1046559" s="26"/>
      <c r="K1046559" s="26"/>
      <c r="L1046559" s="4"/>
      <c r="M1046559" s="4"/>
      <c r="N1046559" s="26"/>
    </row>
    <row r="1046560" customFormat="1" spans="2:14">
      <c r="B1046560" s="26"/>
      <c r="C1046560" s="26"/>
      <c r="D1046560" s="4"/>
      <c r="E1046560" s="26"/>
      <c r="F1046560" s="26"/>
      <c r="G1046560" s="26"/>
      <c r="H1046560" s="26"/>
      <c r="I1046560" s="27"/>
      <c r="J1046560" s="26"/>
      <c r="K1046560" s="26"/>
      <c r="L1046560" s="4"/>
      <c r="M1046560" s="4"/>
      <c r="N1046560" s="26"/>
    </row>
    <row r="1046561" customFormat="1" spans="2:14">
      <c r="B1046561" s="26"/>
      <c r="C1046561" s="26"/>
      <c r="D1046561" s="4"/>
      <c r="E1046561" s="26"/>
      <c r="F1046561" s="26"/>
      <c r="G1046561" s="26"/>
      <c r="H1046561" s="26"/>
      <c r="I1046561" s="27"/>
      <c r="J1046561" s="26"/>
      <c r="K1046561" s="26"/>
      <c r="L1046561" s="4"/>
      <c r="M1046561" s="4"/>
      <c r="N1046561" s="26"/>
    </row>
    <row r="1046562" customFormat="1" spans="2:14">
      <c r="B1046562" s="26"/>
      <c r="C1046562" s="26"/>
      <c r="D1046562" s="4"/>
      <c r="E1046562" s="26"/>
      <c r="F1046562" s="26"/>
      <c r="G1046562" s="26"/>
      <c r="H1046562" s="26"/>
      <c r="I1046562" s="27"/>
      <c r="J1046562" s="26"/>
      <c r="K1046562" s="26"/>
      <c r="L1046562" s="4"/>
      <c r="M1046562" s="4"/>
      <c r="N1046562" s="26"/>
    </row>
    <row r="1046563" customFormat="1" spans="2:14">
      <c r="B1046563" s="26"/>
      <c r="C1046563" s="26"/>
      <c r="D1046563" s="4"/>
      <c r="E1046563" s="26"/>
      <c r="F1046563" s="26"/>
      <c r="G1046563" s="26"/>
      <c r="H1046563" s="26"/>
      <c r="I1046563" s="27"/>
      <c r="J1046563" s="26"/>
      <c r="K1046563" s="26"/>
      <c r="L1046563" s="4"/>
      <c r="M1046563" s="4"/>
      <c r="N1046563" s="26"/>
    </row>
    <row r="1046564" customFormat="1" spans="2:14">
      <c r="B1046564" s="26"/>
      <c r="C1046564" s="26"/>
      <c r="D1046564" s="4"/>
      <c r="E1046564" s="26"/>
      <c r="F1046564" s="26"/>
      <c r="G1046564" s="26"/>
      <c r="H1046564" s="26"/>
      <c r="I1046564" s="27"/>
      <c r="J1046564" s="26"/>
      <c r="K1046564" s="26"/>
      <c r="L1046564" s="4"/>
      <c r="M1046564" s="4"/>
      <c r="N1046564" s="26"/>
    </row>
    <row r="1046565" customFormat="1" spans="2:14">
      <c r="B1046565" s="26"/>
      <c r="C1046565" s="26"/>
      <c r="D1046565" s="4"/>
      <c r="E1046565" s="26"/>
      <c r="F1046565" s="26"/>
      <c r="G1046565" s="26"/>
      <c r="H1046565" s="26"/>
      <c r="I1046565" s="27"/>
      <c r="J1046565" s="26"/>
      <c r="K1046565" s="26"/>
      <c r="L1046565" s="4"/>
      <c r="M1046565" s="4"/>
      <c r="N1046565" s="26"/>
    </row>
    <row r="1046566" customFormat="1" spans="2:14">
      <c r="B1046566" s="26"/>
      <c r="C1046566" s="26"/>
      <c r="D1046566" s="4"/>
      <c r="E1046566" s="26"/>
      <c r="F1046566" s="26"/>
      <c r="G1046566" s="26"/>
      <c r="H1046566" s="26"/>
      <c r="I1046566" s="27"/>
      <c r="J1046566" s="26"/>
      <c r="K1046566" s="26"/>
      <c r="L1046566" s="4"/>
      <c r="M1046566" s="4"/>
      <c r="N1046566" s="26"/>
    </row>
    <row r="1046567" customFormat="1" spans="2:14">
      <c r="B1046567" s="26"/>
      <c r="C1046567" s="26"/>
      <c r="D1046567" s="4"/>
      <c r="E1046567" s="26"/>
      <c r="F1046567" s="26"/>
      <c r="G1046567" s="26"/>
      <c r="H1046567" s="26"/>
      <c r="I1046567" s="27"/>
      <c r="J1046567" s="26"/>
      <c r="K1046567" s="26"/>
      <c r="L1046567" s="4"/>
      <c r="M1046567" s="4"/>
      <c r="N1046567" s="26"/>
    </row>
    <row r="1046568" customFormat="1" spans="2:14">
      <c r="B1046568" s="26"/>
      <c r="C1046568" s="26"/>
      <c r="D1046568" s="4"/>
      <c r="E1046568" s="26"/>
      <c r="F1046568" s="26"/>
      <c r="G1046568" s="26"/>
      <c r="H1046568" s="26"/>
      <c r="I1046568" s="27"/>
      <c r="J1046568" s="26"/>
      <c r="K1046568" s="26"/>
      <c r="L1046568" s="4"/>
      <c r="M1046568" s="4"/>
      <c r="N1046568" s="26"/>
    </row>
    <row r="1046569" customFormat="1" spans="2:14">
      <c r="B1046569" s="26"/>
      <c r="C1046569" s="26"/>
      <c r="D1046569" s="4"/>
      <c r="E1046569" s="26"/>
      <c r="F1046569" s="26"/>
      <c r="G1046569" s="26"/>
      <c r="H1046569" s="26"/>
      <c r="I1046569" s="27"/>
      <c r="J1046569" s="26"/>
      <c r="K1046569" s="26"/>
      <c r="L1046569" s="4"/>
      <c r="M1046569" s="4"/>
      <c r="N1046569" s="26"/>
    </row>
    <row r="1046570" customFormat="1" spans="2:14">
      <c r="B1046570" s="26"/>
      <c r="C1046570" s="26"/>
      <c r="D1046570" s="4"/>
      <c r="E1046570" s="26"/>
      <c r="F1046570" s="26"/>
      <c r="G1046570" s="26"/>
      <c r="H1046570" s="26"/>
      <c r="I1046570" s="27"/>
      <c r="J1046570" s="26"/>
      <c r="K1046570" s="26"/>
      <c r="L1046570" s="4"/>
      <c r="M1046570" s="4"/>
      <c r="N1046570" s="26"/>
    </row>
    <row r="1046571" customFormat="1" spans="2:14">
      <c r="B1046571" s="26"/>
      <c r="C1046571" s="26"/>
      <c r="D1046571" s="4"/>
      <c r="E1046571" s="26"/>
      <c r="F1046571" s="26"/>
      <c r="G1046571" s="26"/>
      <c r="H1046571" s="26"/>
      <c r="I1046571" s="27"/>
      <c r="J1046571" s="26"/>
      <c r="K1046571" s="26"/>
      <c r="L1046571" s="4"/>
      <c r="M1046571" s="4"/>
      <c r="N1046571" s="26"/>
    </row>
    <row r="1046572" customFormat="1" spans="2:14">
      <c r="B1046572" s="26"/>
      <c r="C1046572" s="26"/>
      <c r="D1046572" s="4"/>
      <c r="E1046572" s="26"/>
      <c r="F1046572" s="26"/>
      <c r="G1046572" s="26"/>
      <c r="H1046572" s="26"/>
      <c r="I1046572" s="27"/>
      <c r="J1046572" s="26"/>
      <c r="K1046572" s="26"/>
      <c r="L1046572" s="4"/>
      <c r="M1046572" s="4"/>
      <c r="N1046572" s="26"/>
    </row>
    <row r="1046573" customFormat="1" spans="2:14">
      <c r="B1046573" s="26"/>
      <c r="C1046573" s="26"/>
      <c r="D1046573" s="4"/>
      <c r="E1046573" s="26"/>
      <c r="F1046573" s="26"/>
      <c r="G1046573" s="26"/>
      <c r="H1046573" s="26"/>
      <c r="I1046573" s="27"/>
      <c r="J1046573" s="26"/>
      <c r="K1046573" s="26"/>
      <c r="L1046573" s="4"/>
      <c r="M1046573" s="4"/>
      <c r="N1046573" s="26"/>
    </row>
    <row r="1046574" customFormat="1" spans="2:14">
      <c r="B1046574" s="26"/>
      <c r="C1046574" s="26"/>
      <c r="D1046574" s="4"/>
      <c r="E1046574" s="26"/>
      <c r="F1046574" s="26"/>
      <c r="G1046574" s="26"/>
      <c r="H1046574" s="26"/>
      <c r="I1046574" s="27"/>
      <c r="J1046574" s="26"/>
      <c r="K1046574" s="26"/>
      <c r="L1046574" s="4"/>
      <c r="M1046574" s="4"/>
      <c r="N1046574" s="26"/>
    </row>
    <row r="1046575" customFormat="1" spans="2:14">
      <c r="B1046575" s="26"/>
      <c r="C1046575" s="26"/>
      <c r="D1046575" s="4"/>
      <c r="E1046575" s="26"/>
      <c r="F1046575" s="26"/>
      <c r="G1046575" s="26"/>
      <c r="H1046575" s="26"/>
      <c r="I1046575" s="27"/>
      <c r="J1046575" s="26"/>
      <c r="K1046575" s="26"/>
      <c r="L1046575" s="4"/>
      <c r="M1046575" s="4"/>
      <c r="N1046575" s="26"/>
    </row>
    <row r="1046576" customFormat="1" spans="2:14">
      <c r="B1046576" s="26"/>
      <c r="C1046576" s="26"/>
      <c r="D1046576" s="4"/>
      <c r="E1046576" s="26"/>
      <c r="F1046576" s="26"/>
      <c r="G1046576" s="26"/>
      <c r="H1046576" s="26"/>
      <c r="I1046576" s="27"/>
      <c r="J1046576" s="26"/>
      <c r="K1046576" s="26"/>
      <c r="L1046576" s="4"/>
      <c r="M1046576" s="4"/>
      <c r="N1046576" s="26"/>
    </row>
    <row r="1046577" customFormat="1" spans="2:14">
      <c r="B1046577" s="26"/>
      <c r="C1046577" s="26"/>
      <c r="D1046577" s="4"/>
      <c r="E1046577" s="26"/>
      <c r="F1046577" s="26"/>
      <c r="G1046577" s="26"/>
      <c r="H1046577" s="26"/>
      <c r="I1046577" s="27"/>
      <c r="J1046577" s="26"/>
      <c r="K1046577" s="26"/>
      <c r="L1046577" s="4"/>
      <c r="M1046577" s="4"/>
      <c r="N1046577" s="26"/>
    </row>
    <row r="1046578" customFormat="1" spans="2:14">
      <c r="B1046578" s="26"/>
      <c r="C1046578" s="26"/>
      <c r="D1046578" s="4"/>
      <c r="E1046578" s="26"/>
      <c r="F1046578" s="26"/>
      <c r="G1046578" s="26"/>
      <c r="H1046578" s="26"/>
      <c r="I1046578" s="27"/>
      <c r="J1046578" s="26"/>
      <c r="K1046578" s="26"/>
      <c r="L1046578" s="4"/>
      <c r="M1046578" s="4"/>
      <c r="N1046578" s="26"/>
    </row>
    <row r="1046579" customFormat="1" spans="2:14">
      <c r="B1046579" s="26"/>
      <c r="C1046579" s="26"/>
      <c r="D1046579" s="4"/>
      <c r="E1046579" s="26"/>
      <c r="F1046579" s="26"/>
      <c r="G1046579" s="26"/>
      <c r="H1046579" s="26"/>
      <c r="I1046579" s="27"/>
      <c r="J1046579" s="26"/>
      <c r="K1046579" s="26"/>
      <c r="L1046579" s="4"/>
      <c r="M1046579" s="4"/>
      <c r="N1046579" s="26"/>
    </row>
    <row r="1046580" customFormat="1" spans="2:14">
      <c r="B1046580" s="26"/>
      <c r="C1046580" s="26"/>
      <c r="D1046580" s="4"/>
      <c r="E1046580" s="26"/>
      <c r="F1046580" s="26"/>
      <c r="G1046580" s="26"/>
      <c r="H1046580" s="26"/>
      <c r="I1046580" s="27"/>
      <c r="J1046580" s="26"/>
      <c r="K1046580" s="26"/>
      <c r="L1046580" s="4"/>
      <c r="M1046580" s="4"/>
      <c r="N1046580" s="26"/>
    </row>
    <row r="1046581" customFormat="1" spans="2:14">
      <c r="B1046581" s="26"/>
      <c r="C1046581" s="26"/>
      <c r="D1046581" s="4"/>
      <c r="E1046581" s="26"/>
      <c r="F1046581" s="26"/>
      <c r="G1046581" s="26"/>
      <c r="H1046581" s="26"/>
      <c r="I1046581" s="27"/>
      <c r="J1046581" s="26"/>
      <c r="K1046581" s="26"/>
      <c r="L1046581" s="4"/>
      <c r="M1046581" s="4"/>
      <c r="N1046581" s="26"/>
    </row>
    <row r="1046582" customFormat="1" spans="2:14">
      <c r="B1046582" s="26"/>
      <c r="C1046582" s="26"/>
      <c r="D1046582" s="4"/>
      <c r="E1046582" s="26"/>
      <c r="F1046582" s="26"/>
      <c r="G1046582" s="26"/>
      <c r="H1046582" s="26"/>
      <c r="I1046582" s="27"/>
      <c r="J1046582" s="26"/>
      <c r="K1046582" s="26"/>
      <c r="L1046582" s="4"/>
      <c r="M1046582" s="4"/>
      <c r="N1046582" s="26"/>
    </row>
    <row r="1046583" customFormat="1" spans="2:14">
      <c r="B1046583" s="26"/>
      <c r="C1046583" s="26"/>
      <c r="D1046583" s="4"/>
      <c r="E1046583" s="26"/>
      <c r="F1046583" s="26"/>
      <c r="G1046583" s="26"/>
      <c r="H1046583" s="26"/>
      <c r="I1046583" s="27"/>
      <c r="J1046583" s="26"/>
      <c r="K1046583" s="26"/>
      <c r="L1046583" s="4"/>
      <c r="M1046583" s="4"/>
      <c r="N1046583" s="26"/>
    </row>
    <row r="1046584" customFormat="1" spans="2:14">
      <c r="B1046584" s="26"/>
      <c r="C1046584" s="26"/>
      <c r="D1046584" s="4"/>
      <c r="E1046584" s="26"/>
      <c r="F1046584" s="26"/>
      <c r="G1046584" s="26"/>
      <c r="H1046584" s="26"/>
      <c r="I1046584" s="27"/>
      <c r="J1046584" s="26"/>
      <c r="K1046584" s="26"/>
      <c r="L1046584" s="4"/>
      <c r="M1046584" s="4"/>
      <c r="N1046584" s="26"/>
    </row>
    <row r="1046585" customFormat="1" spans="2:14">
      <c r="B1046585" s="26"/>
      <c r="C1046585" s="26"/>
      <c r="D1046585" s="4"/>
      <c r="E1046585" s="26"/>
      <c r="F1046585" s="26"/>
      <c r="G1046585" s="26"/>
      <c r="H1046585" s="26"/>
      <c r="I1046585" s="27"/>
      <c r="J1046585" s="26"/>
      <c r="K1046585" s="26"/>
      <c r="L1046585" s="4"/>
      <c r="M1046585" s="4"/>
      <c r="N1046585" s="26"/>
    </row>
    <row r="1046586" customFormat="1" spans="2:14">
      <c r="B1046586" s="26"/>
      <c r="C1046586" s="26"/>
      <c r="D1046586" s="4"/>
      <c r="E1046586" s="26"/>
      <c r="F1046586" s="26"/>
      <c r="G1046586" s="26"/>
      <c r="H1046586" s="26"/>
      <c r="I1046586" s="27"/>
      <c r="J1046586" s="26"/>
      <c r="K1046586" s="26"/>
      <c r="L1046586" s="4"/>
      <c r="M1046586" s="4"/>
      <c r="N1046586" s="26"/>
    </row>
    <row r="1046587" customFormat="1" spans="2:14">
      <c r="B1046587" s="26"/>
      <c r="C1046587" s="26"/>
      <c r="D1046587" s="4"/>
      <c r="E1046587" s="26"/>
      <c r="F1046587" s="26"/>
      <c r="G1046587" s="26"/>
      <c r="H1046587" s="26"/>
      <c r="I1046587" s="27"/>
      <c r="J1046587" s="26"/>
      <c r="K1046587" s="26"/>
      <c r="L1046587" s="4"/>
      <c r="M1046587" s="4"/>
      <c r="N1046587" s="26"/>
    </row>
    <row r="1046588" customFormat="1" spans="2:14">
      <c r="B1046588" s="26"/>
      <c r="C1046588" s="26"/>
      <c r="D1046588" s="4"/>
      <c r="E1046588" s="26"/>
      <c r="F1046588" s="26"/>
      <c r="G1046588" s="26"/>
      <c r="H1046588" s="26"/>
      <c r="I1046588" s="27"/>
      <c r="J1046588" s="26"/>
      <c r="K1046588" s="26"/>
      <c r="L1046588" s="4"/>
      <c r="M1046588" s="4"/>
      <c r="N1046588" s="26"/>
    </row>
    <row r="1046589" customFormat="1" spans="2:14">
      <c r="B1046589" s="26"/>
      <c r="C1046589" s="26"/>
      <c r="D1046589" s="4"/>
      <c r="E1046589" s="26"/>
      <c r="F1046589" s="26"/>
      <c r="G1046589" s="26"/>
      <c r="H1046589" s="26"/>
      <c r="I1046589" s="27"/>
      <c r="J1046589" s="26"/>
      <c r="K1046589" s="26"/>
      <c r="L1046589" s="4"/>
      <c r="M1046589" s="4"/>
      <c r="N1046589" s="26"/>
    </row>
    <row r="1046590" customFormat="1" spans="2:14">
      <c r="B1046590" s="26"/>
      <c r="C1046590" s="26"/>
      <c r="D1046590" s="4"/>
      <c r="E1046590" s="26"/>
      <c r="F1046590" s="26"/>
      <c r="G1046590" s="26"/>
      <c r="H1046590" s="26"/>
      <c r="I1046590" s="27"/>
      <c r="J1046590" s="26"/>
      <c r="K1046590" s="26"/>
      <c r="L1046590" s="4"/>
      <c r="M1046590" s="4"/>
      <c r="N1046590" s="26"/>
    </row>
    <row r="1046591" customFormat="1" spans="2:14">
      <c r="B1046591" s="26"/>
      <c r="C1046591" s="26"/>
      <c r="D1046591" s="4"/>
      <c r="E1046591" s="26"/>
      <c r="F1046591" s="26"/>
      <c r="G1046591" s="26"/>
      <c r="H1046591" s="26"/>
      <c r="I1046591" s="27"/>
      <c r="J1046591" s="26"/>
      <c r="K1046591" s="26"/>
      <c r="L1046591" s="4"/>
      <c r="M1046591" s="4"/>
      <c r="N1046591" s="26"/>
    </row>
    <row r="1046592" customFormat="1" spans="2:14">
      <c r="B1046592" s="26"/>
      <c r="C1046592" s="26"/>
      <c r="D1046592" s="4"/>
      <c r="E1046592" s="26"/>
      <c r="F1046592" s="26"/>
      <c r="G1046592" s="26"/>
      <c r="H1046592" s="26"/>
      <c r="I1046592" s="27"/>
      <c r="J1046592" s="26"/>
      <c r="K1046592" s="26"/>
      <c r="L1046592" s="4"/>
      <c r="M1046592" s="4"/>
      <c r="N1046592" s="26"/>
    </row>
    <row r="1046593" customFormat="1" spans="2:14">
      <c r="B1046593" s="26"/>
      <c r="C1046593" s="26"/>
      <c r="D1046593" s="4"/>
      <c r="E1046593" s="26"/>
      <c r="F1046593" s="26"/>
      <c r="G1046593" s="26"/>
      <c r="H1046593" s="26"/>
      <c r="I1046593" s="27"/>
      <c r="J1046593" s="26"/>
      <c r="K1046593" s="26"/>
      <c r="L1046593" s="4"/>
      <c r="M1046593" s="4"/>
      <c r="N1046593" s="26"/>
    </row>
    <row r="1046594" customFormat="1" spans="2:14">
      <c r="B1046594" s="26"/>
      <c r="C1046594" s="26"/>
      <c r="D1046594" s="4"/>
      <c r="E1046594" s="26"/>
      <c r="F1046594" s="26"/>
      <c r="G1046594" s="26"/>
      <c r="H1046594" s="26"/>
      <c r="I1046594" s="27"/>
      <c r="J1046594" s="26"/>
      <c r="K1046594" s="26"/>
      <c r="L1046594" s="4"/>
      <c r="M1046594" s="4"/>
      <c r="N1046594" s="26"/>
    </row>
    <row r="1046595" customFormat="1" spans="2:14">
      <c r="B1046595" s="26"/>
      <c r="C1046595" s="26"/>
      <c r="D1046595" s="4"/>
      <c r="E1046595" s="26"/>
      <c r="F1046595" s="26"/>
      <c r="G1046595" s="26"/>
      <c r="H1046595" s="26"/>
      <c r="I1046595" s="27"/>
      <c r="J1046595" s="26"/>
      <c r="K1046595" s="26"/>
      <c r="L1046595" s="4"/>
      <c r="M1046595" s="4"/>
      <c r="N1046595" s="26"/>
    </row>
    <row r="1046596" customFormat="1" spans="2:14">
      <c r="B1046596" s="26"/>
      <c r="C1046596" s="26"/>
      <c r="D1046596" s="4"/>
      <c r="E1046596" s="26"/>
      <c r="F1046596" s="26"/>
      <c r="G1046596" s="26"/>
      <c r="H1046596" s="26"/>
      <c r="I1046596" s="27"/>
      <c r="J1046596" s="26"/>
      <c r="K1046596" s="26"/>
      <c r="L1046596" s="4"/>
      <c r="M1046596" s="4"/>
      <c r="N1046596" s="26"/>
    </row>
    <row r="1046597" customFormat="1" spans="2:14">
      <c r="B1046597" s="26"/>
      <c r="C1046597" s="26"/>
      <c r="D1046597" s="4"/>
      <c r="E1046597" s="26"/>
      <c r="F1046597" s="26"/>
      <c r="G1046597" s="26"/>
      <c r="H1046597" s="26"/>
      <c r="I1046597" s="27"/>
      <c r="J1046597" s="26"/>
      <c r="K1046597" s="26"/>
      <c r="L1046597" s="4"/>
      <c r="M1046597" s="4"/>
      <c r="N1046597" s="26"/>
    </row>
    <row r="1046598" customFormat="1" spans="2:14">
      <c r="B1046598" s="26"/>
      <c r="C1046598" s="26"/>
      <c r="D1046598" s="4"/>
      <c r="E1046598" s="26"/>
      <c r="F1046598" s="26"/>
      <c r="G1046598" s="26"/>
      <c r="H1046598" s="26"/>
      <c r="I1046598" s="27"/>
      <c r="J1046598" s="26"/>
      <c r="K1046598" s="26"/>
      <c r="L1046598" s="4"/>
      <c r="M1046598" s="4"/>
      <c r="N1046598" s="26"/>
    </row>
    <row r="1046599" customFormat="1" spans="2:14">
      <c r="B1046599" s="26"/>
      <c r="C1046599" s="26"/>
      <c r="D1046599" s="4"/>
      <c r="E1046599" s="26"/>
      <c r="F1046599" s="26"/>
      <c r="G1046599" s="26"/>
      <c r="H1046599" s="26"/>
      <c r="I1046599" s="27"/>
      <c r="J1046599" s="26"/>
      <c r="K1046599" s="26"/>
      <c r="L1046599" s="4"/>
      <c r="M1046599" s="4"/>
      <c r="N1046599" s="26"/>
    </row>
    <row r="1046600" customFormat="1" spans="2:14">
      <c r="B1046600" s="26"/>
      <c r="C1046600" s="26"/>
      <c r="D1046600" s="4"/>
      <c r="E1046600" s="26"/>
      <c r="F1046600" s="26"/>
      <c r="G1046600" s="26"/>
      <c r="H1046600" s="26"/>
      <c r="I1046600" s="27"/>
      <c r="J1046600" s="26"/>
      <c r="K1046600" s="26"/>
      <c r="L1046600" s="4"/>
      <c r="M1046600" s="4"/>
      <c r="N1046600" s="26"/>
    </row>
    <row r="1046601" customFormat="1" spans="2:14">
      <c r="B1046601" s="26"/>
      <c r="C1046601" s="26"/>
      <c r="D1046601" s="4"/>
      <c r="E1046601" s="26"/>
      <c r="F1046601" s="26"/>
      <c r="G1046601" s="26"/>
      <c r="H1046601" s="26"/>
      <c r="I1046601" s="27"/>
      <c r="J1046601" s="26"/>
      <c r="K1046601" s="26"/>
      <c r="L1046601" s="4"/>
      <c r="M1046601" s="4"/>
      <c r="N1046601" s="26"/>
    </row>
    <row r="1046602" customFormat="1" spans="2:14">
      <c r="B1046602" s="26"/>
      <c r="C1046602" s="26"/>
      <c r="D1046602" s="4"/>
      <c r="E1046602" s="26"/>
      <c r="F1046602" s="26"/>
      <c r="G1046602" s="26"/>
      <c r="H1046602" s="26"/>
      <c r="I1046602" s="27"/>
      <c r="J1046602" s="26"/>
      <c r="K1046602" s="26"/>
      <c r="L1046602" s="4"/>
      <c r="M1046602" s="4"/>
      <c r="N1046602" s="26"/>
    </row>
    <row r="1046603" customFormat="1" spans="2:14">
      <c r="B1046603" s="26"/>
      <c r="C1046603" s="26"/>
      <c r="D1046603" s="4"/>
      <c r="E1046603" s="26"/>
      <c r="F1046603" s="26"/>
      <c r="G1046603" s="26"/>
      <c r="H1046603" s="26"/>
      <c r="I1046603" s="27"/>
      <c r="J1046603" s="26"/>
      <c r="K1046603" s="26"/>
      <c r="L1046603" s="4"/>
      <c r="M1046603" s="4"/>
      <c r="N1046603" s="26"/>
    </row>
    <row r="1046604" customFormat="1" spans="2:14">
      <c r="B1046604" s="26"/>
      <c r="C1046604" s="26"/>
      <c r="D1046604" s="4"/>
      <c r="E1046604" s="26"/>
      <c r="F1046604" s="26"/>
      <c r="G1046604" s="26"/>
      <c r="H1046604" s="26"/>
      <c r="I1046604" s="27"/>
      <c r="J1046604" s="26"/>
      <c r="K1046604" s="26"/>
      <c r="L1046604" s="4"/>
      <c r="M1046604" s="4"/>
      <c r="N1046604" s="26"/>
    </row>
    <row r="1046605" customFormat="1" spans="2:14">
      <c r="B1046605" s="26"/>
      <c r="C1046605" s="26"/>
      <c r="D1046605" s="4"/>
      <c r="E1046605" s="26"/>
      <c r="F1046605" s="26"/>
      <c r="G1046605" s="26"/>
      <c r="H1046605" s="26"/>
      <c r="I1046605" s="27"/>
      <c r="J1046605" s="26"/>
      <c r="K1046605" s="26"/>
      <c r="L1046605" s="4"/>
      <c r="M1046605" s="4"/>
      <c r="N1046605" s="26"/>
    </row>
    <row r="1046606" customFormat="1" spans="2:14">
      <c r="B1046606" s="26"/>
      <c r="C1046606" s="26"/>
      <c r="D1046606" s="4"/>
      <c r="E1046606" s="26"/>
      <c r="F1046606" s="26"/>
      <c r="G1046606" s="26"/>
      <c r="H1046606" s="26"/>
      <c r="I1046606" s="27"/>
      <c r="J1046606" s="26"/>
      <c r="K1046606" s="26"/>
      <c r="L1046606" s="4"/>
      <c r="M1046606" s="4"/>
      <c r="N1046606" s="26"/>
    </row>
    <row r="1046607" customFormat="1" spans="2:14">
      <c r="B1046607" s="26"/>
      <c r="C1046607" s="26"/>
      <c r="D1046607" s="4"/>
      <c r="E1046607" s="26"/>
      <c r="F1046607" s="26"/>
      <c r="G1046607" s="26"/>
      <c r="H1046607" s="26"/>
      <c r="I1046607" s="27"/>
      <c r="J1046607" s="26"/>
      <c r="K1046607" s="26"/>
      <c r="L1046607" s="4"/>
      <c r="M1046607" s="4"/>
      <c r="N1046607" s="26"/>
    </row>
    <row r="1046608" customFormat="1" spans="2:14">
      <c r="B1046608" s="26"/>
      <c r="C1046608" s="26"/>
      <c r="D1046608" s="4"/>
      <c r="E1046608" s="26"/>
      <c r="F1046608" s="26"/>
      <c r="G1046608" s="26"/>
      <c r="H1046608" s="26"/>
      <c r="I1046608" s="27"/>
      <c r="J1046608" s="26"/>
      <c r="K1046608" s="26"/>
      <c r="L1046608" s="4"/>
      <c r="M1046608" s="4"/>
      <c r="N1046608" s="26"/>
    </row>
    <row r="1046609" customFormat="1" spans="2:14">
      <c r="B1046609" s="26"/>
      <c r="C1046609" s="26"/>
      <c r="D1046609" s="4"/>
      <c r="E1046609" s="26"/>
      <c r="F1046609" s="26"/>
      <c r="G1046609" s="26"/>
      <c r="H1046609" s="26"/>
      <c r="I1046609" s="27"/>
      <c r="J1046609" s="26"/>
      <c r="K1046609" s="26"/>
      <c r="L1046609" s="4"/>
      <c r="M1046609" s="4"/>
      <c r="N1046609" s="26"/>
    </row>
    <row r="1046610" customFormat="1" spans="2:14">
      <c r="B1046610" s="26"/>
      <c r="C1046610" s="26"/>
      <c r="D1046610" s="4"/>
      <c r="E1046610" s="26"/>
      <c r="F1046610" s="26"/>
      <c r="G1046610" s="26"/>
      <c r="H1046610" s="26"/>
      <c r="I1046610" s="27"/>
      <c r="J1046610" s="26"/>
      <c r="K1046610" s="26"/>
      <c r="L1046610" s="4"/>
      <c r="M1046610" s="4"/>
      <c r="N1046610" s="26"/>
    </row>
    <row r="1046611" customFormat="1" spans="2:14">
      <c r="B1046611" s="26"/>
      <c r="C1046611" s="26"/>
      <c r="D1046611" s="4"/>
      <c r="E1046611" s="26"/>
      <c r="F1046611" s="26"/>
      <c r="G1046611" s="26"/>
      <c r="H1046611" s="26"/>
      <c r="I1046611" s="27"/>
      <c r="J1046611" s="26"/>
      <c r="K1046611" s="26"/>
      <c r="L1046611" s="4"/>
      <c r="M1046611" s="4"/>
      <c r="N1046611" s="26"/>
    </row>
    <row r="1046612" customFormat="1" spans="2:14">
      <c r="B1046612" s="26"/>
      <c r="C1046612" s="26"/>
      <c r="D1046612" s="4"/>
      <c r="E1046612" s="26"/>
      <c r="F1046612" s="26"/>
      <c r="G1046612" s="26"/>
      <c r="H1046612" s="26"/>
      <c r="I1046612" s="27"/>
      <c r="J1046612" s="26"/>
      <c r="K1046612" s="26"/>
      <c r="L1046612" s="4"/>
      <c r="M1046612" s="4"/>
      <c r="N1046612" s="26"/>
    </row>
    <row r="1046613" customFormat="1" spans="2:14">
      <c r="B1046613" s="26"/>
      <c r="C1046613" s="26"/>
      <c r="D1046613" s="4"/>
      <c r="E1046613" s="26"/>
      <c r="F1046613" s="26"/>
      <c r="G1046613" s="26"/>
      <c r="H1046613" s="26"/>
      <c r="I1046613" s="27"/>
      <c r="J1046613" s="26"/>
      <c r="K1046613" s="26"/>
      <c r="L1046613" s="4"/>
      <c r="M1046613" s="4"/>
      <c r="N1046613" s="26"/>
    </row>
    <row r="1046614" customFormat="1" spans="2:14">
      <c r="B1046614" s="26"/>
      <c r="C1046614" s="26"/>
      <c r="D1046614" s="4"/>
      <c r="E1046614" s="26"/>
      <c r="F1046614" s="26"/>
      <c r="G1046614" s="26"/>
      <c r="H1046614" s="26"/>
      <c r="I1046614" s="27"/>
      <c r="J1046614" s="26"/>
      <c r="K1046614" s="26"/>
      <c r="L1046614" s="4"/>
      <c r="M1046614" s="4"/>
      <c r="N1046614" s="26"/>
    </row>
    <row r="1046615" customFormat="1" spans="2:14">
      <c r="B1046615" s="26"/>
      <c r="C1046615" s="26"/>
      <c r="D1046615" s="4"/>
      <c r="E1046615" s="26"/>
      <c r="F1046615" s="26"/>
      <c r="G1046615" s="26"/>
      <c r="H1046615" s="26"/>
      <c r="I1046615" s="27"/>
      <c r="J1046615" s="26"/>
      <c r="K1046615" s="26"/>
      <c r="L1046615" s="4"/>
      <c r="M1046615" s="4"/>
      <c r="N1046615" s="26"/>
    </row>
    <row r="1046616" customFormat="1" spans="2:14">
      <c r="B1046616" s="26"/>
      <c r="C1046616" s="26"/>
      <c r="D1046616" s="4"/>
      <c r="E1046616" s="26"/>
      <c r="F1046616" s="26"/>
      <c r="G1046616" s="26"/>
      <c r="H1046616" s="26"/>
      <c r="I1046616" s="27"/>
      <c r="J1046616" s="26"/>
      <c r="K1046616" s="26"/>
      <c r="L1046616" s="4"/>
      <c r="M1046616" s="4"/>
      <c r="N1046616" s="26"/>
    </row>
    <row r="1046617" customFormat="1" spans="2:14">
      <c r="B1046617" s="26"/>
      <c r="C1046617" s="26"/>
      <c r="D1046617" s="4"/>
      <c r="E1046617" s="26"/>
      <c r="F1046617" s="26"/>
      <c r="G1046617" s="26"/>
      <c r="H1046617" s="26"/>
      <c r="I1046617" s="27"/>
      <c r="J1046617" s="26"/>
      <c r="K1046617" s="26"/>
      <c r="L1046617" s="4"/>
      <c r="M1046617" s="4"/>
      <c r="N1046617" s="26"/>
    </row>
    <row r="1046618" customFormat="1" spans="2:14">
      <c r="B1046618" s="26"/>
      <c r="C1046618" s="26"/>
      <c r="D1046618" s="4"/>
      <c r="E1046618" s="26"/>
      <c r="F1046618" s="26"/>
      <c r="G1046618" s="26"/>
      <c r="H1046618" s="26"/>
      <c r="I1046618" s="27"/>
      <c r="J1046618" s="26"/>
      <c r="K1046618" s="26"/>
      <c r="L1046618" s="4"/>
      <c r="M1046618" s="4"/>
      <c r="N1046618" s="26"/>
    </row>
    <row r="1046619" customFormat="1" spans="2:14">
      <c r="B1046619" s="26"/>
      <c r="C1046619" s="26"/>
      <c r="D1046619" s="4"/>
      <c r="E1046619" s="26"/>
      <c r="F1046619" s="26"/>
      <c r="G1046619" s="26"/>
      <c r="H1046619" s="26"/>
      <c r="I1046619" s="27"/>
      <c r="J1046619" s="26"/>
      <c r="K1046619" s="26"/>
      <c r="L1046619" s="4"/>
      <c r="M1046619" s="4"/>
      <c r="N1046619" s="26"/>
    </row>
    <row r="1046620" customFormat="1" spans="2:14">
      <c r="B1046620" s="26"/>
      <c r="C1046620" s="26"/>
      <c r="D1046620" s="4"/>
      <c r="E1046620" s="26"/>
      <c r="F1046620" s="26"/>
      <c r="G1046620" s="26"/>
      <c r="H1046620" s="26"/>
      <c r="I1046620" s="27"/>
      <c r="J1046620" s="26"/>
      <c r="K1046620" s="26"/>
      <c r="L1046620" s="4"/>
      <c r="M1046620" s="4"/>
      <c r="N1046620" s="26"/>
    </row>
    <row r="1046621" customFormat="1" spans="2:14">
      <c r="B1046621" s="26"/>
      <c r="C1046621" s="26"/>
      <c r="D1046621" s="4"/>
      <c r="E1046621" s="26"/>
      <c r="F1046621" s="26"/>
      <c r="G1046621" s="26"/>
      <c r="H1046621" s="26"/>
      <c r="I1046621" s="27"/>
      <c r="J1046621" s="26"/>
      <c r="K1046621" s="26"/>
      <c r="L1046621" s="4"/>
      <c r="M1046621" s="4"/>
      <c r="N1046621" s="26"/>
    </row>
    <row r="1046622" customFormat="1" spans="2:14">
      <c r="B1046622" s="26"/>
      <c r="C1046622" s="26"/>
      <c r="D1046622" s="4"/>
      <c r="E1046622" s="26"/>
      <c r="F1046622" s="26"/>
      <c r="G1046622" s="26"/>
      <c r="H1046622" s="26"/>
      <c r="I1046622" s="27"/>
      <c r="J1046622" s="26"/>
      <c r="K1046622" s="26"/>
      <c r="L1046622" s="4"/>
      <c r="M1046622" s="4"/>
      <c r="N1046622" s="26"/>
    </row>
    <row r="1046623" customFormat="1" spans="2:14">
      <c r="B1046623" s="26"/>
      <c r="C1046623" s="26"/>
      <c r="D1046623" s="4"/>
      <c r="E1046623" s="26"/>
      <c r="F1046623" s="26"/>
      <c r="G1046623" s="26"/>
      <c r="H1046623" s="26"/>
      <c r="I1046623" s="27"/>
      <c r="J1046623" s="26"/>
      <c r="K1046623" s="26"/>
      <c r="L1046623" s="4"/>
      <c r="M1046623" s="4"/>
      <c r="N1046623" s="26"/>
    </row>
    <row r="1046624" customFormat="1" spans="2:14">
      <c r="B1046624" s="26"/>
      <c r="C1046624" s="26"/>
      <c r="D1046624" s="4"/>
      <c r="E1046624" s="26"/>
      <c r="F1046624" s="26"/>
      <c r="G1046624" s="26"/>
      <c r="H1046624" s="26"/>
      <c r="I1046624" s="27"/>
      <c r="J1046624" s="26"/>
      <c r="K1046624" s="26"/>
      <c r="L1046624" s="4"/>
      <c r="M1046624" s="4"/>
      <c r="N1046624" s="26"/>
    </row>
    <row r="1046625" customFormat="1" spans="2:14">
      <c r="B1046625" s="26"/>
      <c r="C1046625" s="26"/>
      <c r="D1046625" s="4"/>
      <c r="E1046625" s="26"/>
      <c r="F1046625" s="26"/>
      <c r="G1046625" s="26"/>
      <c r="H1046625" s="26"/>
      <c r="I1046625" s="27"/>
      <c r="J1046625" s="26"/>
      <c r="K1046625" s="26"/>
      <c r="L1046625" s="4"/>
      <c r="M1046625" s="4"/>
      <c r="N1046625" s="26"/>
    </row>
    <row r="1046626" customFormat="1" spans="2:14">
      <c r="B1046626" s="26"/>
      <c r="C1046626" s="26"/>
      <c r="D1046626" s="4"/>
      <c r="E1046626" s="26"/>
      <c r="F1046626" s="26"/>
      <c r="G1046626" s="26"/>
      <c r="H1046626" s="26"/>
      <c r="I1046626" s="27"/>
      <c r="J1046626" s="26"/>
      <c r="K1046626" s="26"/>
      <c r="L1046626" s="4"/>
      <c r="M1046626" s="4"/>
      <c r="N1046626" s="26"/>
    </row>
    <row r="1046627" customFormat="1" spans="2:14">
      <c r="B1046627" s="26"/>
      <c r="C1046627" s="26"/>
      <c r="D1046627" s="4"/>
      <c r="E1046627" s="26"/>
      <c r="F1046627" s="26"/>
      <c r="G1046627" s="26"/>
      <c r="H1046627" s="26"/>
      <c r="I1046627" s="27"/>
      <c r="J1046627" s="26"/>
      <c r="K1046627" s="26"/>
      <c r="L1046627" s="4"/>
      <c r="M1046627" s="4"/>
      <c r="N1046627" s="26"/>
    </row>
    <row r="1046628" customFormat="1" spans="2:14">
      <c r="B1046628" s="26"/>
      <c r="C1046628" s="26"/>
      <c r="D1046628" s="4"/>
      <c r="E1046628" s="26"/>
      <c r="F1046628" s="26"/>
      <c r="G1046628" s="26"/>
      <c r="H1046628" s="26"/>
      <c r="I1046628" s="27"/>
      <c r="J1046628" s="26"/>
      <c r="K1046628" s="26"/>
      <c r="L1046628" s="4"/>
      <c r="M1046628" s="4"/>
      <c r="N1046628" s="26"/>
    </row>
    <row r="1046629" customFormat="1" spans="2:14">
      <c r="B1046629" s="26"/>
      <c r="C1046629" s="26"/>
      <c r="D1046629" s="4"/>
      <c r="E1046629" s="26"/>
      <c r="F1046629" s="26"/>
      <c r="G1046629" s="26"/>
      <c r="H1046629" s="26"/>
      <c r="I1046629" s="27"/>
      <c r="J1046629" s="26"/>
      <c r="K1046629" s="26"/>
      <c r="L1046629" s="4"/>
      <c r="M1046629" s="4"/>
      <c r="N1046629" s="26"/>
    </row>
    <row r="1046630" customFormat="1" spans="2:14">
      <c r="B1046630" s="26"/>
      <c r="C1046630" s="26"/>
      <c r="D1046630" s="4"/>
      <c r="E1046630" s="26"/>
      <c r="F1046630" s="26"/>
      <c r="G1046630" s="26"/>
      <c r="H1046630" s="26"/>
      <c r="I1046630" s="27"/>
      <c r="J1046630" s="26"/>
      <c r="K1046630" s="26"/>
      <c r="L1046630" s="4"/>
      <c r="M1046630" s="4"/>
      <c r="N1046630" s="26"/>
    </row>
    <row r="1046631" customFormat="1" spans="2:14">
      <c r="B1046631" s="26"/>
      <c r="C1046631" s="26"/>
      <c r="D1046631" s="4"/>
      <c r="E1046631" s="26"/>
      <c r="F1046631" s="26"/>
      <c r="G1046631" s="26"/>
      <c r="H1046631" s="26"/>
      <c r="I1046631" s="27"/>
      <c r="J1046631" s="26"/>
      <c r="K1046631" s="26"/>
      <c r="L1046631" s="4"/>
      <c r="M1046631" s="4"/>
      <c r="N1046631" s="26"/>
    </row>
    <row r="1046632" customFormat="1" spans="2:14">
      <c r="B1046632" s="26"/>
      <c r="C1046632" s="26"/>
      <c r="D1046632" s="4"/>
      <c r="E1046632" s="26"/>
      <c r="F1046632" s="26"/>
      <c r="G1046632" s="26"/>
      <c r="H1046632" s="26"/>
      <c r="I1046632" s="27"/>
      <c r="J1046632" s="26"/>
      <c r="K1046632" s="26"/>
      <c r="L1046632" s="4"/>
      <c r="M1046632" s="4"/>
      <c r="N1046632" s="26"/>
    </row>
    <row r="1046633" customFormat="1" spans="2:14">
      <c r="B1046633" s="26"/>
      <c r="C1046633" s="26"/>
      <c r="D1046633" s="4"/>
      <c r="E1046633" s="26"/>
      <c r="F1046633" s="26"/>
      <c r="G1046633" s="26"/>
      <c r="H1046633" s="26"/>
      <c r="I1046633" s="27"/>
      <c r="J1046633" s="26"/>
      <c r="K1046633" s="26"/>
      <c r="L1046633" s="4"/>
      <c r="M1046633" s="4"/>
      <c r="N1046633" s="26"/>
    </row>
    <row r="1046634" customFormat="1" spans="2:14">
      <c r="B1046634" s="26"/>
      <c r="C1046634" s="26"/>
      <c r="D1046634" s="4"/>
      <c r="E1046634" s="26"/>
      <c r="F1046634" s="26"/>
      <c r="G1046634" s="26"/>
      <c r="H1046634" s="26"/>
      <c r="I1046634" s="27"/>
      <c r="J1046634" s="26"/>
      <c r="K1046634" s="26"/>
      <c r="L1046634" s="4"/>
      <c r="M1046634" s="4"/>
      <c r="N1046634" s="26"/>
    </row>
    <row r="1046635" customFormat="1" spans="2:14">
      <c r="B1046635" s="26"/>
      <c r="C1046635" s="26"/>
      <c r="D1046635" s="4"/>
      <c r="E1046635" s="26"/>
      <c r="F1046635" s="26"/>
      <c r="G1046635" s="26"/>
      <c r="H1046635" s="26"/>
      <c r="I1046635" s="27"/>
      <c r="J1046635" s="26"/>
      <c r="K1046635" s="26"/>
      <c r="L1046635" s="4"/>
      <c r="M1046635" s="4"/>
      <c r="N1046635" s="26"/>
    </row>
    <row r="1046636" customFormat="1" spans="2:14">
      <c r="B1046636" s="26"/>
      <c r="C1046636" s="26"/>
      <c r="D1046636" s="4"/>
      <c r="E1046636" s="26"/>
      <c r="F1046636" s="26"/>
      <c r="G1046636" s="26"/>
      <c r="H1046636" s="26"/>
      <c r="I1046636" s="27"/>
      <c r="J1046636" s="26"/>
      <c r="K1046636" s="26"/>
      <c r="L1046636" s="4"/>
      <c r="M1046636" s="4"/>
      <c r="N1046636" s="26"/>
    </row>
    <row r="1046637" customFormat="1" spans="2:14">
      <c r="B1046637" s="26"/>
      <c r="C1046637" s="26"/>
      <c r="D1046637" s="4"/>
      <c r="E1046637" s="26"/>
      <c r="F1046637" s="26"/>
      <c r="G1046637" s="26"/>
      <c r="H1046637" s="26"/>
      <c r="I1046637" s="27"/>
      <c r="J1046637" s="26"/>
      <c r="K1046637" s="26"/>
      <c r="L1046637" s="4"/>
      <c r="M1046637" s="4"/>
      <c r="N1046637" s="26"/>
    </row>
    <row r="1046638" customFormat="1" spans="2:14">
      <c r="B1046638" s="26"/>
      <c r="C1046638" s="26"/>
      <c r="D1046638" s="4"/>
      <c r="E1046638" s="26"/>
      <c r="F1046638" s="26"/>
      <c r="G1046638" s="26"/>
      <c r="H1046638" s="26"/>
      <c r="I1046638" s="27"/>
      <c r="J1046638" s="26"/>
      <c r="K1046638" s="26"/>
      <c r="L1046638" s="4"/>
      <c r="M1046638" s="4"/>
      <c r="N1046638" s="26"/>
    </row>
    <row r="1046639" customFormat="1" spans="2:14">
      <c r="B1046639" s="26"/>
      <c r="C1046639" s="26"/>
      <c r="D1046639" s="4"/>
      <c r="E1046639" s="26"/>
      <c r="F1046639" s="26"/>
      <c r="G1046639" s="26"/>
      <c r="H1046639" s="26"/>
      <c r="I1046639" s="27"/>
      <c r="J1046639" s="26"/>
      <c r="K1046639" s="26"/>
      <c r="L1046639" s="4"/>
      <c r="M1046639" s="4"/>
      <c r="N1046639" s="26"/>
    </row>
    <row r="1046640" customFormat="1" spans="2:14">
      <c r="B1046640" s="26"/>
      <c r="C1046640" s="26"/>
      <c r="D1046640" s="4"/>
      <c r="E1046640" s="26"/>
      <c r="F1046640" s="26"/>
      <c r="G1046640" s="26"/>
      <c r="H1046640" s="26"/>
      <c r="I1046640" s="27"/>
      <c r="J1046640" s="26"/>
      <c r="K1046640" s="26"/>
      <c r="L1046640" s="4"/>
      <c r="M1046640" s="4"/>
      <c r="N1046640" s="26"/>
    </row>
    <row r="1046641" customFormat="1" spans="2:14">
      <c r="B1046641" s="26"/>
      <c r="C1046641" s="26"/>
      <c r="D1046641" s="4"/>
      <c r="E1046641" s="26"/>
      <c r="F1046641" s="26"/>
      <c r="G1046641" s="26"/>
      <c r="H1046641" s="26"/>
      <c r="I1046641" s="27"/>
      <c r="J1046641" s="26"/>
      <c r="K1046641" s="26"/>
      <c r="L1046641" s="4"/>
      <c r="M1046641" s="4"/>
      <c r="N1046641" s="26"/>
    </row>
    <row r="1046642" customFormat="1" spans="2:14">
      <c r="B1046642" s="26"/>
      <c r="C1046642" s="26"/>
      <c r="D1046642" s="4"/>
      <c r="E1046642" s="26"/>
      <c r="F1046642" s="26"/>
      <c r="G1046642" s="26"/>
      <c r="H1046642" s="26"/>
      <c r="I1046642" s="27"/>
      <c r="J1046642" s="26"/>
      <c r="K1046642" s="26"/>
      <c r="L1046642" s="4"/>
      <c r="M1046642" s="4"/>
      <c r="N1046642" s="26"/>
    </row>
    <row r="1046643" customFormat="1" spans="2:14">
      <c r="B1046643" s="26"/>
      <c r="C1046643" s="26"/>
      <c r="D1046643" s="4"/>
      <c r="E1046643" s="26"/>
      <c r="F1046643" s="26"/>
      <c r="G1046643" s="26"/>
      <c r="H1046643" s="26"/>
      <c r="I1046643" s="27"/>
      <c r="J1046643" s="26"/>
      <c r="K1046643" s="26"/>
      <c r="L1046643" s="4"/>
      <c r="M1046643" s="4"/>
      <c r="N1046643" s="26"/>
    </row>
    <row r="1046644" customFormat="1" spans="2:14">
      <c r="B1046644" s="26"/>
      <c r="C1046644" s="26"/>
      <c r="D1046644" s="4"/>
      <c r="E1046644" s="26"/>
      <c r="F1046644" s="26"/>
      <c r="G1046644" s="26"/>
      <c r="H1046644" s="26"/>
      <c r="I1046644" s="27"/>
      <c r="J1046644" s="26"/>
      <c r="K1046644" s="26"/>
      <c r="L1046644" s="4"/>
      <c r="M1046644" s="4"/>
      <c r="N1046644" s="26"/>
    </row>
    <row r="1046645" customFormat="1" spans="2:14">
      <c r="B1046645" s="26"/>
      <c r="C1046645" s="26"/>
      <c r="D1046645" s="4"/>
      <c r="E1046645" s="26"/>
      <c r="F1046645" s="26"/>
      <c r="G1046645" s="26"/>
      <c r="H1046645" s="26"/>
      <c r="I1046645" s="27"/>
      <c r="J1046645" s="26"/>
      <c r="K1046645" s="26"/>
      <c r="L1046645" s="4"/>
      <c r="M1046645" s="4"/>
      <c r="N1046645" s="26"/>
    </row>
    <row r="1046646" customFormat="1" spans="2:14">
      <c r="B1046646" s="26"/>
      <c r="C1046646" s="26"/>
      <c r="D1046646" s="4"/>
      <c r="E1046646" s="26"/>
      <c r="F1046646" s="26"/>
      <c r="G1046646" s="26"/>
      <c r="H1046646" s="26"/>
      <c r="I1046646" s="27"/>
      <c r="J1046646" s="26"/>
      <c r="K1046646" s="26"/>
      <c r="L1046646" s="4"/>
      <c r="M1046646" s="4"/>
      <c r="N1046646" s="26"/>
    </row>
    <row r="1046647" customFormat="1" spans="2:14">
      <c r="B1046647" s="26"/>
      <c r="C1046647" s="26"/>
      <c r="D1046647" s="4"/>
      <c r="E1046647" s="26"/>
      <c r="F1046647" s="26"/>
      <c r="G1046647" s="26"/>
      <c r="H1046647" s="26"/>
      <c r="I1046647" s="27"/>
      <c r="J1046647" s="26"/>
      <c r="K1046647" s="26"/>
      <c r="L1046647" s="4"/>
      <c r="M1046647" s="4"/>
      <c r="N1046647" s="26"/>
    </row>
    <row r="1046648" customFormat="1" spans="2:14">
      <c r="B1046648" s="26"/>
      <c r="C1046648" s="26"/>
      <c r="D1046648" s="4"/>
      <c r="E1046648" s="26"/>
      <c r="F1046648" s="26"/>
      <c r="G1046648" s="26"/>
      <c r="H1046648" s="26"/>
      <c r="I1046648" s="27"/>
      <c r="J1046648" s="26"/>
      <c r="K1046648" s="26"/>
      <c r="L1046648" s="4"/>
      <c r="M1046648" s="4"/>
      <c r="N1046648" s="26"/>
    </row>
    <row r="1046649" customFormat="1" spans="2:14">
      <c r="B1046649" s="26"/>
      <c r="C1046649" s="26"/>
      <c r="D1046649" s="4"/>
      <c r="E1046649" s="26"/>
      <c r="F1046649" s="26"/>
      <c r="G1046649" s="26"/>
      <c r="H1046649" s="26"/>
      <c r="I1046649" s="27"/>
      <c r="J1046649" s="26"/>
      <c r="K1046649" s="26"/>
      <c r="L1046649" s="4"/>
      <c r="M1046649" s="4"/>
      <c r="N1046649" s="26"/>
    </row>
    <row r="1046650" customFormat="1" spans="2:14">
      <c r="B1046650" s="26"/>
      <c r="C1046650" s="26"/>
      <c r="D1046650" s="4"/>
      <c r="E1046650" s="26"/>
      <c r="F1046650" s="26"/>
      <c r="G1046650" s="26"/>
      <c r="H1046650" s="26"/>
      <c r="I1046650" s="27"/>
      <c r="J1046650" s="26"/>
      <c r="K1046650" s="26"/>
      <c r="L1046650" s="4"/>
      <c r="M1046650" s="4"/>
      <c r="N1046650" s="26"/>
    </row>
    <row r="1046651" customFormat="1" spans="2:14">
      <c r="B1046651" s="26"/>
      <c r="C1046651" s="26"/>
      <c r="D1046651" s="4"/>
      <c r="E1046651" s="26"/>
      <c r="F1046651" s="26"/>
      <c r="G1046651" s="26"/>
      <c r="H1046651" s="26"/>
      <c r="I1046651" s="27"/>
      <c r="J1046651" s="26"/>
      <c r="K1046651" s="26"/>
      <c r="L1046651" s="4"/>
      <c r="M1046651" s="4"/>
      <c r="N1046651" s="26"/>
    </row>
    <row r="1046652" customFormat="1" spans="2:14">
      <c r="B1046652" s="26"/>
      <c r="C1046652" s="26"/>
      <c r="D1046652" s="4"/>
      <c r="E1046652" s="26"/>
      <c r="F1046652" s="26"/>
      <c r="G1046652" s="26"/>
      <c r="H1046652" s="26"/>
      <c r="I1046652" s="27"/>
      <c r="J1046652" s="26"/>
      <c r="K1046652" s="26"/>
      <c r="L1046652" s="4"/>
      <c r="M1046652" s="4"/>
      <c r="N1046652" s="26"/>
    </row>
    <row r="1046653" customFormat="1" spans="2:14">
      <c r="B1046653" s="26"/>
      <c r="C1046653" s="26"/>
      <c r="D1046653" s="4"/>
      <c r="E1046653" s="26"/>
      <c r="F1046653" s="26"/>
      <c r="G1046653" s="26"/>
      <c r="H1046653" s="26"/>
      <c r="I1046653" s="27"/>
      <c r="J1046653" s="26"/>
      <c r="K1046653" s="26"/>
      <c r="L1046653" s="4"/>
      <c r="M1046653" s="4"/>
      <c r="N1046653" s="26"/>
    </row>
    <row r="1046654" customFormat="1" spans="2:14">
      <c r="B1046654" s="26"/>
      <c r="C1046654" s="26"/>
      <c r="D1046654" s="4"/>
      <c r="E1046654" s="26"/>
      <c r="F1046654" s="26"/>
      <c r="G1046654" s="26"/>
      <c r="H1046654" s="26"/>
      <c r="I1046654" s="27"/>
      <c r="J1046654" s="26"/>
      <c r="K1046654" s="26"/>
      <c r="L1046654" s="4"/>
      <c r="M1046654" s="4"/>
      <c r="N1046654" s="26"/>
    </row>
    <row r="1046655" customFormat="1" spans="2:14">
      <c r="B1046655" s="26"/>
      <c r="C1046655" s="26"/>
      <c r="D1046655" s="4"/>
      <c r="E1046655" s="26"/>
      <c r="F1046655" s="26"/>
      <c r="G1046655" s="26"/>
      <c r="H1046655" s="26"/>
      <c r="I1046655" s="27"/>
      <c r="J1046655" s="26"/>
      <c r="K1046655" s="26"/>
      <c r="L1046655" s="4"/>
      <c r="M1046655" s="4"/>
      <c r="N1046655" s="26"/>
    </row>
    <row r="1046656" customFormat="1" spans="2:14">
      <c r="B1046656" s="26"/>
      <c r="C1046656" s="26"/>
      <c r="D1046656" s="4"/>
      <c r="E1046656" s="26"/>
      <c r="F1046656" s="26"/>
      <c r="G1046656" s="26"/>
      <c r="H1046656" s="26"/>
      <c r="I1046656" s="27"/>
      <c r="J1046656" s="26"/>
      <c r="K1046656" s="26"/>
      <c r="L1046656" s="4"/>
      <c r="M1046656" s="4"/>
      <c r="N1046656" s="26"/>
    </row>
    <row r="1046657" customFormat="1" spans="2:14">
      <c r="B1046657" s="26"/>
      <c r="C1046657" s="26"/>
      <c r="D1046657" s="4"/>
      <c r="E1046657" s="26"/>
      <c r="F1046657" s="26"/>
      <c r="G1046657" s="26"/>
      <c r="H1046657" s="26"/>
      <c r="I1046657" s="27"/>
      <c r="J1046657" s="26"/>
      <c r="K1046657" s="26"/>
      <c r="L1046657" s="4"/>
      <c r="M1046657" s="4"/>
      <c r="N1046657" s="26"/>
    </row>
    <row r="1046658" customFormat="1" spans="2:14">
      <c r="B1046658" s="26"/>
      <c r="C1046658" s="26"/>
      <c r="D1046658" s="4"/>
      <c r="E1046658" s="26"/>
      <c r="F1046658" s="26"/>
      <c r="G1046658" s="26"/>
      <c r="H1046658" s="26"/>
      <c r="I1046658" s="27"/>
      <c r="J1046658" s="26"/>
      <c r="K1046658" s="26"/>
      <c r="L1046658" s="4"/>
      <c r="M1046658" s="4"/>
      <c r="N1046658" s="26"/>
    </row>
    <row r="1046659" customFormat="1" spans="2:14">
      <c r="B1046659" s="26"/>
      <c r="C1046659" s="26"/>
      <c r="D1046659" s="4"/>
      <c r="E1046659" s="26"/>
      <c r="F1046659" s="26"/>
      <c r="G1046659" s="26"/>
      <c r="H1046659" s="26"/>
      <c r="I1046659" s="27"/>
      <c r="J1046659" s="26"/>
      <c r="K1046659" s="26"/>
      <c r="L1046659" s="4"/>
      <c r="M1046659" s="4"/>
      <c r="N1046659" s="26"/>
    </row>
    <row r="1046660" customFormat="1" spans="2:14">
      <c r="B1046660" s="26"/>
      <c r="C1046660" s="26"/>
      <c r="D1046660" s="4"/>
      <c r="E1046660" s="26"/>
      <c r="F1046660" s="26"/>
      <c r="G1046660" s="26"/>
      <c r="H1046660" s="26"/>
      <c r="I1046660" s="27"/>
      <c r="J1046660" s="26"/>
      <c r="K1046660" s="26"/>
      <c r="L1046660" s="4"/>
      <c r="M1046660" s="4"/>
      <c r="N1046660" s="26"/>
    </row>
    <row r="1046661" customFormat="1" spans="2:14">
      <c r="B1046661" s="26"/>
      <c r="C1046661" s="26"/>
      <c r="D1046661" s="4"/>
      <c r="E1046661" s="26"/>
      <c r="F1046661" s="26"/>
      <c r="G1046661" s="26"/>
      <c r="H1046661" s="26"/>
      <c r="I1046661" s="27"/>
      <c r="J1046661" s="26"/>
      <c r="K1046661" s="26"/>
      <c r="L1046661" s="4"/>
      <c r="M1046661" s="4"/>
      <c r="N1046661" s="26"/>
    </row>
    <row r="1046662" customFormat="1" spans="2:14">
      <c r="B1046662" s="26"/>
      <c r="C1046662" s="26"/>
      <c r="D1046662" s="4"/>
      <c r="E1046662" s="26"/>
      <c r="F1046662" s="26"/>
      <c r="G1046662" s="26"/>
      <c r="H1046662" s="26"/>
      <c r="I1046662" s="27"/>
      <c r="J1046662" s="26"/>
      <c r="K1046662" s="26"/>
      <c r="L1046662" s="4"/>
      <c r="M1046662" s="4"/>
      <c r="N1046662" s="26"/>
    </row>
    <row r="1046663" customFormat="1" spans="2:14">
      <c r="B1046663" s="26"/>
      <c r="C1046663" s="26"/>
      <c r="D1046663" s="4"/>
      <c r="E1046663" s="26"/>
      <c r="F1046663" s="26"/>
      <c r="G1046663" s="26"/>
      <c r="H1046663" s="26"/>
      <c r="I1046663" s="27"/>
      <c r="J1046663" s="26"/>
      <c r="K1046663" s="26"/>
      <c r="L1046663" s="4"/>
      <c r="M1046663" s="4"/>
      <c r="N1046663" s="26"/>
    </row>
    <row r="1046664" customFormat="1" spans="2:14">
      <c r="B1046664" s="26"/>
      <c r="C1046664" s="26"/>
      <c r="D1046664" s="4"/>
      <c r="E1046664" s="26"/>
      <c r="F1046664" s="26"/>
      <c r="G1046664" s="26"/>
      <c r="H1046664" s="26"/>
      <c r="I1046664" s="27"/>
      <c r="J1046664" s="26"/>
      <c r="K1046664" s="26"/>
      <c r="L1046664" s="4"/>
      <c r="M1046664" s="4"/>
      <c r="N1046664" s="26"/>
    </row>
    <row r="1046665" customFormat="1" spans="2:14">
      <c r="B1046665" s="26"/>
      <c r="C1046665" s="26"/>
      <c r="D1046665" s="4"/>
      <c r="E1046665" s="26"/>
      <c r="F1046665" s="26"/>
      <c r="G1046665" s="26"/>
      <c r="H1046665" s="26"/>
      <c r="I1046665" s="27"/>
      <c r="J1046665" s="26"/>
      <c r="K1046665" s="26"/>
      <c r="L1046665" s="4"/>
      <c r="M1046665" s="4"/>
      <c r="N1046665" s="26"/>
    </row>
    <row r="1046666" customFormat="1" spans="2:14">
      <c r="B1046666" s="26"/>
      <c r="C1046666" s="26"/>
      <c r="D1046666" s="4"/>
      <c r="E1046666" s="26"/>
      <c r="F1046666" s="26"/>
      <c r="G1046666" s="26"/>
      <c r="H1046666" s="26"/>
      <c r="I1046666" s="27"/>
      <c r="J1046666" s="26"/>
      <c r="K1046666" s="26"/>
      <c r="L1046666" s="4"/>
      <c r="M1046666" s="4"/>
      <c r="N1046666" s="26"/>
    </row>
    <row r="1046667" customFormat="1" spans="2:14">
      <c r="B1046667" s="26"/>
      <c r="C1046667" s="26"/>
      <c r="D1046667" s="4"/>
      <c r="E1046667" s="26"/>
      <c r="F1046667" s="26"/>
      <c r="G1046667" s="26"/>
      <c r="H1046667" s="26"/>
      <c r="I1046667" s="27"/>
      <c r="J1046667" s="26"/>
      <c r="K1046667" s="26"/>
      <c r="L1046667" s="4"/>
      <c r="M1046667" s="4"/>
      <c r="N1046667" s="26"/>
    </row>
    <row r="1046668" customFormat="1" spans="2:14">
      <c r="B1046668" s="26"/>
      <c r="C1046668" s="26"/>
      <c r="D1046668" s="4"/>
      <c r="E1046668" s="26"/>
      <c r="F1046668" s="26"/>
      <c r="G1046668" s="26"/>
      <c r="H1046668" s="26"/>
      <c r="I1046668" s="27"/>
      <c r="J1046668" s="26"/>
      <c r="K1046668" s="26"/>
      <c r="L1046668" s="4"/>
      <c r="M1046668" s="4"/>
      <c r="N1046668" s="26"/>
    </row>
    <row r="1046669" customFormat="1" spans="2:14">
      <c r="B1046669" s="26"/>
      <c r="C1046669" s="26"/>
      <c r="D1046669" s="4"/>
      <c r="E1046669" s="26"/>
      <c r="F1046669" s="26"/>
      <c r="G1046669" s="26"/>
      <c r="H1046669" s="26"/>
      <c r="I1046669" s="27"/>
      <c r="J1046669" s="26"/>
      <c r="K1046669" s="26"/>
      <c r="L1046669" s="4"/>
      <c r="M1046669" s="4"/>
      <c r="N1046669" s="26"/>
    </row>
    <row r="1046670" customFormat="1" spans="2:14">
      <c r="B1046670" s="26"/>
      <c r="C1046670" s="26"/>
      <c r="D1046670" s="4"/>
      <c r="E1046670" s="26"/>
      <c r="F1046670" s="26"/>
      <c r="G1046670" s="26"/>
      <c r="H1046670" s="26"/>
      <c r="I1046670" s="27"/>
      <c r="J1046670" s="26"/>
      <c r="K1046670" s="26"/>
      <c r="L1046670" s="4"/>
      <c r="M1046670" s="4"/>
      <c r="N1046670" s="26"/>
    </row>
    <row r="1046671" customFormat="1" spans="2:14">
      <c r="B1046671" s="26"/>
      <c r="C1046671" s="26"/>
      <c r="D1046671" s="4"/>
      <c r="E1046671" s="26"/>
      <c r="F1046671" s="26"/>
      <c r="G1046671" s="26"/>
      <c r="H1046671" s="26"/>
      <c r="I1046671" s="27"/>
      <c r="J1046671" s="26"/>
      <c r="K1046671" s="26"/>
      <c r="L1046671" s="4"/>
      <c r="M1046671" s="4"/>
      <c r="N1046671" s="26"/>
    </row>
    <row r="1046672" customFormat="1" spans="2:14">
      <c r="B1046672" s="26"/>
      <c r="C1046672" s="26"/>
      <c r="D1046672" s="4"/>
      <c r="E1046672" s="26"/>
      <c r="F1046672" s="26"/>
      <c r="G1046672" s="26"/>
      <c r="H1046672" s="26"/>
      <c r="I1046672" s="27"/>
      <c r="J1046672" s="26"/>
      <c r="K1046672" s="26"/>
      <c r="L1046672" s="4"/>
      <c r="M1046672" s="4"/>
      <c r="N1046672" s="26"/>
    </row>
    <row r="1046673" customFormat="1" spans="2:14">
      <c r="B1046673" s="26"/>
      <c r="C1046673" s="26"/>
      <c r="D1046673" s="4"/>
      <c r="E1046673" s="26"/>
      <c r="F1046673" s="26"/>
      <c r="G1046673" s="26"/>
      <c r="H1046673" s="26"/>
      <c r="I1046673" s="27"/>
      <c r="J1046673" s="26"/>
      <c r="K1046673" s="26"/>
      <c r="L1046673" s="4"/>
      <c r="M1046673" s="4"/>
      <c r="N1046673" s="26"/>
    </row>
    <row r="1046674" customFormat="1" spans="2:14">
      <c r="B1046674" s="26"/>
      <c r="C1046674" s="26"/>
      <c r="D1046674" s="4"/>
      <c r="E1046674" s="26"/>
      <c r="F1046674" s="26"/>
      <c r="G1046674" s="26"/>
      <c r="H1046674" s="26"/>
      <c r="I1046674" s="27"/>
      <c r="J1046674" s="26"/>
      <c r="K1046674" s="26"/>
      <c r="L1046674" s="4"/>
      <c r="M1046674" s="4"/>
      <c r="N1046674" s="26"/>
    </row>
    <row r="1046675" customFormat="1" spans="2:14">
      <c r="B1046675" s="26"/>
      <c r="C1046675" s="26"/>
      <c r="D1046675" s="4"/>
      <c r="E1046675" s="26"/>
      <c r="F1046675" s="26"/>
      <c r="G1046675" s="26"/>
      <c r="H1046675" s="26"/>
      <c r="I1046675" s="27"/>
      <c r="J1046675" s="26"/>
      <c r="K1046675" s="26"/>
      <c r="L1046675" s="4"/>
      <c r="M1046675" s="4"/>
      <c r="N1046675" s="26"/>
    </row>
    <row r="1046676" customFormat="1" spans="2:14">
      <c r="B1046676" s="26"/>
      <c r="C1046676" s="26"/>
      <c r="D1046676" s="4"/>
      <c r="E1046676" s="26"/>
      <c r="F1046676" s="26"/>
      <c r="G1046676" s="26"/>
      <c r="H1046676" s="26"/>
      <c r="I1046676" s="27"/>
      <c r="J1046676" s="26"/>
      <c r="K1046676" s="26"/>
      <c r="L1046676" s="4"/>
      <c r="M1046676" s="4"/>
      <c r="N1046676" s="26"/>
    </row>
    <row r="1046677" customFormat="1" spans="2:14">
      <c r="B1046677" s="26"/>
      <c r="C1046677" s="26"/>
      <c r="D1046677" s="4"/>
      <c r="E1046677" s="26"/>
      <c r="F1046677" s="26"/>
      <c r="G1046677" s="26"/>
      <c r="H1046677" s="26"/>
      <c r="I1046677" s="27"/>
      <c r="J1046677" s="26"/>
      <c r="K1046677" s="26"/>
      <c r="L1046677" s="4"/>
      <c r="M1046677" s="4"/>
      <c r="N1046677" s="26"/>
    </row>
    <row r="1046678" customFormat="1" spans="2:14">
      <c r="B1046678" s="26"/>
      <c r="C1046678" s="26"/>
      <c r="D1046678" s="4"/>
      <c r="E1046678" s="26"/>
      <c r="F1046678" s="26"/>
      <c r="G1046678" s="26"/>
      <c r="H1046678" s="26"/>
      <c r="I1046678" s="27"/>
      <c r="J1046678" s="26"/>
      <c r="K1046678" s="26"/>
      <c r="L1046678" s="4"/>
      <c r="M1046678" s="4"/>
      <c r="N1046678" s="26"/>
    </row>
    <row r="1046679" customFormat="1" spans="2:14">
      <c r="B1046679" s="26"/>
      <c r="C1046679" s="26"/>
      <c r="D1046679" s="4"/>
      <c r="E1046679" s="26"/>
      <c r="F1046679" s="26"/>
      <c r="G1046679" s="26"/>
      <c r="H1046679" s="26"/>
      <c r="I1046679" s="27"/>
      <c r="J1046679" s="26"/>
      <c r="K1046679" s="26"/>
      <c r="L1046679" s="4"/>
      <c r="M1046679" s="4"/>
      <c r="N1046679" s="26"/>
    </row>
    <row r="1046680" customFormat="1" spans="2:14">
      <c r="B1046680" s="26"/>
      <c r="C1046680" s="26"/>
      <c r="D1046680" s="4"/>
      <c r="E1046680" s="26"/>
      <c r="F1046680" s="26"/>
      <c r="G1046680" s="26"/>
      <c r="H1046680" s="26"/>
      <c r="I1046680" s="27"/>
      <c r="J1046680" s="26"/>
      <c r="K1046680" s="26"/>
      <c r="L1046680" s="4"/>
      <c r="M1046680" s="4"/>
      <c r="N1046680" s="26"/>
    </row>
    <row r="1046681" customFormat="1" spans="2:14">
      <c r="B1046681" s="26"/>
      <c r="C1046681" s="26"/>
      <c r="D1046681" s="4"/>
      <c r="E1046681" s="26"/>
      <c r="F1046681" s="26"/>
      <c r="G1046681" s="26"/>
      <c r="H1046681" s="26"/>
      <c r="I1046681" s="27"/>
      <c r="J1046681" s="26"/>
      <c r="K1046681" s="26"/>
      <c r="L1046681" s="4"/>
      <c r="M1046681" s="4"/>
      <c r="N1046681" s="26"/>
    </row>
    <row r="1046682" customFormat="1" spans="2:14">
      <c r="B1046682" s="26"/>
      <c r="C1046682" s="26"/>
      <c r="D1046682" s="4"/>
      <c r="E1046682" s="26"/>
      <c r="F1046682" s="26"/>
      <c r="G1046682" s="26"/>
      <c r="H1046682" s="26"/>
      <c r="I1046682" s="27"/>
      <c r="J1046682" s="26"/>
      <c r="K1046682" s="26"/>
      <c r="L1046682" s="4"/>
      <c r="M1046682" s="4"/>
      <c r="N1046682" s="26"/>
    </row>
    <row r="1046683" customFormat="1" spans="2:14">
      <c r="B1046683" s="26"/>
      <c r="C1046683" s="26"/>
      <c r="D1046683" s="4"/>
      <c r="E1046683" s="26"/>
      <c r="F1046683" s="26"/>
      <c r="G1046683" s="26"/>
      <c r="H1046683" s="26"/>
      <c r="I1046683" s="27"/>
      <c r="J1046683" s="26"/>
      <c r="K1046683" s="26"/>
      <c r="L1046683" s="4"/>
      <c r="M1046683" s="4"/>
      <c r="N1046683" s="26"/>
    </row>
    <row r="1046684" customFormat="1" spans="2:14">
      <c r="B1046684" s="26"/>
      <c r="C1046684" s="26"/>
      <c r="D1046684" s="4"/>
      <c r="E1046684" s="26"/>
      <c r="F1046684" s="26"/>
      <c r="G1046684" s="26"/>
      <c r="H1046684" s="26"/>
      <c r="I1046684" s="27"/>
      <c r="J1046684" s="26"/>
      <c r="K1046684" s="26"/>
      <c r="L1046684" s="4"/>
      <c r="M1046684" s="4"/>
      <c r="N1046684" s="26"/>
    </row>
    <row r="1046685" customFormat="1" spans="2:14">
      <c r="B1046685" s="26"/>
      <c r="C1046685" s="26"/>
      <c r="D1046685" s="4"/>
      <c r="E1046685" s="26"/>
      <c r="F1046685" s="26"/>
      <c r="G1046685" s="26"/>
      <c r="H1046685" s="26"/>
      <c r="I1046685" s="27"/>
      <c r="J1046685" s="26"/>
      <c r="K1046685" s="26"/>
      <c r="L1046685" s="4"/>
      <c r="M1046685" s="4"/>
      <c r="N1046685" s="26"/>
    </row>
    <row r="1046686" customFormat="1" spans="2:14">
      <c r="B1046686" s="26"/>
      <c r="C1046686" s="26"/>
      <c r="D1046686" s="4"/>
      <c r="E1046686" s="26"/>
      <c r="F1046686" s="26"/>
      <c r="G1046686" s="26"/>
      <c r="H1046686" s="26"/>
      <c r="I1046686" s="27"/>
      <c r="J1046686" s="26"/>
      <c r="K1046686" s="26"/>
      <c r="L1046686" s="4"/>
      <c r="M1046686" s="4"/>
      <c r="N1046686" s="26"/>
    </row>
    <row r="1046687" customFormat="1" spans="2:14">
      <c r="B1046687" s="26"/>
      <c r="C1046687" s="26"/>
      <c r="D1046687" s="4"/>
      <c r="E1046687" s="26"/>
      <c r="F1046687" s="26"/>
      <c r="G1046687" s="26"/>
      <c r="H1046687" s="26"/>
      <c r="I1046687" s="27"/>
      <c r="J1046687" s="26"/>
      <c r="K1046687" s="26"/>
      <c r="L1046687" s="4"/>
      <c r="M1046687" s="4"/>
      <c r="N1046687" s="26"/>
    </row>
    <row r="1046688" customFormat="1" spans="2:14">
      <c r="B1046688" s="26"/>
      <c r="C1046688" s="26"/>
      <c r="D1046688" s="4"/>
      <c r="E1046688" s="26"/>
      <c r="F1046688" s="26"/>
      <c r="G1046688" s="26"/>
      <c r="H1046688" s="26"/>
      <c r="I1046688" s="27"/>
      <c r="J1046688" s="26"/>
      <c r="K1046688" s="26"/>
      <c r="L1046688" s="4"/>
      <c r="M1046688" s="4"/>
      <c r="N1046688" s="26"/>
    </row>
    <row r="1046689" customFormat="1" spans="2:14">
      <c r="B1046689" s="26"/>
      <c r="C1046689" s="26"/>
      <c r="D1046689" s="4"/>
      <c r="E1046689" s="26"/>
      <c r="F1046689" s="26"/>
      <c r="G1046689" s="26"/>
      <c r="H1046689" s="26"/>
      <c r="I1046689" s="27"/>
      <c r="J1046689" s="26"/>
      <c r="K1046689" s="26"/>
      <c r="L1046689" s="4"/>
      <c r="M1046689" s="4"/>
      <c r="N1046689" s="26"/>
    </row>
    <row r="1046690" customFormat="1" spans="2:14">
      <c r="B1046690" s="26"/>
      <c r="C1046690" s="26"/>
      <c r="D1046690" s="4"/>
      <c r="E1046690" s="26"/>
      <c r="F1046690" s="26"/>
      <c r="G1046690" s="26"/>
      <c r="H1046690" s="26"/>
      <c r="I1046690" s="27"/>
      <c r="J1046690" s="26"/>
      <c r="K1046690" s="26"/>
      <c r="L1046690" s="4"/>
      <c r="M1046690" s="4"/>
      <c r="N1046690" s="26"/>
    </row>
    <row r="1046691" customFormat="1" spans="2:14">
      <c r="B1046691" s="26"/>
      <c r="C1046691" s="26"/>
      <c r="D1046691" s="4"/>
      <c r="E1046691" s="26"/>
      <c r="F1046691" s="26"/>
      <c r="G1046691" s="26"/>
      <c r="H1046691" s="26"/>
      <c r="I1046691" s="27"/>
      <c r="J1046691" s="26"/>
      <c r="K1046691" s="26"/>
      <c r="L1046691" s="4"/>
      <c r="M1046691" s="4"/>
      <c r="N1046691" s="26"/>
    </row>
    <row r="1046692" customFormat="1" spans="2:14">
      <c r="B1046692" s="26"/>
      <c r="C1046692" s="26"/>
      <c r="D1046692" s="4"/>
      <c r="E1046692" s="26"/>
      <c r="F1046692" s="26"/>
      <c r="G1046692" s="26"/>
      <c r="H1046692" s="26"/>
      <c r="I1046692" s="27"/>
      <c r="J1046692" s="26"/>
      <c r="K1046692" s="26"/>
      <c r="L1046692" s="4"/>
      <c r="M1046692" s="4"/>
      <c r="N1046692" s="26"/>
    </row>
    <row r="1046693" customFormat="1" spans="2:14">
      <c r="B1046693" s="26"/>
      <c r="C1046693" s="26"/>
      <c r="D1046693" s="4"/>
      <c r="E1046693" s="26"/>
      <c r="F1046693" s="26"/>
      <c r="G1046693" s="26"/>
      <c r="H1046693" s="26"/>
      <c r="I1046693" s="27"/>
      <c r="J1046693" s="26"/>
      <c r="K1046693" s="26"/>
      <c r="L1046693" s="4"/>
      <c r="M1046693" s="4"/>
      <c r="N1046693" s="26"/>
    </row>
    <row r="1046694" customFormat="1" spans="2:14">
      <c r="B1046694" s="26"/>
      <c r="C1046694" s="26"/>
      <c r="D1046694" s="4"/>
      <c r="E1046694" s="26"/>
      <c r="F1046694" s="26"/>
      <c r="G1046694" s="26"/>
      <c r="H1046694" s="26"/>
      <c r="I1046694" s="27"/>
      <c r="J1046694" s="26"/>
      <c r="K1046694" s="26"/>
      <c r="L1046694" s="4"/>
      <c r="M1046694" s="4"/>
      <c r="N1046694" s="26"/>
    </row>
    <row r="1046695" customFormat="1" spans="2:14">
      <c r="B1046695" s="26"/>
      <c r="C1046695" s="26"/>
      <c r="D1046695" s="4"/>
      <c r="E1046695" s="26"/>
      <c r="F1046695" s="26"/>
      <c r="G1046695" s="26"/>
      <c r="H1046695" s="26"/>
      <c r="I1046695" s="27"/>
      <c r="J1046695" s="26"/>
      <c r="K1046695" s="26"/>
      <c r="L1046695" s="4"/>
      <c r="M1046695" s="4"/>
      <c r="N1046695" s="26"/>
    </row>
    <row r="1046696" customFormat="1" spans="2:14">
      <c r="B1046696" s="26"/>
      <c r="C1046696" s="26"/>
      <c r="D1046696" s="4"/>
      <c r="E1046696" s="26"/>
      <c r="F1046696" s="26"/>
      <c r="G1046696" s="26"/>
      <c r="H1046696" s="26"/>
      <c r="I1046696" s="27"/>
      <c r="J1046696" s="26"/>
      <c r="K1046696" s="26"/>
      <c r="L1046696" s="4"/>
      <c r="M1046696" s="4"/>
      <c r="N1046696" s="26"/>
    </row>
    <row r="1046697" customFormat="1" spans="2:14">
      <c r="B1046697" s="26"/>
      <c r="C1046697" s="26"/>
      <c r="D1046697" s="4"/>
      <c r="E1046697" s="26"/>
      <c r="F1046697" s="26"/>
      <c r="G1046697" s="26"/>
      <c r="H1046697" s="26"/>
      <c r="I1046697" s="27"/>
      <c r="J1046697" s="26"/>
      <c r="K1046697" s="26"/>
      <c r="L1046697" s="4"/>
      <c r="M1046697" s="4"/>
      <c r="N1046697" s="26"/>
    </row>
    <row r="1046698" customFormat="1" spans="2:14">
      <c r="B1046698" s="26"/>
      <c r="C1046698" s="26"/>
      <c r="D1046698" s="4"/>
      <c r="E1046698" s="26"/>
      <c r="F1046698" s="26"/>
      <c r="G1046698" s="26"/>
      <c r="H1046698" s="26"/>
      <c r="I1046698" s="27"/>
      <c r="J1046698" s="26"/>
      <c r="K1046698" s="26"/>
      <c r="L1046698" s="4"/>
      <c r="M1046698" s="4"/>
      <c r="N1046698" s="26"/>
    </row>
    <row r="1046699" customFormat="1" spans="2:14">
      <c r="B1046699" s="26"/>
      <c r="C1046699" s="26"/>
      <c r="D1046699" s="4"/>
      <c r="E1046699" s="26"/>
      <c r="F1046699" s="26"/>
      <c r="G1046699" s="26"/>
      <c r="H1046699" s="26"/>
      <c r="I1046699" s="27"/>
      <c r="J1046699" s="26"/>
      <c r="K1046699" s="26"/>
      <c r="L1046699" s="4"/>
      <c r="M1046699" s="4"/>
      <c r="N1046699" s="26"/>
    </row>
    <row r="1046700" customFormat="1" spans="2:14">
      <c r="B1046700" s="26"/>
      <c r="C1046700" s="26"/>
      <c r="D1046700" s="4"/>
      <c r="E1046700" s="26"/>
      <c r="F1046700" s="26"/>
      <c r="G1046700" s="26"/>
      <c r="H1046700" s="26"/>
      <c r="I1046700" s="27"/>
      <c r="J1046700" s="26"/>
      <c r="K1046700" s="26"/>
      <c r="L1046700" s="4"/>
      <c r="M1046700" s="4"/>
      <c r="N1046700" s="26"/>
    </row>
    <row r="1046701" customFormat="1" spans="2:14">
      <c r="B1046701" s="26"/>
      <c r="C1046701" s="26"/>
      <c r="D1046701" s="4"/>
      <c r="E1046701" s="26"/>
      <c r="F1046701" s="26"/>
      <c r="G1046701" s="26"/>
      <c r="H1046701" s="26"/>
      <c r="I1046701" s="27"/>
      <c r="J1046701" s="26"/>
      <c r="K1046701" s="26"/>
      <c r="L1046701" s="4"/>
      <c r="M1046701" s="4"/>
      <c r="N1046701" s="26"/>
    </row>
    <row r="1046702" customFormat="1" spans="2:14">
      <c r="B1046702" s="26"/>
      <c r="C1046702" s="26"/>
      <c r="D1046702" s="4"/>
      <c r="E1046702" s="26"/>
      <c r="F1046702" s="26"/>
      <c r="G1046702" s="26"/>
      <c r="H1046702" s="26"/>
      <c r="I1046702" s="27"/>
      <c r="J1046702" s="26"/>
      <c r="K1046702" s="26"/>
      <c r="L1046702" s="4"/>
      <c r="M1046702" s="4"/>
      <c r="N1046702" s="26"/>
    </row>
    <row r="1046703" customFormat="1" spans="2:14">
      <c r="B1046703" s="26"/>
      <c r="C1046703" s="26"/>
      <c r="D1046703" s="4"/>
      <c r="E1046703" s="26"/>
      <c r="F1046703" s="26"/>
      <c r="G1046703" s="26"/>
      <c r="H1046703" s="26"/>
      <c r="I1046703" s="27"/>
      <c r="J1046703" s="26"/>
      <c r="K1046703" s="26"/>
      <c r="L1046703" s="4"/>
      <c r="M1046703" s="4"/>
      <c r="N1046703" s="26"/>
    </row>
    <row r="1046704" customFormat="1" spans="2:14">
      <c r="B1046704" s="26"/>
      <c r="C1046704" s="26"/>
      <c r="D1046704" s="4"/>
      <c r="E1046704" s="26"/>
      <c r="F1046704" s="26"/>
      <c r="G1046704" s="26"/>
      <c r="H1046704" s="26"/>
      <c r="I1046704" s="27"/>
      <c r="J1046704" s="26"/>
      <c r="K1046704" s="26"/>
      <c r="L1046704" s="4"/>
      <c r="M1046704" s="4"/>
      <c r="N1046704" s="26"/>
    </row>
    <row r="1046705" customFormat="1" spans="2:14">
      <c r="B1046705" s="26"/>
      <c r="C1046705" s="26"/>
      <c r="D1046705" s="4"/>
      <c r="E1046705" s="26"/>
      <c r="F1046705" s="26"/>
      <c r="G1046705" s="26"/>
      <c r="H1046705" s="26"/>
      <c r="I1046705" s="27"/>
      <c r="J1046705" s="26"/>
      <c r="K1046705" s="26"/>
      <c r="L1046705" s="4"/>
      <c r="M1046705" s="4"/>
      <c r="N1046705" s="26"/>
    </row>
    <row r="1046706" customFormat="1" spans="2:14">
      <c r="B1046706" s="26"/>
      <c r="C1046706" s="26"/>
      <c r="D1046706" s="4"/>
      <c r="E1046706" s="26"/>
      <c r="F1046706" s="26"/>
      <c r="G1046706" s="26"/>
      <c r="H1046706" s="26"/>
      <c r="I1046706" s="27"/>
      <c r="J1046706" s="26"/>
      <c r="K1046706" s="26"/>
      <c r="L1046706" s="4"/>
      <c r="M1046706" s="4"/>
      <c r="N1046706" s="26"/>
    </row>
    <row r="1046707" customFormat="1" spans="2:14">
      <c r="B1046707" s="26"/>
      <c r="C1046707" s="26"/>
      <c r="D1046707" s="4"/>
      <c r="E1046707" s="26"/>
      <c r="F1046707" s="26"/>
      <c r="G1046707" s="26"/>
      <c r="H1046707" s="26"/>
      <c r="I1046707" s="27"/>
      <c r="J1046707" s="26"/>
      <c r="K1046707" s="26"/>
      <c r="L1046707" s="4"/>
      <c r="M1046707" s="4"/>
      <c r="N1046707" s="26"/>
    </row>
    <row r="1046708" customFormat="1" spans="2:14">
      <c r="B1046708" s="26"/>
      <c r="C1046708" s="26"/>
      <c r="D1046708" s="4"/>
      <c r="E1046708" s="26"/>
      <c r="F1046708" s="26"/>
      <c r="G1046708" s="26"/>
      <c r="H1046708" s="26"/>
      <c r="I1046708" s="27"/>
      <c r="J1046708" s="26"/>
      <c r="K1046708" s="26"/>
      <c r="L1046708" s="4"/>
      <c r="M1046708" s="4"/>
      <c r="N1046708" s="26"/>
    </row>
    <row r="1046709" customFormat="1" spans="2:14">
      <c r="B1046709" s="26"/>
      <c r="C1046709" s="26"/>
      <c r="D1046709" s="4"/>
      <c r="E1046709" s="26"/>
      <c r="F1046709" s="26"/>
      <c r="G1046709" s="26"/>
      <c r="H1046709" s="26"/>
      <c r="I1046709" s="27"/>
      <c r="J1046709" s="26"/>
      <c r="K1046709" s="26"/>
      <c r="L1046709" s="4"/>
      <c r="M1046709" s="4"/>
      <c r="N1046709" s="26"/>
    </row>
    <row r="1046710" customFormat="1" spans="2:14">
      <c r="B1046710" s="26"/>
      <c r="C1046710" s="26"/>
      <c r="D1046710" s="4"/>
      <c r="E1046710" s="26"/>
      <c r="F1046710" s="26"/>
      <c r="G1046710" s="26"/>
      <c r="H1046710" s="26"/>
      <c r="I1046710" s="27"/>
      <c r="J1046710" s="26"/>
      <c r="K1046710" s="26"/>
      <c r="L1046710" s="4"/>
      <c r="M1046710" s="4"/>
      <c r="N1046710" s="26"/>
    </row>
    <row r="1046711" customFormat="1" spans="2:14">
      <c r="B1046711" s="26"/>
      <c r="C1046711" s="26"/>
      <c r="D1046711" s="4"/>
      <c r="E1046711" s="26"/>
      <c r="F1046711" s="26"/>
      <c r="G1046711" s="26"/>
      <c r="H1046711" s="26"/>
      <c r="I1046711" s="27"/>
      <c r="J1046711" s="26"/>
      <c r="K1046711" s="26"/>
      <c r="L1046711" s="4"/>
      <c r="M1046711" s="4"/>
      <c r="N1046711" s="26"/>
    </row>
    <row r="1046712" customFormat="1" spans="2:14">
      <c r="B1046712" s="26"/>
      <c r="C1046712" s="26"/>
      <c r="D1046712" s="4"/>
      <c r="E1046712" s="26"/>
      <c r="F1046712" s="26"/>
      <c r="G1046712" s="26"/>
      <c r="H1046712" s="26"/>
      <c r="I1046712" s="27"/>
      <c r="J1046712" s="26"/>
      <c r="K1046712" s="26"/>
      <c r="L1046712" s="4"/>
      <c r="M1046712" s="4"/>
      <c r="N1046712" s="26"/>
    </row>
    <row r="1046713" customFormat="1" spans="2:14">
      <c r="B1046713" s="26"/>
      <c r="C1046713" s="26"/>
      <c r="D1046713" s="4"/>
      <c r="E1046713" s="26"/>
      <c r="F1046713" s="26"/>
      <c r="G1046713" s="26"/>
      <c r="H1046713" s="26"/>
      <c r="I1046713" s="27"/>
      <c r="J1046713" s="26"/>
      <c r="K1046713" s="26"/>
      <c r="L1046713" s="4"/>
      <c r="M1046713" s="4"/>
      <c r="N1046713" s="26"/>
    </row>
    <row r="1046714" customFormat="1" spans="2:14">
      <c r="B1046714" s="26"/>
      <c r="C1046714" s="26"/>
      <c r="D1046714" s="4"/>
      <c r="E1046714" s="26"/>
      <c r="F1046714" s="26"/>
      <c r="G1046714" s="26"/>
      <c r="H1046714" s="26"/>
      <c r="I1046714" s="27"/>
      <c r="J1046714" s="26"/>
      <c r="K1046714" s="26"/>
      <c r="L1046714" s="4"/>
      <c r="M1046714" s="4"/>
      <c r="N1046714" s="26"/>
    </row>
    <row r="1046715" customFormat="1" spans="2:14">
      <c r="B1046715" s="26"/>
      <c r="C1046715" s="26"/>
      <c r="D1046715" s="4"/>
      <c r="E1046715" s="26"/>
      <c r="F1046715" s="26"/>
      <c r="G1046715" s="26"/>
      <c r="H1046715" s="26"/>
      <c r="I1046715" s="27"/>
      <c r="J1046715" s="26"/>
      <c r="K1046715" s="26"/>
      <c r="L1046715" s="4"/>
      <c r="M1046715" s="4"/>
      <c r="N1046715" s="26"/>
    </row>
    <row r="1046716" customFormat="1" spans="2:14">
      <c r="B1046716" s="26"/>
      <c r="C1046716" s="26"/>
      <c r="D1046716" s="4"/>
      <c r="E1046716" s="26"/>
      <c r="F1046716" s="26"/>
      <c r="G1046716" s="26"/>
      <c r="H1046716" s="26"/>
      <c r="I1046716" s="27"/>
      <c r="J1046716" s="26"/>
      <c r="K1046716" s="26"/>
      <c r="L1046716" s="4"/>
      <c r="M1046716" s="4"/>
      <c r="N1046716" s="26"/>
    </row>
    <row r="1046717" customFormat="1" spans="2:14">
      <c r="B1046717" s="26"/>
      <c r="C1046717" s="26"/>
      <c r="D1046717" s="4"/>
      <c r="E1046717" s="26"/>
      <c r="F1046717" s="26"/>
      <c r="G1046717" s="26"/>
      <c r="H1046717" s="26"/>
      <c r="I1046717" s="27"/>
      <c r="J1046717" s="26"/>
      <c r="K1046717" s="26"/>
      <c r="L1046717" s="4"/>
      <c r="M1046717" s="4"/>
      <c r="N1046717" s="26"/>
    </row>
    <row r="1046718" customFormat="1" spans="2:14">
      <c r="B1046718" s="26"/>
      <c r="C1046718" s="26"/>
      <c r="D1046718" s="4"/>
      <c r="E1046718" s="26"/>
      <c r="F1046718" s="26"/>
      <c r="G1046718" s="26"/>
      <c r="H1046718" s="26"/>
      <c r="I1046718" s="27"/>
      <c r="J1046718" s="26"/>
      <c r="K1046718" s="26"/>
      <c r="L1046718" s="4"/>
      <c r="M1046718" s="4"/>
      <c r="N1046718" s="26"/>
    </row>
    <row r="1046719" customFormat="1" spans="2:14">
      <c r="B1046719" s="26"/>
      <c r="C1046719" s="26"/>
      <c r="D1046719" s="4"/>
      <c r="E1046719" s="26"/>
      <c r="F1046719" s="26"/>
      <c r="G1046719" s="26"/>
      <c r="H1046719" s="26"/>
      <c r="I1046719" s="27"/>
      <c r="J1046719" s="26"/>
      <c r="K1046719" s="26"/>
      <c r="L1046719" s="4"/>
      <c r="M1046719" s="4"/>
      <c r="N1046719" s="26"/>
    </row>
    <row r="1046720" customFormat="1" spans="2:14">
      <c r="B1046720" s="26"/>
      <c r="C1046720" s="26"/>
      <c r="D1046720" s="4"/>
      <c r="E1046720" s="26"/>
      <c r="F1046720" s="26"/>
      <c r="G1046720" s="26"/>
      <c r="H1046720" s="26"/>
      <c r="I1046720" s="27"/>
      <c r="J1046720" s="26"/>
      <c r="K1046720" s="26"/>
      <c r="L1046720" s="4"/>
      <c r="M1046720" s="4"/>
      <c r="N1046720" s="26"/>
    </row>
    <row r="1046721" customFormat="1" spans="2:14">
      <c r="B1046721" s="26"/>
      <c r="C1046721" s="26"/>
      <c r="D1046721" s="4"/>
      <c r="E1046721" s="26"/>
      <c r="F1046721" s="26"/>
      <c r="G1046721" s="26"/>
      <c r="H1046721" s="26"/>
      <c r="I1046721" s="27"/>
      <c r="J1046721" s="26"/>
      <c r="K1046721" s="26"/>
      <c r="L1046721" s="4"/>
      <c r="M1046721" s="4"/>
      <c r="N1046721" s="26"/>
    </row>
    <row r="1046722" customFormat="1" spans="2:14">
      <c r="B1046722" s="26"/>
      <c r="C1046722" s="26"/>
      <c r="D1046722" s="4"/>
      <c r="E1046722" s="26"/>
      <c r="F1046722" s="26"/>
      <c r="G1046722" s="26"/>
      <c r="H1046722" s="26"/>
      <c r="I1046722" s="27"/>
      <c r="J1046722" s="26"/>
      <c r="K1046722" s="26"/>
      <c r="L1046722" s="4"/>
      <c r="M1046722" s="4"/>
      <c r="N1046722" s="26"/>
    </row>
    <row r="1046723" customFormat="1" spans="2:14">
      <c r="B1046723" s="26"/>
      <c r="C1046723" s="26"/>
      <c r="D1046723" s="4"/>
      <c r="E1046723" s="26"/>
      <c r="F1046723" s="26"/>
      <c r="G1046723" s="26"/>
      <c r="H1046723" s="26"/>
      <c r="I1046723" s="27"/>
      <c r="J1046723" s="26"/>
      <c r="K1046723" s="26"/>
      <c r="L1046723" s="4"/>
      <c r="M1046723" s="4"/>
      <c r="N1046723" s="26"/>
    </row>
    <row r="1046724" customFormat="1" spans="2:14">
      <c r="B1046724" s="26"/>
      <c r="C1046724" s="26"/>
      <c r="D1046724" s="4"/>
      <c r="E1046724" s="26"/>
      <c r="F1046724" s="26"/>
      <c r="G1046724" s="26"/>
      <c r="H1046724" s="26"/>
      <c r="I1046724" s="27"/>
      <c r="J1046724" s="26"/>
      <c r="K1046724" s="26"/>
      <c r="L1046724" s="4"/>
      <c r="M1046724" s="4"/>
      <c r="N1046724" s="26"/>
    </row>
    <row r="1046725" customFormat="1" spans="2:14">
      <c r="B1046725" s="26"/>
      <c r="C1046725" s="26"/>
      <c r="D1046725" s="4"/>
      <c r="E1046725" s="26"/>
      <c r="F1046725" s="26"/>
      <c r="G1046725" s="26"/>
      <c r="H1046725" s="26"/>
      <c r="I1046725" s="27"/>
      <c r="J1046725" s="26"/>
      <c r="K1046725" s="26"/>
      <c r="L1046725" s="4"/>
      <c r="M1046725" s="4"/>
      <c r="N1046725" s="26"/>
    </row>
    <row r="1046726" customFormat="1" spans="2:14">
      <c r="B1046726" s="26"/>
      <c r="C1046726" s="26"/>
      <c r="D1046726" s="4"/>
      <c r="E1046726" s="26"/>
      <c r="F1046726" s="26"/>
      <c r="G1046726" s="26"/>
      <c r="H1046726" s="26"/>
      <c r="I1046726" s="27"/>
      <c r="J1046726" s="26"/>
      <c r="K1046726" s="26"/>
      <c r="L1046726" s="4"/>
      <c r="M1046726" s="4"/>
      <c r="N1046726" s="26"/>
    </row>
    <row r="1046727" customFormat="1" spans="2:14">
      <c r="B1046727" s="26"/>
      <c r="C1046727" s="26"/>
      <c r="D1046727" s="4"/>
      <c r="E1046727" s="26"/>
      <c r="F1046727" s="26"/>
      <c r="G1046727" s="26"/>
      <c r="H1046727" s="26"/>
      <c r="I1046727" s="27"/>
      <c r="J1046727" s="26"/>
      <c r="K1046727" s="26"/>
      <c r="L1046727" s="4"/>
      <c r="M1046727" s="4"/>
      <c r="N1046727" s="26"/>
    </row>
    <row r="1046728" customFormat="1" spans="2:14">
      <c r="B1046728" s="26"/>
      <c r="C1046728" s="26"/>
      <c r="D1046728" s="4"/>
      <c r="E1046728" s="26"/>
      <c r="F1046728" s="26"/>
      <c r="G1046728" s="26"/>
      <c r="H1046728" s="26"/>
      <c r="I1046728" s="27"/>
      <c r="J1046728" s="26"/>
      <c r="K1046728" s="26"/>
      <c r="L1046728" s="4"/>
      <c r="M1046728" s="4"/>
      <c r="N1046728" s="26"/>
    </row>
    <row r="1046729" customFormat="1" spans="2:14">
      <c r="B1046729" s="26"/>
      <c r="C1046729" s="26"/>
      <c r="D1046729" s="4"/>
      <c r="E1046729" s="26"/>
      <c r="F1046729" s="26"/>
      <c r="G1046729" s="26"/>
      <c r="H1046729" s="26"/>
      <c r="I1046729" s="27"/>
      <c r="J1046729" s="26"/>
      <c r="K1046729" s="26"/>
      <c r="L1046729" s="4"/>
      <c r="M1046729" s="4"/>
      <c r="N1046729" s="26"/>
    </row>
    <row r="1046730" customFormat="1" spans="2:14">
      <c r="B1046730" s="26"/>
      <c r="C1046730" s="26"/>
      <c r="D1046730" s="4"/>
      <c r="E1046730" s="26"/>
      <c r="F1046730" s="26"/>
      <c r="G1046730" s="26"/>
      <c r="H1046730" s="26"/>
      <c r="I1046730" s="27"/>
      <c r="J1046730" s="26"/>
      <c r="K1046730" s="26"/>
      <c r="L1046730" s="4"/>
      <c r="M1046730" s="4"/>
      <c r="N1046730" s="26"/>
    </row>
    <row r="1046731" customFormat="1" spans="2:14">
      <c r="B1046731" s="26"/>
      <c r="C1046731" s="26"/>
      <c r="D1046731" s="4"/>
      <c r="E1046731" s="26"/>
      <c r="F1046731" s="26"/>
      <c r="G1046731" s="26"/>
      <c r="H1046731" s="26"/>
      <c r="I1046731" s="27"/>
      <c r="J1046731" s="26"/>
      <c r="K1046731" s="26"/>
      <c r="L1046731" s="4"/>
      <c r="M1046731" s="4"/>
      <c r="N1046731" s="26"/>
    </row>
    <row r="1046732" customFormat="1" spans="2:14">
      <c r="B1046732" s="26"/>
      <c r="C1046732" s="26"/>
      <c r="D1046732" s="4"/>
      <c r="E1046732" s="26"/>
      <c r="F1046732" s="26"/>
      <c r="G1046732" s="26"/>
      <c r="H1046732" s="26"/>
      <c r="I1046732" s="27"/>
      <c r="J1046732" s="26"/>
      <c r="K1046732" s="26"/>
      <c r="L1046732" s="4"/>
      <c r="M1046732" s="4"/>
      <c r="N1046732" s="26"/>
    </row>
    <row r="1046733" customFormat="1" spans="2:14">
      <c r="B1046733" s="26"/>
      <c r="C1046733" s="26"/>
      <c r="D1046733" s="4"/>
      <c r="E1046733" s="26"/>
      <c r="F1046733" s="26"/>
      <c r="G1046733" s="26"/>
      <c r="H1046733" s="26"/>
      <c r="I1046733" s="27"/>
      <c r="J1046733" s="26"/>
      <c r="K1046733" s="26"/>
      <c r="L1046733" s="4"/>
      <c r="M1046733" s="4"/>
      <c r="N1046733" s="26"/>
    </row>
    <row r="1046734" customFormat="1" spans="2:14">
      <c r="B1046734" s="26"/>
      <c r="C1046734" s="26"/>
      <c r="D1046734" s="4"/>
      <c r="E1046734" s="26"/>
      <c r="F1046734" s="26"/>
      <c r="G1046734" s="26"/>
      <c r="H1046734" s="26"/>
      <c r="I1046734" s="27"/>
      <c r="J1046734" s="26"/>
      <c r="K1046734" s="26"/>
      <c r="L1046734" s="4"/>
      <c r="M1046734" s="4"/>
      <c r="N1046734" s="26"/>
    </row>
    <row r="1046735" customFormat="1" spans="2:14">
      <c r="B1046735" s="26"/>
      <c r="C1046735" s="26"/>
      <c r="D1046735" s="4"/>
      <c r="E1046735" s="26"/>
      <c r="F1046735" s="26"/>
      <c r="G1046735" s="26"/>
      <c r="H1046735" s="26"/>
      <c r="I1046735" s="27"/>
      <c r="J1046735" s="26"/>
      <c r="K1046735" s="26"/>
      <c r="L1046735" s="4"/>
      <c r="M1046735" s="4"/>
      <c r="N1046735" s="26"/>
    </row>
    <row r="1046736" customFormat="1" spans="2:14">
      <c r="B1046736" s="26"/>
      <c r="C1046736" s="26"/>
      <c r="D1046736" s="4"/>
      <c r="E1046736" s="26"/>
      <c r="F1046736" s="26"/>
      <c r="G1046736" s="26"/>
      <c r="H1046736" s="26"/>
      <c r="I1046736" s="27"/>
      <c r="J1046736" s="26"/>
      <c r="K1046736" s="26"/>
      <c r="L1046736" s="4"/>
      <c r="M1046736" s="4"/>
      <c r="N1046736" s="26"/>
    </row>
    <row r="1046737" customFormat="1" spans="2:14">
      <c r="B1046737" s="26"/>
      <c r="C1046737" s="26"/>
      <c r="D1046737" s="4"/>
      <c r="E1046737" s="26"/>
      <c r="F1046737" s="26"/>
      <c r="G1046737" s="26"/>
      <c r="H1046737" s="26"/>
      <c r="I1046737" s="27"/>
      <c r="J1046737" s="26"/>
      <c r="K1046737" s="26"/>
      <c r="L1046737" s="4"/>
      <c r="M1046737" s="4"/>
      <c r="N1046737" s="26"/>
    </row>
    <row r="1046738" customFormat="1" spans="2:14">
      <c r="B1046738" s="26"/>
      <c r="C1046738" s="26"/>
      <c r="D1046738" s="4"/>
      <c r="E1046738" s="26"/>
      <c r="F1046738" s="26"/>
      <c r="G1046738" s="26"/>
      <c r="H1046738" s="26"/>
      <c r="I1046738" s="27"/>
      <c r="J1046738" s="26"/>
      <c r="K1046738" s="26"/>
      <c r="L1046738" s="4"/>
      <c r="M1046738" s="4"/>
      <c r="N1046738" s="26"/>
    </row>
    <row r="1046739" customFormat="1" spans="2:14">
      <c r="B1046739" s="26"/>
      <c r="C1046739" s="26"/>
      <c r="D1046739" s="4"/>
      <c r="E1046739" s="26"/>
      <c r="F1046739" s="26"/>
      <c r="G1046739" s="26"/>
      <c r="H1046739" s="26"/>
      <c r="I1046739" s="27"/>
      <c r="J1046739" s="26"/>
      <c r="K1046739" s="26"/>
      <c r="L1046739" s="4"/>
      <c r="M1046739" s="4"/>
      <c r="N1046739" s="26"/>
    </row>
    <row r="1046740" customFormat="1" spans="2:14">
      <c r="B1046740" s="26"/>
      <c r="C1046740" s="26"/>
      <c r="D1046740" s="4"/>
      <c r="E1046740" s="26"/>
      <c r="F1046740" s="26"/>
      <c r="G1046740" s="26"/>
      <c r="H1046740" s="26"/>
      <c r="I1046740" s="27"/>
      <c r="J1046740" s="26"/>
      <c r="K1046740" s="26"/>
      <c r="L1046740" s="4"/>
      <c r="M1046740" s="4"/>
      <c r="N1046740" s="26"/>
    </row>
    <row r="1046741" customFormat="1" spans="2:14">
      <c r="B1046741" s="26"/>
      <c r="C1046741" s="26"/>
      <c r="D1046741" s="4"/>
      <c r="E1046741" s="26"/>
      <c r="F1046741" s="26"/>
      <c r="G1046741" s="26"/>
      <c r="H1046741" s="26"/>
      <c r="I1046741" s="27"/>
      <c r="J1046741" s="26"/>
      <c r="K1046741" s="26"/>
      <c r="L1046741" s="4"/>
      <c r="M1046741" s="4"/>
      <c r="N1046741" s="26"/>
    </row>
    <row r="1046742" customFormat="1" spans="2:14">
      <c r="B1046742" s="26"/>
      <c r="C1046742" s="26"/>
      <c r="D1046742" s="4"/>
      <c r="E1046742" s="26"/>
      <c r="F1046742" s="26"/>
      <c r="G1046742" s="26"/>
      <c r="H1046742" s="26"/>
      <c r="I1046742" s="27"/>
      <c r="J1046742" s="26"/>
      <c r="K1046742" s="26"/>
      <c r="L1046742" s="4"/>
      <c r="M1046742" s="4"/>
      <c r="N1046742" s="26"/>
    </row>
    <row r="1046743" customFormat="1" spans="2:14">
      <c r="B1046743" s="26"/>
      <c r="C1046743" s="26"/>
      <c r="D1046743" s="4"/>
      <c r="E1046743" s="26"/>
      <c r="F1046743" s="26"/>
      <c r="G1046743" s="26"/>
      <c r="H1046743" s="26"/>
      <c r="I1046743" s="27"/>
      <c r="J1046743" s="26"/>
      <c r="K1046743" s="26"/>
      <c r="L1046743" s="4"/>
      <c r="M1046743" s="4"/>
      <c r="N1046743" s="26"/>
    </row>
    <row r="1046744" customFormat="1" spans="2:14">
      <c r="B1046744" s="26"/>
      <c r="C1046744" s="26"/>
      <c r="D1046744" s="4"/>
      <c r="E1046744" s="26"/>
      <c r="F1046744" s="26"/>
      <c r="G1046744" s="26"/>
      <c r="H1046744" s="26"/>
      <c r="I1046744" s="27"/>
      <c r="J1046744" s="26"/>
      <c r="K1046744" s="26"/>
      <c r="L1046744" s="4"/>
      <c r="M1046744" s="4"/>
      <c r="N1046744" s="26"/>
    </row>
    <row r="1046745" customFormat="1" spans="2:14">
      <c r="B1046745" s="26"/>
      <c r="C1046745" s="26"/>
      <c r="D1046745" s="4"/>
      <c r="E1046745" s="26"/>
      <c r="F1046745" s="26"/>
      <c r="G1046745" s="26"/>
      <c r="H1046745" s="26"/>
      <c r="I1046745" s="27"/>
      <c r="J1046745" s="26"/>
      <c r="K1046745" s="26"/>
      <c r="L1046745" s="4"/>
      <c r="M1046745" s="4"/>
      <c r="N1046745" s="26"/>
    </row>
    <row r="1046746" customFormat="1" spans="2:14">
      <c r="B1046746" s="26"/>
      <c r="C1046746" s="26"/>
      <c r="D1046746" s="4"/>
      <c r="E1046746" s="26"/>
      <c r="F1046746" s="26"/>
      <c r="G1046746" s="26"/>
      <c r="H1046746" s="26"/>
      <c r="I1046746" s="27"/>
      <c r="J1046746" s="26"/>
      <c r="K1046746" s="26"/>
      <c r="L1046746" s="4"/>
      <c r="M1046746" s="4"/>
      <c r="N1046746" s="26"/>
    </row>
    <row r="1046747" customFormat="1" spans="2:14">
      <c r="B1046747" s="26"/>
      <c r="C1046747" s="26"/>
      <c r="D1046747" s="4"/>
      <c r="E1046747" s="26"/>
      <c r="F1046747" s="26"/>
      <c r="G1046747" s="26"/>
      <c r="H1046747" s="26"/>
      <c r="I1046747" s="27"/>
      <c r="J1046747" s="26"/>
      <c r="K1046747" s="26"/>
      <c r="L1046747" s="4"/>
      <c r="M1046747" s="4"/>
      <c r="N1046747" s="26"/>
    </row>
    <row r="1046748" customFormat="1" spans="2:14">
      <c r="B1046748" s="26"/>
      <c r="C1046748" s="26"/>
      <c r="D1046748" s="4"/>
      <c r="E1046748" s="26"/>
      <c r="F1046748" s="26"/>
      <c r="G1046748" s="26"/>
      <c r="H1046748" s="26"/>
      <c r="I1046748" s="27"/>
      <c r="J1046748" s="26"/>
      <c r="K1046748" s="26"/>
      <c r="L1046748" s="4"/>
      <c r="M1046748" s="4"/>
      <c r="N1046748" s="26"/>
    </row>
    <row r="1046749" customFormat="1" spans="2:14">
      <c r="B1046749" s="26"/>
      <c r="C1046749" s="26"/>
      <c r="D1046749" s="4"/>
      <c r="E1046749" s="26"/>
      <c r="F1046749" s="26"/>
      <c r="G1046749" s="26"/>
      <c r="H1046749" s="26"/>
      <c r="I1046749" s="27"/>
      <c r="J1046749" s="26"/>
      <c r="K1046749" s="26"/>
      <c r="L1046749" s="4"/>
      <c r="M1046749" s="4"/>
      <c r="N1046749" s="26"/>
    </row>
    <row r="1046750" customFormat="1" spans="2:14">
      <c r="B1046750" s="26"/>
      <c r="C1046750" s="26"/>
      <c r="D1046750" s="4"/>
      <c r="E1046750" s="26"/>
      <c r="F1046750" s="26"/>
      <c r="G1046750" s="26"/>
      <c r="H1046750" s="26"/>
      <c r="I1046750" s="27"/>
      <c r="J1046750" s="26"/>
      <c r="K1046750" s="26"/>
      <c r="L1046750" s="4"/>
      <c r="M1046750" s="4"/>
      <c r="N1046750" s="26"/>
    </row>
    <row r="1046751" customFormat="1" spans="2:14">
      <c r="B1046751" s="26"/>
      <c r="C1046751" s="26"/>
      <c r="D1046751" s="4"/>
      <c r="E1046751" s="26"/>
      <c r="F1046751" s="26"/>
      <c r="G1046751" s="26"/>
      <c r="H1046751" s="26"/>
      <c r="I1046751" s="27"/>
      <c r="J1046751" s="26"/>
      <c r="K1046751" s="26"/>
      <c r="L1046751" s="4"/>
      <c r="M1046751" s="4"/>
      <c r="N1046751" s="26"/>
    </row>
    <row r="1046752" customFormat="1" spans="2:14">
      <c r="B1046752" s="26"/>
      <c r="C1046752" s="26"/>
      <c r="D1046752" s="4"/>
      <c r="E1046752" s="26"/>
      <c r="F1046752" s="26"/>
      <c r="G1046752" s="26"/>
      <c r="H1046752" s="26"/>
      <c r="I1046752" s="27"/>
      <c r="J1046752" s="26"/>
      <c r="K1046752" s="26"/>
      <c r="L1046752" s="4"/>
      <c r="M1046752" s="4"/>
      <c r="N1046752" s="26"/>
    </row>
    <row r="1046753" customFormat="1" spans="2:14">
      <c r="B1046753" s="26"/>
      <c r="C1046753" s="26"/>
      <c r="D1046753" s="4"/>
      <c r="E1046753" s="26"/>
      <c r="F1046753" s="26"/>
      <c r="G1046753" s="26"/>
      <c r="H1046753" s="26"/>
      <c r="I1046753" s="27"/>
      <c r="J1046753" s="26"/>
      <c r="K1046753" s="26"/>
      <c r="L1046753" s="4"/>
      <c r="M1046753" s="4"/>
      <c r="N1046753" s="26"/>
    </row>
    <row r="1046754" customFormat="1" spans="2:14">
      <c r="B1046754" s="26"/>
      <c r="C1046754" s="26"/>
      <c r="D1046754" s="4"/>
      <c r="E1046754" s="26"/>
      <c r="F1046754" s="26"/>
      <c r="G1046754" s="26"/>
      <c r="H1046754" s="26"/>
      <c r="I1046754" s="27"/>
      <c r="J1046754" s="26"/>
      <c r="K1046754" s="26"/>
      <c r="L1046754" s="4"/>
      <c r="M1046754" s="4"/>
      <c r="N1046754" s="26"/>
    </row>
    <row r="1046755" customFormat="1" spans="2:14">
      <c r="B1046755" s="26"/>
      <c r="C1046755" s="26"/>
      <c r="D1046755" s="4"/>
      <c r="E1046755" s="26"/>
      <c r="F1046755" s="26"/>
      <c r="G1046755" s="26"/>
      <c r="H1046755" s="26"/>
      <c r="I1046755" s="27"/>
      <c r="J1046755" s="26"/>
      <c r="K1046755" s="26"/>
      <c r="L1046755" s="4"/>
      <c r="M1046755" s="4"/>
      <c r="N1046755" s="26"/>
    </row>
    <row r="1046756" customFormat="1" spans="2:14">
      <c r="B1046756" s="26"/>
      <c r="C1046756" s="26"/>
      <c r="D1046756" s="4"/>
      <c r="E1046756" s="26"/>
      <c r="F1046756" s="26"/>
      <c r="G1046756" s="26"/>
      <c r="H1046756" s="26"/>
      <c r="I1046756" s="27"/>
      <c r="J1046756" s="26"/>
      <c r="K1046756" s="26"/>
      <c r="L1046756" s="4"/>
      <c r="M1046756" s="4"/>
      <c r="N1046756" s="26"/>
    </row>
    <row r="1046757" customFormat="1" spans="2:14">
      <c r="B1046757" s="26"/>
      <c r="C1046757" s="26"/>
      <c r="D1046757" s="4"/>
      <c r="E1046757" s="26"/>
      <c r="F1046757" s="26"/>
      <c r="G1046757" s="26"/>
      <c r="H1046757" s="26"/>
      <c r="I1046757" s="27"/>
      <c r="J1046757" s="26"/>
      <c r="K1046757" s="26"/>
      <c r="L1046757" s="4"/>
      <c r="M1046757" s="4"/>
      <c r="N1046757" s="26"/>
    </row>
    <row r="1046758" customFormat="1" spans="2:14">
      <c r="B1046758" s="26"/>
      <c r="C1046758" s="26"/>
      <c r="D1046758" s="4"/>
      <c r="E1046758" s="26"/>
      <c r="F1046758" s="26"/>
      <c r="G1046758" s="26"/>
      <c r="H1046758" s="26"/>
      <c r="I1046758" s="27"/>
      <c r="J1046758" s="26"/>
      <c r="K1046758" s="26"/>
      <c r="L1046758" s="4"/>
      <c r="M1046758" s="4"/>
      <c r="N1046758" s="26"/>
    </row>
    <row r="1046759" customFormat="1" spans="2:14">
      <c r="B1046759" s="26"/>
      <c r="C1046759" s="26"/>
      <c r="D1046759" s="4"/>
      <c r="E1046759" s="26"/>
      <c r="F1046759" s="26"/>
      <c r="G1046759" s="26"/>
      <c r="H1046759" s="26"/>
      <c r="I1046759" s="27"/>
      <c r="J1046759" s="26"/>
      <c r="K1046759" s="26"/>
      <c r="L1046759" s="4"/>
      <c r="M1046759" s="4"/>
      <c r="N1046759" s="26"/>
    </row>
    <row r="1046760" customFormat="1" spans="2:14">
      <c r="B1046760" s="26"/>
      <c r="C1046760" s="26"/>
      <c r="D1046760" s="4"/>
      <c r="E1046760" s="26"/>
      <c r="F1046760" s="26"/>
      <c r="G1046760" s="26"/>
      <c r="H1046760" s="26"/>
      <c r="I1046760" s="27"/>
      <c r="J1046760" s="26"/>
      <c r="K1046760" s="26"/>
      <c r="L1046760" s="4"/>
      <c r="M1046760" s="4"/>
      <c r="N1046760" s="26"/>
    </row>
    <row r="1046761" customFormat="1" spans="2:14">
      <c r="B1046761" s="26"/>
      <c r="C1046761" s="26"/>
      <c r="D1046761" s="4"/>
      <c r="E1046761" s="26"/>
      <c r="F1046761" s="26"/>
      <c r="G1046761" s="26"/>
      <c r="H1046761" s="26"/>
      <c r="I1046761" s="27"/>
      <c r="J1046761" s="26"/>
      <c r="K1046761" s="26"/>
      <c r="L1046761" s="4"/>
      <c r="M1046761" s="4"/>
      <c r="N1046761" s="26"/>
    </row>
    <row r="1046762" customFormat="1" spans="2:14">
      <c r="B1046762" s="26"/>
      <c r="C1046762" s="26"/>
      <c r="D1046762" s="4"/>
      <c r="E1046762" s="26"/>
      <c r="F1046762" s="26"/>
      <c r="G1046762" s="26"/>
      <c r="H1046762" s="26"/>
      <c r="I1046762" s="27"/>
      <c r="J1046762" s="26"/>
      <c r="K1046762" s="26"/>
      <c r="L1046762" s="4"/>
      <c r="M1046762" s="4"/>
      <c r="N1046762" s="26"/>
    </row>
    <row r="1046763" customFormat="1" spans="2:14">
      <c r="B1046763" s="26"/>
      <c r="C1046763" s="26"/>
      <c r="D1046763" s="4"/>
      <c r="E1046763" s="26"/>
      <c r="F1046763" s="26"/>
      <c r="G1046763" s="26"/>
      <c r="H1046763" s="26"/>
      <c r="I1046763" s="27"/>
      <c r="J1046763" s="26"/>
      <c r="K1046763" s="26"/>
      <c r="L1046763" s="4"/>
      <c r="M1046763" s="4"/>
      <c r="N1046763" s="26"/>
    </row>
    <row r="1046764" customFormat="1" spans="2:14">
      <c r="B1046764" s="26"/>
      <c r="C1046764" s="26"/>
      <c r="D1046764" s="4"/>
      <c r="E1046764" s="26"/>
      <c r="F1046764" s="26"/>
      <c r="G1046764" s="26"/>
      <c r="H1046764" s="26"/>
      <c r="I1046764" s="27"/>
      <c r="J1046764" s="26"/>
      <c r="K1046764" s="26"/>
      <c r="L1046764" s="4"/>
      <c r="M1046764" s="4"/>
      <c r="N1046764" s="26"/>
    </row>
    <row r="1046765" customFormat="1" spans="2:14">
      <c r="B1046765" s="26"/>
      <c r="C1046765" s="26"/>
      <c r="D1046765" s="4"/>
      <c r="E1046765" s="26"/>
      <c r="F1046765" s="26"/>
      <c r="G1046765" s="26"/>
      <c r="H1046765" s="26"/>
      <c r="I1046765" s="27"/>
      <c r="J1046765" s="26"/>
      <c r="K1046765" s="26"/>
      <c r="L1046765" s="4"/>
      <c r="M1046765" s="4"/>
      <c r="N1046765" s="26"/>
    </row>
    <row r="1046766" customFormat="1" spans="2:14">
      <c r="B1046766" s="26"/>
      <c r="C1046766" s="26"/>
      <c r="D1046766" s="4"/>
      <c r="E1046766" s="26"/>
      <c r="F1046766" s="26"/>
      <c r="G1046766" s="26"/>
      <c r="H1046766" s="26"/>
      <c r="I1046766" s="27"/>
      <c r="J1046766" s="26"/>
      <c r="K1046766" s="26"/>
      <c r="L1046766" s="4"/>
      <c r="M1046766" s="4"/>
      <c r="N1046766" s="26"/>
    </row>
    <row r="1046767" customFormat="1" spans="2:14">
      <c r="B1046767" s="26"/>
      <c r="C1046767" s="26"/>
      <c r="D1046767" s="4"/>
      <c r="E1046767" s="26"/>
      <c r="F1046767" s="26"/>
      <c r="G1046767" s="26"/>
      <c r="H1046767" s="26"/>
      <c r="I1046767" s="27"/>
      <c r="J1046767" s="26"/>
      <c r="K1046767" s="26"/>
      <c r="L1046767" s="4"/>
      <c r="M1046767" s="4"/>
      <c r="N1046767" s="26"/>
    </row>
    <row r="1046768" customFormat="1" spans="2:14">
      <c r="B1046768" s="26"/>
      <c r="C1046768" s="26"/>
      <c r="D1046768" s="4"/>
      <c r="E1046768" s="26"/>
      <c r="F1046768" s="26"/>
      <c r="G1046768" s="26"/>
      <c r="H1046768" s="26"/>
      <c r="I1046768" s="27"/>
      <c r="J1046768" s="26"/>
      <c r="K1046768" s="26"/>
      <c r="L1046768" s="4"/>
      <c r="M1046768" s="4"/>
      <c r="N1046768" s="26"/>
    </row>
    <row r="1046769" customFormat="1" spans="2:14">
      <c r="B1046769" s="26"/>
      <c r="C1046769" s="26"/>
      <c r="D1046769" s="4"/>
      <c r="E1046769" s="26"/>
      <c r="F1046769" s="26"/>
      <c r="G1046769" s="26"/>
      <c r="H1046769" s="26"/>
      <c r="I1046769" s="27"/>
      <c r="J1046769" s="26"/>
      <c r="K1046769" s="26"/>
      <c r="L1046769" s="4"/>
      <c r="M1046769" s="4"/>
      <c r="N1046769" s="26"/>
    </row>
    <row r="1046770" customFormat="1" spans="2:14">
      <c r="B1046770" s="26"/>
      <c r="C1046770" s="26"/>
      <c r="D1046770" s="4"/>
      <c r="E1046770" s="26"/>
      <c r="F1046770" s="26"/>
      <c r="G1046770" s="26"/>
      <c r="H1046770" s="26"/>
      <c r="I1046770" s="27"/>
      <c r="J1046770" s="26"/>
      <c r="K1046770" s="26"/>
      <c r="L1046770" s="4"/>
      <c r="M1046770" s="4"/>
      <c r="N1046770" s="26"/>
    </row>
    <row r="1046771" customFormat="1" spans="2:14">
      <c r="B1046771" s="26"/>
      <c r="C1046771" s="26"/>
      <c r="D1046771" s="4"/>
      <c r="E1046771" s="26"/>
      <c r="F1046771" s="26"/>
      <c r="G1046771" s="26"/>
      <c r="H1046771" s="26"/>
      <c r="I1046771" s="27"/>
      <c r="J1046771" s="26"/>
      <c r="K1046771" s="26"/>
      <c r="L1046771" s="4"/>
      <c r="M1046771" s="4"/>
      <c r="N1046771" s="26"/>
    </row>
    <row r="1046772" customFormat="1" spans="2:14">
      <c r="B1046772" s="26"/>
      <c r="C1046772" s="26"/>
      <c r="D1046772" s="4"/>
      <c r="E1046772" s="26"/>
      <c r="F1046772" s="26"/>
      <c r="G1046772" s="26"/>
      <c r="H1046772" s="26"/>
      <c r="I1046772" s="27"/>
      <c r="J1046772" s="26"/>
      <c r="K1046772" s="26"/>
      <c r="L1046772" s="4"/>
      <c r="M1046772" s="4"/>
      <c r="N1046772" s="26"/>
    </row>
    <row r="1046773" customFormat="1" spans="2:14">
      <c r="B1046773" s="26"/>
      <c r="C1046773" s="26"/>
      <c r="D1046773" s="4"/>
      <c r="E1046773" s="26"/>
      <c r="F1046773" s="26"/>
      <c r="G1046773" s="26"/>
      <c r="H1046773" s="26"/>
      <c r="I1046773" s="27"/>
      <c r="J1046773" s="26"/>
      <c r="K1046773" s="26"/>
      <c r="L1046773" s="4"/>
      <c r="M1046773" s="4"/>
      <c r="N1046773" s="26"/>
    </row>
    <row r="1046774" customFormat="1" spans="2:14">
      <c r="B1046774" s="26"/>
      <c r="C1046774" s="26"/>
      <c r="D1046774" s="4"/>
      <c r="E1046774" s="26"/>
      <c r="F1046774" s="26"/>
      <c r="G1046774" s="26"/>
      <c r="H1046774" s="26"/>
      <c r="I1046774" s="27"/>
      <c r="J1046774" s="26"/>
      <c r="K1046774" s="26"/>
      <c r="L1046774" s="4"/>
      <c r="M1046774" s="4"/>
      <c r="N1046774" s="26"/>
    </row>
    <row r="1046775" customFormat="1" spans="2:14">
      <c r="B1046775" s="26"/>
      <c r="C1046775" s="26"/>
      <c r="D1046775" s="4"/>
      <c r="E1046775" s="26"/>
      <c r="F1046775" s="26"/>
      <c r="G1046775" s="26"/>
      <c r="H1046775" s="26"/>
      <c r="I1046775" s="27"/>
      <c r="J1046775" s="26"/>
      <c r="K1046775" s="26"/>
      <c r="L1046775" s="4"/>
      <c r="M1046775" s="4"/>
      <c r="N1046775" s="26"/>
    </row>
    <row r="1046776" customFormat="1" spans="2:14">
      <c r="B1046776" s="26"/>
      <c r="C1046776" s="26"/>
      <c r="D1046776" s="4"/>
      <c r="E1046776" s="26"/>
      <c r="F1046776" s="26"/>
      <c r="G1046776" s="26"/>
      <c r="H1046776" s="26"/>
      <c r="I1046776" s="27"/>
      <c r="J1046776" s="26"/>
      <c r="K1046776" s="26"/>
      <c r="L1046776" s="4"/>
      <c r="M1046776" s="4"/>
      <c r="N1046776" s="26"/>
    </row>
    <row r="1046777" customFormat="1" spans="2:14">
      <c r="B1046777" s="26"/>
      <c r="C1046777" s="26"/>
      <c r="D1046777" s="4"/>
      <c r="E1046777" s="26"/>
      <c r="F1046777" s="26"/>
      <c r="G1046777" s="26"/>
      <c r="H1046777" s="26"/>
      <c r="I1046777" s="27"/>
      <c r="J1046777" s="26"/>
      <c r="K1046777" s="26"/>
      <c r="L1046777" s="4"/>
      <c r="M1046777" s="4"/>
      <c r="N1046777" s="26"/>
    </row>
    <row r="1046778" customFormat="1" spans="2:14">
      <c r="B1046778" s="26"/>
      <c r="C1046778" s="26"/>
      <c r="D1046778" s="4"/>
      <c r="E1046778" s="26"/>
      <c r="F1046778" s="26"/>
      <c r="G1046778" s="26"/>
      <c r="H1046778" s="26"/>
      <c r="I1046778" s="27"/>
      <c r="J1046778" s="26"/>
      <c r="K1046778" s="26"/>
      <c r="L1046778" s="4"/>
      <c r="M1046778" s="4"/>
      <c r="N1046778" s="26"/>
    </row>
    <row r="1046779" customFormat="1" spans="2:14">
      <c r="B1046779" s="26"/>
      <c r="C1046779" s="26"/>
      <c r="D1046779" s="4"/>
      <c r="E1046779" s="26"/>
      <c r="F1046779" s="26"/>
      <c r="G1046779" s="26"/>
      <c r="H1046779" s="26"/>
      <c r="I1046779" s="27"/>
      <c r="J1046779" s="26"/>
      <c r="K1046779" s="26"/>
      <c r="L1046779" s="4"/>
      <c r="M1046779" s="4"/>
      <c r="N1046779" s="26"/>
    </row>
    <row r="1046780" customFormat="1" spans="2:14">
      <c r="B1046780" s="26"/>
      <c r="C1046780" s="26"/>
      <c r="D1046780" s="4"/>
      <c r="E1046780" s="26"/>
      <c r="F1046780" s="26"/>
      <c r="G1046780" s="26"/>
      <c r="H1046780" s="26"/>
      <c r="I1046780" s="27"/>
      <c r="J1046780" s="26"/>
      <c r="K1046780" s="26"/>
      <c r="L1046780" s="4"/>
      <c r="M1046780" s="4"/>
      <c r="N1046780" s="26"/>
    </row>
    <row r="1046781" customFormat="1" spans="2:14">
      <c r="B1046781" s="26"/>
      <c r="C1046781" s="26"/>
      <c r="D1046781" s="4"/>
      <c r="E1046781" s="26"/>
      <c r="F1046781" s="26"/>
      <c r="G1046781" s="26"/>
      <c r="H1046781" s="26"/>
      <c r="I1046781" s="27"/>
      <c r="J1046781" s="26"/>
      <c r="K1046781" s="26"/>
      <c r="L1046781" s="4"/>
      <c r="M1046781" s="4"/>
      <c r="N1046781" s="26"/>
    </row>
    <row r="1046782" customFormat="1" spans="2:14">
      <c r="B1046782" s="26"/>
      <c r="C1046782" s="26"/>
      <c r="D1046782" s="4"/>
      <c r="E1046782" s="26"/>
      <c r="F1046782" s="26"/>
      <c r="G1046782" s="26"/>
      <c r="H1046782" s="26"/>
      <c r="I1046782" s="27"/>
      <c r="J1046782" s="26"/>
      <c r="K1046782" s="26"/>
      <c r="L1046782" s="4"/>
      <c r="M1046782" s="4"/>
      <c r="N1046782" s="26"/>
    </row>
    <row r="1046783" customFormat="1" spans="2:14">
      <c r="B1046783" s="26"/>
      <c r="C1046783" s="26"/>
      <c r="D1046783" s="4"/>
      <c r="E1046783" s="26"/>
      <c r="F1046783" s="26"/>
      <c r="G1046783" s="26"/>
      <c r="H1046783" s="26"/>
      <c r="I1046783" s="27"/>
      <c r="J1046783" s="26"/>
      <c r="K1046783" s="26"/>
      <c r="L1046783" s="4"/>
      <c r="M1046783" s="4"/>
      <c r="N1046783" s="26"/>
    </row>
    <row r="1046784" customFormat="1" spans="2:14">
      <c r="B1046784" s="26"/>
      <c r="C1046784" s="26"/>
      <c r="D1046784" s="4"/>
      <c r="E1046784" s="26"/>
      <c r="F1046784" s="26"/>
      <c r="G1046784" s="26"/>
      <c r="H1046784" s="26"/>
      <c r="I1046784" s="27"/>
      <c r="J1046784" s="26"/>
      <c r="K1046784" s="26"/>
      <c r="L1046784" s="4"/>
      <c r="M1046784" s="4"/>
      <c r="N1046784" s="26"/>
    </row>
    <row r="1046785" customFormat="1" spans="2:14">
      <c r="B1046785" s="26"/>
      <c r="C1046785" s="26"/>
      <c r="D1046785" s="4"/>
      <c r="E1046785" s="26"/>
      <c r="F1046785" s="26"/>
      <c r="G1046785" s="26"/>
      <c r="H1046785" s="26"/>
      <c r="I1046785" s="27"/>
      <c r="J1046785" s="26"/>
      <c r="K1046785" s="26"/>
      <c r="L1046785" s="4"/>
      <c r="M1046785" s="4"/>
      <c r="N1046785" s="26"/>
    </row>
    <row r="1046786" customFormat="1" spans="2:14">
      <c r="B1046786" s="26"/>
      <c r="C1046786" s="26"/>
      <c r="D1046786" s="4"/>
      <c r="E1046786" s="26"/>
      <c r="F1046786" s="26"/>
      <c r="G1046786" s="26"/>
      <c r="H1046786" s="26"/>
      <c r="I1046786" s="27"/>
      <c r="J1046786" s="26"/>
      <c r="K1046786" s="26"/>
      <c r="L1046786" s="4"/>
      <c r="M1046786" s="4"/>
      <c r="N1046786" s="26"/>
    </row>
    <row r="1046787" customFormat="1" spans="2:14">
      <c r="B1046787" s="26"/>
      <c r="C1046787" s="26"/>
      <c r="D1046787" s="4"/>
      <c r="E1046787" s="26"/>
      <c r="F1046787" s="26"/>
      <c r="G1046787" s="26"/>
      <c r="H1046787" s="26"/>
      <c r="I1046787" s="27"/>
      <c r="J1046787" s="26"/>
      <c r="K1046787" s="26"/>
      <c r="L1046787" s="4"/>
      <c r="M1046787" s="4"/>
      <c r="N1046787" s="26"/>
    </row>
    <row r="1046788" customFormat="1" spans="2:14">
      <c r="B1046788" s="26"/>
      <c r="C1046788" s="26"/>
      <c r="D1046788" s="4"/>
      <c r="E1046788" s="26"/>
      <c r="F1046788" s="26"/>
      <c r="G1046788" s="26"/>
      <c r="H1046788" s="26"/>
      <c r="I1046788" s="27"/>
      <c r="J1046788" s="26"/>
      <c r="K1046788" s="26"/>
      <c r="L1046788" s="4"/>
      <c r="M1046788" s="4"/>
      <c r="N1046788" s="26"/>
    </row>
    <row r="1046789" customFormat="1" spans="2:14">
      <c r="B1046789" s="26"/>
      <c r="C1046789" s="26"/>
      <c r="D1046789" s="4"/>
      <c r="E1046789" s="26"/>
      <c r="F1046789" s="26"/>
      <c r="G1046789" s="26"/>
      <c r="H1046789" s="26"/>
      <c r="I1046789" s="27"/>
      <c r="J1046789" s="26"/>
      <c r="K1046789" s="26"/>
      <c r="L1046789" s="4"/>
      <c r="M1046789" s="4"/>
      <c r="N1046789" s="26"/>
    </row>
    <row r="1046790" customFormat="1" spans="2:14">
      <c r="B1046790" s="26"/>
      <c r="C1046790" s="26"/>
      <c r="D1046790" s="4"/>
      <c r="E1046790" s="26"/>
      <c r="F1046790" s="26"/>
      <c r="G1046790" s="26"/>
      <c r="H1046790" s="26"/>
      <c r="I1046790" s="27"/>
      <c r="J1046790" s="26"/>
      <c r="K1046790" s="26"/>
      <c r="L1046790" s="4"/>
      <c r="M1046790" s="4"/>
      <c r="N1046790" s="26"/>
    </row>
    <row r="1046791" customFormat="1" spans="2:14">
      <c r="B1046791" s="26"/>
      <c r="C1046791" s="26"/>
      <c r="D1046791" s="4"/>
      <c r="E1046791" s="26"/>
      <c r="F1046791" s="26"/>
      <c r="G1046791" s="26"/>
      <c r="H1046791" s="26"/>
      <c r="I1046791" s="27"/>
      <c r="J1046791" s="26"/>
      <c r="K1046791" s="26"/>
      <c r="L1046791" s="4"/>
      <c r="M1046791" s="4"/>
      <c r="N1046791" s="26"/>
    </row>
    <row r="1046792" customFormat="1" spans="2:14">
      <c r="B1046792" s="26"/>
      <c r="C1046792" s="26"/>
      <c r="D1046792" s="4"/>
      <c r="E1046792" s="26"/>
      <c r="F1046792" s="26"/>
      <c r="G1046792" s="26"/>
      <c r="H1046792" s="26"/>
      <c r="I1046792" s="27"/>
      <c r="J1046792" s="26"/>
      <c r="K1046792" s="26"/>
      <c r="L1046792" s="4"/>
      <c r="M1046792" s="4"/>
      <c r="N1046792" s="26"/>
    </row>
    <row r="1046793" customFormat="1" spans="2:14">
      <c r="B1046793" s="26"/>
      <c r="C1046793" s="26"/>
      <c r="D1046793" s="4"/>
      <c r="E1046793" s="26"/>
      <c r="F1046793" s="26"/>
      <c r="G1046793" s="26"/>
      <c r="H1046793" s="26"/>
      <c r="I1046793" s="27"/>
      <c r="J1046793" s="26"/>
      <c r="K1046793" s="26"/>
      <c r="L1046793" s="4"/>
      <c r="M1046793" s="4"/>
      <c r="N1046793" s="26"/>
    </row>
    <row r="1046794" customFormat="1" spans="2:14">
      <c r="B1046794" s="26"/>
      <c r="C1046794" s="26"/>
      <c r="D1046794" s="4"/>
      <c r="E1046794" s="26"/>
      <c r="F1046794" s="26"/>
      <c r="G1046794" s="26"/>
      <c r="H1046794" s="26"/>
      <c r="I1046794" s="27"/>
      <c r="J1046794" s="26"/>
      <c r="K1046794" s="26"/>
      <c r="L1046794" s="4"/>
      <c r="M1046794" s="4"/>
      <c r="N1046794" s="26"/>
    </row>
    <row r="1046795" customFormat="1" spans="2:14">
      <c r="B1046795" s="26"/>
      <c r="C1046795" s="26"/>
      <c r="D1046795" s="4"/>
      <c r="E1046795" s="26"/>
      <c r="F1046795" s="26"/>
      <c r="G1046795" s="26"/>
      <c r="H1046795" s="26"/>
      <c r="I1046795" s="27"/>
      <c r="J1046795" s="26"/>
      <c r="K1046795" s="26"/>
      <c r="L1046795" s="4"/>
      <c r="M1046795" s="4"/>
      <c r="N1046795" s="26"/>
    </row>
    <row r="1046796" customFormat="1" spans="2:14">
      <c r="B1046796" s="26"/>
      <c r="C1046796" s="26"/>
      <c r="D1046796" s="4"/>
      <c r="E1046796" s="26"/>
      <c r="F1046796" s="26"/>
      <c r="G1046796" s="26"/>
      <c r="H1046796" s="26"/>
      <c r="I1046796" s="27"/>
      <c r="J1046796" s="26"/>
      <c r="K1046796" s="26"/>
      <c r="L1046796" s="4"/>
      <c r="M1046796" s="4"/>
      <c r="N1046796" s="26"/>
    </row>
    <row r="1046797" customFormat="1" spans="2:14">
      <c r="B1046797" s="26"/>
      <c r="C1046797" s="26"/>
      <c r="D1046797" s="4"/>
      <c r="E1046797" s="26"/>
      <c r="F1046797" s="26"/>
      <c r="G1046797" s="26"/>
      <c r="H1046797" s="26"/>
      <c r="I1046797" s="27"/>
      <c r="J1046797" s="26"/>
      <c r="K1046797" s="26"/>
      <c r="L1046797" s="4"/>
      <c r="M1046797" s="4"/>
      <c r="N1046797" s="26"/>
    </row>
    <row r="1046798" customFormat="1" spans="2:14">
      <c r="B1046798" s="26"/>
      <c r="C1046798" s="26"/>
      <c r="D1046798" s="4"/>
      <c r="E1046798" s="26"/>
      <c r="F1046798" s="26"/>
      <c r="G1046798" s="26"/>
      <c r="H1046798" s="26"/>
      <c r="I1046798" s="27"/>
      <c r="J1046798" s="26"/>
      <c r="K1046798" s="26"/>
      <c r="L1046798" s="4"/>
      <c r="M1046798" s="4"/>
      <c r="N1046798" s="26"/>
    </row>
    <row r="1046799" customFormat="1" spans="2:14">
      <c r="B1046799" s="26"/>
      <c r="C1046799" s="26"/>
      <c r="D1046799" s="4"/>
      <c r="E1046799" s="26"/>
      <c r="F1046799" s="26"/>
      <c r="G1046799" s="26"/>
      <c r="H1046799" s="26"/>
      <c r="I1046799" s="27"/>
      <c r="J1046799" s="26"/>
      <c r="K1046799" s="26"/>
      <c r="L1046799" s="4"/>
      <c r="M1046799" s="4"/>
      <c r="N1046799" s="26"/>
    </row>
    <row r="1046800" customFormat="1" spans="2:14">
      <c r="B1046800" s="26"/>
      <c r="C1046800" s="26"/>
      <c r="D1046800" s="4"/>
      <c r="E1046800" s="26"/>
      <c r="F1046800" s="26"/>
      <c r="G1046800" s="26"/>
      <c r="H1046800" s="26"/>
      <c r="I1046800" s="27"/>
      <c r="J1046800" s="26"/>
      <c r="K1046800" s="26"/>
      <c r="L1046800" s="4"/>
      <c r="M1046800" s="4"/>
      <c r="N1046800" s="26"/>
    </row>
    <row r="1046801" customFormat="1" spans="2:14">
      <c r="B1046801" s="26"/>
      <c r="C1046801" s="26"/>
      <c r="D1046801" s="4"/>
      <c r="E1046801" s="26"/>
      <c r="F1046801" s="26"/>
      <c r="G1046801" s="26"/>
      <c r="H1046801" s="26"/>
      <c r="I1046801" s="27"/>
      <c r="J1046801" s="26"/>
      <c r="K1046801" s="26"/>
      <c r="L1046801" s="4"/>
      <c r="M1046801" s="4"/>
      <c r="N1046801" s="26"/>
    </row>
    <row r="1046802" customFormat="1" spans="2:14">
      <c r="B1046802" s="26"/>
      <c r="C1046802" s="26"/>
      <c r="D1046802" s="4"/>
      <c r="E1046802" s="26"/>
      <c r="F1046802" s="26"/>
      <c r="G1046802" s="26"/>
      <c r="H1046802" s="26"/>
      <c r="I1046802" s="27"/>
      <c r="J1046802" s="26"/>
      <c r="K1046802" s="26"/>
      <c r="L1046802" s="4"/>
      <c r="M1046802" s="4"/>
      <c r="N1046802" s="26"/>
    </row>
    <row r="1046803" customFormat="1" spans="2:14">
      <c r="B1046803" s="26"/>
      <c r="C1046803" s="26"/>
      <c r="D1046803" s="4"/>
      <c r="E1046803" s="26"/>
      <c r="F1046803" s="26"/>
      <c r="G1046803" s="26"/>
      <c r="H1046803" s="26"/>
      <c r="I1046803" s="27"/>
      <c r="J1046803" s="26"/>
      <c r="K1046803" s="26"/>
      <c r="L1046803" s="4"/>
      <c r="M1046803" s="4"/>
      <c r="N1046803" s="26"/>
    </row>
    <row r="1046804" customFormat="1" spans="2:14">
      <c r="B1046804" s="26"/>
      <c r="C1046804" s="26"/>
      <c r="D1046804" s="4"/>
      <c r="E1046804" s="26"/>
      <c r="F1046804" s="26"/>
      <c r="G1046804" s="26"/>
      <c r="H1046804" s="26"/>
      <c r="I1046804" s="27"/>
      <c r="J1046804" s="26"/>
      <c r="K1046804" s="26"/>
      <c r="L1046804" s="4"/>
      <c r="M1046804" s="4"/>
      <c r="N1046804" s="26"/>
    </row>
    <row r="1046805" customFormat="1" spans="2:14">
      <c r="B1046805" s="26"/>
      <c r="C1046805" s="26"/>
      <c r="D1046805" s="4"/>
      <c r="E1046805" s="26"/>
      <c r="F1046805" s="26"/>
      <c r="G1046805" s="26"/>
      <c r="H1046805" s="26"/>
      <c r="I1046805" s="27"/>
      <c r="J1046805" s="26"/>
      <c r="K1046805" s="26"/>
      <c r="L1046805" s="4"/>
      <c r="M1046805" s="4"/>
      <c r="N1046805" s="26"/>
    </row>
    <row r="1046806" customFormat="1" spans="2:14">
      <c r="B1046806" s="26"/>
      <c r="C1046806" s="26"/>
      <c r="D1046806" s="4"/>
      <c r="E1046806" s="26"/>
      <c r="F1046806" s="26"/>
      <c r="G1046806" s="26"/>
      <c r="H1046806" s="26"/>
      <c r="I1046806" s="27"/>
      <c r="J1046806" s="26"/>
      <c r="K1046806" s="26"/>
      <c r="L1046806" s="4"/>
      <c r="M1046806" s="4"/>
      <c r="N1046806" s="26"/>
    </row>
    <row r="1046807" customFormat="1" spans="2:14">
      <c r="B1046807" s="26"/>
      <c r="C1046807" s="26"/>
      <c r="D1046807" s="4"/>
      <c r="E1046807" s="26"/>
      <c r="F1046807" s="26"/>
      <c r="G1046807" s="26"/>
      <c r="H1046807" s="26"/>
      <c r="I1046807" s="27"/>
      <c r="J1046807" s="26"/>
      <c r="K1046807" s="26"/>
      <c r="L1046807" s="4"/>
      <c r="M1046807" s="4"/>
      <c r="N1046807" s="26"/>
    </row>
    <row r="1046808" customFormat="1" spans="2:14">
      <c r="B1046808" s="26"/>
      <c r="C1046808" s="26"/>
      <c r="D1046808" s="4"/>
      <c r="E1046808" s="26"/>
      <c r="F1046808" s="26"/>
      <c r="G1046808" s="26"/>
      <c r="H1046808" s="26"/>
      <c r="I1046808" s="27"/>
      <c r="J1046808" s="26"/>
      <c r="K1046808" s="26"/>
      <c r="L1046808" s="4"/>
      <c r="M1046808" s="4"/>
      <c r="N1046808" s="26"/>
    </row>
    <row r="1046809" customFormat="1" spans="2:14">
      <c r="B1046809" s="26"/>
      <c r="C1046809" s="26"/>
      <c r="D1046809" s="4"/>
      <c r="E1046809" s="26"/>
      <c r="F1046809" s="26"/>
      <c r="G1046809" s="26"/>
      <c r="H1046809" s="26"/>
      <c r="I1046809" s="27"/>
      <c r="J1046809" s="26"/>
      <c r="K1046809" s="26"/>
      <c r="L1046809" s="4"/>
      <c r="M1046809" s="4"/>
      <c r="N1046809" s="26"/>
    </row>
    <row r="1046810" customFormat="1" spans="2:14">
      <c r="B1046810" s="26"/>
      <c r="C1046810" s="26"/>
      <c r="D1046810" s="4"/>
      <c r="E1046810" s="26"/>
      <c r="F1046810" s="26"/>
      <c r="G1046810" s="26"/>
      <c r="H1046810" s="26"/>
      <c r="I1046810" s="27"/>
      <c r="J1046810" s="26"/>
      <c r="K1046810" s="26"/>
      <c r="L1046810" s="4"/>
      <c r="M1046810" s="4"/>
      <c r="N1046810" s="26"/>
    </row>
    <row r="1046811" customFormat="1" spans="2:14">
      <c r="B1046811" s="26"/>
      <c r="C1046811" s="26"/>
      <c r="D1046811" s="4"/>
      <c r="E1046811" s="26"/>
      <c r="F1046811" s="26"/>
      <c r="G1046811" s="26"/>
      <c r="H1046811" s="26"/>
      <c r="I1046811" s="27"/>
      <c r="J1046811" s="26"/>
      <c r="K1046811" s="26"/>
      <c r="L1046811" s="4"/>
      <c r="M1046811" s="4"/>
      <c r="N1046811" s="26"/>
    </row>
    <row r="1046812" customFormat="1" spans="2:14">
      <c r="B1046812" s="26"/>
      <c r="C1046812" s="26"/>
      <c r="D1046812" s="4"/>
      <c r="E1046812" s="26"/>
      <c r="F1046812" s="26"/>
      <c r="G1046812" s="26"/>
      <c r="H1046812" s="26"/>
      <c r="I1046812" s="27"/>
      <c r="J1046812" s="26"/>
      <c r="K1046812" s="26"/>
      <c r="L1046812" s="4"/>
      <c r="M1046812" s="4"/>
      <c r="N1046812" s="26"/>
    </row>
    <row r="1046813" customFormat="1" spans="2:14">
      <c r="B1046813" s="26"/>
      <c r="C1046813" s="26"/>
      <c r="D1046813" s="4"/>
      <c r="E1046813" s="26"/>
      <c r="F1046813" s="26"/>
      <c r="G1046813" s="26"/>
      <c r="H1046813" s="26"/>
      <c r="I1046813" s="27"/>
      <c r="J1046813" s="26"/>
      <c r="K1046813" s="26"/>
      <c r="L1046813" s="4"/>
      <c r="M1046813" s="4"/>
      <c r="N1046813" s="26"/>
    </row>
    <row r="1046814" customFormat="1" spans="2:14">
      <c r="B1046814" s="26"/>
      <c r="C1046814" s="26"/>
      <c r="D1046814" s="4"/>
      <c r="E1046814" s="26"/>
      <c r="F1046814" s="26"/>
      <c r="G1046814" s="26"/>
      <c r="H1046814" s="26"/>
      <c r="I1046814" s="27"/>
      <c r="J1046814" s="26"/>
      <c r="K1046814" s="26"/>
      <c r="L1046814" s="4"/>
      <c r="M1046814" s="4"/>
      <c r="N1046814" s="26"/>
    </row>
    <row r="1046815" customFormat="1" spans="2:14">
      <c r="B1046815" s="26"/>
      <c r="C1046815" s="26"/>
      <c r="D1046815" s="4"/>
      <c r="E1046815" s="26"/>
      <c r="F1046815" s="26"/>
      <c r="G1046815" s="26"/>
      <c r="H1046815" s="26"/>
      <c r="I1046815" s="27"/>
      <c r="J1046815" s="26"/>
      <c r="K1046815" s="26"/>
      <c r="L1046815" s="4"/>
      <c r="M1046815" s="4"/>
      <c r="N1046815" s="26"/>
    </row>
    <row r="1046816" customFormat="1" spans="2:14">
      <c r="B1046816" s="26"/>
      <c r="C1046816" s="26"/>
      <c r="D1046816" s="4"/>
      <c r="E1046816" s="26"/>
      <c r="F1046816" s="26"/>
      <c r="G1046816" s="26"/>
      <c r="H1046816" s="26"/>
      <c r="I1046816" s="27"/>
      <c r="J1046816" s="26"/>
      <c r="K1046816" s="26"/>
      <c r="L1046816" s="4"/>
      <c r="M1046816" s="4"/>
      <c r="N1046816" s="26"/>
    </row>
    <row r="1046817" customFormat="1" spans="2:14">
      <c r="B1046817" s="26"/>
      <c r="C1046817" s="26"/>
      <c r="D1046817" s="4"/>
      <c r="E1046817" s="26"/>
      <c r="F1046817" s="26"/>
      <c r="G1046817" s="26"/>
      <c r="H1046817" s="26"/>
      <c r="I1046817" s="27"/>
      <c r="J1046817" s="26"/>
      <c r="K1046817" s="26"/>
      <c r="L1046817" s="4"/>
      <c r="M1046817" s="4"/>
      <c r="N1046817" s="26"/>
    </row>
    <row r="1046818" customFormat="1" spans="2:14">
      <c r="B1046818" s="26"/>
      <c r="C1046818" s="26"/>
      <c r="D1046818" s="4"/>
      <c r="E1046818" s="26"/>
      <c r="F1046818" s="26"/>
      <c r="G1046818" s="26"/>
      <c r="H1046818" s="26"/>
      <c r="I1046818" s="27"/>
      <c r="J1046818" s="26"/>
      <c r="K1046818" s="26"/>
      <c r="L1046818" s="4"/>
      <c r="M1046818" s="4"/>
      <c r="N1046818" s="26"/>
    </row>
    <row r="1046819" customFormat="1" spans="2:14">
      <c r="B1046819" s="26"/>
      <c r="C1046819" s="26"/>
      <c r="D1046819" s="4"/>
      <c r="E1046819" s="26"/>
      <c r="F1046819" s="26"/>
      <c r="G1046819" s="26"/>
      <c r="H1046819" s="26"/>
      <c r="I1046819" s="27"/>
      <c r="J1046819" s="26"/>
      <c r="K1046819" s="26"/>
      <c r="L1046819" s="4"/>
      <c r="M1046819" s="4"/>
      <c r="N1046819" s="26"/>
    </row>
    <row r="1046820" customFormat="1" spans="2:14">
      <c r="B1046820" s="26"/>
      <c r="C1046820" s="26"/>
      <c r="D1046820" s="4"/>
      <c r="E1046820" s="26"/>
      <c r="F1046820" s="26"/>
      <c r="G1046820" s="26"/>
      <c r="H1046820" s="26"/>
      <c r="I1046820" s="27"/>
      <c r="J1046820" s="26"/>
      <c r="K1046820" s="26"/>
      <c r="L1046820" s="4"/>
      <c r="M1046820" s="4"/>
      <c r="N1046820" s="26"/>
    </row>
    <row r="1046821" customFormat="1" spans="2:14">
      <c r="B1046821" s="26"/>
      <c r="C1046821" s="26"/>
      <c r="D1046821" s="4"/>
      <c r="E1046821" s="26"/>
      <c r="F1046821" s="26"/>
      <c r="G1046821" s="26"/>
      <c r="H1046821" s="26"/>
      <c r="I1046821" s="27"/>
      <c r="J1046821" s="26"/>
      <c r="K1046821" s="26"/>
      <c r="L1046821" s="4"/>
      <c r="M1046821" s="4"/>
      <c r="N1046821" s="26"/>
    </row>
    <row r="1046822" customFormat="1" spans="2:14">
      <c r="B1046822" s="26"/>
      <c r="C1046822" s="26"/>
      <c r="D1046822" s="4"/>
      <c r="E1046822" s="26"/>
      <c r="F1046822" s="26"/>
      <c r="G1046822" s="26"/>
      <c r="H1046822" s="26"/>
      <c r="I1046822" s="27"/>
      <c r="J1046822" s="26"/>
      <c r="K1046822" s="26"/>
      <c r="L1046822" s="4"/>
      <c r="M1046822" s="4"/>
      <c r="N1046822" s="26"/>
    </row>
    <row r="1046823" customFormat="1" spans="2:14">
      <c r="B1046823" s="26"/>
      <c r="C1046823" s="26"/>
      <c r="D1046823" s="4"/>
      <c r="E1046823" s="26"/>
      <c r="F1046823" s="26"/>
      <c r="G1046823" s="26"/>
      <c r="H1046823" s="26"/>
      <c r="I1046823" s="27"/>
      <c r="J1046823" s="26"/>
      <c r="K1046823" s="26"/>
      <c r="L1046823" s="4"/>
      <c r="M1046823" s="4"/>
      <c r="N1046823" s="26"/>
    </row>
    <row r="1046824" customFormat="1" spans="2:14">
      <c r="B1046824" s="26"/>
      <c r="C1046824" s="26"/>
      <c r="D1046824" s="4"/>
      <c r="E1046824" s="26"/>
      <c r="F1046824" s="26"/>
      <c r="G1046824" s="26"/>
      <c r="H1046824" s="26"/>
      <c r="I1046824" s="27"/>
      <c r="J1046824" s="26"/>
      <c r="K1046824" s="26"/>
      <c r="L1046824" s="4"/>
      <c r="M1046824" s="4"/>
      <c r="N1046824" s="26"/>
    </row>
    <row r="1046825" customFormat="1" spans="2:14">
      <c r="B1046825" s="26"/>
      <c r="C1046825" s="26"/>
      <c r="D1046825" s="4"/>
      <c r="E1046825" s="26"/>
      <c r="F1046825" s="26"/>
      <c r="G1046825" s="26"/>
      <c r="H1046825" s="26"/>
      <c r="I1046825" s="27"/>
      <c r="J1046825" s="26"/>
      <c r="K1046825" s="26"/>
      <c r="L1046825" s="4"/>
      <c r="M1046825" s="4"/>
      <c r="N1046825" s="26"/>
    </row>
    <row r="1046826" customFormat="1" spans="2:14">
      <c r="B1046826" s="26"/>
      <c r="C1046826" s="26"/>
      <c r="D1046826" s="4"/>
      <c r="E1046826" s="26"/>
      <c r="F1046826" s="26"/>
      <c r="G1046826" s="26"/>
      <c r="H1046826" s="26"/>
      <c r="I1046826" s="27"/>
      <c r="J1046826" s="26"/>
      <c r="K1046826" s="26"/>
      <c r="L1046826" s="4"/>
      <c r="M1046826" s="4"/>
      <c r="N1046826" s="26"/>
    </row>
    <row r="1046827" customFormat="1" spans="2:14">
      <c r="B1046827" s="26"/>
      <c r="C1046827" s="26"/>
      <c r="D1046827" s="4"/>
      <c r="E1046827" s="26"/>
      <c r="F1046827" s="26"/>
      <c r="G1046827" s="26"/>
      <c r="H1046827" s="26"/>
      <c r="I1046827" s="27"/>
      <c r="J1046827" s="26"/>
      <c r="K1046827" s="26"/>
      <c r="L1046827" s="4"/>
      <c r="M1046827" s="4"/>
      <c r="N1046827" s="26"/>
    </row>
    <row r="1046828" customFormat="1" spans="2:14">
      <c r="B1046828" s="26"/>
      <c r="C1046828" s="26"/>
      <c r="D1046828" s="4"/>
      <c r="E1046828" s="26"/>
      <c r="F1046828" s="26"/>
      <c r="G1046828" s="26"/>
      <c r="H1046828" s="26"/>
      <c r="I1046828" s="27"/>
      <c r="J1046828" s="26"/>
      <c r="K1046828" s="26"/>
      <c r="L1046828" s="4"/>
      <c r="M1046828" s="4"/>
      <c r="N1046828" s="26"/>
    </row>
    <row r="1046829" customFormat="1" spans="2:14">
      <c r="B1046829" s="26"/>
      <c r="C1046829" s="26"/>
      <c r="D1046829" s="4"/>
      <c r="E1046829" s="26"/>
      <c r="F1046829" s="26"/>
      <c r="G1046829" s="26"/>
      <c r="H1046829" s="26"/>
      <c r="I1046829" s="27"/>
      <c r="J1046829" s="26"/>
      <c r="K1046829" s="26"/>
      <c r="L1046829" s="4"/>
      <c r="M1046829" s="4"/>
      <c r="N1046829" s="26"/>
    </row>
    <row r="1046830" customFormat="1" spans="2:14">
      <c r="B1046830" s="26"/>
      <c r="C1046830" s="26"/>
      <c r="D1046830" s="4"/>
      <c r="E1046830" s="26"/>
      <c r="F1046830" s="26"/>
      <c r="G1046830" s="26"/>
      <c r="H1046830" s="26"/>
      <c r="I1046830" s="27"/>
      <c r="J1046830" s="26"/>
      <c r="K1046830" s="26"/>
      <c r="L1046830" s="4"/>
      <c r="M1046830" s="4"/>
      <c r="N1046830" s="26"/>
    </row>
    <row r="1046831" customFormat="1" spans="2:14">
      <c r="B1046831" s="26"/>
      <c r="C1046831" s="26"/>
      <c r="D1046831" s="4"/>
      <c r="E1046831" s="26"/>
      <c r="F1046831" s="26"/>
      <c r="G1046831" s="26"/>
      <c r="H1046831" s="26"/>
      <c r="I1046831" s="27"/>
      <c r="J1046831" s="26"/>
      <c r="K1046831" s="26"/>
      <c r="L1046831" s="4"/>
      <c r="M1046831" s="4"/>
      <c r="N1046831" s="26"/>
    </row>
    <row r="1046832" customFormat="1" spans="2:14">
      <c r="B1046832" s="26"/>
      <c r="C1046832" s="26"/>
      <c r="D1046832" s="4"/>
      <c r="E1046832" s="26"/>
      <c r="F1046832" s="26"/>
      <c r="G1046832" s="26"/>
      <c r="H1046832" s="26"/>
      <c r="I1046832" s="27"/>
      <c r="J1046832" s="26"/>
      <c r="K1046832" s="26"/>
      <c r="L1046832" s="4"/>
      <c r="M1046832" s="4"/>
      <c r="N1046832" s="26"/>
    </row>
    <row r="1046833" customFormat="1" spans="2:14">
      <c r="B1046833" s="26"/>
      <c r="C1046833" s="26"/>
      <c r="D1046833" s="4"/>
      <c r="E1046833" s="26"/>
      <c r="F1046833" s="26"/>
      <c r="G1046833" s="26"/>
      <c r="H1046833" s="26"/>
      <c r="I1046833" s="27"/>
      <c r="J1046833" s="26"/>
      <c r="K1046833" s="26"/>
      <c r="L1046833" s="4"/>
      <c r="M1046833" s="4"/>
      <c r="N1046833" s="26"/>
    </row>
    <row r="1046834" customFormat="1" spans="2:14">
      <c r="B1046834" s="26"/>
      <c r="C1046834" s="26"/>
      <c r="D1046834" s="4"/>
      <c r="E1046834" s="26"/>
      <c r="F1046834" s="26"/>
      <c r="G1046834" s="26"/>
      <c r="H1046834" s="26"/>
      <c r="I1046834" s="27"/>
      <c r="J1046834" s="26"/>
      <c r="K1046834" s="26"/>
      <c r="L1046834" s="4"/>
      <c r="M1046834" s="4"/>
      <c r="N1046834" s="26"/>
    </row>
    <row r="1046835" customFormat="1" spans="2:14">
      <c r="B1046835" s="26"/>
      <c r="C1046835" s="26"/>
      <c r="D1046835" s="4"/>
      <c r="E1046835" s="26"/>
      <c r="F1046835" s="26"/>
      <c r="G1046835" s="26"/>
      <c r="H1046835" s="26"/>
      <c r="I1046835" s="27"/>
      <c r="J1046835" s="26"/>
      <c r="K1046835" s="26"/>
      <c r="L1046835" s="4"/>
      <c r="M1046835" s="4"/>
      <c r="N1046835" s="26"/>
    </row>
    <row r="1046836" customFormat="1" spans="2:14">
      <c r="B1046836" s="26"/>
      <c r="C1046836" s="26"/>
      <c r="D1046836" s="4"/>
      <c r="E1046836" s="26"/>
      <c r="F1046836" s="26"/>
      <c r="G1046836" s="26"/>
      <c r="H1046836" s="26"/>
      <c r="I1046836" s="27"/>
      <c r="J1046836" s="26"/>
      <c r="K1046836" s="26"/>
      <c r="L1046836" s="4"/>
      <c r="M1046836" s="4"/>
      <c r="N1046836" s="26"/>
    </row>
    <row r="1046837" customFormat="1" spans="2:14">
      <c r="B1046837" s="26"/>
      <c r="C1046837" s="26"/>
      <c r="D1046837" s="4"/>
      <c r="E1046837" s="26"/>
      <c r="F1046837" s="26"/>
      <c r="G1046837" s="26"/>
      <c r="H1046837" s="26"/>
      <c r="I1046837" s="27"/>
      <c r="J1046837" s="26"/>
      <c r="K1046837" s="26"/>
      <c r="L1046837" s="4"/>
      <c r="M1046837" s="4"/>
      <c r="N1046837" s="26"/>
    </row>
    <row r="1046838" customFormat="1" spans="2:14">
      <c r="B1046838" s="26"/>
      <c r="C1046838" s="26"/>
      <c r="D1046838" s="4"/>
      <c r="E1046838" s="26"/>
      <c r="F1046838" s="26"/>
      <c r="G1046838" s="26"/>
      <c r="H1046838" s="26"/>
      <c r="I1046838" s="27"/>
      <c r="J1046838" s="26"/>
      <c r="K1046838" s="26"/>
      <c r="L1046838" s="4"/>
      <c r="M1046838" s="4"/>
      <c r="N1046838" s="26"/>
    </row>
    <row r="1046839" customFormat="1" spans="2:14">
      <c r="B1046839" s="26"/>
      <c r="C1046839" s="26"/>
      <c r="D1046839" s="4"/>
      <c r="E1046839" s="26"/>
      <c r="F1046839" s="26"/>
      <c r="G1046839" s="26"/>
      <c r="H1046839" s="26"/>
      <c r="I1046839" s="27"/>
      <c r="J1046839" s="26"/>
      <c r="K1046839" s="26"/>
      <c r="L1046839" s="4"/>
      <c r="M1046839" s="4"/>
      <c r="N1046839" s="26"/>
    </row>
    <row r="1046840" customFormat="1" spans="2:14">
      <c r="B1046840" s="26"/>
      <c r="C1046840" s="26"/>
      <c r="D1046840" s="4"/>
      <c r="E1046840" s="26"/>
      <c r="F1046840" s="26"/>
      <c r="G1046840" s="26"/>
      <c r="H1046840" s="26"/>
      <c r="I1046840" s="27"/>
      <c r="J1046840" s="26"/>
      <c r="K1046840" s="26"/>
      <c r="L1046840" s="4"/>
      <c r="M1046840" s="4"/>
      <c r="N1046840" s="26"/>
    </row>
    <row r="1046841" customFormat="1" spans="2:14">
      <c r="B1046841" s="26"/>
      <c r="C1046841" s="26"/>
      <c r="D1046841" s="4"/>
      <c r="E1046841" s="26"/>
      <c r="F1046841" s="26"/>
      <c r="G1046841" s="26"/>
      <c r="H1046841" s="26"/>
      <c r="I1046841" s="27"/>
      <c r="J1046841" s="26"/>
      <c r="K1046841" s="26"/>
      <c r="L1046841" s="4"/>
      <c r="M1046841" s="4"/>
      <c r="N1046841" s="26"/>
    </row>
    <row r="1046842" customFormat="1" spans="2:14">
      <c r="B1046842" s="26"/>
      <c r="C1046842" s="26"/>
      <c r="D1046842" s="4"/>
      <c r="E1046842" s="26"/>
      <c r="F1046842" s="26"/>
      <c r="G1046842" s="26"/>
      <c r="H1046842" s="26"/>
      <c r="I1046842" s="27"/>
      <c r="J1046842" s="26"/>
      <c r="K1046842" s="26"/>
      <c r="L1046842" s="4"/>
      <c r="M1046842" s="4"/>
      <c r="N1046842" s="26"/>
    </row>
    <row r="1046843" customFormat="1" spans="2:14">
      <c r="B1046843" s="26"/>
      <c r="C1046843" s="26"/>
      <c r="D1046843" s="4"/>
      <c r="E1046843" s="26"/>
      <c r="F1046843" s="26"/>
      <c r="G1046843" s="26"/>
      <c r="H1046843" s="26"/>
      <c r="I1046843" s="27"/>
      <c r="J1046843" s="26"/>
      <c r="K1046843" s="26"/>
      <c r="L1046843" s="4"/>
      <c r="M1046843" s="4"/>
      <c r="N1046843" s="26"/>
    </row>
    <row r="1046844" customFormat="1" spans="2:14">
      <c r="B1046844" s="26"/>
      <c r="C1046844" s="26"/>
      <c r="D1046844" s="4"/>
      <c r="E1046844" s="26"/>
      <c r="F1046844" s="26"/>
      <c r="G1046844" s="26"/>
      <c r="H1046844" s="26"/>
      <c r="I1046844" s="27"/>
      <c r="J1046844" s="26"/>
      <c r="K1046844" s="26"/>
      <c r="L1046844" s="4"/>
      <c r="M1046844" s="4"/>
      <c r="N1046844" s="26"/>
    </row>
    <row r="1046845" customFormat="1" spans="2:14">
      <c r="B1046845" s="26"/>
      <c r="C1046845" s="26"/>
      <c r="D1046845" s="4"/>
      <c r="E1046845" s="26"/>
      <c r="F1046845" s="26"/>
      <c r="G1046845" s="26"/>
      <c r="H1046845" s="26"/>
      <c r="I1046845" s="27"/>
      <c r="J1046845" s="26"/>
      <c r="K1046845" s="26"/>
      <c r="L1046845" s="4"/>
      <c r="M1046845" s="4"/>
      <c r="N1046845" s="26"/>
    </row>
    <row r="1046846" customFormat="1" spans="2:14">
      <c r="B1046846" s="26"/>
      <c r="C1046846" s="26"/>
      <c r="D1046846" s="4"/>
      <c r="E1046846" s="26"/>
      <c r="F1046846" s="26"/>
      <c r="G1046846" s="26"/>
      <c r="H1046846" s="26"/>
      <c r="I1046846" s="27"/>
      <c r="J1046846" s="26"/>
      <c r="K1046846" s="26"/>
      <c r="L1046846" s="4"/>
      <c r="M1046846" s="4"/>
      <c r="N1046846" s="26"/>
    </row>
    <row r="1046847" customFormat="1" spans="2:14">
      <c r="B1046847" s="26"/>
      <c r="C1046847" s="26"/>
      <c r="D1046847" s="4"/>
      <c r="E1046847" s="26"/>
      <c r="F1046847" s="26"/>
      <c r="G1046847" s="26"/>
      <c r="H1046847" s="26"/>
      <c r="I1046847" s="27"/>
      <c r="J1046847" s="26"/>
      <c r="K1046847" s="26"/>
      <c r="L1046847" s="4"/>
      <c r="M1046847" s="4"/>
      <c r="N1046847" s="26"/>
    </row>
    <row r="1046848" customFormat="1" spans="2:14">
      <c r="B1046848" s="26"/>
      <c r="C1046848" s="26"/>
      <c r="D1046848" s="4"/>
      <c r="E1046848" s="26"/>
      <c r="F1046848" s="26"/>
      <c r="G1046848" s="26"/>
      <c r="H1046848" s="26"/>
      <c r="I1046848" s="27"/>
      <c r="J1046848" s="26"/>
      <c r="K1046848" s="26"/>
      <c r="L1046848" s="4"/>
      <c r="M1046848" s="4"/>
      <c r="N1046848" s="26"/>
    </row>
    <row r="1046849" customFormat="1" spans="2:14">
      <c r="B1046849" s="26"/>
      <c r="C1046849" s="26"/>
      <c r="D1046849" s="4"/>
      <c r="E1046849" s="26"/>
      <c r="F1046849" s="26"/>
      <c r="G1046849" s="26"/>
      <c r="H1046849" s="26"/>
      <c r="I1046849" s="27"/>
      <c r="J1046849" s="26"/>
      <c r="K1046849" s="26"/>
      <c r="L1046849" s="4"/>
      <c r="M1046849" s="4"/>
      <c r="N1046849" s="26"/>
    </row>
    <row r="1046850" customFormat="1" spans="2:14">
      <c r="B1046850" s="26"/>
      <c r="C1046850" s="26"/>
      <c r="D1046850" s="4"/>
      <c r="E1046850" s="26"/>
      <c r="F1046850" s="26"/>
      <c r="G1046850" s="26"/>
      <c r="H1046850" s="26"/>
      <c r="I1046850" s="27"/>
      <c r="J1046850" s="26"/>
      <c r="K1046850" s="26"/>
      <c r="L1046850" s="4"/>
      <c r="M1046850" s="4"/>
      <c r="N1046850" s="26"/>
    </row>
    <row r="1046851" customFormat="1" spans="2:14">
      <c r="B1046851" s="26"/>
      <c r="C1046851" s="26"/>
      <c r="D1046851" s="4"/>
      <c r="E1046851" s="26"/>
      <c r="F1046851" s="26"/>
      <c r="G1046851" s="26"/>
      <c r="H1046851" s="26"/>
      <c r="I1046851" s="27"/>
      <c r="J1046851" s="26"/>
      <c r="K1046851" s="26"/>
      <c r="L1046851" s="4"/>
      <c r="M1046851" s="4"/>
      <c r="N1046851" s="26"/>
    </row>
    <row r="1046852" customFormat="1" spans="2:14">
      <c r="B1046852" s="26"/>
      <c r="C1046852" s="26"/>
      <c r="D1046852" s="4"/>
      <c r="E1046852" s="26"/>
      <c r="F1046852" s="26"/>
      <c r="G1046852" s="26"/>
      <c r="H1046852" s="26"/>
      <c r="I1046852" s="27"/>
      <c r="J1046852" s="26"/>
      <c r="K1046852" s="26"/>
      <c r="L1046852" s="4"/>
      <c r="M1046852" s="4"/>
      <c r="N1046852" s="26"/>
    </row>
    <row r="1046853" customFormat="1" spans="2:14">
      <c r="B1046853" s="26"/>
      <c r="C1046853" s="26"/>
      <c r="D1046853" s="4"/>
      <c r="E1046853" s="26"/>
      <c r="F1046853" s="26"/>
      <c r="G1046853" s="26"/>
      <c r="H1046853" s="26"/>
      <c r="I1046853" s="27"/>
      <c r="J1046853" s="26"/>
      <c r="K1046853" s="26"/>
      <c r="L1046853" s="4"/>
      <c r="M1046853" s="4"/>
      <c r="N1046853" s="26"/>
    </row>
    <row r="1046854" customFormat="1" spans="2:14">
      <c r="B1046854" s="26"/>
      <c r="C1046854" s="26"/>
      <c r="D1046854" s="4"/>
      <c r="E1046854" s="26"/>
      <c r="F1046854" s="26"/>
      <c r="G1046854" s="26"/>
      <c r="H1046854" s="26"/>
      <c r="I1046854" s="27"/>
      <c r="J1046854" s="26"/>
      <c r="K1046854" s="26"/>
      <c r="L1046854" s="4"/>
      <c r="M1046854" s="4"/>
      <c r="N1046854" s="26"/>
    </row>
    <row r="1046855" customFormat="1" spans="2:14">
      <c r="B1046855" s="26"/>
      <c r="C1046855" s="26"/>
      <c r="D1046855" s="4"/>
      <c r="E1046855" s="26"/>
      <c r="F1046855" s="26"/>
      <c r="G1046855" s="26"/>
      <c r="H1046855" s="26"/>
      <c r="I1046855" s="27"/>
      <c r="J1046855" s="26"/>
      <c r="K1046855" s="26"/>
      <c r="L1046855" s="4"/>
      <c r="M1046855" s="4"/>
      <c r="N1046855" s="26"/>
    </row>
    <row r="1046856" customFormat="1" spans="2:14">
      <c r="B1046856" s="26"/>
      <c r="C1046856" s="26"/>
      <c r="D1046856" s="4"/>
      <c r="E1046856" s="26"/>
      <c r="F1046856" s="26"/>
      <c r="G1046856" s="26"/>
      <c r="H1046856" s="26"/>
      <c r="I1046856" s="27"/>
      <c r="J1046856" s="26"/>
      <c r="K1046856" s="26"/>
      <c r="L1046856" s="4"/>
      <c r="M1046856" s="4"/>
      <c r="N1046856" s="26"/>
    </row>
    <row r="1046857" customFormat="1" spans="2:14">
      <c r="B1046857" s="26"/>
      <c r="C1046857" s="26"/>
      <c r="D1046857" s="4"/>
      <c r="E1046857" s="26"/>
      <c r="F1046857" s="26"/>
      <c r="G1046857" s="26"/>
      <c r="H1046857" s="26"/>
      <c r="I1046857" s="27"/>
      <c r="J1046857" s="26"/>
      <c r="K1046857" s="26"/>
      <c r="L1046857" s="4"/>
      <c r="M1046857" s="4"/>
      <c r="N1046857" s="26"/>
    </row>
    <row r="1046858" customFormat="1" spans="2:14">
      <c r="B1046858" s="26"/>
      <c r="C1046858" s="26"/>
      <c r="D1046858" s="4"/>
      <c r="E1046858" s="26"/>
      <c r="F1046858" s="26"/>
      <c r="G1046858" s="26"/>
      <c r="H1046858" s="26"/>
      <c r="I1046858" s="27"/>
      <c r="J1046858" s="26"/>
      <c r="K1046858" s="26"/>
      <c r="L1046858" s="4"/>
      <c r="M1046858" s="4"/>
      <c r="N1046858" s="26"/>
    </row>
    <row r="1046859" customFormat="1" spans="2:14">
      <c r="B1046859" s="26"/>
      <c r="C1046859" s="26"/>
      <c r="D1046859" s="4"/>
      <c r="E1046859" s="26"/>
      <c r="F1046859" s="26"/>
      <c r="G1046859" s="26"/>
      <c r="H1046859" s="26"/>
      <c r="I1046859" s="27"/>
      <c r="J1046859" s="26"/>
      <c r="K1046859" s="26"/>
      <c r="L1046859" s="4"/>
      <c r="M1046859" s="4"/>
      <c r="N1046859" s="26"/>
    </row>
    <row r="1046860" customFormat="1" spans="2:14">
      <c r="B1046860" s="26"/>
      <c r="C1046860" s="26"/>
      <c r="D1046860" s="4"/>
      <c r="E1046860" s="26"/>
      <c r="F1046860" s="26"/>
      <c r="G1046860" s="26"/>
      <c r="H1046860" s="26"/>
      <c r="I1046860" s="27"/>
      <c r="J1046860" s="26"/>
      <c r="K1046860" s="26"/>
      <c r="L1046860" s="4"/>
      <c r="M1046860" s="4"/>
      <c r="N1046860" s="26"/>
    </row>
    <row r="1046861" customFormat="1" spans="2:14">
      <c r="B1046861" s="26"/>
      <c r="C1046861" s="26"/>
      <c r="D1046861" s="4"/>
      <c r="E1046861" s="26"/>
      <c r="F1046861" s="26"/>
      <c r="G1046861" s="26"/>
      <c r="H1046861" s="26"/>
      <c r="I1046861" s="27"/>
      <c r="J1046861" s="26"/>
      <c r="K1046861" s="26"/>
      <c r="L1046861" s="4"/>
      <c r="M1046861" s="4"/>
      <c r="N1046861" s="26"/>
    </row>
    <row r="1046862" customFormat="1" spans="2:14">
      <c r="B1046862" s="26"/>
      <c r="C1046862" s="26"/>
      <c r="D1046862" s="4"/>
      <c r="E1046862" s="26"/>
      <c r="F1046862" s="26"/>
      <c r="G1046862" s="26"/>
      <c r="H1046862" s="26"/>
      <c r="I1046862" s="27"/>
      <c r="J1046862" s="26"/>
      <c r="K1046862" s="26"/>
      <c r="L1046862" s="4"/>
      <c r="M1046862" s="4"/>
      <c r="N1046862" s="26"/>
    </row>
    <row r="1046863" customFormat="1" spans="2:14">
      <c r="B1046863" s="26"/>
      <c r="C1046863" s="26"/>
      <c r="D1046863" s="4"/>
      <c r="E1046863" s="26"/>
      <c r="F1046863" s="26"/>
      <c r="G1046863" s="26"/>
      <c r="H1046863" s="26"/>
      <c r="I1046863" s="27"/>
      <c r="J1046863" s="26"/>
      <c r="K1046863" s="26"/>
      <c r="L1046863" s="4"/>
      <c r="M1046863" s="4"/>
      <c r="N1046863" s="26"/>
    </row>
    <row r="1046864" customFormat="1" spans="2:14">
      <c r="B1046864" s="26"/>
      <c r="C1046864" s="26"/>
      <c r="D1046864" s="4"/>
      <c r="E1046864" s="26"/>
      <c r="F1046864" s="26"/>
      <c r="G1046864" s="26"/>
      <c r="H1046864" s="26"/>
      <c r="I1046864" s="27"/>
      <c r="J1046864" s="26"/>
      <c r="K1046864" s="26"/>
      <c r="L1046864" s="4"/>
      <c r="M1046864" s="4"/>
      <c r="N1046864" s="26"/>
    </row>
    <row r="1046865" customFormat="1" spans="2:14">
      <c r="B1046865" s="26"/>
      <c r="C1046865" s="26"/>
      <c r="D1046865" s="4"/>
      <c r="E1046865" s="26"/>
      <c r="F1046865" s="26"/>
      <c r="G1046865" s="26"/>
      <c r="H1046865" s="26"/>
      <c r="I1046865" s="27"/>
      <c r="J1046865" s="26"/>
      <c r="K1046865" s="26"/>
      <c r="L1046865" s="4"/>
      <c r="M1046865" s="4"/>
      <c r="N1046865" s="26"/>
    </row>
    <row r="1046866" customFormat="1" spans="2:14">
      <c r="B1046866" s="26"/>
      <c r="C1046866" s="26"/>
      <c r="D1046866" s="4"/>
      <c r="E1046866" s="26"/>
      <c r="F1046866" s="26"/>
      <c r="G1046866" s="26"/>
      <c r="H1046866" s="26"/>
      <c r="I1046866" s="27"/>
      <c r="J1046866" s="26"/>
      <c r="K1046866" s="26"/>
      <c r="L1046866" s="4"/>
      <c r="M1046866" s="4"/>
      <c r="N1046866" s="26"/>
    </row>
    <row r="1046867" customFormat="1" spans="2:14">
      <c r="B1046867" s="26"/>
      <c r="C1046867" s="26"/>
      <c r="D1046867" s="4"/>
      <c r="E1046867" s="26"/>
      <c r="F1046867" s="26"/>
      <c r="G1046867" s="26"/>
      <c r="H1046867" s="26"/>
      <c r="I1046867" s="27"/>
      <c r="J1046867" s="26"/>
      <c r="K1046867" s="26"/>
      <c r="L1046867" s="4"/>
      <c r="M1046867" s="4"/>
      <c r="N1046867" s="26"/>
    </row>
    <row r="1046868" customFormat="1" spans="2:14">
      <c r="B1046868" s="26"/>
      <c r="C1046868" s="26"/>
      <c r="D1046868" s="4"/>
      <c r="E1046868" s="26"/>
      <c r="F1046868" s="26"/>
      <c r="G1046868" s="26"/>
      <c r="H1046868" s="26"/>
      <c r="I1046868" s="27"/>
      <c r="J1046868" s="26"/>
      <c r="K1046868" s="26"/>
      <c r="L1046868" s="4"/>
      <c r="M1046868" s="4"/>
      <c r="N1046868" s="26"/>
    </row>
    <row r="1046869" customFormat="1" spans="2:14">
      <c r="B1046869" s="26"/>
      <c r="C1046869" s="26"/>
      <c r="D1046869" s="4"/>
      <c r="E1046869" s="26"/>
      <c r="F1046869" s="26"/>
      <c r="G1046869" s="26"/>
      <c r="H1046869" s="26"/>
      <c r="I1046869" s="27"/>
      <c r="J1046869" s="26"/>
      <c r="K1046869" s="26"/>
      <c r="L1046869" s="4"/>
      <c r="M1046869" s="4"/>
      <c r="N1046869" s="26"/>
    </row>
    <row r="1046870" customFormat="1" spans="2:14">
      <c r="B1046870" s="26"/>
      <c r="C1046870" s="26"/>
      <c r="D1046870" s="4"/>
      <c r="E1046870" s="26"/>
      <c r="F1046870" s="26"/>
      <c r="G1046870" s="26"/>
      <c r="H1046870" s="26"/>
      <c r="I1046870" s="27"/>
      <c r="J1046870" s="26"/>
      <c r="K1046870" s="26"/>
      <c r="L1046870" s="4"/>
      <c r="M1046870" s="4"/>
      <c r="N1046870" s="26"/>
    </row>
    <row r="1046871" customFormat="1" spans="2:14">
      <c r="B1046871" s="26"/>
      <c r="C1046871" s="26"/>
      <c r="D1046871" s="4"/>
      <c r="E1046871" s="26"/>
      <c r="F1046871" s="26"/>
      <c r="G1046871" s="26"/>
      <c r="H1046871" s="26"/>
      <c r="I1046871" s="27"/>
      <c r="J1046871" s="26"/>
      <c r="K1046871" s="26"/>
      <c r="L1046871" s="4"/>
      <c r="M1046871" s="4"/>
      <c r="N1046871" s="26"/>
    </row>
    <row r="1046872" customFormat="1" spans="2:14">
      <c r="B1046872" s="26"/>
      <c r="C1046872" s="26"/>
      <c r="D1046872" s="4"/>
      <c r="E1046872" s="26"/>
      <c r="F1046872" s="26"/>
      <c r="G1046872" s="26"/>
      <c r="H1046872" s="26"/>
      <c r="I1046872" s="27"/>
      <c r="J1046872" s="26"/>
      <c r="K1046872" s="26"/>
      <c r="L1046872" s="4"/>
      <c r="M1046872" s="4"/>
      <c r="N1046872" s="26"/>
    </row>
    <row r="1046873" customFormat="1" spans="2:14">
      <c r="B1046873" s="26"/>
      <c r="C1046873" s="26"/>
      <c r="D1046873" s="4"/>
      <c r="E1046873" s="26"/>
      <c r="F1046873" s="26"/>
      <c r="G1046873" s="26"/>
      <c r="H1046873" s="26"/>
      <c r="I1046873" s="27"/>
      <c r="J1046873" s="26"/>
      <c r="K1046873" s="26"/>
      <c r="L1046873" s="4"/>
      <c r="M1046873" s="4"/>
      <c r="N1046873" s="26"/>
    </row>
    <row r="1046874" customFormat="1" spans="2:14">
      <c r="B1046874" s="26"/>
      <c r="C1046874" s="26"/>
      <c r="D1046874" s="4"/>
      <c r="E1046874" s="26"/>
      <c r="F1046874" s="26"/>
      <c r="G1046874" s="26"/>
      <c r="H1046874" s="26"/>
      <c r="I1046874" s="27"/>
      <c r="J1046874" s="26"/>
      <c r="K1046874" s="26"/>
      <c r="L1046874" s="4"/>
      <c r="M1046874" s="4"/>
      <c r="N1046874" s="26"/>
    </row>
    <row r="1046875" customFormat="1" spans="2:14">
      <c r="B1046875" s="26"/>
      <c r="C1046875" s="26"/>
      <c r="D1046875" s="4"/>
      <c r="E1046875" s="26"/>
      <c r="F1046875" s="26"/>
      <c r="G1046875" s="26"/>
      <c r="H1046875" s="26"/>
      <c r="I1046875" s="27"/>
      <c r="J1046875" s="26"/>
      <c r="K1046875" s="26"/>
      <c r="L1046875" s="4"/>
      <c r="M1046875" s="4"/>
      <c r="N1046875" s="26"/>
    </row>
    <row r="1046876" customFormat="1" spans="2:14">
      <c r="B1046876" s="26"/>
      <c r="C1046876" s="26"/>
      <c r="D1046876" s="4"/>
      <c r="E1046876" s="26"/>
      <c r="F1046876" s="26"/>
      <c r="G1046876" s="26"/>
      <c r="H1046876" s="26"/>
      <c r="I1046876" s="27"/>
      <c r="J1046876" s="26"/>
      <c r="K1046876" s="26"/>
      <c r="L1046876" s="4"/>
      <c r="M1046876" s="4"/>
      <c r="N1046876" s="26"/>
    </row>
    <row r="1046877" customFormat="1" spans="2:14">
      <c r="B1046877" s="26"/>
      <c r="C1046877" s="26"/>
      <c r="D1046877" s="4"/>
      <c r="E1046877" s="26"/>
      <c r="F1046877" s="26"/>
      <c r="G1046877" s="26"/>
      <c r="H1046877" s="26"/>
      <c r="I1046877" s="27"/>
      <c r="J1046877" s="26"/>
      <c r="K1046877" s="26"/>
      <c r="L1046877" s="4"/>
      <c r="M1046877" s="4"/>
      <c r="N1046877" s="26"/>
    </row>
    <row r="1046878" customFormat="1" spans="2:14">
      <c r="B1046878" s="26"/>
      <c r="C1046878" s="26"/>
      <c r="D1046878" s="4"/>
      <c r="E1046878" s="26"/>
      <c r="F1046878" s="26"/>
      <c r="G1046878" s="26"/>
      <c r="H1046878" s="26"/>
      <c r="I1046878" s="27"/>
      <c r="J1046878" s="26"/>
      <c r="K1046878" s="26"/>
      <c r="L1046878" s="4"/>
      <c r="M1046878" s="4"/>
      <c r="N1046878" s="26"/>
    </row>
    <row r="1046879" customFormat="1" spans="2:14">
      <c r="B1046879" s="26"/>
      <c r="C1046879" s="26"/>
      <c r="D1046879" s="4"/>
      <c r="E1046879" s="26"/>
      <c r="F1046879" s="26"/>
      <c r="G1046879" s="26"/>
      <c r="H1046879" s="26"/>
      <c r="I1046879" s="27"/>
      <c r="J1046879" s="26"/>
      <c r="K1046879" s="26"/>
      <c r="L1046879" s="4"/>
      <c r="M1046879" s="4"/>
      <c r="N1046879" s="26"/>
    </row>
    <row r="1046880" customFormat="1" spans="2:14">
      <c r="B1046880" s="26"/>
      <c r="C1046880" s="26"/>
      <c r="D1046880" s="4"/>
      <c r="E1046880" s="26"/>
      <c r="F1046880" s="26"/>
      <c r="G1046880" s="26"/>
      <c r="H1046880" s="26"/>
      <c r="I1046880" s="27"/>
      <c r="J1046880" s="26"/>
      <c r="K1046880" s="26"/>
      <c r="L1046880" s="4"/>
      <c r="M1046880" s="4"/>
      <c r="N1046880" s="26"/>
    </row>
    <row r="1046881" customFormat="1" spans="2:14">
      <c r="B1046881" s="26"/>
      <c r="C1046881" s="26"/>
      <c r="D1046881" s="4"/>
      <c r="E1046881" s="26"/>
      <c r="F1046881" s="26"/>
      <c r="G1046881" s="26"/>
      <c r="H1046881" s="26"/>
      <c r="I1046881" s="27"/>
      <c r="J1046881" s="26"/>
      <c r="K1046881" s="26"/>
      <c r="L1046881" s="4"/>
      <c r="M1046881" s="4"/>
      <c r="N1046881" s="26"/>
    </row>
    <row r="1046882" customFormat="1" spans="2:14">
      <c r="B1046882" s="26"/>
      <c r="C1046882" s="26"/>
      <c r="D1046882" s="4"/>
      <c r="E1046882" s="26"/>
      <c r="F1046882" s="26"/>
      <c r="G1046882" s="26"/>
      <c r="H1046882" s="26"/>
      <c r="I1046882" s="27"/>
      <c r="J1046882" s="26"/>
      <c r="K1046882" s="26"/>
      <c r="L1046882" s="4"/>
      <c r="M1046882" s="4"/>
      <c r="N1046882" s="26"/>
    </row>
    <row r="1046883" customFormat="1" spans="2:14">
      <c r="B1046883" s="26"/>
      <c r="C1046883" s="26"/>
      <c r="D1046883" s="4"/>
      <c r="E1046883" s="26"/>
      <c r="F1046883" s="26"/>
      <c r="G1046883" s="26"/>
      <c r="H1046883" s="26"/>
      <c r="I1046883" s="27"/>
      <c r="J1046883" s="26"/>
      <c r="K1046883" s="26"/>
      <c r="L1046883" s="4"/>
      <c r="M1046883" s="4"/>
      <c r="N1046883" s="26"/>
    </row>
    <row r="1046884" customFormat="1" spans="2:14">
      <c r="B1046884" s="26"/>
      <c r="C1046884" s="26"/>
      <c r="D1046884" s="4"/>
      <c r="E1046884" s="26"/>
      <c r="F1046884" s="26"/>
      <c r="G1046884" s="26"/>
      <c r="H1046884" s="26"/>
      <c r="I1046884" s="27"/>
      <c r="J1046884" s="26"/>
      <c r="K1046884" s="26"/>
      <c r="L1046884" s="4"/>
      <c r="M1046884" s="4"/>
      <c r="N1046884" s="26"/>
    </row>
    <row r="1046885" customFormat="1" spans="2:14">
      <c r="B1046885" s="26"/>
      <c r="C1046885" s="26"/>
      <c r="D1046885" s="4"/>
      <c r="E1046885" s="26"/>
      <c r="F1046885" s="26"/>
      <c r="G1046885" s="26"/>
      <c r="H1046885" s="26"/>
      <c r="I1046885" s="27"/>
      <c r="J1046885" s="26"/>
      <c r="K1046885" s="26"/>
      <c r="L1046885" s="4"/>
      <c r="M1046885" s="4"/>
      <c r="N1046885" s="26"/>
    </row>
    <row r="1046886" customFormat="1" spans="2:14">
      <c r="B1046886" s="26"/>
      <c r="C1046886" s="26"/>
      <c r="D1046886" s="4"/>
      <c r="E1046886" s="26"/>
      <c r="F1046886" s="26"/>
      <c r="G1046886" s="26"/>
      <c r="H1046886" s="26"/>
      <c r="I1046886" s="27"/>
      <c r="J1046886" s="26"/>
      <c r="K1046886" s="26"/>
      <c r="L1046886" s="4"/>
      <c r="M1046886" s="4"/>
      <c r="N1046886" s="26"/>
    </row>
    <row r="1046887" customFormat="1" spans="2:14">
      <c r="B1046887" s="26"/>
      <c r="C1046887" s="26"/>
      <c r="D1046887" s="4"/>
      <c r="E1046887" s="26"/>
      <c r="F1046887" s="26"/>
      <c r="G1046887" s="26"/>
      <c r="H1046887" s="26"/>
      <c r="I1046887" s="27"/>
      <c r="J1046887" s="26"/>
      <c r="K1046887" s="26"/>
      <c r="L1046887" s="4"/>
      <c r="M1046887" s="4"/>
      <c r="N1046887" s="26"/>
    </row>
    <row r="1046888" customFormat="1" spans="2:14">
      <c r="B1046888" s="26"/>
      <c r="C1046888" s="26"/>
      <c r="D1046888" s="4"/>
      <c r="E1046888" s="26"/>
      <c r="F1046888" s="26"/>
      <c r="G1046888" s="26"/>
      <c r="H1046888" s="26"/>
      <c r="I1046888" s="27"/>
      <c r="J1046888" s="26"/>
      <c r="K1046888" s="26"/>
      <c r="L1046888" s="4"/>
      <c r="M1046888" s="4"/>
      <c r="N1046888" s="26"/>
    </row>
    <row r="1046889" customFormat="1" spans="2:14">
      <c r="B1046889" s="26"/>
      <c r="C1046889" s="26"/>
      <c r="D1046889" s="4"/>
      <c r="E1046889" s="26"/>
      <c r="F1046889" s="26"/>
      <c r="G1046889" s="26"/>
      <c r="H1046889" s="26"/>
      <c r="I1046889" s="27"/>
      <c r="J1046889" s="26"/>
      <c r="K1046889" s="26"/>
      <c r="L1046889" s="4"/>
      <c r="M1046889" s="4"/>
      <c r="N1046889" s="26"/>
    </row>
    <row r="1046890" customFormat="1" spans="2:14">
      <c r="B1046890" s="26"/>
      <c r="C1046890" s="26"/>
      <c r="D1046890" s="4"/>
      <c r="E1046890" s="26"/>
      <c r="F1046890" s="26"/>
      <c r="G1046890" s="26"/>
      <c r="H1046890" s="26"/>
      <c r="I1046890" s="27"/>
      <c r="J1046890" s="26"/>
      <c r="K1046890" s="26"/>
      <c r="L1046890" s="4"/>
      <c r="M1046890" s="4"/>
      <c r="N1046890" s="26"/>
    </row>
    <row r="1046891" customFormat="1" spans="2:14">
      <c r="B1046891" s="26"/>
      <c r="C1046891" s="26"/>
      <c r="D1046891" s="4"/>
      <c r="E1046891" s="26"/>
      <c r="F1046891" s="26"/>
      <c r="G1046891" s="26"/>
      <c r="H1046891" s="26"/>
      <c r="I1046891" s="27"/>
      <c r="J1046891" s="26"/>
      <c r="K1046891" s="26"/>
      <c r="L1046891" s="4"/>
      <c r="M1046891" s="4"/>
      <c r="N1046891" s="26"/>
    </row>
    <row r="1046892" customFormat="1" spans="2:14">
      <c r="B1046892" s="26"/>
      <c r="C1046892" s="26"/>
      <c r="D1046892" s="4"/>
      <c r="E1046892" s="26"/>
      <c r="F1046892" s="26"/>
      <c r="G1046892" s="26"/>
      <c r="H1046892" s="26"/>
      <c r="I1046892" s="27"/>
      <c r="J1046892" s="26"/>
      <c r="K1046892" s="26"/>
      <c r="L1046892" s="4"/>
      <c r="M1046892" s="4"/>
      <c r="N1046892" s="26"/>
    </row>
    <row r="1046893" customFormat="1" spans="2:14">
      <c r="B1046893" s="26"/>
      <c r="C1046893" s="26"/>
      <c r="D1046893" s="4"/>
      <c r="E1046893" s="26"/>
      <c r="F1046893" s="26"/>
      <c r="G1046893" s="26"/>
      <c r="H1046893" s="26"/>
      <c r="I1046893" s="27"/>
      <c r="J1046893" s="26"/>
      <c r="K1046893" s="26"/>
      <c r="L1046893" s="4"/>
      <c r="M1046893" s="4"/>
      <c r="N1046893" s="26"/>
    </row>
    <row r="1046894" customFormat="1" spans="2:14">
      <c r="B1046894" s="26"/>
      <c r="C1046894" s="26"/>
      <c r="D1046894" s="4"/>
      <c r="E1046894" s="26"/>
      <c r="F1046894" s="26"/>
      <c r="G1046894" s="26"/>
      <c r="H1046894" s="26"/>
      <c r="I1046894" s="27"/>
      <c r="J1046894" s="26"/>
      <c r="K1046894" s="26"/>
      <c r="L1046894" s="4"/>
      <c r="M1046894" s="4"/>
      <c r="N1046894" s="26"/>
    </row>
    <row r="1046895" customFormat="1" spans="2:14">
      <c r="B1046895" s="26"/>
      <c r="C1046895" s="26"/>
      <c r="D1046895" s="4"/>
      <c r="E1046895" s="26"/>
      <c r="F1046895" s="26"/>
      <c r="G1046895" s="26"/>
      <c r="H1046895" s="26"/>
      <c r="I1046895" s="27"/>
      <c r="J1046895" s="26"/>
      <c r="K1046895" s="26"/>
      <c r="L1046895" s="4"/>
      <c r="M1046895" s="4"/>
      <c r="N1046895" s="26"/>
    </row>
    <row r="1046896" customFormat="1" spans="2:14">
      <c r="B1046896" s="26"/>
      <c r="C1046896" s="26"/>
      <c r="D1046896" s="4"/>
      <c r="E1046896" s="26"/>
      <c r="F1046896" s="26"/>
      <c r="G1046896" s="26"/>
      <c r="H1046896" s="26"/>
      <c r="I1046896" s="27"/>
      <c r="J1046896" s="26"/>
      <c r="K1046896" s="26"/>
      <c r="L1046896" s="4"/>
      <c r="M1046896" s="4"/>
      <c r="N1046896" s="26"/>
    </row>
    <row r="1046897" customFormat="1" spans="2:14">
      <c r="B1046897" s="26"/>
      <c r="C1046897" s="26"/>
      <c r="D1046897" s="4"/>
      <c r="E1046897" s="26"/>
      <c r="F1046897" s="26"/>
      <c r="G1046897" s="26"/>
      <c r="H1046897" s="26"/>
      <c r="I1046897" s="27"/>
      <c r="J1046897" s="26"/>
      <c r="K1046897" s="26"/>
      <c r="L1046897" s="4"/>
      <c r="M1046897" s="4"/>
      <c r="N1046897" s="26"/>
    </row>
    <row r="1046898" customFormat="1" spans="2:14">
      <c r="B1046898" s="26"/>
      <c r="C1046898" s="26"/>
      <c r="D1046898" s="4"/>
      <c r="E1046898" s="26"/>
      <c r="F1046898" s="26"/>
      <c r="G1046898" s="26"/>
      <c r="H1046898" s="26"/>
      <c r="I1046898" s="27"/>
      <c r="J1046898" s="26"/>
      <c r="K1046898" s="26"/>
      <c r="L1046898" s="4"/>
      <c r="M1046898" s="4"/>
      <c r="N1046898" s="26"/>
    </row>
    <row r="1046899" customFormat="1" spans="2:14">
      <c r="B1046899" s="26"/>
      <c r="C1046899" s="26"/>
      <c r="D1046899" s="4"/>
      <c r="E1046899" s="26"/>
      <c r="F1046899" s="26"/>
      <c r="G1046899" s="26"/>
      <c r="H1046899" s="26"/>
      <c r="I1046899" s="27"/>
      <c r="J1046899" s="26"/>
      <c r="K1046899" s="26"/>
      <c r="L1046899" s="4"/>
      <c r="M1046899" s="4"/>
      <c r="N1046899" s="26"/>
    </row>
    <row r="1046900" customFormat="1" spans="2:14">
      <c r="B1046900" s="26"/>
      <c r="C1046900" s="26"/>
      <c r="D1046900" s="4"/>
      <c r="E1046900" s="26"/>
      <c r="F1046900" s="26"/>
      <c r="G1046900" s="26"/>
      <c r="H1046900" s="26"/>
      <c r="I1046900" s="27"/>
      <c r="J1046900" s="26"/>
      <c r="K1046900" s="26"/>
      <c r="L1046900" s="4"/>
      <c r="M1046900" s="4"/>
      <c r="N1046900" s="26"/>
    </row>
    <row r="1046901" customFormat="1" spans="2:14">
      <c r="B1046901" s="26"/>
      <c r="C1046901" s="26"/>
      <c r="D1046901" s="4"/>
      <c r="E1046901" s="26"/>
      <c r="F1046901" s="26"/>
      <c r="G1046901" s="26"/>
      <c r="H1046901" s="26"/>
      <c r="I1046901" s="27"/>
      <c r="J1046901" s="26"/>
      <c r="K1046901" s="26"/>
      <c r="L1046901" s="4"/>
      <c r="M1046901" s="4"/>
      <c r="N1046901" s="26"/>
    </row>
    <row r="1046902" customFormat="1" spans="2:14">
      <c r="B1046902" s="26"/>
      <c r="C1046902" s="26"/>
      <c r="D1046902" s="4"/>
      <c r="E1046902" s="26"/>
      <c r="F1046902" s="26"/>
      <c r="G1046902" s="26"/>
      <c r="H1046902" s="26"/>
      <c r="I1046902" s="27"/>
      <c r="J1046902" s="26"/>
      <c r="K1046902" s="26"/>
      <c r="L1046902" s="4"/>
      <c r="M1046902" s="4"/>
      <c r="N1046902" s="26"/>
    </row>
    <row r="1046903" customFormat="1" spans="2:14">
      <c r="B1046903" s="26"/>
      <c r="C1046903" s="26"/>
      <c r="D1046903" s="4"/>
      <c r="E1046903" s="26"/>
      <c r="F1046903" s="26"/>
      <c r="G1046903" s="26"/>
      <c r="H1046903" s="26"/>
      <c r="I1046903" s="27"/>
      <c r="J1046903" s="26"/>
      <c r="K1046903" s="26"/>
      <c r="L1046903" s="4"/>
      <c r="M1046903" s="4"/>
      <c r="N1046903" s="26"/>
    </row>
    <row r="1046904" customFormat="1" spans="2:14">
      <c r="B1046904" s="26"/>
      <c r="C1046904" s="26"/>
      <c r="D1046904" s="4"/>
      <c r="E1046904" s="26"/>
      <c r="F1046904" s="26"/>
      <c r="G1046904" s="26"/>
      <c r="H1046904" s="26"/>
      <c r="I1046904" s="27"/>
      <c r="J1046904" s="26"/>
      <c r="K1046904" s="26"/>
      <c r="L1046904" s="4"/>
      <c r="M1046904" s="4"/>
      <c r="N1046904" s="26"/>
    </row>
    <row r="1046905" customFormat="1" spans="2:14">
      <c r="B1046905" s="26"/>
      <c r="C1046905" s="26"/>
      <c r="D1046905" s="4"/>
      <c r="E1046905" s="26"/>
      <c r="F1046905" s="26"/>
      <c r="G1046905" s="26"/>
      <c r="H1046905" s="26"/>
      <c r="I1046905" s="27"/>
      <c r="J1046905" s="26"/>
      <c r="K1046905" s="26"/>
      <c r="L1046905" s="4"/>
      <c r="M1046905" s="4"/>
      <c r="N1046905" s="26"/>
    </row>
    <row r="1046906" customFormat="1" spans="2:14">
      <c r="B1046906" s="26"/>
      <c r="C1046906" s="26"/>
      <c r="D1046906" s="4"/>
      <c r="E1046906" s="26"/>
      <c r="F1046906" s="26"/>
      <c r="G1046906" s="26"/>
      <c r="H1046906" s="26"/>
      <c r="I1046906" s="27"/>
      <c r="J1046906" s="26"/>
      <c r="K1046906" s="26"/>
      <c r="L1046906" s="4"/>
      <c r="M1046906" s="4"/>
      <c r="N1046906" s="26"/>
    </row>
    <row r="1046907" customFormat="1" spans="2:14">
      <c r="B1046907" s="26"/>
      <c r="C1046907" s="26"/>
      <c r="D1046907" s="4"/>
      <c r="E1046907" s="26"/>
      <c r="F1046907" s="26"/>
      <c r="G1046907" s="26"/>
      <c r="H1046907" s="26"/>
      <c r="I1046907" s="27"/>
      <c r="J1046907" s="26"/>
      <c r="K1046907" s="26"/>
      <c r="L1046907" s="4"/>
      <c r="M1046907" s="4"/>
      <c r="N1046907" s="26"/>
    </row>
    <row r="1046908" customFormat="1" spans="2:14">
      <c r="B1046908" s="26"/>
      <c r="C1046908" s="26"/>
      <c r="D1046908" s="4"/>
      <c r="E1046908" s="26"/>
      <c r="F1046908" s="26"/>
      <c r="G1046908" s="26"/>
      <c r="H1046908" s="26"/>
      <c r="I1046908" s="27"/>
      <c r="J1046908" s="26"/>
      <c r="K1046908" s="26"/>
      <c r="L1046908" s="4"/>
      <c r="M1046908" s="4"/>
      <c r="N1046908" s="26"/>
    </row>
    <row r="1046909" customFormat="1" spans="2:14">
      <c r="B1046909" s="26"/>
      <c r="C1046909" s="26"/>
      <c r="D1046909" s="4"/>
      <c r="E1046909" s="26"/>
      <c r="F1046909" s="26"/>
      <c r="G1046909" s="26"/>
      <c r="H1046909" s="26"/>
      <c r="I1046909" s="27"/>
      <c r="J1046909" s="26"/>
      <c r="K1046909" s="26"/>
      <c r="L1046909" s="4"/>
      <c r="M1046909" s="4"/>
      <c r="N1046909" s="26"/>
    </row>
    <row r="1046910" customFormat="1" spans="2:14">
      <c r="B1046910" s="26"/>
      <c r="C1046910" s="26"/>
      <c r="D1046910" s="4"/>
      <c r="E1046910" s="26"/>
      <c r="F1046910" s="26"/>
      <c r="G1046910" s="26"/>
      <c r="H1046910" s="26"/>
      <c r="I1046910" s="27"/>
      <c r="J1046910" s="26"/>
      <c r="K1046910" s="26"/>
      <c r="L1046910" s="4"/>
      <c r="M1046910" s="4"/>
      <c r="N1046910" s="26"/>
    </row>
    <row r="1046911" customFormat="1" spans="2:14">
      <c r="B1046911" s="26"/>
      <c r="C1046911" s="26"/>
      <c r="D1046911" s="4"/>
      <c r="E1046911" s="26"/>
      <c r="F1046911" s="26"/>
      <c r="G1046911" s="26"/>
      <c r="H1046911" s="26"/>
      <c r="I1046911" s="27"/>
      <c r="J1046911" s="26"/>
      <c r="K1046911" s="26"/>
      <c r="L1046911" s="4"/>
      <c r="M1046911" s="4"/>
      <c r="N1046911" s="26"/>
    </row>
    <row r="1046912" customFormat="1" spans="2:14">
      <c r="B1046912" s="26"/>
      <c r="C1046912" s="26"/>
      <c r="D1046912" s="4"/>
      <c r="E1046912" s="26"/>
      <c r="F1046912" s="26"/>
      <c r="G1046912" s="26"/>
      <c r="H1046912" s="26"/>
      <c r="I1046912" s="27"/>
      <c r="J1046912" s="26"/>
      <c r="K1046912" s="26"/>
      <c r="L1046912" s="4"/>
      <c r="M1046912" s="4"/>
      <c r="N1046912" s="26"/>
    </row>
    <row r="1046913" customFormat="1" spans="2:14">
      <c r="B1046913" s="26"/>
      <c r="C1046913" s="26"/>
      <c r="D1046913" s="4"/>
      <c r="E1046913" s="26"/>
      <c r="F1046913" s="26"/>
      <c r="G1046913" s="26"/>
      <c r="H1046913" s="26"/>
      <c r="I1046913" s="27"/>
      <c r="J1046913" s="26"/>
      <c r="K1046913" s="26"/>
      <c r="L1046913" s="4"/>
      <c r="M1046913" s="4"/>
      <c r="N1046913" s="26"/>
    </row>
    <row r="1046914" customFormat="1" spans="2:14">
      <c r="B1046914" s="26"/>
      <c r="C1046914" s="26"/>
      <c r="D1046914" s="4"/>
      <c r="E1046914" s="26"/>
      <c r="F1046914" s="26"/>
      <c r="G1046914" s="26"/>
      <c r="H1046914" s="26"/>
      <c r="I1046914" s="27"/>
      <c r="J1046914" s="26"/>
      <c r="K1046914" s="26"/>
      <c r="L1046914" s="4"/>
      <c r="M1046914" s="4"/>
      <c r="N1046914" s="26"/>
    </row>
    <row r="1046915" customFormat="1" spans="2:14">
      <c r="B1046915" s="26"/>
      <c r="C1046915" s="26"/>
      <c r="D1046915" s="4"/>
      <c r="E1046915" s="26"/>
      <c r="F1046915" s="26"/>
      <c r="G1046915" s="26"/>
      <c r="H1046915" s="26"/>
      <c r="I1046915" s="27"/>
      <c r="J1046915" s="26"/>
      <c r="K1046915" s="26"/>
      <c r="L1046915" s="4"/>
      <c r="M1046915" s="4"/>
      <c r="N1046915" s="26"/>
    </row>
    <row r="1046916" customFormat="1" spans="2:14">
      <c r="B1046916" s="26"/>
      <c r="C1046916" s="26"/>
      <c r="D1046916" s="4"/>
      <c r="E1046916" s="26"/>
      <c r="F1046916" s="26"/>
      <c r="G1046916" s="26"/>
      <c r="H1046916" s="26"/>
      <c r="I1046916" s="27"/>
      <c r="J1046916" s="26"/>
      <c r="K1046916" s="26"/>
      <c r="L1046916" s="4"/>
      <c r="M1046916" s="4"/>
      <c r="N1046916" s="26"/>
    </row>
    <row r="1046917" customFormat="1" spans="2:14">
      <c r="B1046917" s="26"/>
      <c r="C1046917" s="26"/>
      <c r="D1046917" s="4"/>
      <c r="E1046917" s="26"/>
      <c r="F1046917" s="26"/>
      <c r="G1046917" s="26"/>
      <c r="H1046917" s="26"/>
      <c r="I1046917" s="27"/>
      <c r="J1046917" s="26"/>
      <c r="K1046917" s="26"/>
      <c r="L1046917" s="4"/>
      <c r="M1046917" s="4"/>
      <c r="N1046917" s="26"/>
    </row>
    <row r="1046918" customFormat="1" spans="2:14">
      <c r="B1046918" s="26"/>
      <c r="C1046918" s="26"/>
      <c r="D1046918" s="4"/>
      <c r="E1046918" s="26"/>
      <c r="F1046918" s="26"/>
      <c r="G1046918" s="26"/>
      <c r="H1046918" s="26"/>
      <c r="I1046918" s="27"/>
      <c r="J1046918" s="26"/>
      <c r="K1046918" s="26"/>
      <c r="L1046918" s="4"/>
      <c r="M1046918" s="4"/>
      <c r="N1046918" s="26"/>
    </row>
    <row r="1046919" customFormat="1" spans="2:14">
      <c r="B1046919" s="26"/>
      <c r="C1046919" s="26"/>
      <c r="D1046919" s="4"/>
      <c r="E1046919" s="26"/>
      <c r="F1046919" s="26"/>
      <c r="G1046919" s="26"/>
      <c r="H1046919" s="26"/>
      <c r="I1046919" s="27"/>
      <c r="J1046919" s="26"/>
      <c r="K1046919" s="26"/>
      <c r="L1046919" s="4"/>
      <c r="M1046919" s="4"/>
      <c r="N1046919" s="26"/>
    </row>
    <row r="1046920" customFormat="1" spans="2:14">
      <c r="B1046920" s="26"/>
      <c r="C1046920" s="26"/>
      <c r="D1046920" s="4"/>
      <c r="E1046920" s="26"/>
      <c r="F1046920" s="26"/>
      <c r="G1046920" s="26"/>
      <c r="H1046920" s="26"/>
      <c r="I1046920" s="27"/>
      <c r="J1046920" s="26"/>
      <c r="K1046920" s="26"/>
      <c r="L1046920" s="4"/>
      <c r="M1046920" s="4"/>
      <c r="N1046920" s="26"/>
    </row>
    <row r="1046921" customFormat="1" spans="2:14">
      <c r="B1046921" s="26"/>
      <c r="C1046921" s="26"/>
      <c r="D1046921" s="4"/>
      <c r="E1046921" s="26"/>
      <c r="F1046921" s="26"/>
      <c r="G1046921" s="26"/>
      <c r="H1046921" s="26"/>
      <c r="I1046921" s="27"/>
      <c r="J1046921" s="26"/>
      <c r="K1046921" s="26"/>
      <c r="L1046921" s="4"/>
      <c r="M1046921" s="4"/>
      <c r="N1046921" s="26"/>
    </row>
    <row r="1046922" customFormat="1" spans="2:14">
      <c r="B1046922" s="26"/>
      <c r="C1046922" s="26"/>
      <c r="D1046922" s="4"/>
      <c r="E1046922" s="26"/>
      <c r="F1046922" s="26"/>
      <c r="G1046922" s="26"/>
      <c r="H1046922" s="26"/>
      <c r="I1046922" s="27"/>
      <c r="J1046922" s="26"/>
      <c r="K1046922" s="26"/>
      <c r="L1046922" s="4"/>
      <c r="M1046922" s="4"/>
      <c r="N1046922" s="26"/>
    </row>
    <row r="1046923" customFormat="1" spans="2:14">
      <c r="B1046923" s="26"/>
      <c r="C1046923" s="26"/>
      <c r="D1046923" s="4"/>
      <c r="E1046923" s="26"/>
      <c r="F1046923" s="26"/>
      <c r="G1046923" s="26"/>
      <c r="H1046923" s="26"/>
      <c r="I1046923" s="27"/>
      <c r="J1046923" s="26"/>
      <c r="K1046923" s="26"/>
      <c r="L1046923" s="4"/>
      <c r="M1046923" s="4"/>
      <c r="N1046923" s="26"/>
    </row>
    <row r="1046924" customFormat="1" spans="2:14">
      <c r="B1046924" s="26"/>
      <c r="C1046924" s="26"/>
      <c r="D1046924" s="4"/>
      <c r="E1046924" s="26"/>
      <c r="F1046924" s="26"/>
      <c r="G1046924" s="26"/>
      <c r="H1046924" s="26"/>
      <c r="I1046924" s="27"/>
      <c r="J1046924" s="26"/>
      <c r="K1046924" s="26"/>
      <c r="L1046924" s="4"/>
      <c r="M1046924" s="4"/>
      <c r="N1046924" s="26"/>
    </row>
    <row r="1046925" customFormat="1" spans="2:14">
      <c r="B1046925" s="26"/>
      <c r="C1046925" s="26"/>
      <c r="D1046925" s="4"/>
      <c r="E1046925" s="26"/>
      <c r="F1046925" s="26"/>
      <c r="G1046925" s="26"/>
      <c r="H1046925" s="26"/>
      <c r="I1046925" s="27"/>
      <c r="J1046925" s="26"/>
      <c r="K1046925" s="26"/>
      <c r="L1046925" s="4"/>
      <c r="M1046925" s="4"/>
      <c r="N1046925" s="26"/>
    </row>
    <row r="1046926" customFormat="1" spans="2:14">
      <c r="B1046926" s="26"/>
      <c r="C1046926" s="26"/>
      <c r="D1046926" s="4"/>
      <c r="E1046926" s="26"/>
      <c r="F1046926" s="26"/>
      <c r="G1046926" s="26"/>
      <c r="H1046926" s="26"/>
      <c r="I1046926" s="27"/>
      <c r="J1046926" s="26"/>
      <c r="K1046926" s="26"/>
      <c r="L1046926" s="4"/>
      <c r="M1046926" s="4"/>
      <c r="N1046926" s="26"/>
    </row>
    <row r="1046927" customFormat="1" spans="2:14">
      <c r="B1046927" s="26"/>
      <c r="C1046927" s="26"/>
      <c r="D1046927" s="4"/>
      <c r="E1046927" s="26"/>
      <c r="F1046927" s="26"/>
      <c r="G1046927" s="26"/>
      <c r="H1046927" s="26"/>
      <c r="I1046927" s="27"/>
      <c r="J1046927" s="26"/>
      <c r="K1046927" s="26"/>
      <c r="L1046927" s="4"/>
      <c r="M1046927" s="4"/>
      <c r="N1046927" s="26"/>
    </row>
    <row r="1046928" customFormat="1" spans="2:14">
      <c r="B1046928" s="26"/>
      <c r="C1046928" s="26"/>
      <c r="D1046928" s="4"/>
      <c r="E1046928" s="26"/>
      <c r="F1046928" s="26"/>
      <c r="G1046928" s="26"/>
      <c r="H1046928" s="26"/>
      <c r="I1046928" s="27"/>
      <c r="J1046928" s="26"/>
      <c r="K1046928" s="26"/>
      <c r="L1046928" s="4"/>
      <c r="M1046928" s="4"/>
      <c r="N1046928" s="26"/>
    </row>
    <row r="1046929" customFormat="1" spans="2:14">
      <c r="B1046929" s="26"/>
      <c r="C1046929" s="26"/>
      <c r="D1046929" s="4"/>
      <c r="E1046929" s="26"/>
      <c r="F1046929" s="26"/>
      <c r="G1046929" s="26"/>
      <c r="H1046929" s="26"/>
      <c r="I1046929" s="27"/>
      <c r="J1046929" s="26"/>
      <c r="K1046929" s="26"/>
      <c r="L1046929" s="4"/>
      <c r="M1046929" s="4"/>
      <c r="N1046929" s="26"/>
    </row>
    <row r="1046930" customFormat="1" spans="2:14">
      <c r="B1046930" s="26"/>
      <c r="C1046930" s="26"/>
      <c r="D1046930" s="4"/>
      <c r="E1046930" s="26"/>
      <c r="F1046930" s="26"/>
      <c r="G1046930" s="26"/>
      <c r="H1046930" s="26"/>
      <c r="I1046930" s="27"/>
      <c r="J1046930" s="26"/>
      <c r="K1046930" s="26"/>
      <c r="L1046930" s="4"/>
      <c r="M1046930" s="4"/>
      <c r="N1046930" s="26"/>
    </row>
    <row r="1046931" customFormat="1" spans="2:14">
      <c r="B1046931" s="26"/>
      <c r="C1046931" s="26"/>
      <c r="D1046931" s="4"/>
      <c r="E1046931" s="26"/>
      <c r="F1046931" s="26"/>
      <c r="G1046931" s="26"/>
      <c r="H1046931" s="26"/>
      <c r="I1046931" s="27"/>
      <c r="J1046931" s="26"/>
      <c r="K1046931" s="26"/>
      <c r="L1046931" s="4"/>
      <c r="M1046931" s="4"/>
      <c r="N1046931" s="26"/>
    </row>
    <row r="1046932" customFormat="1" spans="2:14">
      <c r="B1046932" s="26"/>
      <c r="C1046932" s="26"/>
      <c r="D1046932" s="4"/>
      <c r="E1046932" s="26"/>
      <c r="F1046932" s="26"/>
      <c r="G1046932" s="26"/>
      <c r="H1046932" s="26"/>
      <c r="I1046932" s="27"/>
      <c r="J1046932" s="26"/>
      <c r="K1046932" s="26"/>
      <c r="L1046932" s="4"/>
      <c r="M1046932" s="4"/>
      <c r="N1046932" s="26"/>
    </row>
    <row r="1046933" customFormat="1" spans="2:14">
      <c r="B1046933" s="26"/>
      <c r="C1046933" s="26"/>
      <c r="D1046933" s="4"/>
      <c r="E1046933" s="26"/>
      <c r="F1046933" s="26"/>
      <c r="G1046933" s="26"/>
      <c r="H1046933" s="26"/>
      <c r="I1046933" s="27"/>
      <c r="J1046933" s="26"/>
      <c r="K1046933" s="26"/>
      <c r="L1046933" s="4"/>
      <c r="M1046933" s="4"/>
      <c r="N1046933" s="26"/>
    </row>
    <row r="1046934" customFormat="1" spans="2:14">
      <c r="B1046934" s="26"/>
      <c r="C1046934" s="26"/>
      <c r="D1046934" s="4"/>
      <c r="E1046934" s="26"/>
      <c r="F1046934" s="26"/>
      <c r="G1046934" s="26"/>
      <c r="H1046934" s="26"/>
      <c r="I1046934" s="27"/>
      <c r="J1046934" s="26"/>
      <c r="K1046934" s="26"/>
      <c r="L1046934" s="4"/>
      <c r="M1046934" s="4"/>
      <c r="N1046934" s="26"/>
    </row>
    <row r="1046935" customFormat="1" spans="2:14">
      <c r="B1046935" s="26"/>
      <c r="C1046935" s="26"/>
      <c r="D1046935" s="4"/>
      <c r="E1046935" s="26"/>
      <c r="F1046935" s="26"/>
      <c r="G1046935" s="26"/>
      <c r="H1046935" s="26"/>
      <c r="I1046935" s="27"/>
      <c r="J1046935" s="26"/>
      <c r="K1046935" s="26"/>
      <c r="L1046935" s="4"/>
      <c r="M1046935" s="4"/>
      <c r="N1046935" s="26"/>
    </row>
    <row r="1046936" customFormat="1" spans="2:14">
      <c r="B1046936" s="26"/>
      <c r="C1046936" s="26"/>
      <c r="D1046936" s="4"/>
      <c r="E1046936" s="26"/>
      <c r="F1046936" s="26"/>
      <c r="G1046936" s="26"/>
      <c r="H1046936" s="26"/>
      <c r="I1046936" s="27"/>
      <c r="J1046936" s="26"/>
      <c r="K1046936" s="26"/>
      <c r="L1046936" s="4"/>
      <c r="M1046936" s="4"/>
      <c r="N1046936" s="26"/>
    </row>
    <row r="1046937" customFormat="1" spans="2:14">
      <c r="B1046937" s="26"/>
      <c r="C1046937" s="26"/>
      <c r="D1046937" s="4"/>
      <c r="E1046937" s="26"/>
      <c r="F1046937" s="26"/>
      <c r="G1046937" s="26"/>
      <c r="H1046937" s="26"/>
      <c r="I1046937" s="27"/>
      <c r="J1046937" s="26"/>
      <c r="K1046937" s="26"/>
      <c r="L1046937" s="4"/>
      <c r="M1046937" s="4"/>
      <c r="N1046937" s="26"/>
    </row>
    <row r="1046938" customFormat="1" spans="2:14">
      <c r="B1046938" s="26"/>
      <c r="C1046938" s="26"/>
      <c r="D1046938" s="4"/>
      <c r="E1046938" s="26"/>
      <c r="F1046938" s="26"/>
      <c r="G1046938" s="26"/>
      <c r="H1046938" s="26"/>
      <c r="I1046938" s="27"/>
      <c r="J1046938" s="26"/>
      <c r="K1046938" s="26"/>
      <c r="L1046938" s="4"/>
      <c r="M1046938" s="4"/>
      <c r="N1046938" s="26"/>
    </row>
    <row r="1046939" customFormat="1" spans="2:14">
      <c r="B1046939" s="26"/>
      <c r="C1046939" s="26"/>
      <c r="D1046939" s="4"/>
      <c r="E1046939" s="26"/>
      <c r="F1046939" s="26"/>
      <c r="G1046939" s="26"/>
      <c r="H1046939" s="26"/>
      <c r="I1046939" s="27"/>
      <c r="J1046939" s="26"/>
      <c r="K1046939" s="26"/>
      <c r="L1046939" s="4"/>
      <c r="M1046939" s="4"/>
      <c r="N1046939" s="26"/>
    </row>
    <row r="1046940" customFormat="1" spans="2:14">
      <c r="B1046940" s="26"/>
      <c r="C1046940" s="26"/>
      <c r="D1046940" s="4"/>
      <c r="E1046940" s="26"/>
      <c r="F1046940" s="26"/>
      <c r="G1046940" s="26"/>
      <c r="H1046940" s="26"/>
      <c r="I1046940" s="27"/>
      <c r="J1046940" s="26"/>
      <c r="K1046940" s="26"/>
      <c r="L1046940" s="4"/>
      <c r="M1046940" s="4"/>
      <c r="N1046940" s="26"/>
    </row>
    <row r="1046941" customFormat="1" spans="2:14">
      <c r="B1046941" s="26"/>
      <c r="C1046941" s="26"/>
      <c r="D1046941" s="4"/>
      <c r="E1046941" s="26"/>
      <c r="F1046941" s="26"/>
      <c r="G1046941" s="26"/>
      <c r="H1046941" s="26"/>
      <c r="I1046941" s="27"/>
      <c r="J1046941" s="26"/>
      <c r="K1046941" s="26"/>
      <c r="L1046941" s="4"/>
      <c r="M1046941" s="4"/>
      <c r="N1046941" s="26"/>
    </row>
    <row r="1046942" customFormat="1" spans="2:14">
      <c r="B1046942" s="26"/>
      <c r="C1046942" s="26"/>
      <c r="D1046942" s="4"/>
      <c r="E1046942" s="26"/>
      <c r="F1046942" s="26"/>
      <c r="G1046942" s="26"/>
      <c r="H1046942" s="26"/>
      <c r="I1046942" s="27"/>
      <c r="J1046942" s="26"/>
      <c r="K1046942" s="26"/>
      <c r="L1046942" s="4"/>
      <c r="M1046942" s="4"/>
      <c r="N1046942" s="26"/>
    </row>
    <row r="1046943" customFormat="1" spans="2:14">
      <c r="B1046943" s="26"/>
      <c r="C1046943" s="26"/>
      <c r="D1046943" s="4"/>
      <c r="E1046943" s="26"/>
      <c r="F1046943" s="26"/>
      <c r="G1046943" s="26"/>
      <c r="H1046943" s="26"/>
      <c r="I1046943" s="27"/>
      <c r="J1046943" s="26"/>
      <c r="K1046943" s="26"/>
      <c r="L1046943" s="4"/>
      <c r="M1046943" s="4"/>
      <c r="N1046943" s="26"/>
    </row>
    <row r="1046944" customFormat="1" spans="2:14">
      <c r="B1046944" s="26"/>
      <c r="C1046944" s="26"/>
      <c r="D1046944" s="4"/>
      <c r="E1046944" s="26"/>
      <c r="F1046944" s="26"/>
      <c r="G1046944" s="26"/>
      <c r="H1046944" s="26"/>
      <c r="I1046944" s="27"/>
      <c r="J1046944" s="26"/>
      <c r="K1046944" s="26"/>
      <c r="L1046944" s="4"/>
      <c r="M1046944" s="4"/>
      <c r="N1046944" s="26"/>
    </row>
    <row r="1046945" customFormat="1" spans="2:14">
      <c r="B1046945" s="26"/>
      <c r="C1046945" s="26"/>
      <c r="D1046945" s="4"/>
      <c r="E1046945" s="26"/>
      <c r="F1046945" s="26"/>
      <c r="G1046945" s="26"/>
      <c r="H1046945" s="26"/>
      <c r="I1046945" s="27"/>
      <c r="J1046945" s="26"/>
      <c r="K1046945" s="26"/>
      <c r="L1046945" s="4"/>
      <c r="M1046945" s="4"/>
      <c r="N1046945" s="26"/>
    </row>
    <row r="1046946" customFormat="1" spans="2:14">
      <c r="B1046946" s="26"/>
      <c r="C1046946" s="26"/>
      <c r="D1046946" s="4"/>
      <c r="E1046946" s="26"/>
      <c r="F1046946" s="26"/>
      <c r="G1046946" s="26"/>
      <c r="H1046946" s="26"/>
      <c r="I1046946" s="27"/>
      <c r="J1046946" s="26"/>
      <c r="K1046946" s="26"/>
      <c r="L1046946" s="4"/>
      <c r="M1046946" s="4"/>
      <c r="N1046946" s="26"/>
    </row>
    <row r="1046947" customFormat="1" spans="2:14">
      <c r="B1046947" s="26"/>
      <c r="C1046947" s="26"/>
      <c r="D1046947" s="4"/>
      <c r="E1046947" s="26"/>
      <c r="F1046947" s="26"/>
      <c r="G1046947" s="26"/>
      <c r="H1046947" s="26"/>
      <c r="I1046947" s="27"/>
      <c r="J1046947" s="26"/>
      <c r="K1046947" s="26"/>
      <c r="L1046947" s="4"/>
      <c r="M1046947" s="4"/>
      <c r="N1046947" s="26"/>
    </row>
    <row r="1046948" customFormat="1" spans="2:14">
      <c r="B1046948" s="26"/>
      <c r="C1046948" s="26"/>
      <c r="D1046948" s="4"/>
      <c r="E1046948" s="26"/>
      <c r="F1046948" s="26"/>
      <c r="G1046948" s="26"/>
      <c r="H1046948" s="26"/>
      <c r="I1046948" s="27"/>
      <c r="J1046948" s="26"/>
      <c r="K1046948" s="26"/>
      <c r="L1046948" s="4"/>
      <c r="M1046948" s="4"/>
      <c r="N1046948" s="26"/>
    </row>
    <row r="1046949" customFormat="1" spans="2:14">
      <c r="B1046949" s="26"/>
      <c r="C1046949" s="26"/>
      <c r="D1046949" s="4"/>
      <c r="E1046949" s="26"/>
      <c r="F1046949" s="26"/>
      <c r="G1046949" s="26"/>
      <c r="H1046949" s="26"/>
      <c r="I1046949" s="27"/>
      <c r="J1046949" s="26"/>
      <c r="K1046949" s="26"/>
      <c r="L1046949" s="4"/>
      <c r="M1046949" s="4"/>
      <c r="N1046949" s="26"/>
    </row>
    <row r="1046950" customFormat="1" spans="2:14">
      <c r="B1046950" s="26"/>
      <c r="C1046950" s="26"/>
      <c r="D1046950" s="4"/>
      <c r="E1046950" s="26"/>
      <c r="F1046950" s="26"/>
      <c r="G1046950" s="26"/>
      <c r="H1046950" s="26"/>
      <c r="I1046950" s="27"/>
      <c r="J1046950" s="26"/>
      <c r="K1046950" s="26"/>
      <c r="L1046950" s="4"/>
      <c r="M1046950" s="4"/>
      <c r="N1046950" s="26"/>
    </row>
    <row r="1046951" customFormat="1" spans="2:14">
      <c r="B1046951" s="26"/>
      <c r="C1046951" s="26"/>
      <c r="D1046951" s="4"/>
      <c r="E1046951" s="26"/>
      <c r="F1046951" s="26"/>
      <c r="G1046951" s="26"/>
      <c r="H1046951" s="26"/>
      <c r="I1046951" s="27"/>
      <c r="J1046951" s="26"/>
      <c r="K1046951" s="26"/>
      <c r="L1046951" s="4"/>
      <c r="M1046951" s="4"/>
      <c r="N1046951" s="26"/>
    </row>
    <row r="1046952" customFormat="1" spans="2:14">
      <c r="B1046952" s="26"/>
      <c r="C1046952" s="26"/>
      <c r="D1046952" s="4"/>
      <c r="E1046952" s="26"/>
      <c r="F1046952" s="26"/>
      <c r="G1046952" s="26"/>
      <c r="H1046952" s="26"/>
      <c r="I1046952" s="27"/>
      <c r="J1046952" s="26"/>
      <c r="K1046952" s="26"/>
      <c r="L1046952" s="4"/>
      <c r="M1046952" s="4"/>
      <c r="N1046952" s="26"/>
    </row>
    <row r="1046953" customFormat="1" spans="2:14">
      <c r="B1046953" s="26"/>
      <c r="C1046953" s="26"/>
      <c r="D1046953" s="4"/>
      <c r="E1046953" s="26"/>
      <c r="F1046953" s="26"/>
      <c r="G1046953" s="26"/>
      <c r="H1046953" s="26"/>
      <c r="I1046953" s="27"/>
      <c r="J1046953" s="26"/>
      <c r="K1046953" s="26"/>
      <c r="L1046953" s="4"/>
      <c r="M1046953" s="4"/>
      <c r="N1046953" s="26"/>
    </row>
    <row r="1046954" customFormat="1" spans="2:14">
      <c r="B1046954" s="26"/>
      <c r="C1046954" s="26"/>
      <c r="D1046954" s="4"/>
      <c r="E1046954" s="26"/>
      <c r="F1046954" s="26"/>
      <c r="G1046954" s="26"/>
      <c r="H1046954" s="26"/>
      <c r="I1046954" s="27"/>
      <c r="J1046954" s="26"/>
      <c r="K1046954" s="26"/>
      <c r="L1046954" s="4"/>
      <c r="M1046954" s="4"/>
      <c r="N1046954" s="26"/>
    </row>
    <row r="1046955" customFormat="1" spans="2:14">
      <c r="B1046955" s="26"/>
      <c r="C1046955" s="26"/>
      <c r="D1046955" s="4"/>
      <c r="E1046955" s="26"/>
      <c r="F1046955" s="26"/>
      <c r="G1046955" s="26"/>
      <c r="H1046955" s="26"/>
      <c r="I1046955" s="27"/>
      <c r="J1046955" s="26"/>
      <c r="K1046955" s="26"/>
      <c r="L1046955" s="4"/>
      <c r="M1046955" s="4"/>
      <c r="N1046955" s="26"/>
    </row>
    <row r="1046956" customFormat="1" spans="2:14">
      <c r="B1046956" s="26"/>
      <c r="C1046956" s="26"/>
      <c r="D1046956" s="4"/>
      <c r="E1046956" s="26"/>
      <c r="F1046956" s="26"/>
      <c r="G1046956" s="26"/>
      <c r="H1046956" s="26"/>
      <c r="I1046956" s="27"/>
      <c r="J1046956" s="26"/>
      <c r="K1046956" s="26"/>
      <c r="L1046956" s="4"/>
      <c r="M1046956" s="4"/>
      <c r="N1046956" s="26"/>
    </row>
    <row r="1046957" customFormat="1" spans="2:14">
      <c r="B1046957" s="26"/>
      <c r="C1046957" s="26"/>
      <c r="D1046957" s="4"/>
      <c r="E1046957" s="26"/>
      <c r="F1046957" s="26"/>
      <c r="G1046957" s="26"/>
      <c r="H1046957" s="26"/>
      <c r="I1046957" s="27"/>
      <c r="J1046957" s="26"/>
      <c r="K1046957" s="26"/>
      <c r="L1046957" s="4"/>
      <c r="M1046957" s="4"/>
      <c r="N1046957" s="26"/>
    </row>
    <row r="1046958" customFormat="1" spans="2:14">
      <c r="B1046958" s="26"/>
      <c r="C1046958" s="26"/>
      <c r="D1046958" s="4"/>
      <c r="E1046958" s="26"/>
      <c r="F1046958" s="26"/>
      <c r="G1046958" s="26"/>
      <c r="H1046958" s="26"/>
      <c r="I1046958" s="27"/>
      <c r="J1046958" s="26"/>
      <c r="K1046958" s="26"/>
      <c r="L1046958" s="4"/>
      <c r="M1046958" s="4"/>
      <c r="N1046958" s="26"/>
    </row>
    <row r="1046959" customFormat="1" spans="2:14">
      <c r="B1046959" s="26"/>
      <c r="C1046959" s="26"/>
      <c r="D1046959" s="4"/>
      <c r="E1046959" s="26"/>
      <c r="F1046959" s="26"/>
      <c r="G1046959" s="26"/>
      <c r="H1046959" s="26"/>
      <c r="I1046959" s="27"/>
      <c r="J1046959" s="26"/>
      <c r="K1046959" s="26"/>
      <c r="L1046959" s="4"/>
      <c r="M1046959" s="4"/>
      <c r="N1046959" s="26"/>
    </row>
    <row r="1046960" customFormat="1" spans="2:14">
      <c r="B1046960" s="26"/>
      <c r="C1046960" s="26"/>
      <c r="D1046960" s="4"/>
      <c r="E1046960" s="26"/>
      <c r="F1046960" s="26"/>
      <c r="G1046960" s="26"/>
      <c r="H1046960" s="26"/>
      <c r="I1046960" s="27"/>
      <c r="J1046960" s="26"/>
      <c r="K1046960" s="26"/>
      <c r="L1046960" s="4"/>
      <c r="M1046960" s="4"/>
      <c r="N1046960" s="26"/>
    </row>
    <row r="1046961" customFormat="1" spans="2:14">
      <c r="B1046961" s="26"/>
      <c r="C1046961" s="26"/>
      <c r="D1046961" s="4"/>
      <c r="E1046961" s="26"/>
      <c r="F1046961" s="26"/>
      <c r="G1046961" s="26"/>
      <c r="H1046961" s="26"/>
      <c r="I1046961" s="27"/>
      <c r="J1046961" s="26"/>
      <c r="K1046961" s="26"/>
      <c r="L1046961" s="4"/>
      <c r="M1046961" s="4"/>
      <c r="N1046961" s="26"/>
    </row>
    <row r="1046962" customFormat="1" spans="2:14">
      <c r="B1046962" s="26"/>
      <c r="C1046962" s="26"/>
      <c r="D1046962" s="4"/>
      <c r="E1046962" s="26"/>
      <c r="F1046962" s="26"/>
      <c r="G1046962" s="26"/>
      <c r="H1046962" s="26"/>
      <c r="I1046962" s="27"/>
      <c r="J1046962" s="26"/>
      <c r="K1046962" s="26"/>
      <c r="L1046962" s="4"/>
      <c r="M1046962" s="4"/>
      <c r="N1046962" s="26"/>
    </row>
    <row r="1046963" customFormat="1" spans="2:14">
      <c r="B1046963" s="26"/>
      <c r="C1046963" s="26"/>
      <c r="D1046963" s="4"/>
      <c r="E1046963" s="26"/>
      <c r="F1046963" s="26"/>
      <c r="G1046963" s="26"/>
      <c r="H1046963" s="26"/>
      <c r="I1046963" s="27"/>
      <c r="J1046963" s="26"/>
      <c r="K1046963" s="26"/>
      <c r="L1046963" s="4"/>
      <c r="M1046963" s="4"/>
      <c r="N1046963" s="26"/>
    </row>
    <row r="1046964" customFormat="1" spans="2:14">
      <c r="B1046964" s="26"/>
      <c r="C1046964" s="26"/>
      <c r="D1046964" s="4"/>
      <c r="E1046964" s="26"/>
      <c r="F1046964" s="26"/>
      <c r="G1046964" s="26"/>
      <c r="H1046964" s="26"/>
      <c r="I1046964" s="27"/>
      <c r="J1046964" s="26"/>
      <c r="K1046964" s="26"/>
      <c r="L1046964" s="4"/>
      <c r="M1046964" s="4"/>
      <c r="N1046964" s="26"/>
    </row>
    <row r="1046965" customFormat="1" spans="2:14">
      <c r="B1046965" s="26"/>
      <c r="C1046965" s="26"/>
      <c r="D1046965" s="4"/>
      <c r="E1046965" s="26"/>
      <c r="F1046965" s="26"/>
      <c r="G1046965" s="26"/>
      <c r="H1046965" s="26"/>
      <c r="I1046965" s="27"/>
      <c r="J1046965" s="26"/>
      <c r="K1046965" s="26"/>
      <c r="L1046965" s="4"/>
      <c r="M1046965" s="4"/>
      <c r="N1046965" s="26"/>
    </row>
    <row r="1046966" customFormat="1" spans="2:14">
      <c r="B1046966" s="26"/>
      <c r="C1046966" s="26"/>
      <c r="D1046966" s="4"/>
      <c r="E1046966" s="26"/>
      <c r="F1046966" s="26"/>
      <c r="G1046966" s="26"/>
      <c r="H1046966" s="26"/>
      <c r="I1046966" s="27"/>
      <c r="J1046966" s="26"/>
      <c r="K1046966" s="26"/>
      <c r="L1046966" s="4"/>
      <c r="M1046966" s="4"/>
      <c r="N1046966" s="26"/>
    </row>
    <row r="1046967" customFormat="1" spans="2:14">
      <c r="B1046967" s="26"/>
      <c r="C1046967" s="26"/>
      <c r="D1046967" s="4"/>
      <c r="E1046967" s="26"/>
      <c r="F1046967" s="26"/>
      <c r="G1046967" s="26"/>
      <c r="H1046967" s="26"/>
      <c r="I1046967" s="27"/>
      <c r="J1046967" s="26"/>
      <c r="K1046967" s="26"/>
      <c r="L1046967" s="4"/>
      <c r="M1046967" s="4"/>
      <c r="N1046967" s="26"/>
    </row>
    <row r="1046968" customFormat="1" spans="2:14">
      <c r="B1046968" s="26"/>
      <c r="C1046968" s="26"/>
      <c r="D1046968" s="4"/>
      <c r="E1046968" s="26"/>
      <c r="F1046968" s="26"/>
      <c r="G1046968" s="26"/>
      <c r="H1046968" s="26"/>
      <c r="I1046968" s="27"/>
      <c r="J1046968" s="26"/>
      <c r="K1046968" s="26"/>
      <c r="L1046968" s="4"/>
      <c r="M1046968" s="4"/>
      <c r="N1046968" s="26"/>
    </row>
    <row r="1046969" customFormat="1" spans="2:14">
      <c r="B1046969" s="26"/>
      <c r="C1046969" s="26"/>
      <c r="D1046969" s="4"/>
      <c r="E1046969" s="26"/>
      <c r="F1046969" s="26"/>
      <c r="G1046969" s="26"/>
      <c r="H1046969" s="26"/>
      <c r="I1046969" s="27"/>
      <c r="J1046969" s="26"/>
      <c r="K1046969" s="26"/>
      <c r="L1046969" s="4"/>
      <c r="M1046969" s="4"/>
      <c r="N1046969" s="26"/>
    </row>
    <row r="1046970" customFormat="1" spans="2:14">
      <c r="B1046970" s="26"/>
      <c r="C1046970" s="26"/>
      <c r="D1046970" s="4"/>
      <c r="E1046970" s="26"/>
      <c r="F1046970" s="26"/>
      <c r="G1046970" s="26"/>
      <c r="H1046970" s="26"/>
      <c r="I1046970" s="27"/>
      <c r="J1046970" s="26"/>
      <c r="K1046970" s="26"/>
      <c r="L1046970" s="4"/>
      <c r="M1046970" s="4"/>
      <c r="N1046970" s="26"/>
    </row>
    <row r="1046971" customFormat="1" spans="2:14">
      <c r="B1046971" s="26"/>
      <c r="C1046971" s="26"/>
      <c r="D1046971" s="4"/>
      <c r="E1046971" s="26"/>
      <c r="F1046971" s="26"/>
      <c r="G1046971" s="26"/>
      <c r="H1046971" s="26"/>
      <c r="I1046971" s="27"/>
      <c r="J1046971" s="26"/>
      <c r="K1046971" s="26"/>
      <c r="L1046971" s="4"/>
      <c r="M1046971" s="4"/>
      <c r="N1046971" s="26"/>
    </row>
    <row r="1046972" customFormat="1" spans="2:14">
      <c r="B1046972" s="26"/>
      <c r="C1046972" s="26"/>
      <c r="D1046972" s="4"/>
      <c r="E1046972" s="26"/>
      <c r="F1046972" s="26"/>
      <c r="G1046972" s="26"/>
      <c r="H1046972" s="26"/>
      <c r="I1046972" s="27"/>
      <c r="J1046972" s="26"/>
      <c r="K1046972" s="26"/>
      <c r="L1046972" s="4"/>
      <c r="M1046972" s="4"/>
      <c r="N1046972" s="26"/>
    </row>
    <row r="1046973" customFormat="1" spans="2:14">
      <c r="B1046973" s="26"/>
      <c r="C1046973" s="26"/>
      <c r="D1046973" s="4"/>
      <c r="E1046973" s="26"/>
      <c r="F1046973" s="26"/>
      <c r="G1046973" s="26"/>
      <c r="H1046973" s="26"/>
      <c r="I1046973" s="27"/>
      <c r="J1046973" s="26"/>
      <c r="K1046973" s="26"/>
      <c r="L1046973" s="4"/>
      <c r="M1046973" s="4"/>
      <c r="N1046973" s="26"/>
    </row>
    <row r="1046974" customFormat="1" spans="2:14">
      <c r="B1046974" s="26"/>
      <c r="C1046974" s="26"/>
      <c r="D1046974" s="4"/>
      <c r="E1046974" s="26"/>
      <c r="F1046974" s="26"/>
      <c r="G1046974" s="26"/>
      <c r="H1046974" s="26"/>
      <c r="I1046974" s="27"/>
      <c r="J1046974" s="26"/>
      <c r="K1046974" s="26"/>
      <c r="L1046974" s="4"/>
      <c r="M1046974" s="4"/>
      <c r="N1046974" s="26"/>
    </row>
    <row r="1046975" customFormat="1" spans="2:14">
      <c r="B1046975" s="26"/>
      <c r="C1046975" s="26"/>
      <c r="D1046975" s="4"/>
      <c r="E1046975" s="26"/>
      <c r="F1046975" s="26"/>
      <c r="G1046975" s="26"/>
      <c r="H1046975" s="26"/>
      <c r="I1046975" s="27"/>
      <c r="J1046975" s="26"/>
      <c r="K1046975" s="26"/>
      <c r="L1046975" s="4"/>
      <c r="M1046975" s="4"/>
      <c r="N1046975" s="26"/>
    </row>
    <row r="1046976" customFormat="1" spans="2:14">
      <c r="B1046976" s="26"/>
      <c r="C1046976" s="26"/>
      <c r="D1046976" s="4"/>
      <c r="E1046976" s="26"/>
      <c r="F1046976" s="26"/>
      <c r="G1046976" s="26"/>
      <c r="H1046976" s="26"/>
      <c r="I1046976" s="27"/>
      <c r="J1046976" s="26"/>
      <c r="K1046976" s="26"/>
      <c r="L1046976" s="4"/>
      <c r="M1046976" s="4"/>
      <c r="N1046976" s="26"/>
    </row>
    <row r="1046977" customFormat="1" spans="2:14">
      <c r="B1046977" s="26"/>
      <c r="C1046977" s="26"/>
      <c r="D1046977" s="4"/>
      <c r="E1046977" s="26"/>
      <c r="F1046977" s="26"/>
      <c r="G1046977" s="26"/>
      <c r="H1046977" s="26"/>
      <c r="I1046977" s="27"/>
      <c r="J1046977" s="26"/>
      <c r="K1046977" s="26"/>
      <c r="L1046977" s="4"/>
      <c r="M1046977" s="4"/>
      <c r="N1046977" s="26"/>
    </row>
    <row r="1046978" customFormat="1" spans="2:14">
      <c r="B1046978" s="26"/>
      <c r="C1046978" s="26"/>
      <c r="D1046978" s="4"/>
      <c r="E1046978" s="26"/>
      <c r="F1046978" s="26"/>
      <c r="G1046978" s="26"/>
      <c r="H1046978" s="26"/>
      <c r="I1046978" s="27"/>
      <c r="J1046978" s="26"/>
      <c r="K1046978" s="26"/>
      <c r="L1046978" s="4"/>
      <c r="M1046978" s="4"/>
      <c r="N1046978" s="26"/>
    </row>
    <row r="1046979" customFormat="1" spans="2:14">
      <c r="B1046979" s="26"/>
      <c r="C1046979" s="26"/>
      <c r="D1046979" s="4"/>
      <c r="E1046979" s="26"/>
      <c r="F1046979" s="26"/>
      <c r="G1046979" s="26"/>
      <c r="H1046979" s="26"/>
      <c r="I1046979" s="27"/>
      <c r="J1046979" s="26"/>
      <c r="K1046979" s="26"/>
      <c r="L1046979" s="4"/>
      <c r="M1046979" s="4"/>
      <c r="N1046979" s="26"/>
    </row>
    <row r="1046980" customFormat="1" spans="2:14">
      <c r="B1046980" s="26"/>
      <c r="C1046980" s="26"/>
      <c r="D1046980" s="4"/>
      <c r="E1046980" s="26"/>
      <c r="F1046980" s="26"/>
      <c r="G1046980" s="26"/>
      <c r="H1046980" s="26"/>
      <c r="I1046980" s="27"/>
      <c r="J1046980" s="26"/>
      <c r="K1046980" s="26"/>
      <c r="L1046980" s="4"/>
      <c r="M1046980" s="4"/>
      <c r="N1046980" s="26"/>
    </row>
    <row r="1046981" customFormat="1" spans="2:14">
      <c r="B1046981" s="26"/>
      <c r="C1046981" s="26"/>
      <c r="D1046981" s="4"/>
      <c r="E1046981" s="26"/>
      <c r="F1046981" s="26"/>
      <c r="G1046981" s="26"/>
      <c r="H1046981" s="26"/>
      <c r="I1046981" s="27"/>
      <c r="J1046981" s="26"/>
      <c r="K1046981" s="26"/>
      <c r="L1046981" s="4"/>
      <c r="M1046981" s="4"/>
      <c r="N1046981" s="26"/>
    </row>
    <row r="1046982" customFormat="1" spans="2:14">
      <c r="B1046982" s="26"/>
      <c r="C1046982" s="26"/>
      <c r="D1046982" s="4"/>
      <c r="E1046982" s="26"/>
      <c r="F1046982" s="26"/>
      <c r="G1046982" s="26"/>
      <c r="H1046982" s="26"/>
      <c r="I1046982" s="27"/>
      <c r="J1046982" s="26"/>
      <c r="K1046982" s="26"/>
      <c r="L1046982" s="4"/>
      <c r="M1046982" s="4"/>
      <c r="N1046982" s="26"/>
    </row>
    <row r="1046983" customFormat="1" spans="2:14">
      <c r="B1046983" s="26"/>
      <c r="C1046983" s="26"/>
      <c r="D1046983" s="4"/>
      <c r="E1046983" s="26"/>
      <c r="F1046983" s="26"/>
      <c r="G1046983" s="26"/>
      <c r="H1046983" s="26"/>
      <c r="I1046983" s="27"/>
      <c r="J1046983" s="26"/>
      <c r="K1046983" s="26"/>
      <c r="L1046983" s="4"/>
      <c r="M1046983" s="4"/>
      <c r="N1046983" s="26"/>
    </row>
    <row r="1046984" customFormat="1" spans="2:14">
      <c r="B1046984" s="26"/>
      <c r="C1046984" s="26"/>
      <c r="D1046984" s="4"/>
      <c r="E1046984" s="26"/>
      <c r="F1046984" s="26"/>
      <c r="G1046984" s="26"/>
      <c r="H1046984" s="26"/>
      <c r="I1046984" s="27"/>
      <c r="J1046984" s="26"/>
      <c r="K1046984" s="26"/>
      <c r="L1046984" s="4"/>
      <c r="M1046984" s="4"/>
      <c r="N1046984" s="26"/>
    </row>
    <row r="1046985" customFormat="1" spans="2:14">
      <c r="B1046985" s="26"/>
      <c r="C1046985" s="26"/>
      <c r="D1046985" s="4"/>
      <c r="E1046985" s="26"/>
      <c r="F1046985" s="26"/>
      <c r="G1046985" s="26"/>
      <c r="H1046985" s="26"/>
      <c r="I1046985" s="27"/>
      <c r="J1046985" s="26"/>
      <c r="K1046985" s="26"/>
      <c r="L1046985" s="4"/>
      <c r="M1046985" s="4"/>
      <c r="N1046985" s="26"/>
    </row>
    <row r="1046986" customFormat="1" spans="2:14">
      <c r="B1046986" s="26"/>
      <c r="C1046986" s="26"/>
      <c r="D1046986" s="4"/>
      <c r="E1046986" s="26"/>
      <c r="F1046986" s="26"/>
      <c r="G1046986" s="26"/>
      <c r="H1046986" s="26"/>
      <c r="I1046986" s="27"/>
      <c r="J1046986" s="26"/>
      <c r="K1046986" s="26"/>
      <c r="L1046986" s="4"/>
      <c r="M1046986" s="4"/>
      <c r="N1046986" s="26"/>
    </row>
    <row r="1046987" customFormat="1" spans="2:14">
      <c r="B1046987" s="26"/>
      <c r="C1046987" s="26"/>
      <c r="D1046987" s="4"/>
      <c r="E1046987" s="26"/>
      <c r="F1046987" s="26"/>
      <c r="G1046987" s="26"/>
      <c r="H1046987" s="26"/>
      <c r="I1046987" s="27"/>
      <c r="J1046987" s="26"/>
      <c r="K1046987" s="26"/>
      <c r="L1046987" s="4"/>
      <c r="M1046987" s="4"/>
      <c r="N1046987" s="26"/>
    </row>
    <row r="1046988" customFormat="1" spans="2:14">
      <c r="B1046988" s="26"/>
      <c r="C1046988" s="26"/>
      <c r="D1046988" s="4"/>
      <c r="E1046988" s="26"/>
      <c r="F1046988" s="26"/>
      <c r="G1046988" s="26"/>
      <c r="H1046988" s="26"/>
      <c r="I1046988" s="27"/>
      <c r="J1046988" s="26"/>
      <c r="K1046988" s="26"/>
      <c r="L1046988" s="4"/>
      <c r="M1046988" s="4"/>
      <c r="N1046988" s="26"/>
    </row>
    <row r="1046989" customFormat="1" spans="2:14">
      <c r="B1046989" s="26"/>
      <c r="C1046989" s="26"/>
      <c r="D1046989" s="4"/>
      <c r="E1046989" s="26"/>
      <c r="F1046989" s="26"/>
      <c r="G1046989" s="26"/>
      <c r="H1046989" s="26"/>
      <c r="I1046989" s="27"/>
      <c r="J1046989" s="26"/>
      <c r="K1046989" s="26"/>
      <c r="L1046989" s="4"/>
      <c r="M1046989" s="4"/>
      <c r="N1046989" s="26"/>
    </row>
    <row r="1046990" customFormat="1" spans="2:14">
      <c r="B1046990" s="26"/>
      <c r="C1046990" s="26"/>
      <c r="D1046990" s="4"/>
      <c r="E1046990" s="26"/>
      <c r="F1046990" s="26"/>
      <c r="G1046990" s="26"/>
      <c r="H1046990" s="26"/>
      <c r="I1046990" s="27"/>
      <c r="J1046990" s="26"/>
      <c r="K1046990" s="26"/>
      <c r="L1046990" s="4"/>
      <c r="M1046990" s="4"/>
      <c r="N1046990" s="26"/>
    </row>
    <row r="1046991" customFormat="1" spans="2:14">
      <c r="B1046991" s="26"/>
      <c r="C1046991" s="26"/>
      <c r="D1046991" s="4"/>
      <c r="E1046991" s="26"/>
      <c r="F1046991" s="26"/>
      <c r="G1046991" s="26"/>
      <c r="H1046991" s="26"/>
      <c r="I1046991" s="27"/>
      <c r="J1046991" s="26"/>
      <c r="K1046991" s="26"/>
      <c r="L1046991" s="4"/>
      <c r="M1046991" s="4"/>
      <c r="N1046991" s="26"/>
    </row>
    <row r="1046992" customFormat="1" spans="2:14">
      <c r="B1046992" s="26"/>
      <c r="C1046992" s="26"/>
      <c r="D1046992" s="4"/>
      <c r="E1046992" s="26"/>
      <c r="F1046992" s="26"/>
      <c r="G1046992" s="26"/>
      <c r="H1046992" s="26"/>
      <c r="I1046992" s="27"/>
      <c r="J1046992" s="26"/>
      <c r="K1046992" s="26"/>
      <c r="L1046992" s="4"/>
      <c r="M1046992" s="4"/>
      <c r="N1046992" s="26"/>
    </row>
    <row r="1046993" customFormat="1" spans="2:14">
      <c r="B1046993" s="26"/>
      <c r="C1046993" s="26"/>
      <c r="D1046993" s="4"/>
      <c r="E1046993" s="26"/>
      <c r="F1046993" s="26"/>
      <c r="G1046993" s="26"/>
      <c r="H1046993" s="26"/>
      <c r="I1046993" s="27"/>
      <c r="J1046993" s="26"/>
      <c r="K1046993" s="26"/>
      <c r="L1046993" s="4"/>
      <c r="M1046993" s="4"/>
      <c r="N1046993" s="26"/>
    </row>
    <row r="1046994" customFormat="1" spans="2:14">
      <c r="B1046994" s="26"/>
      <c r="C1046994" s="26"/>
      <c r="D1046994" s="4"/>
      <c r="E1046994" s="26"/>
      <c r="F1046994" s="26"/>
      <c r="G1046994" s="26"/>
      <c r="H1046994" s="26"/>
      <c r="I1046994" s="27"/>
      <c r="J1046994" s="26"/>
      <c r="K1046994" s="26"/>
      <c r="L1046994" s="4"/>
      <c r="M1046994" s="4"/>
      <c r="N1046994" s="26"/>
    </row>
    <row r="1046995" customFormat="1" spans="2:14">
      <c r="B1046995" s="26"/>
      <c r="C1046995" s="26"/>
      <c r="D1046995" s="4"/>
      <c r="E1046995" s="26"/>
      <c r="F1046995" s="26"/>
      <c r="G1046995" s="26"/>
      <c r="H1046995" s="26"/>
      <c r="I1046995" s="27"/>
      <c r="J1046995" s="26"/>
      <c r="K1046995" s="26"/>
      <c r="L1046995" s="4"/>
      <c r="M1046995" s="4"/>
      <c r="N1046995" s="26"/>
    </row>
    <row r="1046996" customFormat="1" spans="2:14">
      <c r="B1046996" s="26"/>
      <c r="C1046996" s="26"/>
      <c r="D1046996" s="4"/>
      <c r="E1046996" s="26"/>
      <c r="F1046996" s="26"/>
      <c r="G1046996" s="26"/>
      <c r="H1046996" s="26"/>
      <c r="I1046996" s="27"/>
      <c r="J1046996" s="26"/>
      <c r="K1046996" s="26"/>
      <c r="L1046996" s="4"/>
      <c r="M1046996" s="4"/>
      <c r="N1046996" s="26"/>
    </row>
    <row r="1046997" customFormat="1" spans="2:14">
      <c r="B1046997" s="26"/>
      <c r="C1046997" s="26"/>
      <c r="D1046997" s="4"/>
      <c r="E1046997" s="26"/>
      <c r="F1046997" s="26"/>
      <c r="G1046997" s="26"/>
      <c r="H1046997" s="26"/>
      <c r="I1046997" s="27"/>
      <c r="J1046997" s="26"/>
      <c r="K1046997" s="26"/>
      <c r="L1046997" s="4"/>
      <c r="M1046997" s="4"/>
      <c r="N1046997" s="26"/>
    </row>
    <row r="1046998" customFormat="1" spans="2:14">
      <c r="B1046998" s="26"/>
      <c r="C1046998" s="26"/>
      <c r="D1046998" s="4"/>
      <c r="E1046998" s="26"/>
      <c r="F1046998" s="26"/>
      <c r="G1046998" s="26"/>
      <c r="H1046998" s="26"/>
      <c r="I1046998" s="27"/>
      <c r="J1046998" s="26"/>
      <c r="K1046998" s="26"/>
      <c r="L1046998" s="4"/>
      <c r="M1046998" s="4"/>
      <c r="N1046998" s="26"/>
    </row>
    <row r="1046999" customFormat="1" spans="2:14">
      <c r="B1046999" s="26"/>
      <c r="C1046999" s="26"/>
      <c r="D1046999" s="4"/>
      <c r="E1046999" s="26"/>
      <c r="F1046999" s="26"/>
      <c r="G1046999" s="26"/>
      <c r="H1046999" s="26"/>
      <c r="I1046999" s="27"/>
      <c r="J1046999" s="26"/>
      <c r="K1046999" s="26"/>
      <c r="L1046999" s="4"/>
      <c r="M1046999" s="4"/>
      <c r="N1046999" s="26"/>
    </row>
    <row r="1047000" customFormat="1" spans="2:14">
      <c r="B1047000" s="26"/>
      <c r="C1047000" s="26"/>
      <c r="D1047000" s="4"/>
      <c r="E1047000" s="26"/>
      <c r="F1047000" s="26"/>
      <c r="G1047000" s="26"/>
      <c r="H1047000" s="26"/>
      <c r="I1047000" s="27"/>
      <c r="J1047000" s="26"/>
      <c r="K1047000" s="26"/>
      <c r="L1047000" s="4"/>
      <c r="M1047000" s="4"/>
      <c r="N1047000" s="26"/>
    </row>
    <row r="1047001" customFormat="1" spans="2:14">
      <c r="B1047001" s="26"/>
      <c r="C1047001" s="26"/>
      <c r="D1047001" s="4"/>
      <c r="E1047001" s="26"/>
      <c r="F1047001" s="26"/>
      <c r="G1047001" s="26"/>
      <c r="H1047001" s="26"/>
      <c r="I1047001" s="27"/>
      <c r="J1047001" s="26"/>
      <c r="K1047001" s="26"/>
      <c r="L1047001" s="4"/>
      <c r="M1047001" s="4"/>
      <c r="N1047001" s="26"/>
    </row>
    <row r="1047002" customFormat="1" spans="2:14">
      <c r="B1047002" s="26"/>
      <c r="C1047002" s="26"/>
      <c r="D1047002" s="4"/>
      <c r="E1047002" s="26"/>
      <c r="F1047002" s="26"/>
      <c r="G1047002" s="26"/>
      <c r="H1047002" s="26"/>
      <c r="I1047002" s="27"/>
      <c r="J1047002" s="26"/>
      <c r="K1047002" s="26"/>
      <c r="L1047002" s="4"/>
      <c r="M1047002" s="4"/>
      <c r="N1047002" s="26"/>
    </row>
    <row r="1047003" customFormat="1" spans="2:14">
      <c r="B1047003" s="26"/>
      <c r="C1047003" s="26"/>
      <c r="D1047003" s="4"/>
      <c r="E1047003" s="26"/>
      <c r="F1047003" s="26"/>
      <c r="G1047003" s="26"/>
      <c r="H1047003" s="26"/>
      <c r="I1047003" s="27"/>
      <c r="J1047003" s="26"/>
      <c r="K1047003" s="26"/>
      <c r="L1047003" s="4"/>
      <c r="M1047003" s="4"/>
      <c r="N1047003" s="26"/>
    </row>
    <row r="1047004" customFormat="1" spans="2:14">
      <c r="B1047004" s="26"/>
      <c r="C1047004" s="26"/>
      <c r="D1047004" s="4"/>
      <c r="E1047004" s="26"/>
      <c r="F1047004" s="26"/>
      <c r="G1047004" s="26"/>
      <c r="H1047004" s="26"/>
      <c r="I1047004" s="27"/>
      <c r="J1047004" s="26"/>
      <c r="K1047004" s="26"/>
      <c r="L1047004" s="4"/>
      <c r="M1047004" s="4"/>
      <c r="N1047004" s="26"/>
    </row>
    <row r="1047005" customFormat="1" spans="2:14">
      <c r="B1047005" s="26"/>
      <c r="C1047005" s="26"/>
      <c r="D1047005" s="4"/>
      <c r="E1047005" s="26"/>
      <c r="F1047005" s="26"/>
      <c r="G1047005" s="26"/>
      <c r="H1047005" s="26"/>
      <c r="I1047005" s="27"/>
      <c r="J1047005" s="26"/>
      <c r="K1047005" s="26"/>
      <c r="L1047005" s="4"/>
      <c r="M1047005" s="4"/>
      <c r="N1047005" s="26"/>
    </row>
    <row r="1047006" customFormat="1" spans="2:14">
      <c r="B1047006" s="26"/>
      <c r="C1047006" s="26"/>
      <c r="D1047006" s="4"/>
      <c r="E1047006" s="26"/>
      <c r="F1047006" s="26"/>
      <c r="G1047006" s="26"/>
      <c r="H1047006" s="26"/>
      <c r="I1047006" s="27"/>
      <c r="J1047006" s="26"/>
      <c r="K1047006" s="26"/>
      <c r="L1047006" s="4"/>
      <c r="M1047006" s="4"/>
      <c r="N1047006" s="26"/>
    </row>
    <row r="1047007" customFormat="1" spans="2:14">
      <c r="B1047007" s="26"/>
      <c r="C1047007" s="26"/>
      <c r="D1047007" s="4"/>
      <c r="E1047007" s="26"/>
      <c r="F1047007" s="26"/>
      <c r="G1047007" s="26"/>
      <c r="H1047007" s="26"/>
      <c r="I1047007" s="27"/>
      <c r="J1047007" s="26"/>
      <c r="K1047007" s="26"/>
      <c r="L1047007" s="4"/>
      <c r="M1047007" s="4"/>
      <c r="N1047007" s="26"/>
    </row>
    <row r="1047008" customFormat="1" spans="2:14">
      <c r="B1047008" s="26"/>
      <c r="C1047008" s="26"/>
      <c r="D1047008" s="4"/>
      <c r="E1047008" s="26"/>
      <c r="F1047008" s="26"/>
      <c r="G1047008" s="26"/>
      <c r="H1047008" s="26"/>
      <c r="I1047008" s="27"/>
      <c r="J1047008" s="26"/>
      <c r="K1047008" s="26"/>
      <c r="L1047008" s="4"/>
      <c r="M1047008" s="4"/>
      <c r="N1047008" s="26"/>
    </row>
    <row r="1047009" customFormat="1" spans="2:14">
      <c r="B1047009" s="26"/>
      <c r="C1047009" s="26"/>
      <c r="D1047009" s="4"/>
      <c r="E1047009" s="26"/>
      <c r="F1047009" s="26"/>
      <c r="G1047009" s="26"/>
      <c r="H1047009" s="26"/>
      <c r="I1047009" s="27"/>
      <c r="J1047009" s="26"/>
      <c r="K1047009" s="26"/>
      <c r="L1047009" s="4"/>
      <c r="M1047009" s="4"/>
      <c r="N1047009" s="26"/>
    </row>
    <row r="1047010" customFormat="1" spans="2:14">
      <c r="B1047010" s="26"/>
      <c r="C1047010" s="26"/>
      <c r="D1047010" s="4"/>
      <c r="E1047010" s="26"/>
      <c r="F1047010" s="26"/>
      <c r="G1047010" s="26"/>
      <c r="H1047010" s="26"/>
      <c r="I1047010" s="27"/>
      <c r="J1047010" s="26"/>
      <c r="K1047010" s="26"/>
      <c r="L1047010" s="4"/>
      <c r="M1047010" s="4"/>
      <c r="N1047010" s="26"/>
    </row>
    <row r="1047011" customFormat="1" spans="2:14">
      <c r="B1047011" s="26"/>
      <c r="C1047011" s="26"/>
      <c r="D1047011" s="4"/>
      <c r="E1047011" s="26"/>
      <c r="F1047011" s="26"/>
      <c r="G1047011" s="26"/>
      <c r="H1047011" s="26"/>
      <c r="I1047011" s="27"/>
      <c r="J1047011" s="26"/>
      <c r="K1047011" s="26"/>
      <c r="L1047011" s="4"/>
      <c r="M1047011" s="4"/>
      <c r="N1047011" s="26"/>
    </row>
    <row r="1047012" customFormat="1" spans="2:14">
      <c r="B1047012" s="26"/>
      <c r="C1047012" s="26"/>
      <c r="D1047012" s="4"/>
      <c r="E1047012" s="26"/>
      <c r="F1047012" s="26"/>
      <c r="G1047012" s="26"/>
      <c r="H1047012" s="26"/>
      <c r="I1047012" s="27"/>
      <c r="J1047012" s="26"/>
      <c r="K1047012" s="26"/>
      <c r="L1047012" s="4"/>
      <c r="M1047012" s="4"/>
      <c r="N1047012" s="26"/>
    </row>
    <row r="1047013" customFormat="1" spans="2:14">
      <c r="B1047013" s="26"/>
      <c r="C1047013" s="26"/>
      <c r="D1047013" s="4"/>
      <c r="E1047013" s="26"/>
      <c r="F1047013" s="26"/>
      <c r="G1047013" s="26"/>
      <c r="H1047013" s="26"/>
      <c r="I1047013" s="27"/>
      <c r="J1047013" s="26"/>
      <c r="K1047013" s="26"/>
      <c r="L1047013" s="4"/>
      <c r="M1047013" s="4"/>
      <c r="N1047013" s="26"/>
    </row>
    <row r="1047014" customFormat="1" spans="2:14">
      <c r="B1047014" s="26"/>
      <c r="C1047014" s="26"/>
      <c r="D1047014" s="4"/>
      <c r="E1047014" s="26"/>
      <c r="F1047014" s="26"/>
      <c r="G1047014" s="26"/>
      <c r="H1047014" s="26"/>
      <c r="I1047014" s="27"/>
      <c r="J1047014" s="26"/>
      <c r="K1047014" s="26"/>
      <c r="L1047014" s="4"/>
      <c r="M1047014" s="4"/>
      <c r="N1047014" s="26"/>
    </row>
    <row r="1047015" customFormat="1" spans="2:14">
      <c r="B1047015" s="26"/>
      <c r="C1047015" s="26"/>
      <c r="D1047015" s="4"/>
      <c r="E1047015" s="26"/>
      <c r="F1047015" s="26"/>
      <c r="G1047015" s="26"/>
      <c r="H1047015" s="26"/>
      <c r="I1047015" s="27"/>
      <c r="J1047015" s="26"/>
      <c r="K1047015" s="26"/>
      <c r="L1047015" s="4"/>
      <c r="M1047015" s="4"/>
      <c r="N1047015" s="26"/>
    </row>
    <row r="1047016" customFormat="1" spans="2:14">
      <c r="B1047016" s="26"/>
      <c r="C1047016" s="26"/>
      <c r="D1047016" s="4"/>
      <c r="E1047016" s="26"/>
      <c r="F1047016" s="26"/>
      <c r="G1047016" s="26"/>
      <c r="H1047016" s="26"/>
      <c r="I1047016" s="27"/>
      <c r="J1047016" s="26"/>
      <c r="K1047016" s="26"/>
      <c r="L1047016" s="4"/>
      <c r="M1047016" s="4"/>
      <c r="N1047016" s="26"/>
    </row>
    <row r="1047017" customFormat="1" spans="2:14">
      <c r="B1047017" s="26"/>
      <c r="C1047017" s="26"/>
      <c r="D1047017" s="4"/>
      <c r="E1047017" s="26"/>
      <c r="F1047017" s="26"/>
      <c r="G1047017" s="26"/>
      <c r="H1047017" s="26"/>
      <c r="I1047017" s="27"/>
      <c r="J1047017" s="26"/>
      <c r="K1047017" s="26"/>
      <c r="L1047017" s="4"/>
      <c r="M1047017" s="4"/>
      <c r="N1047017" s="26"/>
    </row>
    <row r="1047018" customFormat="1" spans="2:14">
      <c r="B1047018" s="26"/>
      <c r="C1047018" s="26"/>
      <c r="D1047018" s="4"/>
      <c r="E1047018" s="26"/>
      <c r="F1047018" s="26"/>
      <c r="G1047018" s="26"/>
      <c r="H1047018" s="26"/>
      <c r="I1047018" s="27"/>
      <c r="J1047018" s="26"/>
      <c r="K1047018" s="26"/>
      <c r="L1047018" s="4"/>
      <c r="M1047018" s="4"/>
      <c r="N1047018" s="26"/>
    </row>
    <row r="1047019" customFormat="1" spans="2:14">
      <c r="B1047019" s="26"/>
      <c r="C1047019" s="26"/>
      <c r="D1047019" s="4"/>
      <c r="E1047019" s="26"/>
      <c r="F1047019" s="26"/>
      <c r="G1047019" s="26"/>
      <c r="H1047019" s="26"/>
      <c r="I1047019" s="27"/>
      <c r="J1047019" s="26"/>
      <c r="K1047019" s="26"/>
      <c r="L1047019" s="4"/>
      <c r="M1047019" s="4"/>
      <c r="N1047019" s="26"/>
    </row>
    <row r="1047020" customFormat="1" spans="2:14">
      <c r="B1047020" s="26"/>
      <c r="C1047020" s="26"/>
      <c r="D1047020" s="4"/>
      <c r="E1047020" s="26"/>
      <c r="F1047020" s="26"/>
      <c r="G1047020" s="26"/>
      <c r="H1047020" s="26"/>
      <c r="I1047020" s="27"/>
      <c r="J1047020" s="26"/>
      <c r="K1047020" s="26"/>
      <c r="L1047020" s="4"/>
      <c r="M1047020" s="4"/>
      <c r="N1047020" s="26"/>
    </row>
    <row r="1047021" customFormat="1" spans="2:14">
      <c r="B1047021" s="26"/>
      <c r="C1047021" s="26"/>
      <c r="D1047021" s="4"/>
      <c r="E1047021" s="26"/>
      <c r="F1047021" s="26"/>
      <c r="G1047021" s="26"/>
      <c r="H1047021" s="26"/>
      <c r="I1047021" s="27"/>
      <c r="J1047021" s="26"/>
      <c r="K1047021" s="26"/>
      <c r="L1047021" s="4"/>
      <c r="M1047021" s="4"/>
      <c r="N1047021" s="26"/>
    </row>
    <row r="1047022" customFormat="1" spans="2:14">
      <c r="B1047022" s="26"/>
      <c r="C1047022" s="26"/>
      <c r="D1047022" s="4"/>
      <c r="E1047022" s="26"/>
      <c r="F1047022" s="26"/>
      <c r="G1047022" s="26"/>
      <c r="H1047022" s="26"/>
      <c r="I1047022" s="27"/>
      <c r="J1047022" s="26"/>
      <c r="K1047022" s="26"/>
      <c r="L1047022" s="4"/>
      <c r="M1047022" s="4"/>
      <c r="N1047022" s="26"/>
    </row>
    <row r="1047023" customFormat="1" spans="2:14">
      <c r="B1047023" s="26"/>
      <c r="C1047023" s="26"/>
      <c r="D1047023" s="4"/>
      <c r="E1047023" s="26"/>
      <c r="F1047023" s="26"/>
      <c r="G1047023" s="26"/>
      <c r="H1047023" s="26"/>
      <c r="I1047023" s="27"/>
      <c r="J1047023" s="26"/>
      <c r="K1047023" s="26"/>
      <c r="L1047023" s="4"/>
      <c r="M1047023" s="4"/>
      <c r="N1047023" s="26"/>
    </row>
    <row r="1047024" customFormat="1" spans="2:14">
      <c r="B1047024" s="26"/>
      <c r="C1047024" s="26"/>
      <c r="D1047024" s="4"/>
      <c r="E1047024" s="26"/>
      <c r="F1047024" s="26"/>
      <c r="G1047024" s="26"/>
      <c r="H1047024" s="26"/>
      <c r="I1047024" s="27"/>
      <c r="J1047024" s="26"/>
      <c r="K1047024" s="26"/>
      <c r="L1047024" s="4"/>
      <c r="M1047024" s="4"/>
      <c r="N1047024" s="26"/>
    </row>
    <row r="1047025" customFormat="1" spans="2:14">
      <c r="B1047025" s="26"/>
      <c r="C1047025" s="26"/>
      <c r="D1047025" s="4"/>
      <c r="E1047025" s="26"/>
      <c r="F1047025" s="26"/>
      <c r="G1047025" s="26"/>
      <c r="H1047025" s="26"/>
      <c r="I1047025" s="27"/>
      <c r="J1047025" s="26"/>
      <c r="K1047025" s="26"/>
      <c r="L1047025" s="4"/>
      <c r="M1047025" s="4"/>
      <c r="N1047025" s="26"/>
    </row>
    <row r="1047026" customFormat="1" spans="2:14">
      <c r="B1047026" s="26"/>
      <c r="C1047026" s="26"/>
      <c r="D1047026" s="4"/>
      <c r="E1047026" s="26"/>
      <c r="F1047026" s="26"/>
      <c r="G1047026" s="26"/>
      <c r="H1047026" s="26"/>
      <c r="I1047026" s="27"/>
      <c r="J1047026" s="26"/>
      <c r="K1047026" s="26"/>
      <c r="L1047026" s="4"/>
      <c r="M1047026" s="4"/>
      <c r="N1047026" s="26"/>
    </row>
    <row r="1047027" customFormat="1" spans="2:14">
      <c r="B1047027" s="26"/>
      <c r="C1047027" s="26"/>
      <c r="D1047027" s="4"/>
      <c r="E1047027" s="26"/>
      <c r="F1047027" s="26"/>
      <c r="G1047027" s="26"/>
      <c r="H1047027" s="26"/>
      <c r="I1047027" s="27"/>
      <c r="J1047027" s="26"/>
      <c r="K1047027" s="26"/>
      <c r="L1047027" s="4"/>
      <c r="M1047027" s="4"/>
      <c r="N1047027" s="26"/>
    </row>
    <row r="1047028" customFormat="1" spans="2:14">
      <c r="B1047028" s="26"/>
      <c r="C1047028" s="26"/>
      <c r="D1047028" s="4"/>
      <c r="E1047028" s="26"/>
      <c r="F1047028" s="26"/>
      <c r="G1047028" s="26"/>
      <c r="H1047028" s="26"/>
      <c r="I1047028" s="27"/>
      <c r="J1047028" s="26"/>
      <c r="K1047028" s="26"/>
      <c r="L1047028" s="4"/>
      <c r="M1047028" s="4"/>
      <c r="N1047028" s="26"/>
    </row>
    <row r="1047029" customFormat="1" spans="2:14">
      <c r="B1047029" s="26"/>
      <c r="C1047029" s="26"/>
      <c r="D1047029" s="4"/>
      <c r="E1047029" s="26"/>
      <c r="F1047029" s="26"/>
      <c r="G1047029" s="26"/>
      <c r="H1047029" s="26"/>
      <c r="I1047029" s="27"/>
      <c r="J1047029" s="26"/>
      <c r="K1047029" s="26"/>
      <c r="L1047029" s="4"/>
      <c r="M1047029" s="4"/>
      <c r="N1047029" s="26"/>
    </row>
    <row r="1047030" customFormat="1" spans="2:14">
      <c r="B1047030" s="26"/>
      <c r="C1047030" s="26"/>
      <c r="D1047030" s="4"/>
      <c r="E1047030" s="26"/>
      <c r="F1047030" s="26"/>
      <c r="G1047030" s="26"/>
      <c r="H1047030" s="26"/>
      <c r="I1047030" s="27"/>
      <c r="J1047030" s="26"/>
      <c r="K1047030" s="26"/>
      <c r="L1047030" s="4"/>
      <c r="M1047030" s="4"/>
      <c r="N1047030" s="26"/>
    </row>
    <row r="1047031" customFormat="1" spans="2:14">
      <c r="B1047031" s="26"/>
      <c r="C1047031" s="26"/>
      <c r="D1047031" s="4"/>
      <c r="E1047031" s="26"/>
      <c r="F1047031" s="26"/>
      <c r="G1047031" s="26"/>
      <c r="H1047031" s="26"/>
      <c r="I1047031" s="27"/>
      <c r="J1047031" s="26"/>
      <c r="K1047031" s="26"/>
      <c r="L1047031" s="4"/>
      <c r="M1047031" s="4"/>
      <c r="N1047031" s="26"/>
    </row>
    <row r="1047032" customFormat="1" spans="2:14">
      <c r="B1047032" s="26"/>
      <c r="C1047032" s="26"/>
      <c r="D1047032" s="4"/>
      <c r="E1047032" s="26"/>
      <c r="F1047032" s="26"/>
      <c r="G1047032" s="26"/>
      <c r="H1047032" s="26"/>
      <c r="I1047032" s="27"/>
      <c r="J1047032" s="26"/>
      <c r="K1047032" s="26"/>
      <c r="L1047032" s="4"/>
      <c r="M1047032" s="4"/>
      <c r="N1047032" s="26"/>
    </row>
    <row r="1047033" customFormat="1" spans="2:14">
      <c r="B1047033" s="26"/>
      <c r="C1047033" s="26"/>
      <c r="D1047033" s="4"/>
      <c r="E1047033" s="26"/>
      <c r="F1047033" s="26"/>
      <c r="G1047033" s="26"/>
      <c r="H1047033" s="26"/>
      <c r="I1047033" s="27"/>
      <c r="J1047033" s="26"/>
      <c r="K1047033" s="26"/>
      <c r="L1047033" s="4"/>
      <c r="M1047033" s="4"/>
      <c r="N1047033" s="26"/>
    </row>
    <row r="1047034" customFormat="1" spans="2:14">
      <c r="B1047034" s="26"/>
      <c r="C1047034" s="26"/>
      <c r="D1047034" s="4"/>
      <c r="E1047034" s="26"/>
      <c r="F1047034" s="26"/>
      <c r="G1047034" s="26"/>
      <c r="H1047034" s="26"/>
      <c r="I1047034" s="27"/>
      <c r="J1047034" s="26"/>
      <c r="K1047034" s="26"/>
      <c r="L1047034" s="4"/>
      <c r="M1047034" s="4"/>
      <c r="N1047034" s="26"/>
    </row>
    <row r="1047035" customFormat="1" spans="2:14">
      <c r="B1047035" s="26"/>
      <c r="C1047035" s="26"/>
      <c r="D1047035" s="4"/>
      <c r="E1047035" s="26"/>
      <c r="F1047035" s="26"/>
      <c r="G1047035" s="26"/>
      <c r="H1047035" s="26"/>
      <c r="I1047035" s="27"/>
      <c r="J1047035" s="26"/>
      <c r="K1047035" s="26"/>
      <c r="L1047035" s="4"/>
      <c r="M1047035" s="4"/>
      <c r="N1047035" s="26"/>
    </row>
    <row r="1047036" customFormat="1" spans="2:14">
      <c r="B1047036" s="26"/>
      <c r="C1047036" s="26"/>
      <c r="D1047036" s="4"/>
      <c r="E1047036" s="26"/>
      <c r="F1047036" s="26"/>
      <c r="G1047036" s="26"/>
      <c r="H1047036" s="26"/>
      <c r="I1047036" s="27"/>
      <c r="J1047036" s="26"/>
      <c r="K1047036" s="26"/>
      <c r="L1047036" s="4"/>
      <c r="M1047036" s="4"/>
      <c r="N1047036" s="26"/>
    </row>
    <row r="1047037" customFormat="1" spans="2:14">
      <c r="B1047037" s="26"/>
      <c r="C1047037" s="26"/>
      <c r="D1047037" s="4"/>
      <c r="E1047037" s="26"/>
      <c r="F1047037" s="26"/>
      <c r="G1047037" s="26"/>
      <c r="H1047037" s="26"/>
      <c r="I1047037" s="27"/>
      <c r="J1047037" s="26"/>
      <c r="K1047037" s="26"/>
      <c r="L1047037" s="4"/>
      <c r="M1047037" s="4"/>
      <c r="N1047037" s="26"/>
    </row>
    <row r="1047038" customFormat="1" spans="2:14">
      <c r="B1047038" s="26"/>
      <c r="C1047038" s="26"/>
      <c r="D1047038" s="4"/>
      <c r="E1047038" s="26"/>
      <c r="F1047038" s="26"/>
      <c r="G1047038" s="26"/>
      <c r="H1047038" s="26"/>
      <c r="I1047038" s="27"/>
      <c r="J1047038" s="26"/>
      <c r="K1047038" s="26"/>
      <c r="L1047038" s="4"/>
      <c r="M1047038" s="4"/>
      <c r="N1047038" s="26"/>
    </row>
    <row r="1047039" customFormat="1" spans="2:14">
      <c r="B1047039" s="26"/>
      <c r="C1047039" s="26"/>
      <c r="D1047039" s="4"/>
      <c r="E1047039" s="26"/>
      <c r="F1047039" s="26"/>
      <c r="G1047039" s="26"/>
      <c r="H1047039" s="26"/>
      <c r="I1047039" s="27"/>
      <c r="J1047039" s="26"/>
      <c r="K1047039" s="26"/>
      <c r="L1047039" s="4"/>
      <c r="M1047039" s="4"/>
      <c r="N1047039" s="26"/>
    </row>
    <row r="1047040" customFormat="1" spans="2:14">
      <c r="B1047040" s="26"/>
      <c r="C1047040" s="26"/>
      <c r="D1047040" s="4"/>
      <c r="E1047040" s="26"/>
      <c r="F1047040" s="26"/>
      <c r="G1047040" s="26"/>
      <c r="H1047040" s="26"/>
      <c r="I1047040" s="27"/>
      <c r="J1047040" s="26"/>
      <c r="K1047040" s="26"/>
      <c r="L1047040" s="4"/>
      <c r="M1047040" s="4"/>
      <c r="N1047040" s="26"/>
    </row>
    <row r="1047041" customFormat="1" spans="2:14">
      <c r="B1047041" s="26"/>
      <c r="C1047041" s="26"/>
      <c r="D1047041" s="4"/>
      <c r="E1047041" s="26"/>
      <c r="F1047041" s="26"/>
      <c r="G1047041" s="26"/>
      <c r="H1047041" s="26"/>
      <c r="I1047041" s="27"/>
      <c r="J1047041" s="26"/>
      <c r="K1047041" s="26"/>
      <c r="L1047041" s="4"/>
      <c r="M1047041" s="4"/>
      <c r="N1047041" s="26"/>
    </row>
    <row r="1047042" customFormat="1" spans="2:14">
      <c r="B1047042" s="26"/>
      <c r="C1047042" s="26"/>
      <c r="D1047042" s="4"/>
      <c r="E1047042" s="26"/>
      <c r="F1047042" s="26"/>
      <c r="G1047042" s="26"/>
      <c r="H1047042" s="26"/>
      <c r="I1047042" s="27"/>
      <c r="J1047042" s="26"/>
      <c r="K1047042" s="26"/>
      <c r="L1047042" s="4"/>
      <c r="M1047042" s="4"/>
      <c r="N1047042" s="26"/>
    </row>
    <row r="1047043" customFormat="1" spans="2:14">
      <c r="B1047043" s="26"/>
      <c r="C1047043" s="26"/>
      <c r="D1047043" s="4"/>
      <c r="E1047043" s="26"/>
      <c r="F1047043" s="26"/>
      <c r="G1047043" s="26"/>
      <c r="H1047043" s="26"/>
      <c r="I1047043" s="27"/>
      <c r="J1047043" s="26"/>
      <c r="K1047043" s="26"/>
      <c r="L1047043" s="4"/>
      <c r="M1047043" s="4"/>
      <c r="N1047043" s="26"/>
    </row>
    <row r="1047044" customFormat="1" spans="2:14">
      <c r="B1047044" s="26"/>
      <c r="C1047044" s="26"/>
      <c r="D1047044" s="4"/>
      <c r="E1047044" s="26"/>
      <c r="F1047044" s="26"/>
      <c r="G1047044" s="26"/>
      <c r="H1047044" s="26"/>
      <c r="I1047044" s="27"/>
      <c r="J1047044" s="26"/>
      <c r="K1047044" s="26"/>
      <c r="L1047044" s="4"/>
      <c r="M1047044" s="4"/>
      <c r="N1047044" s="26"/>
    </row>
    <row r="1047045" customFormat="1" spans="2:14">
      <c r="B1047045" s="26"/>
      <c r="C1047045" s="26"/>
      <c r="D1047045" s="4"/>
      <c r="E1047045" s="26"/>
      <c r="F1047045" s="26"/>
      <c r="G1047045" s="26"/>
      <c r="H1047045" s="26"/>
      <c r="I1047045" s="27"/>
      <c r="J1047045" s="26"/>
      <c r="K1047045" s="26"/>
      <c r="L1047045" s="4"/>
      <c r="M1047045" s="4"/>
      <c r="N1047045" s="26"/>
    </row>
    <row r="1047046" customFormat="1" spans="2:14">
      <c r="B1047046" s="26"/>
      <c r="C1047046" s="26"/>
      <c r="D1047046" s="4"/>
      <c r="E1047046" s="26"/>
      <c r="F1047046" s="26"/>
      <c r="G1047046" s="26"/>
      <c r="H1047046" s="26"/>
      <c r="I1047046" s="27"/>
      <c r="J1047046" s="26"/>
      <c r="K1047046" s="26"/>
      <c r="L1047046" s="4"/>
      <c r="M1047046" s="4"/>
      <c r="N1047046" s="26"/>
    </row>
    <row r="1047047" customFormat="1" spans="2:14">
      <c r="B1047047" s="26"/>
      <c r="C1047047" s="26"/>
      <c r="D1047047" s="4"/>
      <c r="E1047047" s="26"/>
      <c r="F1047047" s="26"/>
      <c r="G1047047" s="26"/>
      <c r="H1047047" s="26"/>
      <c r="I1047047" s="27"/>
      <c r="J1047047" s="26"/>
      <c r="K1047047" s="26"/>
      <c r="L1047047" s="4"/>
      <c r="M1047047" s="4"/>
      <c r="N1047047" s="26"/>
    </row>
    <row r="1047048" customFormat="1" spans="2:14">
      <c r="B1047048" s="26"/>
      <c r="C1047048" s="26"/>
      <c r="D1047048" s="4"/>
      <c r="E1047048" s="26"/>
      <c r="F1047048" s="26"/>
      <c r="G1047048" s="26"/>
      <c r="H1047048" s="26"/>
      <c r="I1047048" s="27"/>
      <c r="J1047048" s="26"/>
      <c r="K1047048" s="26"/>
      <c r="L1047048" s="4"/>
      <c r="M1047048" s="4"/>
      <c r="N1047048" s="26"/>
    </row>
    <row r="1047049" customFormat="1" spans="2:14">
      <c r="B1047049" s="26"/>
      <c r="C1047049" s="26"/>
      <c r="D1047049" s="4"/>
      <c r="E1047049" s="26"/>
      <c r="F1047049" s="26"/>
      <c r="G1047049" s="26"/>
      <c r="H1047049" s="26"/>
      <c r="I1047049" s="27"/>
      <c r="J1047049" s="26"/>
      <c r="K1047049" s="26"/>
      <c r="L1047049" s="4"/>
      <c r="M1047049" s="4"/>
      <c r="N1047049" s="26"/>
    </row>
    <row r="1047050" customFormat="1" spans="2:14">
      <c r="B1047050" s="26"/>
      <c r="C1047050" s="26"/>
      <c r="D1047050" s="4"/>
      <c r="E1047050" s="26"/>
      <c r="F1047050" s="26"/>
      <c r="G1047050" s="26"/>
      <c r="H1047050" s="26"/>
      <c r="I1047050" s="27"/>
      <c r="J1047050" s="26"/>
      <c r="K1047050" s="26"/>
      <c r="L1047050" s="4"/>
      <c r="M1047050" s="4"/>
      <c r="N1047050" s="26"/>
    </row>
    <row r="1047051" customFormat="1" spans="2:14">
      <c r="B1047051" s="26"/>
      <c r="C1047051" s="26"/>
      <c r="D1047051" s="4"/>
      <c r="E1047051" s="26"/>
      <c r="F1047051" s="26"/>
      <c r="G1047051" s="26"/>
      <c r="H1047051" s="26"/>
      <c r="I1047051" s="27"/>
      <c r="J1047051" s="26"/>
      <c r="K1047051" s="26"/>
      <c r="L1047051" s="4"/>
      <c r="M1047051" s="4"/>
      <c r="N1047051" s="26"/>
    </row>
    <row r="1047052" customFormat="1" spans="2:14">
      <c r="B1047052" s="26"/>
      <c r="C1047052" s="26"/>
      <c r="D1047052" s="4"/>
      <c r="E1047052" s="26"/>
      <c r="F1047052" s="26"/>
      <c r="G1047052" s="26"/>
      <c r="H1047052" s="26"/>
      <c r="I1047052" s="27"/>
      <c r="J1047052" s="26"/>
      <c r="K1047052" s="26"/>
      <c r="L1047052" s="4"/>
      <c r="M1047052" s="4"/>
      <c r="N1047052" s="26"/>
    </row>
    <row r="1047053" customFormat="1" spans="2:14">
      <c r="B1047053" s="26"/>
      <c r="C1047053" s="26"/>
      <c r="D1047053" s="4"/>
      <c r="E1047053" s="26"/>
      <c r="F1047053" s="26"/>
      <c r="G1047053" s="26"/>
      <c r="H1047053" s="26"/>
      <c r="I1047053" s="27"/>
      <c r="J1047053" s="26"/>
      <c r="K1047053" s="26"/>
      <c r="L1047053" s="4"/>
      <c r="M1047053" s="4"/>
      <c r="N1047053" s="26"/>
    </row>
    <row r="1047054" customFormat="1" spans="2:14">
      <c r="B1047054" s="26"/>
      <c r="C1047054" s="26"/>
      <c r="D1047054" s="4"/>
      <c r="E1047054" s="26"/>
      <c r="F1047054" s="26"/>
      <c r="G1047054" s="26"/>
      <c r="H1047054" s="26"/>
      <c r="I1047054" s="27"/>
      <c r="J1047054" s="26"/>
      <c r="K1047054" s="26"/>
      <c r="L1047054" s="4"/>
      <c r="M1047054" s="4"/>
      <c r="N1047054" s="26"/>
    </row>
    <row r="1047055" customFormat="1" spans="2:14">
      <c r="B1047055" s="26"/>
      <c r="C1047055" s="26"/>
      <c r="D1047055" s="4"/>
      <c r="E1047055" s="26"/>
      <c r="F1047055" s="26"/>
      <c r="G1047055" s="26"/>
      <c r="H1047055" s="26"/>
      <c r="I1047055" s="27"/>
      <c r="J1047055" s="26"/>
      <c r="K1047055" s="26"/>
      <c r="L1047055" s="4"/>
      <c r="M1047055" s="4"/>
      <c r="N1047055" s="26"/>
    </row>
    <row r="1047056" customFormat="1" spans="2:14">
      <c r="B1047056" s="26"/>
      <c r="C1047056" s="26"/>
      <c r="D1047056" s="4"/>
      <c r="E1047056" s="26"/>
      <c r="F1047056" s="26"/>
      <c r="G1047056" s="26"/>
      <c r="H1047056" s="26"/>
      <c r="I1047056" s="27"/>
      <c r="J1047056" s="26"/>
      <c r="K1047056" s="26"/>
      <c r="L1047056" s="4"/>
      <c r="M1047056" s="4"/>
      <c r="N1047056" s="26"/>
    </row>
    <row r="1047057" customFormat="1" spans="2:14">
      <c r="B1047057" s="26"/>
      <c r="C1047057" s="26"/>
      <c r="D1047057" s="4"/>
      <c r="E1047057" s="26"/>
      <c r="F1047057" s="26"/>
      <c r="G1047057" s="26"/>
      <c r="H1047057" s="26"/>
      <c r="I1047057" s="27"/>
      <c r="J1047057" s="26"/>
      <c r="K1047057" s="26"/>
      <c r="L1047057" s="4"/>
      <c r="M1047057" s="4"/>
      <c r="N1047057" s="26"/>
    </row>
    <row r="1047058" customFormat="1" spans="2:14">
      <c r="B1047058" s="26"/>
      <c r="C1047058" s="26"/>
      <c r="D1047058" s="4"/>
      <c r="E1047058" s="26"/>
      <c r="F1047058" s="26"/>
      <c r="G1047058" s="26"/>
      <c r="H1047058" s="26"/>
      <c r="I1047058" s="27"/>
      <c r="J1047058" s="26"/>
      <c r="K1047058" s="26"/>
      <c r="L1047058" s="4"/>
      <c r="M1047058" s="4"/>
      <c r="N1047058" s="26"/>
    </row>
    <row r="1047059" customFormat="1" spans="2:14">
      <c r="B1047059" s="26"/>
      <c r="C1047059" s="26"/>
      <c r="D1047059" s="4"/>
      <c r="E1047059" s="26"/>
      <c r="F1047059" s="26"/>
      <c r="G1047059" s="26"/>
      <c r="H1047059" s="26"/>
      <c r="I1047059" s="27"/>
      <c r="J1047059" s="26"/>
      <c r="K1047059" s="26"/>
      <c r="L1047059" s="4"/>
      <c r="M1047059" s="4"/>
      <c r="N1047059" s="26"/>
    </row>
    <row r="1047060" customFormat="1" spans="2:14">
      <c r="B1047060" s="26"/>
      <c r="C1047060" s="26"/>
      <c r="D1047060" s="4"/>
      <c r="E1047060" s="26"/>
      <c r="F1047060" s="26"/>
      <c r="G1047060" s="26"/>
      <c r="H1047060" s="26"/>
      <c r="I1047060" s="27"/>
      <c r="J1047060" s="26"/>
      <c r="K1047060" s="26"/>
      <c r="L1047060" s="4"/>
      <c r="M1047060" s="4"/>
      <c r="N1047060" s="26"/>
    </row>
    <row r="1047061" customFormat="1" spans="2:14">
      <c r="B1047061" s="26"/>
      <c r="C1047061" s="26"/>
      <c r="D1047061" s="4"/>
      <c r="E1047061" s="26"/>
      <c r="F1047061" s="26"/>
      <c r="G1047061" s="26"/>
      <c r="H1047061" s="26"/>
      <c r="I1047061" s="27"/>
      <c r="J1047061" s="26"/>
      <c r="K1047061" s="26"/>
      <c r="L1047061" s="4"/>
      <c r="M1047061" s="4"/>
      <c r="N1047061" s="26"/>
    </row>
    <row r="1047062" customFormat="1" spans="2:14">
      <c r="B1047062" s="26"/>
      <c r="C1047062" s="26"/>
      <c r="D1047062" s="4"/>
      <c r="E1047062" s="26"/>
      <c r="F1047062" s="26"/>
      <c r="G1047062" s="26"/>
      <c r="H1047062" s="26"/>
      <c r="I1047062" s="27"/>
      <c r="J1047062" s="26"/>
      <c r="K1047062" s="26"/>
      <c r="L1047062" s="4"/>
      <c r="M1047062" s="4"/>
      <c r="N1047062" s="26"/>
    </row>
    <row r="1047063" customFormat="1" spans="2:14">
      <c r="B1047063" s="26"/>
      <c r="C1047063" s="26"/>
      <c r="D1047063" s="4"/>
      <c r="E1047063" s="26"/>
      <c r="F1047063" s="26"/>
      <c r="G1047063" s="26"/>
      <c r="H1047063" s="26"/>
      <c r="I1047063" s="27"/>
      <c r="J1047063" s="26"/>
      <c r="K1047063" s="26"/>
      <c r="L1047063" s="4"/>
      <c r="M1047063" s="4"/>
      <c r="N1047063" s="26"/>
    </row>
    <row r="1047064" customFormat="1" spans="2:14">
      <c r="B1047064" s="26"/>
      <c r="C1047064" s="26"/>
      <c r="D1047064" s="4"/>
      <c r="E1047064" s="26"/>
      <c r="F1047064" s="26"/>
      <c r="G1047064" s="26"/>
      <c r="H1047064" s="26"/>
      <c r="I1047064" s="27"/>
      <c r="J1047064" s="26"/>
      <c r="K1047064" s="26"/>
      <c r="L1047064" s="4"/>
      <c r="M1047064" s="4"/>
      <c r="N1047064" s="26"/>
    </row>
    <row r="1047065" customFormat="1" spans="2:14">
      <c r="B1047065" s="26"/>
      <c r="C1047065" s="26"/>
      <c r="D1047065" s="4"/>
      <c r="E1047065" s="26"/>
      <c r="F1047065" s="26"/>
      <c r="G1047065" s="26"/>
      <c r="H1047065" s="26"/>
      <c r="I1047065" s="27"/>
      <c r="J1047065" s="26"/>
      <c r="K1047065" s="26"/>
      <c r="L1047065" s="4"/>
      <c r="M1047065" s="4"/>
      <c r="N1047065" s="26"/>
    </row>
    <row r="1047066" customFormat="1" spans="2:14">
      <c r="B1047066" s="26"/>
      <c r="C1047066" s="26"/>
      <c r="D1047066" s="4"/>
      <c r="E1047066" s="26"/>
      <c r="F1047066" s="26"/>
      <c r="G1047066" s="26"/>
      <c r="H1047066" s="26"/>
      <c r="I1047066" s="27"/>
      <c r="J1047066" s="26"/>
      <c r="K1047066" s="26"/>
      <c r="L1047066" s="4"/>
      <c r="M1047066" s="4"/>
      <c r="N1047066" s="26"/>
    </row>
    <row r="1047067" customFormat="1" spans="2:14">
      <c r="B1047067" s="26"/>
      <c r="C1047067" s="26"/>
      <c r="D1047067" s="4"/>
      <c r="E1047067" s="26"/>
      <c r="F1047067" s="26"/>
      <c r="G1047067" s="26"/>
      <c r="H1047067" s="26"/>
      <c r="I1047067" s="27"/>
      <c r="J1047067" s="26"/>
      <c r="K1047067" s="26"/>
      <c r="L1047067" s="4"/>
      <c r="M1047067" s="4"/>
      <c r="N1047067" s="26"/>
    </row>
    <row r="1047068" customFormat="1" spans="2:14">
      <c r="B1047068" s="26"/>
      <c r="C1047068" s="26"/>
      <c r="D1047068" s="4"/>
      <c r="E1047068" s="26"/>
      <c r="F1047068" s="26"/>
      <c r="G1047068" s="26"/>
      <c r="H1047068" s="26"/>
      <c r="I1047068" s="27"/>
      <c r="J1047068" s="26"/>
      <c r="K1047068" s="26"/>
      <c r="L1047068" s="4"/>
      <c r="M1047068" s="4"/>
      <c r="N1047068" s="26"/>
    </row>
    <row r="1047069" customFormat="1" spans="2:14">
      <c r="B1047069" s="26"/>
      <c r="C1047069" s="26"/>
      <c r="D1047069" s="4"/>
      <c r="E1047069" s="26"/>
      <c r="F1047069" s="26"/>
      <c r="G1047069" s="26"/>
      <c r="H1047069" s="26"/>
      <c r="I1047069" s="27"/>
      <c r="J1047069" s="26"/>
      <c r="K1047069" s="26"/>
      <c r="L1047069" s="4"/>
      <c r="M1047069" s="4"/>
      <c r="N1047069" s="26"/>
    </row>
    <row r="1047070" customFormat="1" spans="2:14">
      <c r="B1047070" s="26"/>
      <c r="C1047070" s="26"/>
      <c r="D1047070" s="4"/>
      <c r="E1047070" s="26"/>
      <c r="F1047070" s="26"/>
      <c r="G1047070" s="26"/>
      <c r="H1047070" s="26"/>
      <c r="I1047070" s="27"/>
      <c r="J1047070" s="26"/>
      <c r="K1047070" s="26"/>
      <c r="L1047070" s="4"/>
      <c r="M1047070" s="4"/>
      <c r="N1047070" s="26"/>
    </row>
    <row r="1047071" customFormat="1" spans="2:14">
      <c r="B1047071" s="26"/>
      <c r="C1047071" s="26"/>
      <c r="D1047071" s="4"/>
      <c r="E1047071" s="26"/>
      <c r="F1047071" s="26"/>
      <c r="G1047071" s="26"/>
      <c r="H1047071" s="26"/>
      <c r="I1047071" s="27"/>
      <c r="J1047071" s="26"/>
      <c r="K1047071" s="26"/>
      <c r="L1047071" s="4"/>
      <c r="M1047071" s="4"/>
      <c r="N1047071" s="26"/>
    </row>
    <row r="1047072" customFormat="1" spans="2:14">
      <c r="B1047072" s="26"/>
      <c r="C1047072" s="26"/>
      <c r="D1047072" s="4"/>
      <c r="E1047072" s="26"/>
      <c r="F1047072" s="26"/>
      <c r="G1047072" s="26"/>
      <c r="H1047072" s="26"/>
      <c r="I1047072" s="27"/>
      <c r="J1047072" s="26"/>
      <c r="K1047072" s="26"/>
      <c r="L1047072" s="4"/>
      <c r="M1047072" s="4"/>
      <c r="N1047072" s="26"/>
    </row>
    <row r="1047073" customFormat="1" spans="2:14">
      <c r="B1047073" s="26"/>
      <c r="C1047073" s="26"/>
      <c r="D1047073" s="4"/>
      <c r="E1047073" s="26"/>
      <c r="F1047073" s="26"/>
      <c r="G1047073" s="26"/>
      <c r="H1047073" s="26"/>
      <c r="I1047073" s="27"/>
      <c r="J1047073" s="26"/>
      <c r="K1047073" s="26"/>
      <c r="L1047073" s="4"/>
      <c r="M1047073" s="4"/>
      <c r="N1047073" s="26"/>
    </row>
    <row r="1047074" customFormat="1" spans="2:14">
      <c r="B1047074" s="26"/>
      <c r="C1047074" s="26"/>
      <c r="D1047074" s="4"/>
      <c r="E1047074" s="26"/>
      <c r="F1047074" s="26"/>
      <c r="G1047074" s="26"/>
      <c r="H1047074" s="26"/>
      <c r="I1047074" s="27"/>
      <c r="J1047074" s="26"/>
      <c r="K1047074" s="26"/>
      <c r="L1047074" s="4"/>
      <c r="M1047074" s="4"/>
      <c r="N1047074" s="26"/>
    </row>
    <row r="1047075" customFormat="1" spans="2:14">
      <c r="B1047075" s="26"/>
      <c r="C1047075" s="26"/>
      <c r="D1047075" s="4"/>
      <c r="E1047075" s="26"/>
      <c r="F1047075" s="26"/>
      <c r="G1047075" s="26"/>
      <c r="H1047075" s="26"/>
      <c r="I1047075" s="27"/>
      <c r="J1047075" s="26"/>
      <c r="K1047075" s="26"/>
      <c r="L1047075" s="4"/>
      <c r="M1047075" s="4"/>
      <c r="N1047075" s="26"/>
    </row>
    <row r="1047076" customFormat="1" spans="2:14">
      <c r="B1047076" s="26"/>
      <c r="C1047076" s="26"/>
      <c r="D1047076" s="4"/>
      <c r="E1047076" s="26"/>
      <c r="F1047076" s="26"/>
      <c r="G1047076" s="26"/>
      <c r="H1047076" s="26"/>
      <c r="I1047076" s="27"/>
      <c r="J1047076" s="26"/>
      <c r="K1047076" s="26"/>
      <c r="L1047076" s="4"/>
      <c r="M1047076" s="4"/>
      <c r="N1047076" s="26"/>
    </row>
    <row r="1047077" customFormat="1" spans="2:14">
      <c r="B1047077" s="26"/>
      <c r="C1047077" s="26"/>
      <c r="D1047077" s="4"/>
      <c r="E1047077" s="26"/>
      <c r="F1047077" s="26"/>
      <c r="G1047077" s="26"/>
      <c r="H1047077" s="26"/>
      <c r="I1047077" s="27"/>
      <c r="J1047077" s="26"/>
      <c r="K1047077" s="26"/>
      <c r="L1047077" s="4"/>
      <c r="M1047077" s="4"/>
      <c r="N1047077" s="26"/>
    </row>
    <row r="1047078" customFormat="1" spans="2:14">
      <c r="B1047078" s="26"/>
      <c r="C1047078" s="26"/>
      <c r="D1047078" s="4"/>
      <c r="E1047078" s="26"/>
      <c r="F1047078" s="26"/>
      <c r="G1047078" s="26"/>
      <c r="H1047078" s="26"/>
      <c r="I1047078" s="27"/>
      <c r="J1047078" s="26"/>
      <c r="K1047078" s="26"/>
      <c r="L1047078" s="4"/>
      <c r="M1047078" s="4"/>
      <c r="N1047078" s="26"/>
    </row>
    <row r="1047079" customFormat="1" spans="2:14">
      <c r="B1047079" s="26"/>
      <c r="C1047079" s="26"/>
      <c r="D1047079" s="4"/>
      <c r="E1047079" s="26"/>
      <c r="F1047079" s="26"/>
      <c r="G1047079" s="26"/>
      <c r="H1047079" s="26"/>
      <c r="I1047079" s="27"/>
      <c r="J1047079" s="26"/>
      <c r="K1047079" s="26"/>
      <c r="L1047079" s="4"/>
      <c r="M1047079" s="4"/>
      <c r="N1047079" s="26"/>
    </row>
    <row r="1047080" customFormat="1" spans="2:14">
      <c r="B1047080" s="26"/>
      <c r="C1047080" s="26"/>
      <c r="D1047080" s="4"/>
      <c r="E1047080" s="26"/>
      <c r="F1047080" s="26"/>
      <c r="G1047080" s="26"/>
      <c r="H1047080" s="26"/>
      <c r="I1047080" s="27"/>
      <c r="J1047080" s="26"/>
      <c r="K1047080" s="26"/>
      <c r="L1047080" s="4"/>
      <c r="M1047080" s="4"/>
      <c r="N1047080" s="26"/>
    </row>
    <row r="1047081" customFormat="1" spans="2:14">
      <c r="B1047081" s="26"/>
      <c r="C1047081" s="26"/>
      <c r="D1047081" s="4"/>
      <c r="E1047081" s="26"/>
      <c r="F1047081" s="26"/>
      <c r="G1047081" s="26"/>
      <c r="H1047081" s="26"/>
      <c r="I1047081" s="27"/>
      <c r="J1047081" s="26"/>
      <c r="K1047081" s="26"/>
      <c r="L1047081" s="4"/>
      <c r="M1047081" s="4"/>
      <c r="N1047081" s="26"/>
    </row>
    <row r="1047082" customFormat="1" spans="2:14">
      <c r="B1047082" s="26"/>
      <c r="C1047082" s="26"/>
      <c r="D1047082" s="4"/>
      <c r="E1047082" s="26"/>
      <c r="F1047082" s="26"/>
      <c r="G1047082" s="26"/>
      <c r="H1047082" s="26"/>
      <c r="I1047082" s="27"/>
      <c r="J1047082" s="26"/>
      <c r="K1047082" s="26"/>
      <c r="L1047082" s="4"/>
      <c r="M1047082" s="4"/>
      <c r="N1047082" s="26"/>
    </row>
    <row r="1047083" customFormat="1" spans="2:14">
      <c r="B1047083" s="26"/>
      <c r="C1047083" s="26"/>
      <c r="D1047083" s="4"/>
      <c r="E1047083" s="26"/>
      <c r="F1047083" s="26"/>
      <c r="G1047083" s="26"/>
      <c r="H1047083" s="26"/>
      <c r="I1047083" s="27"/>
      <c r="J1047083" s="26"/>
      <c r="K1047083" s="26"/>
      <c r="L1047083" s="4"/>
      <c r="M1047083" s="4"/>
      <c r="N1047083" s="26"/>
    </row>
    <row r="1047084" customFormat="1" spans="2:14">
      <c r="B1047084" s="26"/>
      <c r="C1047084" s="26"/>
      <c r="D1047084" s="4"/>
      <c r="E1047084" s="26"/>
      <c r="F1047084" s="26"/>
      <c r="G1047084" s="26"/>
      <c r="H1047084" s="26"/>
      <c r="I1047084" s="27"/>
      <c r="J1047084" s="26"/>
      <c r="K1047084" s="26"/>
      <c r="L1047084" s="4"/>
      <c r="M1047084" s="4"/>
      <c r="N1047084" s="26"/>
    </row>
    <row r="1047085" customFormat="1" spans="2:14">
      <c r="B1047085" s="26"/>
      <c r="C1047085" s="26"/>
      <c r="D1047085" s="4"/>
      <c r="E1047085" s="26"/>
      <c r="F1047085" s="26"/>
      <c r="G1047085" s="26"/>
      <c r="H1047085" s="26"/>
      <c r="I1047085" s="27"/>
      <c r="J1047085" s="26"/>
      <c r="K1047085" s="26"/>
      <c r="L1047085" s="4"/>
      <c r="M1047085" s="4"/>
      <c r="N1047085" s="26"/>
    </row>
    <row r="1047086" customFormat="1" spans="2:14">
      <c r="B1047086" s="26"/>
      <c r="C1047086" s="26"/>
      <c r="D1047086" s="4"/>
      <c r="E1047086" s="26"/>
      <c r="F1047086" s="26"/>
      <c r="G1047086" s="26"/>
      <c r="H1047086" s="26"/>
      <c r="I1047086" s="27"/>
      <c r="J1047086" s="26"/>
      <c r="K1047086" s="26"/>
      <c r="L1047086" s="4"/>
      <c r="M1047086" s="4"/>
      <c r="N1047086" s="26"/>
    </row>
    <row r="1047087" customFormat="1" spans="2:14">
      <c r="B1047087" s="26"/>
      <c r="C1047087" s="26"/>
      <c r="D1047087" s="4"/>
      <c r="E1047087" s="26"/>
      <c r="F1047087" s="26"/>
      <c r="G1047087" s="26"/>
      <c r="H1047087" s="26"/>
      <c r="I1047087" s="27"/>
      <c r="J1047087" s="26"/>
      <c r="K1047087" s="26"/>
      <c r="L1047087" s="4"/>
      <c r="M1047087" s="4"/>
      <c r="N1047087" s="26"/>
    </row>
    <row r="1047088" customFormat="1" spans="2:14">
      <c r="B1047088" s="26"/>
      <c r="C1047088" s="26"/>
      <c r="D1047088" s="4"/>
      <c r="E1047088" s="26"/>
      <c r="F1047088" s="26"/>
      <c r="G1047088" s="26"/>
      <c r="H1047088" s="26"/>
      <c r="I1047088" s="27"/>
      <c r="J1047088" s="26"/>
      <c r="K1047088" s="26"/>
      <c r="L1047088" s="4"/>
      <c r="M1047088" s="4"/>
      <c r="N1047088" s="26"/>
    </row>
    <row r="1047089" customFormat="1" spans="2:14">
      <c r="B1047089" s="26"/>
      <c r="C1047089" s="26"/>
      <c r="D1047089" s="4"/>
      <c r="E1047089" s="26"/>
      <c r="F1047089" s="26"/>
      <c r="G1047089" s="26"/>
      <c r="H1047089" s="26"/>
      <c r="I1047089" s="27"/>
      <c r="J1047089" s="26"/>
      <c r="K1047089" s="26"/>
      <c r="L1047089" s="4"/>
      <c r="M1047089" s="4"/>
      <c r="N1047089" s="26"/>
    </row>
    <row r="1047090" customFormat="1" spans="2:14">
      <c r="B1047090" s="26"/>
      <c r="C1047090" s="26"/>
      <c r="D1047090" s="4"/>
      <c r="E1047090" s="26"/>
      <c r="F1047090" s="26"/>
      <c r="G1047090" s="26"/>
      <c r="H1047090" s="26"/>
      <c r="I1047090" s="27"/>
      <c r="J1047090" s="26"/>
      <c r="K1047090" s="26"/>
      <c r="L1047090" s="4"/>
      <c r="M1047090" s="4"/>
      <c r="N1047090" s="26"/>
    </row>
    <row r="1047091" customFormat="1" spans="2:14">
      <c r="B1047091" s="26"/>
      <c r="C1047091" s="26"/>
      <c r="D1047091" s="4"/>
      <c r="E1047091" s="26"/>
      <c r="F1047091" s="26"/>
      <c r="G1047091" s="26"/>
      <c r="H1047091" s="26"/>
      <c r="I1047091" s="27"/>
      <c r="J1047091" s="26"/>
      <c r="K1047091" s="26"/>
      <c r="L1047091" s="4"/>
      <c r="M1047091" s="4"/>
      <c r="N1047091" s="26"/>
    </row>
    <row r="1047092" customFormat="1" spans="2:14">
      <c r="B1047092" s="26"/>
      <c r="C1047092" s="26"/>
      <c r="D1047092" s="4"/>
      <c r="E1047092" s="26"/>
      <c r="F1047092" s="26"/>
      <c r="G1047092" s="26"/>
      <c r="H1047092" s="26"/>
      <c r="I1047092" s="27"/>
      <c r="J1047092" s="26"/>
      <c r="K1047092" s="26"/>
      <c r="L1047092" s="4"/>
      <c r="M1047092" s="4"/>
      <c r="N1047092" s="26"/>
    </row>
    <row r="1047093" customFormat="1" spans="2:14">
      <c r="B1047093" s="26"/>
      <c r="C1047093" s="26"/>
      <c r="D1047093" s="4"/>
      <c r="E1047093" s="26"/>
      <c r="F1047093" s="26"/>
      <c r="G1047093" s="26"/>
      <c r="H1047093" s="26"/>
      <c r="I1047093" s="27"/>
      <c r="J1047093" s="26"/>
      <c r="K1047093" s="26"/>
      <c r="L1047093" s="4"/>
      <c r="M1047093" s="4"/>
      <c r="N1047093" s="26"/>
    </row>
    <row r="1047094" customFormat="1" spans="2:14">
      <c r="B1047094" s="26"/>
      <c r="C1047094" s="26"/>
      <c r="D1047094" s="4"/>
      <c r="E1047094" s="26"/>
      <c r="F1047094" s="26"/>
      <c r="G1047094" s="26"/>
      <c r="H1047094" s="26"/>
      <c r="I1047094" s="27"/>
      <c r="J1047094" s="26"/>
      <c r="K1047094" s="26"/>
      <c r="L1047094" s="4"/>
      <c r="M1047094" s="4"/>
      <c r="N1047094" s="26"/>
    </row>
    <row r="1047095" customFormat="1" spans="2:14">
      <c r="B1047095" s="26"/>
      <c r="C1047095" s="26"/>
      <c r="D1047095" s="4"/>
      <c r="E1047095" s="26"/>
      <c r="F1047095" s="26"/>
      <c r="G1047095" s="26"/>
      <c r="H1047095" s="26"/>
      <c r="I1047095" s="27"/>
      <c r="J1047095" s="26"/>
      <c r="K1047095" s="26"/>
      <c r="L1047095" s="4"/>
      <c r="M1047095" s="4"/>
      <c r="N1047095" s="26"/>
    </row>
    <row r="1047096" customFormat="1" spans="2:14">
      <c r="B1047096" s="26"/>
      <c r="C1047096" s="26"/>
      <c r="D1047096" s="4"/>
      <c r="E1047096" s="26"/>
      <c r="F1047096" s="26"/>
      <c r="G1047096" s="26"/>
      <c r="H1047096" s="26"/>
      <c r="I1047096" s="27"/>
      <c r="J1047096" s="26"/>
      <c r="K1047096" s="26"/>
      <c r="L1047096" s="4"/>
      <c r="M1047096" s="4"/>
      <c r="N1047096" s="26"/>
    </row>
    <row r="1047097" customFormat="1" spans="2:14">
      <c r="B1047097" s="26"/>
      <c r="C1047097" s="26"/>
      <c r="D1047097" s="4"/>
      <c r="E1047097" s="26"/>
      <c r="F1047097" s="26"/>
      <c r="G1047097" s="26"/>
      <c r="H1047097" s="26"/>
      <c r="I1047097" s="27"/>
      <c r="J1047097" s="26"/>
      <c r="K1047097" s="26"/>
      <c r="L1047097" s="4"/>
      <c r="M1047097" s="4"/>
      <c r="N1047097" s="26"/>
    </row>
    <row r="1047098" customFormat="1" spans="2:14">
      <c r="B1047098" s="26"/>
      <c r="C1047098" s="26"/>
      <c r="D1047098" s="4"/>
      <c r="E1047098" s="26"/>
      <c r="F1047098" s="26"/>
      <c r="G1047098" s="26"/>
      <c r="H1047098" s="26"/>
      <c r="I1047098" s="27"/>
      <c r="J1047098" s="26"/>
      <c r="K1047098" s="26"/>
      <c r="L1047098" s="4"/>
      <c r="M1047098" s="4"/>
      <c r="N1047098" s="26"/>
    </row>
    <row r="1047099" customFormat="1" spans="2:14">
      <c r="B1047099" s="26"/>
      <c r="C1047099" s="26"/>
      <c r="D1047099" s="4"/>
      <c r="E1047099" s="26"/>
      <c r="F1047099" s="26"/>
      <c r="G1047099" s="26"/>
      <c r="H1047099" s="26"/>
      <c r="I1047099" s="27"/>
      <c r="J1047099" s="26"/>
      <c r="K1047099" s="26"/>
      <c r="L1047099" s="4"/>
      <c r="M1047099" s="4"/>
      <c r="N1047099" s="26"/>
    </row>
    <row r="1047100" customFormat="1" spans="2:14">
      <c r="B1047100" s="26"/>
      <c r="C1047100" s="26"/>
      <c r="D1047100" s="4"/>
      <c r="E1047100" s="26"/>
      <c r="F1047100" s="26"/>
      <c r="G1047100" s="26"/>
      <c r="H1047100" s="26"/>
      <c r="I1047100" s="27"/>
      <c r="J1047100" s="26"/>
      <c r="K1047100" s="26"/>
      <c r="L1047100" s="4"/>
      <c r="M1047100" s="4"/>
      <c r="N1047100" s="26"/>
    </row>
    <row r="1047101" customFormat="1" spans="2:14">
      <c r="B1047101" s="26"/>
      <c r="C1047101" s="26"/>
      <c r="D1047101" s="4"/>
      <c r="E1047101" s="26"/>
      <c r="F1047101" s="26"/>
      <c r="G1047101" s="26"/>
      <c r="H1047101" s="26"/>
      <c r="I1047101" s="27"/>
      <c r="J1047101" s="26"/>
      <c r="K1047101" s="26"/>
      <c r="L1047101" s="4"/>
      <c r="M1047101" s="4"/>
      <c r="N1047101" s="26"/>
    </row>
    <row r="1047102" customFormat="1" spans="2:14">
      <c r="B1047102" s="26"/>
      <c r="C1047102" s="26"/>
      <c r="D1047102" s="4"/>
      <c r="E1047102" s="26"/>
      <c r="F1047102" s="26"/>
      <c r="G1047102" s="26"/>
      <c r="H1047102" s="26"/>
      <c r="I1047102" s="27"/>
      <c r="J1047102" s="26"/>
      <c r="K1047102" s="26"/>
      <c r="L1047102" s="4"/>
      <c r="M1047102" s="4"/>
      <c r="N1047102" s="26"/>
    </row>
    <row r="1047103" customFormat="1" spans="2:14">
      <c r="B1047103" s="26"/>
      <c r="C1047103" s="26"/>
      <c r="D1047103" s="4"/>
      <c r="E1047103" s="26"/>
      <c r="F1047103" s="26"/>
      <c r="G1047103" s="26"/>
      <c r="H1047103" s="26"/>
      <c r="I1047103" s="27"/>
      <c r="J1047103" s="26"/>
      <c r="K1047103" s="26"/>
      <c r="L1047103" s="4"/>
      <c r="M1047103" s="4"/>
      <c r="N1047103" s="26"/>
    </row>
    <row r="1047104" customFormat="1" spans="2:14">
      <c r="B1047104" s="26"/>
      <c r="C1047104" s="26"/>
      <c r="D1047104" s="4"/>
      <c r="E1047104" s="26"/>
      <c r="F1047104" s="26"/>
      <c r="G1047104" s="26"/>
      <c r="H1047104" s="26"/>
      <c r="I1047104" s="27"/>
      <c r="J1047104" s="26"/>
      <c r="K1047104" s="26"/>
      <c r="L1047104" s="4"/>
      <c r="M1047104" s="4"/>
      <c r="N1047104" s="26"/>
    </row>
    <row r="1047105" customFormat="1" spans="2:14">
      <c r="B1047105" s="26"/>
      <c r="C1047105" s="26"/>
      <c r="D1047105" s="4"/>
      <c r="E1047105" s="26"/>
      <c r="F1047105" s="26"/>
      <c r="G1047105" s="26"/>
      <c r="H1047105" s="26"/>
      <c r="I1047105" s="27"/>
      <c r="J1047105" s="26"/>
      <c r="K1047105" s="26"/>
      <c r="L1047105" s="4"/>
      <c r="M1047105" s="4"/>
      <c r="N1047105" s="26"/>
    </row>
    <row r="1047106" customFormat="1" spans="2:14">
      <c r="B1047106" s="26"/>
      <c r="C1047106" s="26"/>
      <c r="D1047106" s="4"/>
      <c r="E1047106" s="26"/>
      <c r="F1047106" s="26"/>
      <c r="G1047106" s="26"/>
      <c r="H1047106" s="26"/>
      <c r="I1047106" s="27"/>
      <c r="J1047106" s="26"/>
      <c r="K1047106" s="26"/>
      <c r="L1047106" s="4"/>
      <c r="M1047106" s="4"/>
      <c r="N1047106" s="26"/>
    </row>
    <row r="1047107" customFormat="1" spans="2:14">
      <c r="B1047107" s="26"/>
      <c r="C1047107" s="26"/>
      <c r="D1047107" s="4"/>
      <c r="E1047107" s="26"/>
      <c r="F1047107" s="26"/>
      <c r="G1047107" s="26"/>
      <c r="H1047107" s="26"/>
      <c r="I1047107" s="27"/>
      <c r="J1047107" s="26"/>
      <c r="K1047107" s="26"/>
      <c r="L1047107" s="4"/>
      <c r="M1047107" s="4"/>
      <c r="N1047107" s="26"/>
    </row>
    <row r="1047108" customFormat="1" spans="2:14">
      <c r="B1047108" s="26"/>
      <c r="C1047108" s="26"/>
      <c r="D1047108" s="4"/>
      <c r="E1047108" s="26"/>
      <c r="F1047108" s="26"/>
      <c r="G1047108" s="26"/>
      <c r="H1047108" s="26"/>
      <c r="I1047108" s="27"/>
      <c r="J1047108" s="26"/>
      <c r="K1047108" s="26"/>
      <c r="L1047108" s="4"/>
      <c r="M1047108" s="4"/>
      <c r="N1047108" s="26"/>
    </row>
    <row r="1047109" customFormat="1" spans="2:14">
      <c r="B1047109" s="26"/>
      <c r="C1047109" s="26"/>
      <c r="D1047109" s="4"/>
      <c r="E1047109" s="26"/>
      <c r="F1047109" s="26"/>
      <c r="G1047109" s="26"/>
      <c r="H1047109" s="26"/>
      <c r="I1047109" s="27"/>
      <c r="J1047109" s="26"/>
      <c r="K1047109" s="26"/>
      <c r="L1047109" s="4"/>
      <c r="M1047109" s="4"/>
      <c r="N1047109" s="26"/>
    </row>
    <row r="1047110" customFormat="1" spans="2:14">
      <c r="B1047110" s="26"/>
      <c r="C1047110" s="26"/>
      <c r="D1047110" s="4"/>
      <c r="E1047110" s="26"/>
      <c r="F1047110" s="26"/>
      <c r="G1047110" s="26"/>
      <c r="H1047110" s="26"/>
      <c r="I1047110" s="27"/>
      <c r="J1047110" s="26"/>
      <c r="K1047110" s="26"/>
      <c r="L1047110" s="4"/>
      <c r="M1047110" s="4"/>
      <c r="N1047110" s="26"/>
    </row>
    <row r="1047111" customFormat="1" spans="2:14">
      <c r="B1047111" s="26"/>
      <c r="C1047111" s="26"/>
      <c r="D1047111" s="4"/>
      <c r="E1047111" s="26"/>
      <c r="F1047111" s="26"/>
      <c r="G1047111" s="26"/>
      <c r="H1047111" s="26"/>
      <c r="I1047111" s="27"/>
      <c r="J1047111" s="26"/>
      <c r="K1047111" s="26"/>
      <c r="L1047111" s="4"/>
      <c r="M1047111" s="4"/>
      <c r="N1047111" s="26"/>
    </row>
    <row r="1047112" customFormat="1" spans="2:14">
      <c r="B1047112" s="26"/>
      <c r="C1047112" s="26"/>
      <c r="D1047112" s="4"/>
      <c r="E1047112" s="26"/>
      <c r="F1047112" s="26"/>
      <c r="G1047112" s="26"/>
      <c r="H1047112" s="26"/>
      <c r="I1047112" s="27"/>
      <c r="J1047112" s="26"/>
      <c r="K1047112" s="26"/>
      <c r="L1047112" s="4"/>
      <c r="M1047112" s="4"/>
      <c r="N1047112" s="26"/>
    </row>
    <row r="1047113" customFormat="1" spans="2:14">
      <c r="B1047113" s="26"/>
      <c r="C1047113" s="26"/>
      <c r="D1047113" s="4"/>
      <c r="E1047113" s="26"/>
      <c r="F1047113" s="26"/>
      <c r="G1047113" s="26"/>
      <c r="H1047113" s="26"/>
      <c r="I1047113" s="27"/>
      <c r="J1047113" s="26"/>
      <c r="K1047113" s="26"/>
      <c r="L1047113" s="4"/>
      <c r="M1047113" s="4"/>
      <c r="N1047113" s="26"/>
    </row>
    <row r="1047114" customFormat="1" spans="2:14">
      <c r="B1047114" s="26"/>
      <c r="C1047114" s="26"/>
      <c r="D1047114" s="4"/>
      <c r="E1047114" s="26"/>
      <c r="F1047114" s="26"/>
      <c r="G1047114" s="26"/>
      <c r="H1047114" s="26"/>
      <c r="I1047114" s="27"/>
      <c r="J1047114" s="26"/>
      <c r="K1047114" s="26"/>
      <c r="L1047114" s="4"/>
      <c r="M1047114" s="4"/>
      <c r="N1047114" s="26"/>
    </row>
    <row r="1047115" customFormat="1" spans="2:14">
      <c r="B1047115" s="26"/>
      <c r="C1047115" s="26"/>
      <c r="D1047115" s="4"/>
      <c r="E1047115" s="26"/>
      <c r="F1047115" s="26"/>
      <c r="G1047115" s="26"/>
      <c r="H1047115" s="26"/>
      <c r="I1047115" s="27"/>
      <c r="J1047115" s="26"/>
      <c r="K1047115" s="26"/>
      <c r="L1047115" s="4"/>
      <c r="M1047115" s="4"/>
      <c r="N1047115" s="26"/>
    </row>
    <row r="1047116" customFormat="1" spans="2:14">
      <c r="B1047116" s="26"/>
      <c r="C1047116" s="26"/>
      <c r="D1047116" s="4"/>
      <c r="E1047116" s="26"/>
      <c r="F1047116" s="26"/>
      <c r="G1047116" s="26"/>
      <c r="H1047116" s="26"/>
      <c r="I1047116" s="27"/>
      <c r="J1047116" s="26"/>
      <c r="K1047116" s="26"/>
      <c r="L1047116" s="4"/>
      <c r="M1047116" s="4"/>
      <c r="N1047116" s="26"/>
    </row>
    <row r="1047117" customFormat="1" spans="2:14">
      <c r="B1047117" s="26"/>
      <c r="C1047117" s="26"/>
      <c r="D1047117" s="4"/>
      <c r="E1047117" s="26"/>
      <c r="F1047117" s="26"/>
      <c r="G1047117" s="26"/>
      <c r="H1047117" s="26"/>
      <c r="I1047117" s="27"/>
      <c r="J1047117" s="26"/>
      <c r="K1047117" s="26"/>
      <c r="L1047117" s="4"/>
      <c r="M1047117" s="4"/>
      <c r="N1047117" s="26"/>
    </row>
    <row r="1047118" customFormat="1" spans="2:14">
      <c r="B1047118" s="26"/>
      <c r="C1047118" s="26"/>
      <c r="D1047118" s="4"/>
      <c r="E1047118" s="26"/>
      <c r="F1047118" s="26"/>
      <c r="G1047118" s="26"/>
      <c r="H1047118" s="26"/>
      <c r="I1047118" s="27"/>
      <c r="J1047118" s="26"/>
      <c r="K1047118" s="26"/>
      <c r="L1047118" s="4"/>
      <c r="M1047118" s="4"/>
      <c r="N1047118" s="26"/>
    </row>
    <row r="1047119" customFormat="1" spans="2:14">
      <c r="B1047119" s="26"/>
      <c r="C1047119" s="26"/>
      <c r="D1047119" s="4"/>
      <c r="E1047119" s="26"/>
      <c r="F1047119" s="26"/>
      <c r="G1047119" s="26"/>
      <c r="H1047119" s="26"/>
      <c r="I1047119" s="27"/>
      <c r="J1047119" s="26"/>
      <c r="K1047119" s="26"/>
      <c r="L1047119" s="4"/>
      <c r="M1047119" s="4"/>
      <c r="N1047119" s="26"/>
    </row>
    <row r="1047120" customFormat="1" spans="2:14">
      <c r="B1047120" s="26"/>
      <c r="C1047120" s="26"/>
      <c r="D1047120" s="4"/>
      <c r="E1047120" s="26"/>
      <c r="F1047120" s="26"/>
      <c r="G1047120" s="26"/>
      <c r="H1047120" s="26"/>
      <c r="I1047120" s="27"/>
      <c r="J1047120" s="26"/>
      <c r="K1047120" s="26"/>
      <c r="L1047120" s="4"/>
      <c r="M1047120" s="4"/>
      <c r="N1047120" s="26"/>
    </row>
    <row r="1047121" customFormat="1" spans="2:14">
      <c r="B1047121" s="26"/>
      <c r="C1047121" s="26"/>
      <c r="D1047121" s="4"/>
      <c r="E1047121" s="26"/>
      <c r="F1047121" s="26"/>
      <c r="G1047121" s="26"/>
      <c r="H1047121" s="26"/>
      <c r="I1047121" s="27"/>
      <c r="J1047121" s="26"/>
      <c r="K1047121" s="26"/>
      <c r="L1047121" s="4"/>
      <c r="M1047121" s="4"/>
      <c r="N1047121" s="26"/>
    </row>
    <row r="1047122" customFormat="1" spans="2:14">
      <c r="B1047122" s="26"/>
      <c r="C1047122" s="26"/>
      <c r="D1047122" s="4"/>
      <c r="E1047122" s="26"/>
      <c r="F1047122" s="26"/>
      <c r="G1047122" s="26"/>
      <c r="H1047122" s="26"/>
      <c r="I1047122" s="27"/>
      <c r="J1047122" s="26"/>
      <c r="K1047122" s="26"/>
      <c r="L1047122" s="4"/>
      <c r="M1047122" s="4"/>
      <c r="N1047122" s="26"/>
    </row>
    <row r="1047123" customFormat="1" spans="2:14">
      <c r="B1047123" s="26"/>
      <c r="C1047123" s="26"/>
      <c r="D1047123" s="4"/>
      <c r="E1047123" s="26"/>
      <c r="F1047123" s="26"/>
      <c r="G1047123" s="26"/>
      <c r="H1047123" s="26"/>
      <c r="I1047123" s="27"/>
      <c r="J1047123" s="26"/>
      <c r="K1047123" s="26"/>
      <c r="L1047123" s="4"/>
      <c r="M1047123" s="4"/>
      <c r="N1047123" s="26"/>
    </row>
    <row r="1047124" customFormat="1" spans="2:14">
      <c r="B1047124" s="26"/>
      <c r="C1047124" s="26"/>
      <c r="D1047124" s="4"/>
      <c r="E1047124" s="26"/>
      <c r="F1047124" s="26"/>
      <c r="G1047124" s="26"/>
      <c r="H1047124" s="26"/>
      <c r="I1047124" s="27"/>
      <c r="J1047124" s="26"/>
      <c r="K1047124" s="26"/>
      <c r="L1047124" s="4"/>
      <c r="M1047124" s="4"/>
      <c r="N1047124" s="26"/>
    </row>
    <row r="1047125" customFormat="1" spans="2:14">
      <c r="B1047125" s="26"/>
      <c r="C1047125" s="26"/>
      <c r="D1047125" s="4"/>
      <c r="E1047125" s="26"/>
      <c r="F1047125" s="26"/>
      <c r="G1047125" s="26"/>
      <c r="H1047125" s="26"/>
      <c r="I1047125" s="27"/>
      <c r="J1047125" s="26"/>
      <c r="K1047125" s="26"/>
      <c r="L1047125" s="4"/>
      <c r="M1047125" s="4"/>
      <c r="N1047125" s="26"/>
    </row>
    <row r="1047126" customFormat="1" spans="2:14">
      <c r="B1047126" s="26"/>
      <c r="C1047126" s="26"/>
      <c r="D1047126" s="4"/>
      <c r="E1047126" s="26"/>
      <c r="F1047126" s="26"/>
      <c r="G1047126" s="26"/>
      <c r="H1047126" s="26"/>
      <c r="I1047126" s="27"/>
      <c r="J1047126" s="26"/>
      <c r="K1047126" s="26"/>
      <c r="L1047126" s="4"/>
      <c r="M1047126" s="4"/>
      <c r="N1047126" s="26"/>
    </row>
    <row r="1047127" customFormat="1" spans="2:14">
      <c r="B1047127" s="26"/>
      <c r="C1047127" s="26"/>
      <c r="D1047127" s="4"/>
      <c r="E1047127" s="26"/>
      <c r="F1047127" s="26"/>
      <c r="G1047127" s="26"/>
      <c r="H1047127" s="26"/>
      <c r="I1047127" s="27"/>
      <c r="J1047127" s="26"/>
      <c r="K1047127" s="26"/>
      <c r="L1047127" s="4"/>
      <c r="M1047127" s="4"/>
      <c r="N1047127" s="26"/>
    </row>
    <row r="1047128" customFormat="1" spans="2:14">
      <c r="B1047128" s="26"/>
      <c r="C1047128" s="26"/>
      <c r="D1047128" s="4"/>
      <c r="E1047128" s="26"/>
      <c r="F1047128" s="26"/>
      <c r="G1047128" s="26"/>
      <c r="H1047128" s="26"/>
      <c r="I1047128" s="27"/>
      <c r="J1047128" s="26"/>
      <c r="K1047128" s="26"/>
      <c r="L1047128" s="4"/>
      <c r="M1047128" s="4"/>
      <c r="N1047128" s="26"/>
    </row>
    <row r="1047129" customFormat="1" spans="2:14">
      <c r="B1047129" s="26"/>
      <c r="C1047129" s="26"/>
      <c r="D1047129" s="4"/>
      <c r="E1047129" s="26"/>
      <c r="F1047129" s="26"/>
      <c r="G1047129" s="26"/>
      <c r="H1047129" s="26"/>
      <c r="I1047129" s="27"/>
      <c r="J1047129" s="26"/>
      <c r="K1047129" s="26"/>
      <c r="L1047129" s="4"/>
      <c r="M1047129" s="4"/>
      <c r="N1047129" s="26"/>
    </row>
    <row r="1047130" customFormat="1" spans="2:14">
      <c r="B1047130" s="26"/>
      <c r="C1047130" s="26"/>
      <c r="D1047130" s="4"/>
      <c r="E1047130" s="26"/>
      <c r="F1047130" s="26"/>
      <c r="G1047130" s="26"/>
      <c r="H1047130" s="26"/>
      <c r="I1047130" s="27"/>
      <c r="J1047130" s="26"/>
      <c r="K1047130" s="26"/>
      <c r="L1047130" s="4"/>
      <c r="M1047130" s="4"/>
      <c r="N1047130" s="26"/>
    </row>
    <row r="1047131" customFormat="1" spans="2:14">
      <c r="B1047131" s="26"/>
      <c r="C1047131" s="26"/>
      <c r="D1047131" s="4"/>
      <c r="E1047131" s="26"/>
      <c r="F1047131" s="26"/>
      <c r="G1047131" s="26"/>
      <c r="H1047131" s="26"/>
      <c r="I1047131" s="27"/>
      <c r="J1047131" s="26"/>
      <c r="K1047131" s="26"/>
      <c r="L1047131" s="4"/>
      <c r="M1047131" s="4"/>
      <c r="N1047131" s="26"/>
    </row>
    <row r="1047132" customFormat="1" spans="2:14">
      <c r="B1047132" s="26"/>
      <c r="C1047132" s="26"/>
      <c r="D1047132" s="4"/>
      <c r="E1047132" s="26"/>
      <c r="F1047132" s="26"/>
      <c r="G1047132" s="26"/>
      <c r="H1047132" s="26"/>
      <c r="I1047132" s="27"/>
      <c r="J1047132" s="26"/>
      <c r="K1047132" s="26"/>
      <c r="L1047132" s="4"/>
      <c r="M1047132" s="4"/>
      <c r="N1047132" s="26"/>
    </row>
    <row r="1047133" customFormat="1" spans="2:14">
      <c r="B1047133" s="26"/>
      <c r="C1047133" s="26"/>
      <c r="D1047133" s="4"/>
      <c r="E1047133" s="26"/>
      <c r="F1047133" s="26"/>
      <c r="G1047133" s="26"/>
      <c r="H1047133" s="26"/>
      <c r="I1047133" s="27"/>
      <c r="J1047133" s="26"/>
      <c r="K1047133" s="26"/>
      <c r="L1047133" s="4"/>
      <c r="M1047133" s="4"/>
      <c r="N1047133" s="26"/>
    </row>
    <row r="1047134" customFormat="1" spans="2:14">
      <c r="B1047134" s="26"/>
      <c r="C1047134" s="26"/>
      <c r="D1047134" s="4"/>
      <c r="E1047134" s="26"/>
      <c r="F1047134" s="26"/>
      <c r="G1047134" s="26"/>
      <c r="H1047134" s="26"/>
      <c r="I1047134" s="27"/>
      <c r="J1047134" s="26"/>
      <c r="K1047134" s="26"/>
      <c r="L1047134" s="4"/>
      <c r="M1047134" s="4"/>
      <c r="N1047134" s="26"/>
    </row>
    <row r="1047135" customFormat="1" spans="2:14">
      <c r="B1047135" s="26"/>
      <c r="C1047135" s="26"/>
      <c r="D1047135" s="4"/>
      <c r="E1047135" s="26"/>
      <c r="F1047135" s="26"/>
      <c r="G1047135" s="26"/>
      <c r="H1047135" s="26"/>
      <c r="I1047135" s="27"/>
      <c r="J1047135" s="26"/>
      <c r="K1047135" s="26"/>
      <c r="L1047135" s="4"/>
      <c r="M1047135" s="4"/>
      <c r="N1047135" s="26"/>
    </row>
    <row r="1047136" customFormat="1" spans="2:14">
      <c r="B1047136" s="26"/>
      <c r="C1047136" s="26"/>
      <c r="D1047136" s="4"/>
      <c r="E1047136" s="26"/>
      <c r="F1047136" s="26"/>
      <c r="G1047136" s="26"/>
      <c r="H1047136" s="26"/>
      <c r="I1047136" s="27"/>
      <c r="J1047136" s="26"/>
      <c r="K1047136" s="26"/>
      <c r="L1047136" s="4"/>
      <c r="M1047136" s="4"/>
      <c r="N1047136" s="26"/>
    </row>
    <row r="1047137" customFormat="1" spans="2:14">
      <c r="B1047137" s="26"/>
      <c r="C1047137" s="26"/>
      <c r="D1047137" s="4"/>
      <c r="E1047137" s="26"/>
      <c r="F1047137" s="26"/>
      <c r="G1047137" s="26"/>
      <c r="H1047137" s="26"/>
      <c r="I1047137" s="27"/>
      <c r="J1047137" s="26"/>
      <c r="K1047137" s="26"/>
      <c r="L1047137" s="4"/>
      <c r="M1047137" s="4"/>
      <c r="N1047137" s="26"/>
    </row>
    <row r="1047138" customFormat="1" spans="2:14">
      <c r="B1047138" s="26"/>
      <c r="C1047138" s="26"/>
      <c r="D1047138" s="4"/>
      <c r="E1047138" s="26"/>
      <c r="F1047138" s="26"/>
      <c r="G1047138" s="26"/>
      <c r="H1047138" s="26"/>
      <c r="I1047138" s="27"/>
      <c r="J1047138" s="26"/>
      <c r="K1047138" s="26"/>
      <c r="L1047138" s="4"/>
      <c r="M1047138" s="4"/>
      <c r="N1047138" s="26"/>
    </row>
    <row r="1047139" customFormat="1" spans="2:14">
      <c r="B1047139" s="26"/>
      <c r="C1047139" s="26"/>
      <c r="D1047139" s="4"/>
      <c r="E1047139" s="26"/>
      <c r="F1047139" s="26"/>
      <c r="G1047139" s="26"/>
      <c r="H1047139" s="26"/>
      <c r="I1047139" s="27"/>
      <c r="J1047139" s="26"/>
      <c r="K1047139" s="26"/>
      <c r="L1047139" s="4"/>
      <c r="M1047139" s="4"/>
      <c r="N1047139" s="26"/>
    </row>
    <row r="1047140" customFormat="1" spans="2:14">
      <c r="B1047140" s="26"/>
      <c r="C1047140" s="26"/>
      <c r="D1047140" s="4"/>
      <c r="E1047140" s="26"/>
      <c r="F1047140" s="26"/>
      <c r="G1047140" s="26"/>
      <c r="H1047140" s="26"/>
      <c r="I1047140" s="27"/>
      <c r="J1047140" s="26"/>
      <c r="K1047140" s="26"/>
      <c r="L1047140" s="4"/>
      <c r="M1047140" s="4"/>
      <c r="N1047140" s="26"/>
    </row>
    <row r="1047141" customFormat="1" spans="2:14">
      <c r="B1047141" s="26"/>
      <c r="C1047141" s="26"/>
      <c r="D1047141" s="4"/>
      <c r="E1047141" s="26"/>
      <c r="F1047141" s="26"/>
      <c r="G1047141" s="26"/>
      <c r="H1047141" s="26"/>
      <c r="I1047141" s="27"/>
      <c r="J1047141" s="26"/>
      <c r="K1047141" s="26"/>
      <c r="L1047141" s="4"/>
      <c r="M1047141" s="4"/>
      <c r="N1047141" s="26"/>
    </row>
    <row r="1047142" customFormat="1" spans="2:14">
      <c r="B1047142" s="26"/>
      <c r="C1047142" s="26"/>
      <c r="D1047142" s="4"/>
      <c r="E1047142" s="26"/>
      <c r="F1047142" s="26"/>
      <c r="G1047142" s="26"/>
      <c r="H1047142" s="26"/>
      <c r="I1047142" s="27"/>
      <c r="J1047142" s="26"/>
      <c r="K1047142" s="26"/>
      <c r="L1047142" s="4"/>
      <c r="M1047142" s="4"/>
      <c r="N1047142" s="26"/>
    </row>
    <row r="1047143" customFormat="1" spans="2:14">
      <c r="B1047143" s="26"/>
      <c r="C1047143" s="26"/>
      <c r="D1047143" s="4"/>
      <c r="E1047143" s="26"/>
      <c r="F1047143" s="26"/>
      <c r="G1047143" s="26"/>
      <c r="H1047143" s="26"/>
      <c r="I1047143" s="27"/>
      <c r="J1047143" s="26"/>
      <c r="K1047143" s="26"/>
      <c r="L1047143" s="4"/>
      <c r="M1047143" s="4"/>
      <c r="N1047143" s="26"/>
    </row>
    <row r="1047144" customFormat="1" spans="2:14">
      <c r="B1047144" s="26"/>
      <c r="C1047144" s="26"/>
      <c r="D1047144" s="4"/>
      <c r="E1047144" s="26"/>
      <c r="F1047144" s="26"/>
      <c r="G1047144" s="26"/>
      <c r="H1047144" s="26"/>
      <c r="I1047144" s="27"/>
      <c r="J1047144" s="26"/>
      <c r="K1047144" s="26"/>
      <c r="L1047144" s="4"/>
      <c r="M1047144" s="4"/>
      <c r="N1047144" s="26"/>
    </row>
    <row r="1047145" customFormat="1" spans="2:14">
      <c r="B1047145" s="26"/>
      <c r="C1047145" s="26"/>
      <c r="D1047145" s="4"/>
      <c r="E1047145" s="26"/>
      <c r="F1047145" s="26"/>
      <c r="G1047145" s="26"/>
      <c r="H1047145" s="26"/>
      <c r="I1047145" s="27"/>
      <c r="J1047145" s="26"/>
      <c r="K1047145" s="26"/>
      <c r="L1047145" s="4"/>
      <c r="M1047145" s="4"/>
      <c r="N1047145" s="26"/>
    </row>
    <row r="1047146" customFormat="1" spans="2:14">
      <c r="B1047146" s="26"/>
      <c r="C1047146" s="26"/>
      <c r="D1047146" s="4"/>
      <c r="E1047146" s="26"/>
      <c r="F1047146" s="26"/>
      <c r="G1047146" s="26"/>
      <c r="H1047146" s="26"/>
      <c r="I1047146" s="27"/>
      <c r="J1047146" s="26"/>
      <c r="K1047146" s="26"/>
      <c r="L1047146" s="4"/>
      <c r="M1047146" s="4"/>
      <c r="N1047146" s="26"/>
    </row>
    <row r="1047147" customFormat="1" spans="2:14">
      <c r="B1047147" s="26"/>
      <c r="C1047147" s="26"/>
      <c r="D1047147" s="4"/>
      <c r="E1047147" s="26"/>
      <c r="F1047147" s="26"/>
      <c r="G1047147" s="26"/>
      <c r="H1047147" s="26"/>
      <c r="I1047147" s="27"/>
      <c r="J1047147" s="26"/>
      <c r="K1047147" s="26"/>
      <c r="L1047147" s="4"/>
      <c r="M1047147" s="4"/>
      <c r="N1047147" s="26"/>
    </row>
    <row r="1047148" customFormat="1" spans="2:14">
      <c r="B1047148" s="26"/>
      <c r="C1047148" s="26"/>
      <c r="D1047148" s="4"/>
      <c r="E1047148" s="26"/>
      <c r="F1047148" s="26"/>
      <c r="G1047148" s="26"/>
      <c r="H1047148" s="26"/>
      <c r="I1047148" s="27"/>
      <c r="J1047148" s="26"/>
      <c r="K1047148" s="26"/>
      <c r="L1047148" s="4"/>
      <c r="M1047148" s="4"/>
      <c r="N1047148" s="26"/>
    </row>
    <row r="1047149" customFormat="1" spans="2:14">
      <c r="B1047149" s="26"/>
      <c r="C1047149" s="26"/>
      <c r="D1047149" s="4"/>
      <c r="E1047149" s="26"/>
      <c r="F1047149" s="26"/>
      <c r="G1047149" s="26"/>
      <c r="H1047149" s="26"/>
      <c r="I1047149" s="27"/>
      <c r="J1047149" s="26"/>
      <c r="K1047149" s="26"/>
      <c r="L1047149" s="4"/>
      <c r="M1047149" s="4"/>
      <c r="N1047149" s="26"/>
    </row>
    <row r="1047150" customFormat="1" spans="2:14">
      <c r="B1047150" s="26"/>
      <c r="C1047150" s="26"/>
      <c r="D1047150" s="4"/>
      <c r="E1047150" s="26"/>
      <c r="F1047150" s="26"/>
      <c r="G1047150" s="26"/>
      <c r="H1047150" s="26"/>
      <c r="I1047150" s="27"/>
      <c r="J1047150" s="26"/>
      <c r="K1047150" s="26"/>
      <c r="L1047150" s="4"/>
      <c r="M1047150" s="4"/>
      <c r="N1047150" s="26"/>
    </row>
    <row r="1047151" customFormat="1" spans="2:14">
      <c r="B1047151" s="26"/>
      <c r="C1047151" s="26"/>
      <c r="D1047151" s="4"/>
      <c r="E1047151" s="26"/>
      <c r="F1047151" s="26"/>
      <c r="G1047151" s="26"/>
      <c r="H1047151" s="26"/>
      <c r="I1047151" s="27"/>
      <c r="J1047151" s="26"/>
      <c r="K1047151" s="26"/>
      <c r="L1047151" s="4"/>
      <c r="M1047151" s="4"/>
      <c r="N1047151" s="26"/>
    </row>
    <row r="1047152" customFormat="1" spans="2:14">
      <c r="B1047152" s="26"/>
      <c r="C1047152" s="26"/>
      <c r="D1047152" s="4"/>
      <c r="E1047152" s="26"/>
      <c r="F1047152" s="26"/>
      <c r="G1047152" s="26"/>
      <c r="H1047152" s="26"/>
      <c r="I1047152" s="27"/>
      <c r="J1047152" s="26"/>
      <c r="K1047152" s="26"/>
      <c r="L1047152" s="4"/>
      <c r="M1047152" s="4"/>
      <c r="N1047152" s="26"/>
    </row>
    <row r="1047153" customFormat="1" spans="2:14">
      <c r="B1047153" s="26"/>
      <c r="C1047153" s="26"/>
      <c r="D1047153" s="4"/>
      <c r="E1047153" s="26"/>
      <c r="F1047153" s="26"/>
      <c r="G1047153" s="26"/>
      <c r="H1047153" s="26"/>
      <c r="I1047153" s="27"/>
      <c r="J1047153" s="26"/>
      <c r="K1047153" s="26"/>
      <c r="L1047153" s="4"/>
      <c r="M1047153" s="4"/>
      <c r="N1047153" s="26"/>
    </row>
    <row r="1047154" customFormat="1" spans="2:14">
      <c r="B1047154" s="26"/>
      <c r="C1047154" s="26"/>
      <c r="D1047154" s="4"/>
      <c r="E1047154" s="26"/>
      <c r="F1047154" s="26"/>
      <c r="G1047154" s="26"/>
      <c r="H1047154" s="26"/>
      <c r="I1047154" s="27"/>
      <c r="J1047154" s="26"/>
      <c r="K1047154" s="26"/>
      <c r="L1047154" s="4"/>
      <c r="M1047154" s="4"/>
      <c r="N1047154" s="26"/>
    </row>
    <row r="1047155" customFormat="1" spans="2:14">
      <c r="B1047155" s="26"/>
      <c r="C1047155" s="26"/>
      <c r="D1047155" s="4"/>
      <c r="E1047155" s="26"/>
      <c r="F1047155" s="26"/>
      <c r="G1047155" s="26"/>
      <c r="H1047155" s="26"/>
      <c r="I1047155" s="27"/>
      <c r="J1047155" s="26"/>
      <c r="K1047155" s="26"/>
      <c r="L1047155" s="4"/>
      <c r="M1047155" s="4"/>
      <c r="N1047155" s="26"/>
    </row>
    <row r="1047156" customFormat="1" spans="2:14">
      <c r="B1047156" s="26"/>
      <c r="C1047156" s="26"/>
      <c r="D1047156" s="4"/>
      <c r="E1047156" s="26"/>
      <c r="F1047156" s="26"/>
      <c r="G1047156" s="26"/>
      <c r="H1047156" s="26"/>
      <c r="I1047156" s="27"/>
      <c r="J1047156" s="26"/>
      <c r="K1047156" s="26"/>
      <c r="L1047156" s="4"/>
      <c r="M1047156" s="4"/>
      <c r="N1047156" s="26"/>
    </row>
    <row r="1047157" customFormat="1" spans="2:14">
      <c r="B1047157" s="26"/>
      <c r="C1047157" s="26"/>
      <c r="D1047157" s="4"/>
      <c r="E1047157" s="26"/>
      <c r="F1047157" s="26"/>
      <c r="G1047157" s="26"/>
      <c r="H1047157" s="26"/>
      <c r="I1047157" s="27"/>
      <c r="J1047157" s="26"/>
      <c r="K1047157" s="26"/>
      <c r="L1047157" s="4"/>
      <c r="M1047157" s="4"/>
      <c r="N1047157" s="26"/>
    </row>
    <row r="1047158" customFormat="1" spans="2:14">
      <c r="B1047158" s="26"/>
      <c r="C1047158" s="26"/>
      <c r="D1047158" s="4"/>
      <c r="E1047158" s="26"/>
      <c r="F1047158" s="26"/>
      <c r="G1047158" s="26"/>
      <c r="H1047158" s="26"/>
      <c r="I1047158" s="27"/>
      <c r="J1047158" s="26"/>
      <c r="K1047158" s="26"/>
      <c r="L1047158" s="4"/>
      <c r="M1047158" s="4"/>
      <c r="N1047158" s="26"/>
    </row>
    <row r="1047159" customFormat="1" spans="2:14">
      <c r="B1047159" s="26"/>
      <c r="C1047159" s="26"/>
      <c r="D1047159" s="4"/>
      <c r="E1047159" s="26"/>
      <c r="F1047159" s="26"/>
      <c r="G1047159" s="26"/>
      <c r="H1047159" s="26"/>
      <c r="I1047159" s="27"/>
      <c r="J1047159" s="26"/>
      <c r="K1047159" s="26"/>
      <c r="L1047159" s="4"/>
      <c r="M1047159" s="4"/>
      <c r="N1047159" s="26"/>
    </row>
    <row r="1047160" customFormat="1" spans="2:14">
      <c r="B1047160" s="26"/>
      <c r="C1047160" s="26"/>
      <c r="D1047160" s="4"/>
      <c r="E1047160" s="26"/>
      <c r="F1047160" s="26"/>
      <c r="G1047160" s="26"/>
      <c r="H1047160" s="26"/>
      <c r="I1047160" s="27"/>
      <c r="J1047160" s="26"/>
      <c r="K1047160" s="26"/>
      <c r="L1047160" s="4"/>
      <c r="M1047160" s="4"/>
      <c r="N1047160" s="26"/>
    </row>
    <row r="1047161" customFormat="1" spans="2:14">
      <c r="B1047161" s="26"/>
      <c r="C1047161" s="26"/>
      <c r="D1047161" s="4"/>
      <c r="E1047161" s="26"/>
      <c r="F1047161" s="26"/>
      <c r="G1047161" s="26"/>
      <c r="H1047161" s="26"/>
      <c r="I1047161" s="27"/>
      <c r="J1047161" s="26"/>
      <c r="K1047161" s="26"/>
      <c r="L1047161" s="4"/>
      <c r="M1047161" s="4"/>
      <c r="N1047161" s="26"/>
    </row>
    <row r="1047162" customFormat="1" spans="2:14">
      <c r="B1047162" s="26"/>
      <c r="C1047162" s="26"/>
      <c r="D1047162" s="4"/>
      <c r="E1047162" s="26"/>
      <c r="F1047162" s="26"/>
      <c r="G1047162" s="26"/>
      <c r="H1047162" s="26"/>
      <c r="I1047162" s="27"/>
      <c r="J1047162" s="26"/>
      <c r="K1047162" s="26"/>
      <c r="L1047162" s="4"/>
      <c r="M1047162" s="4"/>
      <c r="N1047162" s="26"/>
    </row>
    <row r="1047163" customFormat="1" spans="2:14">
      <c r="B1047163" s="26"/>
      <c r="C1047163" s="26"/>
      <c r="D1047163" s="4"/>
      <c r="E1047163" s="26"/>
      <c r="F1047163" s="26"/>
      <c r="G1047163" s="26"/>
      <c r="H1047163" s="26"/>
      <c r="I1047163" s="27"/>
      <c r="J1047163" s="26"/>
      <c r="K1047163" s="26"/>
      <c r="L1047163" s="4"/>
      <c r="M1047163" s="4"/>
      <c r="N1047163" s="26"/>
    </row>
    <row r="1047164" customFormat="1" spans="2:14">
      <c r="B1047164" s="26"/>
      <c r="C1047164" s="26"/>
      <c r="D1047164" s="4"/>
      <c r="E1047164" s="26"/>
      <c r="F1047164" s="26"/>
      <c r="G1047164" s="26"/>
      <c r="H1047164" s="26"/>
      <c r="I1047164" s="27"/>
      <c r="J1047164" s="26"/>
      <c r="K1047164" s="26"/>
      <c r="L1047164" s="4"/>
      <c r="M1047164" s="4"/>
      <c r="N1047164" s="26"/>
    </row>
    <row r="1047165" customFormat="1" spans="2:14">
      <c r="B1047165" s="26"/>
      <c r="C1047165" s="26"/>
      <c r="D1047165" s="4"/>
      <c r="E1047165" s="26"/>
      <c r="F1047165" s="26"/>
      <c r="G1047165" s="26"/>
      <c r="H1047165" s="26"/>
      <c r="I1047165" s="27"/>
      <c r="J1047165" s="26"/>
      <c r="K1047165" s="26"/>
      <c r="L1047165" s="4"/>
      <c r="M1047165" s="4"/>
      <c r="N1047165" s="26"/>
    </row>
    <row r="1047166" customFormat="1" spans="2:14">
      <c r="B1047166" s="26"/>
      <c r="C1047166" s="26"/>
      <c r="D1047166" s="4"/>
      <c r="E1047166" s="26"/>
      <c r="F1047166" s="26"/>
      <c r="G1047166" s="26"/>
      <c r="H1047166" s="26"/>
      <c r="I1047166" s="27"/>
      <c r="J1047166" s="26"/>
      <c r="K1047166" s="26"/>
      <c r="L1047166" s="4"/>
      <c r="M1047166" s="4"/>
      <c r="N1047166" s="26"/>
    </row>
    <row r="1047167" customFormat="1" spans="2:14">
      <c r="B1047167" s="26"/>
      <c r="C1047167" s="26"/>
      <c r="D1047167" s="4"/>
      <c r="E1047167" s="26"/>
      <c r="F1047167" s="26"/>
      <c r="G1047167" s="26"/>
      <c r="H1047167" s="26"/>
      <c r="I1047167" s="27"/>
      <c r="J1047167" s="26"/>
      <c r="K1047167" s="26"/>
      <c r="L1047167" s="4"/>
      <c r="M1047167" s="4"/>
      <c r="N1047167" s="26"/>
    </row>
    <row r="1047168" customFormat="1" spans="2:14">
      <c r="B1047168" s="26"/>
      <c r="C1047168" s="26"/>
      <c r="D1047168" s="4"/>
      <c r="E1047168" s="26"/>
      <c r="F1047168" s="26"/>
      <c r="G1047168" s="26"/>
      <c r="H1047168" s="26"/>
      <c r="I1047168" s="27"/>
      <c r="J1047168" s="26"/>
      <c r="K1047168" s="26"/>
      <c r="L1047168" s="4"/>
      <c r="M1047168" s="4"/>
      <c r="N1047168" s="26"/>
    </row>
    <row r="1047169" customFormat="1" spans="2:14">
      <c r="B1047169" s="26"/>
      <c r="C1047169" s="26"/>
      <c r="D1047169" s="4"/>
      <c r="E1047169" s="26"/>
      <c r="F1047169" s="26"/>
      <c r="G1047169" s="26"/>
      <c r="H1047169" s="26"/>
      <c r="I1047169" s="27"/>
      <c r="J1047169" s="26"/>
      <c r="K1047169" s="26"/>
      <c r="L1047169" s="4"/>
      <c r="M1047169" s="4"/>
      <c r="N1047169" s="26"/>
    </row>
    <row r="1047170" customFormat="1" spans="2:14">
      <c r="B1047170" s="26"/>
      <c r="C1047170" s="26"/>
      <c r="D1047170" s="4"/>
      <c r="E1047170" s="26"/>
      <c r="F1047170" s="26"/>
      <c r="G1047170" s="26"/>
      <c r="H1047170" s="26"/>
      <c r="I1047170" s="27"/>
      <c r="J1047170" s="26"/>
      <c r="K1047170" s="26"/>
      <c r="L1047170" s="4"/>
      <c r="M1047170" s="4"/>
      <c r="N1047170" s="26"/>
    </row>
    <row r="1047171" customFormat="1" spans="2:14">
      <c r="B1047171" s="26"/>
      <c r="C1047171" s="26"/>
      <c r="D1047171" s="4"/>
      <c r="E1047171" s="26"/>
      <c r="F1047171" s="26"/>
      <c r="G1047171" s="26"/>
      <c r="H1047171" s="26"/>
      <c r="I1047171" s="27"/>
      <c r="J1047171" s="26"/>
      <c r="K1047171" s="26"/>
      <c r="L1047171" s="4"/>
      <c r="M1047171" s="4"/>
      <c r="N1047171" s="26"/>
    </row>
    <row r="1047172" customFormat="1" spans="2:14">
      <c r="B1047172" s="26"/>
      <c r="C1047172" s="26"/>
      <c r="D1047172" s="4"/>
      <c r="E1047172" s="26"/>
      <c r="F1047172" s="26"/>
      <c r="G1047172" s="26"/>
      <c r="H1047172" s="26"/>
      <c r="I1047172" s="27"/>
      <c r="J1047172" s="26"/>
      <c r="K1047172" s="26"/>
      <c r="L1047172" s="4"/>
      <c r="M1047172" s="4"/>
      <c r="N1047172" s="26"/>
    </row>
    <row r="1047173" customFormat="1" spans="2:14">
      <c r="B1047173" s="26"/>
      <c r="C1047173" s="26"/>
      <c r="D1047173" s="4"/>
      <c r="E1047173" s="26"/>
      <c r="F1047173" s="26"/>
      <c r="G1047173" s="26"/>
      <c r="H1047173" s="26"/>
      <c r="I1047173" s="27"/>
      <c r="J1047173" s="26"/>
      <c r="K1047173" s="26"/>
      <c r="L1047173" s="4"/>
      <c r="M1047173" s="4"/>
      <c r="N1047173" s="26"/>
    </row>
    <row r="1047174" customFormat="1" spans="2:14">
      <c r="B1047174" s="26"/>
      <c r="C1047174" s="26"/>
      <c r="D1047174" s="4"/>
      <c r="E1047174" s="26"/>
      <c r="F1047174" s="26"/>
      <c r="G1047174" s="26"/>
      <c r="H1047174" s="26"/>
      <c r="I1047174" s="27"/>
      <c r="J1047174" s="26"/>
      <c r="K1047174" s="26"/>
      <c r="L1047174" s="4"/>
      <c r="M1047174" s="4"/>
      <c r="N1047174" s="26"/>
    </row>
    <row r="1047175" customFormat="1" spans="2:14">
      <c r="B1047175" s="26"/>
      <c r="C1047175" s="26"/>
      <c r="D1047175" s="4"/>
      <c r="E1047175" s="26"/>
      <c r="F1047175" s="26"/>
      <c r="G1047175" s="26"/>
      <c r="H1047175" s="26"/>
      <c r="I1047175" s="27"/>
      <c r="J1047175" s="26"/>
      <c r="K1047175" s="26"/>
      <c r="L1047175" s="4"/>
      <c r="M1047175" s="4"/>
      <c r="N1047175" s="26"/>
    </row>
    <row r="1047176" customFormat="1" spans="2:14">
      <c r="B1047176" s="26"/>
      <c r="C1047176" s="26"/>
      <c r="D1047176" s="4"/>
      <c r="E1047176" s="26"/>
      <c r="F1047176" s="26"/>
      <c r="G1047176" s="26"/>
      <c r="H1047176" s="26"/>
      <c r="I1047176" s="27"/>
      <c r="J1047176" s="26"/>
      <c r="K1047176" s="26"/>
      <c r="L1047176" s="4"/>
      <c r="M1047176" s="4"/>
      <c r="N1047176" s="26"/>
    </row>
    <row r="1047177" customFormat="1" spans="2:14">
      <c r="B1047177" s="26"/>
      <c r="C1047177" s="26"/>
      <c r="D1047177" s="4"/>
      <c r="E1047177" s="26"/>
      <c r="F1047177" s="26"/>
      <c r="G1047177" s="26"/>
      <c r="H1047177" s="26"/>
      <c r="I1047177" s="27"/>
      <c r="J1047177" s="26"/>
      <c r="K1047177" s="26"/>
      <c r="L1047177" s="4"/>
      <c r="M1047177" s="4"/>
      <c r="N1047177" s="26"/>
    </row>
    <row r="1047178" customFormat="1" spans="2:14">
      <c r="B1047178" s="26"/>
      <c r="C1047178" s="26"/>
      <c r="D1047178" s="4"/>
      <c r="E1047178" s="26"/>
      <c r="F1047178" s="26"/>
      <c r="G1047178" s="26"/>
      <c r="H1047178" s="26"/>
      <c r="I1047178" s="27"/>
      <c r="J1047178" s="26"/>
      <c r="K1047178" s="26"/>
      <c r="L1047178" s="4"/>
      <c r="M1047178" s="4"/>
      <c r="N1047178" s="26"/>
    </row>
    <row r="1047179" customFormat="1" spans="2:14">
      <c r="B1047179" s="26"/>
      <c r="C1047179" s="26"/>
      <c r="D1047179" s="4"/>
      <c r="E1047179" s="26"/>
      <c r="F1047179" s="26"/>
      <c r="G1047179" s="26"/>
      <c r="H1047179" s="26"/>
      <c r="I1047179" s="27"/>
      <c r="J1047179" s="26"/>
      <c r="K1047179" s="26"/>
      <c r="L1047179" s="4"/>
      <c r="M1047179" s="4"/>
      <c r="N1047179" s="26"/>
    </row>
    <row r="1047180" customFormat="1" spans="2:14">
      <c r="B1047180" s="26"/>
      <c r="C1047180" s="26"/>
      <c r="D1047180" s="4"/>
      <c r="E1047180" s="26"/>
      <c r="F1047180" s="26"/>
      <c r="G1047180" s="26"/>
      <c r="H1047180" s="26"/>
      <c r="I1047180" s="27"/>
      <c r="J1047180" s="26"/>
      <c r="K1047180" s="26"/>
      <c r="L1047180" s="4"/>
      <c r="M1047180" s="4"/>
      <c r="N1047180" s="26"/>
    </row>
    <row r="1047181" customFormat="1" spans="2:14">
      <c r="B1047181" s="26"/>
      <c r="C1047181" s="26"/>
      <c r="D1047181" s="4"/>
      <c r="E1047181" s="26"/>
      <c r="F1047181" s="26"/>
      <c r="G1047181" s="26"/>
      <c r="H1047181" s="26"/>
      <c r="I1047181" s="27"/>
      <c r="J1047181" s="26"/>
      <c r="K1047181" s="26"/>
      <c r="L1047181" s="4"/>
      <c r="M1047181" s="4"/>
      <c r="N1047181" s="26"/>
    </row>
    <row r="1047182" customFormat="1" spans="2:14">
      <c r="B1047182" s="26"/>
      <c r="C1047182" s="26"/>
      <c r="D1047182" s="4"/>
      <c r="E1047182" s="26"/>
      <c r="F1047182" s="26"/>
      <c r="G1047182" s="26"/>
      <c r="H1047182" s="26"/>
      <c r="I1047182" s="27"/>
      <c r="J1047182" s="26"/>
      <c r="K1047182" s="26"/>
      <c r="L1047182" s="4"/>
      <c r="M1047182" s="4"/>
      <c r="N1047182" s="26"/>
    </row>
    <row r="1047183" customFormat="1" spans="2:14">
      <c r="B1047183" s="26"/>
      <c r="C1047183" s="26"/>
      <c r="D1047183" s="4"/>
      <c r="E1047183" s="26"/>
      <c r="F1047183" s="26"/>
      <c r="G1047183" s="26"/>
      <c r="H1047183" s="26"/>
      <c r="I1047183" s="27"/>
      <c r="J1047183" s="26"/>
      <c r="K1047183" s="26"/>
      <c r="L1047183" s="4"/>
      <c r="M1047183" s="4"/>
      <c r="N1047183" s="26"/>
    </row>
    <row r="1047184" customFormat="1" spans="2:14">
      <c r="B1047184" s="26"/>
      <c r="C1047184" s="26"/>
      <c r="D1047184" s="4"/>
      <c r="E1047184" s="26"/>
      <c r="F1047184" s="26"/>
      <c r="G1047184" s="26"/>
      <c r="H1047184" s="26"/>
      <c r="I1047184" s="27"/>
      <c r="J1047184" s="26"/>
      <c r="K1047184" s="26"/>
      <c r="L1047184" s="4"/>
      <c r="M1047184" s="4"/>
      <c r="N1047184" s="26"/>
    </row>
    <row r="1047185" customFormat="1" spans="2:14">
      <c r="B1047185" s="26"/>
      <c r="C1047185" s="26"/>
      <c r="D1047185" s="4"/>
      <c r="E1047185" s="26"/>
      <c r="F1047185" s="26"/>
      <c r="G1047185" s="26"/>
      <c r="H1047185" s="26"/>
      <c r="I1047185" s="27"/>
      <c r="J1047185" s="26"/>
      <c r="K1047185" s="26"/>
      <c r="L1047185" s="4"/>
      <c r="M1047185" s="4"/>
      <c r="N1047185" s="26"/>
    </row>
    <row r="1047186" customFormat="1" spans="2:14">
      <c r="B1047186" s="26"/>
      <c r="C1047186" s="26"/>
      <c r="D1047186" s="4"/>
      <c r="E1047186" s="26"/>
      <c r="F1047186" s="26"/>
      <c r="G1047186" s="26"/>
      <c r="H1047186" s="26"/>
      <c r="I1047186" s="27"/>
      <c r="J1047186" s="26"/>
      <c r="K1047186" s="26"/>
      <c r="L1047186" s="4"/>
      <c r="M1047186" s="4"/>
      <c r="N1047186" s="26"/>
    </row>
    <row r="1047187" customFormat="1" spans="2:14">
      <c r="B1047187" s="26"/>
      <c r="C1047187" s="26"/>
      <c r="D1047187" s="4"/>
      <c r="E1047187" s="26"/>
      <c r="F1047187" s="26"/>
      <c r="G1047187" s="26"/>
      <c r="H1047187" s="26"/>
      <c r="I1047187" s="27"/>
      <c r="J1047187" s="26"/>
      <c r="K1047187" s="26"/>
      <c r="L1047187" s="4"/>
      <c r="M1047187" s="4"/>
      <c r="N1047187" s="26"/>
    </row>
    <row r="1047188" customFormat="1" spans="2:14">
      <c r="B1047188" s="26"/>
      <c r="C1047188" s="26"/>
      <c r="D1047188" s="4"/>
      <c r="E1047188" s="26"/>
      <c r="F1047188" s="26"/>
      <c r="G1047188" s="26"/>
      <c r="H1047188" s="26"/>
      <c r="I1047188" s="27"/>
      <c r="J1047188" s="26"/>
      <c r="K1047188" s="26"/>
      <c r="L1047188" s="4"/>
      <c r="M1047188" s="4"/>
      <c r="N1047188" s="26"/>
    </row>
    <row r="1047189" customFormat="1" spans="2:14">
      <c r="B1047189" s="26"/>
      <c r="C1047189" s="26"/>
      <c r="D1047189" s="4"/>
      <c r="E1047189" s="26"/>
      <c r="F1047189" s="26"/>
      <c r="G1047189" s="26"/>
      <c r="H1047189" s="26"/>
      <c r="I1047189" s="27"/>
      <c r="J1047189" s="26"/>
      <c r="K1047189" s="26"/>
      <c r="L1047189" s="4"/>
      <c r="M1047189" s="4"/>
      <c r="N1047189" s="26"/>
    </row>
    <row r="1047190" customFormat="1" spans="2:14">
      <c r="B1047190" s="26"/>
      <c r="C1047190" s="26"/>
      <c r="D1047190" s="4"/>
      <c r="E1047190" s="26"/>
      <c r="F1047190" s="26"/>
      <c r="G1047190" s="26"/>
      <c r="H1047190" s="26"/>
      <c r="I1047190" s="27"/>
      <c r="J1047190" s="26"/>
      <c r="K1047190" s="26"/>
      <c r="L1047190" s="4"/>
      <c r="M1047190" s="4"/>
      <c r="N1047190" s="26"/>
    </row>
    <row r="1047191" customFormat="1" spans="2:14">
      <c r="B1047191" s="26"/>
      <c r="C1047191" s="26"/>
      <c r="D1047191" s="4"/>
      <c r="E1047191" s="26"/>
      <c r="F1047191" s="26"/>
      <c r="G1047191" s="26"/>
      <c r="H1047191" s="26"/>
      <c r="I1047191" s="27"/>
      <c r="J1047191" s="26"/>
      <c r="K1047191" s="26"/>
      <c r="L1047191" s="4"/>
      <c r="M1047191" s="4"/>
      <c r="N1047191" s="26"/>
    </row>
    <row r="1047192" customFormat="1" spans="2:14">
      <c r="B1047192" s="26"/>
      <c r="C1047192" s="26"/>
      <c r="D1047192" s="4"/>
      <c r="E1047192" s="26"/>
      <c r="F1047192" s="26"/>
      <c r="G1047192" s="26"/>
      <c r="H1047192" s="26"/>
      <c r="I1047192" s="27"/>
      <c r="J1047192" s="26"/>
      <c r="K1047192" s="26"/>
      <c r="L1047192" s="4"/>
      <c r="M1047192" s="4"/>
      <c r="N1047192" s="26"/>
    </row>
    <row r="1047193" customFormat="1" spans="2:14">
      <c r="B1047193" s="26"/>
      <c r="C1047193" s="26"/>
      <c r="D1047193" s="4"/>
      <c r="E1047193" s="26"/>
      <c r="F1047193" s="26"/>
      <c r="G1047193" s="26"/>
      <c r="H1047193" s="26"/>
      <c r="I1047193" s="27"/>
      <c r="J1047193" s="26"/>
      <c r="K1047193" s="26"/>
      <c r="L1047193" s="4"/>
      <c r="M1047193" s="4"/>
      <c r="N1047193" s="26"/>
    </row>
    <row r="1047194" customFormat="1" spans="2:14">
      <c r="B1047194" s="26"/>
      <c r="C1047194" s="26"/>
      <c r="D1047194" s="4"/>
      <c r="E1047194" s="26"/>
      <c r="F1047194" s="26"/>
      <c r="G1047194" s="26"/>
      <c r="H1047194" s="26"/>
      <c r="I1047194" s="27"/>
      <c r="J1047194" s="26"/>
      <c r="K1047194" s="26"/>
      <c r="L1047194" s="4"/>
      <c r="M1047194" s="4"/>
      <c r="N1047194" s="26"/>
    </row>
    <row r="1047195" customFormat="1" spans="2:14">
      <c r="B1047195" s="26"/>
      <c r="C1047195" s="26"/>
      <c r="D1047195" s="4"/>
      <c r="E1047195" s="26"/>
      <c r="F1047195" s="26"/>
      <c r="G1047195" s="26"/>
      <c r="H1047195" s="26"/>
      <c r="I1047195" s="27"/>
      <c r="J1047195" s="26"/>
      <c r="K1047195" s="26"/>
      <c r="L1047195" s="4"/>
      <c r="M1047195" s="4"/>
      <c r="N1047195" s="26"/>
    </row>
    <row r="1047196" customFormat="1" spans="2:14">
      <c r="B1047196" s="26"/>
      <c r="C1047196" s="26"/>
      <c r="D1047196" s="4"/>
      <c r="E1047196" s="26"/>
      <c r="F1047196" s="26"/>
      <c r="G1047196" s="26"/>
      <c r="H1047196" s="26"/>
      <c r="I1047196" s="27"/>
      <c r="J1047196" s="26"/>
      <c r="K1047196" s="26"/>
      <c r="L1047196" s="4"/>
      <c r="M1047196" s="4"/>
      <c r="N1047196" s="26"/>
    </row>
    <row r="1047197" customFormat="1" spans="2:14">
      <c r="B1047197" s="26"/>
      <c r="C1047197" s="26"/>
      <c r="D1047197" s="4"/>
      <c r="E1047197" s="26"/>
      <c r="F1047197" s="26"/>
      <c r="G1047197" s="26"/>
      <c r="H1047197" s="26"/>
      <c r="I1047197" s="27"/>
      <c r="J1047197" s="26"/>
      <c r="K1047197" s="26"/>
      <c r="L1047197" s="4"/>
      <c r="M1047197" s="4"/>
      <c r="N1047197" s="26"/>
    </row>
    <row r="1047198" customFormat="1" spans="2:14">
      <c r="B1047198" s="26"/>
      <c r="C1047198" s="26"/>
      <c r="D1047198" s="4"/>
      <c r="E1047198" s="26"/>
      <c r="F1047198" s="26"/>
      <c r="G1047198" s="26"/>
      <c r="H1047198" s="26"/>
      <c r="I1047198" s="27"/>
      <c r="J1047198" s="26"/>
      <c r="K1047198" s="26"/>
      <c r="L1047198" s="4"/>
      <c r="M1047198" s="4"/>
      <c r="N1047198" s="26"/>
    </row>
    <row r="1047199" customFormat="1" spans="2:14">
      <c r="B1047199" s="26"/>
      <c r="C1047199" s="26"/>
      <c r="D1047199" s="4"/>
      <c r="E1047199" s="26"/>
      <c r="F1047199" s="26"/>
      <c r="G1047199" s="26"/>
      <c r="H1047199" s="26"/>
      <c r="I1047199" s="27"/>
      <c r="J1047199" s="26"/>
      <c r="K1047199" s="26"/>
      <c r="L1047199" s="4"/>
      <c r="M1047199" s="4"/>
      <c r="N1047199" s="26"/>
    </row>
    <row r="1047200" customFormat="1" spans="2:14">
      <c r="B1047200" s="26"/>
      <c r="C1047200" s="26"/>
      <c r="D1047200" s="4"/>
      <c r="E1047200" s="26"/>
      <c r="F1047200" s="26"/>
      <c r="G1047200" s="26"/>
      <c r="H1047200" s="26"/>
      <c r="I1047200" s="27"/>
      <c r="J1047200" s="26"/>
      <c r="K1047200" s="26"/>
      <c r="L1047200" s="4"/>
      <c r="M1047200" s="4"/>
      <c r="N1047200" s="26"/>
    </row>
    <row r="1047201" customFormat="1" spans="2:14">
      <c r="B1047201" s="26"/>
      <c r="C1047201" s="26"/>
      <c r="D1047201" s="4"/>
      <c r="E1047201" s="26"/>
      <c r="F1047201" s="26"/>
      <c r="G1047201" s="26"/>
      <c r="H1047201" s="26"/>
      <c r="I1047201" s="27"/>
      <c r="J1047201" s="26"/>
      <c r="K1047201" s="26"/>
      <c r="L1047201" s="4"/>
      <c r="M1047201" s="4"/>
      <c r="N1047201" s="26"/>
    </row>
    <row r="1047202" customFormat="1" spans="2:14">
      <c r="B1047202" s="26"/>
      <c r="C1047202" s="26"/>
      <c r="D1047202" s="4"/>
      <c r="E1047202" s="26"/>
      <c r="F1047202" s="26"/>
      <c r="G1047202" s="26"/>
      <c r="H1047202" s="26"/>
      <c r="I1047202" s="27"/>
      <c r="J1047202" s="26"/>
      <c r="K1047202" s="26"/>
      <c r="L1047202" s="4"/>
      <c r="M1047202" s="4"/>
      <c r="N1047202" s="26"/>
    </row>
    <row r="1047203" customFormat="1" spans="2:14">
      <c r="B1047203" s="26"/>
      <c r="C1047203" s="26"/>
      <c r="D1047203" s="4"/>
      <c r="E1047203" s="26"/>
      <c r="F1047203" s="26"/>
      <c r="G1047203" s="26"/>
      <c r="H1047203" s="26"/>
      <c r="I1047203" s="27"/>
      <c r="J1047203" s="26"/>
      <c r="K1047203" s="26"/>
      <c r="L1047203" s="4"/>
      <c r="M1047203" s="4"/>
      <c r="N1047203" s="26"/>
    </row>
    <row r="1047204" customFormat="1" spans="2:14">
      <c r="B1047204" s="26"/>
      <c r="C1047204" s="26"/>
      <c r="D1047204" s="4"/>
      <c r="E1047204" s="26"/>
      <c r="F1047204" s="26"/>
      <c r="G1047204" s="26"/>
      <c r="H1047204" s="26"/>
      <c r="I1047204" s="27"/>
      <c r="J1047204" s="26"/>
      <c r="K1047204" s="26"/>
      <c r="L1047204" s="4"/>
      <c r="M1047204" s="4"/>
      <c r="N1047204" s="26"/>
    </row>
    <row r="1047205" customFormat="1" spans="2:14">
      <c r="B1047205" s="26"/>
      <c r="C1047205" s="26"/>
      <c r="D1047205" s="4"/>
      <c r="E1047205" s="26"/>
      <c r="F1047205" s="26"/>
      <c r="G1047205" s="26"/>
      <c r="H1047205" s="26"/>
      <c r="I1047205" s="27"/>
      <c r="J1047205" s="26"/>
      <c r="K1047205" s="26"/>
      <c r="L1047205" s="4"/>
      <c r="M1047205" s="4"/>
      <c r="N1047205" s="26"/>
    </row>
    <row r="1047206" customFormat="1" spans="2:14">
      <c r="B1047206" s="26"/>
      <c r="C1047206" s="26"/>
      <c r="D1047206" s="4"/>
      <c r="E1047206" s="26"/>
      <c r="F1047206" s="26"/>
      <c r="G1047206" s="26"/>
      <c r="H1047206" s="26"/>
      <c r="I1047206" s="27"/>
      <c r="J1047206" s="26"/>
      <c r="K1047206" s="26"/>
      <c r="L1047206" s="4"/>
      <c r="M1047206" s="4"/>
      <c r="N1047206" s="26"/>
    </row>
    <row r="1047207" customFormat="1" spans="2:14">
      <c r="B1047207" s="26"/>
      <c r="C1047207" s="26"/>
      <c r="D1047207" s="4"/>
      <c r="E1047207" s="26"/>
      <c r="F1047207" s="26"/>
      <c r="G1047207" s="26"/>
      <c r="H1047207" s="26"/>
      <c r="I1047207" s="27"/>
      <c r="J1047207" s="26"/>
      <c r="K1047207" s="26"/>
      <c r="L1047207" s="4"/>
      <c r="M1047207" s="4"/>
      <c r="N1047207" s="26"/>
    </row>
    <row r="1047208" customFormat="1" spans="2:14">
      <c r="B1047208" s="26"/>
      <c r="C1047208" s="26"/>
      <c r="D1047208" s="4"/>
      <c r="E1047208" s="26"/>
      <c r="F1047208" s="26"/>
      <c r="G1047208" s="26"/>
      <c r="H1047208" s="26"/>
      <c r="I1047208" s="27"/>
      <c r="J1047208" s="26"/>
      <c r="K1047208" s="26"/>
      <c r="L1047208" s="4"/>
      <c r="M1047208" s="4"/>
      <c r="N1047208" s="26"/>
    </row>
    <row r="1047209" customFormat="1" spans="2:14">
      <c r="B1047209" s="26"/>
      <c r="C1047209" s="26"/>
      <c r="D1047209" s="4"/>
      <c r="E1047209" s="26"/>
      <c r="F1047209" s="26"/>
      <c r="G1047209" s="26"/>
      <c r="H1047209" s="26"/>
      <c r="I1047209" s="27"/>
      <c r="J1047209" s="26"/>
      <c r="K1047209" s="26"/>
      <c r="L1047209" s="4"/>
      <c r="M1047209" s="4"/>
      <c r="N1047209" s="26"/>
    </row>
    <row r="1047210" customFormat="1" spans="2:14">
      <c r="B1047210" s="26"/>
      <c r="C1047210" s="26"/>
      <c r="D1047210" s="4"/>
      <c r="E1047210" s="26"/>
      <c r="F1047210" s="26"/>
      <c r="G1047210" s="26"/>
      <c r="H1047210" s="26"/>
      <c r="I1047210" s="27"/>
      <c r="J1047210" s="26"/>
      <c r="K1047210" s="26"/>
      <c r="L1047210" s="4"/>
      <c r="M1047210" s="4"/>
      <c r="N1047210" s="26"/>
    </row>
    <row r="1047211" customFormat="1" spans="2:14">
      <c r="B1047211" s="26"/>
      <c r="C1047211" s="26"/>
      <c r="D1047211" s="4"/>
      <c r="E1047211" s="26"/>
      <c r="F1047211" s="26"/>
      <c r="G1047211" s="26"/>
      <c r="H1047211" s="26"/>
      <c r="I1047211" s="27"/>
      <c r="J1047211" s="26"/>
      <c r="K1047211" s="26"/>
      <c r="L1047211" s="4"/>
      <c r="M1047211" s="4"/>
      <c r="N1047211" s="26"/>
    </row>
    <row r="1047212" customFormat="1" spans="2:14">
      <c r="B1047212" s="26"/>
      <c r="C1047212" s="26"/>
      <c r="D1047212" s="4"/>
      <c r="E1047212" s="26"/>
      <c r="F1047212" s="26"/>
      <c r="G1047212" s="26"/>
      <c r="H1047212" s="26"/>
      <c r="I1047212" s="27"/>
      <c r="J1047212" s="26"/>
      <c r="K1047212" s="26"/>
      <c r="L1047212" s="4"/>
      <c r="M1047212" s="4"/>
      <c r="N1047212" s="26"/>
    </row>
    <row r="1047213" customFormat="1" spans="2:14">
      <c r="B1047213" s="26"/>
      <c r="C1047213" s="26"/>
      <c r="D1047213" s="4"/>
      <c r="E1047213" s="26"/>
      <c r="F1047213" s="26"/>
      <c r="G1047213" s="26"/>
      <c r="H1047213" s="26"/>
      <c r="I1047213" s="27"/>
      <c r="J1047213" s="26"/>
      <c r="K1047213" s="26"/>
      <c r="L1047213" s="4"/>
      <c r="M1047213" s="4"/>
      <c r="N1047213" s="26"/>
    </row>
    <row r="1047214" customFormat="1" spans="2:14">
      <c r="B1047214" s="26"/>
      <c r="C1047214" s="26"/>
      <c r="D1047214" s="4"/>
      <c r="E1047214" s="26"/>
      <c r="F1047214" s="26"/>
      <c r="G1047214" s="26"/>
      <c r="H1047214" s="26"/>
      <c r="I1047214" s="27"/>
      <c r="J1047214" s="26"/>
      <c r="K1047214" s="26"/>
      <c r="L1047214" s="4"/>
      <c r="M1047214" s="4"/>
      <c r="N1047214" s="26"/>
    </row>
    <row r="1047215" customFormat="1" spans="2:14">
      <c r="B1047215" s="26"/>
      <c r="C1047215" s="26"/>
      <c r="D1047215" s="4"/>
      <c r="E1047215" s="26"/>
      <c r="F1047215" s="26"/>
      <c r="G1047215" s="26"/>
      <c r="H1047215" s="26"/>
      <c r="I1047215" s="27"/>
      <c r="J1047215" s="26"/>
      <c r="K1047215" s="26"/>
      <c r="L1047215" s="4"/>
      <c r="M1047215" s="4"/>
      <c r="N1047215" s="26"/>
    </row>
    <row r="1047216" customFormat="1" spans="2:14">
      <c r="B1047216" s="26"/>
      <c r="C1047216" s="26"/>
      <c r="D1047216" s="4"/>
      <c r="E1047216" s="26"/>
      <c r="F1047216" s="26"/>
      <c r="G1047216" s="26"/>
      <c r="H1047216" s="26"/>
      <c r="I1047216" s="27"/>
      <c r="J1047216" s="26"/>
      <c r="K1047216" s="26"/>
      <c r="L1047216" s="4"/>
      <c r="M1047216" s="4"/>
      <c r="N1047216" s="26"/>
    </row>
    <row r="1047217" customFormat="1" spans="2:14">
      <c r="B1047217" s="26"/>
      <c r="C1047217" s="26"/>
      <c r="D1047217" s="4"/>
      <c r="E1047217" s="26"/>
      <c r="F1047217" s="26"/>
      <c r="G1047217" s="26"/>
      <c r="H1047217" s="26"/>
      <c r="I1047217" s="27"/>
      <c r="J1047217" s="26"/>
      <c r="K1047217" s="26"/>
      <c r="L1047217" s="4"/>
      <c r="M1047217" s="4"/>
      <c r="N1047217" s="26"/>
    </row>
    <row r="1047218" customFormat="1" spans="2:14">
      <c r="B1047218" s="26"/>
      <c r="C1047218" s="26"/>
      <c r="D1047218" s="4"/>
      <c r="E1047218" s="26"/>
      <c r="F1047218" s="26"/>
      <c r="G1047218" s="26"/>
      <c r="H1047218" s="26"/>
      <c r="I1047218" s="27"/>
      <c r="J1047218" s="26"/>
      <c r="K1047218" s="26"/>
      <c r="L1047218" s="4"/>
      <c r="M1047218" s="4"/>
      <c r="N1047218" s="26"/>
    </row>
    <row r="1047219" customFormat="1" spans="2:14">
      <c r="B1047219" s="26"/>
      <c r="C1047219" s="26"/>
      <c r="D1047219" s="4"/>
      <c r="E1047219" s="26"/>
      <c r="F1047219" s="26"/>
      <c r="G1047219" s="26"/>
      <c r="H1047219" s="26"/>
      <c r="I1047219" s="27"/>
      <c r="J1047219" s="26"/>
      <c r="K1047219" s="26"/>
      <c r="L1047219" s="4"/>
      <c r="M1047219" s="4"/>
      <c r="N1047219" s="26"/>
    </row>
    <row r="1047220" customFormat="1" spans="2:14">
      <c r="B1047220" s="26"/>
      <c r="C1047220" s="26"/>
      <c r="D1047220" s="4"/>
      <c r="E1047220" s="26"/>
      <c r="F1047220" s="26"/>
      <c r="G1047220" s="26"/>
      <c r="H1047220" s="26"/>
      <c r="I1047220" s="27"/>
      <c r="J1047220" s="26"/>
      <c r="K1047220" s="26"/>
      <c r="L1047220" s="4"/>
      <c r="M1047220" s="4"/>
      <c r="N1047220" s="26"/>
    </row>
    <row r="1047221" customFormat="1" spans="2:14">
      <c r="B1047221" s="26"/>
      <c r="C1047221" s="26"/>
      <c r="D1047221" s="4"/>
      <c r="E1047221" s="26"/>
      <c r="F1047221" s="26"/>
      <c r="G1047221" s="26"/>
      <c r="H1047221" s="26"/>
      <c r="I1047221" s="27"/>
      <c r="J1047221" s="26"/>
      <c r="K1047221" s="26"/>
      <c r="L1047221" s="4"/>
      <c r="M1047221" s="4"/>
      <c r="N1047221" s="26"/>
    </row>
    <row r="1047222" customFormat="1" spans="2:14">
      <c r="B1047222" s="26"/>
      <c r="C1047222" s="26"/>
      <c r="D1047222" s="4"/>
      <c r="E1047222" s="26"/>
      <c r="F1047222" s="26"/>
      <c r="G1047222" s="26"/>
      <c r="H1047222" s="26"/>
      <c r="I1047222" s="27"/>
      <c r="J1047222" s="26"/>
      <c r="K1047222" s="26"/>
      <c r="L1047222" s="4"/>
      <c r="M1047222" s="4"/>
      <c r="N1047222" s="26"/>
    </row>
    <row r="1047223" customFormat="1" spans="2:14">
      <c r="B1047223" s="26"/>
      <c r="C1047223" s="26"/>
      <c r="D1047223" s="4"/>
      <c r="E1047223" s="26"/>
      <c r="F1047223" s="26"/>
      <c r="G1047223" s="26"/>
      <c r="H1047223" s="26"/>
      <c r="I1047223" s="27"/>
      <c r="J1047223" s="26"/>
      <c r="K1047223" s="26"/>
      <c r="L1047223" s="4"/>
      <c r="M1047223" s="4"/>
      <c r="N1047223" s="26"/>
    </row>
    <row r="1047224" customFormat="1" spans="2:14">
      <c r="B1047224" s="26"/>
      <c r="C1047224" s="26"/>
      <c r="D1047224" s="4"/>
      <c r="E1047224" s="26"/>
      <c r="F1047224" s="26"/>
      <c r="G1047224" s="26"/>
      <c r="H1047224" s="26"/>
      <c r="I1047224" s="27"/>
      <c r="J1047224" s="26"/>
      <c r="K1047224" s="26"/>
      <c r="L1047224" s="4"/>
      <c r="M1047224" s="4"/>
      <c r="N1047224" s="26"/>
    </row>
    <row r="1047225" customFormat="1" spans="2:14">
      <c r="B1047225" s="26"/>
      <c r="C1047225" s="26"/>
      <c r="D1047225" s="4"/>
      <c r="E1047225" s="26"/>
      <c r="F1047225" s="26"/>
      <c r="G1047225" s="26"/>
      <c r="H1047225" s="26"/>
      <c r="I1047225" s="27"/>
      <c r="J1047225" s="26"/>
      <c r="K1047225" s="26"/>
      <c r="L1047225" s="4"/>
      <c r="M1047225" s="4"/>
      <c r="N1047225" s="26"/>
    </row>
    <row r="1047226" customFormat="1" spans="2:14">
      <c r="B1047226" s="26"/>
      <c r="C1047226" s="26"/>
      <c r="D1047226" s="4"/>
      <c r="E1047226" s="26"/>
      <c r="F1047226" s="26"/>
      <c r="G1047226" s="26"/>
      <c r="H1047226" s="26"/>
      <c r="I1047226" s="27"/>
      <c r="J1047226" s="26"/>
      <c r="K1047226" s="26"/>
      <c r="L1047226" s="4"/>
      <c r="M1047226" s="4"/>
      <c r="N1047226" s="26"/>
    </row>
    <row r="1047227" customFormat="1" spans="2:14">
      <c r="B1047227" s="26"/>
      <c r="C1047227" s="26"/>
      <c r="D1047227" s="4"/>
      <c r="E1047227" s="26"/>
      <c r="F1047227" s="26"/>
      <c r="G1047227" s="26"/>
      <c r="H1047227" s="26"/>
      <c r="I1047227" s="27"/>
      <c r="J1047227" s="26"/>
      <c r="K1047227" s="26"/>
      <c r="L1047227" s="4"/>
      <c r="M1047227" s="4"/>
      <c r="N1047227" s="26"/>
    </row>
    <row r="1047228" customFormat="1" spans="2:14">
      <c r="B1047228" s="26"/>
      <c r="C1047228" s="26"/>
      <c r="D1047228" s="4"/>
      <c r="E1047228" s="26"/>
      <c r="F1047228" s="26"/>
      <c r="G1047228" s="26"/>
      <c r="H1047228" s="26"/>
      <c r="I1047228" s="27"/>
      <c r="J1047228" s="26"/>
      <c r="K1047228" s="26"/>
      <c r="L1047228" s="4"/>
      <c r="M1047228" s="4"/>
      <c r="N1047228" s="26"/>
    </row>
    <row r="1047229" customFormat="1" spans="2:14">
      <c r="B1047229" s="26"/>
      <c r="C1047229" s="26"/>
      <c r="D1047229" s="4"/>
      <c r="E1047229" s="26"/>
      <c r="F1047229" s="26"/>
      <c r="G1047229" s="26"/>
      <c r="H1047229" s="26"/>
      <c r="I1047229" s="27"/>
      <c r="J1047229" s="26"/>
      <c r="K1047229" s="26"/>
      <c r="L1047229" s="4"/>
      <c r="M1047229" s="4"/>
      <c r="N1047229" s="26"/>
    </row>
    <row r="1047230" customFormat="1" spans="2:14">
      <c r="B1047230" s="26"/>
      <c r="C1047230" s="26"/>
      <c r="D1047230" s="4"/>
      <c r="E1047230" s="26"/>
      <c r="F1047230" s="26"/>
      <c r="G1047230" s="26"/>
      <c r="H1047230" s="26"/>
      <c r="I1047230" s="27"/>
      <c r="J1047230" s="26"/>
      <c r="K1047230" s="26"/>
      <c r="L1047230" s="4"/>
      <c r="M1047230" s="4"/>
      <c r="N1047230" s="26"/>
    </row>
    <row r="1047231" customFormat="1" spans="2:14">
      <c r="B1047231" s="26"/>
      <c r="C1047231" s="26"/>
      <c r="D1047231" s="4"/>
      <c r="E1047231" s="26"/>
      <c r="F1047231" s="26"/>
      <c r="G1047231" s="26"/>
      <c r="H1047231" s="26"/>
      <c r="I1047231" s="27"/>
      <c r="J1047231" s="26"/>
      <c r="K1047231" s="26"/>
      <c r="L1047231" s="4"/>
      <c r="M1047231" s="4"/>
      <c r="N1047231" s="26"/>
    </row>
    <row r="1047232" customFormat="1" spans="2:14">
      <c r="B1047232" s="26"/>
      <c r="C1047232" s="26"/>
      <c r="D1047232" s="4"/>
      <c r="E1047232" s="26"/>
      <c r="F1047232" s="26"/>
      <c r="G1047232" s="26"/>
      <c r="H1047232" s="26"/>
      <c r="I1047232" s="27"/>
      <c r="J1047232" s="26"/>
      <c r="K1047232" s="26"/>
      <c r="L1047232" s="4"/>
      <c r="M1047232" s="4"/>
      <c r="N1047232" s="26"/>
    </row>
    <row r="1047233" customFormat="1" spans="2:14">
      <c r="B1047233" s="26"/>
      <c r="C1047233" s="26"/>
      <c r="D1047233" s="4"/>
      <c r="E1047233" s="26"/>
      <c r="F1047233" s="26"/>
      <c r="G1047233" s="26"/>
      <c r="H1047233" s="26"/>
      <c r="I1047233" s="27"/>
      <c r="J1047233" s="26"/>
      <c r="K1047233" s="26"/>
      <c r="L1047233" s="4"/>
      <c r="M1047233" s="4"/>
      <c r="N1047233" s="26"/>
    </row>
    <row r="1047234" customFormat="1" spans="2:14">
      <c r="B1047234" s="26"/>
      <c r="C1047234" s="26"/>
      <c r="D1047234" s="4"/>
      <c r="E1047234" s="26"/>
      <c r="F1047234" s="26"/>
      <c r="G1047234" s="26"/>
      <c r="H1047234" s="26"/>
      <c r="I1047234" s="27"/>
      <c r="J1047234" s="26"/>
      <c r="K1047234" s="26"/>
      <c r="L1047234" s="4"/>
      <c r="M1047234" s="4"/>
      <c r="N1047234" s="26"/>
    </row>
    <row r="1047235" customFormat="1" spans="2:14">
      <c r="B1047235" s="26"/>
      <c r="C1047235" s="26"/>
      <c r="D1047235" s="4"/>
      <c r="E1047235" s="26"/>
      <c r="F1047235" s="26"/>
      <c r="G1047235" s="26"/>
      <c r="H1047235" s="26"/>
      <c r="I1047235" s="27"/>
      <c r="J1047235" s="26"/>
      <c r="K1047235" s="26"/>
      <c r="L1047235" s="4"/>
      <c r="M1047235" s="4"/>
      <c r="N1047235" s="26"/>
    </row>
    <row r="1047236" customFormat="1" spans="2:14">
      <c r="B1047236" s="26"/>
      <c r="C1047236" s="26"/>
      <c r="D1047236" s="4"/>
      <c r="E1047236" s="26"/>
      <c r="F1047236" s="26"/>
      <c r="G1047236" s="26"/>
      <c r="H1047236" s="26"/>
      <c r="I1047236" s="27"/>
      <c r="J1047236" s="26"/>
      <c r="K1047236" s="26"/>
      <c r="L1047236" s="4"/>
      <c r="M1047236" s="4"/>
      <c r="N1047236" s="26"/>
    </row>
    <row r="1047237" customFormat="1" spans="2:14">
      <c r="B1047237" s="26"/>
      <c r="C1047237" s="26"/>
      <c r="D1047237" s="4"/>
      <c r="E1047237" s="26"/>
      <c r="F1047237" s="26"/>
      <c r="G1047237" s="26"/>
      <c r="H1047237" s="26"/>
      <c r="I1047237" s="27"/>
      <c r="J1047237" s="26"/>
      <c r="K1047237" s="26"/>
      <c r="L1047237" s="4"/>
      <c r="M1047237" s="4"/>
      <c r="N1047237" s="26"/>
    </row>
    <row r="1047238" customFormat="1" spans="2:14">
      <c r="B1047238" s="26"/>
      <c r="C1047238" s="26"/>
      <c r="D1047238" s="4"/>
      <c r="E1047238" s="26"/>
      <c r="F1047238" s="26"/>
      <c r="G1047238" s="26"/>
      <c r="H1047238" s="26"/>
      <c r="I1047238" s="27"/>
      <c r="J1047238" s="26"/>
      <c r="K1047238" s="26"/>
      <c r="L1047238" s="4"/>
      <c r="M1047238" s="4"/>
      <c r="N1047238" s="26"/>
    </row>
    <row r="1047239" customFormat="1" spans="2:14">
      <c r="B1047239" s="26"/>
      <c r="C1047239" s="26"/>
      <c r="D1047239" s="4"/>
      <c r="E1047239" s="26"/>
      <c r="F1047239" s="26"/>
      <c r="G1047239" s="26"/>
      <c r="H1047239" s="26"/>
      <c r="I1047239" s="27"/>
      <c r="J1047239" s="26"/>
      <c r="K1047239" s="26"/>
      <c r="L1047239" s="4"/>
      <c r="M1047239" s="4"/>
      <c r="N1047239" s="26"/>
    </row>
    <row r="1047240" customFormat="1" spans="2:14">
      <c r="B1047240" s="26"/>
      <c r="C1047240" s="26"/>
      <c r="D1047240" s="4"/>
      <c r="E1047240" s="26"/>
      <c r="F1047240" s="26"/>
      <c r="G1047240" s="26"/>
      <c r="H1047240" s="26"/>
      <c r="I1047240" s="27"/>
      <c r="J1047240" s="26"/>
      <c r="K1047240" s="26"/>
      <c r="L1047240" s="4"/>
      <c r="M1047240" s="4"/>
      <c r="N1047240" s="26"/>
    </row>
    <row r="1047241" customFormat="1" spans="2:14">
      <c r="B1047241" s="26"/>
      <c r="C1047241" s="26"/>
      <c r="D1047241" s="4"/>
      <c r="E1047241" s="26"/>
      <c r="F1047241" s="26"/>
      <c r="G1047241" s="26"/>
      <c r="H1047241" s="26"/>
      <c r="I1047241" s="27"/>
      <c r="J1047241" s="26"/>
      <c r="K1047241" s="26"/>
      <c r="L1047241" s="4"/>
      <c r="M1047241" s="4"/>
      <c r="N1047241" s="26"/>
    </row>
    <row r="1047242" customFormat="1" spans="2:14">
      <c r="B1047242" s="26"/>
      <c r="C1047242" s="26"/>
      <c r="D1047242" s="4"/>
      <c r="E1047242" s="26"/>
      <c r="F1047242" s="26"/>
      <c r="G1047242" s="26"/>
      <c r="H1047242" s="26"/>
      <c r="I1047242" s="27"/>
      <c r="J1047242" s="26"/>
      <c r="K1047242" s="26"/>
      <c r="L1047242" s="4"/>
      <c r="M1047242" s="4"/>
      <c r="N1047242" s="26"/>
    </row>
    <row r="1047243" customFormat="1" spans="2:14">
      <c r="B1047243" s="26"/>
      <c r="C1047243" s="26"/>
      <c r="D1047243" s="4"/>
      <c r="E1047243" s="26"/>
      <c r="F1047243" s="26"/>
      <c r="G1047243" s="26"/>
      <c r="H1047243" s="26"/>
      <c r="I1047243" s="27"/>
      <c r="J1047243" s="26"/>
      <c r="K1047243" s="26"/>
      <c r="L1047243" s="4"/>
      <c r="M1047243" s="4"/>
      <c r="N1047243" s="26"/>
    </row>
    <row r="1047244" customFormat="1" spans="2:14">
      <c r="B1047244" s="26"/>
      <c r="C1047244" s="26"/>
      <c r="D1047244" s="4"/>
      <c r="E1047244" s="26"/>
      <c r="F1047244" s="26"/>
      <c r="G1047244" s="26"/>
      <c r="H1047244" s="26"/>
      <c r="I1047244" s="27"/>
      <c r="J1047244" s="26"/>
      <c r="K1047244" s="26"/>
      <c r="L1047244" s="4"/>
      <c r="M1047244" s="4"/>
      <c r="N1047244" s="26"/>
    </row>
    <row r="1047245" customFormat="1" spans="2:14">
      <c r="B1047245" s="26"/>
      <c r="C1047245" s="26"/>
      <c r="D1047245" s="4"/>
      <c r="E1047245" s="26"/>
      <c r="F1047245" s="26"/>
      <c r="G1047245" s="26"/>
      <c r="H1047245" s="26"/>
      <c r="I1047245" s="27"/>
      <c r="J1047245" s="26"/>
      <c r="K1047245" s="26"/>
      <c r="L1047245" s="4"/>
      <c r="M1047245" s="4"/>
      <c r="N1047245" s="26"/>
    </row>
    <row r="1047246" customFormat="1" spans="2:14">
      <c r="B1047246" s="26"/>
      <c r="C1047246" s="26"/>
      <c r="D1047246" s="4"/>
      <c r="E1047246" s="26"/>
      <c r="F1047246" s="26"/>
      <c r="G1047246" s="26"/>
      <c r="H1047246" s="26"/>
      <c r="I1047246" s="27"/>
      <c r="J1047246" s="26"/>
      <c r="K1047246" s="26"/>
      <c r="L1047246" s="4"/>
      <c r="M1047246" s="4"/>
      <c r="N1047246" s="26"/>
    </row>
    <row r="1047247" customFormat="1" spans="2:14">
      <c r="B1047247" s="26"/>
      <c r="C1047247" s="26"/>
      <c r="D1047247" s="4"/>
      <c r="E1047247" s="26"/>
      <c r="F1047247" s="26"/>
      <c r="G1047247" s="26"/>
      <c r="H1047247" s="26"/>
      <c r="I1047247" s="27"/>
      <c r="J1047247" s="26"/>
      <c r="K1047247" s="26"/>
      <c r="L1047247" s="4"/>
      <c r="M1047247" s="4"/>
      <c r="N1047247" s="26"/>
    </row>
    <row r="1047248" customFormat="1" spans="2:14">
      <c r="B1047248" s="26"/>
      <c r="C1047248" s="26"/>
      <c r="D1047248" s="4"/>
      <c r="E1047248" s="26"/>
      <c r="F1047248" s="26"/>
      <c r="G1047248" s="26"/>
      <c r="H1047248" s="26"/>
      <c r="I1047248" s="27"/>
      <c r="J1047248" s="26"/>
      <c r="K1047248" s="26"/>
      <c r="L1047248" s="4"/>
      <c r="M1047248" s="4"/>
      <c r="N1047248" s="26"/>
    </row>
    <row r="1047249" customFormat="1" spans="2:14">
      <c r="B1047249" s="26"/>
      <c r="C1047249" s="26"/>
      <c r="D1047249" s="4"/>
      <c r="E1047249" s="26"/>
      <c r="F1047249" s="26"/>
      <c r="G1047249" s="26"/>
      <c r="H1047249" s="26"/>
      <c r="I1047249" s="27"/>
      <c r="J1047249" s="26"/>
      <c r="K1047249" s="26"/>
      <c r="L1047249" s="4"/>
      <c r="M1047249" s="4"/>
      <c r="N1047249" s="26"/>
    </row>
    <row r="1047250" customFormat="1" spans="2:14">
      <c r="B1047250" s="26"/>
      <c r="C1047250" s="26"/>
      <c r="D1047250" s="4"/>
      <c r="E1047250" s="26"/>
      <c r="F1047250" s="26"/>
      <c r="G1047250" s="26"/>
      <c r="H1047250" s="26"/>
      <c r="I1047250" s="27"/>
      <c r="J1047250" s="26"/>
      <c r="K1047250" s="26"/>
      <c r="L1047250" s="4"/>
      <c r="M1047250" s="4"/>
      <c r="N1047250" s="26"/>
    </row>
    <row r="1047251" customFormat="1" spans="2:14">
      <c r="B1047251" s="26"/>
      <c r="C1047251" s="26"/>
      <c r="D1047251" s="4"/>
      <c r="E1047251" s="26"/>
      <c r="F1047251" s="26"/>
      <c r="G1047251" s="26"/>
      <c r="H1047251" s="26"/>
      <c r="I1047251" s="27"/>
      <c r="J1047251" s="26"/>
      <c r="K1047251" s="26"/>
      <c r="L1047251" s="4"/>
      <c r="M1047251" s="4"/>
      <c r="N1047251" s="26"/>
    </row>
    <row r="1047252" customFormat="1" spans="2:14">
      <c r="B1047252" s="26"/>
      <c r="C1047252" s="26"/>
      <c r="D1047252" s="4"/>
      <c r="E1047252" s="26"/>
      <c r="F1047252" s="26"/>
      <c r="G1047252" s="26"/>
      <c r="H1047252" s="26"/>
      <c r="I1047252" s="27"/>
      <c r="J1047252" s="26"/>
      <c r="K1047252" s="26"/>
      <c r="L1047252" s="4"/>
      <c r="M1047252" s="4"/>
      <c r="N1047252" s="26"/>
    </row>
    <row r="1047253" customFormat="1" spans="2:14">
      <c r="B1047253" s="26"/>
      <c r="C1047253" s="26"/>
      <c r="D1047253" s="4"/>
      <c r="E1047253" s="26"/>
      <c r="F1047253" s="26"/>
      <c r="G1047253" s="26"/>
      <c r="H1047253" s="26"/>
      <c r="I1047253" s="27"/>
      <c r="J1047253" s="26"/>
      <c r="K1047253" s="26"/>
      <c r="L1047253" s="4"/>
      <c r="M1047253" s="4"/>
      <c r="N1047253" s="26"/>
    </row>
    <row r="1047254" customFormat="1" spans="2:14">
      <c r="B1047254" s="26"/>
      <c r="C1047254" s="26"/>
      <c r="D1047254" s="4"/>
      <c r="E1047254" s="26"/>
      <c r="F1047254" s="26"/>
      <c r="G1047254" s="26"/>
      <c r="H1047254" s="26"/>
      <c r="I1047254" s="27"/>
      <c r="J1047254" s="26"/>
      <c r="K1047254" s="26"/>
      <c r="L1047254" s="4"/>
      <c r="M1047254" s="4"/>
      <c r="N1047254" s="26"/>
    </row>
    <row r="1047255" customFormat="1" spans="2:14">
      <c r="B1047255" s="26"/>
      <c r="C1047255" s="26"/>
      <c r="D1047255" s="4"/>
      <c r="E1047255" s="26"/>
      <c r="F1047255" s="26"/>
      <c r="G1047255" s="26"/>
      <c r="H1047255" s="26"/>
      <c r="I1047255" s="27"/>
      <c r="J1047255" s="26"/>
      <c r="K1047255" s="26"/>
      <c r="L1047255" s="4"/>
      <c r="M1047255" s="4"/>
      <c r="N1047255" s="26"/>
    </row>
    <row r="1047256" customFormat="1" spans="2:14">
      <c r="B1047256" s="26"/>
      <c r="C1047256" s="26"/>
      <c r="D1047256" s="4"/>
      <c r="E1047256" s="26"/>
      <c r="F1047256" s="26"/>
      <c r="G1047256" s="26"/>
      <c r="H1047256" s="26"/>
      <c r="I1047256" s="27"/>
      <c r="J1047256" s="26"/>
      <c r="K1047256" s="26"/>
      <c r="L1047256" s="4"/>
      <c r="M1047256" s="4"/>
      <c r="N1047256" s="26"/>
    </row>
    <row r="1047257" customFormat="1" spans="2:14">
      <c r="B1047257" s="26"/>
      <c r="C1047257" s="26"/>
      <c r="D1047257" s="4"/>
      <c r="E1047257" s="26"/>
      <c r="F1047257" s="26"/>
      <c r="G1047257" s="26"/>
      <c r="H1047257" s="26"/>
      <c r="I1047257" s="27"/>
      <c r="J1047257" s="26"/>
      <c r="K1047257" s="26"/>
      <c r="L1047257" s="4"/>
      <c r="M1047257" s="4"/>
      <c r="N1047257" s="26"/>
    </row>
    <row r="1047258" customFormat="1" spans="2:14">
      <c r="B1047258" s="26"/>
      <c r="C1047258" s="26"/>
      <c r="D1047258" s="4"/>
      <c r="E1047258" s="26"/>
      <c r="F1047258" s="26"/>
      <c r="G1047258" s="26"/>
      <c r="H1047258" s="26"/>
      <c r="I1047258" s="27"/>
      <c r="J1047258" s="26"/>
      <c r="K1047258" s="26"/>
      <c r="L1047258" s="4"/>
      <c r="M1047258" s="4"/>
      <c r="N1047258" s="26"/>
    </row>
    <row r="1047259" customFormat="1" spans="2:14">
      <c r="B1047259" s="26"/>
      <c r="C1047259" s="26"/>
      <c r="D1047259" s="4"/>
      <c r="E1047259" s="26"/>
      <c r="F1047259" s="26"/>
      <c r="G1047259" s="26"/>
      <c r="H1047259" s="26"/>
      <c r="I1047259" s="27"/>
      <c r="J1047259" s="26"/>
      <c r="K1047259" s="26"/>
      <c r="L1047259" s="4"/>
      <c r="M1047259" s="4"/>
      <c r="N1047259" s="26"/>
    </row>
    <row r="1047260" customFormat="1" spans="2:14">
      <c r="B1047260" s="26"/>
      <c r="C1047260" s="26"/>
      <c r="D1047260" s="4"/>
      <c r="E1047260" s="26"/>
      <c r="F1047260" s="26"/>
      <c r="G1047260" s="26"/>
      <c r="H1047260" s="26"/>
      <c r="I1047260" s="27"/>
      <c r="J1047260" s="26"/>
      <c r="K1047260" s="26"/>
      <c r="L1047260" s="4"/>
      <c r="M1047260" s="4"/>
      <c r="N1047260" s="26"/>
    </row>
    <row r="1047261" customFormat="1" spans="2:14">
      <c r="B1047261" s="26"/>
      <c r="C1047261" s="26"/>
      <c r="D1047261" s="4"/>
      <c r="E1047261" s="26"/>
      <c r="F1047261" s="26"/>
      <c r="G1047261" s="26"/>
      <c r="H1047261" s="26"/>
      <c r="I1047261" s="27"/>
      <c r="J1047261" s="26"/>
      <c r="K1047261" s="26"/>
      <c r="L1047261" s="4"/>
      <c r="M1047261" s="4"/>
      <c r="N1047261" s="26"/>
    </row>
    <row r="1047262" customFormat="1" spans="2:14">
      <c r="B1047262" s="26"/>
      <c r="C1047262" s="26"/>
      <c r="D1047262" s="4"/>
      <c r="E1047262" s="26"/>
      <c r="F1047262" s="26"/>
      <c r="G1047262" s="26"/>
      <c r="H1047262" s="26"/>
      <c r="I1047262" s="27"/>
      <c r="J1047262" s="26"/>
      <c r="K1047262" s="26"/>
      <c r="L1047262" s="4"/>
      <c r="M1047262" s="4"/>
      <c r="N1047262" s="26"/>
    </row>
    <row r="1047263" customFormat="1" spans="2:14">
      <c r="B1047263" s="26"/>
      <c r="C1047263" s="26"/>
      <c r="D1047263" s="4"/>
      <c r="E1047263" s="26"/>
      <c r="F1047263" s="26"/>
      <c r="G1047263" s="26"/>
      <c r="H1047263" s="26"/>
      <c r="I1047263" s="27"/>
      <c r="J1047263" s="26"/>
      <c r="K1047263" s="26"/>
      <c r="L1047263" s="4"/>
      <c r="M1047263" s="4"/>
      <c r="N1047263" s="26"/>
    </row>
    <row r="1047264" customFormat="1" spans="2:14">
      <c r="B1047264" s="26"/>
      <c r="C1047264" s="26"/>
      <c r="D1047264" s="4"/>
      <c r="E1047264" s="26"/>
      <c r="F1047264" s="26"/>
      <c r="G1047264" s="26"/>
      <c r="H1047264" s="26"/>
      <c r="I1047264" s="27"/>
      <c r="J1047264" s="26"/>
      <c r="K1047264" s="26"/>
      <c r="L1047264" s="4"/>
      <c r="M1047264" s="4"/>
      <c r="N1047264" s="26"/>
    </row>
    <row r="1047265" customFormat="1" spans="2:14">
      <c r="B1047265" s="26"/>
      <c r="C1047265" s="26"/>
      <c r="D1047265" s="4"/>
      <c r="E1047265" s="26"/>
      <c r="F1047265" s="26"/>
      <c r="G1047265" s="26"/>
      <c r="H1047265" s="26"/>
      <c r="I1047265" s="27"/>
      <c r="J1047265" s="26"/>
      <c r="K1047265" s="26"/>
      <c r="L1047265" s="4"/>
      <c r="M1047265" s="4"/>
      <c r="N1047265" s="26"/>
    </row>
    <row r="1047266" customFormat="1" spans="2:14">
      <c r="B1047266" s="26"/>
      <c r="C1047266" s="26"/>
      <c r="D1047266" s="4"/>
      <c r="E1047266" s="26"/>
      <c r="F1047266" s="26"/>
      <c r="G1047266" s="26"/>
      <c r="H1047266" s="26"/>
      <c r="I1047266" s="27"/>
      <c r="J1047266" s="26"/>
      <c r="K1047266" s="26"/>
      <c r="L1047266" s="4"/>
      <c r="M1047266" s="4"/>
      <c r="N1047266" s="26"/>
    </row>
    <row r="1047267" customFormat="1" spans="2:14">
      <c r="B1047267" s="26"/>
      <c r="C1047267" s="26"/>
      <c r="D1047267" s="4"/>
      <c r="E1047267" s="26"/>
      <c r="F1047267" s="26"/>
      <c r="G1047267" s="26"/>
      <c r="H1047267" s="26"/>
      <c r="I1047267" s="27"/>
      <c r="J1047267" s="26"/>
      <c r="K1047267" s="26"/>
      <c r="L1047267" s="4"/>
      <c r="M1047267" s="4"/>
      <c r="N1047267" s="26"/>
    </row>
    <row r="1047268" customFormat="1" spans="2:14">
      <c r="B1047268" s="26"/>
      <c r="C1047268" s="26"/>
      <c r="D1047268" s="4"/>
      <c r="E1047268" s="26"/>
      <c r="F1047268" s="26"/>
      <c r="G1047268" s="26"/>
      <c r="H1047268" s="26"/>
      <c r="I1047268" s="27"/>
      <c r="J1047268" s="26"/>
      <c r="K1047268" s="26"/>
      <c r="L1047268" s="4"/>
      <c r="M1047268" s="4"/>
      <c r="N1047268" s="26"/>
    </row>
    <row r="1047269" customFormat="1" spans="2:14">
      <c r="B1047269" s="26"/>
      <c r="C1047269" s="26"/>
      <c r="D1047269" s="4"/>
      <c r="E1047269" s="26"/>
      <c r="F1047269" s="26"/>
      <c r="G1047269" s="26"/>
      <c r="H1047269" s="26"/>
      <c r="I1047269" s="27"/>
      <c r="J1047269" s="26"/>
      <c r="K1047269" s="26"/>
      <c r="L1047269" s="4"/>
      <c r="M1047269" s="4"/>
      <c r="N1047269" s="26"/>
    </row>
    <row r="1047270" customFormat="1" spans="2:14">
      <c r="B1047270" s="26"/>
      <c r="C1047270" s="26"/>
      <c r="D1047270" s="4"/>
      <c r="E1047270" s="26"/>
      <c r="F1047270" s="26"/>
      <c r="G1047270" s="26"/>
      <c r="H1047270" s="26"/>
      <c r="I1047270" s="27"/>
      <c r="J1047270" s="26"/>
      <c r="K1047270" s="26"/>
      <c r="L1047270" s="4"/>
      <c r="M1047270" s="4"/>
      <c r="N1047270" s="26"/>
    </row>
    <row r="1047271" customFormat="1" spans="2:14">
      <c r="B1047271" s="26"/>
      <c r="C1047271" s="26"/>
      <c r="D1047271" s="4"/>
      <c r="E1047271" s="26"/>
      <c r="F1047271" s="26"/>
      <c r="G1047271" s="26"/>
      <c r="H1047271" s="26"/>
      <c r="I1047271" s="27"/>
      <c r="J1047271" s="26"/>
      <c r="K1047271" s="26"/>
      <c r="L1047271" s="4"/>
      <c r="M1047271" s="4"/>
      <c r="N1047271" s="26"/>
    </row>
    <row r="1047272" customFormat="1" spans="2:14">
      <c r="B1047272" s="26"/>
      <c r="C1047272" s="26"/>
      <c r="D1047272" s="4"/>
      <c r="E1047272" s="26"/>
      <c r="F1047272" s="26"/>
      <c r="G1047272" s="26"/>
      <c r="H1047272" s="26"/>
      <c r="I1047272" s="27"/>
      <c r="J1047272" s="26"/>
      <c r="K1047272" s="26"/>
      <c r="L1047272" s="4"/>
      <c r="M1047272" s="4"/>
      <c r="N1047272" s="26"/>
    </row>
    <row r="1047273" customFormat="1" spans="2:14">
      <c r="B1047273" s="26"/>
      <c r="C1047273" s="26"/>
      <c r="D1047273" s="4"/>
      <c r="E1047273" s="26"/>
      <c r="F1047273" s="26"/>
      <c r="G1047273" s="26"/>
      <c r="H1047273" s="26"/>
      <c r="I1047273" s="27"/>
      <c r="J1047273" s="26"/>
      <c r="K1047273" s="26"/>
      <c r="L1047273" s="4"/>
      <c r="M1047273" s="4"/>
      <c r="N1047273" s="26"/>
    </row>
    <row r="1047274" customFormat="1" spans="2:14">
      <c r="B1047274" s="26"/>
      <c r="C1047274" s="26"/>
      <c r="D1047274" s="4"/>
      <c r="E1047274" s="26"/>
      <c r="F1047274" s="26"/>
      <c r="G1047274" s="26"/>
      <c r="H1047274" s="26"/>
      <c r="I1047274" s="27"/>
      <c r="J1047274" s="26"/>
      <c r="K1047274" s="26"/>
      <c r="L1047274" s="4"/>
      <c r="M1047274" s="4"/>
      <c r="N1047274" s="26"/>
    </row>
    <row r="1047275" customFormat="1" spans="2:14">
      <c r="B1047275" s="26"/>
      <c r="C1047275" s="26"/>
      <c r="D1047275" s="4"/>
      <c r="E1047275" s="26"/>
      <c r="F1047275" s="26"/>
      <c r="G1047275" s="26"/>
      <c r="H1047275" s="26"/>
      <c r="I1047275" s="27"/>
      <c r="J1047275" s="26"/>
      <c r="K1047275" s="26"/>
      <c r="L1047275" s="4"/>
      <c r="M1047275" s="4"/>
      <c r="N1047275" s="26"/>
    </row>
    <row r="1047276" customFormat="1" spans="2:14">
      <c r="B1047276" s="26"/>
      <c r="C1047276" s="26"/>
      <c r="D1047276" s="4"/>
      <c r="E1047276" s="26"/>
      <c r="F1047276" s="26"/>
      <c r="G1047276" s="26"/>
      <c r="H1047276" s="26"/>
      <c r="I1047276" s="27"/>
      <c r="J1047276" s="26"/>
      <c r="K1047276" s="26"/>
      <c r="L1047276" s="4"/>
      <c r="M1047276" s="4"/>
      <c r="N1047276" s="26"/>
    </row>
    <row r="1047277" customFormat="1" spans="2:14">
      <c r="B1047277" s="26"/>
      <c r="C1047277" s="26"/>
      <c r="D1047277" s="4"/>
      <c r="E1047277" s="26"/>
      <c r="F1047277" s="26"/>
      <c r="G1047277" s="26"/>
      <c r="H1047277" s="26"/>
      <c r="I1047277" s="27"/>
      <c r="J1047277" s="26"/>
      <c r="K1047277" s="26"/>
      <c r="L1047277" s="4"/>
      <c r="M1047277" s="4"/>
      <c r="N1047277" s="26"/>
    </row>
    <row r="1047278" customFormat="1" spans="2:14">
      <c r="B1047278" s="26"/>
      <c r="C1047278" s="26"/>
      <c r="D1047278" s="4"/>
      <c r="E1047278" s="26"/>
      <c r="F1047278" s="26"/>
      <c r="G1047278" s="26"/>
      <c r="H1047278" s="26"/>
      <c r="I1047278" s="27"/>
      <c r="J1047278" s="26"/>
      <c r="K1047278" s="26"/>
      <c r="L1047278" s="4"/>
      <c r="M1047278" s="4"/>
      <c r="N1047278" s="26"/>
    </row>
    <row r="1047279" customFormat="1" spans="2:14">
      <c r="B1047279" s="26"/>
      <c r="C1047279" s="26"/>
      <c r="D1047279" s="4"/>
      <c r="E1047279" s="26"/>
      <c r="F1047279" s="26"/>
      <c r="G1047279" s="26"/>
      <c r="H1047279" s="26"/>
      <c r="I1047279" s="27"/>
      <c r="J1047279" s="26"/>
      <c r="K1047279" s="26"/>
      <c r="L1047279" s="4"/>
      <c r="M1047279" s="4"/>
      <c r="N1047279" s="26"/>
    </row>
    <row r="1047280" customFormat="1" spans="2:14">
      <c r="B1047280" s="26"/>
      <c r="C1047280" s="26"/>
      <c r="D1047280" s="4"/>
      <c r="E1047280" s="26"/>
      <c r="F1047280" s="26"/>
      <c r="G1047280" s="26"/>
      <c r="H1047280" s="26"/>
      <c r="I1047280" s="27"/>
      <c r="J1047280" s="26"/>
      <c r="K1047280" s="26"/>
      <c r="L1047280" s="4"/>
      <c r="M1047280" s="4"/>
      <c r="N1047280" s="26"/>
    </row>
    <row r="1047281" customFormat="1" spans="2:14">
      <c r="B1047281" s="26"/>
      <c r="C1047281" s="26"/>
      <c r="D1047281" s="4"/>
      <c r="E1047281" s="26"/>
      <c r="F1047281" s="26"/>
      <c r="G1047281" s="26"/>
      <c r="H1047281" s="26"/>
      <c r="I1047281" s="27"/>
      <c r="J1047281" s="26"/>
      <c r="K1047281" s="26"/>
      <c r="L1047281" s="4"/>
      <c r="M1047281" s="4"/>
      <c r="N1047281" s="26"/>
    </row>
    <row r="1047282" customFormat="1" spans="2:14">
      <c r="B1047282" s="26"/>
      <c r="C1047282" s="26"/>
      <c r="D1047282" s="4"/>
      <c r="E1047282" s="26"/>
      <c r="F1047282" s="26"/>
      <c r="G1047282" s="26"/>
      <c r="H1047282" s="26"/>
      <c r="I1047282" s="27"/>
      <c r="J1047282" s="26"/>
      <c r="K1047282" s="26"/>
      <c r="L1047282" s="4"/>
      <c r="M1047282" s="4"/>
      <c r="N1047282" s="26"/>
    </row>
    <row r="1047283" customFormat="1" spans="2:14">
      <c r="B1047283" s="26"/>
      <c r="C1047283" s="26"/>
      <c r="D1047283" s="4"/>
      <c r="E1047283" s="26"/>
      <c r="F1047283" s="26"/>
      <c r="G1047283" s="26"/>
      <c r="H1047283" s="26"/>
      <c r="I1047283" s="27"/>
      <c r="J1047283" s="26"/>
      <c r="K1047283" s="26"/>
      <c r="L1047283" s="4"/>
      <c r="M1047283" s="4"/>
      <c r="N1047283" s="26"/>
    </row>
    <row r="1047284" customFormat="1" spans="2:14">
      <c r="B1047284" s="26"/>
      <c r="C1047284" s="26"/>
      <c r="D1047284" s="4"/>
      <c r="E1047284" s="26"/>
      <c r="F1047284" s="26"/>
      <c r="G1047284" s="26"/>
      <c r="H1047284" s="26"/>
      <c r="I1047284" s="27"/>
      <c r="J1047284" s="26"/>
      <c r="K1047284" s="26"/>
      <c r="L1047284" s="4"/>
      <c r="M1047284" s="4"/>
      <c r="N1047284" s="26"/>
    </row>
    <row r="1047285" customFormat="1" spans="2:14">
      <c r="B1047285" s="26"/>
      <c r="C1047285" s="26"/>
      <c r="D1047285" s="4"/>
      <c r="E1047285" s="26"/>
      <c r="F1047285" s="26"/>
      <c r="G1047285" s="26"/>
      <c r="H1047285" s="26"/>
      <c r="I1047285" s="27"/>
      <c r="J1047285" s="26"/>
      <c r="K1047285" s="26"/>
      <c r="L1047285" s="4"/>
      <c r="M1047285" s="4"/>
      <c r="N1047285" s="26"/>
    </row>
    <row r="1047286" customFormat="1" spans="2:14">
      <c r="B1047286" s="26"/>
      <c r="C1047286" s="26"/>
      <c r="D1047286" s="4"/>
      <c r="E1047286" s="26"/>
      <c r="F1047286" s="26"/>
      <c r="G1047286" s="26"/>
      <c r="H1047286" s="26"/>
      <c r="I1047286" s="27"/>
      <c r="J1047286" s="26"/>
      <c r="K1047286" s="26"/>
      <c r="L1047286" s="4"/>
      <c r="M1047286" s="4"/>
      <c r="N1047286" s="26"/>
    </row>
    <row r="1047287" customFormat="1" spans="2:14">
      <c r="B1047287" s="26"/>
      <c r="C1047287" s="26"/>
      <c r="D1047287" s="4"/>
      <c r="E1047287" s="26"/>
      <c r="F1047287" s="26"/>
      <c r="G1047287" s="26"/>
      <c r="H1047287" s="26"/>
      <c r="I1047287" s="27"/>
      <c r="J1047287" s="26"/>
      <c r="K1047287" s="26"/>
      <c r="L1047287" s="4"/>
      <c r="M1047287" s="4"/>
      <c r="N1047287" s="26"/>
    </row>
    <row r="1047288" customFormat="1" spans="2:14">
      <c r="B1047288" s="26"/>
      <c r="C1047288" s="26"/>
      <c r="D1047288" s="4"/>
      <c r="E1047288" s="26"/>
      <c r="F1047288" s="26"/>
      <c r="G1047288" s="26"/>
      <c r="H1047288" s="26"/>
      <c r="I1047288" s="27"/>
      <c r="J1047288" s="26"/>
      <c r="K1047288" s="26"/>
      <c r="L1047288" s="4"/>
      <c r="M1047288" s="4"/>
      <c r="N1047288" s="26"/>
    </row>
    <row r="1047289" customFormat="1" spans="2:14">
      <c r="B1047289" s="26"/>
      <c r="C1047289" s="26"/>
      <c r="D1047289" s="4"/>
      <c r="E1047289" s="26"/>
      <c r="F1047289" s="26"/>
      <c r="G1047289" s="26"/>
      <c r="H1047289" s="26"/>
      <c r="I1047289" s="27"/>
      <c r="J1047289" s="26"/>
      <c r="K1047289" s="26"/>
      <c r="L1047289" s="4"/>
      <c r="M1047289" s="4"/>
      <c r="N1047289" s="26"/>
    </row>
    <row r="1047290" customFormat="1" spans="2:14">
      <c r="B1047290" s="26"/>
      <c r="C1047290" s="26"/>
      <c r="D1047290" s="4"/>
      <c r="E1047290" s="26"/>
      <c r="F1047290" s="26"/>
      <c r="G1047290" s="26"/>
      <c r="H1047290" s="26"/>
      <c r="I1047290" s="27"/>
      <c r="J1047290" s="26"/>
      <c r="K1047290" s="26"/>
      <c r="L1047290" s="4"/>
      <c r="M1047290" s="4"/>
      <c r="N1047290" s="26"/>
    </row>
    <row r="1047291" customFormat="1" spans="2:14">
      <c r="B1047291" s="26"/>
      <c r="C1047291" s="26"/>
      <c r="D1047291" s="4"/>
      <c r="E1047291" s="26"/>
      <c r="F1047291" s="26"/>
      <c r="G1047291" s="26"/>
      <c r="H1047291" s="26"/>
      <c r="I1047291" s="27"/>
      <c r="J1047291" s="26"/>
      <c r="K1047291" s="26"/>
      <c r="L1047291" s="4"/>
      <c r="M1047291" s="4"/>
      <c r="N1047291" s="26"/>
    </row>
    <row r="1047292" customFormat="1" spans="2:14">
      <c r="B1047292" s="26"/>
      <c r="C1047292" s="26"/>
      <c r="D1047292" s="4"/>
      <c r="E1047292" s="26"/>
      <c r="F1047292" s="26"/>
      <c r="G1047292" s="26"/>
      <c r="H1047292" s="26"/>
      <c r="I1047292" s="27"/>
      <c r="J1047292" s="26"/>
      <c r="K1047292" s="26"/>
      <c r="L1047292" s="4"/>
      <c r="M1047292" s="4"/>
      <c r="N1047292" s="26"/>
    </row>
    <row r="1047293" customFormat="1" spans="2:14">
      <c r="B1047293" s="26"/>
      <c r="C1047293" s="26"/>
      <c r="D1047293" s="4"/>
      <c r="E1047293" s="26"/>
      <c r="F1047293" s="26"/>
      <c r="G1047293" s="26"/>
      <c r="H1047293" s="26"/>
      <c r="I1047293" s="27"/>
      <c r="J1047293" s="26"/>
      <c r="K1047293" s="26"/>
      <c r="L1047293" s="4"/>
      <c r="M1047293" s="4"/>
      <c r="N1047293" s="26"/>
    </row>
    <row r="1047294" customFormat="1" spans="2:14">
      <c r="B1047294" s="26"/>
      <c r="C1047294" s="26"/>
      <c r="D1047294" s="4"/>
      <c r="E1047294" s="26"/>
      <c r="F1047294" s="26"/>
      <c r="G1047294" s="26"/>
      <c r="H1047294" s="26"/>
      <c r="I1047294" s="27"/>
      <c r="J1047294" s="26"/>
      <c r="K1047294" s="26"/>
      <c r="L1047294" s="4"/>
      <c r="M1047294" s="4"/>
      <c r="N1047294" s="26"/>
    </row>
    <row r="1047295" customFormat="1" spans="2:14">
      <c r="B1047295" s="26"/>
      <c r="C1047295" s="26"/>
      <c r="D1047295" s="4"/>
      <c r="E1047295" s="26"/>
      <c r="F1047295" s="26"/>
      <c r="G1047295" s="26"/>
      <c r="H1047295" s="26"/>
      <c r="I1047295" s="27"/>
      <c r="J1047295" s="26"/>
      <c r="K1047295" s="26"/>
      <c r="L1047295" s="4"/>
      <c r="M1047295" s="4"/>
      <c r="N1047295" s="26"/>
    </row>
    <row r="1047296" customFormat="1" spans="2:14">
      <c r="B1047296" s="26"/>
      <c r="C1047296" s="26"/>
      <c r="D1047296" s="4"/>
      <c r="E1047296" s="26"/>
      <c r="F1047296" s="26"/>
      <c r="G1047296" s="26"/>
      <c r="H1047296" s="26"/>
      <c r="I1047296" s="27"/>
      <c r="J1047296" s="26"/>
      <c r="K1047296" s="26"/>
      <c r="L1047296" s="4"/>
      <c r="M1047296" s="4"/>
      <c r="N1047296" s="26"/>
    </row>
    <row r="1047297" customFormat="1" spans="2:14">
      <c r="B1047297" s="26"/>
      <c r="C1047297" s="26"/>
      <c r="D1047297" s="4"/>
      <c r="E1047297" s="26"/>
      <c r="F1047297" s="26"/>
      <c r="G1047297" s="26"/>
      <c r="H1047297" s="26"/>
      <c r="I1047297" s="27"/>
      <c r="J1047297" s="26"/>
      <c r="K1047297" s="26"/>
      <c r="L1047297" s="4"/>
      <c r="M1047297" s="4"/>
      <c r="N1047297" s="26"/>
    </row>
    <row r="1047298" customFormat="1" spans="2:14">
      <c r="B1047298" s="26"/>
      <c r="C1047298" s="26"/>
      <c r="D1047298" s="4"/>
      <c r="E1047298" s="26"/>
      <c r="F1047298" s="26"/>
      <c r="G1047298" s="26"/>
      <c r="H1047298" s="26"/>
      <c r="I1047298" s="27"/>
      <c r="J1047298" s="26"/>
      <c r="K1047298" s="26"/>
      <c r="L1047298" s="4"/>
      <c r="M1047298" s="4"/>
      <c r="N1047298" s="26"/>
    </row>
    <row r="1047299" customFormat="1" spans="2:14">
      <c r="B1047299" s="26"/>
      <c r="C1047299" s="26"/>
      <c r="D1047299" s="4"/>
      <c r="E1047299" s="26"/>
      <c r="F1047299" s="26"/>
      <c r="G1047299" s="26"/>
      <c r="H1047299" s="26"/>
      <c r="I1047299" s="27"/>
      <c r="J1047299" s="26"/>
      <c r="K1047299" s="26"/>
      <c r="L1047299" s="4"/>
      <c r="M1047299" s="4"/>
      <c r="N1047299" s="26"/>
    </row>
    <row r="1047300" customFormat="1" spans="2:14">
      <c r="B1047300" s="26"/>
      <c r="C1047300" s="26"/>
      <c r="D1047300" s="4"/>
      <c r="E1047300" s="26"/>
      <c r="F1047300" s="26"/>
      <c r="G1047300" s="26"/>
      <c r="H1047300" s="26"/>
      <c r="I1047300" s="27"/>
      <c r="J1047300" s="26"/>
      <c r="K1047300" s="26"/>
      <c r="L1047300" s="4"/>
      <c r="M1047300" s="4"/>
      <c r="N1047300" s="26"/>
    </row>
    <row r="1047301" customFormat="1" spans="2:14">
      <c r="B1047301" s="26"/>
      <c r="C1047301" s="26"/>
      <c r="D1047301" s="4"/>
      <c r="E1047301" s="26"/>
      <c r="F1047301" s="26"/>
      <c r="G1047301" s="26"/>
      <c r="H1047301" s="26"/>
      <c r="I1047301" s="27"/>
      <c r="J1047301" s="26"/>
      <c r="K1047301" s="26"/>
      <c r="L1047301" s="4"/>
      <c r="M1047301" s="4"/>
      <c r="N1047301" s="26"/>
    </row>
    <row r="1047302" customFormat="1" spans="2:14">
      <c r="B1047302" s="26"/>
      <c r="C1047302" s="26"/>
      <c r="D1047302" s="4"/>
      <c r="E1047302" s="26"/>
      <c r="F1047302" s="26"/>
      <c r="G1047302" s="26"/>
      <c r="H1047302" s="26"/>
      <c r="I1047302" s="27"/>
      <c r="J1047302" s="26"/>
      <c r="K1047302" s="26"/>
      <c r="L1047302" s="4"/>
      <c r="M1047302" s="4"/>
      <c r="N1047302" s="26"/>
    </row>
    <row r="1047303" customFormat="1" spans="2:14">
      <c r="B1047303" s="26"/>
      <c r="C1047303" s="26"/>
      <c r="D1047303" s="4"/>
      <c r="E1047303" s="26"/>
      <c r="F1047303" s="26"/>
      <c r="G1047303" s="26"/>
      <c r="H1047303" s="26"/>
      <c r="I1047303" s="27"/>
      <c r="J1047303" s="26"/>
      <c r="K1047303" s="26"/>
      <c r="L1047303" s="4"/>
      <c r="M1047303" s="4"/>
      <c r="N1047303" s="26"/>
    </row>
    <row r="1047304" customFormat="1" spans="2:14">
      <c r="B1047304" s="26"/>
      <c r="C1047304" s="26"/>
      <c r="D1047304" s="4"/>
      <c r="E1047304" s="26"/>
      <c r="F1047304" s="26"/>
      <c r="G1047304" s="26"/>
      <c r="H1047304" s="26"/>
      <c r="I1047304" s="27"/>
      <c r="J1047304" s="26"/>
      <c r="K1047304" s="26"/>
      <c r="L1047304" s="4"/>
      <c r="M1047304" s="4"/>
      <c r="N1047304" s="26"/>
    </row>
    <row r="1047305" customFormat="1" spans="2:14">
      <c r="B1047305" s="26"/>
      <c r="C1047305" s="26"/>
      <c r="D1047305" s="4"/>
      <c r="E1047305" s="26"/>
      <c r="F1047305" s="26"/>
      <c r="G1047305" s="26"/>
      <c r="H1047305" s="26"/>
      <c r="I1047305" s="27"/>
      <c r="J1047305" s="26"/>
      <c r="K1047305" s="26"/>
      <c r="L1047305" s="4"/>
      <c r="M1047305" s="4"/>
      <c r="N1047305" s="26"/>
    </row>
    <row r="1047306" customFormat="1" spans="2:14">
      <c r="B1047306" s="26"/>
      <c r="C1047306" s="26"/>
      <c r="D1047306" s="4"/>
      <c r="E1047306" s="26"/>
      <c r="F1047306" s="26"/>
      <c r="G1047306" s="26"/>
      <c r="H1047306" s="26"/>
      <c r="I1047306" s="27"/>
      <c r="J1047306" s="26"/>
      <c r="K1047306" s="26"/>
      <c r="L1047306" s="4"/>
      <c r="M1047306" s="4"/>
      <c r="N1047306" s="26"/>
    </row>
    <row r="1047307" customFormat="1" spans="2:14">
      <c r="B1047307" s="26"/>
      <c r="C1047307" s="26"/>
      <c r="D1047307" s="4"/>
      <c r="E1047307" s="26"/>
      <c r="F1047307" s="26"/>
      <c r="G1047307" s="26"/>
      <c r="H1047307" s="26"/>
      <c r="I1047307" s="27"/>
      <c r="J1047307" s="26"/>
      <c r="K1047307" s="26"/>
      <c r="L1047307" s="4"/>
      <c r="M1047307" s="4"/>
      <c r="N1047307" s="26"/>
    </row>
    <row r="1047308" customFormat="1" spans="2:14">
      <c r="B1047308" s="26"/>
      <c r="C1047308" s="26"/>
      <c r="D1047308" s="4"/>
      <c r="E1047308" s="26"/>
      <c r="F1047308" s="26"/>
      <c r="G1047308" s="26"/>
      <c r="H1047308" s="26"/>
      <c r="I1047308" s="27"/>
      <c r="J1047308" s="26"/>
      <c r="K1047308" s="26"/>
      <c r="L1047308" s="4"/>
      <c r="M1047308" s="4"/>
      <c r="N1047308" s="26"/>
    </row>
    <row r="1047309" customFormat="1" spans="2:14">
      <c r="B1047309" s="26"/>
      <c r="C1047309" s="26"/>
      <c r="D1047309" s="4"/>
      <c r="E1047309" s="26"/>
      <c r="F1047309" s="26"/>
      <c r="G1047309" s="26"/>
      <c r="H1047309" s="26"/>
      <c r="I1047309" s="27"/>
      <c r="J1047309" s="26"/>
      <c r="K1047309" s="26"/>
      <c r="L1047309" s="4"/>
      <c r="M1047309" s="4"/>
      <c r="N1047309" s="26"/>
    </row>
    <row r="1047310" customFormat="1" spans="2:14">
      <c r="B1047310" s="26"/>
      <c r="C1047310" s="26"/>
      <c r="D1047310" s="4"/>
      <c r="E1047310" s="26"/>
      <c r="F1047310" s="26"/>
      <c r="G1047310" s="26"/>
      <c r="H1047310" s="26"/>
      <c r="I1047310" s="27"/>
      <c r="J1047310" s="26"/>
      <c r="K1047310" s="26"/>
      <c r="L1047310" s="4"/>
      <c r="M1047310" s="4"/>
      <c r="N1047310" s="26"/>
    </row>
    <row r="1047311" customFormat="1" spans="2:14">
      <c r="B1047311" s="26"/>
      <c r="C1047311" s="26"/>
      <c r="D1047311" s="4"/>
      <c r="E1047311" s="26"/>
      <c r="F1047311" s="26"/>
      <c r="G1047311" s="26"/>
      <c r="H1047311" s="26"/>
      <c r="I1047311" s="27"/>
      <c r="J1047311" s="26"/>
      <c r="K1047311" s="26"/>
      <c r="L1047311" s="4"/>
      <c r="M1047311" s="4"/>
      <c r="N1047311" s="26"/>
    </row>
    <row r="1047312" customFormat="1" spans="2:14">
      <c r="B1047312" s="26"/>
      <c r="C1047312" s="26"/>
      <c r="D1047312" s="4"/>
      <c r="E1047312" s="26"/>
      <c r="F1047312" s="26"/>
      <c r="G1047312" s="26"/>
      <c r="H1047312" s="26"/>
      <c r="I1047312" s="27"/>
      <c r="J1047312" s="26"/>
      <c r="K1047312" s="26"/>
      <c r="L1047312" s="4"/>
      <c r="M1047312" s="4"/>
      <c r="N1047312" s="26"/>
    </row>
    <row r="1047313" customFormat="1" spans="2:14">
      <c r="B1047313" s="26"/>
      <c r="C1047313" s="26"/>
      <c r="D1047313" s="4"/>
      <c r="E1047313" s="26"/>
      <c r="F1047313" s="26"/>
      <c r="G1047313" s="26"/>
      <c r="H1047313" s="26"/>
      <c r="I1047313" s="27"/>
      <c r="J1047313" s="26"/>
      <c r="K1047313" s="26"/>
      <c r="L1047313" s="4"/>
      <c r="M1047313" s="4"/>
      <c r="N1047313" s="26"/>
    </row>
    <row r="1047314" customFormat="1" spans="2:14">
      <c r="B1047314" s="26"/>
      <c r="C1047314" s="26"/>
      <c r="D1047314" s="4"/>
      <c r="E1047314" s="26"/>
      <c r="F1047314" s="26"/>
      <c r="G1047314" s="26"/>
      <c r="H1047314" s="26"/>
      <c r="I1047314" s="27"/>
      <c r="J1047314" s="26"/>
      <c r="K1047314" s="26"/>
      <c r="L1047314" s="4"/>
      <c r="M1047314" s="4"/>
      <c r="N1047314" s="26"/>
    </row>
    <row r="1047315" customFormat="1" spans="2:14">
      <c r="B1047315" s="26"/>
      <c r="C1047315" s="26"/>
      <c r="D1047315" s="4"/>
      <c r="E1047315" s="26"/>
      <c r="F1047315" s="26"/>
      <c r="G1047315" s="26"/>
      <c r="H1047315" s="26"/>
      <c r="I1047315" s="27"/>
      <c r="J1047315" s="26"/>
      <c r="K1047315" s="26"/>
      <c r="L1047315" s="4"/>
      <c r="M1047315" s="4"/>
      <c r="N1047315" s="26"/>
    </row>
    <row r="1047316" customFormat="1" spans="2:14">
      <c r="B1047316" s="26"/>
      <c r="C1047316" s="26"/>
      <c r="D1047316" s="4"/>
      <c r="E1047316" s="26"/>
      <c r="F1047316" s="26"/>
      <c r="G1047316" s="26"/>
      <c r="H1047316" s="26"/>
      <c r="I1047316" s="27"/>
      <c r="J1047316" s="26"/>
      <c r="K1047316" s="26"/>
      <c r="L1047316" s="4"/>
      <c r="M1047316" s="4"/>
      <c r="N1047316" s="26"/>
    </row>
    <row r="1047317" customFormat="1" spans="2:14">
      <c r="B1047317" s="26"/>
      <c r="C1047317" s="26"/>
      <c r="D1047317" s="4"/>
      <c r="E1047317" s="26"/>
      <c r="F1047317" s="26"/>
      <c r="G1047317" s="26"/>
      <c r="H1047317" s="26"/>
      <c r="I1047317" s="27"/>
      <c r="J1047317" s="26"/>
      <c r="K1047317" s="26"/>
      <c r="L1047317" s="4"/>
      <c r="M1047317" s="4"/>
      <c r="N1047317" s="26"/>
    </row>
    <row r="1047318" customFormat="1" spans="2:14">
      <c r="B1047318" s="26"/>
      <c r="C1047318" s="26"/>
      <c r="D1047318" s="4"/>
      <c r="E1047318" s="26"/>
      <c r="F1047318" s="26"/>
      <c r="G1047318" s="26"/>
      <c r="H1047318" s="26"/>
      <c r="I1047318" s="27"/>
      <c r="J1047318" s="26"/>
      <c r="K1047318" s="26"/>
      <c r="L1047318" s="4"/>
      <c r="M1047318" s="4"/>
      <c r="N1047318" s="26"/>
    </row>
    <row r="1047319" customFormat="1" spans="2:14">
      <c r="B1047319" s="26"/>
      <c r="C1047319" s="26"/>
      <c r="D1047319" s="4"/>
      <c r="E1047319" s="26"/>
      <c r="F1047319" s="26"/>
      <c r="G1047319" s="26"/>
      <c r="H1047319" s="26"/>
      <c r="I1047319" s="27"/>
      <c r="J1047319" s="26"/>
      <c r="K1047319" s="26"/>
      <c r="L1047319" s="4"/>
      <c r="M1047319" s="4"/>
      <c r="N1047319" s="26"/>
    </row>
    <row r="1047320" customFormat="1" spans="2:14">
      <c r="B1047320" s="26"/>
      <c r="C1047320" s="26"/>
      <c r="D1047320" s="4"/>
      <c r="E1047320" s="26"/>
      <c r="F1047320" s="26"/>
      <c r="G1047320" s="26"/>
      <c r="H1047320" s="26"/>
      <c r="I1047320" s="27"/>
      <c r="J1047320" s="26"/>
      <c r="K1047320" s="26"/>
      <c r="L1047320" s="4"/>
      <c r="M1047320" s="4"/>
      <c r="N1047320" s="26"/>
    </row>
    <row r="1047321" customFormat="1" spans="2:14">
      <c r="B1047321" s="26"/>
      <c r="C1047321" s="26"/>
      <c r="D1047321" s="4"/>
      <c r="E1047321" s="26"/>
      <c r="F1047321" s="26"/>
      <c r="G1047321" s="26"/>
      <c r="H1047321" s="26"/>
      <c r="I1047321" s="27"/>
      <c r="J1047321" s="26"/>
      <c r="K1047321" s="26"/>
      <c r="L1047321" s="4"/>
      <c r="M1047321" s="4"/>
      <c r="N1047321" s="26"/>
    </row>
    <row r="1047322" customFormat="1" spans="2:14">
      <c r="B1047322" s="26"/>
      <c r="C1047322" s="26"/>
      <c r="D1047322" s="4"/>
      <c r="E1047322" s="26"/>
      <c r="F1047322" s="26"/>
      <c r="G1047322" s="26"/>
      <c r="H1047322" s="26"/>
      <c r="I1047322" s="27"/>
      <c r="J1047322" s="26"/>
      <c r="K1047322" s="26"/>
      <c r="L1047322" s="4"/>
      <c r="M1047322" s="4"/>
      <c r="N1047322" s="26"/>
    </row>
    <row r="1047323" customFormat="1" spans="2:14">
      <c r="B1047323" s="26"/>
      <c r="C1047323" s="26"/>
      <c r="D1047323" s="4"/>
      <c r="E1047323" s="26"/>
      <c r="F1047323" s="26"/>
      <c r="G1047323" s="26"/>
      <c r="H1047323" s="26"/>
      <c r="I1047323" s="27"/>
      <c r="J1047323" s="26"/>
      <c r="K1047323" s="26"/>
      <c r="L1047323" s="4"/>
      <c r="M1047323" s="4"/>
      <c r="N1047323" s="26"/>
    </row>
    <row r="1047324" customFormat="1" spans="2:14">
      <c r="B1047324" s="26"/>
      <c r="C1047324" s="26"/>
      <c r="D1047324" s="4"/>
      <c r="E1047324" s="26"/>
      <c r="F1047324" s="26"/>
      <c r="G1047324" s="26"/>
      <c r="H1047324" s="26"/>
      <c r="I1047324" s="27"/>
      <c r="J1047324" s="26"/>
      <c r="K1047324" s="26"/>
      <c r="L1047324" s="4"/>
      <c r="M1047324" s="4"/>
      <c r="N1047324" s="26"/>
    </row>
    <row r="1047325" customFormat="1" spans="2:14">
      <c r="B1047325" s="26"/>
      <c r="C1047325" s="26"/>
      <c r="D1047325" s="4"/>
      <c r="E1047325" s="26"/>
      <c r="F1047325" s="26"/>
      <c r="G1047325" s="26"/>
      <c r="H1047325" s="26"/>
      <c r="I1047325" s="27"/>
      <c r="J1047325" s="26"/>
      <c r="K1047325" s="26"/>
      <c r="L1047325" s="4"/>
      <c r="M1047325" s="4"/>
      <c r="N1047325" s="26"/>
    </row>
    <row r="1047326" customFormat="1" spans="2:14">
      <c r="B1047326" s="26"/>
      <c r="C1047326" s="26"/>
      <c r="D1047326" s="4"/>
      <c r="E1047326" s="26"/>
      <c r="F1047326" s="26"/>
      <c r="G1047326" s="26"/>
      <c r="H1047326" s="26"/>
      <c r="I1047326" s="27"/>
      <c r="J1047326" s="26"/>
      <c r="K1047326" s="26"/>
      <c r="L1047326" s="4"/>
      <c r="M1047326" s="4"/>
      <c r="N1047326" s="26"/>
    </row>
    <row r="1047327" customFormat="1" spans="2:14">
      <c r="B1047327" s="26"/>
      <c r="C1047327" s="26"/>
      <c r="D1047327" s="4"/>
      <c r="E1047327" s="26"/>
      <c r="F1047327" s="26"/>
      <c r="G1047327" s="26"/>
      <c r="H1047327" s="26"/>
      <c r="I1047327" s="27"/>
      <c r="J1047327" s="26"/>
      <c r="K1047327" s="26"/>
      <c r="L1047327" s="4"/>
      <c r="M1047327" s="4"/>
      <c r="N1047327" s="26"/>
    </row>
    <row r="1047328" customFormat="1" spans="2:14">
      <c r="B1047328" s="26"/>
      <c r="C1047328" s="26"/>
      <c r="D1047328" s="4"/>
      <c r="E1047328" s="26"/>
      <c r="F1047328" s="26"/>
      <c r="G1047328" s="26"/>
      <c r="H1047328" s="26"/>
      <c r="I1047328" s="27"/>
      <c r="J1047328" s="26"/>
      <c r="K1047328" s="26"/>
      <c r="L1047328" s="4"/>
      <c r="M1047328" s="4"/>
      <c r="N1047328" s="26"/>
    </row>
    <row r="1047329" customFormat="1" spans="2:14">
      <c r="B1047329" s="26"/>
      <c r="C1047329" s="26"/>
      <c r="D1047329" s="4"/>
      <c r="E1047329" s="26"/>
      <c r="F1047329" s="26"/>
      <c r="G1047329" s="26"/>
      <c r="H1047329" s="26"/>
      <c r="I1047329" s="27"/>
      <c r="J1047329" s="26"/>
      <c r="K1047329" s="26"/>
      <c r="L1047329" s="4"/>
      <c r="M1047329" s="4"/>
      <c r="N1047329" s="26"/>
    </row>
    <row r="1047330" customFormat="1" spans="2:14">
      <c r="B1047330" s="26"/>
      <c r="C1047330" s="26"/>
      <c r="D1047330" s="4"/>
      <c r="E1047330" s="26"/>
      <c r="F1047330" s="26"/>
      <c r="G1047330" s="26"/>
      <c r="H1047330" s="26"/>
      <c r="I1047330" s="27"/>
      <c r="J1047330" s="26"/>
      <c r="K1047330" s="26"/>
      <c r="L1047330" s="4"/>
      <c r="M1047330" s="4"/>
      <c r="N1047330" s="26"/>
    </row>
    <row r="1047331" customFormat="1" spans="2:14">
      <c r="B1047331" s="26"/>
      <c r="C1047331" s="26"/>
      <c r="D1047331" s="4"/>
      <c r="E1047331" s="26"/>
      <c r="F1047331" s="26"/>
      <c r="G1047331" s="26"/>
      <c r="H1047331" s="26"/>
      <c r="I1047331" s="27"/>
      <c r="J1047331" s="26"/>
      <c r="K1047331" s="26"/>
      <c r="L1047331" s="4"/>
      <c r="M1047331" s="4"/>
      <c r="N1047331" s="26"/>
    </row>
    <row r="1047332" customFormat="1" spans="2:14">
      <c r="B1047332" s="26"/>
      <c r="C1047332" s="26"/>
      <c r="D1047332" s="4"/>
      <c r="E1047332" s="26"/>
      <c r="F1047332" s="26"/>
      <c r="G1047332" s="26"/>
      <c r="H1047332" s="26"/>
      <c r="I1047332" s="27"/>
      <c r="J1047332" s="26"/>
      <c r="K1047332" s="26"/>
      <c r="L1047332" s="4"/>
      <c r="M1047332" s="4"/>
      <c r="N1047332" s="26"/>
    </row>
    <row r="1047333" customFormat="1" spans="2:14">
      <c r="B1047333" s="26"/>
      <c r="C1047333" s="26"/>
      <c r="D1047333" s="4"/>
      <c r="E1047333" s="26"/>
      <c r="F1047333" s="26"/>
      <c r="G1047333" s="26"/>
      <c r="H1047333" s="26"/>
      <c r="I1047333" s="27"/>
      <c r="J1047333" s="26"/>
      <c r="K1047333" s="26"/>
      <c r="L1047333" s="4"/>
      <c r="M1047333" s="4"/>
      <c r="N1047333" s="26"/>
    </row>
    <row r="1047334" customFormat="1" spans="2:14">
      <c r="B1047334" s="26"/>
      <c r="C1047334" s="26"/>
      <c r="D1047334" s="4"/>
      <c r="E1047334" s="26"/>
      <c r="F1047334" s="26"/>
      <c r="G1047334" s="26"/>
      <c r="H1047334" s="26"/>
      <c r="I1047334" s="27"/>
      <c r="J1047334" s="26"/>
      <c r="K1047334" s="26"/>
      <c r="L1047334" s="4"/>
      <c r="M1047334" s="4"/>
      <c r="N1047334" s="26"/>
    </row>
    <row r="1047335" customFormat="1" spans="2:14">
      <c r="B1047335" s="26"/>
      <c r="C1047335" s="26"/>
      <c r="D1047335" s="4"/>
      <c r="E1047335" s="26"/>
      <c r="F1047335" s="26"/>
      <c r="G1047335" s="26"/>
      <c r="H1047335" s="26"/>
      <c r="I1047335" s="27"/>
      <c r="J1047335" s="26"/>
      <c r="K1047335" s="26"/>
      <c r="L1047335" s="4"/>
      <c r="M1047335" s="4"/>
      <c r="N1047335" s="26"/>
    </row>
    <row r="1047336" customFormat="1" spans="2:14">
      <c r="B1047336" s="26"/>
      <c r="C1047336" s="26"/>
      <c r="D1047336" s="4"/>
      <c r="E1047336" s="26"/>
      <c r="F1047336" s="26"/>
      <c r="G1047336" s="26"/>
      <c r="H1047336" s="26"/>
      <c r="I1047336" s="27"/>
      <c r="J1047336" s="26"/>
      <c r="K1047336" s="26"/>
      <c r="L1047336" s="4"/>
      <c r="M1047336" s="4"/>
      <c r="N1047336" s="26"/>
    </row>
    <row r="1047337" customFormat="1" spans="2:14">
      <c r="B1047337" s="26"/>
      <c r="C1047337" s="26"/>
      <c r="D1047337" s="4"/>
      <c r="E1047337" s="26"/>
      <c r="F1047337" s="26"/>
      <c r="G1047337" s="26"/>
      <c r="H1047337" s="26"/>
      <c r="I1047337" s="27"/>
      <c r="J1047337" s="26"/>
      <c r="K1047337" s="26"/>
      <c r="L1047337" s="4"/>
      <c r="M1047337" s="4"/>
      <c r="N1047337" s="26"/>
    </row>
    <row r="1047338" customFormat="1" spans="2:14">
      <c r="B1047338" s="26"/>
      <c r="C1047338" s="26"/>
      <c r="D1047338" s="4"/>
      <c r="E1047338" s="26"/>
      <c r="F1047338" s="26"/>
      <c r="G1047338" s="26"/>
      <c r="H1047338" s="26"/>
      <c r="I1047338" s="27"/>
      <c r="J1047338" s="26"/>
      <c r="K1047338" s="26"/>
      <c r="L1047338" s="4"/>
      <c r="M1047338" s="4"/>
      <c r="N1047338" s="26"/>
    </row>
    <row r="1047339" customFormat="1" spans="2:14">
      <c r="B1047339" s="26"/>
      <c r="C1047339" s="26"/>
      <c r="D1047339" s="4"/>
      <c r="E1047339" s="26"/>
      <c r="F1047339" s="26"/>
      <c r="G1047339" s="26"/>
      <c r="H1047339" s="26"/>
      <c r="I1047339" s="27"/>
      <c r="J1047339" s="26"/>
      <c r="K1047339" s="26"/>
      <c r="L1047339" s="4"/>
      <c r="M1047339" s="4"/>
      <c r="N1047339" s="26"/>
    </row>
    <row r="1047340" customFormat="1" spans="2:14">
      <c r="B1047340" s="26"/>
      <c r="C1047340" s="26"/>
      <c r="D1047340" s="4"/>
      <c r="E1047340" s="26"/>
      <c r="F1047340" s="26"/>
      <c r="G1047340" s="26"/>
      <c r="H1047340" s="26"/>
      <c r="I1047340" s="27"/>
      <c r="J1047340" s="26"/>
      <c r="K1047340" s="26"/>
      <c r="L1047340" s="4"/>
      <c r="M1047340" s="4"/>
      <c r="N1047340" s="26"/>
    </row>
    <row r="1047341" customFormat="1" spans="2:14">
      <c r="B1047341" s="26"/>
      <c r="C1047341" s="26"/>
      <c r="D1047341" s="4"/>
      <c r="E1047341" s="26"/>
      <c r="F1047341" s="26"/>
      <c r="G1047341" s="26"/>
      <c r="H1047341" s="26"/>
      <c r="I1047341" s="27"/>
      <c r="J1047341" s="26"/>
      <c r="K1047341" s="26"/>
      <c r="L1047341" s="4"/>
      <c r="M1047341" s="4"/>
      <c r="N1047341" s="26"/>
    </row>
    <row r="1047342" customFormat="1" spans="2:14">
      <c r="B1047342" s="26"/>
      <c r="C1047342" s="26"/>
      <c r="D1047342" s="4"/>
      <c r="E1047342" s="26"/>
      <c r="F1047342" s="26"/>
      <c r="G1047342" s="26"/>
      <c r="H1047342" s="26"/>
      <c r="I1047342" s="27"/>
      <c r="J1047342" s="26"/>
      <c r="K1047342" s="26"/>
      <c r="L1047342" s="4"/>
      <c r="M1047342" s="4"/>
      <c r="N1047342" s="26"/>
    </row>
    <row r="1047343" customFormat="1" spans="2:14">
      <c r="B1047343" s="26"/>
      <c r="C1047343" s="26"/>
      <c r="D1047343" s="4"/>
      <c r="E1047343" s="26"/>
      <c r="F1047343" s="26"/>
      <c r="G1047343" s="26"/>
      <c r="H1047343" s="26"/>
      <c r="I1047343" s="27"/>
      <c r="J1047343" s="26"/>
      <c r="K1047343" s="26"/>
      <c r="L1047343" s="4"/>
      <c r="M1047343" s="4"/>
      <c r="N1047343" s="26"/>
    </row>
    <row r="1047344" customFormat="1" spans="2:14">
      <c r="B1047344" s="26"/>
      <c r="C1047344" s="26"/>
      <c r="D1047344" s="4"/>
      <c r="E1047344" s="26"/>
      <c r="F1047344" s="26"/>
      <c r="G1047344" s="26"/>
      <c r="H1047344" s="26"/>
      <c r="I1047344" s="27"/>
      <c r="J1047344" s="26"/>
      <c r="K1047344" s="26"/>
      <c r="L1047344" s="4"/>
      <c r="M1047344" s="4"/>
      <c r="N1047344" s="26"/>
    </row>
    <row r="1047345" customFormat="1" spans="2:14">
      <c r="B1047345" s="26"/>
      <c r="C1047345" s="26"/>
      <c r="D1047345" s="4"/>
      <c r="E1047345" s="26"/>
      <c r="F1047345" s="26"/>
      <c r="G1047345" s="26"/>
      <c r="H1047345" s="26"/>
      <c r="I1047345" s="27"/>
      <c r="J1047345" s="26"/>
      <c r="K1047345" s="26"/>
      <c r="L1047345" s="4"/>
      <c r="M1047345" s="4"/>
      <c r="N1047345" s="26"/>
    </row>
    <row r="1047346" customFormat="1" spans="2:14">
      <c r="B1047346" s="26"/>
      <c r="C1047346" s="26"/>
      <c r="D1047346" s="4"/>
      <c r="E1047346" s="26"/>
      <c r="F1047346" s="26"/>
      <c r="G1047346" s="26"/>
      <c r="H1047346" s="26"/>
      <c r="I1047346" s="27"/>
      <c r="J1047346" s="26"/>
      <c r="K1047346" s="26"/>
      <c r="L1047346" s="4"/>
      <c r="M1047346" s="4"/>
      <c r="N1047346" s="26"/>
    </row>
    <row r="1047347" customFormat="1" spans="2:14">
      <c r="B1047347" s="26"/>
      <c r="C1047347" s="26"/>
      <c r="D1047347" s="4"/>
      <c r="E1047347" s="26"/>
      <c r="F1047347" s="26"/>
      <c r="G1047347" s="26"/>
      <c r="H1047347" s="26"/>
      <c r="I1047347" s="27"/>
      <c r="J1047347" s="26"/>
      <c r="K1047347" s="26"/>
      <c r="L1047347" s="4"/>
      <c r="M1047347" s="4"/>
      <c r="N1047347" s="26"/>
    </row>
    <row r="1047348" customFormat="1" spans="2:14">
      <c r="B1047348" s="26"/>
      <c r="C1047348" s="26"/>
      <c r="D1047348" s="4"/>
      <c r="E1047348" s="26"/>
      <c r="F1047348" s="26"/>
      <c r="G1047348" s="26"/>
      <c r="H1047348" s="26"/>
      <c r="I1047348" s="27"/>
      <c r="J1047348" s="26"/>
      <c r="K1047348" s="26"/>
      <c r="L1047348" s="4"/>
      <c r="M1047348" s="4"/>
      <c r="N1047348" s="26"/>
    </row>
    <row r="1047349" customFormat="1" spans="2:14">
      <c r="B1047349" s="26"/>
      <c r="C1047349" s="26"/>
      <c r="D1047349" s="4"/>
      <c r="E1047349" s="26"/>
      <c r="F1047349" s="26"/>
      <c r="G1047349" s="26"/>
      <c r="H1047349" s="26"/>
      <c r="I1047349" s="27"/>
      <c r="J1047349" s="26"/>
      <c r="K1047349" s="26"/>
      <c r="L1047349" s="4"/>
      <c r="M1047349" s="4"/>
      <c r="N1047349" s="26"/>
    </row>
    <row r="1047350" customFormat="1" spans="2:14">
      <c r="B1047350" s="26"/>
      <c r="C1047350" s="26"/>
      <c r="D1047350" s="4"/>
      <c r="E1047350" s="26"/>
      <c r="F1047350" s="26"/>
      <c r="G1047350" s="26"/>
      <c r="H1047350" s="26"/>
      <c r="I1047350" s="27"/>
      <c r="J1047350" s="26"/>
      <c r="K1047350" s="26"/>
      <c r="L1047350" s="4"/>
      <c r="M1047350" s="4"/>
      <c r="N1047350" s="26"/>
    </row>
    <row r="1047351" customFormat="1" spans="2:14">
      <c r="B1047351" s="26"/>
      <c r="C1047351" s="26"/>
      <c r="D1047351" s="4"/>
      <c r="E1047351" s="26"/>
      <c r="F1047351" s="26"/>
      <c r="G1047351" s="26"/>
      <c r="H1047351" s="26"/>
      <c r="I1047351" s="27"/>
      <c r="J1047351" s="26"/>
      <c r="K1047351" s="26"/>
      <c r="L1047351" s="4"/>
      <c r="M1047351" s="4"/>
      <c r="N1047351" s="26"/>
    </row>
    <row r="1047352" customFormat="1" spans="2:14">
      <c r="B1047352" s="26"/>
      <c r="C1047352" s="26"/>
      <c r="D1047352" s="4"/>
      <c r="E1047352" s="26"/>
      <c r="F1047352" s="26"/>
      <c r="G1047352" s="26"/>
      <c r="H1047352" s="26"/>
      <c r="I1047352" s="27"/>
      <c r="J1047352" s="26"/>
      <c r="K1047352" s="26"/>
      <c r="L1047352" s="4"/>
      <c r="M1047352" s="4"/>
      <c r="N1047352" s="26"/>
    </row>
    <row r="1047353" customFormat="1" spans="2:14">
      <c r="B1047353" s="26"/>
      <c r="C1047353" s="26"/>
      <c r="D1047353" s="4"/>
      <c r="E1047353" s="26"/>
      <c r="F1047353" s="26"/>
      <c r="G1047353" s="26"/>
      <c r="H1047353" s="26"/>
      <c r="I1047353" s="27"/>
      <c r="J1047353" s="26"/>
      <c r="K1047353" s="26"/>
      <c r="L1047353" s="4"/>
      <c r="M1047353" s="4"/>
      <c r="N1047353" s="26"/>
    </row>
    <row r="1047354" customFormat="1" spans="2:14">
      <c r="B1047354" s="26"/>
      <c r="C1047354" s="26"/>
      <c r="D1047354" s="4"/>
      <c r="E1047354" s="26"/>
      <c r="F1047354" s="26"/>
      <c r="G1047354" s="26"/>
      <c r="H1047354" s="26"/>
      <c r="I1047354" s="27"/>
      <c r="J1047354" s="26"/>
      <c r="K1047354" s="26"/>
      <c r="L1047354" s="4"/>
      <c r="M1047354" s="4"/>
      <c r="N1047354" s="26"/>
    </row>
    <row r="1047355" customFormat="1" spans="2:14">
      <c r="B1047355" s="26"/>
      <c r="C1047355" s="26"/>
      <c r="D1047355" s="4"/>
      <c r="E1047355" s="26"/>
      <c r="F1047355" s="26"/>
      <c r="G1047355" s="26"/>
      <c r="H1047355" s="26"/>
      <c r="I1047355" s="27"/>
      <c r="J1047355" s="26"/>
      <c r="K1047355" s="26"/>
      <c r="L1047355" s="4"/>
      <c r="M1047355" s="4"/>
      <c r="N1047355" s="26"/>
    </row>
    <row r="1047356" customFormat="1" spans="2:14">
      <c r="B1047356" s="26"/>
      <c r="C1047356" s="26"/>
      <c r="D1047356" s="4"/>
      <c r="E1047356" s="26"/>
      <c r="F1047356" s="26"/>
      <c r="G1047356" s="26"/>
      <c r="H1047356" s="26"/>
      <c r="I1047356" s="27"/>
      <c r="J1047356" s="26"/>
      <c r="K1047356" s="26"/>
      <c r="L1047356" s="4"/>
      <c r="M1047356" s="4"/>
      <c r="N1047356" s="26"/>
    </row>
    <row r="1047357" customFormat="1" spans="2:14">
      <c r="B1047357" s="26"/>
      <c r="C1047357" s="26"/>
      <c r="D1047357" s="4"/>
      <c r="E1047357" s="26"/>
      <c r="F1047357" s="26"/>
      <c r="G1047357" s="26"/>
      <c r="H1047357" s="26"/>
      <c r="I1047357" s="27"/>
      <c r="J1047357" s="26"/>
      <c r="K1047357" s="26"/>
      <c r="L1047357" s="4"/>
      <c r="M1047357" s="4"/>
      <c r="N1047357" s="26"/>
    </row>
    <row r="1047358" customFormat="1" spans="2:14">
      <c r="B1047358" s="26"/>
      <c r="C1047358" s="26"/>
      <c r="D1047358" s="4"/>
      <c r="E1047358" s="26"/>
      <c r="F1047358" s="26"/>
      <c r="G1047358" s="26"/>
      <c r="H1047358" s="26"/>
      <c r="I1047358" s="27"/>
      <c r="J1047358" s="26"/>
      <c r="K1047358" s="26"/>
      <c r="L1047358" s="4"/>
      <c r="M1047358" s="4"/>
      <c r="N1047358" s="26"/>
    </row>
    <row r="1047359" customFormat="1" spans="2:14">
      <c r="B1047359" s="26"/>
      <c r="C1047359" s="26"/>
      <c r="D1047359" s="4"/>
      <c r="E1047359" s="26"/>
      <c r="F1047359" s="26"/>
      <c r="G1047359" s="26"/>
      <c r="H1047359" s="26"/>
      <c r="I1047359" s="27"/>
      <c r="J1047359" s="26"/>
      <c r="K1047359" s="26"/>
      <c r="L1047359" s="4"/>
      <c r="M1047359" s="4"/>
      <c r="N1047359" s="26"/>
    </row>
    <row r="1047360" customFormat="1" spans="2:14">
      <c r="B1047360" s="26"/>
      <c r="C1047360" s="26"/>
      <c r="D1047360" s="4"/>
      <c r="E1047360" s="26"/>
      <c r="F1047360" s="26"/>
      <c r="G1047360" s="26"/>
      <c r="H1047360" s="26"/>
      <c r="I1047360" s="27"/>
      <c r="J1047360" s="26"/>
      <c r="K1047360" s="26"/>
      <c r="L1047360" s="4"/>
      <c r="M1047360" s="4"/>
      <c r="N1047360" s="26"/>
    </row>
    <row r="1047361" customFormat="1" spans="2:14">
      <c r="B1047361" s="26"/>
      <c r="C1047361" s="26"/>
      <c r="D1047361" s="4"/>
      <c r="E1047361" s="26"/>
      <c r="F1047361" s="26"/>
      <c r="G1047361" s="26"/>
      <c r="H1047361" s="26"/>
      <c r="I1047361" s="27"/>
      <c r="J1047361" s="26"/>
      <c r="K1047361" s="26"/>
      <c r="L1047361" s="4"/>
      <c r="M1047361" s="4"/>
      <c r="N1047361" s="26"/>
    </row>
    <row r="1047362" customFormat="1" spans="2:14">
      <c r="B1047362" s="26"/>
      <c r="C1047362" s="26"/>
      <c r="D1047362" s="4"/>
      <c r="E1047362" s="26"/>
      <c r="F1047362" s="26"/>
      <c r="G1047362" s="26"/>
      <c r="H1047362" s="26"/>
      <c r="I1047362" s="27"/>
      <c r="J1047362" s="26"/>
      <c r="K1047362" s="26"/>
      <c r="L1047362" s="4"/>
      <c r="M1047362" s="4"/>
      <c r="N1047362" s="26"/>
    </row>
    <row r="1047363" customFormat="1" spans="2:14">
      <c r="B1047363" s="26"/>
      <c r="C1047363" s="26"/>
      <c r="D1047363" s="4"/>
      <c r="E1047363" s="26"/>
      <c r="F1047363" s="26"/>
      <c r="G1047363" s="26"/>
      <c r="H1047363" s="26"/>
      <c r="I1047363" s="27"/>
      <c r="J1047363" s="26"/>
      <c r="K1047363" s="26"/>
      <c r="L1047363" s="4"/>
      <c r="M1047363" s="4"/>
      <c r="N1047363" s="26"/>
    </row>
    <row r="1047364" customFormat="1" spans="2:14">
      <c r="B1047364" s="26"/>
      <c r="C1047364" s="26"/>
      <c r="D1047364" s="4"/>
      <c r="E1047364" s="26"/>
      <c r="F1047364" s="26"/>
      <c r="G1047364" s="26"/>
      <c r="H1047364" s="26"/>
      <c r="I1047364" s="27"/>
      <c r="J1047364" s="26"/>
      <c r="K1047364" s="26"/>
      <c r="L1047364" s="4"/>
      <c r="M1047364" s="4"/>
      <c r="N1047364" s="26"/>
    </row>
    <row r="1047365" customFormat="1" spans="2:14">
      <c r="B1047365" s="26"/>
      <c r="C1047365" s="26"/>
      <c r="D1047365" s="4"/>
      <c r="E1047365" s="26"/>
      <c r="F1047365" s="26"/>
      <c r="G1047365" s="26"/>
      <c r="H1047365" s="26"/>
      <c r="I1047365" s="27"/>
      <c r="J1047365" s="26"/>
      <c r="K1047365" s="26"/>
      <c r="L1047365" s="4"/>
      <c r="M1047365" s="4"/>
      <c r="N1047365" s="26"/>
    </row>
    <row r="1047366" customFormat="1" spans="2:14">
      <c r="B1047366" s="26"/>
      <c r="C1047366" s="26"/>
      <c r="D1047366" s="4"/>
      <c r="E1047366" s="26"/>
      <c r="F1047366" s="26"/>
      <c r="G1047366" s="26"/>
      <c r="H1047366" s="26"/>
      <c r="I1047366" s="27"/>
      <c r="J1047366" s="26"/>
      <c r="K1047366" s="26"/>
      <c r="L1047366" s="4"/>
      <c r="M1047366" s="4"/>
      <c r="N1047366" s="26"/>
    </row>
    <row r="1047367" customFormat="1" spans="2:14">
      <c r="B1047367" s="26"/>
      <c r="C1047367" s="26"/>
      <c r="D1047367" s="4"/>
      <c r="E1047367" s="26"/>
      <c r="F1047367" s="26"/>
      <c r="G1047367" s="26"/>
      <c r="H1047367" s="26"/>
      <c r="I1047367" s="27"/>
      <c r="J1047367" s="26"/>
      <c r="K1047367" s="26"/>
      <c r="L1047367" s="4"/>
      <c r="M1047367" s="4"/>
      <c r="N1047367" s="26"/>
    </row>
    <row r="1047368" customFormat="1" spans="2:14">
      <c r="B1047368" s="26"/>
      <c r="C1047368" s="26"/>
      <c r="D1047368" s="4"/>
      <c r="E1047368" s="26"/>
      <c r="F1047368" s="26"/>
      <c r="G1047368" s="26"/>
      <c r="H1047368" s="26"/>
      <c r="I1047368" s="27"/>
      <c r="J1047368" s="26"/>
      <c r="K1047368" s="26"/>
      <c r="L1047368" s="4"/>
      <c r="M1047368" s="4"/>
      <c r="N1047368" s="26"/>
    </row>
    <row r="1047369" customFormat="1" spans="2:14">
      <c r="B1047369" s="26"/>
      <c r="C1047369" s="26"/>
      <c r="D1047369" s="4"/>
      <c r="E1047369" s="26"/>
      <c r="F1047369" s="26"/>
      <c r="G1047369" s="26"/>
      <c r="H1047369" s="26"/>
      <c r="I1047369" s="27"/>
      <c r="J1047369" s="26"/>
      <c r="K1047369" s="26"/>
      <c r="L1047369" s="4"/>
      <c r="M1047369" s="4"/>
      <c r="N1047369" s="26"/>
    </row>
    <row r="1047370" customFormat="1" spans="2:14">
      <c r="B1047370" s="26"/>
      <c r="C1047370" s="26"/>
      <c r="D1047370" s="4"/>
      <c r="E1047370" s="26"/>
      <c r="F1047370" s="26"/>
      <c r="G1047370" s="26"/>
      <c r="H1047370" s="26"/>
      <c r="I1047370" s="27"/>
      <c r="J1047370" s="26"/>
      <c r="K1047370" s="26"/>
      <c r="L1047370" s="4"/>
      <c r="M1047370" s="4"/>
      <c r="N1047370" s="26"/>
    </row>
    <row r="1047371" customFormat="1" spans="2:14">
      <c r="B1047371" s="26"/>
      <c r="C1047371" s="26"/>
      <c r="D1047371" s="4"/>
      <c r="E1047371" s="26"/>
      <c r="F1047371" s="26"/>
      <c r="G1047371" s="26"/>
      <c r="H1047371" s="26"/>
      <c r="I1047371" s="27"/>
      <c r="J1047371" s="26"/>
      <c r="K1047371" s="26"/>
      <c r="L1047371" s="4"/>
      <c r="M1047371" s="4"/>
      <c r="N1047371" s="26"/>
    </row>
    <row r="1047372" customFormat="1" spans="2:14">
      <c r="B1047372" s="26"/>
      <c r="C1047372" s="26"/>
      <c r="D1047372" s="4"/>
      <c r="E1047372" s="26"/>
      <c r="F1047372" s="26"/>
      <c r="G1047372" s="26"/>
      <c r="H1047372" s="26"/>
      <c r="I1047372" s="27"/>
      <c r="J1047372" s="26"/>
      <c r="K1047372" s="26"/>
      <c r="L1047372" s="4"/>
      <c r="M1047372" s="4"/>
      <c r="N1047372" s="26"/>
    </row>
    <row r="1047373" customFormat="1" spans="2:14">
      <c r="B1047373" s="26"/>
      <c r="C1047373" s="26"/>
      <c r="D1047373" s="4"/>
      <c r="E1047373" s="26"/>
      <c r="F1047373" s="26"/>
      <c r="G1047373" s="26"/>
      <c r="H1047373" s="26"/>
      <c r="I1047373" s="27"/>
      <c r="J1047373" s="26"/>
      <c r="K1047373" s="26"/>
      <c r="L1047373" s="4"/>
      <c r="M1047373" s="4"/>
      <c r="N1047373" s="26"/>
    </row>
    <row r="1047374" customFormat="1" spans="2:14">
      <c r="B1047374" s="26"/>
      <c r="C1047374" s="26"/>
      <c r="D1047374" s="4"/>
      <c r="E1047374" s="26"/>
      <c r="F1047374" s="26"/>
      <c r="G1047374" s="26"/>
      <c r="H1047374" s="26"/>
      <c r="I1047374" s="27"/>
      <c r="J1047374" s="26"/>
      <c r="K1047374" s="26"/>
      <c r="L1047374" s="4"/>
      <c r="M1047374" s="4"/>
      <c r="N1047374" s="26"/>
    </row>
    <row r="1047375" customFormat="1" spans="2:14">
      <c r="B1047375" s="26"/>
      <c r="C1047375" s="26"/>
      <c r="D1047375" s="4"/>
      <c r="E1047375" s="26"/>
      <c r="F1047375" s="26"/>
      <c r="G1047375" s="26"/>
      <c r="H1047375" s="26"/>
      <c r="I1047375" s="27"/>
      <c r="J1047375" s="26"/>
      <c r="K1047375" s="26"/>
      <c r="L1047375" s="4"/>
      <c r="M1047375" s="4"/>
      <c r="N1047375" s="26"/>
    </row>
    <row r="1047376" customFormat="1" spans="2:14">
      <c r="B1047376" s="26"/>
      <c r="C1047376" s="26"/>
      <c r="D1047376" s="4"/>
      <c r="E1047376" s="26"/>
      <c r="F1047376" s="26"/>
      <c r="G1047376" s="26"/>
      <c r="H1047376" s="26"/>
      <c r="I1047376" s="27"/>
      <c r="J1047376" s="26"/>
      <c r="K1047376" s="26"/>
      <c r="L1047376" s="4"/>
      <c r="M1047376" s="4"/>
      <c r="N1047376" s="26"/>
    </row>
    <row r="1047377" customFormat="1" spans="2:14">
      <c r="B1047377" s="26"/>
      <c r="C1047377" s="26"/>
      <c r="D1047377" s="4"/>
      <c r="E1047377" s="26"/>
      <c r="F1047377" s="26"/>
      <c r="G1047377" s="26"/>
      <c r="H1047377" s="26"/>
      <c r="I1047377" s="27"/>
      <c r="J1047377" s="26"/>
      <c r="K1047377" s="26"/>
      <c r="L1047377" s="4"/>
      <c r="M1047377" s="4"/>
      <c r="N1047377" s="26"/>
    </row>
    <row r="1047378" customFormat="1" spans="2:14">
      <c r="B1047378" s="26"/>
      <c r="C1047378" s="26"/>
      <c r="D1047378" s="4"/>
      <c r="E1047378" s="26"/>
      <c r="F1047378" s="26"/>
      <c r="G1047378" s="26"/>
      <c r="H1047378" s="26"/>
      <c r="I1047378" s="27"/>
      <c r="J1047378" s="26"/>
      <c r="K1047378" s="26"/>
      <c r="L1047378" s="4"/>
      <c r="M1047378" s="4"/>
      <c r="N1047378" s="26"/>
    </row>
    <row r="1047379" customFormat="1" spans="2:14">
      <c r="B1047379" s="26"/>
      <c r="C1047379" s="26"/>
      <c r="D1047379" s="4"/>
      <c r="E1047379" s="26"/>
      <c r="F1047379" s="26"/>
      <c r="G1047379" s="26"/>
      <c r="H1047379" s="26"/>
      <c r="I1047379" s="27"/>
      <c r="J1047379" s="26"/>
      <c r="K1047379" s="26"/>
      <c r="L1047379" s="4"/>
      <c r="M1047379" s="4"/>
      <c r="N1047379" s="26"/>
    </row>
    <row r="1047380" customFormat="1" spans="2:14">
      <c r="B1047380" s="26"/>
      <c r="C1047380" s="26"/>
      <c r="D1047380" s="4"/>
      <c r="E1047380" s="26"/>
      <c r="F1047380" s="26"/>
      <c r="G1047380" s="26"/>
      <c r="H1047380" s="26"/>
      <c r="I1047380" s="27"/>
      <c r="J1047380" s="26"/>
      <c r="K1047380" s="26"/>
      <c r="L1047380" s="4"/>
      <c r="M1047380" s="4"/>
      <c r="N1047380" s="26"/>
    </row>
    <row r="1047381" customFormat="1" spans="2:14">
      <c r="B1047381" s="26"/>
      <c r="C1047381" s="26"/>
      <c r="D1047381" s="4"/>
      <c r="E1047381" s="26"/>
      <c r="F1047381" s="26"/>
      <c r="G1047381" s="26"/>
      <c r="H1047381" s="26"/>
      <c r="I1047381" s="27"/>
      <c r="J1047381" s="26"/>
      <c r="K1047381" s="26"/>
      <c r="L1047381" s="4"/>
      <c r="M1047381" s="4"/>
      <c r="N1047381" s="26"/>
    </row>
    <row r="1047382" customFormat="1" spans="2:14">
      <c r="B1047382" s="26"/>
      <c r="C1047382" s="26"/>
      <c r="D1047382" s="4"/>
      <c r="E1047382" s="26"/>
      <c r="F1047382" s="26"/>
      <c r="G1047382" s="26"/>
      <c r="H1047382" s="26"/>
      <c r="I1047382" s="27"/>
      <c r="J1047382" s="26"/>
      <c r="K1047382" s="26"/>
      <c r="L1047382" s="4"/>
      <c r="M1047382" s="4"/>
      <c r="N1047382" s="26"/>
    </row>
    <row r="1047383" customFormat="1" spans="2:14">
      <c r="B1047383" s="26"/>
      <c r="C1047383" s="26"/>
      <c r="D1047383" s="4"/>
      <c r="E1047383" s="26"/>
      <c r="F1047383" s="26"/>
      <c r="G1047383" s="26"/>
      <c r="H1047383" s="26"/>
      <c r="I1047383" s="27"/>
      <c r="J1047383" s="26"/>
      <c r="K1047383" s="26"/>
      <c r="L1047383" s="4"/>
      <c r="M1047383" s="4"/>
      <c r="N1047383" s="26"/>
    </row>
    <row r="1047384" customFormat="1" spans="2:14">
      <c r="B1047384" s="26"/>
      <c r="C1047384" s="26"/>
      <c r="D1047384" s="4"/>
      <c r="E1047384" s="26"/>
      <c r="F1047384" s="26"/>
      <c r="G1047384" s="26"/>
      <c r="H1047384" s="26"/>
      <c r="I1047384" s="27"/>
      <c r="J1047384" s="26"/>
      <c r="K1047384" s="26"/>
      <c r="L1047384" s="4"/>
      <c r="M1047384" s="4"/>
      <c r="N1047384" s="26"/>
    </row>
    <row r="1047385" customFormat="1" spans="2:14">
      <c r="B1047385" s="26"/>
      <c r="C1047385" s="26"/>
      <c r="D1047385" s="4"/>
      <c r="E1047385" s="26"/>
      <c r="F1047385" s="26"/>
      <c r="G1047385" s="26"/>
      <c r="H1047385" s="26"/>
      <c r="I1047385" s="27"/>
      <c r="J1047385" s="26"/>
      <c r="K1047385" s="26"/>
      <c r="L1047385" s="4"/>
      <c r="M1047385" s="4"/>
      <c r="N1047385" s="26"/>
    </row>
    <row r="1047386" customFormat="1" spans="2:14">
      <c r="B1047386" s="26"/>
      <c r="C1047386" s="26"/>
      <c r="D1047386" s="4"/>
      <c r="E1047386" s="26"/>
      <c r="F1047386" s="26"/>
      <c r="G1047386" s="26"/>
      <c r="H1047386" s="26"/>
      <c r="I1047386" s="27"/>
      <c r="J1047386" s="26"/>
      <c r="K1047386" s="26"/>
      <c r="L1047386" s="4"/>
      <c r="M1047386" s="4"/>
      <c r="N1047386" s="26"/>
    </row>
    <row r="1047387" customFormat="1" spans="2:14">
      <c r="B1047387" s="26"/>
      <c r="C1047387" s="26"/>
      <c r="D1047387" s="4"/>
      <c r="E1047387" s="26"/>
      <c r="F1047387" s="26"/>
      <c r="G1047387" s="26"/>
      <c r="H1047387" s="26"/>
      <c r="I1047387" s="27"/>
      <c r="J1047387" s="26"/>
      <c r="K1047387" s="26"/>
      <c r="L1047387" s="4"/>
      <c r="M1047387" s="4"/>
      <c r="N1047387" s="26"/>
    </row>
    <row r="1047388" customFormat="1" spans="2:14">
      <c r="B1047388" s="26"/>
      <c r="C1047388" s="26"/>
      <c r="D1047388" s="4"/>
      <c r="E1047388" s="26"/>
      <c r="F1047388" s="26"/>
      <c r="G1047388" s="26"/>
      <c r="H1047388" s="26"/>
      <c r="I1047388" s="27"/>
      <c r="J1047388" s="26"/>
      <c r="K1047388" s="26"/>
      <c r="L1047388" s="4"/>
      <c r="M1047388" s="4"/>
      <c r="N1047388" s="26"/>
    </row>
    <row r="1047389" customFormat="1" spans="2:14">
      <c r="B1047389" s="26"/>
      <c r="C1047389" s="26"/>
      <c r="D1047389" s="4"/>
      <c r="E1047389" s="26"/>
      <c r="F1047389" s="26"/>
      <c r="G1047389" s="26"/>
      <c r="H1047389" s="26"/>
      <c r="I1047389" s="27"/>
      <c r="J1047389" s="26"/>
      <c r="K1047389" s="26"/>
      <c r="L1047389" s="4"/>
      <c r="M1047389" s="4"/>
      <c r="N1047389" s="26"/>
    </row>
    <row r="1047390" customFormat="1" spans="2:14">
      <c r="B1047390" s="26"/>
      <c r="C1047390" s="26"/>
      <c r="D1047390" s="4"/>
      <c r="E1047390" s="26"/>
      <c r="F1047390" s="26"/>
      <c r="G1047390" s="26"/>
      <c r="H1047390" s="26"/>
      <c r="I1047390" s="27"/>
      <c r="J1047390" s="26"/>
      <c r="K1047390" s="26"/>
      <c r="L1047390" s="4"/>
      <c r="M1047390" s="4"/>
      <c r="N1047390" s="26"/>
    </row>
    <row r="1047391" customFormat="1" spans="2:14">
      <c r="B1047391" s="26"/>
      <c r="C1047391" s="26"/>
      <c r="D1047391" s="4"/>
      <c r="E1047391" s="26"/>
      <c r="F1047391" s="26"/>
      <c r="G1047391" s="26"/>
      <c r="H1047391" s="26"/>
      <c r="I1047391" s="27"/>
      <c r="J1047391" s="26"/>
      <c r="K1047391" s="26"/>
      <c r="L1047391" s="4"/>
      <c r="M1047391" s="4"/>
      <c r="N1047391" s="26"/>
    </row>
    <row r="1047392" customFormat="1" spans="2:14">
      <c r="B1047392" s="26"/>
      <c r="C1047392" s="26"/>
      <c r="D1047392" s="4"/>
      <c r="E1047392" s="26"/>
      <c r="F1047392" s="26"/>
      <c r="G1047392" s="26"/>
      <c r="H1047392" s="26"/>
      <c r="I1047392" s="27"/>
      <c r="J1047392" s="26"/>
      <c r="K1047392" s="26"/>
      <c r="L1047392" s="4"/>
      <c r="M1047392" s="4"/>
      <c r="N1047392" s="26"/>
    </row>
    <row r="1047393" customFormat="1" spans="2:14">
      <c r="B1047393" s="26"/>
      <c r="C1047393" s="26"/>
      <c r="D1047393" s="4"/>
      <c r="E1047393" s="26"/>
      <c r="F1047393" s="26"/>
      <c r="G1047393" s="26"/>
      <c r="H1047393" s="26"/>
      <c r="I1047393" s="27"/>
      <c r="J1047393" s="26"/>
      <c r="K1047393" s="26"/>
      <c r="L1047393" s="4"/>
      <c r="M1047393" s="4"/>
      <c r="N1047393" s="26"/>
    </row>
    <row r="1047394" customFormat="1" spans="2:14">
      <c r="B1047394" s="26"/>
      <c r="C1047394" s="26"/>
      <c r="D1047394" s="4"/>
      <c r="E1047394" s="26"/>
      <c r="F1047394" s="26"/>
      <c r="G1047394" s="26"/>
      <c r="H1047394" s="26"/>
      <c r="I1047394" s="27"/>
      <c r="J1047394" s="26"/>
      <c r="K1047394" s="26"/>
      <c r="L1047394" s="4"/>
      <c r="M1047394" s="4"/>
      <c r="N1047394" s="26"/>
    </row>
    <row r="1047395" customFormat="1" spans="2:14">
      <c r="B1047395" s="26"/>
      <c r="C1047395" s="26"/>
      <c r="D1047395" s="4"/>
      <c r="E1047395" s="26"/>
      <c r="F1047395" s="26"/>
      <c r="G1047395" s="26"/>
      <c r="H1047395" s="26"/>
      <c r="I1047395" s="27"/>
      <c r="J1047395" s="26"/>
      <c r="K1047395" s="26"/>
      <c r="L1047395" s="4"/>
      <c r="M1047395" s="4"/>
      <c r="N1047395" s="26"/>
    </row>
    <row r="1047396" customFormat="1" spans="2:14">
      <c r="B1047396" s="26"/>
      <c r="C1047396" s="26"/>
      <c r="D1047396" s="4"/>
      <c r="E1047396" s="26"/>
      <c r="F1047396" s="26"/>
      <c r="G1047396" s="26"/>
      <c r="H1047396" s="26"/>
      <c r="I1047396" s="27"/>
      <c r="J1047396" s="26"/>
      <c r="K1047396" s="26"/>
      <c r="L1047396" s="4"/>
      <c r="M1047396" s="4"/>
      <c r="N1047396" s="26"/>
    </row>
    <row r="1047397" customFormat="1" spans="2:14">
      <c r="B1047397" s="26"/>
      <c r="C1047397" s="26"/>
      <c r="D1047397" s="4"/>
      <c r="E1047397" s="26"/>
      <c r="F1047397" s="26"/>
      <c r="G1047397" s="26"/>
      <c r="H1047397" s="26"/>
      <c r="I1047397" s="27"/>
      <c r="J1047397" s="26"/>
      <c r="K1047397" s="26"/>
      <c r="L1047397" s="4"/>
      <c r="M1047397" s="4"/>
      <c r="N1047397" s="26"/>
    </row>
    <row r="1047398" customFormat="1" spans="2:14">
      <c r="B1047398" s="26"/>
      <c r="C1047398" s="26"/>
      <c r="D1047398" s="4"/>
      <c r="E1047398" s="26"/>
      <c r="F1047398" s="26"/>
      <c r="G1047398" s="26"/>
      <c r="H1047398" s="26"/>
      <c r="I1047398" s="27"/>
      <c r="J1047398" s="26"/>
      <c r="K1047398" s="26"/>
      <c r="L1047398" s="4"/>
      <c r="M1047398" s="4"/>
      <c r="N1047398" s="26"/>
    </row>
    <row r="1047399" customFormat="1" spans="2:14">
      <c r="B1047399" s="26"/>
      <c r="C1047399" s="26"/>
      <c r="D1047399" s="4"/>
      <c r="E1047399" s="26"/>
      <c r="F1047399" s="26"/>
      <c r="G1047399" s="26"/>
      <c r="H1047399" s="26"/>
      <c r="I1047399" s="27"/>
      <c r="J1047399" s="26"/>
      <c r="K1047399" s="26"/>
      <c r="L1047399" s="4"/>
      <c r="M1047399" s="4"/>
      <c r="N1047399" s="26"/>
    </row>
    <row r="1047400" customFormat="1" spans="2:14">
      <c r="B1047400" s="26"/>
      <c r="C1047400" s="26"/>
      <c r="D1047400" s="4"/>
      <c r="E1047400" s="26"/>
      <c r="F1047400" s="26"/>
      <c r="G1047400" s="26"/>
      <c r="H1047400" s="26"/>
      <c r="I1047400" s="27"/>
      <c r="J1047400" s="26"/>
      <c r="K1047400" s="26"/>
      <c r="L1047400" s="4"/>
      <c r="M1047400" s="4"/>
      <c r="N1047400" s="26"/>
    </row>
    <row r="1047401" customFormat="1" spans="2:14">
      <c r="B1047401" s="26"/>
      <c r="C1047401" s="26"/>
      <c r="D1047401" s="4"/>
      <c r="E1047401" s="26"/>
      <c r="F1047401" s="26"/>
      <c r="G1047401" s="26"/>
      <c r="H1047401" s="26"/>
      <c r="I1047401" s="27"/>
      <c r="J1047401" s="26"/>
      <c r="K1047401" s="26"/>
      <c r="L1047401" s="4"/>
      <c r="M1047401" s="4"/>
      <c r="N1047401" s="26"/>
    </row>
    <row r="1047402" customFormat="1" spans="2:14">
      <c r="B1047402" s="26"/>
      <c r="C1047402" s="26"/>
      <c r="D1047402" s="4"/>
      <c r="E1047402" s="26"/>
      <c r="F1047402" s="26"/>
      <c r="G1047402" s="26"/>
      <c r="H1047402" s="26"/>
      <c r="I1047402" s="27"/>
      <c r="J1047402" s="26"/>
      <c r="K1047402" s="26"/>
      <c r="L1047402" s="4"/>
      <c r="M1047402" s="4"/>
      <c r="N1047402" s="26"/>
    </row>
    <row r="1047403" customFormat="1" spans="2:14">
      <c r="B1047403" s="26"/>
      <c r="C1047403" s="26"/>
      <c r="D1047403" s="4"/>
      <c r="E1047403" s="26"/>
      <c r="F1047403" s="26"/>
      <c r="G1047403" s="26"/>
      <c r="H1047403" s="26"/>
      <c r="I1047403" s="27"/>
      <c r="J1047403" s="26"/>
      <c r="K1047403" s="26"/>
      <c r="L1047403" s="4"/>
      <c r="M1047403" s="4"/>
      <c r="N1047403" s="26"/>
    </row>
    <row r="1047404" customFormat="1" spans="2:14">
      <c r="B1047404" s="26"/>
      <c r="C1047404" s="26"/>
      <c r="D1047404" s="4"/>
      <c r="E1047404" s="26"/>
      <c r="F1047404" s="26"/>
      <c r="G1047404" s="26"/>
      <c r="H1047404" s="26"/>
      <c r="I1047404" s="27"/>
      <c r="J1047404" s="26"/>
      <c r="K1047404" s="26"/>
      <c r="L1047404" s="4"/>
      <c r="M1047404" s="4"/>
      <c r="N1047404" s="26"/>
    </row>
    <row r="1047405" customFormat="1" spans="2:14">
      <c r="B1047405" s="26"/>
      <c r="C1047405" s="26"/>
      <c r="D1047405" s="4"/>
      <c r="E1047405" s="26"/>
      <c r="F1047405" s="26"/>
      <c r="G1047405" s="26"/>
      <c r="H1047405" s="26"/>
      <c r="I1047405" s="27"/>
      <c r="J1047405" s="26"/>
      <c r="K1047405" s="26"/>
      <c r="L1047405" s="4"/>
      <c r="M1047405" s="4"/>
      <c r="N1047405" s="26"/>
    </row>
    <row r="1047406" customFormat="1" spans="2:14">
      <c r="B1047406" s="26"/>
      <c r="C1047406" s="26"/>
      <c r="D1047406" s="4"/>
      <c r="E1047406" s="26"/>
      <c r="F1047406" s="26"/>
      <c r="G1047406" s="26"/>
      <c r="H1047406" s="26"/>
      <c r="I1047406" s="27"/>
      <c r="J1047406" s="26"/>
      <c r="K1047406" s="26"/>
      <c r="L1047406" s="4"/>
      <c r="M1047406" s="4"/>
      <c r="N1047406" s="26"/>
    </row>
    <row r="1047407" customFormat="1" spans="2:14">
      <c r="B1047407" s="26"/>
      <c r="C1047407" s="26"/>
      <c r="D1047407" s="4"/>
      <c r="E1047407" s="26"/>
      <c r="F1047407" s="26"/>
      <c r="G1047407" s="26"/>
      <c r="H1047407" s="26"/>
      <c r="I1047407" s="27"/>
      <c r="J1047407" s="26"/>
      <c r="K1047407" s="26"/>
      <c r="L1047407" s="4"/>
      <c r="M1047407" s="4"/>
      <c r="N1047407" s="26"/>
    </row>
    <row r="1047408" customFormat="1" spans="2:14">
      <c r="B1047408" s="26"/>
      <c r="C1047408" s="26"/>
      <c r="D1047408" s="4"/>
      <c r="E1047408" s="26"/>
      <c r="F1047408" s="26"/>
      <c r="G1047408" s="26"/>
      <c r="H1047408" s="26"/>
      <c r="I1047408" s="27"/>
      <c r="J1047408" s="26"/>
      <c r="K1047408" s="26"/>
      <c r="L1047408" s="4"/>
      <c r="M1047408" s="4"/>
      <c r="N1047408" s="26"/>
    </row>
    <row r="1047409" customFormat="1" spans="2:14">
      <c r="B1047409" s="26"/>
      <c r="C1047409" s="26"/>
      <c r="D1047409" s="4"/>
      <c r="E1047409" s="26"/>
      <c r="F1047409" s="26"/>
      <c r="G1047409" s="26"/>
      <c r="H1047409" s="26"/>
      <c r="I1047409" s="27"/>
      <c r="J1047409" s="26"/>
      <c r="K1047409" s="26"/>
      <c r="L1047409" s="4"/>
      <c r="M1047409" s="4"/>
      <c r="N1047409" s="26"/>
    </row>
    <row r="1047410" customFormat="1" spans="2:14">
      <c r="B1047410" s="26"/>
      <c r="C1047410" s="26"/>
      <c r="D1047410" s="4"/>
      <c r="E1047410" s="26"/>
      <c r="F1047410" s="26"/>
      <c r="G1047410" s="26"/>
      <c r="H1047410" s="26"/>
      <c r="I1047410" s="27"/>
      <c r="J1047410" s="26"/>
      <c r="K1047410" s="26"/>
      <c r="L1047410" s="4"/>
      <c r="M1047410" s="4"/>
      <c r="N1047410" s="26"/>
    </row>
    <row r="1047411" customFormat="1" spans="2:14">
      <c r="B1047411" s="26"/>
      <c r="C1047411" s="26"/>
      <c r="D1047411" s="4"/>
      <c r="E1047411" s="26"/>
      <c r="F1047411" s="26"/>
      <c r="G1047411" s="26"/>
      <c r="H1047411" s="26"/>
      <c r="I1047411" s="27"/>
      <c r="J1047411" s="26"/>
      <c r="K1047411" s="26"/>
      <c r="L1047411" s="4"/>
      <c r="M1047411" s="4"/>
      <c r="N1047411" s="26"/>
    </row>
    <row r="1047412" customFormat="1" spans="2:14">
      <c r="B1047412" s="26"/>
      <c r="C1047412" s="26"/>
      <c r="D1047412" s="4"/>
      <c r="E1047412" s="26"/>
      <c r="F1047412" s="26"/>
      <c r="G1047412" s="26"/>
      <c r="H1047412" s="26"/>
      <c r="I1047412" s="27"/>
      <c r="J1047412" s="26"/>
      <c r="K1047412" s="26"/>
      <c r="L1047412" s="4"/>
      <c r="M1047412" s="4"/>
      <c r="N1047412" s="26"/>
    </row>
    <row r="1047413" customFormat="1" spans="2:14">
      <c r="B1047413" s="26"/>
      <c r="C1047413" s="26"/>
      <c r="D1047413" s="4"/>
      <c r="E1047413" s="26"/>
      <c r="F1047413" s="26"/>
      <c r="G1047413" s="26"/>
      <c r="H1047413" s="26"/>
      <c r="I1047413" s="27"/>
      <c r="J1047413" s="26"/>
      <c r="K1047413" s="26"/>
      <c r="L1047413" s="4"/>
      <c r="M1047413" s="4"/>
      <c r="N1047413" s="26"/>
    </row>
    <row r="1047414" customFormat="1" spans="2:14">
      <c r="B1047414" s="26"/>
      <c r="C1047414" s="26"/>
      <c r="D1047414" s="4"/>
      <c r="E1047414" s="26"/>
      <c r="F1047414" s="26"/>
      <c r="G1047414" s="26"/>
      <c r="H1047414" s="26"/>
      <c r="I1047414" s="27"/>
      <c r="J1047414" s="26"/>
      <c r="K1047414" s="26"/>
      <c r="L1047414" s="4"/>
      <c r="M1047414" s="4"/>
      <c r="N1047414" s="26"/>
    </row>
    <row r="1047415" customFormat="1" spans="2:14">
      <c r="B1047415" s="26"/>
      <c r="C1047415" s="26"/>
      <c r="D1047415" s="4"/>
      <c r="E1047415" s="26"/>
      <c r="F1047415" s="26"/>
      <c r="G1047415" s="26"/>
      <c r="H1047415" s="26"/>
      <c r="I1047415" s="27"/>
      <c r="J1047415" s="26"/>
      <c r="K1047415" s="26"/>
      <c r="L1047415" s="4"/>
      <c r="M1047415" s="4"/>
      <c r="N1047415" s="26"/>
    </row>
    <row r="1047416" customFormat="1" spans="2:14">
      <c r="B1047416" s="26"/>
      <c r="C1047416" s="26"/>
      <c r="D1047416" s="4"/>
      <c r="E1047416" s="26"/>
      <c r="F1047416" s="26"/>
      <c r="G1047416" s="26"/>
      <c r="H1047416" s="26"/>
      <c r="I1047416" s="27"/>
      <c r="J1047416" s="26"/>
      <c r="K1047416" s="26"/>
      <c r="L1047416" s="4"/>
      <c r="M1047416" s="4"/>
      <c r="N1047416" s="26"/>
    </row>
    <row r="1047417" customFormat="1" spans="2:14">
      <c r="B1047417" s="26"/>
      <c r="C1047417" s="26"/>
      <c r="D1047417" s="4"/>
      <c r="E1047417" s="26"/>
      <c r="F1047417" s="26"/>
      <c r="G1047417" s="26"/>
      <c r="H1047417" s="26"/>
      <c r="I1047417" s="27"/>
      <c r="J1047417" s="26"/>
      <c r="K1047417" s="26"/>
      <c r="L1047417" s="4"/>
      <c r="M1047417" s="4"/>
      <c r="N1047417" s="26"/>
    </row>
    <row r="1047418" customFormat="1" spans="2:14">
      <c r="B1047418" s="26"/>
      <c r="C1047418" s="26"/>
      <c r="D1047418" s="4"/>
      <c r="E1047418" s="26"/>
      <c r="F1047418" s="26"/>
      <c r="G1047418" s="26"/>
      <c r="H1047418" s="26"/>
      <c r="I1047418" s="27"/>
      <c r="J1047418" s="26"/>
      <c r="K1047418" s="26"/>
      <c r="L1047418" s="4"/>
      <c r="M1047418" s="4"/>
      <c r="N1047418" s="26"/>
    </row>
    <row r="1047419" customFormat="1" spans="2:14">
      <c r="B1047419" s="26"/>
      <c r="C1047419" s="26"/>
      <c r="D1047419" s="4"/>
      <c r="E1047419" s="26"/>
      <c r="F1047419" s="26"/>
      <c r="G1047419" s="26"/>
      <c r="H1047419" s="26"/>
      <c r="I1047419" s="27"/>
      <c r="J1047419" s="26"/>
      <c r="K1047419" s="26"/>
      <c r="L1047419" s="4"/>
      <c r="M1047419" s="4"/>
      <c r="N1047419" s="26"/>
    </row>
    <row r="1047420" customFormat="1" spans="2:14">
      <c r="B1047420" s="26"/>
      <c r="C1047420" s="26"/>
      <c r="D1047420" s="4"/>
      <c r="E1047420" s="26"/>
      <c r="F1047420" s="26"/>
      <c r="G1047420" s="26"/>
      <c r="H1047420" s="26"/>
      <c r="I1047420" s="27"/>
      <c r="J1047420" s="26"/>
      <c r="K1047420" s="26"/>
      <c r="L1047420" s="4"/>
      <c r="M1047420" s="4"/>
      <c r="N1047420" s="26"/>
    </row>
    <row r="1047421" customFormat="1" spans="2:14">
      <c r="B1047421" s="26"/>
      <c r="C1047421" s="26"/>
      <c r="D1047421" s="4"/>
      <c r="E1047421" s="26"/>
      <c r="F1047421" s="26"/>
      <c r="G1047421" s="26"/>
      <c r="H1047421" s="26"/>
      <c r="I1047421" s="27"/>
      <c r="J1047421" s="26"/>
      <c r="K1047421" s="26"/>
      <c r="L1047421" s="4"/>
      <c r="M1047421" s="4"/>
      <c r="N1047421" s="26"/>
    </row>
    <row r="1047422" customFormat="1" spans="2:14">
      <c r="B1047422" s="26"/>
      <c r="C1047422" s="26"/>
      <c r="D1047422" s="4"/>
      <c r="E1047422" s="26"/>
      <c r="F1047422" s="26"/>
      <c r="G1047422" s="26"/>
      <c r="H1047422" s="26"/>
      <c r="I1047422" s="27"/>
      <c r="J1047422" s="26"/>
      <c r="K1047422" s="26"/>
      <c r="L1047422" s="4"/>
      <c r="M1047422" s="4"/>
      <c r="N1047422" s="26"/>
    </row>
    <row r="1047423" customFormat="1" spans="2:14">
      <c r="B1047423" s="26"/>
      <c r="C1047423" s="26"/>
      <c r="D1047423" s="4"/>
      <c r="E1047423" s="26"/>
      <c r="F1047423" s="26"/>
      <c r="G1047423" s="26"/>
      <c r="H1047423" s="26"/>
      <c r="I1047423" s="27"/>
      <c r="J1047423" s="26"/>
      <c r="K1047423" s="26"/>
      <c r="L1047423" s="4"/>
      <c r="M1047423" s="4"/>
      <c r="N1047423" s="26"/>
    </row>
    <row r="1047424" customFormat="1" spans="2:14">
      <c r="B1047424" s="26"/>
      <c r="C1047424" s="26"/>
      <c r="D1047424" s="4"/>
      <c r="E1047424" s="26"/>
      <c r="F1047424" s="26"/>
      <c r="G1047424" s="26"/>
      <c r="H1047424" s="26"/>
      <c r="I1047424" s="27"/>
      <c r="J1047424" s="26"/>
      <c r="K1047424" s="26"/>
      <c r="L1047424" s="4"/>
      <c r="M1047424" s="4"/>
      <c r="N1047424" s="26"/>
    </row>
    <row r="1047425" customFormat="1" spans="2:14">
      <c r="B1047425" s="26"/>
      <c r="C1047425" s="26"/>
      <c r="D1047425" s="4"/>
      <c r="E1047425" s="26"/>
      <c r="F1047425" s="26"/>
      <c r="G1047425" s="26"/>
      <c r="H1047425" s="26"/>
      <c r="I1047425" s="27"/>
      <c r="J1047425" s="26"/>
      <c r="K1047425" s="26"/>
      <c r="L1047425" s="4"/>
      <c r="M1047425" s="4"/>
      <c r="N1047425" s="26"/>
    </row>
    <row r="1047426" customFormat="1" spans="2:14">
      <c r="B1047426" s="26"/>
      <c r="C1047426" s="26"/>
      <c r="D1047426" s="4"/>
      <c r="E1047426" s="26"/>
      <c r="F1047426" s="26"/>
      <c r="G1047426" s="26"/>
      <c r="H1047426" s="26"/>
      <c r="I1047426" s="27"/>
      <c r="J1047426" s="26"/>
      <c r="K1047426" s="26"/>
      <c r="L1047426" s="4"/>
      <c r="M1047426" s="4"/>
      <c r="N1047426" s="26"/>
    </row>
    <row r="1047427" customFormat="1" spans="2:14">
      <c r="B1047427" s="26"/>
      <c r="C1047427" s="26"/>
      <c r="D1047427" s="4"/>
      <c r="E1047427" s="26"/>
      <c r="F1047427" s="26"/>
      <c r="G1047427" s="26"/>
      <c r="H1047427" s="26"/>
      <c r="I1047427" s="27"/>
      <c r="J1047427" s="26"/>
      <c r="K1047427" s="26"/>
      <c r="L1047427" s="4"/>
      <c r="M1047427" s="4"/>
      <c r="N1047427" s="26"/>
    </row>
    <row r="1047428" customFormat="1" spans="2:14">
      <c r="B1047428" s="26"/>
      <c r="C1047428" s="26"/>
      <c r="D1047428" s="4"/>
      <c r="E1047428" s="26"/>
      <c r="F1047428" s="26"/>
      <c r="G1047428" s="26"/>
      <c r="H1047428" s="26"/>
      <c r="I1047428" s="27"/>
      <c r="J1047428" s="26"/>
      <c r="K1047428" s="26"/>
      <c r="L1047428" s="4"/>
      <c r="M1047428" s="4"/>
      <c r="N1047428" s="26"/>
    </row>
    <row r="1047429" customFormat="1" spans="2:14">
      <c r="B1047429" s="26"/>
      <c r="C1047429" s="26"/>
      <c r="D1047429" s="4"/>
      <c r="E1047429" s="26"/>
      <c r="F1047429" s="26"/>
      <c r="G1047429" s="26"/>
      <c r="H1047429" s="26"/>
      <c r="I1047429" s="27"/>
      <c r="J1047429" s="26"/>
      <c r="K1047429" s="26"/>
      <c r="L1047429" s="4"/>
      <c r="M1047429" s="4"/>
      <c r="N1047429" s="26"/>
    </row>
    <row r="1047430" customFormat="1" spans="2:14">
      <c r="B1047430" s="26"/>
      <c r="C1047430" s="26"/>
      <c r="D1047430" s="4"/>
      <c r="E1047430" s="26"/>
      <c r="F1047430" s="26"/>
      <c r="G1047430" s="26"/>
      <c r="H1047430" s="26"/>
      <c r="I1047430" s="27"/>
      <c r="J1047430" s="26"/>
      <c r="K1047430" s="26"/>
      <c r="L1047430" s="4"/>
      <c r="M1047430" s="4"/>
      <c r="N1047430" s="26"/>
    </row>
    <row r="1047431" customFormat="1" spans="2:14">
      <c r="B1047431" s="26"/>
      <c r="C1047431" s="26"/>
      <c r="D1047431" s="4"/>
      <c r="E1047431" s="26"/>
      <c r="F1047431" s="26"/>
      <c r="G1047431" s="26"/>
      <c r="H1047431" s="26"/>
      <c r="I1047431" s="27"/>
      <c r="J1047431" s="26"/>
      <c r="K1047431" s="26"/>
      <c r="L1047431" s="4"/>
      <c r="M1047431" s="4"/>
      <c r="N1047431" s="26"/>
    </row>
    <row r="1047432" customFormat="1" spans="2:14">
      <c r="B1047432" s="26"/>
      <c r="C1047432" s="26"/>
      <c r="D1047432" s="4"/>
      <c r="E1047432" s="26"/>
      <c r="F1047432" s="26"/>
      <c r="G1047432" s="26"/>
      <c r="H1047432" s="26"/>
      <c r="I1047432" s="27"/>
      <c r="J1047432" s="26"/>
      <c r="K1047432" s="26"/>
      <c r="L1047432" s="4"/>
      <c r="M1047432" s="4"/>
      <c r="N1047432" s="26"/>
    </row>
    <row r="1047433" customFormat="1" spans="2:14">
      <c r="B1047433" s="26"/>
      <c r="C1047433" s="26"/>
      <c r="D1047433" s="4"/>
      <c r="E1047433" s="26"/>
      <c r="F1047433" s="26"/>
      <c r="G1047433" s="26"/>
      <c r="H1047433" s="26"/>
      <c r="I1047433" s="27"/>
      <c r="J1047433" s="26"/>
      <c r="K1047433" s="26"/>
      <c r="L1047433" s="4"/>
      <c r="M1047433" s="4"/>
      <c r="N1047433" s="26"/>
    </row>
    <row r="1047434" customFormat="1" spans="2:14">
      <c r="B1047434" s="26"/>
      <c r="C1047434" s="26"/>
      <c r="D1047434" s="4"/>
      <c r="E1047434" s="26"/>
      <c r="F1047434" s="26"/>
      <c r="G1047434" s="26"/>
      <c r="H1047434" s="26"/>
      <c r="I1047434" s="27"/>
      <c r="J1047434" s="26"/>
      <c r="K1047434" s="26"/>
      <c r="L1047434" s="4"/>
      <c r="M1047434" s="4"/>
      <c r="N1047434" s="26"/>
    </row>
    <row r="1047435" customFormat="1" spans="2:14">
      <c r="B1047435" s="26"/>
      <c r="C1047435" s="26"/>
      <c r="D1047435" s="4"/>
      <c r="E1047435" s="26"/>
      <c r="F1047435" s="26"/>
      <c r="G1047435" s="26"/>
      <c r="H1047435" s="26"/>
      <c r="I1047435" s="27"/>
      <c r="J1047435" s="26"/>
      <c r="K1047435" s="26"/>
      <c r="L1047435" s="4"/>
      <c r="M1047435" s="4"/>
      <c r="N1047435" s="26"/>
    </row>
    <row r="1047436" customFormat="1" spans="2:14">
      <c r="B1047436" s="26"/>
      <c r="C1047436" s="26"/>
      <c r="D1047436" s="4"/>
      <c r="E1047436" s="26"/>
      <c r="F1047436" s="26"/>
      <c r="G1047436" s="26"/>
      <c r="H1047436" s="26"/>
      <c r="I1047436" s="27"/>
      <c r="J1047436" s="26"/>
      <c r="K1047436" s="26"/>
      <c r="L1047436" s="4"/>
      <c r="M1047436" s="4"/>
      <c r="N1047436" s="26"/>
    </row>
    <row r="1047437" customFormat="1" spans="2:14">
      <c r="B1047437" s="26"/>
      <c r="C1047437" s="26"/>
      <c r="D1047437" s="4"/>
      <c r="E1047437" s="26"/>
      <c r="F1047437" s="26"/>
      <c r="G1047437" s="26"/>
      <c r="H1047437" s="26"/>
      <c r="I1047437" s="27"/>
      <c r="J1047437" s="26"/>
      <c r="K1047437" s="26"/>
      <c r="L1047437" s="4"/>
      <c r="M1047437" s="4"/>
      <c r="N1047437" s="26"/>
    </row>
    <row r="1047438" customFormat="1" spans="2:14">
      <c r="B1047438" s="26"/>
      <c r="C1047438" s="26"/>
      <c r="D1047438" s="4"/>
      <c r="E1047438" s="26"/>
      <c r="F1047438" s="26"/>
      <c r="G1047438" s="26"/>
      <c r="H1047438" s="26"/>
      <c r="I1047438" s="27"/>
      <c r="J1047438" s="26"/>
      <c r="K1047438" s="26"/>
      <c r="L1047438" s="4"/>
      <c r="M1047438" s="4"/>
      <c r="N1047438" s="26"/>
    </row>
    <row r="1047439" customFormat="1" spans="2:14">
      <c r="B1047439" s="26"/>
      <c r="C1047439" s="26"/>
      <c r="D1047439" s="4"/>
      <c r="E1047439" s="26"/>
      <c r="F1047439" s="26"/>
      <c r="G1047439" s="26"/>
      <c r="H1047439" s="26"/>
      <c r="I1047439" s="27"/>
      <c r="J1047439" s="26"/>
      <c r="K1047439" s="26"/>
      <c r="L1047439" s="4"/>
      <c r="M1047439" s="4"/>
      <c r="N1047439" s="26"/>
    </row>
    <row r="1047440" customFormat="1" spans="2:14">
      <c r="B1047440" s="26"/>
      <c r="C1047440" s="26"/>
      <c r="D1047440" s="4"/>
      <c r="E1047440" s="26"/>
      <c r="F1047440" s="26"/>
      <c r="G1047440" s="26"/>
      <c r="H1047440" s="26"/>
      <c r="I1047440" s="27"/>
      <c r="J1047440" s="26"/>
      <c r="K1047440" s="26"/>
      <c r="L1047440" s="4"/>
      <c r="M1047440" s="4"/>
      <c r="N1047440" s="26"/>
    </row>
    <row r="1047441" customFormat="1" spans="2:14">
      <c r="B1047441" s="26"/>
      <c r="C1047441" s="26"/>
      <c r="D1047441" s="4"/>
      <c r="E1047441" s="26"/>
      <c r="F1047441" s="26"/>
      <c r="G1047441" s="26"/>
      <c r="H1047441" s="26"/>
      <c r="I1047441" s="27"/>
      <c r="J1047441" s="26"/>
      <c r="K1047441" s="26"/>
      <c r="L1047441" s="4"/>
      <c r="M1047441" s="4"/>
      <c r="N1047441" s="26"/>
    </row>
    <row r="1047442" customFormat="1" spans="2:14">
      <c r="B1047442" s="26"/>
      <c r="C1047442" s="26"/>
      <c r="D1047442" s="4"/>
      <c r="E1047442" s="26"/>
      <c r="F1047442" s="26"/>
      <c r="G1047442" s="26"/>
      <c r="H1047442" s="26"/>
      <c r="I1047442" s="27"/>
      <c r="J1047442" s="26"/>
      <c r="K1047442" s="26"/>
      <c r="L1047442" s="4"/>
      <c r="M1047442" s="4"/>
      <c r="N1047442" s="26"/>
    </row>
    <row r="1047443" customFormat="1" spans="2:14">
      <c r="B1047443" s="26"/>
      <c r="C1047443" s="26"/>
      <c r="D1047443" s="4"/>
      <c r="E1047443" s="26"/>
      <c r="F1047443" s="26"/>
      <c r="G1047443" s="26"/>
      <c r="H1047443" s="26"/>
      <c r="I1047443" s="27"/>
      <c r="J1047443" s="26"/>
      <c r="K1047443" s="26"/>
      <c r="L1047443" s="4"/>
      <c r="M1047443" s="4"/>
      <c r="N1047443" s="26"/>
    </row>
    <row r="1047444" customFormat="1" spans="2:14">
      <c r="B1047444" s="26"/>
      <c r="C1047444" s="26"/>
      <c r="D1047444" s="4"/>
      <c r="E1047444" s="26"/>
      <c r="F1047444" s="26"/>
      <c r="G1047444" s="26"/>
      <c r="H1047444" s="26"/>
      <c r="I1047444" s="27"/>
      <c r="J1047444" s="26"/>
      <c r="K1047444" s="26"/>
      <c r="L1047444" s="4"/>
      <c r="M1047444" s="4"/>
      <c r="N1047444" s="26"/>
    </row>
    <row r="1047445" customFormat="1" spans="2:14">
      <c r="B1047445" s="26"/>
      <c r="C1047445" s="26"/>
      <c r="D1047445" s="4"/>
      <c r="E1047445" s="26"/>
      <c r="F1047445" s="26"/>
      <c r="G1047445" s="26"/>
      <c r="H1047445" s="26"/>
      <c r="I1047445" s="27"/>
      <c r="J1047445" s="26"/>
      <c r="K1047445" s="26"/>
      <c r="L1047445" s="4"/>
      <c r="M1047445" s="4"/>
      <c r="N1047445" s="26"/>
    </row>
    <row r="1047446" customFormat="1" spans="2:14">
      <c r="B1047446" s="26"/>
      <c r="C1047446" s="26"/>
      <c r="D1047446" s="4"/>
      <c r="E1047446" s="26"/>
      <c r="F1047446" s="26"/>
      <c r="G1047446" s="26"/>
      <c r="H1047446" s="26"/>
      <c r="I1047446" s="27"/>
      <c r="J1047446" s="26"/>
      <c r="K1047446" s="26"/>
      <c r="L1047446" s="4"/>
      <c r="M1047446" s="4"/>
      <c r="N1047446" s="26"/>
    </row>
    <row r="1047447" customFormat="1" spans="2:14">
      <c r="B1047447" s="26"/>
      <c r="C1047447" s="26"/>
      <c r="D1047447" s="4"/>
      <c r="E1047447" s="26"/>
      <c r="F1047447" s="26"/>
      <c r="G1047447" s="26"/>
      <c r="H1047447" s="26"/>
      <c r="I1047447" s="27"/>
      <c r="J1047447" s="26"/>
      <c r="K1047447" s="26"/>
      <c r="L1047447" s="4"/>
      <c r="M1047447" s="4"/>
      <c r="N1047447" s="26"/>
    </row>
    <row r="1047448" customFormat="1" spans="2:14">
      <c r="B1047448" s="26"/>
      <c r="C1047448" s="26"/>
      <c r="D1047448" s="4"/>
      <c r="E1047448" s="26"/>
      <c r="F1047448" s="26"/>
      <c r="G1047448" s="26"/>
      <c r="H1047448" s="26"/>
      <c r="I1047448" s="27"/>
      <c r="J1047448" s="26"/>
      <c r="K1047448" s="26"/>
      <c r="L1047448" s="4"/>
      <c r="M1047448" s="4"/>
      <c r="N1047448" s="26"/>
    </row>
    <row r="1047449" customFormat="1" spans="2:14">
      <c r="B1047449" s="26"/>
      <c r="C1047449" s="26"/>
      <c r="D1047449" s="4"/>
      <c r="E1047449" s="26"/>
      <c r="F1047449" s="26"/>
      <c r="G1047449" s="26"/>
      <c r="H1047449" s="26"/>
      <c r="I1047449" s="27"/>
      <c r="J1047449" s="26"/>
      <c r="K1047449" s="26"/>
      <c r="L1047449" s="4"/>
      <c r="M1047449" s="4"/>
      <c r="N1047449" s="26"/>
    </row>
    <row r="1047450" customFormat="1" spans="2:14">
      <c r="B1047450" s="26"/>
      <c r="C1047450" s="26"/>
      <c r="D1047450" s="4"/>
      <c r="E1047450" s="26"/>
      <c r="F1047450" s="26"/>
      <c r="G1047450" s="26"/>
      <c r="H1047450" s="26"/>
      <c r="I1047450" s="27"/>
      <c r="J1047450" s="26"/>
      <c r="K1047450" s="26"/>
      <c r="L1047450" s="4"/>
      <c r="M1047450" s="4"/>
      <c r="N1047450" s="26"/>
    </row>
    <row r="1047451" customFormat="1" spans="2:14">
      <c r="B1047451" s="26"/>
      <c r="C1047451" s="26"/>
      <c r="D1047451" s="4"/>
      <c r="E1047451" s="26"/>
      <c r="F1047451" s="26"/>
      <c r="G1047451" s="26"/>
      <c r="H1047451" s="26"/>
      <c r="I1047451" s="27"/>
      <c r="J1047451" s="26"/>
      <c r="K1047451" s="26"/>
      <c r="L1047451" s="4"/>
      <c r="M1047451" s="4"/>
      <c r="N1047451" s="26"/>
    </row>
    <row r="1047452" customFormat="1" spans="2:14">
      <c r="B1047452" s="26"/>
      <c r="C1047452" s="26"/>
      <c r="D1047452" s="4"/>
      <c r="E1047452" s="26"/>
      <c r="F1047452" s="26"/>
      <c r="G1047452" s="26"/>
      <c r="H1047452" s="26"/>
      <c r="I1047452" s="27"/>
      <c r="J1047452" s="26"/>
      <c r="K1047452" s="26"/>
      <c r="L1047452" s="4"/>
      <c r="M1047452" s="4"/>
      <c r="N1047452" s="26"/>
    </row>
    <row r="1047453" customFormat="1" spans="2:14">
      <c r="B1047453" s="26"/>
      <c r="C1047453" s="26"/>
      <c r="D1047453" s="4"/>
      <c r="E1047453" s="26"/>
      <c r="F1047453" s="26"/>
      <c r="G1047453" s="26"/>
      <c r="H1047453" s="26"/>
      <c r="I1047453" s="27"/>
      <c r="J1047453" s="26"/>
      <c r="K1047453" s="26"/>
      <c r="L1047453" s="4"/>
      <c r="M1047453" s="4"/>
      <c r="N1047453" s="26"/>
    </row>
    <row r="1047454" customFormat="1" spans="2:14">
      <c r="B1047454" s="26"/>
      <c r="C1047454" s="26"/>
      <c r="D1047454" s="4"/>
      <c r="E1047454" s="26"/>
      <c r="F1047454" s="26"/>
      <c r="G1047454" s="26"/>
      <c r="H1047454" s="26"/>
      <c r="I1047454" s="27"/>
      <c r="J1047454" s="26"/>
      <c r="K1047454" s="26"/>
      <c r="L1047454" s="4"/>
      <c r="M1047454" s="4"/>
      <c r="N1047454" s="26"/>
    </row>
    <row r="1047455" customFormat="1" spans="2:14">
      <c r="B1047455" s="26"/>
      <c r="C1047455" s="26"/>
      <c r="D1047455" s="4"/>
      <c r="E1047455" s="26"/>
      <c r="F1047455" s="26"/>
      <c r="G1047455" s="26"/>
      <c r="H1047455" s="26"/>
      <c r="I1047455" s="27"/>
      <c r="J1047455" s="26"/>
      <c r="K1047455" s="26"/>
      <c r="L1047455" s="4"/>
      <c r="M1047455" s="4"/>
      <c r="N1047455" s="26"/>
    </row>
    <row r="1047456" customFormat="1" spans="2:14">
      <c r="B1047456" s="26"/>
      <c r="C1047456" s="26"/>
      <c r="D1047456" s="4"/>
      <c r="E1047456" s="26"/>
      <c r="F1047456" s="26"/>
      <c r="G1047456" s="26"/>
      <c r="H1047456" s="26"/>
      <c r="I1047456" s="27"/>
      <c r="J1047456" s="26"/>
      <c r="K1047456" s="26"/>
      <c r="L1047456" s="4"/>
      <c r="M1047456" s="4"/>
      <c r="N1047456" s="26"/>
    </row>
    <row r="1047457" customFormat="1" spans="2:14">
      <c r="B1047457" s="26"/>
      <c r="C1047457" s="26"/>
      <c r="D1047457" s="4"/>
      <c r="E1047457" s="26"/>
      <c r="F1047457" s="26"/>
      <c r="G1047457" s="26"/>
      <c r="H1047457" s="26"/>
      <c r="I1047457" s="27"/>
      <c r="J1047457" s="26"/>
      <c r="K1047457" s="26"/>
      <c r="L1047457" s="4"/>
      <c r="M1047457" s="4"/>
      <c r="N1047457" s="26"/>
    </row>
    <row r="1047458" customFormat="1" spans="2:14">
      <c r="B1047458" s="26"/>
      <c r="C1047458" s="26"/>
      <c r="D1047458" s="4"/>
      <c r="E1047458" s="26"/>
      <c r="F1047458" s="26"/>
      <c r="G1047458" s="26"/>
      <c r="H1047458" s="26"/>
      <c r="I1047458" s="27"/>
      <c r="J1047458" s="26"/>
      <c r="K1047458" s="26"/>
      <c r="L1047458" s="4"/>
      <c r="M1047458" s="4"/>
      <c r="N1047458" s="26"/>
    </row>
    <row r="1047459" customFormat="1" spans="2:14">
      <c r="B1047459" s="26"/>
      <c r="C1047459" s="26"/>
      <c r="D1047459" s="4"/>
      <c r="E1047459" s="26"/>
      <c r="F1047459" s="26"/>
      <c r="G1047459" s="26"/>
      <c r="H1047459" s="26"/>
      <c r="I1047459" s="27"/>
      <c r="J1047459" s="26"/>
      <c r="K1047459" s="26"/>
      <c r="L1047459" s="4"/>
      <c r="M1047459" s="4"/>
      <c r="N1047459" s="26"/>
    </row>
    <row r="1047460" customFormat="1" spans="2:14">
      <c r="B1047460" s="26"/>
      <c r="C1047460" s="26"/>
      <c r="D1047460" s="4"/>
      <c r="E1047460" s="26"/>
      <c r="F1047460" s="26"/>
      <c r="G1047460" s="26"/>
      <c r="H1047460" s="26"/>
      <c r="I1047460" s="27"/>
      <c r="J1047460" s="26"/>
      <c r="K1047460" s="26"/>
      <c r="L1047460" s="4"/>
      <c r="M1047460" s="4"/>
      <c r="N1047460" s="26"/>
    </row>
    <row r="1047461" customFormat="1" spans="2:14">
      <c r="B1047461" s="26"/>
      <c r="C1047461" s="26"/>
      <c r="D1047461" s="4"/>
      <c r="E1047461" s="26"/>
      <c r="F1047461" s="26"/>
      <c r="G1047461" s="26"/>
      <c r="H1047461" s="26"/>
      <c r="I1047461" s="27"/>
      <c r="J1047461" s="26"/>
      <c r="K1047461" s="26"/>
      <c r="L1047461" s="4"/>
      <c r="M1047461" s="4"/>
      <c r="N1047461" s="26"/>
    </row>
    <row r="1047462" customFormat="1" spans="2:14">
      <c r="B1047462" s="26"/>
      <c r="C1047462" s="26"/>
      <c r="D1047462" s="4"/>
      <c r="E1047462" s="26"/>
      <c r="F1047462" s="26"/>
      <c r="G1047462" s="26"/>
      <c r="H1047462" s="26"/>
      <c r="I1047462" s="27"/>
      <c r="J1047462" s="26"/>
      <c r="K1047462" s="26"/>
      <c r="L1047462" s="4"/>
      <c r="M1047462" s="4"/>
      <c r="N1047462" s="26"/>
    </row>
    <row r="1047463" customFormat="1" spans="2:14">
      <c r="B1047463" s="26"/>
      <c r="C1047463" s="26"/>
      <c r="D1047463" s="4"/>
      <c r="E1047463" s="26"/>
      <c r="F1047463" s="26"/>
      <c r="G1047463" s="26"/>
      <c r="H1047463" s="26"/>
      <c r="I1047463" s="27"/>
      <c r="J1047463" s="26"/>
      <c r="K1047463" s="26"/>
      <c r="L1047463" s="4"/>
      <c r="M1047463" s="4"/>
      <c r="N1047463" s="26"/>
    </row>
    <row r="1047464" customFormat="1" spans="2:14">
      <c r="B1047464" s="26"/>
      <c r="C1047464" s="26"/>
      <c r="D1047464" s="4"/>
      <c r="E1047464" s="26"/>
      <c r="F1047464" s="26"/>
      <c r="G1047464" s="26"/>
      <c r="H1047464" s="26"/>
      <c r="I1047464" s="27"/>
      <c r="J1047464" s="26"/>
      <c r="K1047464" s="26"/>
      <c r="L1047464" s="4"/>
      <c r="M1047464" s="4"/>
      <c r="N1047464" s="26"/>
    </row>
    <row r="1047465" customFormat="1" spans="2:14">
      <c r="B1047465" s="26"/>
      <c r="C1047465" s="26"/>
      <c r="D1047465" s="4"/>
      <c r="E1047465" s="26"/>
      <c r="F1047465" s="26"/>
      <c r="G1047465" s="26"/>
      <c r="H1047465" s="26"/>
      <c r="I1047465" s="27"/>
      <c r="J1047465" s="26"/>
      <c r="K1047465" s="26"/>
      <c r="L1047465" s="4"/>
      <c r="M1047465" s="4"/>
      <c r="N1047465" s="26"/>
    </row>
    <row r="1047466" customFormat="1" spans="2:14">
      <c r="B1047466" s="26"/>
      <c r="C1047466" s="26"/>
      <c r="D1047466" s="4"/>
      <c r="E1047466" s="26"/>
      <c r="F1047466" s="26"/>
      <c r="G1047466" s="26"/>
      <c r="H1047466" s="26"/>
      <c r="I1047466" s="27"/>
      <c r="J1047466" s="26"/>
      <c r="K1047466" s="26"/>
      <c r="L1047466" s="4"/>
      <c r="M1047466" s="4"/>
      <c r="N1047466" s="26"/>
    </row>
    <row r="1047467" customFormat="1" spans="2:14">
      <c r="B1047467" s="26"/>
      <c r="C1047467" s="26"/>
      <c r="D1047467" s="4"/>
      <c r="E1047467" s="26"/>
      <c r="F1047467" s="26"/>
      <c r="G1047467" s="26"/>
      <c r="H1047467" s="26"/>
      <c r="I1047467" s="27"/>
      <c r="J1047467" s="26"/>
      <c r="K1047467" s="26"/>
      <c r="L1047467" s="4"/>
      <c r="M1047467" s="4"/>
      <c r="N1047467" s="26"/>
    </row>
    <row r="1047468" customFormat="1" spans="2:14">
      <c r="B1047468" s="26"/>
      <c r="C1047468" s="26"/>
      <c r="D1047468" s="4"/>
      <c r="E1047468" s="26"/>
      <c r="F1047468" s="26"/>
      <c r="G1047468" s="26"/>
      <c r="H1047468" s="26"/>
      <c r="I1047468" s="27"/>
      <c r="J1047468" s="26"/>
      <c r="K1047468" s="26"/>
      <c r="L1047468" s="4"/>
      <c r="M1047468" s="4"/>
      <c r="N1047468" s="26"/>
    </row>
    <row r="1047469" customFormat="1" spans="2:14">
      <c r="B1047469" s="26"/>
      <c r="C1047469" s="26"/>
      <c r="D1047469" s="4"/>
      <c r="E1047469" s="26"/>
      <c r="F1047469" s="26"/>
      <c r="G1047469" s="26"/>
      <c r="H1047469" s="26"/>
      <c r="I1047469" s="27"/>
      <c r="J1047469" s="26"/>
      <c r="K1047469" s="26"/>
      <c r="L1047469" s="4"/>
      <c r="M1047469" s="4"/>
      <c r="N1047469" s="26"/>
    </row>
    <row r="1047470" customFormat="1" spans="2:14">
      <c r="B1047470" s="26"/>
      <c r="C1047470" s="26"/>
      <c r="D1047470" s="4"/>
      <c r="E1047470" s="26"/>
      <c r="F1047470" s="26"/>
      <c r="G1047470" s="26"/>
      <c r="H1047470" s="26"/>
      <c r="I1047470" s="27"/>
      <c r="J1047470" s="26"/>
      <c r="K1047470" s="26"/>
      <c r="L1047470" s="4"/>
      <c r="M1047470" s="4"/>
      <c r="N1047470" s="26"/>
    </row>
    <row r="1047471" customFormat="1" spans="2:14">
      <c r="B1047471" s="26"/>
      <c r="C1047471" s="26"/>
      <c r="D1047471" s="4"/>
      <c r="E1047471" s="26"/>
      <c r="F1047471" s="26"/>
      <c r="G1047471" s="26"/>
      <c r="H1047471" s="26"/>
      <c r="I1047471" s="27"/>
      <c r="J1047471" s="26"/>
      <c r="K1047471" s="26"/>
      <c r="L1047471" s="4"/>
      <c r="M1047471" s="4"/>
      <c r="N1047471" s="26"/>
    </row>
    <row r="1047472" customFormat="1" spans="2:14">
      <c r="B1047472" s="26"/>
      <c r="C1047472" s="26"/>
      <c r="D1047472" s="4"/>
      <c r="E1047472" s="26"/>
      <c r="F1047472" s="26"/>
      <c r="G1047472" s="26"/>
      <c r="H1047472" s="26"/>
      <c r="I1047472" s="27"/>
      <c r="J1047472" s="26"/>
      <c r="K1047472" s="26"/>
      <c r="L1047472" s="4"/>
      <c r="M1047472" s="4"/>
      <c r="N1047472" s="26"/>
    </row>
    <row r="1047473" customFormat="1" spans="2:14">
      <c r="B1047473" s="26"/>
      <c r="C1047473" s="26"/>
      <c r="D1047473" s="4"/>
      <c r="E1047473" s="26"/>
      <c r="F1047473" s="26"/>
      <c r="G1047473" s="26"/>
      <c r="H1047473" s="26"/>
      <c r="I1047473" s="27"/>
      <c r="J1047473" s="26"/>
      <c r="K1047473" s="26"/>
      <c r="L1047473" s="4"/>
      <c r="M1047473" s="4"/>
      <c r="N1047473" s="26"/>
    </row>
    <row r="1047474" customFormat="1" spans="2:14">
      <c r="B1047474" s="26"/>
      <c r="C1047474" s="26"/>
      <c r="D1047474" s="4"/>
      <c r="E1047474" s="26"/>
      <c r="F1047474" s="26"/>
      <c r="G1047474" s="26"/>
      <c r="H1047474" s="26"/>
      <c r="I1047474" s="27"/>
      <c r="J1047474" s="26"/>
      <c r="K1047474" s="26"/>
      <c r="L1047474" s="4"/>
      <c r="M1047474" s="4"/>
      <c r="N1047474" s="26"/>
    </row>
    <row r="1047475" customFormat="1" spans="2:14">
      <c r="B1047475" s="26"/>
      <c r="C1047475" s="26"/>
      <c r="D1047475" s="4"/>
      <c r="E1047475" s="26"/>
      <c r="F1047475" s="26"/>
      <c r="G1047475" s="26"/>
      <c r="H1047475" s="26"/>
      <c r="I1047475" s="27"/>
      <c r="J1047475" s="26"/>
      <c r="K1047475" s="26"/>
      <c r="L1047475" s="4"/>
      <c r="M1047475" s="4"/>
      <c r="N1047475" s="26"/>
    </row>
    <row r="1047476" customFormat="1" spans="2:14">
      <c r="B1047476" s="26"/>
      <c r="C1047476" s="26"/>
      <c r="D1047476" s="4"/>
      <c r="E1047476" s="26"/>
      <c r="F1047476" s="26"/>
      <c r="G1047476" s="26"/>
      <c r="H1047476" s="26"/>
      <c r="I1047476" s="27"/>
      <c r="J1047476" s="26"/>
      <c r="K1047476" s="26"/>
      <c r="L1047476" s="4"/>
      <c r="M1047476" s="4"/>
      <c r="N1047476" s="26"/>
    </row>
    <row r="1047477" customFormat="1" spans="2:14">
      <c r="B1047477" s="26"/>
      <c r="C1047477" s="26"/>
      <c r="D1047477" s="4"/>
      <c r="E1047477" s="26"/>
      <c r="F1047477" s="26"/>
      <c r="G1047477" s="26"/>
      <c r="H1047477" s="26"/>
      <c r="I1047477" s="27"/>
      <c r="J1047477" s="26"/>
      <c r="K1047477" s="26"/>
      <c r="L1047477" s="4"/>
      <c r="M1047477" s="4"/>
      <c r="N1047477" s="26"/>
    </row>
    <row r="1047478" customFormat="1" spans="2:14">
      <c r="B1047478" s="26"/>
      <c r="C1047478" s="26"/>
      <c r="D1047478" s="4"/>
      <c r="E1047478" s="26"/>
      <c r="F1047478" s="26"/>
      <c r="G1047478" s="26"/>
      <c r="H1047478" s="26"/>
      <c r="I1047478" s="27"/>
      <c r="J1047478" s="26"/>
      <c r="K1047478" s="26"/>
      <c r="L1047478" s="4"/>
      <c r="M1047478" s="4"/>
      <c r="N1047478" s="26"/>
    </row>
    <row r="1047479" customFormat="1" spans="2:14">
      <c r="B1047479" s="26"/>
      <c r="C1047479" s="26"/>
      <c r="D1047479" s="4"/>
      <c r="E1047479" s="26"/>
      <c r="F1047479" s="26"/>
      <c r="G1047479" s="26"/>
      <c r="H1047479" s="26"/>
      <c r="I1047479" s="27"/>
      <c r="J1047479" s="26"/>
      <c r="K1047479" s="26"/>
      <c r="L1047479" s="4"/>
      <c r="M1047479" s="4"/>
      <c r="N1047479" s="26"/>
    </row>
    <row r="1047480" customFormat="1" spans="2:14">
      <c r="B1047480" s="26"/>
      <c r="C1047480" s="26"/>
      <c r="D1047480" s="4"/>
      <c r="E1047480" s="26"/>
      <c r="F1047480" s="26"/>
      <c r="G1047480" s="26"/>
      <c r="H1047480" s="26"/>
      <c r="I1047480" s="27"/>
      <c r="J1047480" s="26"/>
      <c r="K1047480" s="26"/>
      <c r="L1047480" s="4"/>
      <c r="M1047480" s="4"/>
      <c r="N1047480" s="26"/>
    </row>
    <row r="1047481" customFormat="1" spans="2:14">
      <c r="B1047481" s="26"/>
      <c r="C1047481" s="26"/>
      <c r="D1047481" s="4"/>
      <c r="E1047481" s="26"/>
      <c r="F1047481" s="26"/>
      <c r="G1047481" s="26"/>
      <c r="H1047481" s="26"/>
      <c r="I1047481" s="27"/>
      <c r="J1047481" s="26"/>
      <c r="K1047481" s="26"/>
      <c r="L1047481" s="4"/>
      <c r="M1047481" s="4"/>
      <c r="N1047481" s="26"/>
    </row>
    <row r="1047482" customFormat="1" spans="2:14">
      <c r="B1047482" s="26"/>
      <c r="C1047482" s="26"/>
      <c r="D1047482" s="4"/>
      <c r="E1047482" s="26"/>
      <c r="F1047482" s="26"/>
      <c r="G1047482" s="26"/>
      <c r="H1047482" s="26"/>
      <c r="I1047482" s="27"/>
      <c r="J1047482" s="26"/>
      <c r="K1047482" s="26"/>
      <c r="L1047482" s="4"/>
      <c r="M1047482" s="4"/>
      <c r="N1047482" s="26"/>
    </row>
    <row r="1047483" customFormat="1" spans="2:14">
      <c r="B1047483" s="26"/>
      <c r="C1047483" s="26"/>
      <c r="D1047483" s="4"/>
      <c r="E1047483" s="26"/>
      <c r="F1047483" s="26"/>
      <c r="G1047483" s="26"/>
      <c r="H1047483" s="26"/>
      <c r="I1047483" s="27"/>
      <c r="J1047483" s="26"/>
      <c r="K1047483" s="26"/>
      <c r="L1047483" s="4"/>
      <c r="M1047483" s="4"/>
      <c r="N1047483" s="26"/>
    </row>
    <row r="1047484" customFormat="1" spans="2:14">
      <c r="B1047484" s="26"/>
      <c r="C1047484" s="26"/>
      <c r="D1047484" s="4"/>
      <c r="E1047484" s="26"/>
      <c r="F1047484" s="26"/>
      <c r="G1047484" s="26"/>
      <c r="H1047484" s="26"/>
      <c r="I1047484" s="27"/>
      <c r="J1047484" s="26"/>
      <c r="K1047484" s="26"/>
      <c r="L1047484" s="4"/>
      <c r="M1047484" s="4"/>
      <c r="N1047484" s="26"/>
    </row>
    <row r="1047485" customFormat="1" spans="2:14">
      <c r="B1047485" s="26"/>
      <c r="C1047485" s="26"/>
      <c r="D1047485" s="4"/>
      <c r="E1047485" s="26"/>
      <c r="F1047485" s="26"/>
      <c r="G1047485" s="26"/>
      <c r="H1047485" s="26"/>
      <c r="I1047485" s="27"/>
      <c r="J1047485" s="26"/>
      <c r="K1047485" s="26"/>
      <c r="L1047485" s="4"/>
      <c r="M1047485" s="4"/>
      <c r="N1047485" s="26"/>
    </row>
    <row r="1047486" customFormat="1" spans="2:14">
      <c r="B1047486" s="26"/>
      <c r="C1047486" s="26"/>
      <c r="D1047486" s="4"/>
      <c r="E1047486" s="26"/>
      <c r="F1047486" s="26"/>
      <c r="G1047486" s="26"/>
      <c r="H1047486" s="26"/>
      <c r="I1047486" s="27"/>
      <c r="J1047486" s="26"/>
      <c r="K1047486" s="26"/>
      <c r="L1047486" s="4"/>
      <c r="M1047486" s="4"/>
      <c r="N1047486" s="26"/>
    </row>
    <row r="1047487" customFormat="1" spans="2:14">
      <c r="B1047487" s="26"/>
      <c r="C1047487" s="26"/>
      <c r="D1047487" s="4"/>
      <c r="E1047487" s="26"/>
      <c r="F1047487" s="26"/>
      <c r="G1047487" s="26"/>
      <c r="H1047487" s="26"/>
      <c r="I1047487" s="27"/>
      <c r="J1047487" s="26"/>
      <c r="K1047487" s="26"/>
      <c r="L1047487" s="4"/>
      <c r="M1047487" s="4"/>
      <c r="N1047487" s="26"/>
    </row>
    <row r="1047488" customFormat="1" spans="2:14">
      <c r="B1047488" s="26"/>
      <c r="C1047488" s="26"/>
      <c r="D1047488" s="4"/>
      <c r="E1047488" s="26"/>
      <c r="F1047488" s="26"/>
      <c r="G1047488" s="26"/>
      <c r="H1047488" s="26"/>
      <c r="I1047488" s="27"/>
      <c r="J1047488" s="26"/>
      <c r="K1047488" s="26"/>
      <c r="L1047488" s="4"/>
      <c r="M1047488" s="4"/>
      <c r="N1047488" s="26"/>
    </row>
    <row r="1047489" customFormat="1" spans="2:14">
      <c r="B1047489" s="26"/>
      <c r="C1047489" s="26"/>
      <c r="D1047489" s="4"/>
      <c r="E1047489" s="26"/>
      <c r="F1047489" s="26"/>
      <c r="G1047489" s="26"/>
      <c r="H1047489" s="26"/>
      <c r="I1047489" s="27"/>
      <c r="J1047489" s="26"/>
      <c r="K1047489" s="26"/>
      <c r="L1047489" s="4"/>
      <c r="M1047489" s="4"/>
      <c r="N1047489" s="26"/>
    </row>
    <row r="1047490" customFormat="1" spans="2:14">
      <c r="B1047490" s="26"/>
      <c r="C1047490" s="26"/>
      <c r="D1047490" s="4"/>
      <c r="E1047490" s="26"/>
      <c r="F1047490" s="26"/>
      <c r="G1047490" s="26"/>
      <c r="H1047490" s="26"/>
      <c r="I1047490" s="27"/>
      <c r="J1047490" s="26"/>
      <c r="K1047490" s="26"/>
      <c r="L1047490" s="4"/>
      <c r="M1047490" s="4"/>
      <c r="N1047490" s="26"/>
    </row>
    <row r="1047491" customFormat="1" spans="2:14">
      <c r="B1047491" s="26"/>
      <c r="C1047491" s="26"/>
      <c r="D1047491" s="4"/>
      <c r="E1047491" s="26"/>
      <c r="F1047491" s="26"/>
      <c r="G1047491" s="26"/>
      <c r="H1047491" s="26"/>
      <c r="I1047491" s="27"/>
      <c r="J1047491" s="26"/>
      <c r="K1047491" s="26"/>
      <c r="L1047491" s="4"/>
      <c r="M1047491" s="4"/>
      <c r="N1047491" s="26"/>
    </row>
    <row r="1047492" customFormat="1" spans="2:14">
      <c r="B1047492" s="26"/>
      <c r="C1047492" s="26"/>
      <c r="D1047492" s="4"/>
      <c r="E1047492" s="26"/>
      <c r="F1047492" s="26"/>
      <c r="G1047492" s="26"/>
      <c r="H1047492" s="26"/>
      <c r="I1047492" s="27"/>
      <c r="J1047492" s="26"/>
      <c r="K1047492" s="26"/>
      <c r="L1047492" s="4"/>
      <c r="M1047492" s="4"/>
      <c r="N1047492" s="26"/>
    </row>
    <row r="1047493" customFormat="1" spans="2:14">
      <c r="B1047493" s="26"/>
      <c r="C1047493" s="26"/>
      <c r="D1047493" s="4"/>
      <c r="E1047493" s="26"/>
      <c r="F1047493" s="26"/>
      <c r="G1047493" s="26"/>
      <c r="H1047493" s="26"/>
      <c r="I1047493" s="27"/>
      <c r="J1047493" s="26"/>
      <c r="K1047493" s="26"/>
      <c r="L1047493" s="4"/>
      <c r="M1047493" s="4"/>
      <c r="N1047493" s="26"/>
    </row>
    <row r="1047494" customFormat="1" spans="2:14">
      <c r="B1047494" s="26"/>
      <c r="C1047494" s="26"/>
      <c r="D1047494" s="4"/>
      <c r="E1047494" s="26"/>
      <c r="F1047494" s="26"/>
      <c r="G1047494" s="26"/>
      <c r="H1047494" s="26"/>
      <c r="I1047494" s="27"/>
      <c r="J1047494" s="26"/>
      <c r="K1047494" s="26"/>
      <c r="L1047494" s="4"/>
      <c r="M1047494" s="4"/>
      <c r="N1047494" s="26"/>
    </row>
    <row r="1047495" customFormat="1" spans="2:14">
      <c r="B1047495" s="26"/>
      <c r="C1047495" s="26"/>
      <c r="D1047495" s="4"/>
      <c r="E1047495" s="26"/>
      <c r="F1047495" s="26"/>
      <c r="G1047495" s="26"/>
      <c r="H1047495" s="26"/>
      <c r="I1047495" s="27"/>
      <c r="J1047495" s="26"/>
      <c r="K1047495" s="26"/>
      <c r="L1047495" s="4"/>
      <c r="M1047495" s="4"/>
      <c r="N1047495" s="26"/>
    </row>
    <row r="1047496" customFormat="1" spans="2:14">
      <c r="B1047496" s="26"/>
      <c r="C1047496" s="26"/>
      <c r="D1047496" s="4"/>
      <c r="E1047496" s="26"/>
      <c r="F1047496" s="26"/>
      <c r="G1047496" s="26"/>
      <c r="H1047496" s="26"/>
      <c r="I1047496" s="27"/>
      <c r="J1047496" s="26"/>
      <c r="K1047496" s="26"/>
      <c r="L1047496" s="4"/>
      <c r="M1047496" s="4"/>
      <c r="N1047496" s="26"/>
    </row>
    <row r="1047497" customFormat="1" spans="2:14">
      <c r="B1047497" s="26"/>
      <c r="C1047497" s="26"/>
      <c r="D1047497" s="4"/>
      <c r="E1047497" s="26"/>
      <c r="F1047497" s="26"/>
      <c r="G1047497" s="26"/>
      <c r="H1047497" s="26"/>
      <c r="I1047497" s="27"/>
      <c r="J1047497" s="26"/>
      <c r="K1047497" s="26"/>
      <c r="L1047497" s="4"/>
      <c r="M1047497" s="4"/>
      <c r="N1047497" s="26"/>
    </row>
    <row r="1047498" customFormat="1" spans="2:14">
      <c r="B1047498" s="26"/>
      <c r="C1047498" s="26"/>
      <c r="D1047498" s="4"/>
      <c r="E1047498" s="26"/>
      <c r="F1047498" s="26"/>
      <c r="G1047498" s="26"/>
      <c r="H1047498" s="26"/>
      <c r="I1047498" s="27"/>
      <c r="J1047498" s="26"/>
      <c r="K1047498" s="26"/>
      <c r="L1047498" s="4"/>
      <c r="M1047498" s="4"/>
      <c r="N1047498" s="26"/>
    </row>
    <row r="1047499" customFormat="1" spans="2:14">
      <c r="B1047499" s="26"/>
      <c r="C1047499" s="26"/>
      <c r="D1047499" s="4"/>
      <c r="E1047499" s="26"/>
      <c r="F1047499" s="26"/>
      <c r="G1047499" s="26"/>
      <c r="H1047499" s="26"/>
      <c r="I1047499" s="27"/>
      <c r="J1047499" s="26"/>
      <c r="K1047499" s="26"/>
      <c r="L1047499" s="4"/>
      <c r="M1047499" s="4"/>
      <c r="N1047499" s="26"/>
    </row>
    <row r="1047500" customFormat="1" spans="2:14">
      <c r="B1047500" s="26"/>
      <c r="C1047500" s="26"/>
      <c r="D1047500" s="4"/>
      <c r="E1047500" s="26"/>
      <c r="F1047500" s="26"/>
      <c r="G1047500" s="26"/>
      <c r="H1047500" s="26"/>
      <c r="I1047500" s="27"/>
      <c r="J1047500" s="26"/>
      <c r="K1047500" s="26"/>
      <c r="L1047500" s="4"/>
      <c r="M1047500" s="4"/>
      <c r="N1047500" s="26"/>
    </row>
    <row r="1047501" customFormat="1" spans="2:14">
      <c r="B1047501" s="26"/>
      <c r="C1047501" s="26"/>
      <c r="D1047501" s="4"/>
      <c r="E1047501" s="26"/>
      <c r="F1047501" s="26"/>
      <c r="G1047501" s="26"/>
      <c r="H1047501" s="26"/>
      <c r="I1047501" s="27"/>
      <c r="J1047501" s="26"/>
      <c r="K1047501" s="26"/>
      <c r="L1047501" s="4"/>
      <c r="M1047501" s="4"/>
      <c r="N1047501" s="26"/>
    </row>
    <row r="1047502" customFormat="1" spans="2:14">
      <c r="B1047502" s="26"/>
      <c r="C1047502" s="26"/>
      <c r="D1047502" s="4"/>
      <c r="E1047502" s="26"/>
      <c r="F1047502" s="26"/>
      <c r="G1047502" s="26"/>
      <c r="H1047502" s="26"/>
      <c r="I1047502" s="27"/>
      <c r="J1047502" s="26"/>
      <c r="K1047502" s="26"/>
      <c r="L1047502" s="4"/>
      <c r="M1047502" s="4"/>
      <c r="N1047502" s="26"/>
    </row>
    <row r="1047503" customFormat="1" spans="2:14">
      <c r="B1047503" s="26"/>
      <c r="C1047503" s="26"/>
      <c r="D1047503" s="4"/>
      <c r="E1047503" s="26"/>
      <c r="F1047503" s="26"/>
      <c r="G1047503" s="26"/>
      <c r="H1047503" s="26"/>
      <c r="I1047503" s="27"/>
      <c r="J1047503" s="26"/>
      <c r="K1047503" s="26"/>
      <c r="L1047503" s="4"/>
      <c r="M1047503" s="4"/>
      <c r="N1047503" s="26"/>
    </row>
    <row r="1047504" customFormat="1" spans="2:14">
      <c r="B1047504" s="26"/>
      <c r="C1047504" s="26"/>
      <c r="D1047504" s="4"/>
      <c r="E1047504" s="26"/>
      <c r="F1047504" s="26"/>
      <c r="G1047504" s="26"/>
      <c r="H1047504" s="26"/>
      <c r="I1047504" s="27"/>
      <c r="J1047504" s="26"/>
      <c r="K1047504" s="26"/>
      <c r="L1047504" s="4"/>
      <c r="M1047504" s="4"/>
      <c r="N1047504" s="26"/>
    </row>
    <row r="1047505" customFormat="1" spans="2:14">
      <c r="B1047505" s="26"/>
      <c r="C1047505" s="26"/>
      <c r="D1047505" s="4"/>
      <c r="E1047505" s="26"/>
      <c r="F1047505" s="26"/>
      <c r="G1047505" s="26"/>
      <c r="H1047505" s="26"/>
      <c r="I1047505" s="27"/>
      <c r="J1047505" s="26"/>
      <c r="K1047505" s="26"/>
      <c r="L1047505" s="4"/>
      <c r="M1047505" s="4"/>
      <c r="N1047505" s="26"/>
    </row>
    <row r="1047506" customFormat="1" spans="2:14">
      <c r="B1047506" s="26"/>
      <c r="C1047506" s="26"/>
      <c r="D1047506" s="4"/>
      <c r="E1047506" s="26"/>
      <c r="F1047506" s="26"/>
      <c r="G1047506" s="26"/>
      <c r="H1047506" s="26"/>
      <c r="I1047506" s="27"/>
      <c r="J1047506" s="26"/>
      <c r="K1047506" s="26"/>
      <c r="L1047506" s="4"/>
      <c r="M1047506" s="4"/>
      <c r="N1047506" s="26"/>
    </row>
    <row r="1047507" customFormat="1" spans="2:14">
      <c r="B1047507" s="26"/>
      <c r="C1047507" s="26"/>
      <c r="D1047507" s="4"/>
      <c r="E1047507" s="26"/>
      <c r="F1047507" s="26"/>
      <c r="G1047507" s="26"/>
      <c r="H1047507" s="26"/>
      <c r="I1047507" s="27"/>
      <c r="J1047507" s="26"/>
      <c r="K1047507" s="26"/>
      <c r="L1047507" s="4"/>
      <c r="M1047507" s="4"/>
      <c r="N1047507" s="26"/>
    </row>
    <row r="1047508" customFormat="1" spans="2:14">
      <c r="B1047508" s="26"/>
      <c r="C1047508" s="26"/>
      <c r="D1047508" s="4"/>
      <c r="E1047508" s="26"/>
      <c r="F1047508" s="26"/>
      <c r="G1047508" s="26"/>
      <c r="H1047508" s="26"/>
      <c r="I1047508" s="27"/>
      <c r="J1047508" s="26"/>
      <c r="K1047508" s="26"/>
      <c r="L1047508" s="4"/>
      <c r="M1047508" s="4"/>
      <c r="N1047508" s="26"/>
    </row>
    <row r="1047509" customFormat="1" spans="2:14">
      <c r="B1047509" s="26"/>
      <c r="C1047509" s="26"/>
      <c r="D1047509" s="4"/>
      <c r="E1047509" s="26"/>
      <c r="F1047509" s="26"/>
      <c r="G1047509" s="26"/>
      <c r="H1047509" s="26"/>
      <c r="I1047509" s="27"/>
      <c r="J1047509" s="26"/>
      <c r="K1047509" s="26"/>
      <c r="L1047509" s="4"/>
      <c r="M1047509" s="4"/>
      <c r="N1047509" s="26"/>
    </row>
    <row r="1047510" customFormat="1" spans="2:14">
      <c r="B1047510" s="26"/>
      <c r="C1047510" s="26"/>
      <c r="D1047510" s="4"/>
      <c r="E1047510" s="26"/>
      <c r="F1047510" s="26"/>
      <c r="G1047510" s="26"/>
      <c r="H1047510" s="26"/>
      <c r="I1047510" s="27"/>
      <c r="J1047510" s="26"/>
      <c r="K1047510" s="26"/>
      <c r="L1047510" s="4"/>
      <c r="M1047510" s="4"/>
      <c r="N1047510" s="26"/>
    </row>
    <row r="1047511" customFormat="1" spans="2:14">
      <c r="B1047511" s="26"/>
      <c r="C1047511" s="26"/>
      <c r="D1047511" s="4"/>
      <c r="E1047511" s="26"/>
      <c r="F1047511" s="26"/>
      <c r="G1047511" s="26"/>
      <c r="H1047511" s="26"/>
      <c r="I1047511" s="27"/>
      <c r="J1047511" s="26"/>
      <c r="K1047511" s="26"/>
      <c r="L1047511" s="4"/>
      <c r="M1047511" s="4"/>
      <c r="N1047511" s="26"/>
    </row>
    <row r="1047512" customFormat="1" spans="2:14">
      <c r="B1047512" s="26"/>
      <c r="C1047512" s="26"/>
      <c r="D1047512" s="4"/>
      <c r="E1047512" s="26"/>
      <c r="F1047512" s="26"/>
      <c r="G1047512" s="26"/>
      <c r="H1047512" s="26"/>
      <c r="I1047512" s="27"/>
      <c r="J1047512" s="26"/>
      <c r="K1047512" s="26"/>
      <c r="L1047512" s="4"/>
      <c r="M1047512" s="4"/>
      <c r="N1047512" s="26"/>
    </row>
    <row r="1047513" customFormat="1" spans="2:14">
      <c r="B1047513" s="26"/>
      <c r="C1047513" s="26"/>
      <c r="D1047513" s="4"/>
      <c r="E1047513" s="26"/>
      <c r="F1047513" s="26"/>
      <c r="G1047513" s="26"/>
      <c r="H1047513" s="26"/>
      <c r="I1047513" s="27"/>
      <c r="J1047513" s="26"/>
      <c r="K1047513" s="26"/>
      <c r="L1047513" s="4"/>
      <c r="M1047513" s="4"/>
      <c r="N1047513" s="26"/>
    </row>
    <row r="1047514" customFormat="1" spans="2:14">
      <c r="B1047514" s="26"/>
      <c r="C1047514" s="26"/>
      <c r="D1047514" s="4"/>
      <c r="E1047514" s="26"/>
      <c r="F1047514" s="26"/>
      <c r="G1047514" s="26"/>
      <c r="H1047514" s="26"/>
      <c r="I1047514" s="27"/>
      <c r="J1047514" s="26"/>
      <c r="K1047514" s="26"/>
      <c r="L1047514" s="4"/>
      <c r="M1047514" s="4"/>
      <c r="N1047514" s="26"/>
    </row>
    <row r="1047515" customFormat="1" spans="2:14">
      <c r="B1047515" s="26"/>
      <c r="C1047515" s="26"/>
      <c r="D1047515" s="4"/>
      <c r="E1047515" s="26"/>
      <c r="F1047515" s="26"/>
      <c r="G1047515" s="26"/>
      <c r="H1047515" s="26"/>
      <c r="I1047515" s="27"/>
      <c r="J1047515" s="26"/>
      <c r="K1047515" s="26"/>
      <c r="L1047515" s="4"/>
      <c r="M1047515" s="4"/>
      <c r="N1047515" s="26"/>
    </row>
    <row r="1047516" customFormat="1" spans="2:14">
      <c r="B1047516" s="26"/>
      <c r="C1047516" s="26"/>
      <c r="D1047516" s="4"/>
      <c r="E1047516" s="26"/>
      <c r="F1047516" s="26"/>
      <c r="G1047516" s="26"/>
      <c r="H1047516" s="26"/>
      <c r="I1047516" s="27"/>
      <c r="J1047516" s="26"/>
      <c r="K1047516" s="26"/>
      <c r="L1047516" s="4"/>
      <c r="M1047516" s="4"/>
      <c r="N1047516" s="26"/>
    </row>
    <row r="1047517" customFormat="1" spans="2:14">
      <c r="B1047517" s="26"/>
      <c r="C1047517" s="26"/>
      <c r="D1047517" s="4"/>
      <c r="E1047517" s="26"/>
      <c r="F1047517" s="26"/>
      <c r="G1047517" s="26"/>
      <c r="H1047517" s="26"/>
      <c r="I1047517" s="27"/>
      <c r="J1047517" s="26"/>
      <c r="K1047517" s="26"/>
      <c r="L1047517" s="4"/>
      <c r="M1047517" s="4"/>
      <c r="N1047517" s="26"/>
    </row>
    <row r="1047518" customFormat="1" spans="2:14">
      <c r="B1047518" s="26"/>
      <c r="C1047518" s="26"/>
      <c r="D1047518" s="4"/>
      <c r="E1047518" s="26"/>
      <c r="F1047518" s="26"/>
      <c r="G1047518" s="26"/>
      <c r="H1047518" s="26"/>
      <c r="I1047518" s="27"/>
      <c r="J1047518" s="26"/>
      <c r="K1047518" s="26"/>
      <c r="L1047518" s="4"/>
      <c r="M1047518" s="4"/>
      <c r="N1047518" s="26"/>
    </row>
    <row r="1047519" customFormat="1" spans="2:14">
      <c r="B1047519" s="26"/>
      <c r="C1047519" s="26"/>
      <c r="D1047519" s="4"/>
      <c r="E1047519" s="26"/>
      <c r="F1047519" s="26"/>
      <c r="G1047519" s="26"/>
      <c r="H1047519" s="26"/>
      <c r="I1047519" s="27"/>
      <c r="J1047519" s="26"/>
      <c r="K1047519" s="26"/>
      <c r="L1047519" s="4"/>
      <c r="M1047519" s="4"/>
      <c r="N1047519" s="26"/>
    </row>
    <row r="1047520" customFormat="1" spans="2:14">
      <c r="B1047520" s="26"/>
      <c r="C1047520" s="26"/>
      <c r="D1047520" s="4"/>
      <c r="E1047520" s="26"/>
      <c r="F1047520" s="26"/>
      <c r="G1047520" s="26"/>
      <c r="H1047520" s="26"/>
      <c r="I1047520" s="27"/>
      <c r="J1047520" s="26"/>
      <c r="K1047520" s="26"/>
      <c r="L1047520" s="4"/>
      <c r="M1047520" s="4"/>
      <c r="N1047520" s="26"/>
    </row>
    <row r="1047521" customFormat="1" spans="2:14">
      <c r="B1047521" s="26"/>
      <c r="C1047521" s="26"/>
      <c r="D1047521" s="4"/>
      <c r="E1047521" s="26"/>
      <c r="F1047521" s="26"/>
      <c r="G1047521" s="26"/>
      <c r="H1047521" s="26"/>
      <c r="I1047521" s="27"/>
      <c r="J1047521" s="26"/>
      <c r="K1047521" s="26"/>
      <c r="L1047521" s="4"/>
      <c r="M1047521" s="4"/>
      <c r="N1047521" s="26"/>
    </row>
    <row r="1047522" customFormat="1" spans="2:14">
      <c r="B1047522" s="26"/>
      <c r="C1047522" s="26"/>
      <c r="D1047522" s="4"/>
      <c r="E1047522" s="26"/>
      <c r="F1047522" s="26"/>
      <c r="G1047522" s="26"/>
      <c r="H1047522" s="26"/>
      <c r="I1047522" s="27"/>
      <c r="J1047522" s="26"/>
      <c r="K1047522" s="26"/>
      <c r="L1047522" s="4"/>
      <c r="M1047522" s="4"/>
      <c r="N1047522" s="26"/>
    </row>
    <row r="1047523" customFormat="1" spans="2:14">
      <c r="B1047523" s="26"/>
      <c r="C1047523" s="26"/>
      <c r="D1047523" s="4"/>
      <c r="E1047523" s="26"/>
      <c r="F1047523" s="26"/>
      <c r="G1047523" s="26"/>
      <c r="H1047523" s="26"/>
      <c r="I1047523" s="27"/>
      <c r="J1047523" s="26"/>
      <c r="K1047523" s="26"/>
      <c r="L1047523" s="4"/>
      <c r="M1047523" s="4"/>
      <c r="N1047523" s="26"/>
    </row>
    <row r="1047524" customFormat="1" spans="2:14">
      <c r="B1047524" s="26"/>
      <c r="C1047524" s="26"/>
      <c r="D1047524" s="4"/>
      <c r="E1047524" s="26"/>
      <c r="F1047524" s="26"/>
      <c r="G1047524" s="26"/>
      <c r="H1047524" s="26"/>
      <c r="I1047524" s="27"/>
      <c r="J1047524" s="26"/>
      <c r="K1047524" s="26"/>
      <c r="L1047524" s="4"/>
      <c r="M1047524" s="4"/>
      <c r="N1047524" s="26"/>
    </row>
    <row r="1047525" customFormat="1" spans="2:14">
      <c r="B1047525" s="26"/>
      <c r="C1047525" s="26"/>
      <c r="D1047525" s="4"/>
      <c r="E1047525" s="26"/>
      <c r="F1047525" s="26"/>
      <c r="G1047525" s="26"/>
      <c r="H1047525" s="26"/>
      <c r="I1047525" s="27"/>
      <c r="J1047525" s="26"/>
      <c r="K1047525" s="26"/>
      <c r="L1047525" s="4"/>
      <c r="M1047525" s="4"/>
      <c r="N1047525" s="26"/>
    </row>
    <row r="1047526" customFormat="1" spans="2:14">
      <c r="B1047526" s="26"/>
      <c r="C1047526" s="26"/>
      <c r="D1047526" s="4"/>
      <c r="E1047526" s="26"/>
      <c r="F1047526" s="26"/>
      <c r="G1047526" s="26"/>
      <c r="H1047526" s="26"/>
      <c r="I1047526" s="27"/>
      <c r="J1047526" s="26"/>
      <c r="K1047526" s="26"/>
      <c r="L1047526" s="4"/>
      <c r="M1047526" s="4"/>
      <c r="N1047526" s="26"/>
    </row>
    <row r="1047527" customFormat="1" spans="2:14">
      <c r="B1047527" s="26"/>
      <c r="C1047527" s="26"/>
      <c r="D1047527" s="4"/>
      <c r="E1047527" s="26"/>
      <c r="F1047527" s="26"/>
      <c r="G1047527" s="26"/>
      <c r="H1047527" s="26"/>
      <c r="I1047527" s="27"/>
      <c r="J1047527" s="26"/>
      <c r="K1047527" s="26"/>
      <c r="L1047527" s="4"/>
      <c r="M1047527" s="4"/>
      <c r="N1047527" s="26"/>
    </row>
    <row r="1047528" customFormat="1" spans="2:14">
      <c r="B1047528" s="26"/>
      <c r="C1047528" s="26"/>
      <c r="D1047528" s="4"/>
      <c r="E1047528" s="26"/>
      <c r="F1047528" s="26"/>
      <c r="G1047528" s="26"/>
      <c r="H1047528" s="26"/>
      <c r="I1047528" s="27"/>
      <c r="J1047528" s="26"/>
      <c r="K1047528" s="26"/>
      <c r="L1047528" s="4"/>
      <c r="M1047528" s="4"/>
      <c r="N1047528" s="26"/>
    </row>
    <row r="1047529" customFormat="1" spans="2:14">
      <c r="B1047529" s="26"/>
      <c r="C1047529" s="26"/>
      <c r="D1047529" s="4"/>
      <c r="E1047529" s="26"/>
      <c r="F1047529" s="26"/>
      <c r="G1047529" s="26"/>
      <c r="H1047529" s="26"/>
      <c r="I1047529" s="27"/>
      <c r="J1047529" s="26"/>
      <c r="K1047529" s="26"/>
      <c r="L1047529" s="4"/>
      <c r="M1047529" s="4"/>
      <c r="N1047529" s="26"/>
    </row>
    <row r="1047530" customFormat="1" spans="2:14">
      <c r="B1047530" s="26"/>
      <c r="C1047530" s="26"/>
      <c r="D1047530" s="4"/>
      <c r="E1047530" s="26"/>
      <c r="F1047530" s="26"/>
      <c r="G1047530" s="26"/>
      <c r="H1047530" s="26"/>
      <c r="I1047530" s="27"/>
      <c r="J1047530" s="26"/>
      <c r="K1047530" s="26"/>
      <c r="L1047530" s="4"/>
      <c r="M1047530" s="4"/>
      <c r="N1047530" s="26"/>
    </row>
    <row r="1047531" customFormat="1" spans="2:14">
      <c r="B1047531" s="26"/>
      <c r="C1047531" s="26"/>
      <c r="D1047531" s="4"/>
      <c r="E1047531" s="26"/>
      <c r="F1047531" s="26"/>
      <c r="G1047531" s="26"/>
      <c r="H1047531" s="26"/>
      <c r="I1047531" s="27"/>
      <c r="J1047531" s="26"/>
      <c r="K1047531" s="26"/>
      <c r="L1047531" s="4"/>
      <c r="M1047531" s="4"/>
      <c r="N1047531" s="26"/>
    </row>
    <row r="1047532" customFormat="1" spans="2:14">
      <c r="B1047532" s="26"/>
      <c r="C1047532" s="26"/>
      <c r="D1047532" s="4"/>
      <c r="E1047532" s="26"/>
      <c r="F1047532" s="26"/>
      <c r="G1047532" s="26"/>
      <c r="H1047532" s="26"/>
      <c r="I1047532" s="27"/>
      <c r="J1047532" s="26"/>
      <c r="K1047532" s="26"/>
      <c r="L1047532" s="4"/>
      <c r="M1047532" s="4"/>
      <c r="N1047532" s="26"/>
    </row>
    <row r="1047533" customFormat="1" spans="2:14">
      <c r="B1047533" s="26"/>
      <c r="C1047533" s="26"/>
      <c r="D1047533" s="4"/>
      <c r="E1047533" s="26"/>
      <c r="F1047533" s="26"/>
      <c r="G1047533" s="26"/>
      <c r="H1047533" s="26"/>
      <c r="I1047533" s="27"/>
      <c r="J1047533" s="26"/>
      <c r="K1047533" s="26"/>
      <c r="L1047533" s="4"/>
      <c r="M1047533" s="4"/>
      <c r="N1047533" s="26"/>
    </row>
    <row r="1047534" customFormat="1" spans="2:14">
      <c r="B1047534" s="26"/>
      <c r="C1047534" s="26"/>
      <c r="D1047534" s="4"/>
      <c r="E1047534" s="26"/>
      <c r="F1047534" s="26"/>
      <c r="G1047534" s="26"/>
      <c r="H1047534" s="26"/>
      <c r="I1047534" s="27"/>
      <c r="J1047534" s="26"/>
      <c r="K1047534" s="26"/>
      <c r="L1047534" s="4"/>
      <c r="M1047534" s="4"/>
      <c r="N1047534" s="26"/>
    </row>
    <row r="1047535" customFormat="1" spans="2:14">
      <c r="B1047535" s="26"/>
      <c r="C1047535" s="26"/>
      <c r="D1047535" s="4"/>
      <c r="E1047535" s="26"/>
      <c r="F1047535" s="26"/>
      <c r="G1047535" s="26"/>
      <c r="H1047535" s="26"/>
      <c r="I1047535" s="27"/>
      <c r="J1047535" s="26"/>
      <c r="K1047535" s="26"/>
      <c r="L1047535" s="4"/>
      <c r="M1047535" s="4"/>
      <c r="N1047535" s="26"/>
    </row>
    <row r="1047536" customFormat="1" spans="2:14">
      <c r="B1047536" s="26"/>
      <c r="C1047536" s="26"/>
      <c r="D1047536" s="4"/>
      <c r="E1047536" s="26"/>
      <c r="F1047536" s="26"/>
      <c r="G1047536" s="26"/>
      <c r="H1047536" s="26"/>
      <c r="I1047536" s="27"/>
      <c r="J1047536" s="26"/>
      <c r="K1047536" s="26"/>
      <c r="L1047536" s="4"/>
      <c r="M1047536" s="4"/>
      <c r="N1047536" s="26"/>
    </row>
    <row r="1047537" customFormat="1" spans="2:14">
      <c r="B1047537" s="26"/>
      <c r="C1047537" s="26"/>
      <c r="D1047537" s="4"/>
      <c r="E1047537" s="26"/>
      <c r="F1047537" s="26"/>
      <c r="G1047537" s="26"/>
      <c r="H1047537" s="26"/>
      <c r="I1047537" s="27"/>
      <c r="J1047537" s="26"/>
      <c r="K1047537" s="26"/>
      <c r="L1047537" s="4"/>
      <c r="M1047537" s="4"/>
      <c r="N1047537" s="26"/>
    </row>
    <row r="1047538" customFormat="1" spans="2:14">
      <c r="B1047538" s="26"/>
      <c r="C1047538" s="26"/>
      <c r="D1047538" s="4"/>
      <c r="E1047538" s="26"/>
      <c r="F1047538" s="26"/>
      <c r="G1047538" s="26"/>
      <c r="H1047538" s="26"/>
      <c r="I1047538" s="27"/>
      <c r="J1047538" s="26"/>
      <c r="K1047538" s="26"/>
      <c r="L1047538" s="4"/>
      <c r="M1047538" s="4"/>
      <c r="N1047538" s="26"/>
    </row>
    <row r="1047539" customFormat="1" spans="2:14">
      <c r="B1047539" s="26"/>
      <c r="C1047539" s="26"/>
      <c r="D1047539" s="4"/>
      <c r="E1047539" s="26"/>
      <c r="F1047539" s="26"/>
      <c r="G1047539" s="26"/>
      <c r="H1047539" s="26"/>
      <c r="I1047539" s="27"/>
      <c r="J1047539" s="26"/>
      <c r="K1047539" s="26"/>
      <c r="L1047539" s="4"/>
      <c r="M1047539" s="4"/>
      <c r="N1047539" s="26"/>
    </row>
    <row r="1047540" customFormat="1" spans="2:14">
      <c r="B1047540" s="26"/>
      <c r="C1047540" s="26"/>
      <c r="D1047540" s="4"/>
      <c r="E1047540" s="26"/>
      <c r="F1047540" s="26"/>
      <c r="G1047540" s="26"/>
      <c r="H1047540" s="26"/>
      <c r="I1047540" s="27"/>
      <c r="J1047540" s="26"/>
      <c r="K1047540" s="26"/>
      <c r="L1047540" s="4"/>
      <c r="M1047540" s="4"/>
      <c r="N1047540" s="26"/>
    </row>
    <row r="1047541" customFormat="1" spans="2:14">
      <c r="B1047541" s="26"/>
      <c r="C1047541" s="26"/>
      <c r="D1047541" s="4"/>
      <c r="E1047541" s="26"/>
      <c r="F1047541" s="26"/>
      <c r="G1047541" s="26"/>
      <c r="H1047541" s="26"/>
      <c r="I1047541" s="27"/>
      <c r="J1047541" s="26"/>
      <c r="K1047541" s="26"/>
      <c r="L1047541" s="4"/>
      <c r="M1047541" s="4"/>
      <c r="N1047541" s="26"/>
    </row>
    <row r="1047542" customFormat="1" spans="2:14">
      <c r="B1047542" s="26"/>
      <c r="C1047542" s="26"/>
      <c r="D1047542" s="4"/>
      <c r="E1047542" s="26"/>
      <c r="F1047542" s="26"/>
      <c r="G1047542" s="26"/>
      <c r="H1047542" s="26"/>
      <c r="I1047542" s="27"/>
      <c r="J1047542" s="26"/>
      <c r="K1047542" s="26"/>
      <c r="L1047542" s="4"/>
      <c r="M1047542" s="4"/>
      <c r="N1047542" s="26"/>
    </row>
    <row r="1047543" customFormat="1" spans="2:14">
      <c r="B1047543" s="26"/>
      <c r="C1047543" s="26"/>
      <c r="D1047543" s="4"/>
      <c r="E1047543" s="26"/>
      <c r="F1047543" s="26"/>
      <c r="G1047543" s="26"/>
      <c r="H1047543" s="26"/>
      <c r="I1047543" s="27"/>
      <c r="J1047543" s="26"/>
      <c r="K1047543" s="26"/>
      <c r="L1047543" s="4"/>
      <c r="M1047543" s="4"/>
      <c r="N1047543" s="26"/>
    </row>
    <row r="1047544" customFormat="1" spans="2:14">
      <c r="B1047544" s="26"/>
      <c r="C1047544" s="26"/>
      <c r="D1047544" s="4"/>
      <c r="E1047544" s="26"/>
      <c r="F1047544" s="26"/>
      <c r="G1047544" s="26"/>
      <c r="H1047544" s="26"/>
      <c r="I1047544" s="27"/>
      <c r="J1047544" s="26"/>
      <c r="K1047544" s="26"/>
      <c r="L1047544" s="4"/>
      <c r="M1047544" s="4"/>
      <c r="N1047544" s="26"/>
    </row>
    <row r="1047545" customFormat="1" spans="2:14">
      <c r="B1047545" s="26"/>
      <c r="C1047545" s="26"/>
      <c r="D1047545" s="4"/>
      <c r="E1047545" s="26"/>
      <c r="F1047545" s="26"/>
      <c r="G1047545" s="26"/>
      <c r="H1047545" s="26"/>
      <c r="I1047545" s="27"/>
      <c r="J1047545" s="26"/>
      <c r="K1047545" s="26"/>
      <c r="L1047545" s="4"/>
      <c r="M1047545" s="4"/>
      <c r="N1047545" s="26"/>
    </row>
    <row r="1047546" customFormat="1" spans="2:14">
      <c r="B1047546" s="26"/>
      <c r="C1047546" s="26"/>
      <c r="D1047546" s="4"/>
      <c r="E1047546" s="26"/>
      <c r="F1047546" s="26"/>
      <c r="G1047546" s="26"/>
      <c r="H1047546" s="26"/>
      <c r="I1047546" s="27"/>
      <c r="J1047546" s="26"/>
      <c r="K1047546" s="26"/>
      <c r="L1047546" s="4"/>
      <c r="M1047546" s="4"/>
      <c r="N1047546" s="26"/>
    </row>
    <row r="1047547" customFormat="1" spans="2:14">
      <c r="B1047547" s="26"/>
      <c r="C1047547" s="26"/>
      <c r="D1047547" s="4"/>
      <c r="E1047547" s="26"/>
      <c r="F1047547" s="26"/>
      <c r="G1047547" s="26"/>
      <c r="H1047547" s="26"/>
      <c r="I1047547" s="27"/>
      <c r="J1047547" s="26"/>
      <c r="K1047547" s="26"/>
      <c r="L1047547" s="4"/>
      <c r="M1047547" s="4"/>
      <c r="N1047547" s="26"/>
    </row>
    <row r="1047548" customFormat="1" spans="2:14">
      <c r="B1047548" s="26"/>
      <c r="C1047548" s="26"/>
      <c r="D1047548" s="4"/>
      <c r="E1047548" s="26"/>
      <c r="F1047548" s="26"/>
      <c r="G1047548" s="26"/>
      <c r="H1047548" s="26"/>
      <c r="I1047548" s="27"/>
      <c r="J1047548" s="26"/>
      <c r="K1047548" s="26"/>
      <c r="L1047548" s="4"/>
      <c r="M1047548" s="4"/>
      <c r="N1047548" s="26"/>
    </row>
    <row r="1047549" customFormat="1" spans="2:14">
      <c r="B1047549" s="26"/>
      <c r="C1047549" s="26"/>
      <c r="D1047549" s="4"/>
      <c r="E1047549" s="26"/>
      <c r="F1047549" s="26"/>
      <c r="G1047549" s="26"/>
      <c r="H1047549" s="26"/>
      <c r="I1047549" s="27"/>
      <c r="J1047549" s="26"/>
      <c r="K1047549" s="26"/>
      <c r="L1047549" s="4"/>
      <c r="M1047549" s="4"/>
      <c r="N1047549" s="26"/>
    </row>
    <row r="1047550" customFormat="1" spans="2:14">
      <c r="B1047550" s="26"/>
      <c r="C1047550" s="26"/>
      <c r="D1047550" s="4"/>
      <c r="E1047550" s="26"/>
      <c r="F1047550" s="26"/>
      <c r="G1047550" s="26"/>
      <c r="H1047550" s="26"/>
      <c r="I1047550" s="27"/>
      <c r="J1047550" s="26"/>
      <c r="K1047550" s="26"/>
      <c r="L1047550" s="4"/>
      <c r="M1047550" s="4"/>
      <c r="N1047550" s="26"/>
    </row>
    <row r="1047551" customFormat="1" spans="2:14">
      <c r="B1047551" s="26"/>
      <c r="C1047551" s="26"/>
      <c r="D1047551" s="4"/>
      <c r="E1047551" s="26"/>
      <c r="F1047551" s="26"/>
      <c r="G1047551" s="26"/>
      <c r="H1047551" s="26"/>
      <c r="I1047551" s="27"/>
      <c r="J1047551" s="26"/>
      <c r="K1047551" s="26"/>
      <c r="L1047551" s="4"/>
      <c r="M1047551" s="4"/>
      <c r="N1047551" s="26"/>
    </row>
    <row r="1047552" customFormat="1" spans="2:14">
      <c r="B1047552" s="26"/>
      <c r="C1047552" s="26"/>
      <c r="D1047552" s="4"/>
      <c r="E1047552" s="26"/>
      <c r="F1047552" s="26"/>
      <c r="G1047552" s="26"/>
      <c r="H1047552" s="26"/>
      <c r="I1047552" s="27"/>
      <c r="J1047552" s="26"/>
      <c r="K1047552" s="26"/>
      <c r="L1047552" s="4"/>
      <c r="M1047552" s="4"/>
      <c r="N1047552" s="26"/>
    </row>
    <row r="1047553" customFormat="1" spans="2:14">
      <c r="B1047553" s="26"/>
      <c r="C1047553" s="26"/>
      <c r="D1047553" s="4"/>
      <c r="E1047553" s="26"/>
      <c r="F1047553" s="26"/>
      <c r="G1047553" s="26"/>
      <c r="H1047553" s="26"/>
      <c r="I1047553" s="27"/>
      <c r="J1047553" s="26"/>
      <c r="K1047553" s="26"/>
      <c r="L1047553" s="4"/>
      <c r="M1047553" s="4"/>
      <c r="N1047553" s="26"/>
    </row>
    <row r="1047554" customFormat="1" spans="2:14">
      <c r="B1047554" s="26"/>
      <c r="C1047554" s="26"/>
      <c r="D1047554" s="4"/>
      <c r="E1047554" s="26"/>
      <c r="F1047554" s="26"/>
      <c r="G1047554" s="26"/>
      <c r="H1047554" s="26"/>
      <c r="I1047554" s="27"/>
      <c r="J1047554" s="26"/>
      <c r="K1047554" s="26"/>
      <c r="L1047554" s="4"/>
      <c r="M1047554" s="4"/>
      <c r="N1047554" s="26"/>
    </row>
    <row r="1047555" customFormat="1" spans="2:14">
      <c r="B1047555" s="26"/>
      <c r="C1047555" s="26"/>
      <c r="D1047555" s="4"/>
      <c r="E1047555" s="26"/>
      <c r="F1047555" s="26"/>
      <c r="G1047555" s="26"/>
      <c r="H1047555" s="26"/>
      <c r="I1047555" s="27"/>
      <c r="J1047555" s="26"/>
      <c r="K1047555" s="26"/>
      <c r="L1047555" s="4"/>
      <c r="M1047555" s="4"/>
      <c r="N1047555" s="26"/>
    </row>
    <row r="1047556" customFormat="1" spans="2:14">
      <c r="B1047556" s="26"/>
      <c r="C1047556" s="26"/>
      <c r="D1047556" s="4"/>
      <c r="E1047556" s="26"/>
      <c r="F1047556" s="26"/>
      <c r="G1047556" s="26"/>
      <c r="H1047556" s="26"/>
      <c r="I1047556" s="27"/>
      <c r="J1047556" s="26"/>
      <c r="K1047556" s="26"/>
      <c r="L1047556" s="4"/>
      <c r="M1047556" s="4"/>
      <c r="N1047556" s="26"/>
    </row>
    <row r="1047557" customFormat="1" spans="2:14">
      <c r="B1047557" s="26"/>
      <c r="C1047557" s="26"/>
      <c r="D1047557" s="4"/>
      <c r="E1047557" s="26"/>
      <c r="F1047557" s="26"/>
      <c r="G1047557" s="26"/>
      <c r="H1047557" s="26"/>
      <c r="I1047557" s="27"/>
      <c r="J1047557" s="26"/>
      <c r="K1047557" s="26"/>
      <c r="L1047557" s="4"/>
      <c r="M1047557" s="4"/>
      <c r="N1047557" s="26"/>
    </row>
    <row r="1047558" customFormat="1" spans="2:14">
      <c r="B1047558" s="26"/>
      <c r="C1047558" s="26"/>
      <c r="D1047558" s="4"/>
      <c r="E1047558" s="26"/>
      <c r="F1047558" s="26"/>
      <c r="G1047558" s="26"/>
      <c r="H1047558" s="26"/>
      <c r="I1047558" s="27"/>
      <c r="J1047558" s="26"/>
      <c r="K1047558" s="26"/>
      <c r="L1047558" s="4"/>
      <c r="M1047558" s="4"/>
      <c r="N1047558" s="26"/>
    </row>
    <row r="1047559" customFormat="1" spans="2:14">
      <c r="B1047559" s="26"/>
      <c r="C1047559" s="26"/>
      <c r="D1047559" s="4"/>
      <c r="E1047559" s="26"/>
      <c r="F1047559" s="26"/>
      <c r="G1047559" s="26"/>
      <c r="H1047559" s="26"/>
      <c r="I1047559" s="27"/>
      <c r="J1047559" s="26"/>
      <c r="K1047559" s="26"/>
      <c r="L1047559" s="4"/>
      <c r="M1047559" s="4"/>
      <c r="N1047559" s="26"/>
    </row>
    <row r="1047560" customFormat="1" spans="2:14">
      <c r="B1047560" s="26"/>
      <c r="C1047560" s="26"/>
      <c r="D1047560" s="4"/>
      <c r="E1047560" s="26"/>
      <c r="F1047560" s="26"/>
      <c r="G1047560" s="26"/>
      <c r="H1047560" s="26"/>
      <c r="I1047560" s="27"/>
      <c r="J1047560" s="26"/>
      <c r="K1047560" s="26"/>
      <c r="L1047560" s="4"/>
      <c r="M1047560" s="4"/>
      <c r="N1047560" s="26"/>
    </row>
    <row r="1047561" customFormat="1" spans="2:14">
      <c r="B1047561" s="26"/>
      <c r="C1047561" s="26"/>
      <c r="D1047561" s="4"/>
      <c r="E1047561" s="26"/>
      <c r="F1047561" s="26"/>
      <c r="G1047561" s="26"/>
      <c r="H1047561" s="26"/>
      <c r="I1047561" s="27"/>
      <c r="J1047561" s="26"/>
      <c r="K1047561" s="26"/>
      <c r="L1047561" s="4"/>
      <c r="M1047561" s="4"/>
      <c r="N1047561" s="26"/>
    </row>
    <row r="1047562" customFormat="1" spans="2:14">
      <c r="B1047562" s="26"/>
      <c r="C1047562" s="26"/>
      <c r="D1047562" s="4"/>
      <c r="E1047562" s="26"/>
      <c r="F1047562" s="26"/>
      <c r="G1047562" s="26"/>
      <c r="H1047562" s="26"/>
      <c r="I1047562" s="27"/>
      <c r="J1047562" s="26"/>
      <c r="K1047562" s="26"/>
      <c r="L1047562" s="4"/>
      <c r="M1047562" s="4"/>
      <c r="N1047562" s="26"/>
    </row>
    <row r="1047563" customFormat="1" spans="2:14">
      <c r="B1047563" s="26"/>
      <c r="C1047563" s="26"/>
      <c r="D1047563" s="4"/>
      <c r="E1047563" s="26"/>
      <c r="F1047563" s="26"/>
      <c r="G1047563" s="26"/>
      <c r="H1047563" s="26"/>
      <c r="I1047563" s="27"/>
      <c r="J1047563" s="26"/>
      <c r="K1047563" s="26"/>
      <c r="L1047563" s="4"/>
      <c r="M1047563" s="4"/>
      <c r="N1047563" s="26"/>
    </row>
    <row r="1047564" customFormat="1" spans="2:14">
      <c r="B1047564" s="26"/>
      <c r="C1047564" s="26"/>
      <c r="D1047564" s="4"/>
      <c r="E1047564" s="26"/>
      <c r="F1047564" s="26"/>
      <c r="G1047564" s="26"/>
      <c r="H1047564" s="26"/>
      <c r="I1047564" s="27"/>
      <c r="J1047564" s="26"/>
      <c r="K1047564" s="26"/>
      <c r="L1047564" s="4"/>
      <c r="M1047564" s="4"/>
      <c r="N1047564" s="26"/>
    </row>
    <row r="1047565" customFormat="1" spans="2:14">
      <c r="B1047565" s="26"/>
      <c r="C1047565" s="26"/>
      <c r="D1047565" s="4"/>
      <c r="E1047565" s="26"/>
      <c r="F1047565" s="26"/>
      <c r="G1047565" s="26"/>
      <c r="H1047565" s="26"/>
      <c r="I1047565" s="27"/>
      <c r="J1047565" s="26"/>
      <c r="K1047565" s="26"/>
      <c r="L1047565" s="4"/>
      <c r="M1047565" s="4"/>
      <c r="N1047565" s="26"/>
    </row>
    <row r="1047566" customFormat="1" spans="2:14">
      <c r="B1047566" s="26"/>
      <c r="C1047566" s="26"/>
      <c r="D1047566" s="4"/>
      <c r="E1047566" s="26"/>
      <c r="F1047566" s="26"/>
      <c r="G1047566" s="26"/>
      <c r="H1047566" s="26"/>
      <c r="I1047566" s="27"/>
      <c r="J1047566" s="26"/>
      <c r="K1047566" s="26"/>
      <c r="L1047566" s="4"/>
      <c r="M1047566" s="4"/>
      <c r="N1047566" s="26"/>
    </row>
    <row r="1047567" customFormat="1" spans="2:14">
      <c r="B1047567" s="26"/>
      <c r="C1047567" s="26"/>
      <c r="D1047567" s="4"/>
      <c r="E1047567" s="26"/>
      <c r="F1047567" s="26"/>
      <c r="G1047567" s="26"/>
      <c r="H1047567" s="26"/>
      <c r="I1047567" s="27"/>
      <c r="J1047567" s="26"/>
      <c r="K1047567" s="26"/>
      <c r="L1047567" s="4"/>
      <c r="M1047567" s="4"/>
      <c r="N1047567" s="26"/>
    </row>
    <row r="1047568" customFormat="1" spans="2:14">
      <c r="B1047568" s="26"/>
      <c r="C1047568" s="26"/>
      <c r="D1047568" s="4"/>
      <c r="E1047568" s="26"/>
      <c r="F1047568" s="26"/>
      <c r="G1047568" s="26"/>
      <c r="H1047568" s="26"/>
      <c r="I1047568" s="27"/>
      <c r="J1047568" s="26"/>
      <c r="K1047568" s="26"/>
      <c r="L1047568" s="4"/>
      <c r="M1047568" s="4"/>
      <c r="N1047568" s="26"/>
    </row>
    <row r="1047569" customFormat="1" spans="2:14">
      <c r="B1047569" s="26"/>
      <c r="C1047569" s="26"/>
      <c r="D1047569" s="4"/>
      <c r="E1047569" s="26"/>
      <c r="F1047569" s="26"/>
      <c r="G1047569" s="26"/>
      <c r="H1047569" s="26"/>
      <c r="I1047569" s="27"/>
      <c r="J1047569" s="26"/>
      <c r="K1047569" s="26"/>
      <c r="L1047569" s="4"/>
      <c r="M1047569" s="4"/>
      <c r="N1047569" s="26"/>
    </row>
    <row r="1047570" customFormat="1" spans="2:14">
      <c r="B1047570" s="26"/>
      <c r="C1047570" s="26"/>
      <c r="D1047570" s="4"/>
      <c r="E1047570" s="26"/>
      <c r="F1047570" s="26"/>
      <c r="G1047570" s="26"/>
      <c r="H1047570" s="26"/>
      <c r="I1047570" s="27"/>
      <c r="J1047570" s="26"/>
      <c r="K1047570" s="26"/>
      <c r="L1047570" s="4"/>
      <c r="M1047570" s="4"/>
      <c r="N1047570" s="26"/>
    </row>
    <row r="1047571" customFormat="1" spans="2:14">
      <c r="B1047571" s="26"/>
      <c r="C1047571" s="26"/>
      <c r="D1047571" s="4"/>
      <c r="E1047571" s="26"/>
      <c r="F1047571" s="26"/>
      <c r="G1047571" s="26"/>
      <c r="H1047571" s="26"/>
      <c r="I1047571" s="27"/>
      <c r="J1047571" s="26"/>
      <c r="K1047571" s="26"/>
      <c r="L1047571" s="4"/>
      <c r="M1047571" s="4"/>
      <c r="N1047571" s="26"/>
    </row>
    <row r="1047572" customFormat="1" spans="2:14">
      <c r="B1047572" s="26"/>
      <c r="C1047572" s="26"/>
      <c r="D1047572" s="4"/>
      <c r="E1047572" s="26"/>
      <c r="F1047572" s="26"/>
      <c r="G1047572" s="26"/>
      <c r="H1047572" s="26"/>
      <c r="I1047572" s="27"/>
      <c r="J1047572" s="26"/>
      <c r="K1047572" s="26"/>
      <c r="L1047572" s="4"/>
      <c r="M1047572" s="4"/>
      <c r="N1047572" s="26"/>
    </row>
    <row r="1047573" customFormat="1" spans="2:14">
      <c r="B1047573" s="26"/>
      <c r="C1047573" s="26"/>
      <c r="D1047573" s="4"/>
      <c r="E1047573" s="26"/>
      <c r="F1047573" s="26"/>
      <c r="G1047573" s="26"/>
      <c r="H1047573" s="26"/>
      <c r="I1047573" s="27"/>
      <c r="J1047573" s="26"/>
      <c r="K1047573" s="26"/>
      <c r="L1047573" s="4"/>
      <c r="M1047573" s="4"/>
      <c r="N1047573" s="26"/>
    </row>
    <row r="1047574" customFormat="1" spans="2:14">
      <c r="B1047574" s="26"/>
      <c r="C1047574" s="26"/>
      <c r="D1047574" s="4"/>
      <c r="E1047574" s="26"/>
      <c r="F1047574" s="26"/>
      <c r="G1047574" s="26"/>
      <c r="H1047574" s="26"/>
      <c r="I1047574" s="27"/>
      <c r="J1047574" s="26"/>
      <c r="K1047574" s="26"/>
      <c r="L1047574" s="4"/>
      <c r="M1047574" s="4"/>
      <c r="N1047574" s="26"/>
    </row>
    <row r="1047575" customFormat="1" spans="2:14">
      <c r="B1047575" s="26"/>
      <c r="C1047575" s="26"/>
      <c r="D1047575" s="4"/>
      <c r="E1047575" s="26"/>
      <c r="F1047575" s="26"/>
      <c r="G1047575" s="26"/>
      <c r="H1047575" s="26"/>
      <c r="I1047575" s="27"/>
      <c r="J1047575" s="26"/>
      <c r="K1047575" s="26"/>
      <c r="L1047575" s="4"/>
      <c r="M1047575" s="4"/>
      <c r="N1047575" s="26"/>
    </row>
    <row r="1047576" customFormat="1" spans="2:14">
      <c r="B1047576" s="26"/>
      <c r="C1047576" s="26"/>
      <c r="D1047576" s="4"/>
      <c r="E1047576" s="26"/>
      <c r="F1047576" s="26"/>
      <c r="G1047576" s="26"/>
      <c r="H1047576" s="26"/>
      <c r="I1047576" s="27"/>
      <c r="J1047576" s="26"/>
      <c r="K1047576" s="26"/>
      <c r="L1047576" s="4"/>
      <c r="M1047576" s="4"/>
      <c r="N1047576" s="26"/>
    </row>
    <row r="1047577" customFormat="1" spans="2:14">
      <c r="B1047577" s="26"/>
      <c r="C1047577" s="26"/>
      <c r="D1047577" s="4"/>
      <c r="E1047577" s="26"/>
      <c r="F1047577" s="26"/>
      <c r="G1047577" s="26"/>
      <c r="H1047577" s="26"/>
      <c r="I1047577" s="27"/>
      <c r="J1047577" s="26"/>
      <c r="K1047577" s="26"/>
      <c r="L1047577" s="4"/>
      <c r="M1047577" s="4"/>
      <c r="N1047577" s="26"/>
    </row>
    <row r="1047578" customFormat="1" spans="2:14">
      <c r="B1047578" s="26"/>
      <c r="C1047578" s="26"/>
      <c r="D1047578" s="4"/>
      <c r="E1047578" s="26"/>
      <c r="F1047578" s="26"/>
      <c r="G1047578" s="26"/>
      <c r="H1047578" s="26"/>
      <c r="I1047578" s="27"/>
      <c r="J1047578" s="26"/>
      <c r="K1047578" s="26"/>
      <c r="L1047578" s="4"/>
      <c r="M1047578" s="4"/>
      <c r="N1047578" s="26"/>
    </row>
    <row r="1047579" customFormat="1" spans="2:14">
      <c r="B1047579" s="26"/>
      <c r="C1047579" s="26"/>
      <c r="D1047579" s="4"/>
      <c r="E1047579" s="26"/>
      <c r="F1047579" s="26"/>
      <c r="G1047579" s="26"/>
      <c r="H1047579" s="26"/>
      <c r="I1047579" s="27"/>
      <c r="J1047579" s="26"/>
      <c r="K1047579" s="26"/>
      <c r="L1047579" s="4"/>
      <c r="M1047579" s="4"/>
      <c r="N1047579" s="26"/>
    </row>
    <row r="1047580" customFormat="1" spans="2:14">
      <c r="B1047580" s="26"/>
      <c r="C1047580" s="26"/>
      <c r="D1047580" s="4"/>
      <c r="E1047580" s="26"/>
      <c r="F1047580" s="26"/>
      <c r="G1047580" s="26"/>
      <c r="H1047580" s="26"/>
      <c r="I1047580" s="27"/>
      <c r="J1047580" s="26"/>
      <c r="K1047580" s="26"/>
      <c r="L1047580" s="4"/>
      <c r="M1047580" s="4"/>
      <c r="N1047580" s="26"/>
    </row>
    <row r="1047581" customFormat="1" spans="2:14">
      <c r="B1047581" s="26"/>
      <c r="C1047581" s="26"/>
      <c r="D1047581" s="4"/>
      <c r="E1047581" s="26"/>
      <c r="F1047581" s="26"/>
      <c r="G1047581" s="26"/>
      <c r="H1047581" s="26"/>
      <c r="I1047581" s="27"/>
      <c r="J1047581" s="26"/>
      <c r="K1047581" s="26"/>
      <c r="L1047581" s="4"/>
      <c r="M1047581" s="4"/>
      <c r="N1047581" s="26"/>
    </row>
    <row r="1047582" customFormat="1" spans="2:14">
      <c r="B1047582" s="26"/>
      <c r="C1047582" s="26"/>
      <c r="D1047582" s="4"/>
      <c r="E1047582" s="26"/>
      <c r="F1047582" s="26"/>
      <c r="G1047582" s="26"/>
      <c r="H1047582" s="26"/>
      <c r="I1047582" s="27"/>
      <c r="J1047582" s="26"/>
      <c r="K1047582" s="26"/>
      <c r="L1047582" s="4"/>
      <c r="M1047582" s="4"/>
      <c r="N1047582" s="26"/>
    </row>
    <row r="1047583" customFormat="1" spans="2:14">
      <c r="B1047583" s="26"/>
      <c r="C1047583" s="26"/>
      <c r="D1047583" s="4"/>
      <c r="E1047583" s="26"/>
      <c r="F1047583" s="26"/>
      <c r="G1047583" s="26"/>
      <c r="H1047583" s="26"/>
      <c r="I1047583" s="27"/>
      <c r="J1047583" s="26"/>
      <c r="K1047583" s="26"/>
      <c r="L1047583" s="4"/>
      <c r="M1047583" s="4"/>
      <c r="N1047583" s="26"/>
    </row>
    <row r="1047584" customFormat="1" spans="2:14">
      <c r="B1047584" s="26"/>
      <c r="C1047584" s="26"/>
      <c r="D1047584" s="4"/>
      <c r="E1047584" s="26"/>
      <c r="F1047584" s="26"/>
      <c r="G1047584" s="26"/>
      <c r="H1047584" s="26"/>
      <c r="I1047584" s="27"/>
      <c r="J1047584" s="26"/>
      <c r="K1047584" s="26"/>
      <c r="L1047584" s="4"/>
      <c r="M1047584" s="4"/>
      <c r="N1047584" s="26"/>
    </row>
    <row r="1047585" customFormat="1" spans="2:14">
      <c r="B1047585" s="26"/>
      <c r="C1047585" s="26"/>
      <c r="D1047585" s="4"/>
      <c r="E1047585" s="26"/>
      <c r="F1047585" s="26"/>
      <c r="G1047585" s="26"/>
      <c r="H1047585" s="26"/>
      <c r="I1047585" s="27"/>
      <c r="J1047585" s="26"/>
      <c r="K1047585" s="26"/>
      <c r="L1047585" s="4"/>
      <c r="M1047585" s="4"/>
      <c r="N1047585" s="26"/>
    </row>
    <row r="1047586" customFormat="1" spans="2:14">
      <c r="B1047586" s="26"/>
      <c r="C1047586" s="26"/>
      <c r="D1047586" s="4"/>
      <c r="E1047586" s="26"/>
      <c r="F1047586" s="26"/>
      <c r="G1047586" s="26"/>
      <c r="H1047586" s="26"/>
      <c r="I1047586" s="27"/>
      <c r="J1047586" s="26"/>
      <c r="K1047586" s="26"/>
      <c r="L1047586" s="4"/>
      <c r="M1047586" s="4"/>
      <c r="N1047586" s="26"/>
    </row>
    <row r="1047587" customFormat="1" spans="2:14">
      <c r="B1047587" s="26"/>
      <c r="C1047587" s="26"/>
      <c r="D1047587" s="4"/>
      <c r="E1047587" s="26"/>
      <c r="F1047587" s="26"/>
      <c r="G1047587" s="26"/>
      <c r="H1047587" s="26"/>
      <c r="I1047587" s="27"/>
      <c r="J1047587" s="26"/>
      <c r="K1047587" s="26"/>
      <c r="L1047587" s="4"/>
      <c r="M1047587" s="4"/>
      <c r="N1047587" s="26"/>
    </row>
    <row r="1047588" customFormat="1" spans="2:14">
      <c r="B1047588" s="26"/>
      <c r="C1047588" s="26"/>
      <c r="D1047588" s="4"/>
      <c r="E1047588" s="26"/>
      <c r="F1047588" s="26"/>
      <c r="G1047588" s="26"/>
      <c r="H1047588" s="26"/>
      <c r="I1047588" s="27"/>
      <c r="J1047588" s="26"/>
      <c r="K1047588" s="26"/>
      <c r="L1047588" s="4"/>
      <c r="M1047588" s="4"/>
      <c r="N1047588" s="26"/>
    </row>
    <row r="1047589" customFormat="1" spans="2:14">
      <c r="B1047589" s="26"/>
      <c r="C1047589" s="26"/>
      <c r="D1047589" s="4"/>
      <c r="E1047589" s="26"/>
      <c r="F1047589" s="26"/>
      <c r="G1047589" s="26"/>
      <c r="H1047589" s="26"/>
      <c r="I1047589" s="27"/>
      <c r="J1047589" s="26"/>
      <c r="K1047589" s="26"/>
      <c r="L1047589" s="4"/>
      <c r="M1047589" s="4"/>
      <c r="N1047589" s="26"/>
    </row>
    <row r="1047590" customFormat="1" spans="2:14">
      <c r="B1047590" s="26"/>
      <c r="C1047590" s="26"/>
      <c r="D1047590" s="4"/>
      <c r="E1047590" s="26"/>
      <c r="F1047590" s="26"/>
      <c r="G1047590" s="26"/>
      <c r="H1047590" s="26"/>
      <c r="I1047590" s="27"/>
      <c r="J1047590" s="26"/>
      <c r="K1047590" s="26"/>
      <c r="L1047590" s="4"/>
      <c r="M1047590" s="4"/>
      <c r="N1047590" s="26"/>
    </row>
    <row r="1047591" customFormat="1" spans="2:14">
      <c r="B1047591" s="26"/>
      <c r="C1047591" s="26"/>
      <c r="D1047591" s="4"/>
      <c r="E1047591" s="26"/>
      <c r="F1047591" s="26"/>
      <c r="G1047591" s="26"/>
      <c r="H1047591" s="26"/>
      <c r="I1047591" s="27"/>
      <c r="J1047591" s="26"/>
      <c r="K1047591" s="26"/>
      <c r="L1047591" s="4"/>
      <c r="M1047591" s="4"/>
      <c r="N1047591" s="26"/>
    </row>
    <row r="1047592" customFormat="1" spans="2:14">
      <c r="B1047592" s="26"/>
      <c r="C1047592" s="26"/>
      <c r="D1047592" s="4"/>
      <c r="E1047592" s="26"/>
      <c r="F1047592" s="26"/>
      <c r="G1047592" s="26"/>
      <c r="H1047592" s="26"/>
      <c r="I1047592" s="27"/>
      <c r="J1047592" s="26"/>
      <c r="K1047592" s="26"/>
      <c r="L1047592" s="4"/>
      <c r="M1047592" s="4"/>
      <c r="N1047592" s="26"/>
    </row>
    <row r="1047593" customFormat="1" spans="2:14">
      <c r="B1047593" s="26"/>
      <c r="C1047593" s="26"/>
      <c r="D1047593" s="4"/>
      <c r="E1047593" s="26"/>
      <c r="F1047593" s="26"/>
      <c r="G1047593" s="26"/>
      <c r="H1047593" s="26"/>
      <c r="I1047593" s="27"/>
      <c r="J1047593" s="26"/>
      <c r="K1047593" s="26"/>
      <c r="L1047593" s="4"/>
      <c r="M1047593" s="4"/>
      <c r="N1047593" s="26"/>
    </row>
    <row r="1047594" customFormat="1" spans="2:14">
      <c r="B1047594" s="26"/>
      <c r="C1047594" s="26"/>
      <c r="D1047594" s="4"/>
      <c r="E1047594" s="26"/>
      <c r="F1047594" s="26"/>
      <c r="G1047594" s="26"/>
      <c r="H1047594" s="26"/>
      <c r="I1047594" s="27"/>
      <c r="J1047594" s="26"/>
      <c r="K1047594" s="26"/>
      <c r="L1047594" s="4"/>
      <c r="M1047594" s="4"/>
      <c r="N1047594" s="26"/>
    </row>
    <row r="1047595" customFormat="1" spans="2:14">
      <c r="B1047595" s="26"/>
      <c r="C1047595" s="26"/>
      <c r="D1047595" s="4"/>
      <c r="E1047595" s="26"/>
      <c r="F1047595" s="26"/>
      <c r="G1047595" s="26"/>
      <c r="H1047595" s="26"/>
      <c r="I1047595" s="27"/>
      <c r="J1047595" s="26"/>
      <c r="K1047595" s="26"/>
      <c r="L1047595" s="4"/>
      <c r="M1047595" s="4"/>
      <c r="N1047595" s="26"/>
    </row>
    <row r="1047596" customFormat="1" spans="2:14">
      <c r="B1047596" s="26"/>
      <c r="C1047596" s="26"/>
      <c r="D1047596" s="4"/>
      <c r="E1047596" s="26"/>
      <c r="F1047596" s="26"/>
      <c r="G1047596" s="26"/>
      <c r="H1047596" s="26"/>
      <c r="I1047596" s="27"/>
      <c r="J1047596" s="26"/>
      <c r="K1047596" s="26"/>
      <c r="L1047596" s="4"/>
      <c r="M1047596" s="4"/>
      <c r="N1047596" s="26"/>
    </row>
    <row r="1047597" customFormat="1" spans="2:14">
      <c r="B1047597" s="26"/>
      <c r="C1047597" s="26"/>
      <c r="D1047597" s="4"/>
      <c r="E1047597" s="26"/>
      <c r="F1047597" s="26"/>
      <c r="G1047597" s="26"/>
      <c r="H1047597" s="26"/>
      <c r="I1047597" s="27"/>
      <c r="J1047597" s="26"/>
      <c r="K1047597" s="26"/>
      <c r="L1047597" s="4"/>
      <c r="M1047597" s="4"/>
      <c r="N1047597" s="26"/>
    </row>
    <row r="1047598" customFormat="1" spans="2:14">
      <c r="B1047598" s="26"/>
      <c r="C1047598" s="26"/>
      <c r="D1047598" s="4"/>
      <c r="E1047598" s="26"/>
      <c r="F1047598" s="26"/>
      <c r="G1047598" s="26"/>
      <c r="H1047598" s="26"/>
      <c r="I1047598" s="27"/>
      <c r="J1047598" s="26"/>
      <c r="K1047598" s="26"/>
      <c r="L1047598" s="4"/>
      <c r="M1047598" s="4"/>
      <c r="N1047598" s="26"/>
    </row>
    <row r="1047599" customFormat="1" spans="2:14">
      <c r="B1047599" s="26"/>
      <c r="C1047599" s="26"/>
      <c r="D1047599" s="4"/>
      <c r="E1047599" s="26"/>
      <c r="F1047599" s="26"/>
      <c r="G1047599" s="26"/>
      <c r="H1047599" s="26"/>
      <c r="I1047599" s="27"/>
      <c r="J1047599" s="26"/>
      <c r="K1047599" s="26"/>
      <c r="L1047599" s="4"/>
      <c r="M1047599" s="4"/>
      <c r="N1047599" s="26"/>
    </row>
    <row r="1047600" customFormat="1" spans="2:14">
      <c r="B1047600" s="26"/>
      <c r="C1047600" s="26"/>
      <c r="D1047600" s="4"/>
      <c r="E1047600" s="26"/>
      <c r="F1047600" s="26"/>
      <c r="G1047600" s="26"/>
      <c r="H1047600" s="26"/>
      <c r="I1047600" s="27"/>
      <c r="J1047600" s="26"/>
      <c r="K1047600" s="26"/>
      <c r="L1047600" s="4"/>
      <c r="M1047600" s="4"/>
      <c r="N1047600" s="26"/>
    </row>
    <row r="1047601" customFormat="1" spans="2:14">
      <c r="B1047601" s="26"/>
      <c r="C1047601" s="26"/>
      <c r="D1047601" s="4"/>
      <c r="E1047601" s="26"/>
      <c r="F1047601" s="26"/>
      <c r="G1047601" s="26"/>
      <c r="H1047601" s="26"/>
      <c r="I1047601" s="27"/>
      <c r="J1047601" s="26"/>
      <c r="K1047601" s="26"/>
      <c r="L1047601" s="4"/>
      <c r="M1047601" s="4"/>
      <c r="N1047601" s="26"/>
    </row>
    <row r="1047602" customFormat="1" spans="2:14">
      <c r="B1047602" s="26"/>
      <c r="C1047602" s="26"/>
      <c r="D1047602" s="4"/>
      <c r="E1047602" s="26"/>
      <c r="F1047602" s="26"/>
      <c r="G1047602" s="26"/>
      <c r="H1047602" s="26"/>
      <c r="I1047602" s="27"/>
      <c r="J1047602" s="26"/>
      <c r="K1047602" s="26"/>
      <c r="L1047602" s="4"/>
      <c r="M1047602" s="4"/>
      <c r="N1047602" s="26"/>
    </row>
    <row r="1047603" customFormat="1" spans="2:14">
      <c r="B1047603" s="26"/>
      <c r="C1047603" s="26"/>
      <c r="D1047603" s="4"/>
      <c r="E1047603" s="26"/>
      <c r="F1047603" s="26"/>
      <c r="G1047603" s="26"/>
      <c r="H1047603" s="26"/>
      <c r="I1047603" s="27"/>
      <c r="J1047603" s="26"/>
      <c r="K1047603" s="26"/>
      <c r="L1047603" s="4"/>
      <c r="M1047603" s="4"/>
      <c r="N1047603" s="26"/>
    </row>
    <row r="1047604" customFormat="1" spans="2:14">
      <c r="B1047604" s="26"/>
      <c r="C1047604" s="26"/>
      <c r="D1047604" s="4"/>
      <c r="E1047604" s="26"/>
      <c r="F1047604" s="26"/>
      <c r="G1047604" s="26"/>
      <c r="H1047604" s="26"/>
      <c r="I1047604" s="27"/>
      <c r="J1047604" s="26"/>
      <c r="K1047604" s="26"/>
      <c r="L1047604" s="4"/>
      <c r="M1047604" s="4"/>
      <c r="N1047604" s="26"/>
    </row>
    <row r="1047605" customFormat="1" spans="2:14">
      <c r="B1047605" s="26"/>
      <c r="C1047605" s="26"/>
      <c r="D1047605" s="4"/>
      <c r="E1047605" s="26"/>
      <c r="F1047605" s="26"/>
      <c r="G1047605" s="26"/>
      <c r="H1047605" s="26"/>
      <c r="I1047605" s="27"/>
      <c r="J1047605" s="26"/>
      <c r="K1047605" s="26"/>
      <c r="L1047605" s="4"/>
      <c r="M1047605" s="4"/>
      <c r="N1047605" s="26"/>
    </row>
    <row r="1047606" customFormat="1" spans="2:14">
      <c r="B1047606" s="26"/>
      <c r="C1047606" s="26"/>
      <c r="D1047606" s="4"/>
      <c r="E1047606" s="26"/>
      <c r="F1047606" s="26"/>
      <c r="G1047606" s="26"/>
      <c r="H1047606" s="26"/>
      <c r="I1047606" s="27"/>
      <c r="J1047606" s="26"/>
      <c r="K1047606" s="26"/>
      <c r="L1047606" s="4"/>
      <c r="M1047606" s="4"/>
      <c r="N1047606" s="26"/>
    </row>
    <row r="1047607" customFormat="1" spans="2:14">
      <c r="B1047607" s="26"/>
      <c r="C1047607" s="26"/>
      <c r="D1047607" s="4"/>
      <c r="E1047607" s="26"/>
      <c r="F1047607" s="26"/>
      <c r="G1047607" s="26"/>
      <c r="H1047607" s="26"/>
      <c r="I1047607" s="27"/>
      <c r="J1047607" s="26"/>
      <c r="K1047607" s="26"/>
      <c r="L1047607" s="4"/>
      <c r="M1047607" s="4"/>
      <c r="N1047607" s="26"/>
    </row>
    <row r="1047608" customFormat="1" spans="2:14">
      <c r="B1047608" s="26"/>
      <c r="C1047608" s="26"/>
      <c r="D1047608" s="4"/>
      <c r="E1047608" s="26"/>
      <c r="F1047608" s="26"/>
      <c r="G1047608" s="26"/>
      <c r="H1047608" s="26"/>
      <c r="I1047608" s="27"/>
      <c r="J1047608" s="26"/>
      <c r="K1047608" s="26"/>
      <c r="L1047608" s="4"/>
      <c r="M1047608" s="4"/>
      <c r="N1047608" s="26"/>
    </row>
    <row r="1047609" customFormat="1" spans="2:14">
      <c r="B1047609" s="26"/>
      <c r="C1047609" s="26"/>
      <c r="D1047609" s="4"/>
      <c r="E1047609" s="26"/>
      <c r="F1047609" s="26"/>
      <c r="G1047609" s="26"/>
      <c r="H1047609" s="26"/>
      <c r="I1047609" s="27"/>
      <c r="J1047609" s="26"/>
      <c r="K1047609" s="26"/>
      <c r="L1047609" s="4"/>
      <c r="M1047609" s="4"/>
      <c r="N1047609" s="26"/>
    </row>
    <row r="1047610" customFormat="1" spans="2:14">
      <c r="B1047610" s="26"/>
      <c r="C1047610" s="26"/>
      <c r="D1047610" s="4"/>
      <c r="E1047610" s="26"/>
      <c r="F1047610" s="26"/>
      <c r="G1047610" s="26"/>
      <c r="H1047610" s="26"/>
      <c r="I1047610" s="27"/>
      <c r="J1047610" s="26"/>
      <c r="K1047610" s="26"/>
      <c r="L1047610" s="4"/>
      <c r="M1047610" s="4"/>
      <c r="N1047610" s="26"/>
    </row>
    <row r="1047611" customFormat="1" spans="2:14">
      <c r="B1047611" s="26"/>
      <c r="C1047611" s="26"/>
      <c r="D1047611" s="4"/>
      <c r="E1047611" s="26"/>
      <c r="F1047611" s="26"/>
      <c r="G1047611" s="26"/>
      <c r="H1047611" s="26"/>
      <c r="I1047611" s="27"/>
      <c r="J1047611" s="26"/>
      <c r="K1047611" s="26"/>
      <c r="L1047611" s="4"/>
      <c r="M1047611" s="4"/>
      <c r="N1047611" s="26"/>
    </row>
    <row r="1047612" customFormat="1" spans="2:14">
      <c r="B1047612" s="26"/>
      <c r="C1047612" s="26"/>
      <c r="D1047612" s="4"/>
      <c r="E1047612" s="26"/>
      <c r="F1047612" s="26"/>
      <c r="G1047612" s="26"/>
      <c r="H1047612" s="26"/>
      <c r="I1047612" s="27"/>
      <c r="J1047612" s="26"/>
      <c r="K1047612" s="26"/>
      <c r="L1047612" s="4"/>
      <c r="M1047612" s="4"/>
      <c r="N1047612" s="26"/>
    </row>
    <row r="1047613" customFormat="1" spans="2:14">
      <c r="B1047613" s="26"/>
      <c r="C1047613" s="26"/>
      <c r="D1047613" s="4"/>
      <c r="E1047613" s="26"/>
      <c r="F1047613" s="26"/>
      <c r="G1047613" s="26"/>
      <c r="H1047613" s="26"/>
      <c r="I1047613" s="27"/>
      <c r="J1047613" s="26"/>
      <c r="K1047613" s="26"/>
      <c r="L1047613" s="4"/>
      <c r="M1047613" s="4"/>
      <c r="N1047613" s="26"/>
    </row>
    <row r="1047614" customFormat="1" spans="2:14">
      <c r="B1047614" s="26"/>
      <c r="C1047614" s="26"/>
      <c r="D1047614" s="4"/>
      <c r="E1047614" s="26"/>
      <c r="F1047614" s="26"/>
      <c r="G1047614" s="26"/>
      <c r="H1047614" s="26"/>
      <c r="I1047614" s="27"/>
      <c r="J1047614" s="26"/>
      <c r="K1047614" s="26"/>
      <c r="L1047614" s="4"/>
      <c r="M1047614" s="4"/>
      <c r="N1047614" s="26"/>
    </row>
    <row r="1047615" customFormat="1" spans="2:14">
      <c r="B1047615" s="26"/>
      <c r="C1047615" s="26"/>
      <c r="D1047615" s="4"/>
      <c r="E1047615" s="26"/>
      <c r="F1047615" s="26"/>
      <c r="G1047615" s="26"/>
      <c r="H1047615" s="26"/>
      <c r="I1047615" s="27"/>
      <c r="J1047615" s="26"/>
      <c r="K1047615" s="26"/>
      <c r="L1047615" s="4"/>
      <c r="M1047615" s="4"/>
      <c r="N1047615" s="26"/>
    </row>
    <row r="1047616" customFormat="1" spans="2:14">
      <c r="B1047616" s="26"/>
      <c r="C1047616" s="26"/>
      <c r="D1047616" s="4"/>
      <c r="E1047616" s="26"/>
      <c r="F1047616" s="26"/>
      <c r="G1047616" s="26"/>
      <c r="H1047616" s="26"/>
      <c r="I1047616" s="27"/>
      <c r="J1047616" s="26"/>
      <c r="K1047616" s="26"/>
      <c r="L1047616" s="4"/>
      <c r="M1047616" s="4"/>
      <c r="N1047616" s="26"/>
    </row>
    <row r="1047617" customFormat="1" spans="2:14">
      <c r="B1047617" s="26"/>
      <c r="C1047617" s="26"/>
      <c r="D1047617" s="4"/>
      <c r="E1047617" s="26"/>
      <c r="F1047617" s="26"/>
      <c r="G1047617" s="26"/>
      <c r="H1047617" s="26"/>
      <c r="I1047617" s="27"/>
      <c r="J1047617" s="26"/>
      <c r="K1047617" s="26"/>
      <c r="L1047617" s="4"/>
      <c r="M1047617" s="4"/>
      <c r="N1047617" s="26"/>
    </row>
    <row r="1047618" customFormat="1" spans="2:14">
      <c r="B1047618" s="26"/>
      <c r="C1047618" s="26"/>
      <c r="D1047618" s="4"/>
      <c r="E1047618" s="26"/>
      <c r="F1047618" s="26"/>
      <c r="G1047618" s="26"/>
      <c r="H1047618" s="26"/>
      <c r="I1047618" s="27"/>
      <c r="J1047618" s="26"/>
      <c r="K1047618" s="26"/>
      <c r="L1047618" s="4"/>
      <c r="M1047618" s="4"/>
      <c r="N1047618" s="26"/>
    </row>
    <row r="1047619" customFormat="1" spans="2:14">
      <c r="B1047619" s="26"/>
      <c r="C1047619" s="26"/>
      <c r="D1047619" s="4"/>
      <c r="E1047619" s="26"/>
      <c r="F1047619" s="26"/>
      <c r="G1047619" s="26"/>
      <c r="H1047619" s="26"/>
      <c r="I1047619" s="27"/>
      <c r="J1047619" s="26"/>
      <c r="K1047619" s="26"/>
      <c r="L1047619" s="4"/>
      <c r="M1047619" s="4"/>
      <c r="N1047619" s="26"/>
    </row>
    <row r="1047620" customFormat="1" spans="2:14">
      <c r="B1047620" s="26"/>
      <c r="C1047620" s="26"/>
      <c r="D1047620" s="4"/>
      <c r="E1047620" s="26"/>
      <c r="F1047620" s="26"/>
      <c r="G1047620" s="26"/>
      <c r="H1047620" s="26"/>
      <c r="I1047620" s="27"/>
      <c r="J1047620" s="26"/>
      <c r="K1047620" s="26"/>
      <c r="L1047620" s="4"/>
      <c r="M1047620" s="4"/>
      <c r="N1047620" s="26"/>
    </row>
    <row r="1047621" customFormat="1" spans="2:14">
      <c r="B1047621" s="26"/>
      <c r="C1047621" s="26"/>
      <c r="D1047621" s="4"/>
      <c r="E1047621" s="26"/>
      <c r="F1047621" s="26"/>
      <c r="G1047621" s="26"/>
      <c r="H1047621" s="26"/>
      <c r="I1047621" s="27"/>
      <c r="J1047621" s="26"/>
      <c r="K1047621" s="26"/>
      <c r="L1047621" s="4"/>
      <c r="M1047621" s="4"/>
      <c r="N1047621" s="26"/>
    </row>
    <row r="1047622" customFormat="1" spans="2:14">
      <c r="B1047622" s="26"/>
      <c r="C1047622" s="26"/>
      <c r="D1047622" s="4"/>
      <c r="E1047622" s="26"/>
      <c r="F1047622" s="26"/>
      <c r="G1047622" s="26"/>
      <c r="H1047622" s="26"/>
      <c r="I1047622" s="27"/>
      <c r="J1047622" s="26"/>
      <c r="K1047622" s="26"/>
      <c r="L1047622" s="4"/>
      <c r="M1047622" s="4"/>
      <c r="N1047622" s="26"/>
    </row>
    <row r="1047623" customFormat="1" spans="2:14">
      <c r="B1047623" s="26"/>
      <c r="C1047623" s="26"/>
      <c r="D1047623" s="4"/>
      <c r="E1047623" s="26"/>
      <c r="F1047623" s="26"/>
      <c r="G1047623" s="26"/>
      <c r="H1047623" s="26"/>
      <c r="I1047623" s="27"/>
      <c r="J1047623" s="26"/>
      <c r="K1047623" s="26"/>
      <c r="L1047623" s="4"/>
      <c r="M1047623" s="4"/>
      <c r="N1047623" s="26"/>
    </row>
    <row r="1047624" customFormat="1" spans="2:14">
      <c r="B1047624" s="26"/>
      <c r="C1047624" s="26"/>
      <c r="D1047624" s="4"/>
      <c r="E1047624" s="26"/>
      <c r="F1047624" s="26"/>
      <c r="G1047624" s="26"/>
      <c r="H1047624" s="26"/>
      <c r="I1047624" s="27"/>
      <c r="J1047624" s="26"/>
      <c r="K1047624" s="26"/>
      <c r="L1047624" s="4"/>
      <c r="M1047624" s="4"/>
      <c r="N1047624" s="26"/>
    </row>
    <row r="1047625" customFormat="1" spans="2:14">
      <c r="B1047625" s="26"/>
      <c r="C1047625" s="26"/>
      <c r="D1047625" s="4"/>
      <c r="E1047625" s="26"/>
      <c r="F1047625" s="26"/>
      <c r="G1047625" s="26"/>
      <c r="H1047625" s="26"/>
      <c r="I1047625" s="27"/>
      <c r="J1047625" s="26"/>
      <c r="K1047625" s="26"/>
      <c r="L1047625" s="4"/>
      <c r="M1047625" s="4"/>
      <c r="N1047625" s="26"/>
    </row>
    <row r="1047626" customFormat="1" spans="2:14">
      <c r="B1047626" s="26"/>
      <c r="C1047626" s="26"/>
      <c r="D1047626" s="4"/>
      <c r="E1047626" s="26"/>
      <c r="F1047626" s="26"/>
      <c r="G1047626" s="26"/>
      <c r="H1047626" s="26"/>
      <c r="I1047626" s="27"/>
      <c r="J1047626" s="26"/>
      <c r="K1047626" s="26"/>
      <c r="L1047626" s="4"/>
      <c r="M1047626" s="4"/>
      <c r="N1047626" s="26"/>
    </row>
    <row r="1047627" customFormat="1" spans="2:14">
      <c r="B1047627" s="26"/>
      <c r="C1047627" s="26"/>
      <c r="D1047627" s="4"/>
      <c r="E1047627" s="26"/>
      <c r="F1047627" s="26"/>
      <c r="G1047627" s="26"/>
      <c r="H1047627" s="26"/>
      <c r="I1047627" s="27"/>
      <c r="J1047627" s="26"/>
      <c r="K1047627" s="26"/>
      <c r="L1047627" s="4"/>
      <c r="M1047627" s="4"/>
      <c r="N1047627" s="26"/>
    </row>
    <row r="1047628" customFormat="1" spans="2:14">
      <c r="B1047628" s="26"/>
      <c r="C1047628" s="26"/>
      <c r="D1047628" s="4"/>
      <c r="E1047628" s="26"/>
      <c r="F1047628" s="26"/>
      <c r="G1047628" s="26"/>
      <c r="H1047628" s="26"/>
      <c r="I1047628" s="27"/>
      <c r="J1047628" s="26"/>
      <c r="K1047628" s="26"/>
      <c r="L1047628" s="4"/>
      <c r="M1047628" s="4"/>
      <c r="N1047628" s="26"/>
    </row>
    <row r="1047629" customFormat="1" spans="2:14">
      <c r="B1047629" s="26"/>
      <c r="C1047629" s="26"/>
      <c r="D1047629" s="4"/>
      <c r="E1047629" s="26"/>
      <c r="F1047629" s="26"/>
      <c r="G1047629" s="26"/>
      <c r="H1047629" s="26"/>
      <c r="I1047629" s="27"/>
      <c r="J1047629" s="26"/>
      <c r="K1047629" s="26"/>
      <c r="L1047629" s="4"/>
      <c r="M1047629" s="4"/>
      <c r="N1047629" s="26"/>
    </row>
    <row r="1047630" customFormat="1" spans="2:14">
      <c r="B1047630" s="26"/>
      <c r="C1047630" s="26"/>
      <c r="D1047630" s="4"/>
      <c r="E1047630" s="26"/>
      <c r="F1047630" s="26"/>
      <c r="G1047630" s="26"/>
      <c r="H1047630" s="26"/>
      <c r="I1047630" s="27"/>
      <c r="J1047630" s="26"/>
      <c r="K1047630" s="26"/>
      <c r="L1047630" s="4"/>
      <c r="M1047630" s="4"/>
      <c r="N1047630" s="26"/>
    </row>
    <row r="1047631" customFormat="1" spans="2:14">
      <c r="B1047631" s="26"/>
      <c r="C1047631" s="26"/>
      <c r="D1047631" s="4"/>
      <c r="E1047631" s="26"/>
      <c r="F1047631" s="26"/>
      <c r="G1047631" s="26"/>
      <c r="H1047631" s="26"/>
      <c r="I1047631" s="27"/>
      <c r="J1047631" s="26"/>
      <c r="K1047631" s="26"/>
      <c r="L1047631" s="4"/>
      <c r="M1047631" s="4"/>
      <c r="N1047631" s="26"/>
    </row>
    <row r="1047632" customFormat="1" spans="2:14">
      <c r="B1047632" s="26"/>
      <c r="C1047632" s="26"/>
      <c r="D1047632" s="4"/>
      <c r="E1047632" s="26"/>
      <c r="F1047632" s="26"/>
      <c r="G1047632" s="26"/>
      <c r="H1047632" s="26"/>
      <c r="I1047632" s="27"/>
      <c r="J1047632" s="26"/>
      <c r="K1047632" s="26"/>
      <c r="L1047632" s="4"/>
      <c r="M1047632" s="4"/>
      <c r="N1047632" s="26"/>
    </row>
    <row r="1047633" customFormat="1" spans="2:14">
      <c r="B1047633" s="26"/>
      <c r="C1047633" s="26"/>
      <c r="D1047633" s="4"/>
      <c r="E1047633" s="26"/>
      <c r="F1047633" s="26"/>
      <c r="G1047633" s="26"/>
      <c r="H1047633" s="26"/>
      <c r="I1047633" s="27"/>
      <c r="J1047633" s="26"/>
      <c r="K1047633" s="26"/>
      <c r="L1047633" s="4"/>
      <c r="M1047633" s="4"/>
      <c r="N1047633" s="26"/>
    </row>
    <row r="1047634" customFormat="1" spans="2:14">
      <c r="B1047634" s="26"/>
      <c r="C1047634" s="26"/>
      <c r="D1047634" s="4"/>
      <c r="E1047634" s="26"/>
      <c r="F1047634" s="26"/>
      <c r="G1047634" s="26"/>
      <c r="H1047634" s="26"/>
      <c r="I1047634" s="27"/>
      <c r="J1047634" s="26"/>
      <c r="K1047634" s="26"/>
      <c r="L1047634" s="4"/>
      <c r="M1047634" s="4"/>
      <c r="N1047634" s="26"/>
    </row>
    <row r="1047635" customFormat="1" spans="2:14">
      <c r="B1047635" s="26"/>
      <c r="C1047635" s="26"/>
      <c r="D1047635" s="4"/>
      <c r="E1047635" s="26"/>
      <c r="F1047635" s="26"/>
      <c r="G1047635" s="26"/>
      <c r="H1047635" s="26"/>
      <c r="I1047635" s="27"/>
      <c r="J1047635" s="26"/>
      <c r="K1047635" s="26"/>
      <c r="L1047635" s="4"/>
      <c r="M1047635" s="4"/>
      <c r="N1047635" s="26"/>
    </row>
    <row r="1047636" customFormat="1" spans="2:14">
      <c r="B1047636" s="26"/>
      <c r="C1047636" s="26"/>
      <c r="D1047636" s="4"/>
      <c r="E1047636" s="26"/>
      <c r="F1047636" s="26"/>
      <c r="G1047636" s="26"/>
      <c r="H1047636" s="26"/>
      <c r="I1047636" s="27"/>
      <c r="J1047636" s="26"/>
      <c r="K1047636" s="26"/>
      <c r="L1047636" s="4"/>
      <c r="M1047636" s="4"/>
      <c r="N1047636" s="26"/>
    </row>
    <row r="1047637" customFormat="1" spans="2:14">
      <c r="B1047637" s="26"/>
      <c r="C1047637" s="26"/>
      <c r="D1047637" s="4"/>
      <c r="E1047637" s="26"/>
      <c r="F1047637" s="26"/>
      <c r="G1047637" s="26"/>
      <c r="H1047637" s="26"/>
      <c r="I1047637" s="27"/>
      <c r="J1047637" s="26"/>
      <c r="K1047637" s="26"/>
      <c r="L1047637" s="4"/>
      <c r="M1047637" s="4"/>
      <c r="N1047637" s="26"/>
    </row>
    <row r="1047638" customFormat="1" spans="2:14">
      <c r="B1047638" s="26"/>
      <c r="C1047638" s="26"/>
      <c r="D1047638" s="4"/>
      <c r="E1047638" s="26"/>
      <c r="F1047638" s="26"/>
      <c r="G1047638" s="26"/>
      <c r="H1047638" s="26"/>
      <c r="I1047638" s="27"/>
      <c r="J1047638" s="26"/>
      <c r="K1047638" s="26"/>
      <c r="L1047638" s="4"/>
      <c r="M1047638" s="4"/>
      <c r="N1047638" s="26"/>
    </row>
    <row r="1047639" customFormat="1" spans="2:14">
      <c r="B1047639" s="26"/>
      <c r="C1047639" s="26"/>
      <c r="D1047639" s="4"/>
      <c r="E1047639" s="26"/>
      <c r="F1047639" s="26"/>
      <c r="G1047639" s="26"/>
      <c r="H1047639" s="26"/>
      <c r="I1047639" s="27"/>
      <c r="J1047639" s="26"/>
      <c r="K1047639" s="26"/>
      <c r="L1047639" s="4"/>
      <c r="M1047639" s="4"/>
      <c r="N1047639" s="26"/>
    </row>
    <row r="1047640" customFormat="1" spans="2:14">
      <c r="B1047640" s="26"/>
      <c r="C1047640" s="26"/>
      <c r="D1047640" s="4"/>
      <c r="E1047640" s="26"/>
      <c r="F1047640" s="26"/>
      <c r="G1047640" s="26"/>
      <c r="H1047640" s="26"/>
      <c r="I1047640" s="27"/>
      <c r="J1047640" s="26"/>
      <c r="K1047640" s="26"/>
      <c r="L1047640" s="4"/>
      <c r="M1047640" s="4"/>
      <c r="N1047640" s="26"/>
    </row>
    <row r="1047641" customFormat="1" spans="2:14">
      <c r="B1047641" s="26"/>
      <c r="C1047641" s="26"/>
      <c r="D1047641" s="4"/>
      <c r="E1047641" s="26"/>
      <c r="F1047641" s="26"/>
      <c r="G1047641" s="26"/>
      <c r="H1047641" s="26"/>
      <c r="I1047641" s="27"/>
      <c r="J1047641" s="26"/>
      <c r="K1047641" s="26"/>
      <c r="L1047641" s="4"/>
      <c r="M1047641" s="4"/>
      <c r="N1047641" s="26"/>
    </row>
    <row r="1047642" customFormat="1" spans="2:14">
      <c r="B1047642" s="26"/>
      <c r="C1047642" s="26"/>
      <c r="D1047642" s="4"/>
      <c r="E1047642" s="26"/>
      <c r="F1047642" s="26"/>
      <c r="G1047642" s="26"/>
      <c r="H1047642" s="26"/>
      <c r="I1047642" s="27"/>
      <c r="J1047642" s="26"/>
      <c r="K1047642" s="26"/>
      <c r="L1047642" s="4"/>
      <c r="M1047642" s="4"/>
      <c r="N1047642" s="26"/>
    </row>
    <row r="1047643" customFormat="1" spans="2:14">
      <c r="B1047643" s="26"/>
      <c r="C1047643" s="26"/>
      <c r="D1047643" s="4"/>
      <c r="E1047643" s="26"/>
      <c r="F1047643" s="26"/>
      <c r="G1047643" s="26"/>
      <c r="H1047643" s="26"/>
      <c r="I1047643" s="27"/>
      <c r="J1047643" s="26"/>
      <c r="K1047643" s="26"/>
      <c r="L1047643" s="4"/>
      <c r="M1047643" s="4"/>
      <c r="N1047643" s="26"/>
    </row>
    <row r="1047644" customFormat="1" spans="2:14">
      <c r="B1047644" s="26"/>
      <c r="C1047644" s="26"/>
      <c r="D1047644" s="4"/>
      <c r="E1047644" s="26"/>
      <c r="F1047644" s="26"/>
      <c r="G1047644" s="26"/>
      <c r="H1047644" s="26"/>
      <c r="I1047644" s="27"/>
      <c r="J1047644" s="26"/>
      <c r="K1047644" s="26"/>
      <c r="L1047644" s="4"/>
      <c r="M1047644" s="4"/>
      <c r="N1047644" s="26"/>
    </row>
    <row r="1047645" customFormat="1" spans="2:14">
      <c r="B1047645" s="26"/>
      <c r="C1047645" s="26"/>
      <c r="D1047645" s="4"/>
      <c r="E1047645" s="26"/>
      <c r="F1047645" s="26"/>
      <c r="G1047645" s="26"/>
      <c r="H1047645" s="26"/>
      <c r="I1047645" s="27"/>
      <c r="J1047645" s="26"/>
      <c r="K1047645" s="26"/>
      <c r="L1047645" s="4"/>
      <c r="M1047645" s="4"/>
      <c r="N1047645" s="26"/>
    </row>
    <row r="1047646" customFormat="1" spans="2:14">
      <c r="B1047646" s="26"/>
      <c r="C1047646" s="26"/>
      <c r="D1047646" s="4"/>
      <c r="E1047646" s="26"/>
      <c r="F1047646" s="26"/>
      <c r="G1047646" s="26"/>
      <c r="H1047646" s="26"/>
      <c r="I1047646" s="27"/>
      <c r="J1047646" s="26"/>
      <c r="K1047646" s="26"/>
      <c r="L1047646" s="4"/>
      <c r="M1047646" s="4"/>
      <c r="N1047646" s="26"/>
    </row>
    <row r="1047647" customFormat="1" spans="2:14">
      <c r="B1047647" s="26"/>
      <c r="C1047647" s="26"/>
      <c r="D1047647" s="4"/>
      <c r="E1047647" s="26"/>
      <c r="F1047647" s="26"/>
      <c r="G1047647" s="26"/>
      <c r="H1047647" s="26"/>
      <c r="I1047647" s="27"/>
      <c r="J1047647" s="26"/>
      <c r="K1047647" s="26"/>
      <c r="L1047647" s="4"/>
      <c r="M1047647" s="4"/>
      <c r="N1047647" s="26"/>
    </row>
    <row r="1047648" customFormat="1" spans="2:14">
      <c r="B1047648" s="26"/>
      <c r="C1047648" s="26"/>
      <c r="D1047648" s="4"/>
      <c r="E1047648" s="26"/>
      <c r="F1047648" s="26"/>
      <c r="G1047648" s="26"/>
      <c r="H1047648" s="26"/>
      <c r="I1047648" s="27"/>
      <c r="J1047648" s="26"/>
      <c r="K1047648" s="26"/>
      <c r="L1047648" s="4"/>
      <c r="M1047648" s="4"/>
      <c r="N1047648" s="26"/>
    </row>
    <row r="1047649" customFormat="1" spans="2:14">
      <c r="B1047649" s="26"/>
      <c r="C1047649" s="26"/>
      <c r="D1047649" s="4"/>
      <c r="E1047649" s="26"/>
      <c r="F1047649" s="26"/>
      <c r="G1047649" s="26"/>
      <c r="H1047649" s="26"/>
      <c r="I1047649" s="27"/>
      <c r="J1047649" s="26"/>
      <c r="K1047649" s="26"/>
      <c r="L1047649" s="4"/>
      <c r="M1047649" s="4"/>
      <c r="N1047649" s="26"/>
    </row>
    <row r="1047650" customFormat="1" spans="2:14">
      <c r="B1047650" s="26"/>
      <c r="C1047650" s="26"/>
      <c r="D1047650" s="4"/>
      <c r="E1047650" s="26"/>
      <c r="F1047650" s="26"/>
      <c r="G1047650" s="26"/>
      <c r="H1047650" s="26"/>
      <c r="I1047650" s="27"/>
      <c r="J1047650" s="26"/>
      <c r="K1047650" s="26"/>
      <c r="L1047650" s="4"/>
      <c r="M1047650" s="4"/>
      <c r="N1047650" s="26"/>
    </row>
    <row r="1047651" customFormat="1" spans="2:14">
      <c r="B1047651" s="26"/>
      <c r="C1047651" s="26"/>
      <c r="D1047651" s="4"/>
      <c r="E1047651" s="26"/>
      <c r="F1047651" s="26"/>
      <c r="G1047651" s="26"/>
      <c r="H1047651" s="26"/>
      <c r="I1047651" s="27"/>
      <c r="J1047651" s="26"/>
      <c r="K1047651" s="26"/>
      <c r="L1047651" s="4"/>
      <c r="M1047651" s="4"/>
      <c r="N1047651" s="26"/>
    </row>
    <row r="1047652" customFormat="1" spans="2:14">
      <c r="B1047652" s="26"/>
      <c r="C1047652" s="26"/>
      <c r="D1047652" s="4"/>
      <c r="E1047652" s="26"/>
      <c r="F1047652" s="26"/>
      <c r="G1047652" s="26"/>
      <c r="H1047652" s="26"/>
      <c r="I1047652" s="27"/>
      <c r="J1047652" s="26"/>
      <c r="K1047652" s="26"/>
      <c r="L1047652" s="4"/>
      <c r="M1047652" s="4"/>
      <c r="N1047652" s="26"/>
    </row>
    <row r="1047653" customFormat="1" spans="2:14">
      <c r="B1047653" s="26"/>
      <c r="C1047653" s="26"/>
      <c r="D1047653" s="4"/>
      <c r="E1047653" s="26"/>
      <c r="F1047653" s="26"/>
      <c r="G1047653" s="26"/>
      <c r="H1047653" s="26"/>
      <c r="I1047653" s="27"/>
      <c r="J1047653" s="26"/>
      <c r="K1047653" s="26"/>
      <c r="L1047653" s="4"/>
      <c r="M1047653" s="4"/>
      <c r="N1047653" s="26"/>
    </row>
    <row r="1047654" customFormat="1" spans="2:14">
      <c r="B1047654" s="26"/>
      <c r="C1047654" s="26"/>
      <c r="D1047654" s="4"/>
      <c r="E1047654" s="26"/>
      <c r="F1047654" s="26"/>
      <c r="G1047654" s="26"/>
      <c r="H1047654" s="26"/>
      <c r="I1047654" s="27"/>
      <c r="J1047654" s="26"/>
      <c r="K1047654" s="26"/>
      <c r="L1047654" s="4"/>
      <c r="M1047654" s="4"/>
      <c r="N1047654" s="26"/>
    </row>
    <row r="1047655" customFormat="1" spans="2:14">
      <c r="B1047655" s="26"/>
      <c r="C1047655" s="26"/>
      <c r="D1047655" s="4"/>
      <c r="E1047655" s="26"/>
      <c r="F1047655" s="26"/>
      <c r="G1047655" s="26"/>
      <c r="H1047655" s="26"/>
      <c r="I1047655" s="27"/>
      <c r="J1047655" s="26"/>
      <c r="K1047655" s="26"/>
      <c r="L1047655" s="4"/>
      <c r="M1047655" s="4"/>
      <c r="N1047655" s="26"/>
    </row>
    <row r="1047656" customFormat="1" spans="2:14">
      <c r="B1047656" s="26"/>
      <c r="C1047656" s="26"/>
      <c r="D1047656" s="4"/>
      <c r="E1047656" s="26"/>
      <c r="F1047656" s="26"/>
      <c r="G1047656" s="26"/>
      <c r="H1047656" s="26"/>
      <c r="I1047656" s="27"/>
      <c r="J1047656" s="26"/>
      <c r="K1047656" s="26"/>
      <c r="L1047656" s="4"/>
      <c r="M1047656" s="4"/>
      <c r="N1047656" s="26"/>
    </row>
    <row r="1047657" customFormat="1" spans="2:14">
      <c r="B1047657" s="26"/>
      <c r="C1047657" s="26"/>
      <c r="D1047657" s="4"/>
      <c r="E1047657" s="26"/>
      <c r="F1047657" s="26"/>
      <c r="G1047657" s="26"/>
      <c r="H1047657" s="26"/>
      <c r="I1047657" s="27"/>
      <c r="J1047657" s="26"/>
      <c r="K1047657" s="26"/>
      <c r="L1047657" s="4"/>
      <c r="M1047657" s="4"/>
      <c r="N1047657" s="26"/>
    </row>
    <row r="1047658" customFormat="1" spans="2:14">
      <c r="B1047658" s="26"/>
      <c r="C1047658" s="26"/>
      <c r="D1047658" s="4"/>
      <c r="E1047658" s="26"/>
      <c r="F1047658" s="26"/>
      <c r="G1047658" s="26"/>
      <c r="H1047658" s="26"/>
      <c r="I1047658" s="27"/>
      <c r="J1047658" s="26"/>
      <c r="K1047658" s="26"/>
      <c r="L1047658" s="4"/>
      <c r="M1047658" s="4"/>
      <c r="N1047658" s="26"/>
    </row>
    <row r="1047659" customFormat="1" spans="2:14">
      <c r="B1047659" s="26"/>
      <c r="C1047659" s="26"/>
      <c r="D1047659" s="4"/>
      <c r="E1047659" s="26"/>
      <c r="F1047659" s="26"/>
      <c r="G1047659" s="26"/>
      <c r="H1047659" s="26"/>
      <c r="I1047659" s="27"/>
      <c r="J1047659" s="26"/>
      <c r="K1047659" s="26"/>
      <c r="L1047659" s="4"/>
      <c r="M1047659" s="4"/>
      <c r="N1047659" s="26"/>
    </row>
    <row r="1047660" customFormat="1" spans="2:14">
      <c r="B1047660" s="26"/>
      <c r="C1047660" s="26"/>
      <c r="D1047660" s="4"/>
      <c r="E1047660" s="26"/>
      <c r="F1047660" s="26"/>
      <c r="G1047660" s="26"/>
      <c r="H1047660" s="26"/>
      <c r="I1047660" s="27"/>
      <c r="J1047660" s="26"/>
      <c r="K1047660" s="26"/>
      <c r="L1047660" s="4"/>
      <c r="M1047660" s="4"/>
      <c r="N1047660" s="26"/>
    </row>
    <row r="1047661" customFormat="1" spans="2:14">
      <c r="B1047661" s="26"/>
      <c r="C1047661" s="26"/>
      <c r="D1047661" s="4"/>
      <c r="E1047661" s="26"/>
      <c r="F1047661" s="26"/>
      <c r="G1047661" s="26"/>
      <c r="H1047661" s="26"/>
      <c r="I1047661" s="27"/>
      <c r="J1047661" s="26"/>
      <c r="K1047661" s="26"/>
      <c r="L1047661" s="4"/>
      <c r="M1047661" s="4"/>
      <c r="N1047661" s="26"/>
    </row>
    <row r="1047662" customFormat="1" spans="2:14">
      <c r="B1047662" s="26"/>
      <c r="C1047662" s="26"/>
      <c r="D1047662" s="4"/>
      <c r="E1047662" s="26"/>
      <c r="F1047662" s="26"/>
      <c r="G1047662" s="26"/>
      <c r="H1047662" s="26"/>
      <c r="I1047662" s="27"/>
      <c r="J1047662" s="26"/>
      <c r="K1047662" s="26"/>
      <c r="L1047662" s="4"/>
      <c r="M1047662" s="4"/>
      <c r="N1047662" s="26"/>
    </row>
    <row r="1047663" customFormat="1" spans="2:14">
      <c r="B1047663" s="26"/>
      <c r="C1047663" s="26"/>
      <c r="D1047663" s="4"/>
      <c r="E1047663" s="26"/>
      <c r="F1047663" s="26"/>
      <c r="G1047663" s="26"/>
      <c r="H1047663" s="26"/>
      <c r="I1047663" s="27"/>
      <c r="J1047663" s="26"/>
      <c r="K1047663" s="26"/>
      <c r="L1047663" s="4"/>
      <c r="M1047663" s="4"/>
      <c r="N1047663" s="26"/>
    </row>
    <row r="1047664" customFormat="1" spans="2:14">
      <c r="B1047664" s="26"/>
      <c r="C1047664" s="26"/>
      <c r="D1047664" s="4"/>
      <c r="E1047664" s="26"/>
      <c r="F1047664" s="26"/>
      <c r="G1047664" s="26"/>
      <c r="H1047664" s="26"/>
      <c r="I1047664" s="27"/>
      <c r="J1047664" s="26"/>
      <c r="K1047664" s="26"/>
      <c r="L1047664" s="4"/>
      <c r="M1047664" s="4"/>
      <c r="N1047664" s="26"/>
    </row>
    <row r="1047665" customFormat="1" spans="2:14">
      <c r="B1047665" s="26"/>
      <c r="C1047665" s="26"/>
      <c r="D1047665" s="4"/>
      <c r="E1047665" s="26"/>
      <c r="F1047665" s="26"/>
      <c r="G1047665" s="26"/>
      <c r="H1047665" s="26"/>
      <c r="I1047665" s="27"/>
      <c r="J1047665" s="26"/>
      <c r="K1047665" s="26"/>
      <c r="L1047665" s="4"/>
      <c r="M1047665" s="4"/>
      <c r="N1047665" s="26"/>
    </row>
    <row r="1047666" customFormat="1" spans="2:14">
      <c r="B1047666" s="26"/>
      <c r="C1047666" s="26"/>
      <c r="D1047666" s="4"/>
      <c r="E1047666" s="26"/>
      <c r="F1047666" s="26"/>
      <c r="G1047666" s="26"/>
      <c r="H1047666" s="26"/>
      <c r="I1047666" s="27"/>
      <c r="J1047666" s="26"/>
      <c r="K1047666" s="26"/>
      <c r="L1047666" s="4"/>
      <c r="M1047666" s="4"/>
      <c r="N1047666" s="26"/>
    </row>
    <row r="1047667" customFormat="1" spans="2:14">
      <c r="B1047667" s="26"/>
      <c r="C1047667" s="26"/>
      <c r="D1047667" s="4"/>
      <c r="E1047667" s="26"/>
      <c r="F1047667" s="26"/>
      <c r="G1047667" s="26"/>
      <c r="H1047667" s="26"/>
      <c r="I1047667" s="27"/>
      <c r="J1047667" s="26"/>
      <c r="K1047667" s="26"/>
      <c r="L1047667" s="4"/>
      <c r="M1047667" s="4"/>
      <c r="N1047667" s="26"/>
    </row>
    <row r="1047668" customFormat="1" spans="2:14">
      <c r="B1047668" s="26"/>
      <c r="C1047668" s="26"/>
      <c r="D1047668" s="4"/>
      <c r="E1047668" s="26"/>
      <c r="F1047668" s="26"/>
      <c r="G1047668" s="26"/>
      <c r="H1047668" s="26"/>
      <c r="I1047668" s="27"/>
      <c r="J1047668" s="26"/>
      <c r="K1047668" s="26"/>
      <c r="L1047668" s="4"/>
      <c r="M1047668" s="4"/>
      <c r="N1047668" s="26"/>
    </row>
    <row r="1047669" customFormat="1" spans="2:14">
      <c r="B1047669" s="26"/>
      <c r="C1047669" s="26"/>
      <c r="D1047669" s="4"/>
      <c r="E1047669" s="26"/>
      <c r="F1047669" s="26"/>
      <c r="G1047669" s="26"/>
      <c r="H1047669" s="26"/>
      <c r="I1047669" s="27"/>
      <c r="J1047669" s="26"/>
      <c r="K1047669" s="26"/>
      <c r="L1047669" s="4"/>
      <c r="M1047669" s="4"/>
      <c r="N1047669" s="26"/>
    </row>
    <row r="1047670" customFormat="1" spans="2:14">
      <c r="B1047670" s="26"/>
      <c r="C1047670" s="26"/>
      <c r="D1047670" s="4"/>
      <c r="E1047670" s="26"/>
      <c r="F1047670" s="26"/>
      <c r="G1047670" s="26"/>
      <c r="H1047670" s="26"/>
      <c r="I1047670" s="27"/>
      <c r="J1047670" s="26"/>
      <c r="K1047670" s="26"/>
      <c r="L1047670" s="4"/>
      <c r="M1047670" s="4"/>
      <c r="N1047670" s="26"/>
    </row>
    <row r="1047671" customFormat="1" spans="2:14">
      <c r="B1047671" s="26"/>
      <c r="C1047671" s="26"/>
      <c r="D1047671" s="4"/>
      <c r="E1047671" s="26"/>
      <c r="F1047671" s="26"/>
      <c r="G1047671" s="26"/>
      <c r="H1047671" s="26"/>
      <c r="I1047671" s="27"/>
      <c r="J1047671" s="26"/>
      <c r="K1047671" s="26"/>
      <c r="L1047671" s="4"/>
      <c r="M1047671" s="4"/>
      <c r="N1047671" s="26"/>
    </row>
    <row r="1047672" customFormat="1" spans="2:14">
      <c r="B1047672" s="26"/>
      <c r="C1047672" s="26"/>
      <c r="D1047672" s="4"/>
      <c r="E1047672" s="26"/>
      <c r="F1047672" s="26"/>
      <c r="G1047672" s="26"/>
      <c r="H1047672" s="26"/>
      <c r="I1047672" s="27"/>
      <c r="J1047672" s="26"/>
      <c r="K1047672" s="26"/>
      <c r="L1047672" s="4"/>
      <c r="M1047672" s="4"/>
      <c r="N1047672" s="26"/>
    </row>
    <row r="1047673" customFormat="1" spans="2:14">
      <c r="B1047673" s="26"/>
      <c r="C1047673" s="26"/>
      <c r="D1047673" s="4"/>
      <c r="E1047673" s="26"/>
      <c r="F1047673" s="26"/>
      <c r="G1047673" s="26"/>
      <c r="H1047673" s="26"/>
      <c r="I1047673" s="27"/>
      <c r="J1047673" s="26"/>
      <c r="K1047673" s="26"/>
      <c r="L1047673" s="4"/>
      <c r="M1047673" s="4"/>
      <c r="N1047673" s="26"/>
    </row>
    <row r="1047674" customFormat="1" spans="2:14">
      <c r="B1047674" s="26"/>
      <c r="C1047674" s="26"/>
      <c r="D1047674" s="4"/>
      <c r="E1047674" s="26"/>
      <c r="F1047674" s="26"/>
      <c r="G1047674" s="26"/>
      <c r="H1047674" s="26"/>
      <c r="I1047674" s="27"/>
      <c r="J1047674" s="26"/>
      <c r="K1047674" s="26"/>
      <c r="L1047674" s="4"/>
      <c r="M1047674" s="4"/>
      <c r="N1047674" s="26"/>
    </row>
    <row r="1047675" customFormat="1" spans="2:14">
      <c r="B1047675" s="26"/>
      <c r="C1047675" s="26"/>
      <c r="D1047675" s="4"/>
      <c r="E1047675" s="26"/>
      <c r="F1047675" s="26"/>
      <c r="G1047675" s="26"/>
      <c r="H1047675" s="26"/>
      <c r="I1047675" s="27"/>
      <c r="J1047675" s="26"/>
      <c r="K1047675" s="26"/>
      <c r="L1047675" s="4"/>
      <c r="M1047675" s="4"/>
      <c r="N1047675" s="26"/>
    </row>
    <row r="1047676" customFormat="1" spans="2:14">
      <c r="B1047676" s="26"/>
      <c r="C1047676" s="26"/>
      <c r="D1047676" s="4"/>
      <c r="E1047676" s="26"/>
      <c r="F1047676" s="26"/>
      <c r="G1047676" s="26"/>
      <c r="H1047676" s="26"/>
      <c r="I1047676" s="27"/>
      <c r="J1047676" s="26"/>
      <c r="K1047676" s="26"/>
      <c r="L1047676" s="4"/>
      <c r="M1047676" s="4"/>
      <c r="N1047676" s="26"/>
    </row>
    <row r="1047677" customFormat="1" spans="2:14">
      <c r="B1047677" s="26"/>
      <c r="C1047677" s="26"/>
      <c r="D1047677" s="4"/>
      <c r="E1047677" s="26"/>
      <c r="F1047677" s="26"/>
      <c r="G1047677" s="26"/>
      <c r="H1047677" s="26"/>
      <c r="I1047677" s="27"/>
      <c r="J1047677" s="26"/>
      <c r="K1047677" s="26"/>
      <c r="L1047677" s="4"/>
      <c r="M1047677" s="4"/>
      <c r="N1047677" s="26"/>
    </row>
    <row r="1047678" customFormat="1" spans="2:14">
      <c r="B1047678" s="26"/>
      <c r="C1047678" s="26"/>
      <c r="D1047678" s="4"/>
      <c r="E1047678" s="26"/>
      <c r="F1047678" s="26"/>
      <c r="G1047678" s="26"/>
      <c r="H1047678" s="26"/>
      <c r="I1047678" s="27"/>
      <c r="J1047678" s="26"/>
      <c r="K1047678" s="26"/>
      <c r="L1047678" s="4"/>
      <c r="M1047678" s="4"/>
      <c r="N1047678" s="26"/>
    </row>
    <row r="1047679" customFormat="1" spans="2:14">
      <c r="B1047679" s="26"/>
      <c r="C1047679" s="26"/>
      <c r="D1047679" s="4"/>
      <c r="E1047679" s="26"/>
      <c r="F1047679" s="26"/>
      <c r="G1047679" s="26"/>
      <c r="H1047679" s="26"/>
      <c r="I1047679" s="27"/>
      <c r="J1047679" s="26"/>
      <c r="K1047679" s="26"/>
      <c r="L1047679" s="4"/>
      <c r="M1047679" s="4"/>
      <c r="N1047679" s="26"/>
    </row>
    <row r="1047680" customFormat="1" spans="2:14">
      <c r="B1047680" s="26"/>
      <c r="C1047680" s="26"/>
      <c r="D1047680" s="4"/>
      <c r="E1047680" s="26"/>
      <c r="F1047680" s="26"/>
      <c r="G1047680" s="26"/>
      <c r="H1047680" s="26"/>
      <c r="I1047680" s="27"/>
      <c r="J1047680" s="26"/>
      <c r="K1047680" s="26"/>
      <c r="L1047680" s="4"/>
      <c r="M1047680" s="4"/>
      <c r="N1047680" s="26"/>
    </row>
    <row r="1047681" customFormat="1" spans="2:14">
      <c r="B1047681" s="26"/>
      <c r="C1047681" s="26"/>
      <c r="D1047681" s="4"/>
      <c r="E1047681" s="26"/>
      <c r="F1047681" s="26"/>
      <c r="G1047681" s="26"/>
      <c r="H1047681" s="26"/>
      <c r="I1047681" s="27"/>
      <c r="J1047681" s="26"/>
      <c r="K1047681" s="26"/>
      <c r="L1047681" s="4"/>
      <c r="M1047681" s="4"/>
      <c r="N1047681" s="26"/>
    </row>
    <row r="1047682" customFormat="1" spans="2:14">
      <c r="B1047682" s="26"/>
      <c r="C1047682" s="26"/>
      <c r="D1047682" s="4"/>
      <c r="E1047682" s="26"/>
      <c r="F1047682" s="26"/>
      <c r="G1047682" s="26"/>
      <c r="H1047682" s="26"/>
      <c r="I1047682" s="27"/>
      <c r="J1047682" s="26"/>
      <c r="K1047682" s="26"/>
      <c r="L1047682" s="4"/>
      <c r="M1047682" s="4"/>
      <c r="N1047682" s="26"/>
    </row>
    <row r="1047683" customFormat="1" spans="2:14">
      <c r="B1047683" s="26"/>
      <c r="C1047683" s="26"/>
      <c r="D1047683" s="4"/>
      <c r="E1047683" s="26"/>
      <c r="F1047683" s="26"/>
      <c r="G1047683" s="26"/>
      <c r="H1047683" s="26"/>
      <c r="I1047683" s="27"/>
      <c r="J1047683" s="26"/>
      <c r="K1047683" s="26"/>
      <c r="L1047683" s="4"/>
      <c r="M1047683" s="4"/>
      <c r="N1047683" s="26"/>
    </row>
    <row r="1047684" customFormat="1" spans="2:14">
      <c r="B1047684" s="26"/>
      <c r="C1047684" s="26"/>
      <c r="D1047684" s="4"/>
      <c r="E1047684" s="26"/>
      <c r="F1047684" s="26"/>
      <c r="G1047684" s="26"/>
      <c r="H1047684" s="26"/>
      <c r="I1047684" s="27"/>
      <c r="J1047684" s="26"/>
      <c r="K1047684" s="26"/>
      <c r="L1047684" s="4"/>
      <c r="M1047684" s="4"/>
      <c r="N1047684" s="26"/>
    </row>
    <row r="1047685" customFormat="1" spans="2:14">
      <c r="B1047685" s="26"/>
      <c r="C1047685" s="26"/>
      <c r="D1047685" s="4"/>
      <c r="E1047685" s="26"/>
      <c r="F1047685" s="26"/>
      <c r="G1047685" s="26"/>
      <c r="H1047685" s="26"/>
      <c r="I1047685" s="27"/>
      <c r="J1047685" s="26"/>
      <c r="K1047685" s="26"/>
      <c r="L1047685" s="4"/>
      <c r="M1047685" s="4"/>
      <c r="N1047685" s="26"/>
    </row>
    <row r="1047686" customFormat="1" spans="2:14">
      <c r="B1047686" s="26"/>
      <c r="C1047686" s="26"/>
      <c r="D1047686" s="4"/>
      <c r="E1047686" s="26"/>
      <c r="F1047686" s="26"/>
      <c r="G1047686" s="26"/>
      <c r="H1047686" s="26"/>
      <c r="I1047686" s="27"/>
      <c r="J1047686" s="26"/>
      <c r="K1047686" s="26"/>
      <c r="L1047686" s="4"/>
      <c r="M1047686" s="4"/>
      <c r="N1047686" s="26"/>
    </row>
    <row r="1047687" customFormat="1" spans="2:14">
      <c r="B1047687" s="26"/>
      <c r="C1047687" s="26"/>
      <c r="D1047687" s="4"/>
      <c r="E1047687" s="26"/>
      <c r="F1047687" s="26"/>
      <c r="G1047687" s="26"/>
      <c r="H1047687" s="26"/>
      <c r="I1047687" s="27"/>
      <c r="J1047687" s="26"/>
      <c r="K1047687" s="26"/>
      <c r="L1047687" s="4"/>
      <c r="M1047687" s="4"/>
      <c r="N1047687" s="26"/>
    </row>
    <row r="1047688" customFormat="1" spans="2:14">
      <c r="B1047688" s="26"/>
      <c r="C1047688" s="26"/>
      <c r="D1047688" s="4"/>
      <c r="E1047688" s="26"/>
      <c r="F1047688" s="26"/>
      <c r="G1047688" s="26"/>
      <c r="H1047688" s="26"/>
      <c r="I1047688" s="27"/>
      <c r="J1047688" s="26"/>
      <c r="K1047688" s="26"/>
      <c r="L1047688" s="4"/>
      <c r="M1047688" s="4"/>
      <c r="N1047688" s="26"/>
    </row>
    <row r="1047689" customFormat="1" spans="2:14">
      <c r="B1047689" s="26"/>
      <c r="C1047689" s="26"/>
      <c r="D1047689" s="4"/>
      <c r="E1047689" s="26"/>
      <c r="F1047689" s="26"/>
      <c r="G1047689" s="26"/>
      <c r="H1047689" s="26"/>
      <c r="I1047689" s="27"/>
      <c r="J1047689" s="26"/>
      <c r="K1047689" s="26"/>
      <c r="L1047689" s="4"/>
      <c r="M1047689" s="4"/>
      <c r="N1047689" s="26"/>
    </row>
    <row r="1047690" customFormat="1" spans="2:14">
      <c r="B1047690" s="26"/>
      <c r="C1047690" s="26"/>
      <c r="D1047690" s="4"/>
      <c r="E1047690" s="26"/>
      <c r="F1047690" s="26"/>
      <c r="G1047690" s="26"/>
      <c r="H1047690" s="26"/>
      <c r="I1047690" s="27"/>
      <c r="J1047690" s="26"/>
      <c r="K1047690" s="26"/>
      <c r="L1047690" s="4"/>
      <c r="M1047690" s="4"/>
      <c r="N1047690" s="26"/>
    </row>
    <row r="1047691" customFormat="1" spans="2:14">
      <c r="B1047691" s="26"/>
      <c r="C1047691" s="26"/>
      <c r="D1047691" s="4"/>
      <c r="E1047691" s="26"/>
      <c r="F1047691" s="26"/>
      <c r="G1047691" s="26"/>
      <c r="H1047691" s="26"/>
      <c r="I1047691" s="27"/>
      <c r="J1047691" s="26"/>
      <c r="K1047691" s="26"/>
      <c r="L1047691" s="4"/>
      <c r="M1047691" s="4"/>
      <c r="N1047691" s="26"/>
    </row>
    <row r="1047692" customFormat="1" spans="2:14">
      <c r="B1047692" s="26"/>
      <c r="C1047692" s="26"/>
      <c r="D1047692" s="4"/>
      <c r="E1047692" s="26"/>
      <c r="F1047692" s="26"/>
      <c r="G1047692" s="26"/>
      <c r="H1047692" s="26"/>
      <c r="I1047692" s="27"/>
      <c r="J1047692" s="26"/>
      <c r="K1047692" s="26"/>
      <c r="L1047692" s="4"/>
      <c r="M1047692" s="4"/>
      <c r="N1047692" s="26"/>
    </row>
    <row r="1047693" customFormat="1" spans="2:14">
      <c r="B1047693" s="26"/>
      <c r="C1047693" s="26"/>
      <c r="D1047693" s="4"/>
      <c r="E1047693" s="26"/>
      <c r="F1047693" s="26"/>
      <c r="G1047693" s="26"/>
      <c r="H1047693" s="26"/>
      <c r="I1047693" s="27"/>
      <c r="J1047693" s="26"/>
      <c r="K1047693" s="26"/>
      <c r="L1047693" s="4"/>
      <c r="M1047693" s="4"/>
      <c r="N1047693" s="26"/>
    </row>
    <row r="1047694" customFormat="1" spans="2:14">
      <c r="B1047694" s="26"/>
      <c r="C1047694" s="26"/>
      <c r="D1047694" s="4"/>
      <c r="E1047694" s="26"/>
      <c r="F1047694" s="26"/>
      <c r="G1047694" s="26"/>
      <c r="H1047694" s="26"/>
      <c r="I1047694" s="27"/>
      <c r="J1047694" s="26"/>
      <c r="K1047694" s="26"/>
      <c r="L1047694" s="4"/>
      <c r="M1047694" s="4"/>
      <c r="N1047694" s="26"/>
    </row>
    <row r="1047695" customFormat="1" spans="2:14">
      <c r="B1047695" s="26"/>
      <c r="C1047695" s="26"/>
      <c r="D1047695" s="4"/>
      <c r="E1047695" s="26"/>
      <c r="F1047695" s="26"/>
      <c r="G1047695" s="26"/>
      <c r="H1047695" s="26"/>
      <c r="I1047695" s="27"/>
      <c r="J1047695" s="26"/>
      <c r="K1047695" s="26"/>
      <c r="L1047695" s="4"/>
      <c r="M1047695" s="4"/>
      <c r="N1047695" s="26"/>
    </row>
    <row r="1047696" customFormat="1" spans="2:14">
      <c r="B1047696" s="26"/>
      <c r="C1047696" s="26"/>
      <c r="D1047696" s="4"/>
      <c r="E1047696" s="26"/>
      <c r="F1047696" s="26"/>
      <c r="G1047696" s="26"/>
      <c r="H1047696" s="26"/>
      <c r="I1047696" s="27"/>
      <c r="J1047696" s="26"/>
      <c r="K1047696" s="26"/>
      <c r="L1047696" s="4"/>
      <c r="M1047696" s="4"/>
      <c r="N1047696" s="26"/>
    </row>
    <row r="1047697" customFormat="1" spans="2:14">
      <c r="B1047697" s="26"/>
      <c r="C1047697" s="26"/>
      <c r="D1047697" s="4"/>
      <c r="E1047697" s="26"/>
      <c r="F1047697" s="26"/>
      <c r="G1047697" s="26"/>
      <c r="H1047697" s="26"/>
      <c r="I1047697" s="27"/>
      <c r="J1047697" s="26"/>
      <c r="K1047697" s="26"/>
      <c r="L1047697" s="4"/>
      <c r="M1047697" s="4"/>
      <c r="N1047697" s="26"/>
    </row>
    <row r="1047698" customFormat="1" spans="2:14">
      <c r="B1047698" s="26"/>
      <c r="C1047698" s="26"/>
      <c r="D1047698" s="4"/>
      <c r="E1047698" s="26"/>
      <c r="F1047698" s="26"/>
      <c r="G1047698" s="26"/>
      <c r="H1047698" s="26"/>
      <c r="I1047698" s="27"/>
      <c r="J1047698" s="26"/>
      <c r="K1047698" s="26"/>
      <c r="L1047698" s="4"/>
      <c r="M1047698" s="4"/>
      <c r="N1047698" s="26"/>
    </row>
    <row r="1047699" customFormat="1" spans="2:14">
      <c r="B1047699" s="26"/>
      <c r="C1047699" s="26"/>
      <c r="D1047699" s="4"/>
      <c r="E1047699" s="26"/>
      <c r="F1047699" s="26"/>
      <c r="G1047699" s="26"/>
      <c r="H1047699" s="26"/>
      <c r="I1047699" s="27"/>
      <c r="J1047699" s="26"/>
      <c r="K1047699" s="26"/>
      <c r="L1047699" s="4"/>
      <c r="M1047699" s="4"/>
      <c r="N1047699" s="26"/>
    </row>
    <row r="1047700" customFormat="1" spans="2:14">
      <c r="B1047700" s="26"/>
      <c r="C1047700" s="26"/>
      <c r="D1047700" s="4"/>
      <c r="E1047700" s="26"/>
      <c r="F1047700" s="26"/>
      <c r="G1047700" s="26"/>
      <c r="H1047700" s="26"/>
      <c r="I1047700" s="27"/>
      <c r="J1047700" s="26"/>
      <c r="K1047700" s="26"/>
      <c r="L1047700" s="4"/>
      <c r="M1047700" s="4"/>
      <c r="N1047700" s="26"/>
    </row>
    <row r="1047701" customFormat="1" spans="2:14">
      <c r="B1047701" s="26"/>
      <c r="C1047701" s="26"/>
      <c r="D1047701" s="4"/>
      <c r="E1047701" s="26"/>
      <c r="F1047701" s="26"/>
      <c r="G1047701" s="26"/>
      <c r="H1047701" s="26"/>
      <c r="I1047701" s="27"/>
      <c r="J1047701" s="26"/>
      <c r="K1047701" s="26"/>
      <c r="L1047701" s="4"/>
      <c r="M1047701" s="4"/>
      <c r="N1047701" s="26"/>
    </row>
    <row r="1047702" customFormat="1" spans="2:14">
      <c r="B1047702" s="26"/>
      <c r="C1047702" s="26"/>
      <c r="D1047702" s="4"/>
      <c r="E1047702" s="26"/>
      <c r="F1047702" s="26"/>
      <c r="G1047702" s="26"/>
      <c r="H1047702" s="26"/>
      <c r="I1047702" s="27"/>
      <c r="J1047702" s="26"/>
      <c r="K1047702" s="26"/>
      <c r="L1047702" s="4"/>
      <c r="M1047702" s="4"/>
      <c r="N1047702" s="26"/>
    </row>
    <row r="1047703" customFormat="1" spans="2:14">
      <c r="B1047703" s="26"/>
      <c r="C1047703" s="26"/>
      <c r="D1047703" s="4"/>
      <c r="E1047703" s="26"/>
      <c r="F1047703" s="26"/>
      <c r="G1047703" s="26"/>
      <c r="H1047703" s="26"/>
      <c r="I1047703" s="27"/>
      <c r="J1047703" s="26"/>
      <c r="K1047703" s="26"/>
      <c r="L1047703" s="4"/>
      <c r="M1047703" s="4"/>
      <c r="N1047703" s="26"/>
    </row>
    <row r="1047704" customFormat="1" spans="2:14">
      <c r="B1047704" s="26"/>
      <c r="C1047704" s="26"/>
      <c r="D1047704" s="4"/>
      <c r="E1047704" s="26"/>
      <c r="F1047704" s="26"/>
      <c r="G1047704" s="26"/>
      <c r="H1047704" s="26"/>
      <c r="I1047704" s="27"/>
      <c r="J1047704" s="26"/>
      <c r="K1047704" s="26"/>
      <c r="L1047704" s="4"/>
      <c r="M1047704" s="4"/>
      <c r="N1047704" s="26"/>
    </row>
    <row r="1047705" customFormat="1" spans="2:14">
      <c r="B1047705" s="26"/>
      <c r="C1047705" s="26"/>
      <c r="D1047705" s="4"/>
      <c r="E1047705" s="26"/>
      <c r="F1047705" s="26"/>
      <c r="G1047705" s="26"/>
      <c r="H1047705" s="26"/>
      <c r="I1047705" s="27"/>
      <c r="J1047705" s="26"/>
      <c r="K1047705" s="26"/>
      <c r="L1047705" s="4"/>
      <c r="M1047705" s="4"/>
      <c r="N1047705" s="26"/>
    </row>
    <row r="1047706" customFormat="1" spans="2:14">
      <c r="B1047706" s="26"/>
      <c r="C1047706" s="26"/>
      <c r="D1047706" s="4"/>
      <c r="E1047706" s="26"/>
      <c r="F1047706" s="26"/>
      <c r="G1047706" s="26"/>
      <c r="H1047706" s="26"/>
      <c r="I1047706" s="27"/>
      <c r="J1047706" s="26"/>
      <c r="K1047706" s="26"/>
      <c r="L1047706" s="4"/>
      <c r="M1047706" s="4"/>
      <c r="N1047706" s="26"/>
    </row>
    <row r="1047707" customFormat="1" spans="2:14">
      <c r="B1047707" s="26"/>
      <c r="C1047707" s="26"/>
      <c r="D1047707" s="4"/>
      <c r="E1047707" s="26"/>
      <c r="F1047707" s="26"/>
      <c r="G1047707" s="26"/>
      <c r="H1047707" s="26"/>
      <c r="I1047707" s="27"/>
      <c r="J1047707" s="26"/>
      <c r="K1047707" s="26"/>
      <c r="L1047707" s="4"/>
      <c r="M1047707" s="4"/>
      <c r="N1047707" s="26"/>
    </row>
    <row r="1047708" customFormat="1" spans="2:14">
      <c r="B1047708" s="26"/>
      <c r="C1047708" s="26"/>
      <c r="D1047708" s="4"/>
      <c r="E1047708" s="26"/>
      <c r="F1047708" s="26"/>
      <c r="G1047708" s="26"/>
      <c r="H1047708" s="26"/>
      <c r="I1047708" s="27"/>
      <c r="J1047708" s="26"/>
      <c r="K1047708" s="26"/>
      <c r="L1047708" s="4"/>
      <c r="M1047708" s="4"/>
      <c r="N1047708" s="26"/>
    </row>
    <row r="1047709" customFormat="1" spans="2:14">
      <c r="B1047709" s="26"/>
      <c r="C1047709" s="26"/>
      <c r="D1047709" s="4"/>
      <c r="E1047709" s="26"/>
      <c r="F1047709" s="26"/>
      <c r="G1047709" s="26"/>
      <c r="H1047709" s="26"/>
      <c r="I1047709" s="27"/>
      <c r="J1047709" s="26"/>
      <c r="K1047709" s="26"/>
      <c r="L1047709" s="4"/>
      <c r="M1047709" s="4"/>
      <c r="N1047709" s="26"/>
    </row>
    <row r="1047710" customFormat="1" spans="2:14">
      <c r="B1047710" s="26"/>
      <c r="C1047710" s="26"/>
      <c r="D1047710" s="4"/>
      <c r="E1047710" s="26"/>
      <c r="F1047710" s="26"/>
      <c r="G1047710" s="26"/>
      <c r="H1047710" s="26"/>
      <c r="I1047710" s="27"/>
      <c r="J1047710" s="26"/>
      <c r="K1047710" s="26"/>
      <c r="L1047710" s="4"/>
      <c r="M1047710" s="4"/>
      <c r="N1047710" s="26"/>
    </row>
    <row r="1047711" customFormat="1" spans="2:14">
      <c r="B1047711" s="26"/>
      <c r="C1047711" s="26"/>
      <c r="D1047711" s="4"/>
      <c r="E1047711" s="26"/>
      <c r="F1047711" s="26"/>
      <c r="G1047711" s="26"/>
      <c r="H1047711" s="26"/>
      <c r="I1047711" s="27"/>
      <c r="J1047711" s="26"/>
      <c r="K1047711" s="26"/>
      <c r="L1047711" s="4"/>
      <c r="M1047711" s="4"/>
      <c r="N1047711" s="26"/>
    </row>
    <row r="1047712" customFormat="1" spans="2:14">
      <c r="B1047712" s="26"/>
      <c r="C1047712" s="26"/>
      <c r="D1047712" s="4"/>
      <c r="E1047712" s="26"/>
      <c r="F1047712" s="26"/>
      <c r="G1047712" s="26"/>
      <c r="H1047712" s="26"/>
      <c r="I1047712" s="27"/>
      <c r="J1047712" s="26"/>
      <c r="K1047712" s="26"/>
      <c r="L1047712" s="4"/>
      <c r="M1047712" s="4"/>
      <c r="N1047712" s="26"/>
    </row>
    <row r="1047713" customFormat="1" spans="2:14">
      <c r="B1047713" s="26"/>
      <c r="C1047713" s="26"/>
      <c r="D1047713" s="4"/>
      <c r="E1047713" s="26"/>
      <c r="F1047713" s="26"/>
      <c r="G1047713" s="26"/>
      <c r="H1047713" s="26"/>
      <c r="I1047713" s="27"/>
      <c r="J1047713" s="26"/>
      <c r="K1047713" s="26"/>
      <c r="L1047713" s="4"/>
      <c r="M1047713" s="4"/>
      <c r="N1047713" s="26"/>
    </row>
    <row r="1047714" customFormat="1" spans="2:14">
      <c r="B1047714" s="26"/>
      <c r="C1047714" s="26"/>
      <c r="D1047714" s="4"/>
      <c r="E1047714" s="26"/>
      <c r="F1047714" s="26"/>
      <c r="G1047714" s="26"/>
      <c r="H1047714" s="26"/>
      <c r="I1047714" s="27"/>
      <c r="J1047714" s="26"/>
      <c r="K1047714" s="26"/>
      <c r="L1047714" s="4"/>
      <c r="M1047714" s="4"/>
      <c r="N1047714" s="26"/>
    </row>
    <row r="1047715" customFormat="1" spans="2:14">
      <c r="B1047715" s="26"/>
      <c r="C1047715" s="26"/>
      <c r="D1047715" s="4"/>
      <c r="E1047715" s="26"/>
      <c r="F1047715" s="26"/>
      <c r="G1047715" s="26"/>
      <c r="H1047715" s="26"/>
      <c r="I1047715" s="27"/>
      <c r="J1047715" s="26"/>
      <c r="K1047715" s="26"/>
      <c r="L1047715" s="4"/>
      <c r="M1047715" s="4"/>
      <c r="N1047715" s="26"/>
    </row>
    <row r="1047716" customFormat="1" spans="2:14">
      <c r="B1047716" s="26"/>
      <c r="C1047716" s="26"/>
      <c r="D1047716" s="4"/>
      <c r="E1047716" s="26"/>
      <c r="F1047716" s="26"/>
      <c r="G1047716" s="26"/>
      <c r="H1047716" s="26"/>
      <c r="I1047716" s="27"/>
      <c r="J1047716" s="26"/>
      <c r="K1047716" s="26"/>
      <c r="L1047716" s="4"/>
      <c r="M1047716" s="4"/>
      <c r="N1047716" s="26"/>
    </row>
    <row r="1047717" customFormat="1" spans="2:14">
      <c r="B1047717" s="26"/>
      <c r="C1047717" s="26"/>
      <c r="D1047717" s="4"/>
      <c r="E1047717" s="26"/>
      <c r="F1047717" s="26"/>
      <c r="G1047717" s="26"/>
      <c r="H1047717" s="26"/>
      <c r="I1047717" s="27"/>
      <c r="J1047717" s="26"/>
      <c r="K1047717" s="26"/>
      <c r="L1047717" s="4"/>
      <c r="M1047717" s="4"/>
      <c r="N1047717" s="26"/>
    </row>
    <row r="1047718" customFormat="1" spans="2:14">
      <c r="B1047718" s="26"/>
      <c r="C1047718" s="26"/>
      <c r="D1047718" s="4"/>
      <c r="E1047718" s="26"/>
      <c r="F1047718" s="26"/>
      <c r="G1047718" s="26"/>
      <c r="H1047718" s="26"/>
      <c r="I1047718" s="27"/>
      <c r="J1047718" s="26"/>
      <c r="K1047718" s="26"/>
      <c r="L1047718" s="4"/>
      <c r="M1047718" s="4"/>
      <c r="N1047718" s="26"/>
    </row>
    <row r="1047719" customFormat="1" spans="2:14">
      <c r="B1047719" s="26"/>
      <c r="C1047719" s="26"/>
      <c r="D1047719" s="4"/>
      <c r="E1047719" s="26"/>
      <c r="F1047719" s="26"/>
      <c r="G1047719" s="26"/>
      <c r="H1047719" s="26"/>
      <c r="I1047719" s="27"/>
      <c r="J1047719" s="26"/>
      <c r="K1047719" s="26"/>
      <c r="L1047719" s="4"/>
      <c r="M1047719" s="4"/>
      <c r="N1047719" s="26"/>
    </row>
    <row r="1047720" customFormat="1" spans="2:14">
      <c r="B1047720" s="26"/>
      <c r="C1047720" s="26"/>
      <c r="D1047720" s="4"/>
      <c r="E1047720" s="26"/>
      <c r="F1047720" s="26"/>
      <c r="G1047720" s="26"/>
      <c r="H1047720" s="26"/>
      <c r="I1047720" s="27"/>
      <c r="J1047720" s="26"/>
      <c r="K1047720" s="26"/>
      <c r="L1047720" s="4"/>
      <c r="M1047720" s="4"/>
      <c r="N1047720" s="26"/>
    </row>
    <row r="1047721" customFormat="1" spans="2:14">
      <c r="B1047721" s="26"/>
      <c r="C1047721" s="26"/>
      <c r="D1047721" s="4"/>
      <c r="E1047721" s="26"/>
      <c r="F1047721" s="26"/>
      <c r="G1047721" s="26"/>
      <c r="H1047721" s="26"/>
      <c r="I1047721" s="27"/>
      <c r="J1047721" s="26"/>
      <c r="K1047721" s="26"/>
      <c r="L1047721" s="4"/>
      <c r="M1047721" s="4"/>
      <c r="N1047721" s="26"/>
    </row>
    <row r="1047722" customFormat="1" spans="2:14">
      <c r="B1047722" s="26"/>
      <c r="C1047722" s="26"/>
      <c r="D1047722" s="4"/>
      <c r="E1047722" s="26"/>
      <c r="F1047722" s="26"/>
      <c r="G1047722" s="26"/>
      <c r="H1047722" s="26"/>
      <c r="I1047722" s="27"/>
      <c r="J1047722" s="26"/>
      <c r="K1047722" s="26"/>
      <c r="L1047722" s="4"/>
      <c r="M1047722" s="4"/>
      <c r="N1047722" s="26"/>
    </row>
    <row r="1047723" customFormat="1" spans="2:14">
      <c r="B1047723" s="26"/>
      <c r="C1047723" s="26"/>
      <c r="D1047723" s="4"/>
      <c r="E1047723" s="26"/>
      <c r="F1047723" s="26"/>
      <c r="G1047723" s="26"/>
      <c r="H1047723" s="26"/>
      <c r="I1047723" s="27"/>
      <c r="J1047723" s="26"/>
      <c r="K1047723" s="26"/>
      <c r="L1047723" s="4"/>
      <c r="M1047723" s="4"/>
      <c r="N1047723" s="26"/>
    </row>
    <row r="1047724" customFormat="1" spans="2:14">
      <c r="B1047724" s="26"/>
      <c r="C1047724" s="26"/>
      <c r="D1047724" s="4"/>
      <c r="E1047724" s="26"/>
      <c r="F1047724" s="26"/>
      <c r="G1047724" s="26"/>
      <c r="H1047724" s="26"/>
      <c r="I1047724" s="27"/>
      <c r="J1047724" s="26"/>
      <c r="K1047724" s="26"/>
      <c r="L1047724" s="4"/>
      <c r="M1047724" s="4"/>
      <c r="N1047724" s="26"/>
    </row>
    <row r="1047725" customFormat="1" spans="2:14">
      <c r="B1047725" s="26"/>
      <c r="C1047725" s="26"/>
      <c r="D1047725" s="4"/>
      <c r="E1047725" s="26"/>
      <c r="F1047725" s="26"/>
      <c r="G1047725" s="26"/>
      <c r="H1047725" s="26"/>
      <c r="I1047725" s="27"/>
      <c r="J1047725" s="26"/>
      <c r="K1047725" s="26"/>
      <c r="L1047725" s="4"/>
      <c r="M1047725" s="4"/>
      <c r="N1047725" s="26"/>
    </row>
    <row r="1047726" customFormat="1" spans="2:14">
      <c r="B1047726" s="26"/>
      <c r="C1047726" s="26"/>
      <c r="D1047726" s="4"/>
      <c r="E1047726" s="26"/>
      <c r="F1047726" s="26"/>
      <c r="G1047726" s="26"/>
      <c r="H1047726" s="26"/>
      <c r="I1047726" s="27"/>
      <c r="J1047726" s="26"/>
      <c r="K1047726" s="26"/>
      <c r="L1047726" s="4"/>
      <c r="M1047726" s="4"/>
      <c r="N1047726" s="26"/>
    </row>
    <row r="1047727" customFormat="1" spans="2:14">
      <c r="B1047727" s="26"/>
      <c r="C1047727" s="26"/>
      <c r="D1047727" s="4"/>
      <c r="E1047727" s="26"/>
      <c r="F1047727" s="26"/>
      <c r="G1047727" s="26"/>
      <c r="H1047727" s="26"/>
      <c r="I1047727" s="27"/>
      <c r="J1047727" s="26"/>
      <c r="K1047727" s="26"/>
      <c r="L1047727" s="4"/>
      <c r="M1047727" s="4"/>
      <c r="N1047727" s="26"/>
    </row>
    <row r="1047728" customFormat="1" spans="2:14">
      <c r="B1047728" s="26"/>
      <c r="C1047728" s="26"/>
      <c r="D1047728" s="4"/>
      <c r="E1047728" s="26"/>
      <c r="F1047728" s="26"/>
      <c r="G1047728" s="26"/>
      <c r="H1047728" s="26"/>
      <c r="I1047728" s="27"/>
      <c r="J1047728" s="26"/>
      <c r="K1047728" s="26"/>
      <c r="L1047728" s="4"/>
      <c r="M1047728" s="4"/>
      <c r="N1047728" s="26"/>
    </row>
    <row r="1047729" customFormat="1" spans="2:14">
      <c r="B1047729" s="26"/>
      <c r="C1047729" s="26"/>
      <c r="D1047729" s="4"/>
      <c r="E1047729" s="26"/>
      <c r="F1047729" s="26"/>
      <c r="G1047729" s="26"/>
      <c r="H1047729" s="26"/>
      <c r="I1047729" s="27"/>
      <c r="J1047729" s="26"/>
      <c r="K1047729" s="26"/>
      <c r="L1047729" s="4"/>
      <c r="M1047729" s="4"/>
      <c r="N1047729" s="26"/>
    </row>
    <row r="1047730" customFormat="1" spans="2:14">
      <c r="B1047730" s="26"/>
      <c r="C1047730" s="26"/>
      <c r="D1047730" s="4"/>
      <c r="E1047730" s="26"/>
      <c r="F1047730" s="26"/>
      <c r="G1047730" s="26"/>
      <c r="H1047730" s="26"/>
      <c r="I1047730" s="27"/>
      <c r="J1047730" s="26"/>
      <c r="K1047730" s="26"/>
      <c r="L1047730" s="4"/>
      <c r="M1047730" s="4"/>
      <c r="N1047730" s="26"/>
    </row>
    <row r="1047731" customFormat="1" spans="2:14">
      <c r="B1047731" s="26"/>
      <c r="C1047731" s="26"/>
      <c r="D1047731" s="4"/>
      <c r="E1047731" s="26"/>
      <c r="F1047731" s="26"/>
      <c r="G1047731" s="26"/>
      <c r="H1047731" s="26"/>
      <c r="I1047731" s="27"/>
      <c r="J1047731" s="26"/>
      <c r="K1047731" s="26"/>
      <c r="L1047731" s="4"/>
      <c r="M1047731" s="4"/>
      <c r="N1047731" s="26"/>
    </row>
    <row r="1047732" customFormat="1" spans="2:14">
      <c r="B1047732" s="26"/>
      <c r="C1047732" s="26"/>
      <c r="D1047732" s="4"/>
      <c r="E1047732" s="26"/>
      <c r="F1047732" s="26"/>
      <c r="G1047732" s="26"/>
      <c r="H1047732" s="26"/>
      <c r="I1047732" s="27"/>
      <c r="J1047732" s="26"/>
      <c r="K1047732" s="26"/>
      <c r="L1047732" s="4"/>
      <c r="M1047732" s="4"/>
      <c r="N1047732" s="26"/>
    </row>
    <row r="1047733" customFormat="1" spans="2:14">
      <c r="B1047733" s="26"/>
      <c r="C1047733" s="26"/>
      <c r="D1047733" s="4"/>
      <c r="E1047733" s="26"/>
      <c r="F1047733" s="26"/>
      <c r="G1047733" s="26"/>
      <c r="H1047733" s="26"/>
      <c r="I1047733" s="27"/>
      <c r="J1047733" s="26"/>
      <c r="K1047733" s="26"/>
      <c r="L1047733" s="4"/>
      <c r="M1047733" s="4"/>
      <c r="N1047733" s="26"/>
    </row>
    <row r="1047734" customFormat="1" spans="2:14">
      <c r="B1047734" s="26"/>
      <c r="C1047734" s="26"/>
      <c r="D1047734" s="4"/>
      <c r="E1047734" s="26"/>
      <c r="F1047734" s="26"/>
      <c r="G1047734" s="26"/>
      <c r="H1047734" s="26"/>
      <c r="I1047734" s="27"/>
      <c r="J1047734" s="26"/>
      <c r="K1047734" s="26"/>
      <c r="L1047734" s="4"/>
      <c r="M1047734" s="4"/>
      <c r="N1047734" s="26"/>
    </row>
    <row r="1047735" customFormat="1" spans="2:14">
      <c r="B1047735" s="26"/>
      <c r="C1047735" s="26"/>
      <c r="D1047735" s="4"/>
      <c r="E1047735" s="26"/>
      <c r="F1047735" s="26"/>
      <c r="G1047735" s="26"/>
      <c r="H1047735" s="26"/>
      <c r="I1047735" s="27"/>
      <c r="J1047735" s="26"/>
      <c r="K1047735" s="26"/>
      <c r="L1047735" s="4"/>
      <c r="M1047735" s="4"/>
      <c r="N1047735" s="26"/>
    </row>
    <row r="1047736" customFormat="1" spans="2:14">
      <c r="B1047736" s="26"/>
      <c r="C1047736" s="26"/>
      <c r="D1047736" s="4"/>
      <c r="E1047736" s="26"/>
      <c r="F1047736" s="26"/>
      <c r="G1047736" s="26"/>
      <c r="H1047736" s="26"/>
      <c r="I1047736" s="27"/>
      <c r="J1047736" s="26"/>
      <c r="K1047736" s="26"/>
      <c r="L1047736" s="4"/>
      <c r="M1047736" s="4"/>
      <c r="N1047736" s="26"/>
    </row>
    <row r="1047737" customFormat="1" spans="2:14">
      <c r="B1047737" s="26"/>
      <c r="C1047737" s="26"/>
      <c r="D1047737" s="4"/>
      <c r="E1047737" s="26"/>
      <c r="F1047737" s="26"/>
      <c r="G1047737" s="26"/>
      <c r="H1047737" s="26"/>
      <c r="I1047737" s="27"/>
      <c r="J1047737" s="26"/>
      <c r="K1047737" s="26"/>
      <c r="L1047737" s="4"/>
      <c r="M1047737" s="4"/>
      <c r="N1047737" s="26"/>
    </row>
    <row r="1047738" customFormat="1" spans="2:14">
      <c r="B1047738" s="26"/>
      <c r="C1047738" s="26"/>
      <c r="D1047738" s="4"/>
      <c r="E1047738" s="26"/>
      <c r="F1047738" s="26"/>
      <c r="G1047738" s="26"/>
      <c r="H1047738" s="26"/>
      <c r="I1047738" s="27"/>
      <c r="J1047738" s="26"/>
      <c r="K1047738" s="26"/>
      <c r="L1047738" s="4"/>
      <c r="M1047738" s="4"/>
      <c r="N1047738" s="26"/>
    </row>
    <row r="1047739" customFormat="1" spans="2:14">
      <c r="B1047739" s="26"/>
      <c r="C1047739" s="26"/>
      <c r="D1047739" s="4"/>
      <c r="E1047739" s="26"/>
      <c r="F1047739" s="26"/>
      <c r="G1047739" s="26"/>
      <c r="H1047739" s="26"/>
      <c r="I1047739" s="27"/>
      <c r="J1047739" s="26"/>
      <c r="K1047739" s="26"/>
      <c r="L1047739" s="4"/>
      <c r="M1047739" s="4"/>
      <c r="N1047739" s="26"/>
    </row>
    <row r="1047740" customFormat="1" spans="2:14">
      <c r="B1047740" s="26"/>
      <c r="C1047740" s="26"/>
      <c r="D1047740" s="4"/>
      <c r="E1047740" s="26"/>
      <c r="F1047740" s="26"/>
      <c r="G1047740" s="26"/>
      <c r="H1047740" s="26"/>
      <c r="I1047740" s="27"/>
      <c r="J1047740" s="26"/>
      <c r="K1047740" s="26"/>
      <c r="L1047740" s="4"/>
      <c r="M1047740" s="4"/>
      <c r="N1047740" s="26"/>
    </row>
    <row r="1047741" customFormat="1" spans="2:14">
      <c r="B1047741" s="26"/>
      <c r="C1047741" s="26"/>
      <c r="D1047741" s="4"/>
      <c r="E1047741" s="26"/>
      <c r="F1047741" s="26"/>
      <c r="G1047741" s="26"/>
      <c r="H1047741" s="26"/>
      <c r="I1047741" s="27"/>
      <c r="J1047741" s="26"/>
      <c r="K1047741" s="26"/>
      <c r="L1047741" s="4"/>
      <c r="M1047741" s="4"/>
      <c r="N1047741" s="26"/>
    </row>
    <row r="1047742" customFormat="1" spans="2:14">
      <c r="B1047742" s="26"/>
      <c r="C1047742" s="26"/>
      <c r="D1047742" s="4"/>
      <c r="E1047742" s="26"/>
      <c r="F1047742" s="26"/>
      <c r="G1047742" s="26"/>
      <c r="H1047742" s="26"/>
      <c r="I1047742" s="27"/>
      <c r="J1047742" s="26"/>
      <c r="K1047742" s="26"/>
      <c r="L1047742" s="4"/>
      <c r="M1047742" s="4"/>
      <c r="N1047742" s="26"/>
    </row>
    <row r="1047743" customFormat="1" spans="2:14">
      <c r="B1047743" s="26"/>
      <c r="C1047743" s="26"/>
      <c r="D1047743" s="4"/>
      <c r="E1047743" s="26"/>
      <c r="F1047743" s="26"/>
      <c r="G1047743" s="26"/>
      <c r="H1047743" s="26"/>
      <c r="I1047743" s="27"/>
      <c r="J1047743" s="26"/>
      <c r="K1047743" s="26"/>
      <c r="L1047743" s="4"/>
      <c r="M1047743" s="4"/>
      <c r="N1047743" s="26"/>
    </row>
    <row r="1047744" customFormat="1" spans="2:14">
      <c r="B1047744" s="26"/>
      <c r="C1047744" s="26"/>
      <c r="D1047744" s="4"/>
      <c r="E1047744" s="26"/>
      <c r="F1047744" s="26"/>
      <c r="G1047744" s="26"/>
      <c r="H1047744" s="26"/>
      <c r="I1047744" s="27"/>
      <c r="J1047744" s="26"/>
      <c r="K1047744" s="26"/>
      <c r="L1047744" s="4"/>
      <c r="M1047744" s="4"/>
      <c r="N1047744" s="26"/>
    </row>
    <row r="1047745" customFormat="1" spans="2:14">
      <c r="B1047745" s="26"/>
      <c r="C1047745" s="26"/>
      <c r="D1047745" s="4"/>
      <c r="E1047745" s="26"/>
      <c r="F1047745" s="26"/>
      <c r="G1047745" s="26"/>
      <c r="H1047745" s="26"/>
      <c r="I1047745" s="27"/>
      <c r="J1047745" s="26"/>
      <c r="K1047745" s="26"/>
      <c r="L1047745" s="4"/>
      <c r="M1047745" s="4"/>
      <c r="N1047745" s="26"/>
    </row>
    <row r="1047746" customFormat="1" spans="2:14">
      <c r="B1047746" s="26"/>
      <c r="C1047746" s="26"/>
      <c r="D1047746" s="4"/>
      <c r="E1047746" s="26"/>
      <c r="F1047746" s="26"/>
      <c r="G1047746" s="26"/>
      <c r="H1047746" s="26"/>
      <c r="I1047746" s="27"/>
      <c r="J1047746" s="26"/>
      <c r="K1047746" s="26"/>
      <c r="L1047746" s="4"/>
      <c r="M1047746" s="4"/>
      <c r="N1047746" s="26"/>
    </row>
    <row r="1047747" customFormat="1" spans="2:14">
      <c r="B1047747" s="26"/>
      <c r="C1047747" s="26"/>
      <c r="D1047747" s="4"/>
      <c r="E1047747" s="26"/>
      <c r="F1047747" s="26"/>
      <c r="G1047747" s="26"/>
      <c r="H1047747" s="26"/>
      <c r="I1047747" s="27"/>
      <c r="J1047747" s="26"/>
      <c r="K1047747" s="26"/>
      <c r="L1047747" s="4"/>
      <c r="M1047747" s="4"/>
      <c r="N1047747" s="26"/>
    </row>
    <row r="1047748" customFormat="1" spans="2:14">
      <c r="B1047748" s="26"/>
      <c r="C1047748" s="26"/>
      <c r="D1047748" s="4"/>
      <c r="E1047748" s="26"/>
      <c r="F1047748" s="26"/>
      <c r="G1047748" s="26"/>
      <c r="H1047748" s="26"/>
      <c r="I1047748" s="27"/>
      <c r="J1047748" s="26"/>
      <c r="K1047748" s="26"/>
      <c r="L1047748" s="4"/>
      <c r="M1047748" s="4"/>
      <c r="N1047748" s="26"/>
    </row>
    <row r="1047749" customFormat="1" spans="2:14">
      <c r="B1047749" s="26"/>
      <c r="C1047749" s="26"/>
      <c r="D1047749" s="4"/>
      <c r="E1047749" s="26"/>
      <c r="F1047749" s="26"/>
      <c r="G1047749" s="26"/>
      <c r="H1047749" s="26"/>
      <c r="I1047749" s="27"/>
      <c r="J1047749" s="26"/>
      <c r="K1047749" s="26"/>
      <c r="L1047749" s="4"/>
      <c r="M1047749" s="4"/>
      <c r="N1047749" s="26"/>
    </row>
    <row r="1047750" customFormat="1" spans="2:14">
      <c r="B1047750" s="26"/>
      <c r="C1047750" s="26"/>
      <c r="D1047750" s="4"/>
      <c r="E1047750" s="26"/>
      <c r="F1047750" s="26"/>
      <c r="G1047750" s="26"/>
      <c r="H1047750" s="26"/>
      <c r="I1047750" s="27"/>
      <c r="J1047750" s="26"/>
      <c r="K1047750" s="26"/>
      <c r="L1047750" s="4"/>
      <c r="M1047750" s="4"/>
      <c r="N1047750" s="26"/>
    </row>
    <row r="1047751" customFormat="1" spans="2:14">
      <c r="B1047751" s="26"/>
      <c r="C1047751" s="26"/>
      <c r="D1047751" s="4"/>
      <c r="E1047751" s="26"/>
      <c r="F1047751" s="26"/>
      <c r="G1047751" s="26"/>
      <c r="H1047751" s="26"/>
      <c r="I1047751" s="27"/>
      <c r="J1047751" s="26"/>
      <c r="K1047751" s="26"/>
      <c r="L1047751" s="4"/>
      <c r="M1047751" s="4"/>
      <c r="N1047751" s="26"/>
    </row>
    <row r="1047752" customFormat="1" spans="2:14">
      <c r="B1047752" s="26"/>
      <c r="C1047752" s="26"/>
      <c r="D1047752" s="4"/>
      <c r="E1047752" s="26"/>
      <c r="F1047752" s="26"/>
      <c r="G1047752" s="26"/>
      <c r="H1047752" s="26"/>
      <c r="I1047752" s="27"/>
      <c r="J1047752" s="26"/>
      <c r="K1047752" s="26"/>
      <c r="L1047752" s="4"/>
      <c r="M1047752" s="4"/>
      <c r="N1047752" s="26"/>
    </row>
    <row r="1047753" customFormat="1" spans="2:14">
      <c r="B1047753" s="26"/>
      <c r="C1047753" s="26"/>
      <c r="D1047753" s="4"/>
      <c r="E1047753" s="26"/>
      <c r="F1047753" s="26"/>
      <c r="G1047753" s="26"/>
      <c r="H1047753" s="26"/>
      <c r="I1047753" s="27"/>
      <c r="J1047753" s="26"/>
      <c r="K1047753" s="26"/>
      <c r="L1047753" s="4"/>
      <c r="M1047753" s="4"/>
      <c r="N1047753" s="26"/>
    </row>
    <row r="1047754" customFormat="1" spans="2:14">
      <c r="B1047754" s="26"/>
      <c r="C1047754" s="26"/>
      <c r="D1047754" s="4"/>
      <c r="E1047754" s="26"/>
      <c r="F1047754" s="26"/>
      <c r="G1047754" s="26"/>
      <c r="H1047754" s="26"/>
      <c r="I1047754" s="27"/>
      <c r="J1047754" s="26"/>
      <c r="K1047754" s="26"/>
      <c r="L1047754" s="4"/>
      <c r="M1047754" s="4"/>
      <c r="N1047754" s="26"/>
    </row>
    <row r="1047755" customFormat="1" spans="2:14">
      <c r="B1047755" s="26"/>
      <c r="C1047755" s="26"/>
      <c r="D1047755" s="4"/>
      <c r="E1047755" s="26"/>
      <c r="F1047755" s="26"/>
      <c r="G1047755" s="26"/>
      <c r="H1047755" s="26"/>
      <c r="I1047755" s="27"/>
      <c r="J1047755" s="26"/>
      <c r="K1047755" s="26"/>
      <c r="L1047755" s="4"/>
      <c r="M1047755" s="4"/>
      <c r="N1047755" s="26"/>
    </row>
    <row r="1047756" customFormat="1" spans="2:14">
      <c r="B1047756" s="26"/>
      <c r="C1047756" s="26"/>
      <c r="D1047756" s="4"/>
      <c r="E1047756" s="26"/>
      <c r="F1047756" s="26"/>
      <c r="G1047756" s="26"/>
      <c r="H1047756" s="26"/>
      <c r="I1047756" s="27"/>
      <c r="J1047756" s="26"/>
      <c r="K1047756" s="26"/>
      <c r="L1047756" s="4"/>
      <c r="M1047756" s="4"/>
      <c r="N1047756" s="26"/>
    </row>
    <row r="1047757" customFormat="1" spans="2:14">
      <c r="B1047757" s="26"/>
      <c r="C1047757" s="26"/>
      <c r="D1047757" s="4"/>
      <c r="E1047757" s="26"/>
      <c r="F1047757" s="26"/>
      <c r="G1047757" s="26"/>
      <c r="H1047757" s="26"/>
      <c r="I1047757" s="27"/>
      <c r="J1047757" s="26"/>
      <c r="K1047757" s="26"/>
      <c r="L1047757" s="4"/>
      <c r="M1047757" s="4"/>
      <c r="N1047757" s="26"/>
    </row>
    <row r="1047758" customFormat="1" spans="2:14">
      <c r="B1047758" s="26"/>
      <c r="C1047758" s="26"/>
      <c r="D1047758" s="4"/>
      <c r="E1047758" s="26"/>
      <c r="F1047758" s="26"/>
      <c r="G1047758" s="26"/>
      <c r="H1047758" s="26"/>
      <c r="I1047758" s="27"/>
      <c r="J1047758" s="26"/>
      <c r="K1047758" s="26"/>
      <c r="L1047758" s="4"/>
      <c r="M1047758" s="4"/>
      <c r="N1047758" s="26"/>
    </row>
    <row r="1047759" customFormat="1" spans="2:14">
      <c r="B1047759" s="26"/>
      <c r="C1047759" s="26"/>
      <c r="D1047759" s="4"/>
      <c r="E1047759" s="26"/>
      <c r="F1047759" s="26"/>
      <c r="G1047759" s="26"/>
      <c r="H1047759" s="26"/>
      <c r="I1047759" s="27"/>
      <c r="J1047759" s="26"/>
      <c r="K1047759" s="26"/>
      <c r="L1047759" s="4"/>
      <c r="M1047759" s="4"/>
      <c r="N1047759" s="26"/>
    </row>
    <row r="1047760" customFormat="1" spans="2:14">
      <c r="B1047760" s="26"/>
      <c r="C1047760" s="26"/>
      <c r="D1047760" s="4"/>
      <c r="E1047760" s="26"/>
      <c r="F1047760" s="26"/>
      <c r="G1047760" s="26"/>
      <c r="H1047760" s="26"/>
      <c r="I1047760" s="27"/>
      <c r="J1047760" s="26"/>
      <c r="K1047760" s="26"/>
      <c r="L1047760" s="4"/>
      <c r="M1047760" s="4"/>
      <c r="N1047760" s="26"/>
    </row>
    <row r="1047761" customFormat="1" spans="2:14">
      <c r="B1047761" s="26"/>
      <c r="C1047761" s="26"/>
      <c r="D1047761" s="4"/>
      <c r="E1047761" s="26"/>
      <c r="F1047761" s="26"/>
      <c r="G1047761" s="26"/>
      <c r="H1047761" s="26"/>
      <c r="I1047761" s="27"/>
      <c r="J1047761" s="26"/>
      <c r="K1047761" s="26"/>
      <c r="L1047761" s="4"/>
      <c r="M1047761" s="4"/>
      <c r="N1047761" s="26"/>
    </row>
    <row r="1047762" customFormat="1" spans="2:14">
      <c r="B1047762" s="26"/>
      <c r="C1047762" s="26"/>
      <c r="D1047762" s="4"/>
      <c r="E1047762" s="26"/>
      <c r="F1047762" s="26"/>
      <c r="G1047762" s="26"/>
      <c r="H1047762" s="26"/>
      <c r="I1047762" s="27"/>
      <c r="J1047762" s="26"/>
      <c r="K1047762" s="26"/>
      <c r="L1047762" s="4"/>
      <c r="M1047762" s="4"/>
      <c r="N1047762" s="26"/>
    </row>
    <row r="1047763" customFormat="1" spans="2:14">
      <c r="B1047763" s="26"/>
      <c r="C1047763" s="26"/>
      <c r="D1047763" s="4"/>
      <c r="E1047763" s="26"/>
      <c r="F1047763" s="26"/>
      <c r="G1047763" s="26"/>
      <c r="H1047763" s="26"/>
      <c r="I1047763" s="27"/>
      <c r="J1047763" s="26"/>
      <c r="K1047763" s="26"/>
      <c r="L1047763" s="4"/>
      <c r="M1047763" s="4"/>
      <c r="N1047763" s="26"/>
    </row>
    <row r="1047764" customFormat="1" spans="2:14">
      <c r="B1047764" s="26"/>
      <c r="C1047764" s="26"/>
      <c r="D1047764" s="4"/>
      <c r="E1047764" s="26"/>
      <c r="F1047764" s="26"/>
      <c r="G1047764" s="26"/>
      <c r="H1047764" s="26"/>
      <c r="I1047764" s="27"/>
      <c r="J1047764" s="26"/>
      <c r="K1047764" s="26"/>
      <c r="L1047764" s="4"/>
      <c r="M1047764" s="4"/>
      <c r="N1047764" s="26"/>
    </row>
    <row r="1047765" customFormat="1" spans="2:14">
      <c r="B1047765" s="26"/>
      <c r="C1047765" s="26"/>
      <c r="D1047765" s="4"/>
      <c r="E1047765" s="26"/>
      <c r="F1047765" s="26"/>
      <c r="G1047765" s="26"/>
      <c r="H1047765" s="26"/>
      <c r="I1047765" s="27"/>
      <c r="J1047765" s="26"/>
      <c r="K1047765" s="26"/>
      <c r="L1047765" s="4"/>
      <c r="M1047765" s="4"/>
      <c r="N1047765" s="26"/>
    </row>
    <row r="1047766" customFormat="1" spans="2:14">
      <c r="B1047766" s="26"/>
      <c r="C1047766" s="26"/>
      <c r="D1047766" s="4"/>
      <c r="E1047766" s="26"/>
      <c r="F1047766" s="26"/>
      <c r="G1047766" s="26"/>
      <c r="H1047766" s="26"/>
      <c r="I1047766" s="27"/>
      <c r="J1047766" s="26"/>
      <c r="K1047766" s="26"/>
      <c r="L1047766" s="4"/>
      <c r="M1047766" s="4"/>
      <c r="N1047766" s="26"/>
    </row>
    <row r="1047767" customFormat="1" spans="2:14">
      <c r="B1047767" s="26"/>
      <c r="C1047767" s="26"/>
      <c r="D1047767" s="4"/>
      <c r="E1047767" s="26"/>
      <c r="F1047767" s="26"/>
      <c r="G1047767" s="26"/>
      <c r="H1047767" s="26"/>
      <c r="I1047767" s="27"/>
      <c r="J1047767" s="26"/>
      <c r="K1047767" s="26"/>
      <c r="L1047767" s="4"/>
      <c r="M1047767" s="4"/>
      <c r="N1047767" s="26"/>
    </row>
    <row r="1047768" customFormat="1" spans="2:14">
      <c r="B1047768" s="26"/>
      <c r="C1047768" s="26"/>
      <c r="D1047768" s="4"/>
      <c r="E1047768" s="26"/>
      <c r="F1047768" s="26"/>
      <c r="G1047768" s="26"/>
      <c r="H1047768" s="26"/>
      <c r="I1047768" s="27"/>
      <c r="J1047768" s="26"/>
      <c r="K1047768" s="26"/>
      <c r="L1047768" s="4"/>
      <c r="M1047768" s="4"/>
      <c r="N1047768" s="26"/>
    </row>
    <row r="1047769" customFormat="1" spans="2:14">
      <c r="B1047769" s="26"/>
      <c r="C1047769" s="26"/>
      <c r="D1047769" s="4"/>
      <c r="E1047769" s="26"/>
      <c r="F1047769" s="26"/>
      <c r="G1047769" s="26"/>
      <c r="H1047769" s="26"/>
      <c r="I1047769" s="27"/>
      <c r="J1047769" s="26"/>
      <c r="K1047769" s="26"/>
      <c r="L1047769" s="4"/>
      <c r="M1047769" s="4"/>
      <c r="N1047769" s="26"/>
    </row>
    <row r="1047770" customFormat="1" spans="2:14">
      <c r="B1047770" s="26"/>
      <c r="C1047770" s="26"/>
      <c r="D1047770" s="4"/>
      <c r="E1047770" s="26"/>
      <c r="F1047770" s="26"/>
      <c r="G1047770" s="26"/>
      <c r="H1047770" s="26"/>
      <c r="I1047770" s="27"/>
      <c r="J1047770" s="26"/>
      <c r="K1047770" s="26"/>
      <c r="L1047770" s="4"/>
      <c r="M1047770" s="4"/>
      <c r="N1047770" s="26"/>
    </row>
    <row r="1047771" customFormat="1" spans="2:14">
      <c r="B1047771" s="26"/>
      <c r="C1047771" s="26"/>
      <c r="D1047771" s="4"/>
      <c r="E1047771" s="26"/>
      <c r="F1047771" s="26"/>
      <c r="G1047771" s="26"/>
      <c r="H1047771" s="26"/>
      <c r="I1047771" s="27"/>
      <c r="J1047771" s="26"/>
      <c r="K1047771" s="26"/>
      <c r="L1047771" s="4"/>
      <c r="M1047771" s="4"/>
      <c r="N1047771" s="26"/>
    </row>
    <row r="1047772" customFormat="1" spans="2:14">
      <c r="B1047772" s="26"/>
      <c r="C1047772" s="26"/>
      <c r="D1047772" s="4"/>
      <c r="E1047772" s="26"/>
      <c r="F1047772" s="26"/>
      <c r="G1047772" s="26"/>
      <c r="H1047772" s="26"/>
      <c r="I1047772" s="27"/>
      <c r="J1047772" s="26"/>
      <c r="K1047772" s="26"/>
      <c r="L1047772" s="4"/>
      <c r="M1047772" s="4"/>
      <c r="N1047772" s="26"/>
    </row>
    <row r="1047773" customFormat="1" spans="2:14">
      <c r="B1047773" s="26"/>
      <c r="C1047773" s="26"/>
      <c r="D1047773" s="4"/>
      <c r="E1047773" s="26"/>
      <c r="F1047773" s="26"/>
      <c r="G1047773" s="26"/>
      <c r="H1047773" s="26"/>
      <c r="I1047773" s="27"/>
      <c r="J1047773" s="26"/>
      <c r="K1047773" s="26"/>
      <c r="L1047773" s="4"/>
      <c r="M1047773" s="4"/>
      <c r="N1047773" s="26"/>
    </row>
    <row r="1047774" customFormat="1" spans="2:14">
      <c r="B1047774" s="26"/>
      <c r="C1047774" s="26"/>
      <c r="D1047774" s="4"/>
      <c r="E1047774" s="26"/>
      <c r="F1047774" s="26"/>
      <c r="G1047774" s="26"/>
      <c r="H1047774" s="26"/>
      <c r="I1047774" s="27"/>
      <c r="J1047774" s="26"/>
      <c r="K1047774" s="26"/>
      <c r="L1047774" s="4"/>
      <c r="M1047774" s="4"/>
      <c r="N1047774" s="26"/>
    </row>
    <row r="1047775" customFormat="1" spans="2:14">
      <c r="B1047775" s="26"/>
      <c r="C1047775" s="26"/>
      <c r="D1047775" s="4"/>
      <c r="E1047775" s="26"/>
      <c r="F1047775" s="26"/>
      <c r="G1047775" s="26"/>
      <c r="H1047775" s="26"/>
      <c r="I1047775" s="27"/>
      <c r="J1047775" s="26"/>
      <c r="K1047775" s="26"/>
      <c r="L1047775" s="4"/>
      <c r="M1047775" s="4"/>
      <c r="N1047775" s="26"/>
    </row>
    <row r="1047776" customFormat="1" spans="2:14">
      <c r="B1047776" s="26"/>
      <c r="C1047776" s="26"/>
      <c r="D1047776" s="4"/>
      <c r="E1047776" s="26"/>
      <c r="F1047776" s="26"/>
      <c r="G1047776" s="26"/>
      <c r="H1047776" s="26"/>
      <c r="I1047776" s="27"/>
      <c r="J1047776" s="26"/>
      <c r="K1047776" s="26"/>
      <c r="L1047776" s="4"/>
      <c r="M1047776" s="4"/>
      <c r="N1047776" s="26"/>
    </row>
    <row r="1047777" customFormat="1" spans="2:14">
      <c r="B1047777" s="26"/>
      <c r="C1047777" s="26"/>
      <c r="D1047777" s="4"/>
      <c r="E1047777" s="26"/>
      <c r="F1047777" s="26"/>
      <c r="G1047777" s="26"/>
      <c r="H1047777" s="26"/>
      <c r="I1047777" s="27"/>
      <c r="J1047777" s="26"/>
      <c r="K1047777" s="26"/>
      <c r="L1047777" s="4"/>
      <c r="M1047777" s="4"/>
      <c r="N1047777" s="26"/>
    </row>
    <row r="1047778" customFormat="1" spans="2:14">
      <c r="B1047778" s="26"/>
      <c r="C1047778" s="26"/>
      <c r="D1047778" s="4"/>
      <c r="E1047778" s="26"/>
      <c r="F1047778" s="26"/>
      <c r="G1047778" s="26"/>
      <c r="H1047778" s="26"/>
      <c r="I1047778" s="27"/>
      <c r="J1047778" s="26"/>
      <c r="K1047778" s="26"/>
      <c r="L1047778" s="4"/>
      <c r="M1047778" s="4"/>
      <c r="N1047778" s="26"/>
    </row>
    <row r="1047779" customFormat="1" spans="2:14">
      <c r="B1047779" s="26"/>
      <c r="C1047779" s="26"/>
      <c r="D1047779" s="4"/>
      <c r="E1047779" s="26"/>
      <c r="F1047779" s="26"/>
      <c r="G1047779" s="26"/>
      <c r="H1047779" s="26"/>
      <c r="I1047779" s="27"/>
      <c r="J1047779" s="26"/>
      <c r="K1047779" s="26"/>
      <c r="L1047779" s="4"/>
      <c r="M1047779" s="4"/>
      <c r="N1047779" s="26"/>
    </row>
    <row r="1047780" customFormat="1" spans="2:14">
      <c r="B1047780" s="26"/>
      <c r="C1047780" s="26"/>
      <c r="D1047780" s="4"/>
      <c r="E1047780" s="26"/>
      <c r="F1047780" s="26"/>
      <c r="G1047780" s="26"/>
      <c r="H1047780" s="26"/>
      <c r="I1047780" s="27"/>
      <c r="J1047780" s="26"/>
      <c r="K1047780" s="26"/>
      <c r="L1047780" s="4"/>
      <c r="M1047780" s="4"/>
      <c r="N1047780" s="26"/>
    </row>
    <row r="1047781" customFormat="1" spans="2:14">
      <c r="B1047781" s="26"/>
      <c r="C1047781" s="26"/>
      <c r="D1047781" s="4"/>
      <c r="E1047781" s="26"/>
      <c r="F1047781" s="26"/>
      <c r="G1047781" s="26"/>
      <c r="H1047781" s="26"/>
      <c r="I1047781" s="27"/>
      <c r="J1047781" s="26"/>
      <c r="K1047781" s="26"/>
      <c r="L1047781" s="4"/>
      <c r="M1047781" s="4"/>
      <c r="N1047781" s="26"/>
    </row>
    <row r="1047782" customFormat="1" spans="2:14">
      <c r="B1047782" s="26"/>
      <c r="C1047782" s="26"/>
      <c r="D1047782" s="4"/>
      <c r="E1047782" s="26"/>
      <c r="F1047782" s="26"/>
      <c r="G1047782" s="26"/>
      <c r="H1047782" s="26"/>
      <c r="I1047782" s="27"/>
      <c r="J1047782" s="26"/>
      <c r="K1047782" s="26"/>
      <c r="L1047782" s="4"/>
      <c r="M1047782" s="4"/>
      <c r="N1047782" s="26"/>
    </row>
    <row r="1047783" customFormat="1" spans="2:14">
      <c r="B1047783" s="26"/>
      <c r="C1047783" s="26"/>
      <c r="D1047783" s="4"/>
      <c r="E1047783" s="26"/>
      <c r="F1047783" s="26"/>
      <c r="G1047783" s="26"/>
      <c r="H1047783" s="26"/>
      <c r="I1047783" s="27"/>
      <c r="J1047783" s="26"/>
      <c r="K1047783" s="26"/>
      <c r="L1047783" s="4"/>
      <c r="M1047783" s="4"/>
      <c r="N1047783" s="26"/>
    </row>
    <row r="1047784" customFormat="1" spans="2:14">
      <c r="B1047784" s="26"/>
      <c r="C1047784" s="26"/>
      <c r="D1047784" s="4"/>
      <c r="E1047784" s="26"/>
      <c r="F1047784" s="26"/>
      <c r="G1047784" s="26"/>
      <c r="H1047784" s="26"/>
      <c r="I1047784" s="27"/>
      <c r="J1047784" s="26"/>
      <c r="K1047784" s="26"/>
      <c r="L1047784" s="4"/>
      <c r="M1047784" s="4"/>
      <c r="N1047784" s="26"/>
    </row>
    <row r="1047785" customFormat="1" spans="2:14">
      <c r="B1047785" s="26"/>
      <c r="C1047785" s="26"/>
      <c r="D1047785" s="4"/>
      <c r="E1047785" s="26"/>
      <c r="F1047785" s="26"/>
      <c r="G1047785" s="26"/>
      <c r="H1047785" s="26"/>
      <c r="I1047785" s="27"/>
      <c r="J1047785" s="26"/>
      <c r="K1047785" s="26"/>
      <c r="L1047785" s="4"/>
      <c r="M1047785" s="4"/>
      <c r="N1047785" s="26"/>
    </row>
    <row r="1047786" customFormat="1" spans="2:14">
      <c r="B1047786" s="26"/>
      <c r="C1047786" s="26"/>
      <c r="D1047786" s="4"/>
      <c r="E1047786" s="26"/>
      <c r="F1047786" s="26"/>
      <c r="G1047786" s="26"/>
      <c r="H1047786" s="26"/>
      <c r="I1047786" s="27"/>
      <c r="J1047786" s="26"/>
      <c r="K1047786" s="26"/>
      <c r="L1047786" s="4"/>
      <c r="M1047786" s="4"/>
      <c r="N1047786" s="26"/>
    </row>
    <row r="1047787" customFormat="1" spans="2:14">
      <c r="B1047787" s="26"/>
      <c r="C1047787" s="26"/>
      <c r="D1047787" s="4"/>
      <c r="E1047787" s="26"/>
      <c r="F1047787" s="26"/>
      <c r="G1047787" s="26"/>
      <c r="H1047787" s="26"/>
      <c r="I1047787" s="27"/>
      <c r="J1047787" s="26"/>
      <c r="K1047787" s="26"/>
      <c r="L1047787" s="4"/>
      <c r="M1047787" s="4"/>
      <c r="N1047787" s="26"/>
    </row>
    <row r="1047788" customFormat="1" spans="2:14">
      <c r="B1047788" s="26"/>
      <c r="C1047788" s="26"/>
      <c r="D1047788" s="4"/>
      <c r="E1047788" s="26"/>
      <c r="F1047788" s="26"/>
      <c r="G1047788" s="26"/>
      <c r="H1047788" s="26"/>
      <c r="I1047788" s="27"/>
      <c r="J1047788" s="26"/>
      <c r="K1047788" s="26"/>
      <c r="L1047788" s="4"/>
      <c r="M1047788" s="4"/>
      <c r="N1047788" s="26"/>
    </row>
    <row r="1047789" customFormat="1" spans="2:14">
      <c r="B1047789" s="26"/>
      <c r="C1047789" s="26"/>
      <c r="D1047789" s="4"/>
      <c r="E1047789" s="26"/>
      <c r="F1047789" s="26"/>
      <c r="G1047789" s="26"/>
      <c r="H1047789" s="26"/>
      <c r="I1047789" s="27"/>
      <c r="J1047789" s="26"/>
      <c r="K1047789" s="26"/>
      <c r="L1047789" s="4"/>
      <c r="M1047789" s="4"/>
      <c r="N1047789" s="26"/>
    </row>
    <row r="1047790" customFormat="1" spans="2:14">
      <c r="B1047790" s="26"/>
      <c r="C1047790" s="26"/>
      <c r="D1047790" s="4"/>
      <c r="E1047790" s="26"/>
      <c r="F1047790" s="26"/>
      <c r="G1047790" s="26"/>
      <c r="H1047790" s="26"/>
      <c r="I1047790" s="27"/>
      <c r="J1047790" s="26"/>
      <c r="K1047790" s="26"/>
      <c r="L1047790" s="4"/>
      <c r="M1047790" s="4"/>
      <c r="N1047790" s="26"/>
    </row>
    <row r="1047791" customFormat="1" spans="2:14">
      <c r="B1047791" s="26"/>
      <c r="C1047791" s="26"/>
      <c r="D1047791" s="4"/>
      <c r="E1047791" s="26"/>
      <c r="F1047791" s="26"/>
      <c r="G1047791" s="26"/>
      <c r="H1047791" s="26"/>
      <c r="I1047791" s="27"/>
      <c r="J1047791" s="26"/>
      <c r="K1047791" s="26"/>
      <c r="L1047791" s="4"/>
      <c r="M1047791" s="4"/>
      <c r="N1047791" s="26"/>
    </row>
    <row r="1047792" customFormat="1" spans="2:14">
      <c r="B1047792" s="26"/>
      <c r="C1047792" s="26"/>
      <c r="D1047792" s="4"/>
      <c r="E1047792" s="26"/>
      <c r="F1047792" s="26"/>
      <c r="G1047792" s="26"/>
      <c r="H1047792" s="26"/>
      <c r="I1047792" s="27"/>
      <c r="J1047792" s="26"/>
      <c r="K1047792" s="26"/>
      <c r="L1047792" s="4"/>
      <c r="M1047792" s="4"/>
      <c r="N1047792" s="26"/>
    </row>
    <row r="1047793" customFormat="1" spans="2:14">
      <c r="B1047793" s="26"/>
      <c r="C1047793" s="26"/>
      <c r="D1047793" s="4"/>
      <c r="E1047793" s="26"/>
      <c r="F1047793" s="26"/>
      <c r="G1047793" s="26"/>
      <c r="H1047793" s="26"/>
      <c r="I1047793" s="27"/>
      <c r="J1047793" s="26"/>
      <c r="K1047793" s="26"/>
      <c r="L1047793" s="4"/>
      <c r="M1047793" s="4"/>
      <c r="N1047793" s="26"/>
    </row>
    <row r="1047794" customFormat="1" spans="2:14">
      <c r="B1047794" s="26"/>
      <c r="C1047794" s="26"/>
      <c r="D1047794" s="4"/>
      <c r="E1047794" s="26"/>
      <c r="F1047794" s="26"/>
      <c r="G1047794" s="26"/>
      <c r="H1047794" s="26"/>
      <c r="I1047794" s="27"/>
      <c r="J1047794" s="26"/>
      <c r="K1047794" s="26"/>
      <c r="L1047794" s="4"/>
      <c r="M1047794" s="4"/>
      <c r="N1047794" s="26"/>
    </row>
    <row r="1047795" customFormat="1" spans="2:14">
      <c r="B1047795" s="26"/>
      <c r="C1047795" s="26"/>
      <c r="D1047795" s="4"/>
      <c r="E1047795" s="26"/>
      <c r="F1047795" s="26"/>
      <c r="G1047795" s="26"/>
      <c r="H1047795" s="26"/>
      <c r="I1047795" s="27"/>
      <c r="J1047795" s="26"/>
      <c r="K1047795" s="26"/>
      <c r="L1047795" s="4"/>
      <c r="M1047795" s="4"/>
      <c r="N1047795" s="26"/>
    </row>
    <row r="1047796" customFormat="1" spans="2:14">
      <c r="B1047796" s="26"/>
      <c r="C1047796" s="26"/>
      <c r="D1047796" s="4"/>
      <c r="E1047796" s="26"/>
      <c r="F1047796" s="26"/>
      <c r="G1047796" s="26"/>
      <c r="H1047796" s="26"/>
      <c r="I1047796" s="27"/>
      <c r="J1047796" s="26"/>
      <c r="K1047796" s="26"/>
      <c r="L1047796" s="4"/>
      <c r="M1047796" s="4"/>
      <c r="N1047796" s="26"/>
    </row>
    <row r="1047797" customFormat="1" spans="2:14">
      <c r="B1047797" s="26"/>
      <c r="C1047797" s="26"/>
      <c r="D1047797" s="4"/>
      <c r="E1047797" s="26"/>
      <c r="F1047797" s="26"/>
      <c r="G1047797" s="26"/>
      <c r="H1047797" s="26"/>
      <c r="I1047797" s="27"/>
      <c r="J1047797" s="26"/>
      <c r="K1047797" s="26"/>
      <c r="L1047797" s="4"/>
      <c r="M1047797" s="4"/>
      <c r="N1047797" s="26"/>
    </row>
    <row r="1047798" customFormat="1" spans="2:14">
      <c r="B1047798" s="26"/>
      <c r="C1047798" s="26"/>
      <c r="D1047798" s="4"/>
      <c r="E1047798" s="26"/>
      <c r="F1047798" s="26"/>
      <c r="G1047798" s="26"/>
      <c r="H1047798" s="26"/>
      <c r="I1047798" s="27"/>
      <c r="J1047798" s="26"/>
      <c r="K1047798" s="26"/>
      <c r="L1047798" s="4"/>
      <c r="M1047798" s="4"/>
      <c r="N1047798" s="26"/>
    </row>
    <row r="1047799" customFormat="1" spans="2:14">
      <c r="B1047799" s="26"/>
      <c r="C1047799" s="26"/>
      <c r="D1047799" s="4"/>
      <c r="E1047799" s="26"/>
      <c r="F1047799" s="26"/>
      <c r="G1047799" s="26"/>
      <c r="H1047799" s="26"/>
      <c r="I1047799" s="27"/>
      <c r="J1047799" s="26"/>
      <c r="K1047799" s="26"/>
      <c r="L1047799" s="4"/>
      <c r="M1047799" s="4"/>
      <c r="N1047799" s="26"/>
    </row>
    <row r="1047800" customFormat="1" spans="2:14">
      <c r="B1047800" s="26"/>
      <c r="C1047800" s="26"/>
      <c r="D1047800" s="4"/>
      <c r="E1047800" s="26"/>
      <c r="F1047800" s="26"/>
      <c r="G1047800" s="26"/>
      <c r="H1047800" s="26"/>
      <c r="I1047800" s="27"/>
      <c r="J1047800" s="26"/>
      <c r="K1047800" s="26"/>
      <c r="L1047800" s="4"/>
      <c r="M1047800" s="4"/>
      <c r="N1047800" s="26"/>
    </row>
    <row r="1047801" customFormat="1" spans="2:14">
      <c r="B1047801" s="26"/>
      <c r="C1047801" s="26"/>
      <c r="D1047801" s="4"/>
      <c r="E1047801" s="26"/>
      <c r="F1047801" s="26"/>
      <c r="G1047801" s="26"/>
      <c r="H1047801" s="26"/>
      <c r="I1047801" s="27"/>
      <c r="J1047801" s="26"/>
      <c r="K1047801" s="26"/>
      <c r="L1047801" s="4"/>
      <c r="M1047801" s="4"/>
      <c r="N1047801" s="26"/>
    </row>
    <row r="1047802" customFormat="1" spans="2:14">
      <c r="B1047802" s="26"/>
      <c r="C1047802" s="26"/>
      <c r="D1047802" s="4"/>
      <c r="E1047802" s="26"/>
      <c r="F1047802" s="26"/>
      <c r="G1047802" s="26"/>
      <c r="H1047802" s="26"/>
      <c r="I1047802" s="27"/>
      <c r="J1047802" s="26"/>
      <c r="K1047802" s="26"/>
      <c r="L1047802" s="4"/>
      <c r="M1047802" s="4"/>
      <c r="N1047802" s="26"/>
    </row>
    <row r="1047803" customFormat="1" spans="2:14">
      <c r="B1047803" s="26"/>
      <c r="C1047803" s="26"/>
      <c r="D1047803" s="4"/>
      <c r="E1047803" s="26"/>
      <c r="F1047803" s="26"/>
      <c r="G1047803" s="26"/>
      <c r="H1047803" s="26"/>
      <c r="I1047803" s="27"/>
      <c r="J1047803" s="26"/>
      <c r="K1047803" s="26"/>
      <c r="L1047803" s="4"/>
      <c r="M1047803" s="4"/>
      <c r="N1047803" s="26"/>
    </row>
    <row r="1047804" customFormat="1" spans="2:14">
      <c r="B1047804" s="26"/>
      <c r="C1047804" s="26"/>
      <c r="D1047804" s="4"/>
      <c r="E1047804" s="26"/>
      <c r="F1047804" s="26"/>
      <c r="G1047804" s="26"/>
      <c r="H1047804" s="26"/>
      <c r="I1047804" s="27"/>
      <c r="J1047804" s="26"/>
      <c r="K1047804" s="26"/>
      <c r="L1047804" s="4"/>
      <c r="M1047804" s="4"/>
      <c r="N1047804" s="26"/>
    </row>
    <row r="1047805" customFormat="1" spans="2:14">
      <c r="B1047805" s="26"/>
      <c r="C1047805" s="26"/>
      <c r="D1047805" s="4"/>
      <c r="E1047805" s="26"/>
      <c r="F1047805" s="26"/>
      <c r="G1047805" s="26"/>
      <c r="H1047805" s="26"/>
      <c r="I1047805" s="27"/>
      <c r="J1047805" s="26"/>
      <c r="K1047805" s="26"/>
      <c r="L1047805" s="4"/>
      <c r="M1047805" s="4"/>
      <c r="N1047805" s="26"/>
    </row>
    <row r="1047806" customFormat="1" spans="2:14">
      <c r="B1047806" s="26"/>
      <c r="C1047806" s="26"/>
      <c r="D1047806" s="4"/>
      <c r="E1047806" s="26"/>
      <c r="F1047806" s="26"/>
      <c r="G1047806" s="26"/>
      <c r="H1047806" s="26"/>
      <c r="I1047806" s="27"/>
      <c r="J1047806" s="26"/>
      <c r="K1047806" s="26"/>
      <c r="L1047806" s="4"/>
      <c r="M1047806" s="4"/>
      <c r="N1047806" s="26"/>
    </row>
    <row r="1047807" customFormat="1" spans="2:14">
      <c r="B1047807" s="26"/>
      <c r="C1047807" s="26"/>
      <c r="D1047807" s="4"/>
      <c r="E1047807" s="26"/>
      <c r="F1047807" s="26"/>
      <c r="G1047807" s="26"/>
      <c r="H1047807" s="26"/>
      <c r="I1047807" s="27"/>
      <c r="J1047807" s="26"/>
      <c r="K1047807" s="26"/>
      <c r="L1047807" s="4"/>
      <c r="M1047807" s="4"/>
      <c r="N1047807" s="26"/>
    </row>
    <row r="1047808" customFormat="1" spans="2:14">
      <c r="B1047808" s="26"/>
      <c r="C1047808" s="26"/>
      <c r="D1047808" s="4"/>
      <c r="E1047808" s="26"/>
      <c r="F1047808" s="26"/>
      <c r="G1047808" s="26"/>
      <c r="H1047808" s="26"/>
      <c r="I1047808" s="27"/>
      <c r="J1047808" s="26"/>
      <c r="K1047808" s="26"/>
      <c r="L1047808" s="4"/>
      <c r="M1047808" s="4"/>
      <c r="N1047808" s="26"/>
    </row>
    <row r="1047809" customFormat="1" spans="2:14">
      <c r="B1047809" s="26"/>
      <c r="C1047809" s="26"/>
      <c r="D1047809" s="4"/>
      <c r="E1047809" s="26"/>
      <c r="F1047809" s="26"/>
      <c r="G1047809" s="26"/>
      <c r="H1047809" s="26"/>
      <c r="I1047809" s="27"/>
      <c r="J1047809" s="26"/>
      <c r="K1047809" s="26"/>
      <c r="L1047809" s="4"/>
      <c r="M1047809" s="4"/>
      <c r="N1047809" s="26"/>
    </row>
    <row r="1047810" customFormat="1" spans="2:14">
      <c r="B1047810" s="26"/>
      <c r="C1047810" s="26"/>
      <c r="D1047810" s="4"/>
      <c r="E1047810" s="26"/>
      <c r="F1047810" s="26"/>
      <c r="G1047810" s="26"/>
      <c r="H1047810" s="26"/>
      <c r="I1047810" s="27"/>
      <c r="J1047810" s="26"/>
      <c r="K1047810" s="26"/>
      <c r="L1047810" s="4"/>
      <c r="M1047810" s="4"/>
      <c r="N1047810" s="26"/>
    </row>
    <row r="1047811" customFormat="1" spans="2:14">
      <c r="B1047811" s="26"/>
      <c r="C1047811" s="26"/>
      <c r="D1047811" s="4"/>
      <c r="E1047811" s="26"/>
      <c r="F1047811" s="26"/>
      <c r="G1047811" s="26"/>
      <c r="H1047811" s="26"/>
      <c r="I1047811" s="27"/>
      <c r="J1047811" s="26"/>
      <c r="K1047811" s="26"/>
      <c r="L1047811" s="4"/>
      <c r="M1047811" s="4"/>
      <c r="N1047811" s="26"/>
    </row>
    <row r="1047812" customFormat="1" spans="2:14">
      <c r="B1047812" s="26"/>
      <c r="C1047812" s="26"/>
      <c r="D1047812" s="4"/>
      <c r="E1047812" s="26"/>
      <c r="F1047812" s="26"/>
      <c r="G1047812" s="26"/>
      <c r="H1047812" s="26"/>
      <c r="I1047812" s="27"/>
      <c r="J1047812" s="26"/>
      <c r="K1047812" s="26"/>
      <c r="L1047812" s="4"/>
      <c r="M1047812" s="4"/>
      <c r="N1047812" s="26"/>
    </row>
    <row r="1047813" customFormat="1" spans="2:14">
      <c r="B1047813" s="26"/>
      <c r="C1047813" s="26"/>
      <c r="D1047813" s="4"/>
      <c r="E1047813" s="26"/>
      <c r="F1047813" s="26"/>
      <c r="G1047813" s="26"/>
      <c r="H1047813" s="26"/>
      <c r="I1047813" s="27"/>
      <c r="J1047813" s="26"/>
      <c r="K1047813" s="26"/>
      <c r="L1047813" s="4"/>
      <c r="M1047813" s="4"/>
      <c r="N1047813" s="26"/>
    </row>
    <row r="1047814" customFormat="1" spans="2:14">
      <c r="B1047814" s="26"/>
      <c r="C1047814" s="26"/>
      <c r="D1047814" s="4"/>
      <c r="E1047814" s="26"/>
      <c r="F1047814" s="26"/>
      <c r="G1047814" s="26"/>
      <c r="H1047814" s="26"/>
      <c r="I1047814" s="27"/>
      <c r="J1047814" s="26"/>
      <c r="K1047814" s="26"/>
      <c r="L1047814" s="4"/>
      <c r="M1047814" s="4"/>
      <c r="N1047814" s="26"/>
    </row>
    <row r="1047815" customFormat="1" spans="2:14">
      <c r="B1047815" s="26"/>
      <c r="C1047815" s="26"/>
      <c r="D1047815" s="4"/>
      <c r="E1047815" s="26"/>
      <c r="F1047815" s="26"/>
      <c r="G1047815" s="26"/>
      <c r="H1047815" s="26"/>
      <c r="I1047815" s="27"/>
      <c r="J1047815" s="26"/>
      <c r="K1047815" s="26"/>
      <c r="L1047815" s="4"/>
      <c r="M1047815" s="4"/>
      <c r="N1047815" s="26"/>
    </row>
    <row r="1047816" customFormat="1" spans="2:14">
      <c r="B1047816" s="26"/>
      <c r="C1047816" s="26"/>
      <c r="D1047816" s="4"/>
      <c r="E1047816" s="26"/>
      <c r="F1047816" s="26"/>
      <c r="G1047816" s="26"/>
      <c r="H1047816" s="26"/>
      <c r="I1047816" s="27"/>
      <c r="J1047816" s="26"/>
      <c r="K1047816" s="26"/>
      <c r="L1047816" s="4"/>
      <c r="M1047816" s="4"/>
      <c r="N1047816" s="26"/>
    </row>
    <row r="1047817" customFormat="1" spans="2:14">
      <c r="B1047817" s="26"/>
      <c r="C1047817" s="26"/>
      <c r="D1047817" s="4"/>
      <c r="E1047817" s="26"/>
      <c r="F1047817" s="26"/>
      <c r="G1047817" s="26"/>
      <c r="H1047817" s="26"/>
      <c r="I1047817" s="27"/>
      <c r="J1047817" s="26"/>
      <c r="K1047817" s="26"/>
      <c r="L1047817" s="4"/>
      <c r="M1047817" s="4"/>
      <c r="N1047817" s="26"/>
    </row>
    <row r="1047818" customFormat="1" spans="2:14">
      <c r="B1047818" s="26"/>
      <c r="C1047818" s="26"/>
      <c r="D1047818" s="4"/>
      <c r="E1047818" s="26"/>
      <c r="F1047818" s="26"/>
      <c r="G1047818" s="26"/>
      <c r="H1047818" s="26"/>
      <c r="I1047818" s="27"/>
      <c r="J1047818" s="26"/>
      <c r="K1047818" s="26"/>
      <c r="L1047818" s="4"/>
      <c r="M1047818" s="4"/>
      <c r="N1047818" s="26"/>
    </row>
    <row r="1047819" customFormat="1" spans="2:14">
      <c r="B1047819" s="26"/>
      <c r="C1047819" s="26"/>
      <c r="D1047819" s="4"/>
      <c r="E1047819" s="26"/>
      <c r="F1047819" s="26"/>
      <c r="G1047819" s="26"/>
      <c r="H1047819" s="26"/>
      <c r="I1047819" s="27"/>
      <c r="J1047819" s="26"/>
      <c r="K1047819" s="26"/>
      <c r="L1047819" s="4"/>
      <c r="M1047819" s="4"/>
      <c r="N1047819" s="26"/>
    </row>
    <row r="1047820" customFormat="1" spans="2:14">
      <c r="B1047820" s="26"/>
      <c r="C1047820" s="26"/>
      <c r="D1047820" s="4"/>
      <c r="E1047820" s="26"/>
      <c r="F1047820" s="26"/>
      <c r="G1047820" s="26"/>
      <c r="H1047820" s="26"/>
      <c r="I1047820" s="27"/>
      <c r="J1047820" s="26"/>
      <c r="K1047820" s="26"/>
      <c r="L1047820" s="4"/>
      <c r="M1047820" s="4"/>
      <c r="N1047820" s="26"/>
    </row>
    <row r="1047821" customFormat="1" spans="2:14">
      <c r="B1047821" s="26"/>
      <c r="C1047821" s="26"/>
      <c r="D1047821" s="4"/>
      <c r="E1047821" s="26"/>
      <c r="F1047821" s="26"/>
      <c r="G1047821" s="26"/>
      <c r="H1047821" s="26"/>
      <c r="I1047821" s="27"/>
      <c r="J1047821" s="26"/>
      <c r="K1047821" s="26"/>
      <c r="L1047821" s="4"/>
      <c r="M1047821" s="4"/>
      <c r="N1047821" s="26"/>
    </row>
    <row r="1047822" customFormat="1" spans="2:14">
      <c r="B1047822" s="26"/>
      <c r="C1047822" s="26"/>
      <c r="D1047822" s="4"/>
      <c r="E1047822" s="26"/>
      <c r="F1047822" s="26"/>
      <c r="G1047822" s="26"/>
      <c r="H1047822" s="26"/>
      <c r="I1047822" s="27"/>
      <c r="J1047822" s="26"/>
      <c r="K1047822" s="26"/>
      <c r="L1047822" s="4"/>
      <c r="M1047822" s="4"/>
      <c r="N1047822" s="26"/>
    </row>
    <row r="1047823" customFormat="1" spans="2:14">
      <c r="B1047823" s="26"/>
      <c r="C1047823" s="26"/>
      <c r="D1047823" s="4"/>
      <c r="E1047823" s="26"/>
      <c r="F1047823" s="26"/>
      <c r="G1047823" s="26"/>
      <c r="H1047823" s="26"/>
      <c r="I1047823" s="27"/>
      <c r="J1047823" s="26"/>
      <c r="K1047823" s="26"/>
      <c r="L1047823" s="4"/>
      <c r="M1047823" s="4"/>
      <c r="N1047823" s="26"/>
    </row>
    <row r="1047824" customFormat="1" spans="2:14">
      <c r="B1047824" s="26"/>
      <c r="C1047824" s="26"/>
      <c r="D1047824" s="4"/>
      <c r="E1047824" s="26"/>
      <c r="F1047824" s="26"/>
      <c r="G1047824" s="26"/>
      <c r="H1047824" s="26"/>
      <c r="I1047824" s="27"/>
      <c r="J1047824" s="26"/>
      <c r="K1047824" s="26"/>
      <c r="L1047824" s="4"/>
      <c r="M1047824" s="4"/>
      <c r="N1047824" s="26"/>
    </row>
    <row r="1047825" customFormat="1" spans="2:14">
      <c r="B1047825" s="26"/>
      <c r="C1047825" s="26"/>
      <c r="D1047825" s="4"/>
      <c r="E1047825" s="26"/>
      <c r="F1047825" s="26"/>
      <c r="G1047825" s="26"/>
      <c r="H1047825" s="26"/>
      <c r="I1047825" s="27"/>
      <c r="J1047825" s="26"/>
      <c r="K1047825" s="26"/>
      <c r="L1047825" s="4"/>
      <c r="M1047825" s="4"/>
      <c r="N1047825" s="26"/>
    </row>
    <row r="1047826" customFormat="1" spans="2:14">
      <c r="B1047826" s="26"/>
      <c r="C1047826" s="26"/>
      <c r="D1047826" s="4"/>
      <c r="E1047826" s="26"/>
      <c r="F1047826" s="26"/>
      <c r="G1047826" s="26"/>
      <c r="H1047826" s="26"/>
      <c r="I1047826" s="27"/>
      <c r="J1047826" s="26"/>
      <c r="K1047826" s="26"/>
      <c r="L1047826" s="4"/>
      <c r="M1047826" s="4"/>
      <c r="N1047826" s="26"/>
    </row>
    <row r="1047827" customFormat="1" spans="2:14">
      <c r="B1047827" s="26"/>
      <c r="C1047827" s="26"/>
      <c r="D1047827" s="4"/>
      <c r="E1047827" s="26"/>
      <c r="F1047827" s="26"/>
      <c r="G1047827" s="26"/>
      <c r="H1047827" s="26"/>
      <c r="I1047827" s="27"/>
      <c r="J1047827" s="26"/>
      <c r="K1047827" s="26"/>
      <c r="L1047827" s="4"/>
      <c r="M1047827" s="4"/>
      <c r="N1047827" s="26"/>
    </row>
    <row r="1047828" customFormat="1" spans="2:14">
      <c r="B1047828" s="26"/>
      <c r="C1047828" s="26"/>
      <c r="D1047828" s="4"/>
      <c r="E1047828" s="26"/>
      <c r="F1047828" s="26"/>
      <c r="G1047828" s="26"/>
      <c r="H1047828" s="26"/>
      <c r="I1047828" s="27"/>
      <c r="J1047828" s="26"/>
      <c r="K1047828" s="26"/>
      <c r="L1047828" s="4"/>
      <c r="M1047828" s="4"/>
      <c r="N1047828" s="26"/>
    </row>
    <row r="1047829" customFormat="1" spans="2:14">
      <c r="B1047829" s="26"/>
      <c r="C1047829" s="26"/>
      <c r="D1047829" s="4"/>
      <c r="E1047829" s="26"/>
      <c r="F1047829" s="26"/>
      <c r="G1047829" s="26"/>
      <c r="H1047829" s="26"/>
      <c r="I1047829" s="27"/>
      <c r="J1047829" s="26"/>
      <c r="K1047829" s="26"/>
      <c r="L1047829" s="4"/>
      <c r="M1047829" s="4"/>
      <c r="N1047829" s="26"/>
    </row>
    <row r="1047830" customFormat="1" spans="2:14">
      <c r="B1047830" s="26"/>
      <c r="C1047830" s="26"/>
      <c r="D1047830" s="4"/>
      <c r="E1047830" s="26"/>
      <c r="F1047830" s="26"/>
      <c r="G1047830" s="26"/>
      <c r="H1047830" s="26"/>
      <c r="I1047830" s="27"/>
      <c r="J1047830" s="26"/>
      <c r="K1047830" s="26"/>
      <c r="L1047830" s="4"/>
      <c r="M1047830" s="4"/>
      <c r="N1047830" s="26"/>
    </row>
    <row r="1047831" customFormat="1" spans="2:14">
      <c r="B1047831" s="26"/>
      <c r="C1047831" s="26"/>
      <c r="D1047831" s="4"/>
      <c r="E1047831" s="26"/>
      <c r="F1047831" s="26"/>
      <c r="G1047831" s="26"/>
      <c r="H1047831" s="26"/>
      <c r="I1047831" s="27"/>
      <c r="J1047831" s="26"/>
      <c r="K1047831" s="26"/>
      <c r="L1047831" s="4"/>
      <c r="M1047831" s="4"/>
      <c r="N1047831" s="26"/>
    </row>
    <row r="1047832" customFormat="1" spans="2:14">
      <c r="B1047832" s="26"/>
      <c r="C1047832" s="26"/>
      <c r="D1047832" s="4"/>
      <c r="E1047832" s="26"/>
      <c r="F1047832" s="26"/>
      <c r="G1047832" s="26"/>
      <c r="H1047832" s="26"/>
      <c r="I1047832" s="27"/>
      <c r="J1047832" s="26"/>
      <c r="K1047832" s="26"/>
      <c r="L1047832" s="4"/>
      <c r="M1047832" s="4"/>
      <c r="N1047832" s="26"/>
    </row>
    <row r="1047833" customFormat="1" spans="2:14">
      <c r="B1047833" s="26"/>
      <c r="C1047833" s="26"/>
      <c r="D1047833" s="4"/>
      <c r="E1047833" s="26"/>
      <c r="F1047833" s="26"/>
      <c r="G1047833" s="26"/>
      <c r="H1047833" s="26"/>
      <c r="I1047833" s="27"/>
      <c r="J1047833" s="26"/>
      <c r="K1047833" s="26"/>
      <c r="L1047833" s="4"/>
      <c r="M1047833" s="4"/>
      <c r="N1047833" s="26"/>
    </row>
    <row r="1047834" customFormat="1" spans="2:14">
      <c r="B1047834" s="26"/>
      <c r="C1047834" s="26"/>
      <c r="D1047834" s="4"/>
      <c r="E1047834" s="26"/>
      <c r="F1047834" s="26"/>
      <c r="G1047834" s="26"/>
      <c r="H1047834" s="26"/>
      <c r="I1047834" s="27"/>
      <c r="J1047834" s="26"/>
      <c r="K1047834" s="26"/>
      <c r="L1047834" s="4"/>
      <c r="M1047834" s="4"/>
      <c r="N1047834" s="26"/>
    </row>
    <row r="1047835" customFormat="1" spans="2:14">
      <c r="B1047835" s="26"/>
      <c r="C1047835" s="26"/>
      <c r="D1047835" s="4"/>
      <c r="E1047835" s="26"/>
      <c r="F1047835" s="26"/>
      <c r="G1047835" s="26"/>
      <c r="H1047835" s="26"/>
      <c r="I1047835" s="27"/>
      <c r="J1047835" s="26"/>
      <c r="K1047835" s="26"/>
      <c r="L1047835" s="4"/>
      <c r="M1047835" s="4"/>
      <c r="N1047835" s="26"/>
    </row>
    <row r="1047836" customFormat="1" spans="2:14">
      <c r="B1047836" s="26"/>
      <c r="C1047836" s="26"/>
      <c r="D1047836" s="4"/>
      <c r="E1047836" s="26"/>
      <c r="F1047836" s="26"/>
      <c r="G1047836" s="26"/>
      <c r="H1047836" s="26"/>
      <c r="I1047836" s="27"/>
      <c r="J1047836" s="26"/>
      <c r="K1047836" s="26"/>
      <c r="L1047836" s="4"/>
      <c r="M1047836" s="4"/>
      <c r="N1047836" s="26"/>
    </row>
    <row r="1047837" customFormat="1" spans="2:14">
      <c r="B1047837" s="26"/>
      <c r="C1047837" s="26"/>
      <c r="D1047837" s="4"/>
      <c r="E1047837" s="26"/>
      <c r="F1047837" s="26"/>
      <c r="G1047837" s="26"/>
      <c r="H1047837" s="26"/>
      <c r="I1047837" s="27"/>
      <c r="J1047837" s="26"/>
      <c r="K1047837" s="26"/>
      <c r="L1047837" s="4"/>
      <c r="M1047837" s="4"/>
      <c r="N1047837" s="26"/>
    </row>
    <row r="1047838" customFormat="1" spans="2:14">
      <c r="B1047838" s="26"/>
      <c r="C1047838" s="26"/>
      <c r="D1047838" s="4"/>
      <c r="E1047838" s="26"/>
      <c r="F1047838" s="26"/>
      <c r="G1047838" s="26"/>
      <c r="H1047838" s="26"/>
      <c r="I1047838" s="27"/>
      <c r="J1047838" s="26"/>
      <c r="K1047838" s="26"/>
      <c r="L1047838" s="4"/>
      <c r="M1047838" s="4"/>
      <c r="N1047838" s="26"/>
    </row>
    <row r="1047839" customFormat="1" spans="2:14">
      <c r="B1047839" s="26"/>
      <c r="C1047839" s="26"/>
      <c r="D1047839" s="4"/>
      <c r="E1047839" s="26"/>
      <c r="F1047839" s="26"/>
      <c r="G1047839" s="26"/>
      <c r="H1047839" s="26"/>
      <c r="I1047839" s="27"/>
      <c r="J1047839" s="26"/>
      <c r="K1047839" s="26"/>
      <c r="L1047839" s="4"/>
      <c r="M1047839" s="4"/>
      <c r="N1047839" s="26"/>
    </row>
    <row r="1047840" customFormat="1" spans="2:14">
      <c r="B1047840" s="26"/>
      <c r="C1047840" s="26"/>
      <c r="D1047840" s="4"/>
      <c r="E1047840" s="26"/>
      <c r="F1047840" s="26"/>
      <c r="G1047840" s="26"/>
      <c r="H1047840" s="26"/>
      <c r="I1047840" s="27"/>
      <c r="J1047840" s="26"/>
      <c r="K1047840" s="26"/>
      <c r="L1047840" s="4"/>
      <c r="M1047840" s="4"/>
      <c r="N1047840" s="26"/>
    </row>
    <row r="1047841" customFormat="1" spans="2:14">
      <c r="B1047841" s="26"/>
      <c r="C1047841" s="26"/>
      <c r="D1047841" s="4"/>
      <c r="E1047841" s="26"/>
      <c r="F1047841" s="26"/>
      <c r="G1047841" s="26"/>
      <c r="H1047841" s="26"/>
      <c r="I1047841" s="27"/>
      <c r="J1047841" s="26"/>
      <c r="K1047841" s="26"/>
      <c r="L1047841" s="4"/>
      <c r="M1047841" s="4"/>
      <c r="N1047841" s="26"/>
    </row>
    <row r="1047842" customFormat="1" spans="2:14">
      <c r="B1047842" s="26"/>
      <c r="C1047842" s="26"/>
      <c r="D1047842" s="4"/>
      <c r="E1047842" s="26"/>
      <c r="F1047842" s="26"/>
      <c r="G1047842" s="26"/>
      <c r="H1047842" s="26"/>
      <c r="I1047842" s="27"/>
      <c r="J1047842" s="26"/>
      <c r="K1047842" s="26"/>
      <c r="L1047842" s="4"/>
      <c r="M1047842" s="4"/>
      <c r="N1047842" s="26"/>
    </row>
    <row r="1047843" customFormat="1" spans="2:14">
      <c r="B1047843" s="26"/>
      <c r="C1047843" s="26"/>
      <c r="D1047843" s="4"/>
      <c r="E1047843" s="26"/>
      <c r="F1047843" s="26"/>
      <c r="G1047843" s="26"/>
      <c r="H1047843" s="26"/>
      <c r="I1047843" s="27"/>
      <c r="J1047843" s="26"/>
      <c r="K1047843" s="26"/>
      <c r="L1047843" s="4"/>
      <c r="M1047843" s="4"/>
      <c r="N1047843" s="26"/>
    </row>
    <row r="1047844" customFormat="1" spans="2:14">
      <c r="B1047844" s="26"/>
      <c r="C1047844" s="26"/>
      <c r="D1047844" s="4"/>
      <c r="E1047844" s="26"/>
      <c r="F1047844" s="26"/>
      <c r="G1047844" s="26"/>
      <c r="H1047844" s="26"/>
      <c r="I1047844" s="27"/>
      <c r="J1047844" s="26"/>
      <c r="K1047844" s="26"/>
      <c r="L1047844" s="4"/>
      <c r="M1047844" s="4"/>
      <c r="N1047844" s="26"/>
    </row>
    <row r="1047845" customFormat="1" spans="2:14">
      <c r="B1047845" s="26"/>
      <c r="C1047845" s="26"/>
      <c r="D1047845" s="4"/>
      <c r="E1047845" s="26"/>
      <c r="F1047845" s="26"/>
      <c r="G1047845" s="26"/>
      <c r="H1047845" s="26"/>
      <c r="I1047845" s="27"/>
      <c r="J1047845" s="26"/>
      <c r="K1047845" s="26"/>
      <c r="L1047845" s="4"/>
      <c r="M1047845" s="4"/>
      <c r="N1047845" s="26"/>
    </row>
    <row r="1047846" customFormat="1" spans="2:14">
      <c r="B1047846" s="26"/>
      <c r="C1047846" s="26"/>
      <c r="D1047846" s="4"/>
      <c r="E1047846" s="26"/>
      <c r="F1047846" s="26"/>
      <c r="G1047846" s="26"/>
      <c r="H1047846" s="26"/>
      <c r="I1047846" s="27"/>
      <c r="J1047846" s="26"/>
      <c r="K1047846" s="26"/>
      <c r="L1047846" s="4"/>
      <c r="M1047846" s="4"/>
      <c r="N1047846" s="26"/>
    </row>
    <row r="1047847" customFormat="1" spans="2:14">
      <c r="B1047847" s="26"/>
      <c r="C1047847" s="26"/>
      <c r="D1047847" s="4"/>
      <c r="E1047847" s="26"/>
      <c r="F1047847" s="26"/>
      <c r="G1047847" s="26"/>
      <c r="H1047847" s="26"/>
      <c r="I1047847" s="27"/>
      <c r="J1047847" s="26"/>
      <c r="K1047847" s="26"/>
      <c r="L1047847" s="4"/>
      <c r="M1047847" s="4"/>
      <c r="N1047847" s="26"/>
    </row>
    <row r="1047848" customFormat="1" spans="2:14">
      <c r="B1047848" s="26"/>
      <c r="C1047848" s="26"/>
      <c r="D1047848" s="4"/>
      <c r="E1047848" s="26"/>
      <c r="F1047848" s="26"/>
      <c r="G1047848" s="26"/>
      <c r="H1047848" s="26"/>
      <c r="I1047848" s="27"/>
      <c r="J1047848" s="26"/>
      <c r="K1047848" s="26"/>
      <c r="L1047848" s="4"/>
      <c r="M1047848" s="4"/>
      <c r="N1047848" s="26"/>
    </row>
    <row r="1047849" customFormat="1" spans="2:14">
      <c r="B1047849" s="26"/>
      <c r="C1047849" s="26"/>
      <c r="D1047849" s="4"/>
      <c r="E1047849" s="26"/>
      <c r="F1047849" s="26"/>
      <c r="G1047849" s="26"/>
      <c r="H1047849" s="26"/>
      <c r="I1047849" s="27"/>
      <c r="J1047849" s="26"/>
      <c r="K1047849" s="26"/>
      <c r="L1047849" s="4"/>
      <c r="M1047849" s="4"/>
      <c r="N1047849" s="26"/>
    </row>
    <row r="1047850" customFormat="1" spans="2:14">
      <c r="B1047850" s="26"/>
      <c r="C1047850" s="26"/>
      <c r="D1047850" s="4"/>
      <c r="E1047850" s="26"/>
      <c r="F1047850" s="26"/>
      <c r="G1047850" s="26"/>
      <c r="H1047850" s="26"/>
      <c r="I1047850" s="27"/>
      <c r="J1047850" s="26"/>
      <c r="K1047850" s="26"/>
      <c r="L1047850" s="4"/>
      <c r="M1047850" s="4"/>
      <c r="N1047850" s="26"/>
    </row>
    <row r="1047851" customFormat="1" spans="2:14">
      <c r="B1047851" s="26"/>
      <c r="C1047851" s="26"/>
      <c r="D1047851" s="4"/>
      <c r="E1047851" s="26"/>
      <c r="F1047851" s="26"/>
      <c r="G1047851" s="26"/>
      <c r="H1047851" s="26"/>
      <c r="I1047851" s="27"/>
      <c r="J1047851" s="26"/>
      <c r="K1047851" s="26"/>
      <c r="L1047851" s="4"/>
      <c r="M1047851" s="4"/>
      <c r="N1047851" s="26"/>
    </row>
    <row r="1047852" customFormat="1" spans="2:14">
      <c r="B1047852" s="26"/>
      <c r="C1047852" s="26"/>
      <c r="D1047852" s="4"/>
      <c r="E1047852" s="26"/>
      <c r="F1047852" s="26"/>
      <c r="G1047852" s="26"/>
      <c r="H1047852" s="26"/>
      <c r="I1047852" s="27"/>
      <c r="J1047852" s="26"/>
      <c r="K1047852" s="26"/>
      <c r="L1047852" s="4"/>
      <c r="M1047852" s="4"/>
      <c r="N1047852" s="26"/>
    </row>
    <row r="1047853" customFormat="1" spans="2:14">
      <c r="B1047853" s="26"/>
      <c r="C1047853" s="26"/>
      <c r="D1047853" s="4"/>
      <c r="E1047853" s="26"/>
      <c r="F1047853" s="26"/>
      <c r="G1047853" s="26"/>
      <c r="H1047853" s="26"/>
      <c r="I1047853" s="27"/>
      <c r="J1047853" s="26"/>
      <c r="K1047853" s="26"/>
      <c r="L1047853" s="4"/>
      <c r="M1047853" s="4"/>
      <c r="N1047853" s="26"/>
    </row>
    <row r="1047854" customFormat="1" spans="2:14">
      <c r="B1047854" s="26"/>
      <c r="C1047854" s="26"/>
      <c r="D1047854" s="4"/>
      <c r="E1047854" s="26"/>
      <c r="F1047854" s="26"/>
      <c r="G1047854" s="26"/>
      <c r="H1047854" s="26"/>
      <c r="I1047854" s="27"/>
      <c r="J1047854" s="26"/>
      <c r="K1047854" s="26"/>
      <c r="L1047854" s="4"/>
      <c r="M1047854" s="4"/>
      <c r="N1047854" s="26"/>
    </row>
    <row r="1047855" customFormat="1" spans="2:14">
      <c r="B1047855" s="26"/>
      <c r="C1047855" s="26"/>
      <c r="D1047855" s="4"/>
      <c r="E1047855" s="26"/>
      <c r="F1047855" s="26"/>
      <c r="G1047855" s="26"/>
      <c r="H1047855" s="26"/>
      <c r="I1047855" s="27"/>
      <c r="J1047855" s="26"/>
      <c r="K1047855" s="26"/>
      <c r="L1047855" s="4"/>
      <c r="M1047855" s="4"/>
      <c r="N1047855" s="26"/>
    </row>
    <row r="1047856" customFormat="1" spans="2:14">
      <c r="B1047856" s="26"/>
      <c r="C1047856" s="26"/>
      <c r="D1047856" s="4"/>
      <c r="E1047856" s="26"/>
      <c r="F1047856" s="26"/>
      <c r="G1047856" s="26"/>
      <c r="H1047856" s="26"/>
      <c r="I1047856" s="27"/>
      <c r="J1047856" s="26"/>
      <c r="K1047856" s="26"/>
      <c r="L1047856" s="4"/>
      <c r="M1047856" s="4"/>
      <c r="N1047856" s="26"/>
    </row>
    <row r="1047857" customFormat="1" spans="2:14">
      <c r="B1047857" s="26"/>
      <c r="C1047857" s="26"/>
      <c r="D1047857" s="4"/>
      <c r="E1047857" s="26"/>
      <c r="F1047857" s="26"/>
      <c r="G1047857" s="26"/>
      <c r="H1047857" s="26"/>
      <c r="I1047857" s="27"/>
      <c r="J1047857" s="26"/>
      <c r="K1047857" s="26"/>
      <c r="L1047857" s="4"/>
      <c r="M1047857" s="4"/>
      <c r="N1047857" s="26"/>
    </row>
    <row r="1047858" customFormat="1" spans="2:14">
      <c r="B1047858" s="26"/>
      <c r="C1047858" s="26"/>
      <c r="D1047858" s="4"/>
      <c r="E1047858" s="26"/>
      <c r="F1047858" s="26"/>
      <c r="G1047858" s="26"/>
      <c r="H1047858" s="26"/>
      <c r="I1047858" s="27"/>
      <c r="J1047858" s="26"/>
      <c r="K1047858" s="26"/>
      <c r="L1047858" s="4"/>
      <c r="M1047858" s="4"/>
      <c r="N1047858" s="26"/>
    </row>
    <row r="1047859" customFormat="1" spans="2:14">
      <c r="B1047859" s="26"/>
      <c r="C1047859" s="26"/>
      <c r="D1047859" s="4"/>
      <c r="E1047859" s="26"/>
      <c r="F1047859" s="26"/>
      <c r="G1047859" s="26"/>
      <c r="H1047859" s="26"/>
      <c r="I1047859" s="27"/>
      <c r="J1047859" s="26"/>
      <c r="K1047859" s="26"/>
      <c r="L1047859" s="4"/>
      <c r="M1047859" s="4"/>
      <c r="N1047859" s="26"/>
    </row>
    <row r="1047860" customFormat="1" spans="2:14">
      <c r="B1047860" s="26"/>
      <c r="C1047860" s="26"/>
      <c r="D1047860" s="4"/>
      <c r="E1047860" s="26"/>
      <c r="F1047860" s="26"/>
      <c r="G1047860" s="26"/>
      <c r="H1047860" s="26"/>
      <c r="I1047860" s="27"/>
      <c r="J1047860" s="26"/>
      <c r="K1047860" s="26"/>
      <c r="L1047860" s="4"/>
      <c r="M1047860" s="4"/>
      <c r="N1047860" s="26"/>
    </row>
    <row r="1047861" customFormat="1" spans="2:14">
      <c r="B1047861" s="26"/>
      <c r="C1047861" s="26"/>
      <c r="D1047861" s="4"/>
      <c r="E1047861" s="26"/>
      <c r="F1047861" s="26"/>
      <c r="G1047861" s="26"/>
      <c r="H1047861" s="26"/>
      <c r="I1047861" s="27"/>
      <c r="J1047861" s="26"/>
      <c r="K1047861" s="26"/>
      <c r="L1047861" s="4"/>
      <c r="M1047861" s="4"/>
      <c r="N1047861" s="26"/>
    </row>
    <row r="1047862" customFormat="1" spans="2:14">
      <c r="B1047862" s="26"/>
      <c r="C1047862" s="26"/>
      <c r="D1047862" s="4"/>
      <c r="E1047862" s="26"/>
      <c r="F1047862" s="26"/>
      <c r="G1047862" s="26"/>
      <c r="H1047862" s="26"/>
      <c r="I1047862" s="27"/>
      <c r="J1047862" s="26"/>
      <c r="K1047862" s="26"/>
      <c r="L1047862" s="4"/>
      <c r="M1047862" s="4"/>
      <c r="N1047862" s="26"/>
    </row>
    <row r="1047863" customFormat="1" spans="2:14">
      <c r="B1047863" s="26"/>
      <c r="C1047863" s="26"/>
      <c r="D1047863" s="4"/>
      <c r="E1047863" s="26"/>
      <c r="F1047863" s="26"/>
      <c r="G1047863" s="26"/>
      <c r="H1047863" s="26"/>
      <c r="I1047863" s="27"/>
      <c r="J1047863" s="26"/>
      <c r="K1047863" s="26"/>
      <c r="L1047863" s="4"/>
      <c r="M1047863" s="4"/>
      <c r="N1047863" s="26"/>
    </row>
    <row r="1047864" customFormat="1" spans="2:14">
      <c r="B1047864" s="26"/>
      <c r="C1047864" s="26"/>
      <c r="D1047864" s="4"/>
      <c r="E1047864" s="26"/>
      <c r="F1047864" s="26"/>
      <c r="G1047864" s="26"/>
      <c r="H1047864" s="26"/>
      <c r="I1047864" s="27"/>
      <c r="J1047864" s="26"/>
      <c r="K1047864" s="26"/>
      <c r="L1047864" s="4"/>
      <c r="M1047864" s="4"/>
      <c r="N1047864" s="26"/>
    </row>
    <row r="1047865" customFormat="1" spans="2:14">
      <c r="B1047865" s="26"/>
      <c r="C1047865" s="26"/>
      <c r="D1047865" s="4"/>
      <c r="E1047865" s="26"/>
      <c r="F1047865" s="26"/>
      <c r="G1047865" s="26"/>
      <c r="H1047865" s="26"/>
      <c r="I1047865" s="27"/>
      <c r="J1047865" s="26"/>
      <c r="K1047865" s="26"/>
      <c r="L1047865" s="4"/>
      <c r="M1047865" s="4"/>
      <c r="N1047865" s="26"/>
    </row>
    <row r="1047866" customFormat="1" spans="2:14">
      <c r="B1047866" s="26"/>
      <c r="C1047866" s="26"/>
      <c r="D1047866" s="4"/>
      <c r="E1047866" s="26"/>
      <c r="F1047866" s="26"/>
      <c r="G1047866" s="26"/>
      <c r="H1047866" s="26"/>
      <c r="I1047866" s="27"/>
      <c r="J1047866" s="26"/>
      <c r="K1047866" s="26"/>
      <c r="L1047866" s="4"/>
      <c r="M1047866" s="4"/>
      <c r="N1047866" s="26"/>
    </row>
    <row r="1047867" customFormat="1" spans="2:14">
      <c r="B1047867" s="26"/>
      <c r="C1047867" s="26"/>
      <c r="D1047867" s="4"/>
      <c r="E1047867" s="26"/>
      <c r="F1047867" s="26"/>
      <c r="G1047867" s="26"/>
      <c r="H1047867" s="26"/>
      <c r="I1047867" s="27"/>
      <c r="J1047867" s="26"/>
      <c r="K1047867" s="26"/>
      <c r="L1047867" s="4"/>
      <c r="M1047867" s="4"/>
      <c r="N1047867" s="26"/>
    </row>
    <row r="1047868" customFormat="1" spans="2:14">
      <c r="B1047868" s="26"/>
      <c r="C1047868" s="26"/>
      <c r="D1047868" s="4"/>
      <c r="E1047868" s="26"/>
      <c r="F1047868" s="26"/>
      <c r="G1047868" s="26"/>
      <c r="H1047868" s="26"/>
      <c r="I1047868" s="27"/>
      <c r="J1047868" s="26"/>
      <c r="K1047868" s="26"/>
      <c r="L1047868" s="4"/>
      <c r="M1047868" s="4"/>
      <c r="N1047868" s="26"/>
    </row>
    <row r="1047869" customFormat="1" spans="2:14">
      <c r="B1047869" s="26"/>
      <c r="C1047869" s="26"/>
      <c r="D1047869" s="4"/>
      <c r="E1047869" s="26"/>
      <c r="F1047869" s="26"/>
      <c r="G1047869" s="26"/>
      <c r="H1047869" s="26"/>
      <c r="I1047869" s="27"/>
      <c r="J1047869" s="26"/>
      <c r="K1047869" s="26"/>
      <c r="L1047869" s="4"/>
      <c r="M1047869" s="4"/>
      <c r="N1047869" s="26"/>
    </row>
    <row r="1047870" customFormat="1" spans="2:14">
      <c r="B1047870" s="26"/>
      <c r="C1047870" s="26"/>
      <c r="D1047870" s="4"/>
      <c r="E1047870" s="26"/>
      <c r="F1047870" s="26"/>
      <c r="G1047870" s="26"/>
      <c r="H1047870" s="26"/>
      <c r="I1047870" s="27"/>
      <c r="J1047870" s="26"/>
      <c r="K1047870" s="26"/>
      <c r="L1047870" s="4"/>
      <c r="M1047870" s="4"/>
      <c r="N1047870" s="26"/>
    </row>
    <row r="1047871" customFormat="1" spans="2:14">
      <c r="B1047871" s="26"/>
      <c r="C1047871" s="26"/>
      <c r="D1047871" s="4"/>
      <c r="E1047871" s="26"/>
      <c r="F1047871" s="26"/>
      <c r="G1047871" s="26"/>
      <c r="H1047871" s="26"/>
      <c r="I1047871" s="27"/>
      <c r="J1047871" s="26"/>
      <c r="K1047871" s="26"/>
      <c r="L1047871" s="4"/>
      <c r="M1047871" s="4"/>
      <c r="N1047871" s="26"/>
    </row>
    <row r="1047872" customFormat="1" spans="2:14">
      <c r="B1047872" s="26"/>
      <c r="C1047872" s="26"/>
      <c r="D1047872" s="4"/>
      <c r="E1047872" s="26"/>
      <c r="F1047872" s="26"/>
      <c r="G1047872" s="26"/>
      <c r="H1047872" s="26"/>
      <c r="I1047872" s="27"/>
      <c r="J1047872" s="26"/>
      <c r="K1047872" s="26"/>
      <c r="L1047872" s="4"/>
      <c r="M1047872" s="4"/>
      <c r="N1047872" s="26"/>
    </row>
    <row r="1047873" customFormat="1" spans="2:14">
      <c r="B1047873" s="26"/>
      <c r="C1047873" s="26"/>
      <c r="D1047873" s="4"/>
      <c r="E1047873" s="26"/>
      <c r="F1047873" s="26"/>
      <c r="G1047873" s="26"/>
      <c r="H1047873" s="26"/>
      <c r="I1047873" s="27"/>
      <c r="J1047873" s="26"/>
      <c r="K1047873" s="26"/>
      <c r="L1047873" s="4"/>
      <c r="M1047873" s="4"/>
      <c r="N1047873" s="26"/>
    </row>
    <row r="1047874" customFormat="1" spans="2:14">
      <c r="B1047874" s="26"/>
      <c r="C1047874" s="26"/>
      <c r="D1047874" s="4"/>
      <c r="E1047874" s="26"/>
      <c r="F1047874" s="26"/>
      <c r="G1047874" s="26"/>
      <c r="H1047874" s="26"/>
      <c r="I1047874" s="27"/>
      <c r="J1047874" s="26"/>
      <c r="K1047874" s="26"/>
      <c r="L1047874" s="4"/>
      <c r="M1047874" s="4"/>
      <c r="N1047874" s="26"/>
    </row>
    <row r="1047875" customFormat="1" spans="2:14">
      <c r="B1047875" s="26"/>
      <c r="C1047875" s="26"/>
      <c r="D1047875" s="4"/>
      <c r="E1047875" s="26"/>
      <c r="F1047875" s="26"/>
      <c r="G1047875" s="26"/>
      <c r="H1047875" s="26"/>
      <c r="I1047875" s="27"/>
      <c r="J1047875" s="26"/>
      <c r="K1047875" s="26"/>
      <c r="L1047875" s="4"/>
      <c r="M1047875" s="4"/>
      <c r="N1047875" s="26"/>
    </row>
    <row r="1047876" customFormat="1" spans="2:14">
      <c r="B1047876" s="26"/>
      <c r="C1047876" s="26"/>
      <c r="D1047876" s="4"/>
      <c r="E1047876" s="26"/>
      <c r="F1047876" s="26"/>
      <c r="G1047876" s="26"/>
      <c r="H1047876" s="26"/>
      <c r="I1047876" s="27"/>
      <c r="J1047876" s="26"/>
      <c r="K1047876" s="26"/>
      <c r="L1047876" s="4"/>
      <c r="M1047876" s="4"/>
      <c r="N1047876" s="26"/>
    </row>
    <row r="1047877" customFormat="1" spans="2:14">
      <c r="B1047877" s="26"/>
      <c r="C1047877" s="26"/>
      <c r="D1047877" s="4"/>
      <c r="E1047877" s="26"/>
      <c r="F1047877" s="26"/>
      <c r="G1047877" s="26"/>
      <c r="H1047877" s="26"/>
      <c r="I1047877" s="27"/>
      <c r="J1047877" s="26"/>
      <c r="K1047877" s="26"/>
      <c r="L1047877" s="4"/>
      <c r="M1047877" s="4"/>
      <c r="N1047877" s="26"/>
    </row>
    <row r="1047878" customFormat="1" spans="2:14">
      <c r="B1047878" s="26"/>
      <c r="C1047878" s="26"/>
      <c r="D1047878" s="4"/>
      <c r="E1047878" s="26"/>
      <c r="F1047878" s="26"/>
      <c r="G1047878" s="26"/>
      <c r="H1047878" s="26"/>
      <c r="I1047878" s="27"/>
      <c r="J1047878" s="26"/>
      <c r="K1047878" s="26"/>
      <c r="L1047878" s="4"/>
      <c r="M1047878" s="4"/>
      <c r="N1047878" s="26"/>
    </row>
    <row r="1047879" customFormat="1" spans="2:14">
      <c r="B1047879" s="26"/>
      <c r="C1047879" s="26"/>
      <c r="D1047879" s="4"/>
      <c r="E1047879" s="26"/>
      <c r="F1047879" s="26"/>
      <c r="G1047879" s="26"/>
      <c r="H1047879" s="26"/>
      <c r="I1047879" s="27"/>
      <c r="J1047879" s="26"/>
      <c r="K1047879" s="26"/>
      <c r="L1047879" s="4"/>
      <c r="M1047879" s="4"/>
      <c r="N1047879" s="26"/>
    </row>
    <row r="1047880" customFormat="1" spans="2:14">
      <c r="B1047880" s="26"/>
      <c r="C1047880" s="26"/>
      <c r="D1047880" s="4"/>
      <c r="E1047880" s="26"/>
      <c r="F1047880" s="26"/>
      <c r="G1047880" s="26"/>
      <c r="H1047880" s="26"/>
      <c r="I1047880" s="27"/>
      <c r="J1047880" s="26"/>
      <c r="K1047880" s="26"/>
      <c r="L1047880" s="4"/>
      <c r="M1047880" s="4"/>
      <c r="N1047880" s="26"/>
    </row>
    <row r="1047881" customFormat="1" spans="2:14">
      <c r="B1047881" s="26"/>
      <c r="C1047881" s="26"/>
      <c r="D1047881" s="4"/>
      <c r="E1047881" s="26"/>
      <c r="F1047881" s="26"/>
      <c r="G1047881" s="26"/>
      <c r="H1047881" s="26"/>
      <c r="I1047881" s="27"/>
      <c r="J1047881" s="26"/>
      <c r="K1047881" s="26"/>
      <c r="L1047881" s="4"/>
      <c r="M1047881" s="4"/>
      <c r="N1047881" s="26"/>
    </row>
    <row r="1047882" customFormat="1" spans="2:14">
      <c r="B1047882" s="26"/>
      <c r="C1047882" s="26"/>
      <c r="D1047882" s="4"/>
      <c r="E1047882" s="26"/>
      <c r="F1047882" s="26"/>
      <c r="G1047882" s="26"/>
      <c r="H1047882" s="26"/>
      <c r="I1047882" s="27"/>
      <c r="J1047882" s="26"/>
      <c r="K1047882" s="26"/>
      <c r="L1047882" s="4"/>
      <c r="M1047882" s="4"/>
      <c r="N1047882" s="26"/>
    </row>
    <row r="1047883" customFormat="1" spans="2:14">
      <c r="B1047883" s="26"/>
      <c r="C1047883" s="26"/>
      <c r="D1047883" s="4"/>
      <c r="E1047883" s="26"/>
      <c r="F1047883" s="26"/>
      <c r="G1047883" s="26"/>
      <c r="H1047883" s="26"/>
      <c r="I1047883" s="27"/>
      <c r="J1047883" s="26"/>
      <c r="K1047883" s="26"/>
      <c r="L1047883" s="4"/>
      <c r="M1047883" s="4"/>
      <c r="N1047883" s="26"/>
    </row>
    <row r="1047884" customFormat="1" spans="2:14">
      <c r="B1047884" s="26"/>
      <c r="C1047884" s="26"/>
      <c r="D1047884" s="4"/>
      <c r="E1047884" s="26"/>
      <c r="F1047884" s="26"/>
      <c r="G1047884" s="26"/>
      <c r="H1047884" s="26"/>
      <c r="I1047884" s="27"/>
      <c r="J1047884" s="26"/>
      <c r="K1047884" s="26"/>
      <c r="L1047884" s="4"/>
      <c r="M1047884" s="4"/>
      <c r="N1047884" s="26"/>
    </row>
    <row r="1047885" customFormat="1" spans="2:14">
      <c r="B1047885" s="26"/>
      <c r="C1047885" s="26"/>
      <c r="D1047885" s="4"/>
      <c r="E1047885" s="26"/>
      <c r="F1047885" s="26"/>
      <c r="G1047885" s="26"/>
      <c r="H1047885" s="26"/>
      <c r="I1047885" s="27"/>
      <c r="J1047885" s="26"/>
      <c r="K1047885" s="26"/>
      <c r="L1047885" s="4"/>
      <c r="M1047885" s="4"/>
      <c r="N1047885" s="26"/>
    </row>
    <row r="1047886" customFormat="1" spans="2:14">
      <c r="B1047886" s="26"/>
      <c r="C1047886" s="26"/>
      <c r="D1047886" s="4"/>
      <c r="E1047886" s="26"/>
      <c r="F1047886" s="26"/>
      <c r="G1047886" s="26"/>
      <c r="H1047886" s="26"/>
      <c r="I1047886" s="27"/>
      <c r="J1047886" s="26"/>
      <c r="K1047886" s="26"/>
      <c r="L1047886" s="4"/>
      <c r="M1047886" s="4"/>
      <c r="N1047886" s="26"/>
    </row>
    <row r="1047887" customFormat="1" spans="2:14">
      <c r="B1047887" s="26"/>
      <c r="C1047887" s="26"/>
      <c r="D1047887" s="4"/>
      <c r="E1047887" s="26"/>
      <c r="F1047887" s="26"/>
      <c r="G1047887" s="26"/>
      <c r="H1047887" s="26"/>
      <c r="I1047887" s="27"/>
      <c r="J1047887" s="26"/>
      <c r="K1047887" s="26"/>
      <c r="L1047887" s="4"/>
      <c r="M1047887" s="4"/>
      <c r="N1047887" s="26"/>
    </row>
    <row r="1047888" customFormat="1" spans="2:14">
      <c r="B1047888" s="26"/>
      <c r="C1047888" s="26"/>
      <c r="D1047888" s="4"/>
      <c r="E1047888" s="26"/>
      <c r="F1047888" s="26"/>
      <c r="G1047888" s="26"/>
      <c r="H1047888" s="26"/>
      <c r="I1047888" s="27"/>
      <c r="J1047888" s="26"/>
      <c r="K1047888" s="26"/>
      <c r="L1047888" s="4"/>
      <c r="M1047888" s="4"/>
      <c r="N1047888" s="26"/>
    </row>
    <row r="1047889" customFormat="1" spans="2:14">
      <c r="B1047889" s="26"/>
      <c r="C1047889" s="26"/>
      <c r="D1047889" s="4"/>
      <c r="E1047889" s="26"/>
      <c r="F1047889" s="26"/>
      <c r="G1047889" s="26"/>
      <c r="H1047889" s="26"/>
      <c r="I1047889" s="27"/>
      <c r="J1047889" s="26"/>
      <c r="K1047889" s="26"/>
      <c r="L1047889" s="4"/>
      <c r="M1047889" s="4"/>
      <c r="N1047889" s="26"/>
    </row>
    <row r="1047890" customFormat="1" spans="2:14">
      <c r="B1047890" s="26"/>
      <c r="C1047890" s="26"/>
      <c r="D1047890" s="4"/>
      <c r="E1047890" s="26"/>
      <c r="F1047890" s="26"/>
      <c r="G1047890" s="26"/>
      <c r="H1047890" s="26"/>
      <c r="I1047890" s="27"/>
      <c r="J1047890" s="26"/>
      <c r="K1047890" s="26"/>
      <c r="L1047890" s="4"/>
      <c r="M1047890" s="4"/>
      <c r="N1047890" s="26"/>
    </row>
    <row r="1047891" customFormat="1" spans="2:14">
      <c r="B1047891" s="26"/>
      <c r="C1047891" s="26"/>
      <c r="D1047891" s="4"/>
      <c r="E1047891" s="26"/>
      <c r="F1047891" s="26"/>
      <c r="G1047891" s="26"/>
      <c r="H1047891" s="26"/>
      <c r="I1047891" s="27"/>
      <c r="J1047891" s="26"/>
      <c r="K1047891" s="26"/>
      <c r="L1047891" s="4"/>
      <c r="M1047891" s="4"/>
      <c r="N1047891" s="26"/>
    </row>
    <row r="1047892" customFormat="1" spans="2:14">
      <c r="B1047892" s="26"/>
      <c r="C1047892" s="26"/>
      <c r="D1047892" s="4"/>
      <c r="E1047892" s="26"/>
      <c r="F1047892" s="26"/>
      <c r="G1047892" s="26"/>
      <c r="H1047892" s="26"/>
      <c r="I1047892" s="27"/>
      <c r="J1047892" s="26"/>
      <c r="K1047892" s="26"/>
      <c r="L1047892" s="4"/>
      <c r="M1047892" s="4"/>
      <c r="N1047892" s="26"/>
    </row>
    <row r="1047893" customFormat="1" spans="2:14">
      <c r="B1047893" s="26"/>
      <c r="C1047893" s="26"/>
      <c r="D1047893" s="4"/>
      <c r="E1047893" s="26"/>
      <c r="F1047893" s="26"/>
      <c r="G1047893" s="26"/>
      <c r="H1047893" s="26"/>
      <c r="I1047893" s="27"/>
      <c r="J1047893" s="26"/>
      <c r="K1047893" s="26"/>
      <c r="L1047893" s="4"/>
      <c r="M1047893" s="4"/>
      <c r="N1047893" s="26"/>
    </row>
    <row r="1047894" customFormat="1" spans="2:14">
      <c r="B1047894" s="26"/>
      <c r="C1047894" s="26"/>
      <c r="D1047894" s="4"/>
      <c r="E1047894" s="26"/>
      <c r="F1047894" s="26"/>
      <c r="G1047894" s="26"/>
      <c r="H1047894" s="26"/>
      <c r="I1047894" s="27"/>
      <c r="J1047894" s="26"/>
      <c r="K1047894" s="26"/>
      <c r="L1047894" s="4"/>
      <c r="M1047894" s="4"/>
      <c r="N1047894" s="26"/>
    </row>
    <row r="1047895" customFormat="1" spans="2:14">
      <c r="B1047895" s="26"/>
      <c r="C1047895" s="26"/>
      <c r="D1047895" s="4"/>
      <c r="E1047895" s="26"/>
      <c r="F1047895" s="26"/>
      <c r="G1047895" s="26"/>
      <c r="H1047895" s="26"/>
      <c r="I1047895" s="27"/>
      <c r="J1047895" s="26"/>
      <c r="K1047895" s="26"/>
      <c r="L1047895" s="4"/>
      <c r="M1047895" s="4"/>
      <c r="N1047895" s="26"/>
    </row>
    <row r="1047896" customFormat="1" spans="2:14">
      <c r="B1047896" s="26"/>
      <c r="C1047896" s="26"/>
      <c r="D1047896" s="4"/>
      <c r="E1047896" s="26"/>
      <c r="F1047896" s="26"/>
      <c r="G1047896" s="26"/>
      <c r="H1047896" s="26"/>
      <c r="I1047896" s="27"/>
      <c r="J1047896" s="26"/>
      <c r="K1047896" s="26"/>
      <c r="L1047896" s="4"/>
      <c r="M1047896" s="4"/>
      <c r="N1047896" s="26"/>
    </row>
    <row r="1047897" customFormat="1" spans="2:14">
      <c r="B1047897" s="26"/>
      <c r="C1047897" s="26"/>
      <c r="D1047897" s="4"/>
      <c r="E1047897" s="26"/>
      <c r="F1047897" s="26"/>
      <c r="G1047897" s="26"/>
      <c r="H1047897" s="26"/>
      <c r="I1047897" s="27"/>
      <c r="J1047897" s="26"/>
      <c r="K1047897" s="26"/>
      <c r="L1047897" s="4"/>
      <c r="M1047897" s="4"/>
      <c r="N1047897" s="26"/>
    </row>
    <row r="1047898" customFormat="1" spans="2:14">
      <c r="B1047898" s="26"/>
      <c r="C1047898" s="26"/>
      <c r="D1047898" s="4"/>
      <c r="E1047898" s="26"/>
      <c r="F1047898" s="26"/>
      <c r="G1047898" s="26"/>
      <c r="H1047898" s="26"/>
      <c r="I1047898" s="27"/>
      <c r="J1047898" s="26"/>
      <c r="K1047898" s="26"/>
      <c r="L1047898" s="4"/>
      <c r="M1047898" s="4"/>
      <c r="N1047898" s="26"/>
    </row>
    <row r="1047899" customFormat="1" spans="2:14">
      <c r="B1047899" s="26"/>
      <c r="C1047899" s="26"/>
      <c r="D1047899" s="4"/>
      <c r="E1047899" s="26"/>
      <c r="F1047899" s="26"/>
      <c r="G1047899" s="26"/>
      <c r="H1047899" s="26"/>
      <c r="I1047899" s="27"/>
      <c r="J1047899" s="26"/>
      <c r="K1047899" s="26"/>
      <c r="L1047899" s="4"/>
      <c r="M1047899" s="4"/>
      <c r="N1047899" s="26"/>
    </row>
    <row r="1047900" customFormat="1" spans="2:14">
      <c r="B1047900" s="26"/>
      <c r="C1047900" s="26"/>
      <c r="D1047900" s="4"/>
      <c r="E1047900" s="26"/>
      <c r="F1047900" s="26"/>
      <c r="G1047900" s="26"/>
      <c r="H1047900" s="26"/>
      <c r="I1047900" s="27"/>
      <c r="J1047900" s="26"/>
      <c r="K1047900" s="26"/>
      <c r="L1047900" s="4"/>
      <c r="M1047900" s="4"/>
      <c r="N1047900" s="26"/>
    </row>
    <row r="1047901" customFormat="1" spans="2:14">
      <c r="B1047901" s="26"/>
      <c r="C1047901" s="26"/>
      <c r="D1047901" s="4"/>
      <c r="E1047901" s="26"/>
      <c r="F1047901" s="26"/>
      <c r="G1047901" s="26"/>
      <c r="H1047901" s="26"/>
      <c r="I1047901" s="27"/>
      <c r="J1047901" s="26"/>
      <c r="K1047901" s="26"/>
      <c r="L1047901" s="4"/>
      <c r="M1047901" s="4"/>
      <c r="N1047901" s="26"/>
    </row>
    <row r="1047902" customFormat="1" spans="2:14">
      <c r="B1047902" s="26"/>
      <c r="C1047902" s="26"/>
      <c r="D1047902" s="4"/>
      <c r="E1047902" s="26"/>
      <c r="F1047902" s="26"/>
      <c r="G1047902" s="26"/>
      <c r="H1047902" s="26"/>
      <c r="I1047902" s="27"/>
      <c r="J1047902" s="26"/>
      <c r="K1047902" s="26"/>
      <c r="L1047902" s="4"/>
      <c r="M1047902" s="4"/>
      <c r="N1047902" s="26"/>
    </row>
    <row r="1047903" customFormat="1" spans="2:14">
      <c r="B1047903" s="26"/>
      <c r="C1047903" s="26"/>
      <c r="D1047903" s="4"/>
      <c r="E1047903" s="26"/>
      <c r="F1047903" s="26"/>
      <c r="G1047903" s="26"/>
      <c r="H1047903" s="26"/>
      <c r="I1047903" s="27"/>
      <c r="J1047903" s="26"/>
      <c r="K1047903" s="26"/>
      <c r="L1047903" s="4"/>
      <c r="M1047903" s="4"/>
      <c r="N1047903" s="26"/>
    </row>
    <row r="1047904" customFormat="1" spans="2:14">
      <c r="B1047904" s="26"/>
      <c r="C1047904" s="26"/>
      <c r="D1047904" s="4"/>
      <c r="E1047904" s="26"/>
      <c r="F1047904" s="26"/>
      <c r="G1047904" s="26"/>
      <c r="H1047904" s="26"/>
      <c r="I1047904" s="27"/>
      <c r="J1047904" s="26"/>
      <c r="K1047904" s="26"/>
      <c r="L1047904" s="4"/>
      <c r="M1047904" s="4"/>
      <c r="N1047904" s="26"/>
    </row>
    <row r="1047905" customFormat="1" spans="2:14">
      <c r="B1047905" s="26"/>
      <c r="C1047905" s="26"/>
      <c r="D1047905" s="4"/>
      <c r="E1047905" s="26"/>
      <c r="F1047905" s="26"/>
      <c r="G1047905" s="26"/>
      <c r="H1047905" s="26"/>
      <c r="I1047905" s="27"/>
      <c r="J1047905" s="26"/>
      <c r="K1047905" s="26"/>
      <c r="L1047905" s="4"/>
      <c r="M1047905" s="4"/>
      <c r="N1047905" s="26"/>
    </row>
    <row r="1047906" customFormat="1" spans="2:14">
      <c r="B1047906" s="26"/>
      <c r="C1047906" s="26"/>
      <c r="D1047906" s="4"/>
      <c r="E1047906" s="26"/>
      <c r="F1047906" s="26"/>
      <c r="G1047906" s="26"/>
      <c r="H1047906" s="26"/>
      <c r="I1047906" s="27"/>
      <c r="J1047906" s="26"/>
      <c r="K1047906" s="26"/>
      <c r="L1047906" s="4"/>
      <c r="M1047906" s="4"/>
      <c r="N1047906" s="26"/>
    </row>
    <row r="1047907" customFormat="1" spans="2:14">
      <c r="B1047907" s="26"/>
      <c r="C1047907" s="26"/>
      <c r="D1047907" s="4"/>
      <c r="E1047907" s="26"/>
      <c r="F1047907" s="26"/>
      <c r="G1047907" s="26"/>
      <c r="H1047907" s="26"/>
      <c r="I1047907" s="27"/>
      <c r="J1047907" s="26"/>
      <c r="K1047907" s="26"/>
      <c r="L1047907" s="4"/>
      <c r="M1047907" s="4"/>
      <c r="N1047907" s="26"/>
    </row>
    <row r="1047908" customFormat="1" spans="2:14">
      <c r="B1047908" s="26"/>
      <c r="C1047908" s="26"/>
      <c r="D1047908" s="4"/>
      <c r="E1047908" s="26"/>
      <c r="F1047908" s="26"/>
      <c r="G1047908" s="26"/>
      <c r="H1047908" s="26"/>
      <c r="I1047908" s="27"/>
      <c r="J1047908" s="26"/>
      <c r="K1047908" s="26"/>
      <c r="L1047908" s="4"/>
      <c r="M1047908" s="4"/>
      <c r="N1047908" s="26"/>
    </row>
    <row r="1047909" customFormat="1" spans="2:14">
      <c r="B1047909" s="26"/>
      <c r="C1047909" s="26"/>
      <c r="D1047909" s="4"/>
      <c r="E1047909" s="26"/>
      <c r="F1047909" s="26"/>
      <c r="G1047909" s="26"/>
      <c r="H1047909" s="26"/>
      <c r="I1047909" s="27"/>
      <c r="J1047909" s="26"/>
      <c r="K1047909" s="26"/>
      <c r="L1047909" s="4"/>
      <c r="M1047909" s="4"/>
      <c r="N1047909" s="26"/>
    </row>
    <row r="1047910" customFormat="1" spans="2:14">
      <c r="B1047910" s="26"/>
      <c r="C1047910" s="26"/>
      <c r="D1047910" s="4"/>
      <c r="E1047910" s="26"/>
      <c r="F1047910" s="26"/>
      <c r="G1047910" s="26"/>
      <c r="H1047910" s="26"/>
      <c r="I1047910" s="27"/>
      <c r="J1047910" s="26"/>
      <c r="K1047910" s="26"/>
      <c r="L1047910" s="4"/>
      <c r="M1047910" s="4"/>
      <c r="N1047910" s="26"/>
    </row>
    <row r="1047911" customFormat="1" spans="2:14">
      <c r="B1047911" s="26"/>
      <c r="C1047911" s="26"/>
      <c r="D1047911" s="4"/>
      <c r="E1047911" s="26"/>
      <c r="F1047911" s="26"/>
      <c r="G1047911" s="26"/>
      <c r="H1047911" s="26"/>
      <c r="I1047911" s="27"/>
      <c r="J1047911" s="26"/>
      <c r="K1047911" s="26"/>
      <c r="L1047911" s="4"/>
      <c r="M1047911" s="4"/>
      <c r="N1047911" s="26"/>
    </row>
    <row r="1047912" customFormat="1" spans="2:14">
      <c r="B1047912" s="26"/>
      <c r="C1047912" s="26"/>
      <c r="D1047912" s="4"/>
      <c r="E1047912" s="26"/>
      <c r="F1047912" s="26"/>
      <c r="G1047912" s="26"/>
      <c r="H1047912" s="26"/>
      <c r="I1047912" s="27"/>
      <c r="J1047912" s="26"/>
      <c r="K1047912" s="26"/>
      <c r="L1047912" s="4"/>
      <c r="M1047912" s="4"/>
      <c r="N1047912" s="26"/>
    </row>
    <row r="1047913" customFormat="1" spans="2:14">
      <c r="B1047913" s="26"/>
      <c r="C1047913" s="26"/>
      <c r="D1047913" s="4"/>
      <c r="E1047913" s="26"/>
      <c r="F1047913" s="26"/>
      <c r="G1047913" s="26"/>
      <c r="H1047913" s="26"/>
      <c r="I1047913" s="27"/>
      <c r="J1047913" s="26"/>
      <c r="K1047913" s="26"/>
      <c r="L1047913" s="4"/>
      <c r="M1047913" s="4"/>
      <c r="N1047913" s="26"/>
    </row>
    <row r="1047914" customFormat="1" spans="2:14">
      <c r="B1047914" s="26"/>
      <c r="C1047914" s="26"/>
      <c r="D1047914" s="4"/>
      <c r="E1047914" s="26"/>
      <c r="F1047914" s="26"/>
      <c r="G1047914" s="26"/>
      <c r="H1047914" s="26"/>
      <c r="I1047914" s="27"/>
      <c r="J1047914" s="26"/>
      <c r="K1047914" s="26"/>
      <c r="L1047914" s="4"/>
      <c r="M1047914" s="4"/>
      <c r="N1047914" s="26"/>
    </row>
    <row r="1047915" customFormat="1" spans="2:14">
      <c r="B1047915" s="26"/>
      <c r="C1047915" s="26"/>
      <c r="D1047915" s="4"/>
      <c r="E1047915" s="26"/>
      <c r="F1047915" s="26"/>
      <c r="G1047915" s="26"/>
      <c r="H1047915" s="26"/>
      <c r="I1047915" s="27"/>
      <c r="J1047915" s="26"/>
      <c r="K1047915" s="26"/>
      <c r="L1047915" s="4"/>
      <c r="M1047915" s="4"/>
      <c r="N1047915" s="26"/>
    </row>
    <row r="1047916" customFormat="1" spans="2:14">
      <c r="B1047916" s="26"/>
      <c r="C1047916" s="26"/>
      <c r="D1047916" s="4"/>
      <c r="E1047916" s="26"/>
      <c r="F1047916" s="26"/>
      <c r="G1047916" s="26"/>
      <c r="H1047916" s="26"/>
      <c r="I1047916" s="27"/>
      <c r="J1047916" s="26"/>
      <c r="K1047916" s="26"/>
      <c r="L1047916" s="4"/>
      <c r="M1047916" s="4"/>
      <c r="N1047916" s="26"/>
    </row>
    <row r="1047917" customFormat="1" spans="2:14">
      <c r="B1047917" s="26"/>
      <c r="C1047917" s="26"/>
      <c r="D1047917" s="4"/>
      <c r="E1047917" s="26"/>
      <c r="F1047917" s="26"/>
      <c r="G1047917" s="26"/>
      <c r="H1047917" s="26"/>
      <c r="I1047917" s="27"/>
      <c r="J1047917" s="26"/>
      <c r="K1047917" s="26"/>
      <c r="L1047917" s="4"/>
      <c r="M1047917" s="4"/>
      <c r="N1047917" s="26"/>
    </row>
    <row r="1047918" customFormat="1" spans="2:14">
      <c r="B1047918" s="26"/>
      <c r="C1047918" s="26"/>
      <c r="D1047918" s="4"/>
      <c r="E1047918" s="26"/>
      <c r="F1047918" s="26"/>
      <c r="G1047918" s="26"/>
      <c r="H1047918" s="26"/>
      <c r="I1047918" s="27"/>
      <c r="J1047918" s="26"/>
      <c r="K1047918" s="26"/>
      <c r="L1047918" s="4"/>
      <c r="M1047918" s="4"/>
      <c r="N1047918" s="26"/>
    </row>
    <row r="1047919" customFormat="1" spans="2:14">
      <c r="B1047919" s="26"/>
      <c r="C1047919" s="26"/>
      <c r="D1047919" s="4"/>
      <c r="E1047919" s="26"/>
      <c r="F1047919" s="26"/>
      <c r="G1047919" s="26"/>
      <c r="H1047919" s="26"/>
      <c r="I1047919" s="27"/>
      <c r="J1047919" s="26"/>
      <c r="K1047919" s="26"/>
      <c r="L1047919" s="4"/>
      <c r="M1047919" s="4"/>
      <c r="N1047919" s="26"/>
    </row>
    <row r="1047920" customFormat="1" spans="2:14">
      <c r="B1047920" s="26"/>
      <c r="C1047920" s="26"/>
      <c r="D1047920" s="4"/>
      <c r="E1047920" s="26"/>
      <c r="F1047920" s="26"/>
      <c r="G1047920" s="26"/>
      <c r="H1047920" s="26"/>
      <c r="I1047920" s="27"/>
      <c r="J1047920" s="26"/>
      <c r="K1047920" s="26"/>
      <c r="L1047920" s="4"/>
      <c r="M1047920" s="4"/>
      <c r="N1047920" s="26"/>
    </row>
    <row r="1047921" customFormat="1" spans="2:14">
      <c r="B1047921" s="26"/>
      <c r="C1047921" s="26"/>
      <c r="D1047921" s="4"/>
      <c r="E1047921" s="26"/>
      <c r="F1047921" s="26"/>
      <c r="G1047921" s="26"/>
      <c r="H1047921" s="26"/>
      <c r="I1047921" s="27"/>
      <c r="J1047921" s="26"/>
      <c r="K1047921" s="26"/>
      <c r="L1047921" s="4"/>
      <c r="M1047921" s="4"/>
      <c r="N1047921" s="26"/>
    </row>
    <row r="1047922" customFormat="1" spans="2:14">
      <c r="B1047922" s="26"/>
      <c r="C1047922" s="26"/>
      <c r="D1047922" s="4"/>
      <c r="E1047922" s="26"/>
      <c r="F1047922" s="26"/>
      <c r="G1047922" s="26"/>
      <c r="H1047922" s="26"/>
      <c r="I1047922" s="27"/>
      <c r="J1047922" s="26"/>
      <c r="K1047922" s="26"/>
      <c r="L1047922" s="4"/>
      <c r="M1047922" s="4"/>
      <c r="N1047922" s="26"/>
    </row>
    <row r="1047923" customFormat="1" spans="2:14">
      <c r="B1047923" s="26"/>
      <c r="C1047923" s="26"/>
      <c r="D1047923" s="4"/>
      <c r="E1047923" s="26"/>
      <c r="F1047923" s="26"/>
      <c r="G1047923" s="26"/>
      <c r="H1047923" s="26"/>
      <c r="I1047923" s="27"/>
      <c r="J1047923" s="26"/>
      <c r="K1047923" s="26"/>
      <c r="L1047923" s="4"/>
      <c r="M1047923" s="4"/>
      <c r="N1047923" s="26"/>
    </row>
    <row r="1047924" customFormat="1" spans="2:14">
      <c r="B1047924" s="26"/>
      <c r="C1047924" s="26"/>
      <c r="D1047924" s="4"/>
      <c r="E1047924" s="26"/>
      <c r="F1047924" s="26"/>
      <c r="G1047924" s="26"/>
      <c r="H1047924" s="26"/>
      <c r="I1047924" s="27"/>
      <c r="J1047924" s="26"/>
      <c r="K1047924" s="26"/>
      <c r="L1047924" s="4"/>
      <c r="M1047924" s="4"/>
      <c r="N1047924" s="26"/>
    </row>
    <row r="1047925" customFormat="1" spans="2:14">
      <c r="B1047925" s="26"/>
      <c r="C1047925" s="26"/>
      <c r="D1047925" s="4"/>
      <c r="E1047925" s="26"/>
      <c r="F1047925" s="26"/>
      <c r="G1047925" s="26"/>
      <c r="H1047925" s="26"/>
      <c r="I1047925" s="27"/>
      <c r="J1047925" s="26"/>
      <c r="K1047925" s="26"/>
      <c r="L1047925" s="4"/>
      <c r="M1047925" s="4"/>
      <c r="N1047925" s="26"/>
    </row>
    <row r="1047926" customFormat="1" spans="2:14">
      <c r="B1047926" s="26"/>
      <c r="C1047926" s="26"/>
      <c r="D1047926" s="4"/>
      <c r="E1047926" s="26"/>
      <c r="F1047926" s="26"/>
      <c r="G1047926" s="26"/>
      <c r="H1047926" s="26"/>
      <c r="I1047926" s="27"/>
      <c r="J1047926" s="26"/>
      <c r="K1047926" s="26"/>
      <c r="L1047926" s="4"/>
      <c r="M1047926" s="4"/>
      <c r="N1047926" s="26"/>
    </row>
    <row r="1047927" customFormat="1" spans="2:14">
      <c r="B1047927" s="26"/>
      <c r="C1047927" s="26"/>
      <c r="D1047927" s="4"/>
      <c r="E1047927" s="26"/>
      <c r="F1047927" s="26"/>
      <c r="G1047927" s="26"/>
      <c r="H1047927" s="26"/>
      <c r="I1047927" s="27"/>
      <c r="J1047927" s="26"/>
      <c r="K1047927" s="26"/>
      <c r="L1047927" s="4"/>
      <c r="M1047927" s="4"/>
      <c r="N1047927" s="26"/>
    </row>
    <row r="1047928" customFormat="1" spans="2:14">
      <c r="B1047928" s="26"/>
      <c r="C1047928" s="26"/>
      <c r="D1047928" s="4"/>
      <c r="E1047928" s="26"/>
      <c r="F1047928" s="26"/>
      <c r="G1047928" s="26"/>
      <c r="H1047928" s="26"/>
      <c r="I1047928" s="27"/>
      <c r="J1047928" s="26"/>
      <c r="K1047928" s="26"/>
      <c r="L1047928" s="4"/>
      <c r="M1047928" s="4"/>
      <c r="N1047928" s="26"/>
    </row>
    <row r="1047929" customFormat="1" spans="2:14">
      <c r="B1047929" s="26"/>
      <c r="C1047929" s="26"/>
      <c r="D1047929" s="4"/>
      <c r="E1047929" s="26"/>
      <c r="F1047929" s="26"/>
      <c r="G1047929" s="26"/>
      <c r="H1047929" s="26"/>
      <c r="I1047929" s="27"/>
      <c r="J1047929" s="26"/>
      <c r="K1047929" s="26"/>
      <c r="L1047929" s="4"/>
      <c r="M1047929" s="4"/>
      <c r="N1047929" s="26"/>
    </row>
    <row r="1047930" customFormat="1" spans="2:14">
      <c r="B1047930" s="26"/>
      <c r="C1047930" s="26"/>
      <c r="D1047930" s="4"/>
      <c r="E1047930" s="26"/>
      <c r="F1047930" s="26"/>
      <c r="G1047930" s="26"/>
      <c r="H1047930" s="26"/>
      <c r="I1047930" s="27"/>
      <c r="J1047930" s="26"/>
      <c r="K1047930" s="26"/>
      <c r="L1047930" s="4"/>
      <c r="M1047930" s="4"/>
      <c r="N1047930" s="26"/>
    </row>
    <row r="1047931" customFormat="1" spans="2:14">
      <c r="B1047931" s="26"/>
      <c r="C1047931" s="26"/>
      <c r="D1047931" s="4"/>
      <c r="E1047931" s="26"/>
      <c r="F1047931" s="26"/>
      <c r="G1047931" s="26"/>
      <c r="H1047931" s="26"/>
      <c r="I1047931" s="27"/>
      <c r="J1047931" s="26"/>
      <c r="K1047931" s="26"/>
      <c r="L1047931" s="4"/>
      <c r="M1047931" s="4"/>
      <c r="N1047931" s="26"/>
    </row>
    <row r="1047932" customFormat="1" spans="2:14">
      <c r="B1047932" s="26"/>
      <c r="C1047932" s="26"/>
      <c r="D1047932" s="4"/>
      <c r="E1047932" s="26"/>
      <c r="F1047932" s="26"/>
      <c r="G1047932" s="26"/>
      <c r="H1047932" s="26"/>
      <c r="I1047932" s="27"/>
      <c r="J1047932" s="26"/>
      <c r="K1047932" s="26"/>
      <c r="L1047932" s="4"/>
      <c r="M1047932" s="4"/>
      <c r="N1047932" s="26"/>
    </row>
    <row r="1047933" customFormat="1" spans="2:14">
      <c r="B1047933" s="26"/>
      <c r="C1047933" s="26"/>
      <c r="D1047933" s="4"/>
      <c r="E1047933" s="26"/>
      <c r="F1047933" s="26"/>
      <c r="G1047933" s="26"/>
      <c r="H1047933" s="26"/>
      <c r="I1047933" s="27"/>
      <c r="J1047933" s="26"/>
      <c r="K1047933" s="26"/>
      <c r="L1047933" s="4"/>
      <c r="M1047933" s="4"/>
      <c r="N1047933" s="26"/>
    </row>
    <row r="1047934" customFormat="1" spans="2:14">
      <c r="B1047934" s="26"/>
      <c r="C1047934" s="26"/>
      <c r="D1047934" s="4"/>
      <c r="E1047934" s="26"/>
      <c r="F1047934" s="26"/>
      <c r="G1047934" s="26"/>
      <c r="H1047934" s="26"/>
      <c r="I1047934" s="27"/>
      <c r="J1047934" s="26"/>
      <c r="K1047934" s="26"/>
      <c r="L1047934" s="4"/>
      <c r="M1047934" s="4"/>
      <c r="N1047934" s="26"/>
    </row>
    <row r="1047935" customFormat="1" spans="2:14">
      <c r="B1047935" s="26"/>
      <c r="C1047935" s="26"/>
      <c r="D1047935" s="4"/>
      <c r="E1047935" s="26"/>
      <c r="F1047935" s="26"/>
      <c r="G1047935" s="26"/>
      <c r="H1047935" s="26"/>
      <c r="I1047935" s="27"/>
      <c r="J1047935" s="26"/>
      <c r="K1047935" s="26"/>
      <c r="L1047935" s="4"/>
      <c r="M1047935" s="4"/>
      <c r="N1047935" s="26"/>
    </row>
    <row r="1047936" customFormat="1" spans="2:14">
      <c r="B1047936" s="26"/>
      <c r="C1047936" s="26"/>
      <c r="D1047936" s="4"/>
      <c r="E1047936" s="26"/>
      <c r="F1047936" s="26"/>
      <c r="G1047936" s="26"/>
      <c r="H1047936" s="26"/>
      <c r="I1047936" s="27"/>
      <c r="J1047936" s="26"/>
      <c r="K1047936" s="26"/>
      <c r="L1047936" s="4"/>
      <c r="M1047936" s="4"/>
      <c r="N1047936" s="26"/>
    </row>
    <row r="1047937" customFormat="1" spans="2:14">
      <c r="B1047937" s="26"/>
      <c r="C1047937" s="26"/>
      <c r="D1047937" s="4"/>
      <c r="E1047937" s="26"/>
      <c r="F1047937" s="26"/>
      <c r="G1047937" s="26"/>
      <c r="H1047937" s="26"/>
      <c r="I1047937" s="27"/>
      <c r="J1047937" s="26"/>
      <c r="K1047937" s="26"/>
      <c r="L1047937" s="4"/>
      <c r="M1047937" s="4"/>
      <c r="N1047937" s="26"/>
    </row>
    <row r="1047938" customFormat="1" spans="2:14">
      <c r="B1047938" s="26"/>
      <c r="C1047938" s="26"/>
      <c r="D1047938" s="4"/>
      <c r="E1047938" s="26"/>
      <c r="F1047938" s="26"/>
      <c r="G1047938" s="26"/>
      <c r="H1047938" s="26"/>
      <c r="I1047938" s="27"/>
      <c r="J1047938" s="26"/>
      <c r="K1047938" s="26"/>
      <c r="L1047938" s="4"/>
      <c r="M1047938" s="4"/>
      <c r="N1047938" s="26"/>
    </row>
    <row r="1047939" customFormat="1" spans="2:14">
      <c r="B1047939" s="26"/>
      <c r="C1047939" s="26"/>
      <c r="D1047939" s="4"/>
      <c r="E1047939" s="26"/>
      <c r="F1047939" s="26"/>
      <c r="G1047939" s="26"/>
      <c r="H1047939" s="26"/>
      <c r="I1047939" s="27"/>
      <c r="J1047939" s="26"/>
      <c r="K1047939" s="26"/>
      <c r="L1047939" s="4"/>
      <c r="M1047939" s="4"/>
      <c r="N1047939" s="26"/>
    </row>
    <row r="1047940" customFormat="1" spans="2:14">
      <c r="B1047940" s="26"/>
      <c r="C1047940" s="26"/>
      <c r="D1047940" s="4"/>
      <c r="E1047940" s="26"/>
      <c r="F1047940" s="26"/>
      <c r="G1047940" s="26"/>
      <c r="H1047940" s="26"/>
      <c r="I1047940" s="27"/>
      <c r="J1047940" s="26"/>
      <c r="K1047940" s="26"/>
      <c r="L1047940" s="4"/>
      <c r="M1047940" s="4"/>
      <c r="N1047940" s="26"/>
    </row>
    <row r="1047941" customFormat="1" spans="2:14">
      <c r="B1047941" s="26"/>
      <c r="C1047941" s="26"/>
      <c r="D1047941" s="4"/>
      <c r="E1047941" s="26"/>
      <c r="F1047941" s="26"/>
      <c r="G1047941" s="26"/>
      <c r="H1047941" s="26"/>
      <c r="I1047941" s="27"/>
      <c r="J1047941" s="26"/>
      <c r="K1047941" s="26"/>
      <c r="L1047941" s="4"/>
      <c r="M1047941" s="4"/>
      <c r="N1047941" s="26"/>
    </row>
    <row r="1047942" customFormat="1" spans="2:14">
      <c r="B1047942" s="26"/>
      <c r="C1047942" s="26"/>
      <c r="D1047942" s="4"/>
      <c r="E1047942" s="26"/>
      <c r="F1047942" s="26"/>
      <c r="G1047942" s="26"/>
      <c r="H1047942" s="26"/>
      <c r="I1047942" s="27"/>
      <c r="J1047942" s="26"/>
      <c r="K1047942" s="26"/>
      <c r="L1047942" s="4"/>
      <c r="M1047942" s="4"/>
      <c r="N1047942" s="26"/>
    </row>
    <row r="1047943" customFormat="1" spans="2:14">
      <c r="B1047943" s="26"/>
      <c r="C1047943" s="26"/>
      <c r="D1047943" s="4"/>
      <c r="E1047943" s="26"/>
      <c r="F1047943" s="26"/>
      <c r="G1047943" s="26"/>
      <c r="H1047943" s="26"/>
      <c r="I1047943" s="27"/>
      <c r="J1047943" s="26"/>
      <c r="K1047943" s="26"/>
      <c r="L1047943" s="4"/>
      <c r="M1047943" s="4"/>
      <c r="N1047943" s="26"/>
    </row>
    <row r="1047944" customFormat="1" spans="2:14">
      <c r="B1047944" s="26"/>
      <c r="C1047944" s="26"/>
      <c r="D1047944" s="4"/>
      <c r="E1047944" s="26"/>
      <c r="F1047944" s="26"/>
      <c r="G1047944" s="26"/>
      <c r="H1047944" s="26"/>
      <c r="I1047944" s="27"/>
      <c r="J1047944" s="26"/>
      <c r="K1047944" s="26"/>
      <c r="L1047944" s="4"/>
      <c r="M1047944" s="4"/>
      <c r="N1047944" s="26"/>
    </row>
    <row r="1047945" customFormat="1" spans="2:14">
      <c r="B1047945" s="26"/>
      <c r="C1047945" s="26"/>
      <c r="D1047945" s="4"/>
      <c r="E1047945" s="26"/>
      <c r="F1047945" s="26"/>
      <c r="G1047945" s="26"/>
      <c r="H1047945" s="26"/>
      <c r="I1047945" s="27"/>
      <c r="J1047945" s="26"/>
      <c r="K1047945" s="26"/>
      <c r="L1047945" s="4"/>
      <c r="M1047945" s="4"/>
      <c r="N1047945" s="26"/>
    </row>
    <row r="1047946" customFormat="1" spans="2:14">
      <c r="B1047946" s="26"/>
      <c r="C1047946" s="26"/>
      <c r="D1047946" s="4"/>
      <c r="E1047946" s="26"/>
      <c r="F1047946" s="26"/>
      <c r="G1047946" s="26"/>
      <c r="H1047946" s="26"/>
      <c r="I1047946" s="27"/>
      <c r="J1047946" s="26"/>
      <c r="K1047946" s="26"/>
      <c r="L1047946" s="4"/>
      <c r="M1047946" s="4"/>
      <c r="N1047946" s="26"/>
    </row>
    <row r="1047947" customFormat="1" spans="2:14">
      <c r="B1047947" s="26"/>
      <c r="C1047947" s="26"/>
      <c r="D1047947" s="4"/>
      <c r="E1047947" s="26"/>
      <c r="F1047947" s="26"/>
      <c r="G1047947" s="26"/>
      <c r="H1047947" s="26"/>
      <c r="I1047947" s="27"/>
      <c r="J1047947" s="26"/>
      <c r="K1047947" s="26"/>
      <c r="L1047947" s="4"/>
      <c r="M1047947" s="4"/>
      <c r="N1047947" s="26"/>
    </row>
    <row r="1047948" customFormat="1" spans="2:14">
      <c r="B1047948" s="26"/>
      <c r="C1047948" s="26"/>
      <c r="D1047948" s="4"/>
      <c r="E1047948" s="26"/>
      <c r="F1047948" s="26"/>
      <c r="G1047948" s="26"/>
      <c r="H1047948" s="26"/>
      <c r="I1047948" s="27"/>
      <c r="J1047948" s="26"/>
      <c r="K1047948" s="26"/>
      <c r="L1047948" s="4"/>
      <c r="M1047948" s="4"/>
      <c r="N1047948" s="26"/>
    </row>
    <row r="1047949" customFormat="1" spans="2:14">
      <c r="B1047949" s="26"/>
      <c r="C1047949" s="26"/>
      <c r="D1047949" s="4"/>
      <c r="E1047949" s="26"/>
      <c r="F1047949" s="26"/>
      <c r="G1047949" s="26"/>
      <c r="H1047949" s="26"/>
      <c r="I1047949" s="27"/>
      <c r="J1047949" s="26"/>
      <c r="K1047949" s="26"/>
      <c r="L1047949" s="4"/>
      <c r="M1047949" s="4"/>
      <c r="N1047949" s="26"/>
    </row>
    <row r="1047950" customFormat="1" spans="2:14">
      <c r="B1047950" s="26"/>
      <c r="C1047950" s="26"/>
      <c r="D1047950" s="4"/>
      <c r="E1047950" s="26"/>
      <c r="F1047950" s="26"/>
      <c r="G1047950" s="26"/>
      <c r="H1047950" s="26"/>
      <c r="I1047950" s="27"/>
      <c r="J1047950" s="26"/>
      <c r="K1047950" s="26"/>
      <c r="L1047950" s="4"/>
      <c r="M1047950" s="4"/>
      <c r="N1047950" s="26"/>
    </row>
    <row r="1047951" customFormat="1" spans="2:14">
      <c r="B1047951" s="26"/>
      <c r="C1047951" s="26"/>
      <c r="D1047951" s="4"/>
      <c r="E1047951" s="26"/>
      <c r="F1047951" s="26"/>
      <c r="G1047951" s="26"/>
      <c r="H1047951" s="26"/>
      <c r="I1047951" s="27"/>
      <c r="J1047951" s="26"/>
      <c r="K1047951" s="26"/>
      <c r="L1047951" s="4"/>
      <c r="M1047951" s="4"/>
      <c r="N1047951" s="26"/>
    </row>
    <row r="1047952" customFormat="1" spans="2:14">
      <c r="B1047952" s="26"/>
      <c r="C1047952" s="26"/>
      <c r="D1047952" s="4"/>
      <c r="E1047952" s="26"/>
      <c r="F1047952" s="26"/>
      <c r="G1047952" s="26"/>
      <c r="H1047952" s="26"/>
      <c r="I1047952" s="27"/>
      <c r="J1047952" s="26"/>
      <c r="K1047952" s="26"/>
      <c r="L1047952" s="4"/>
      <c r="M1047952" s="4"/>
      <c r="N1047952" s="26"/>
    </row>
    <row r="1047953" customFormat="1" spans="2:14">
      <c r="B1047953" s="26"/>
      <c r="C1047953" s="26"/>
      <c r="D1047953" s="4"/>
      <c r="E1047953" s="26"/>
      <c r="F1047953" s="26"/>
      <c r="G1047953" s="26"/>
      <c r="H1047953" s="26"/>
      <c r="I1047953" s="27"/>
      <c r="J1047953" s="26"/>
      <c r="K1047953" s="26"/>
      <c r="L1047953" s="4"/>
      <c r="M1047953" s="4"/>
      <c r="N1047953" s="26"/>
    </row>
    <row r="1047954" customFormat="1" spans="2:14">
      <c r="B1047954" s="26"/>
      <c r="C1047954" s="26"/>
      <c r="D1047954" s="4"/>
      <c r="E1047954" s="26"/>
      <c r="F1047954" s="26"/>
      <c r="G1047954" s="26"/>
      <c r="H1047954" s="26"/>
      <c r="I1047954" s="27"/>
      <c r="J1047954" s="26"/>
      <c r="K1047954" s="26"/>
      <c r="L1047954" s="4"/>
      <c r="M1047954" s="4"/>
      <c r="N1047954" s="26"/>
    </row>
    <row r="1047955" customFormat="1" spans="2:14">
      <c r="B1047955" s="26"/>
      <c r="C1047955" s="26"/>
      <c r="D1047955" s="4"/>
      <c r="E1047955" s="26"/>
      <c r="F1047955" s="26"/>
      <c r="G1047955" s="26"/>
      <c r="H1047955" s="26"/>
      <c r="I1047955" s="27"/>
      <c r="J1047955" s="26"/>
      <c r="K1047955" s="26"/>
      <c r="L1047955" s="4"/>
      <c r="M1047955" s="4"/>
      <c r="N1047955" s="26"/>
    </row>
    <row r="1047956" customFormat="1" spans="2:14">
      <c r="B1047956" s="26"/>
      <c r="C1047956" s="26"/>
      <c r="D1047956" s="4"/>
      <c r="E1047956" s="26"/>
      <c r="F1047956" s="26"/>
      <c r="G1047956" s="26"/>
      <c r="H1047956" s="26"/>
      <c r="I1047956" s="27"/>
      <c r="J1047956" s="26"/>
      <c r="K1047956" s="26"/>
      <c r="L1047956" s="4"/>
      <c r="M1047956" s="4"/>
      <c r="N1047956" s="26"/>
    </row>
    <row r="1047957" customFormat="1" spans="2:14">
      <c r="B1047957" s="26"/>
      <c r="C1047957" s="26"/>
      <c r="D1047957" s="4"/>
      <c r="E1047957" s="26"/>
      <c r="F1047957" s="26"/>
      <c r="G1047957" s="26"/>
      <c r="H1047957" s="26"/>
      <c r="I1047957" s="27"/>
      <c r="J1047957" s="26"/>
      <c r="K1047957" s="26"/>
      <c r="L1047957" s="4"/>
      <c r="M1047957" s="4"/>
      <c r="N1047957" s="26"/>
    </row>
    <row r="1047958" customFormat="1" spans="2:14">
      <c r="B1047958" s="26"/>
      <c r="C1047958" s="26"/>
      <c r="D1047958" s="4"/>
      <c r="E1047958" s="26"/>
      <c r="F1047958" s="26"/>
      <c r="G1047958" s="26"/>
      <c r="H1047958" s="26"/>
      <c r="I1047958" s="27"/>
      <c r="J1047958" s="26"/>
      <c r="K1047958" s="26"/>
      <c r="L1047958" s="4"/>
      <c r="M1047958" s="4"/>
      <c r="N1047958" s="26"/>
    </row>
    <row r="1047959" customFormat="1" spans="2:14">
      <c r="B1047959" s="26"/>
      <c r="C1047959" s="26"/>
      <c r="D1047959" s="4"/>
      <c r="E1047959" s="26"/>
      <c r="F1047959" s="26"/>
      <c r="G1047959" s="26"/>
      <c r="H1047959" s="26"/>
      <c r="I1047959" s="27"/>
      <c r="J1047959" s="26"/>
      <c r="K1047959" s="26"/>
      <c r="L1047959" s="4"/>
      <c r="M1047959" s="4"/>
      <c r="N1047959" s="26"/>
    </row>
    <row r="1047960" customFormat="1" spans="2:14">
      <c r="B1047960" s="26"/>
      <c r="C1047960" s="26"/>
      <c r="D1047960" s="4"/>
      <c r="E1047960" s="26"/>
      <c r="F1047960" s="26"/>
      <c r="G1047960" s="26"/>
      <c r="H1047960" s="26"/>
      <c r="I1047960" s="27"/>
      <c r="J1047960" s="26"/>
      <c r="K1047960" s="26"/>
      <c r="L1047960" s="4"/>
      <c r="M1047960" s="4"/>
      <c r="N1047960" s="26"/>
    </row>
    <row r="1047961" customFormat="1" spans="2:14">
      <c r="B1047961" s="26"/>
      <c r="C1047961" s="26"/>
      <c r="D1047961" s="4"/>
      <c r="E1047961" s="26"/>
      <c r="F1047961" s="26"/>
      <c r="G1047961" s="26"/>
      <c r="H1047961" s="26"/>
      <c r="I1047961" s="27"/>
      <c r="J1047961" s="26"/>
      <c r="K1047961" s="26"/>
      <c r="L1047961" s="4"/>
      <c r="M1047961" s="4"/>
      <c r="N1047961" s="26"/>
    </row>
    <row r="1047962" customFormat="1" spans="2:14">
      <c r="B1047962" s="26"/>
      <c r="C1047962" s="26"/>
      <c r="D1047962" s="4"/>
      <c r="E1047962" s="26"/>
      <c r="F1047962" s="26"/>
      <c r="G1047962" s="26"/>
      <c r="H1047962" s="26"/>
      <c r="I1047962" s="27"/>
      <c r="J1047962" s="26"/>
      <c r="K1047962" s="26"/>
      <c r="L1047962" s="4"/>
      <c r="M1047962" s="4"/>
      <c r="N1047962" s="26"/>
    </row>
    <row r="1047963" customFormat="1" spans="2:14">
      <c r="B1047963" s="26"/>
      <c r="C1047963" s="26"/>
      <c r="D1047963" s="4"/>
      <c r="E1047963" s="26"/>
      <c r="F1047963" s="26"/>
      <c r="G1047963" s="26"/>
      <c r="H1047963" s="26"/>
      <c r="I1047963" s="27"/>
      <c r="J1047963" s="26"/>
      <c r="K1047963" s="26"/>
      <c r="L1047963" s="4"/>
      <c r="M1047963" s="4"/>
      <c r="N1047963" s="26"/>
    </row>
    <row r="1047964" customFormat="1" spans="2:14">
      <c r="B1047964" s="26"/>
      <c r="C1047964" s="26"/>
      <c r="D1047964" s="4"/>
      <c r="E1047964" s="26"/>
      <c r="F1047964" s="26"/>
      <c r="G1047964" s="26"/>
      <c r="H1047964" s="26"/>
      <c r="I1047964" s="27"/>
      <c r="J1047964" s="26"/>
      <c r="K1047964" s="26"/>
      <c r="L1047964" s="4"/>
      <c r="M1047964" s="4"/>
      <c r="N1047964" s="26"/>
    </row>
    <row r="1047965" customFormat="1" spans="2:14">
      <c r="B1047965" s="26"/>
      <c r="C1047965" s="26"/>
      <c r="D1047965" s="4"/>
      <c r="E1047965" s="26"/>
      <c r="F1047965" s="26"/>
      <c r="G1047965" s="26"/>
      <c r="H1047965" s="26"/>
      <c r="I1047965" s="27"/>
      <c r="J1047965" s="26"/>
      <c r="K1047965" s="26"/>
      <c r="L1047965" s="4"/>
      <c r="M1047965" s="4"/>
      <c r="N1047965" s="26"/>
    </row>
    <row r="1047966" customFormat="1" spans="2:14">
      <c r="B1047966" s="26"/>
      <c r="C1047966" s="26"/>
      <c r="D1047966" s="4"/>
      <c r="E1047966" s="26"/>
      <c r="F1047966" s="26"/>
      <c r="G1047966" s="26"/>
      <c r="H1047966" s="26"/>
      <c r="I1047966" s="27"/>
      <c r="J1047966" s="26"/>
      <c r="K1047966" s="26"/>
      <c r="L1047966" s="4"/>
      <c r="M1047966" s="4"/>
      <c r="N1047966" s="26"/>
    </row>
    <row r="1047967" customFormat="1" spans="2:14">
      <c r="B1047967" s="26"/>
      <c r="C1047967" s="26"/>
      <c r="D1047967" s="4"/>
      <c r="E1047967" s="26"/>
      <c r="F1047967" s="26"/>
      <c r="G1047967" s="26"/>
      <c r="H1047967" s="26"/>
      <c r="I1047967" s="27"/>
      <c r="J1047967" s="26"/>
      <c r="K1047967" s="26"/>
      <c r="L1047967" s="4"/>
      <c r="M1047967" s="4"/>
      <c r="N1047967" s="26"/>
    </row>
    <row r="1047968" customFormat="1" spans="2:14">
      <c r="B1047968" s="26"/>
      <c r="C1047968" s="26"/>
      <c r="D1047968" s="4"/>
      <c r="E1047968" s="26"/>
      <c r="F1047968" s="26"/>
      <c r="G1047968" s="26"/>
      <c r="H1047968" s="26"/>
      <c r="I1047968" s="27"/>
      <c r="J1047968" s="26"/>
      <c r="K1047968" s="26"/>
      <c r="L1047968" s="4"/>
      <c r="M1047968" s="4"/>
      <c r="N1047968" s="26"/>
    </row>
    <row r="1047969" customFormat="1" spans="2:14">
      <c r="B1047969" s="26"/>
      <c r="C1047969" s="26"/>
      <c r="D1047969" s="4"/>
      <c r="E1047969" s="26"/>
      <c r="F1047969" s="26"/>
      <c r="G1047969" s="26"/>
      <c r="H1047969" s="26"/>
      <c r="I1047969" s="27"/>
      <c r="J1047969" s="26"/>
      <c r="K1047969" s="26"/>
      <c r="L1047969" s="4"/>
      <c r="M1047969" s="4"/>
      <c r="N1047969" s="26"/>
    </row>
    <row r="1047970" customFormat="1" spans="2:14">
      <c r="B1047970" s="26"/>
      <c r="C1047970" s="26"/>
      <c r="D1047970" s="4"/>
      <c r="E1047970" s="26"/>
      <c r="F1047970" s="26"/>
      <c r="G1047970" s="26"/>
      <c r="H1047970" s="26"/>
      <c r="I1047970" s="27"/>
      <c r="J1047970" s="26"/>
      <c r="K1047970" s="26"/>
      <c r="L1047970" s="4"/>
      <c r="M1047970" s="4"/>
      <c r="N1047970" s="26"/>
    </row>
    <row r="1047971" customFormat="1" spans="2:14">
      <c r="B1047971" s="26"/>
      <c r="C1047971" s="26"/>
      <c r="D1047971" s="4"/>
      <c r="E1047971" s="26"/>
      <c r="F1047971" s="26"/>
      <c r="G1047971" s="26"/>
      <c r="H1047971" s="26"/>
      <c r="I1047971" s="27"/>
      <c r="J1047971" s="26"/>
      <c r="K1047971" s="26"/>
      <c r="L1047971" s="4"/>
      <c r="M1047971" s="4"/>
      <c r="N1047971" s="26"/>
    </row>
    <row r="1047972" customFormat="1" spans="2:14">
      <c r="B1047972" s="26"/>
      <c r="C1047972" s="26"/>
      <c r="D1047972" s="4"/>
      <c r="E1047972" s="26"/>
      <c r="F1047972" s="26"/>
      <c r="G1047972" s="26"/>
      <c r="H1047972" s="26"/>
      <c r="I1047972" s="27"/>
      <c r="J1047972" s="26"/>
      <c r="K1047972" s="26"/>
      <c r="L1047972" s="4"/>
      <c r="M1047972" s="4"/>
      <c r="N1047972" s="26"/>
    </row>
    <row r="1047973" customFormat="1" spans="2:14">
      <c r="B1047973" s="26"/>
      <c r="C1047973" s="26"/>
      <c r="D1047973" s="4"/>
      <c r="E1047973" s="26"/>
      <c r="F1047973" s="26"/>
      <c r="G1047973" s="26"/>
      <c r="H1047973" s="26"/>
      <c r="I1047973" s="27"/>
      <c r="J1047973" s="26"/>
      <c r="K1047973" s="26"/>
      <c r="L1047973" s="4"/>
      <c r="M1047973" s="4"/>
      <c r="N1047973" s="26"/>
    </row>
    <row r="1047974" customFormat="1" spans="2:14">
      <c r="B1047974" s="26"/>
      <c r="C1047974" s="26"/>
      <c r="D1047974" s="4"/>
      <c r="E1047974" s="26"/>
      <c r="F1047974" s="26"/>
      <c r="G1047974" s="26"/>
      <c r="H1047974" s="26"/>
      <c r="I1047974" s="27"/>
      <c r="J1047974" s="26"/>
      <c r="K1047974" s="26"/>
      <c r="L1047974" s="4"/>
      <c r="M1047974" s="4"/>
      <c r="N1047974" s="26"/>
    </row>
    <row r="1047975" customFormat="1" spans="2:14">
      <c r="B1047975" s="26"/>
      <c r="C1047975" s="26"/>
      <c r="D1047975" s="4"/>
      <c r="E1047975" s="26"/>
      <c r="F1047975" s="26"/>
      <c r="G1047975" s="26"/>
      <c r="H1047975" s="26"/>
      <c r="I1047975" s="27"/>
      <c r="J1047975" s="26"/>
      <c r="K1047975" s="26"/>
      <c r="L1047975" s="4"/>
      <c r="M1047975" s="4"/>
      <c r="N1047975" s="26"/>
    </row>
    <row r="1047976" customFormat="1" spans="2:14">
      <c r="B1047976" s="26"/>
      <c r="C1047976" s="26"/>
      <c r="D1047976" s="4"/>
      <c r="E1047976" s="26"/>
      <c r="F1047976" s="26"/>
      <c r="G1047976" s="26"/>
      <c r="H1047976" s="26"/>
      <c r="I1047976" s="27"/>
      <c r="J1047976" s="26"/>
      <c r="K1047976" s="26"/>
      <c r="L1047976" s="4"/>
      <c r="M1047976" s="4"/>
      <c r="N1047976" s="26"/>
    </row>
    <row r="1047977" customFormat="1" spans="2:14">
      <c r="B1047977" s="26"/>
      <c r="C1047977" s="26"/>
      <c r="D1047977" s="4"/>
      <c r="E1047977" s="26"/>
      <c r="F1047977" s="26"/>
      <c r="G1047977" s="26"/>
      <c r="H1047977" s="26"/>
      <c r="I1047977" s="27"/>
      <c r="J1047977" s="26"/>
      <c r="K1047977" s="26"/>
      <c r="L1047977" s="4"/>
      <c r="M1047977" s="4"/>
      <c r="N1047977" s="26"/>
    </row>
    <row r="1047978" customFormat="1" spans="2:14">
      <c r="B1047978" s="26"/>
      <c r="C1047978" s="26"/>
      <c r="D1047978" s="4"/>
      <c r="E1047978" s="26"/>
      <c r="F1047978" s="26"/>
      <c r="G1047978" s="26"/>
      <c r="H1047978" s="26"/>
      <c r="I1047978" s="27"/>
      <c r="J1047978" s="26"/>
      <c r="K1047978" s="26"/>
      <c r="L1047978" s="4"/>
      <c r="M1047978" s="4"/>
      <c r="N1047978" s="26"/>
    </row>
    <row r="1047979" customFormat="1" spans="2:14">
      <c r="B1047979" s="26"/>
      <c r="C1047979" s="26"/>
      <c r="D1047979" s="4"/>
      <c r="E1047979" s="26"/>
      <c r="F1047979" s="26"/>
      <c r="G1047979" s="26"/>
      <c r="H1047979" s="26"/>
      <c r="I1047979" s="27"/>
      <c r="J1047979" s="26"/>
      <c r="K1047979" s="26"/>
      <c r="L1047979" s="4"/>
      <c r="M1047979" s="4"/>
      <c r="N1047979" s="26"/>
    </row>
    <row r="1047980" customFormat="1" spans="2:14">
      <c r="B1047980" s="26"/>
      <c r="C1047980" s="26"/>
      <c r="D1047980" s="4"/>
      <c r="E1047980" s="26"/>
      <c r="F1047980" s="26"/>
      <c r="G1047980" s="26"/>
      <c r="H1047980" s="26"/>
      <c r="I1047980" s="27"/>
      <c r="J1047980" s="26"/>
      <c r="K1047980" s="26"/>
      <c r="L1047980" s="4"/>
      <c r="M1047980" s="4"/>
      <c r="N1047980" s="26"/>
    </row>
    <row r="1047981" customFormat="1" spans="2:14">
      <c r="B1047981" s="26"/>
      <c r="C1047981" s="26"/>
      <c r="D1047981" s="4"/>
      <c r="E1047981" s="26"/>
      <c r="F1047981" s="26"/>
      <c r="G1047981" s="26"/>
      <c r="H1047981" s="26"/>
      <c r="I1047981" s="27"/>
      <c r="J1047981" s="26"/>
      <c r="K1047981" s="26"/>
      <c r="L1047981" s="4"/>
      <c r="M1047981" s="4"/>
      <c r="N1047981" s="26"/>
    </row>
    <row r="1047982" customFormat="1" spans="2:14">
      <c r="B1047982" s="26"/>
      <c r="C1047982" s="26"/>
      <c r="D1047982" s="4"/>
      <c r="E1047982" s="26"/>
      <c r="F1047982" s="26"/>
      <c r="G1047982" s="26"/>
      <c r="H1047982" s="26"/>
      <c r="I1047982" s="27"/>
      <c r="J1047982" s="26"/>
      <c r="K1047982" s="26"/>
      <c r="L1047982" s="4"/>
      <c r="M1047982" s="4"/>
      <c r="N1047982" s="26"/>
    </row>
    <row r="1047983" customFormat="1" spans="2:14">
      <c r="B1047983" s="26"/>
      <c r="C1047983" s="26"/>
      <c r="D1047983" s="4"/>
      <c r="E1047983" s="26"/>
      <c r="F1047983" s="26"/>
      <c r="G1047983" s="26"/>
      <c r="H1047983" s="26"/>
      <c r="I1047983" s="27"/>
      <c r="J1047983" s="26"/>
      <c r="K1047983" s="26"/>
      <c r="L1047983" s="4"/>
      <c r="M1047983" s="4"/>
      <c r="N1047983" s="26"/>
    </row>
    <row r="1047984" customFormat="1" spans="2:14">
      <c r="B1047984" s="26"/>
      <c r="C1047984" s="26"/>
      <c r="D1047984" s="4"/>
      <c r="E1047984" s="26"/>
      <c r="F1047984" s="26"/>
      <c r="G1047984" s="26"/>
      <c r="H1047984" s="26"/>
      <c r="I1047984" s="27"/>
      <c r="J1047984" s="26"/>
      <c r="K1047984" s="26"/>
      <c r="L1047984" s="4"/>
      <c r="M1047984" s="4"/>
      <c r="N1047984" s="26"/>
    </row>
    <row r="1047985" customFormat="1" spans="2:14">
      <c r="B1047985" s="26"/>
      <c r="C1047985" s="26"/>
      <c r="D1047985" s="4"/>
      <c r="E1047985" s="26"/>
      <c r="F1047985" s="26"/>
      <c r="G1047985" s="26"/>
      <c r="H1047985" s="26"/>
      <c r="I1047985" s="27"/>
      <c r="J1047985" s="26"/>
      <c r="K1047985" s="26"/>
      <c r="L1047985" s="4"/>
      <c r="M1047985" s="4"/>
      <c r="N1047985" s="26"/>
    </row>
    <row r="1047986" customFormat="1" spans="2:14">
      <c r="B1047986" s="26"/>
      <c r="C1047986" s="26"/>
      <c r="D1047986" s="4"/>
      <c r="E1047986" s="26"/>
      <c r="F1047986" s="26"/>
      <c r="G1047986" s="26"/>
      <c r="H1047986" s="26"/>
      <c r="I1047986" s="27"/>
      <c r="J1047986" s="26"/>
      <c r="K1047986" s="26"/>
      <c r="L1047986" s="4"/>
      <c r="M1047986" s="4"/>
      <c r="N1047986" s="26"/>
    </row>
    <row r="1047987" customFormat="1" spans="2:14">
      <c r="B1047987" s="26"/>
      <c r="C1047987" s="26"/>
      <c r="D1047987" s="4"/>
      <c r="E1047987" s="26"/>
      <c r="F1047987" s="26"/>
      <c r="G1047987" s="26"/>
      <c r="H1047987" s="26"/>
      <c r="I1047987" s="27"/>
      <c r="J1047987" s="26"/>
      <c r="K1047987" s="26"/>
      <c r="L1047987" s="4"/>
      <c r="M1047987" s="4"/>
      <c r="N1047987" s="26"/>
    </row>
    <row r="1047988" customFormat="1" spans="2:14">
      <c r="B1047988" s="26"/>
      <c r="C1047988" s="26"/>
      <c r="D1047988" s="4"/>
      <c r="E1047988" s="26"/>
      <c r="F1047988" s="26"/>
      <c r="G1047988" s="26"/>
      <c r="H1047988" s="26"/>
      <c r="I1047988" s="27"/>
      <c r="J1047988" s="26"/>
      <c r="K1047988" s="26"/>
      <c r="L1047988" s="4"/>
      <c r="M1047988" s="4"/>
      <c r="N1047988" s="26"/>
    </row>
    <row r="1047989" customFormat="1" spans="2:14">
      <c r="B1047989" s="26"/>
      <c r="C1047989" s="26"/>
      <c r="D1047989" s="4"/>
      <c r="E1047989" s="26"/>
      <c r="F1047989" s="26"/>
      <c r="G1047989" s="26"/>
      <c r="H1047989" s="26"/>
      <c r="I1047989" s="27"/>
      <c r="J1047989" s="26"/>
      <c r="K1047989" s="26"/>
      <c r="L1047989" s="4"/>
      <c r="M1047989" s="4"/>
      <c r="N1047989" s="26"/>
    </row>
    <row r="1047990" customFormat="1" spans="2:14">
      <c r="B1047990" s="26"/>
      <c r="C1047990" s="26"/>
      <c r="D1047990" s="4"/>
      <c r="E1047990" s="26"/>
      <c r="F1047990" s="26"/>
      <c r="G1047990" s="26"/>
      <c r="H1047990" s="26"/>
      <c r="I1047990" s="27"/>
      <c r="J1047990" s="26"/>
      <c r="K1047990" s="26"/>
      <c r="L1047990" s="4"/>
      <c r="M1047990" s="4"/>
      <c r="N1047990" s="26"/>
    </row>
    <row r="1047991" customFormat="1" spans="2:14">
      <c r="B1047991" s="26"/>
      <c r="C1047991" s="26"/>
      <c r="D1047991" s="4"/>
      <c r="E1047991" s="26"/>
      <c r="F1047991" s="26"/>
      <c r="G1047991" s="26"/>
      <c r="H1047991" s="26"/>
      <c r="I1047991" s="27"/>
      <c r="J1047991" s="26"/>
      <c r="K1047991" s="26"/>
      <c r="L1047991" s="4"/>
      <c r="M1047991" s="4"/>
      <c r="N1047991" s="26"/>
    </row>
    <row r="1047992" customFormat="1" spans="2:14">
      <c r="B1047992" s="26"/>
      <c r="C1047992" s="26"/>
      <c r="D1047992" s="4"/>
      <c r="E1047992" s="26"/>
      <c r="F1047992" s="26"/>
      <c r="G1047992" s="26"/>
      <c r="H1047992" s="26"/>
      <c r="I1047992" s="27"/>
      <c r="J1047992" s="26"/>
      <c r="K1047992" s="26"/>
      <c r="L1047992" s="4"/>
      <c r="M1047992" s="4"/>
      <c r="N1047992" s="26"/>
    </row>
    <row r="1047993" customFormat="1" spans="2:14">
      <c r="B1047993" s="26"/>
      <c r="C1047993" s="26"/>
      <c r="D1047993" s="4"/>
      <c r="E1047993" s="26"/>
      <c r="F1047993" s="26"/>
      <c r="G1047993" s="26"/>
      <c r="H1047993" s="26"/>
      <c r="I1047993" s="27"/>
      <c r="J1047993" s="26"/>
      <c r="K1047993" s="26"/>
      <c r="L1047993" s="4"/>
      <c r="M1047993" s="4"/>
      <c r="N1047993" s="26"/>
    </row>
    <row r="1047994" customFormat="1" spans="2:14">
      <c r="B1047994" s="26"/>
      <c r="C1047994" s="26"/>
      <c r="D1047994" s="4"/>
      <c r="E1047994" s="26"/>
      <c r="F1047994" s="26"/>
      <c r="G1047994" s="26"/>
      <c r="H1047994" s="26"/>
      <c r="I1047994" s="27"/>
      <c r="J1047994" s="26"/>
      <c r="K1047994" s="26"/>
      <c r="L1047994" s="4"/>
      <c r="M1047994" s="4"/>
      <c r="N1047994" s="26"/>
    </row>
    <row r="1047995" customFormat="1" spans="2:14">
      <c r="B1047995" s="26"/>
      <c r="C1047995" s="26"/>
      <c r="D1047995" s="4"/>
      <c r="E1047995" s="26"/>
      <c r="F1047995" s="26"/>
      <c r="G1047995" s="26"/>
      <c r="H1047995" s="26"/>
      <c r="I1047995" s="27"/>
      <c r="J1047995" s="26"/>
      <c r="K1047995" s="26"/>
      <c r="L1047995" s="4"/>
      <c r="M1047995" s="4"/>
      <c r="N1047995" s="26"/>
    </row>
    <row r="1047996" customFormat="1" spans="2:14">
      <c r="B1047996" s="26"/>
      <c r="C1047996" s="26"/>
      <c r="D1047996" s="4"/>
      <c r="E1047996" s="26"/>
      <c r="F1047996" s="26"/>
      <c r="G1047996" s="26"/>
      <c r="H1047996" s="26"/>
      <c r="I1047996" s="27"/>
      <c r="J1047996" s="26"/>
      <c r="K1047996" s="26"/>
      <c r="L1047996" s="4"/>
      <c r="M1047996" s="4"/>
      <c r="N1047996" s="26"/>
    </row>
    <row r="1047997" customFormat="1" spans="2:14">
      <c r="B1047997" s="26"/>
      <c r="C1047997" s="26"/>
      <c r="D1047997" s="4"/>
      <c r="E1047997" s="26"/>
      <c r="F1047997" s="26"/>
      <c r="G1047997" s="26"/>
      <c r="H1047997" s="26"/>
      <c r="I1047997" s="27"/>
      <c r="J1047997" s="26"/>
      <c r="K1047997" s="26"/>
      <c r="L1047997" s="4"/>
      <c r="M1047997" s="4"/>
      <c r="N1047997" s="26"/>
    </row>
    <row r="1047998" customFormat="1" spans="2:14">
      <c r="B1047998" s="26"/>
      <c r="C1047998" s="26"/>
      <c r="D1047998" s="4"/>
      <c r="E1047998" s="26"/>
      <c r="F1047998" s="26"/>
      <c r="G1047998" s="26"/>
      <c r="H1047998" s="26"/>
      <c r="I1047998" s="27"/>
      <c r="J1047998" s="26"/>
      <c r="K1047998" s="26"/>
      <c r="L1047998" s="4"/>
      <c r="M1047998" s="4"/>
      <c r="N1047998" s="26"/>
    </row>
    <row r="1047999" customFormat="1" spans="2:14">
      <c r="B1047999" s="26"/>
      <c r="C1047999" s="26"/>
      <c r="D1047999" s="4"/>
      <c r="E1047999" s="26"/>
      <c r="F1047999" s="26"/>
      <c r="G1047999" s="26"/>
      <c r="H1047999" s="26"/>
      <c r="I1047999" s="27"/>
      <c r="J1047999" s="26"/>
      <c r="K1047999" s="26"/>
      <c r="L1047999" s="4"/>
      <c r="M1047999" s="4"/>
      <c r="N1047999" s="26"/>
    </row>
    <row r="1048000" customFormat="1" spans="2:14">
      <c r="B1048000" s="26"/>
      <c r="C1048000" s="26"/>
      <c r="D1048000" s="4"/>
      <c r="E1048000" s="26"/>
      <c r="F1048000" s="26"/>
      <c r="G1048000" s="26"/>
      <c r="H1048000" s="26"/>
      <c r="I1048000" s="27"/>
      <c r="J1048000" s="26"/>
      <c r="K1048000" s="26"/>
      <c r="L1048000" s="4"/>
      <c r="M1048000" s="4"/>
      <c r="N1048000" s="26"/>
    </row>
    <row r="1048001" customFormat="1" spans="2:14">
      <c r="B1048001" s="26"/>
      <c r="C1048001" s="26"/>
      <c r="D1048001" s="4"/>
      <c r="E1048001" s="26"/>
      <c r="F1048001" s="26"/>
      <c r="G1048001" s="26"/>
      <c r="H1048001" s="26"/>
      <c r="I1048001" s="27"/>
      <c r="J1048001" s="26"/>
      <c r="K1048001" s="26"/>
      <c r="L1048001" s="4"/>
      <c r="M1048001" s="4"/>
      <c r="N1048001" s="26"/>
    </row>
    <row r="1048002" customFormat="1" spans="2:14">
      <c r="B1048002" s="26"/>
      <c r="C1048002" s="26"/>
      <c r="D1048002" s="4"/>
      <c r="E1048002" s="26"/>
      <c r="F1048002" s="26"/>
      <c r="G1048002" s="26"/>
      <c r="H1048002" s="26"/>
      <c r="I1048002" s="27"/>
      <c r="J1048002" s="26"/>
      <c r="K1048002" s="26"/>
      <c r="L1048002" s="4"/>
      <c r="M1048002" s="4"/>
      <c r="N1048002" s="26"/>
    </row>
    <row r="1048003" customFormat="1" spans="2:14">
      <c r="B1048003" s="26"/>
      <c r="C1048003" s="26"/>
      <c r="D1048003" s="4"/>
      <c r="E1048003" s="26"/>
      <c r="F1048003" s="26"/>
      <c r="G1048003" s="26"/>
      <c r="H1048003" s="26"/>
      <c r="I1048003" s="27"/>
      <c r="J1048003" s="26"/>
      <c r="K1048003" s="26"/>
      <c r="L1048003" s="4"/>
      <c r="M1048003" s="4"/>
      <c r="N1048003" s="26"/>
    </row>
    <row r="1048004" customFormat="1" spans="2:14">
      <c r="B1048004" s="26"/>
      <c r="C1048004" s="26"/>
      <c r="D1048004" s="4"/>
      <c r="E1048004" s="26"/>
      <c r="F1048004" s="26"/>
      <c r="G1048004" s="26"/>
      <c r="H1048004" s="26"/>
      <c r="I1048004" s="27"/>
      <c r="J1048004" s="26"/>
      <c r="K1048004" s="26"/>
      <c r="L1048004" s="4"/>
      <c r="M1048004" s="4"/>
      <c r="N1048004" s="26"/>
    </row>
    <row r="1048005" customFormat="1" spans="2:14">
      <c r="B1048005" s="26"/>
      <c r="C1048005" s="26"/>
      <c r="D1048005" s="4"/>
      <c r="E1048005" s="26"/>
      <c r="F1048005" s="26"/>
      <c r="G1048005" s="26"/>
      <c r="H1048005" s="26"/>
      <c r="I1048005" s="27"/>
      <c r="J1048005" s="26"/>
      <c r="K1048005" s="26"/>
      <c r="L1048005" s="4"/>
      <c r="M1048005" s="4"/>
      <c r="N1048005" s="26"/>
    </row>
    <row r="1048006" customFormat="1" spans="2:14">
      <c r="B1048006" s="26"/>
      <c r="C1048006" s="26"/>
      <c r="D1048006" s="4"/>
      <c r="E1048006" s="26"/>
      <c r="F1048006" s="26"/>
      <c r="G1048006" s="26"/>
      <c r="H1048006" s="26"/>
      <c r="I1048006" s="27"/>
      <c r="J1048006" s="26"/>
      <c r="K1048006" s="26"/>
      <c r="L1048006" s="4"/>
      <c r="M1048006" s="4"/>
      <c r="N1048006" s="26"/>
    </row>
    <row r="1048007" customFormat="1" spans="2:14">
      <c r="B1048007" s="26"/>
      <c r="C1048007" s="26"/>
      <c r="D1048007" s="4"/>
      <c r="E1048007" s="26"/>
      <c r="F1048007" s="26"/>
      <c r="G1048007" s="26"/>
      <c r="H1048007" s="26"/>
      <c r="I1048007" s="27"/>
      <c r="J1048007" s="26"/>
      <c r="K1048007" s="26"/>
      <c r="L1048007" s="4"/>
      <c r="M1048007" s="4"/>
      <c r="N1048007" s="26"/>
    </row>
    <row r="1048008" customFormat="1" spans="2:14">
      <c r="B1048008" s="26"/>
      <c r="C1048008" s="26"/>
      <c r="D1048008" s="4"/>
      <c r="E1048008" s="26"/>
      <c r="F1048008" s="26"/>
      <c r="G1048008" s="26"/>
      <c r="H1048008" s="26"/>
      <c r="I1048008" s="27"/>
      <c r="J1048008" s="26"/>
      <c r="K1048008" s="26"/>
      <c r="L1048008" s="4"/>
      <c r="M1048008" s="4"/>
      <c r="N1048008" s="26"/>
    </row>
    <row r="1048009" customFormat="1" spans="2:14">
      <c r="B1048009" s="26"/>
      <c r="C1048009" s="26"/>
      <c r="D1048009" s="4"/>
      <c r="E1048009" s="26"/>
      <c r="F1048009" s="26"/>
      <c r="G1048009" s="26"/>
      <c r="H1048009" s="26"/>
      <c r="I1048009" s="27"/>
      <c r="J1048009" s="26"/>
      <c r="K1048009" s="26"/>
      <c r="L1048009" s="4"/>
      <c r="M1048009" s="4"/>
      <c r="N1048009" s="26"/>
    </row>
    <row r="1048010" customFormat="1" spans="2:14">
      <c r="B1048010" s="26"/>
      <c r="C1048010" s="26"/>
      <c r="D1048010" s="4"/>
      <c r="E1048010" s="26"/>
      <c r="F1048010" s="26"/>
      <c r="G1048010" s="26"/>
      <c r="H1048010" s="26"/>
      <c r="I1048010" s="27"/>
      <c r="J1048010" s="26"/>
      <c r="K1048010" s="26"/>
      <c r="L1048010" s="4"/>
      <c r="M1048010" s="4"/>
      <c r="N1048010" s="26"/>
    </row>
    <row r="1048011" customFormat="1" spans="2:14">
      <c r="B1048011" s="26"/>
      <c r="C1048011" s="26"/>
      <c r="D1048011" s="4"/>
      <c r="E1048011" s="26"/>
      <c r="F1048011" s="26"/>
      <c r="G1048011" s="26"/>
      <c r="H1048011" s="26"/>
      <c r="I1048011" s="27"/>
      <c r="J1048011" s="26"/>
      <c r="K1048011" s="26"/>
      <c r="L1048011" s="4"/>
      <c r="M1048011" s="4"/>
      <c r="N1048011" s="26"/>
    </row>
    <row r="1048012" customFormat="1" spans="2:14">
      <c r="B1048012" s="26"/>
      <c r="C1048012" s="26"/>
      <c r="D1048012" s="4"/>
      <c r="E1048012" s="26"/>
      <c r="F1048012" s="26"/>
      <c r="G1048012" s="26"/>
      <c r="H1048012" s="26"/>
      <c r="I1048012" s="27"/>
      <c r="J1048012" s="26"/>
      <c r="K1048012" s="26"/>
      <c r="L1048012" s="4"/>
      <c r="M1048012" s="4"/>
      <c r="N1048012" s="26"/>
    </row>
    <row r="1048013" customFormat="1" spans="2:14">
      <c r="B1048013" s="26"/>
      <c r="C1048013" s="26"/>
      <c r="D1048013" s="4"/>
      <c r="E1048013" s="26"/>
      <c r="F1048013" s="26"/>
      <c r="G1048013" s="26"/>
      <c r="H1048013" s="26"/>
      <c r="I1048013" s="27"/>
      <c r="J1048013" s="26"/>
      <c r="K1048013" s="26"/>
      <c r="L1048013" s="4"/>
      <c r="M1048013" s="4"/>
      <c r="N1048013" s="26"/>
    </row>
    <row r="1048014" customFormat="1" spans="2:14">
      <c r="B1048014" s="26"/>
      <c r="C1048014" s="26"/>
      <c r="D1048014" s="4"/>
      <c r="E1048014" s="26"/>
      <c r="F1048014" s="26"/>
      <c r="G1048014" s="26"/>
      <c r="H1048014" s="26"/>
      <c r="I1048014" s="27"/>
      <c r="J1048014" s="26"/>
      <c r="K1048014" s="26"/>
      <c r="L1048014" s="4"/>
      <c r="M1048014" s="4"/>
      <c r="N1048014" s="26"/>
    </row>
    <row r="1048015" customFormat="1" spans="2:14">
      <c r="B1048015" s="26"/>
      <c r="C1048015" s="26"/>
      <c r="D1048015" s="4"/>
      <c r="E1048015" s="26"/>
      <c r="F1048015" s="26"/>
      <c r="G1048015" s="26"/>
      <c r="H1048015" s="26"/>
      <c r="I1048015" s="27"/>
      <c r="J1048015" s="26"/>
      <c r="K1048015" s="26"/>
      <c r="L1048015" s="4"/>
      <c r="M1048015" s="4"/>
      <c r="N1048015" s="26"/>
    </row>
    <row r="1048016" customFormat="1" spans="2:14">
      <c r="B1048016" s="26"/>
      <c r="C1048016" s="26"/>
      <c r="D1048016" s="4"/>
      <c r="E1048016" s="26"/>
      <c r="F1048016" s="26"/>
      <c r="G1048016" s="26"/>
      <c r="H1048016" s="26"/>
      <c r="I1048016" s="27"/>
      <c r="J1048016" s="26"/>
      <c r="K1048016" s="26"/>
      <c r="L1048016" s="4"/>
      <c r="M1048016" s="4"/>
      <c r="N1048016" s="26"/>
    </row>
    <row r="1048017" customFormat="1" spans="2:14">
      <c r="B1048017" s="26"/>
      <c r="C1048017" s="26"/>
      <c r="D1048017" s="4"/>
      <c r="E1048017" s="26"/>
      <c r="F1048017" s="26"/>
      <c r="G1048017" s="26"/>
      <c r="H1048017" s="26"/>
      <c r="I1048017" s="27"/>
      <c r="J1048017" s="26"/>
      <c r="K1048017" s="26"/>
      <c r="L1048017" s="4"/>
      <c r="M1048017" s="4"/>
      <c r="N1048017" s="26"/>
    </row>
    <row r="1048018" customFormat="1" spans="2:14">
      <c r="B1048018" s="26"/>
      <c r="C1048018" s="26"/>
      <c r="D1048018" s="4"/>
      <c r="E1048018" s="26"/>
      <c r="F1048018" s="26"/>
      <c r="G1048018" s="26"/>
      <c r="H1048018" s="26"/>
      <c r="I1048018" s="27"/>
      <c r="J1048018" s="26"/>
      <c r="K1048018" s="26"/>
      <c r="L1048018" s="4"/>
      <c r="M1048018" s="4"/>
      <c r="N1048018" s="26"/>
    </row>
    <row r="1048019" customFormat="1" spans="2:14">
      <c r="B1048019" s="26"/>
      <c r="C1048019" s="26"/>
      <c r="D1048019" s="4"/>
      <c r="E1048019" s="26"/>
      <c r="F1048019" s="26"/>
      <c r="G1048019" s="26"/>
      <c r="H1048019" s="26"/>
      <c r="I1048019" s="27"/>
      <c r="J1048019" s="26"/>
      <c r="K1048019" s="26"/>
      <c r="L1048019" s="4"/>
      <c r="M1048019" s="4"/>
      <c r="N1048019" s="26"/>
    </row>
    <row r="1048020" customFormat="1" spans="2:14">
      <c r="B1048020" s="26"/>
      <c r="C1048020" s="26"/>
      <c r="D1048020" s="4"/>
      <c r="E1048020" s="26"/>
      <c r="F1048020" s="26"/>
      <c r="G1048020" s="26"/>
      <c r="H1048020" s="26"/>
      <c r="I1048020" s="27"/>
      <c r="J1048020" s="26"/>
      <c r="K1048020" s="26"/>
      <c r="L1048020" s="4"/>
      <c r="M1048020" s="4"/>
      <c r="N1048020" s="26"/>
    </row>
    <row r="1048021" customFormat="1" spans="2:14">
      <c r="B1048021" s="26"/>
      <c r="C1048021" s="26"/>
      <c r="D1048021" s="4"/>
      <c r="E1048021" s="26"/>
      <c r="F1048021" s="26"/>
      <c r="G1048021" s="26"/>
      <c r="H1048021" s="26"/>
      <c r="I1048021" s="27"/>
      <c r="J1048021" s="26"/>
      <c r="K1048021" s="26"/>
      <c r="L1048021" s="4"/>
      <c r="M1048021" s="4"/>
      <c r="N1048021" s="26"/>
    </row>
    <row r="1048022" customFormat="1" spans="2:14">
      <c r="B1048022" s="26"/>
      <c r="C1048022" s="26"/>
      <c r="D1048022" s="4"/>
      <c r="E1048022" s="26"/>
      <c r="F1048022" s="26"/>
      <c r="G1048022" s="26"/>
      <c r="H1048022" s="26"/>
      <c r="I1048022" s="27"/>
      <c r="J1048022" s="26"/>
      <c r="K1048022" s="26"/>
      <c r="L1048022" s="4"/>
      <c r="M1048022" s="4"/>
      <c r="N1048022" s="26"/>
    </row>
    <row r="1048023" customFormat="1" spans="2:14">
      <c r="B1048023" s="26"/>
      <c r="C1048023" s="26"/>
      <c r="D1048023" s="4"/>
      <c r="E1048023" s="26"/>
      <c r="F1048023" s="26"/>
      <c r="G1048023" s="26"/>
      <c r="H1048023" s="26"/>
      <c r="I1048023" s="27"/>
      <c r="J1048023" s="26"/>
      <c r="K1048023" s="26"/>
      <c r="L1048023" s="4"/>
      <c r="M1048023" s="4"/>
      <c r="N1048023" s="26"/>
    </row>
    <row r="1048024" customFormat="1" spans="2:14">
      <c r="B1048024" s="26"/>
      <c r="C1048024" s="26"/>
      <c r="D1048024" s="4"/>
      <c r="E1048024" s="26"/>
      <c r="F1048024" s="26"/>
      <c r="G1048024" s="26"/>
      <c r="H1048024" s="26"/>
      <c r="I1048024" s="27"/>
      <c r="J1048024" s="26"/>
      <c r="K1048024" s="26"/>
      <c r="L1048024" s="4"/>
      <c r="M1048024" s="4"/>
      <c r="N1048024" s="26"/>
    </row>
    <row r="1048025" customFormat="1" spans="2:14">
      <c r="B1048025" s="26"/>
      <c r="C1048025" s="26"/>
      <c r="D1048025" s="4"/>
      <c r="E1048025" s="26"/>
      <c r="F1048025" s="26"/>
      <c r="G1048025" s="26"/>
      <c r="H1048025" s="26"/>
      <c r="I1048025" s="27"/>
      <c r="J1048025" s="26"/>
      <c r="K1048025" s="26"/>
      <c r="L1048025" s="4"/>
      <c r="M1048025" s="4"/>
      <c r="N1048025" s="26"/>
    </row>
    <row r="1048026" customFormat="1" spans="2:14">
      <c r="B1048026" s="26"/>
      <c r="C1048026" s="26"/>
      <c r="D1048026" s="4"/>
      <c r="E1048026" s="26"/>
      <c r="F1048026" s="26"/>
      <c r="G1048026" s="26"/>
      <c r="H1048026" s="26"/>
      <c r="I1048026" s="27"/>
      <c r="J1048026" s="26"/>
      <c r="K1048026" s="26"/>
      <c r="L1048026" s="4"/>
      <c r="M1048026" s="4"/>
      <c r="N1048026" s="26"/>
    </row>
    <row r="1048027" customFormat="1" spans="2:14">
      <c r="B1048027" s="26"/>
      <c r="C1048027" s="26"/>
      <c r="D1048027" s="4"/>
      <c r="E1048027" s="26"/>
      <c r="F1048027" s="26"/>
      <c r="G1048027" s="26"/>
      <c r="H1048027" s="26"/>
      <c r="I1048027" s="27"/>
      <c r="J1048027" s="26"/>
      <c r="K1048027" s="26"/>
      <c r="L1048027" s="4"/>
      <c r="M1048027" s="4"/>
      <c r="N1048027" s="26"/>
    </row>
    <row r="1048028" customFormat="1" spans="2:14">
      <c r="B1048028" s="26"/>
      <c r="C1048028" s="26"/>
      <c r="D1048028" s="4"/>
      <c r="E1048028" s="26"/>
      <c r="F1048028" s="26"/>
      <c r="G1048028" s="26"/>
      <c r="H1048028" s="26"/>
      <c r="I1048028" s="27"/>
      <c r="J1048028" s="26"/>
      <c r="K1048028" s="26"/>
      <c r="L1048028" s="4"/>
      <c r="M1048028" s="4"/>
      <c r="N1048028" s="26"/>
    </row>
    <row r="1048029" customFormat="1" spans="2:14">
      <c r="B1048029" s="26"/>
      <c r="C1048029" s="26"/>
      <c r="D1048029" s="4"/>
      <c r="E1048029" s="26"/>
      <c r="F1048029" s="26"/>
      <c r="G1048029" s="26"/>
      <c r="H1048029" s="26"/>
      <c r="I1048029" s="27"/>
      <c r="J1048029" s="26"/>
      <c r="K1048029" s="26"/>
      <c r="L1048029" s="4"/>
      <c r="M1048029" s="4"/>
      <c r="N1048029" s="26"/>
    </row>
    <row r="1048030" customFormat="1" spans="2:14">
      <c r="B1048030" s="26"/>
      <c r="C1048030" s="26"/>
      <c r="D1048030" s="4"/>
      <c r="E1048030" s="26"/>
      <c r="F1048030" s="26"/>
      <c r="G1048030" s="26"/>
      <c r="H1048030" s="26"/>
      <c r="I1048030" s="27"/>
      <c r="J1048030" s="26"/>
      <c r="K1048030" s="26"/>
      <c r="L1048030" s="4"/>
      <c r="M1048030" s="4"/>
      <c r="N1048030" s="26"/>
    </row>
    <row r="1048031" customFormat="1" spans="2:14">
      <c r="B1048031" s="26"/>
      <c r="C1048031" s="26"/>
      <c r="D1048031" s="4"/>
      <c r="E1048031" s="26"/>
      <c r="F1048031" s="26"/>
      <c r="G1048031" s="26"/>
      <c r="H1048031" s="26"/>
      <c r="I1048031" s="27"/>
      <c r="J1048031" s="26"/>
      <c r="K1048031" s="26"/>
      <c r="L1048031" s="4"/>
      <c r="M1048031" s="4"/>
      <c r="N1048031" s="26"/>
    </row>
    <row r="1048032" customFormat="1" spans="2:14">
      <c r="B1048032" s="26"/>
      <c r="C1048032" s="26"/>
      <c r="D1048032" s="4"/>
      <c r="E1048032" s="26"/>
      <c r="F1048032" s="26"/>
      <c r="G1048032" s="26"/>
      <c r="H1048032" s="26"/>
      <c r="I1048032" s="27"/>
      <c r="J1048032" s="26"/>
      <c r="K1048032" s="26"/>
      <c r="L1048032" s="4"/>
      <c r="M1048032" s="4"/>
      <c r="N1048032" s="26"/>
    </row>
    <row r="1048033" customFormat="1" spans="2:14">
      <c r="B1048033" s="26"/>
      <c r="C1048033" s="26"/>
      <c r="D1048033" s="4"/>
      <c r="E1048033" s="26"/>
      <c r="F1048033" s="26"/>
      <c r="G1048033" s="26"/>
      <c r="H1048033" s="26"/>
      <c r="I1048033" s="27"/>
      <c r="J1048033" s="26"/>
      <c r="K1048033" s="26"/>
      <c r="L1048033" s="4"/>
      <c r="M1048033" s="4"/>
      <c r="N1048033" s="26"/>
    </row>
    <row r="1048034" customFormat="1" spans="2:14">
      <c r="B1048034" s="26"/>
      <c r="C1048034" s="26"/>
      <c r="D1048034" s="4"/>
      <c r="E1048034" s="26"/>
      <c r="F1048034" s="26"/>
      <c r="G1048034" s="26"/>
      <c r="H1048034" s="26"/>
      <c r="I1048034" s="27"/>
      <c r="J1048034" s="26"/>
      <c r="K1048034" s="26"/>
      <c r="L1048034" s="4"/>
      <c r="M1048034" s="4"/>
      <c r="N1048034" s="26"/>
    </row>
    <row r="1048035" customFormat="1" spans="2:14">
      <c r="B1048035" s="26"/>
      <c r="C1048035" s="26"/>
      <c r="D1048035" s="4"/>
      <c r="E1048035" s="26"/>
      <c r="F1048035" s="26"/>
      <c r="G1048035" s="26"/>
      <c r="H1048035" s="26"/>
      <c r="I1048035" s="27"/>
      <c r="J1048035" s="26"/>
      <c r="K1048035" s="26"/>
      <c r="L1048035" s="4"/>
      <c r="M1048035" s="4"/>
      <c r="N1048035" s="26"/>
    </row>
    <row r="1048036" customFormat="1" spans="2:14">
      <c r="B1048036" s="26"/>
      <c r="C1048036" s="26"/>
      <c r="D1048036" s="4"/>
      <c r="E1048036" s="26"/>
      <c r="F1048036" s="26"/>
      <c r="G1048036" s="26"/>
      <c r="H1048036" s="26"/>
      <c r="I1048036" s="27"/>
      <c r="J1048036" s="26"/>
      <c r="K1048036" s="26"/>
      <c r="L1048036" s="4"/>
      <c r="M1048036" s="4"/>
      <c r="N1048036" s="26"/>
    </row>
    <row r="1048037" customFormat="1" spans="2:14">
      <c r="B1048037" s="26"/>
      <c r="C1048037" s="26"/>
      <c r="D1048037" s="4"/>
      <c r="E1048037" s="26"/>
      <c r="F1048037" s="26"/>
      <c r="G1048037" s="26"/>
      <c r="H1048037" s="26"/>
      <c r="I1048037" s="27"/>
      <c r="J1048037" s="26"/>
      <c r="K1048037" s="26"/>
      <c r="L1048037" s="4"/>
      <c r="M1048037" s="4"/>
      <c r="N1048037" s="26"/>
    </row>
    <row r="1048038" customFormat="1" spans="2:14">
      <c r="B1048038" s="26"/>
      <c r="C1048038" s="26"/>
      <c r="D1048038" s="4"/>
      <c r="E1048038" s="26"/>
      <c r="F1048038" s="26"/>
      <c r="G1048038" s="26"/>
      <c r="H1048038" s="26"/>
      <c r="I1048038" s="27"/>
      <c r="J1048038" s="26"/>
      <c r="K1048038" s="26"/>
      <c r="L1048038" s="4"/>
      <c r="M1048038" s="4"/>
      <c r="N1048038" s="26"/>
    </row>
    <row r="1048039" customFormat="1" spans="2:14">
      <c r="B1048039" s="26"/>
      <c r="C1048039" s="26"/>
      <c r="D1048039" s="4"/>
      <c r="E1048039" s="26"/>
      <c r="F1048039" s="26"/>
      <c r="G1048039" s="26"/>
      <c r="H1048039" s="26"/>
      <c r="I1048039" s="27"/>
      <c r="J1048039" s="26"/>
      <c r="K1048039" s="26"/>
      <c r="L1048039" s="4"/>
      <c r="M1048039" s="4"/>
      <c r="N1048039" s="26"/>
    </row>
    <row r="1048040" customFormat="1" spans="2:14">
      <c r="B1048040" s="26"/>
      <c r="C1048040" s="26"/>
      <c r="D1048040" s="4"/>
      <c r="E1048040" s="26"/>
      <c r="F1048040" s="26"/>
      <c r="G1048040" s="26"/>
      <c r="H1048040" s="26"/>
      <c r="I1048040" s="27"/>
      <c r="J1048040" s="26"/>
      <c r="K1048040" s="26"/>
      <c r="L1048040" s="4"/>
      <c r="M1048040" s="4"/>
      <c r="N1048040" s="26"/>
    </row>
    <row r="1048041" customFormat="1" spans="2:14">
      <c r="B1048041" s="26"/>
      <c r="C1048041" s="26"/>
      <c r="D1048041" s="4"/>
      <c r="E1048041" s="26"/>
      <c r="F1048041" s="26"/>
      <c r="G1048041" s="26"/>
      <c r="H1048041" s="26"/>
      <c r="I1048041" s="27"/>
      <c r="J1048041" s="26"/>
      <c r="K1048041" s="26"/>
      <c r="L1048041" s="4"/>
      <c r="M1048041" s="4"/>
      <c r="N1048041" s="26"/>
    </row>
    <row r="1048042" customFormat="1" spans="2:14">
      <c r="B1048042" s="26"/>
      <c r="C1048042" s="26"/>
      <c r="D1048042" s="4"/>
      <c r="E1048042" s="26"/>
      <c r="F1048042" s="26"/>
      <c r="G1048042" s="26"/>
      <c r="H1048042" s="26"/>
      <c r="I1048042" s="27"/>
      <c r="J1048042" s="26"/>
      <c r="K1048042" s="26"/>
      <c r="L1048042" s="4"/>
      <c r="M1048042" s="4"/>
      <c r="N1048042" s="26"/>
    </row>
    <row r="1048043" customFormat="1" spans="2:14">
      <c r="B1048043" s="26"/>
      <c r="C1048043" s="26"/>
      <c r="D1048043" s="4"/>
      <c r="E1048043" s="26"/>
      <c r="F1048043" s="26"/>
      <c r="G1048043" s="26"/>
      <c r="H1048043" s="26"/>
      <c r="I1048043" s="27"/>
      <c r="J1048043" s="26"/>
      <c r="K1048043" s="26"/>
      <c r="L1048043" s="4"/>
      <c r="M1048043" s="4"/>
      <c r="N1048043" s="26"/>
    </row>
    <row r="1048044" customFormat="1" spans="2:14">
      <c r="B1048044" s="26"/>
      <c r="C1048044" s="26"/>
      <c r="D1048044" s="4"/>
      <c r="E1048044" s="26"/>
      <c r="F1048044" s="26"/>
      <c r="G1048044" s="26"/>
      <c r="H1048044" s="26"/>
      <c r="I1048044" s="27"/>
      <c r="J1048044" s="26"/>
      <c r="K1048044" s="26"/>
      <c r="L1048044" s="4"/>
      <c r="M1048044" s="4"/>
      <c r="N1048044" s="26"/>
    </row>
    <row r="1048045" customFormat="1" spans="2:14">
      <c r="B1048045" s="26"/>
      <c r="C1048045" s="26"/>
      <c r="D1048045" s="4"/>
      <c r="E1048045" s="26"/>
      <c r="F1048045" s="26"/>
      <c r="G1048045" s="26"/>
      <c r="H1048045" s="26"/>
      <c r="I1048045" s="27"/>
      <c r="J1048045" s="26"/>
      <c r="K1048045" s="26"/>
      <c r="L1048045" s="4"/>
      <c r="M1048045" s="4"/>
      <c r="N1048045" s="26"/>
    </row>
    <row r="1048046" customFormat="1" spans="2:14">
      <c r="B1048046" s="26"/>
      <c r="C1048046" s="26"/>
      <c r="D1048046" s="4"/>
      <c r="E1048046" s="26"/>
      <c r="F1048046" s="26"/>
      <c r="G1048046" s="26"/>
      <c r="H1048046" s="26"/>
      <c r="I1048046" s="27"/>
      <c r="J1048046" s="26"/>
      <c r="K1048046" s="26"/>
      <c r="L1048046" s="4"/>
      <c r="M1048046" s="4"/>
      <c r="N1048046" s="26"/>
    </row>
    <row r="1048047" customFormat="1" spans="2:14">
      <c r="B1048047" s="26"/>
      <c r="C1048047" s="26"/>
      <c r="D1048047" s="4"/>
      <c r="E1048047" s="26"/>
      <c r="F1048047" s="26"/>
      <c r="G1048047" s="26"/>
      <c r="H1048047" s="26"/>
      <c r="I1048047" s="27"/>
      <c r="J1048047" s="26"/>
      <c r="K1048047" s="26"/>
      <c r="L1048047" s="4"/>
      <c r="M1048047" s="4"/>
      <c r="N1048047" s="26"/>
    </row>
    <row r="1048048" customFormat="1" spans="2:14">
      <c r="B1048048" s="26"/>
      <c r="C1048048" s="26"/>
      <c r="D1048048" s="4"/>
      <c r="E1048048" s="26"/>
      <c r="F1048048" s="26"/>
      <c r="G1048048" s="26"/>
      <c r="H1048048" s="26"/>
      <c r="I1048048" s="27"/>
      <c r="J1048048" s="26"/>
      <c r="K1048048" s="26"/>
      <c r="L1048048" s="4"/>
      <c r="M1048048" s="4"/>
      <c r="N1048048" s="26"/>
    </row>
    <row r="1048049" customFormat="1" spans="2:14">
      <c r="B1048049" s="26"/>
      <c r="C1048049" s="26"/>
      <c r="D1048049" s="4"/>
      <c r="E1048049" s="26"/>
      <c r="F1048049" s="26"/>
      <c r="G1048049" s="26"/>
      <c r="H1048049" s="26"/>
      <c r="I1048049" s="27"/>
      <c r="J1048049" s="26"/>
      <c r="K1048049" s="26"/>
      <c r="L1048049" s="4"/>
      <c r="M1048049" s="4"/>
      <c r="N1048049" s="26"/>
    </row>
    <row r="1048050" customFormat="1" spans="2:14">
      <c r="B1048050" s="26"/>
      <c r="C1048050" s="26"/>
      <c r="D1048050" s="4"/>
      <c r="E1048050" s="26"/>
      <c r="F1048050" s="26"/>
      <c r="G1048050" s="26"/>
      <c r="H1048050" s="26"/>
      <c r="I1048050" s="27"/>
      <c r="J1048050" s="26"/>
      <c r="K1048050" s="26"/>
      <c r="L1048050" s="4"/>
      <c r="M1048050" s="4"/>
      <c r="N1048050" s="26"/>
    </row>
    <row r="1048051" customFormat="1" spans="2:14">
      <c r="B1048051" s="26"/>
      <c r="C1048051" s="26"/>
      <c r="D1048051" s="4"/>
      <c r="E1048051" s="26"/>
      <c r="F1048051" s="26"/>
      <c r="G1048051" s="26"/>
      <c r="H1048051" s="26"/>
      <c r="I1048051" s="27"/>
      <c r="J1048051" s="26"/>
      <c r="K1048051" s="26"/>
      <c r="L1048051" s="4"/>
      <c r="M1048051" s="4"/>
      <c r="N1048051" s="26"/>
    </row>
    <row r="1048052" customFormat="1" spans="2:14">
      <c r="B1048052" s="26"/>
      <c r="C1048052" s="26"/>
      <c r="D1048052" s="4"/>
      <c r="E1048052" s="26"/>
      <c r="F1048052" s="26"/>
      <c r="G1048052" s="26"/>
      <c r="H1048052" s="26"/>
      <c r="I1048052" s="27"/>
      <c r="J1048052" s="26"/>
      <c r="K1048052" s="26"/>
      <c r="L1048052" s="4"/>
      <c r="M1048052" s="4"/>
      <c r="N1048052" s="26"/>
    </row>
    <row r="1048053" customFormat="1" spans="2:14">
      <c r="B1048053" s="26"/>
      <c r="C1048053" s="26"/>
      <c r="D1048053" s="4"/>
      <c r="E1048053" s="26"/>
      <c r="F1048053" s="26"/>
      <c r="G1048053" s="26"/>
      <c r="H1048053" s="26"/>
      <c r="I1048053" s="27"/>
      <c r="J1048053" s="26"/>
      <c r="K1048053" s="26"/>
      <c r="L1048053" s="4"/>
      <c r="M1048053" s="4"/>
      <c r="N1048053" s="26"/>
    </row>
    <row r="1048054" customFormat="1" spans="2:14">
      <c r="B1048054" s="26"/>
      <c r="C1048054" s="26"/>
      <c r="D1048054" s="4"/>
      <c r="E1048054" s="26"/>
      <c r="F1048054" s="26"/>
      <c r="G1048054" s="26"/>
      <c r="H1048054" s="26"/>
      <c r="I1048054" s="27"/>
      <c r="J1048054" s="26"/>
      <c r="K1048054" s="26"/>
      <c r="L1048054" s="4"/>
      <c r="M1048054" s="4"/>
      <c r="N1048054" s="26"/>
    </row>
    <row r="1048055" customFormat="1" spans="2:14">
      <c r="B1048055" s="26"/>
      <c r="C1048055" s="26"/>
      <c r="D1048055" s="4"/>
      <c r="E1048055" s="26"/>
      <c r="F1048055" s="26"/>
      <c r="G1048055" s="26"/>
      <c r="H1048055" s="26"/>
      <c r="I1048055" s="27"/>
      <c r="J1048055" s="26"/>
      <c r="K1048055" s="26"/>
      <c r="L1048055" s="4"/>
      <c r="M1048055" s="4"/>
      <c r="N1048055" s="26"/>
    </row>
    <row r="1048056" customFormat="1" spans="2:14">
      <c r="B1048056" s="26"/>
      <c r="C1048056" s="26"/>
      <c r="D1048056" s="4"/>
      <c r="E1048056" s="26"/>
      <c r="F1048056" s="26"/>
      <c r="G1048056" s="26"/>
      <c r="H1048056" s="26"/>
      <c r="I1048056" s="27"/>
      <c r="J1048056" s="26"/>
      <c r="K1048056" s="26"/>
      <c r="L1048056" s="4"/>
      <c r="M1048056" s="4"/>
      <c r="N1048056" s="26"/>
    </row>
    <row r="1048057" customFormat="1" spans="2:14">
      <c r="B1048057" s="26"/>
      <c r="C1048057" s="26"/>
      <c r="D1048057" s="4"/>
      <c r="E1048057" s="26"/>
      <c r="F1048057" s="26"/>
      <c r="G1048057" s="26"/>
      <c r="H1048057" s="26"/>
      <c r="I1048057" s="27"/>
      <c r="J1048057" s="26"/>
      <c r="K1048057" s="26"/>
      <c r="L1048057" s="4"/>
      <c r="M1048057" s="4"/>
      <c r="N1048057" s="26"/>
    </row>
    <row r="1048058" customFormat="1" spans="2:14">
      <c r="B1048058" s="26"/>
      <c r="C1048058" s="26"/>
      <c r="D1048058" s="4"/>
      <c r="E1048058" s="26"/>
      <c r="F1048058" s="26"/>
      <c r="G1048058" s="26"/>
      <c r="H1048058" s="26"/>
      <c r="I1048058" s="27"/>
      <c r="J1048058" s="26"/>
      <c r="K1048058" s="26"/>
      <c r="L1048058" s="4"/>
      <c r="M1048058" s="4"/>
      <c r="N1048058" s="26"/>
    </row>
    <row r="1048059" customFormat="1" spans="2:14">
      <c r="B1048059" s="26"/>
      <c r="C1048059" s="26"/>
      <c r="D1048059" s="4"/>
      <c r="E1048059" s="26"/>
      <c r="F1048059" s="26"/>
      <c r="G1048059" s="26"/>
      <c r="H1048059" s="26"/>
      <c r="I1048059" s="27"/>
      <c r="J1048059" s="26"/>
      <c r="K1048059" s="26"/>
      <c r="L1048059" s="4"/>
      <c r="M1048059" s="4"/>
      <c r="N1048059" s="26"/>
    </row>
    <row r="1048060" customFormat="1" spans="2:14">
      <c r="B1048060" s="26"/>
      <c r="C1048060" s="26"/>
      <c r="D1048060" s="4"/>
      <c r="E1048060" s="26"/>
      <c r="F1048060" s="26"/>
      <c r="G1048060" s="26"/>
      <c r="H1048060" s="26"/>
      <c r="I1048060" s="27"/>
      <c r="J1048060" s="26"/>
      <c r="K1048060" s="26"/>
      <c r="L1048060" s="4"/>
      <c r="M1048060" s="4"/>
      <c r="N1048060" s="26"/>
    </row>
    <row r="1048061" customFormat="1" spans="2:14">
      <c r="B1048061" s="26"/>
      <c r="C1048061" s="26"/>
      <c r="D1048061" s="4"/>
      <c r="E1048061" s="26"/>
      <c r="F1048061" s="26"/>
      <c r="G1048061" s="26"/>
      <c r="H1048061" s="26"/>
      <c r="I1048061" s="27"/>
      <c r="J1048061" s="26"/>
      <c r="K1048061" s="26"/>
      <c r="L1048061" s="4"/>
      <c r="M1048061" s="4"/>
      <c r="N1048061" s="26"/>
    </row>
    <row r="1048062" customFormat="1" spans="2:14">
      <c r="B1048062" s="26"/>
      <c r="C1048062" s="26"/>
      <c r="D1048062" s="4"/>
      <c r="E1048062" s="26"/>
      <c r="F1048062" s="26"/>
      <c r="G1048062" s="26"/>
      <c r="H1048062" s="26"/>
      <c r="I1048062" s="27"/>
      <c r="J1048062" s="26"/>
      <c r="K1048062" s="26"/>
      <c r="L1048062" s="4"/>
      <c r="M1048062" s="4"/>
      <c r="N1048062" s="26"/>
    </row>
    <row r="1048063" customFormat="1" spans="2:14">
      <c r="B1048063" s="26"/>
      <c r="C1048063" s="26"/>
      <c r="D1048063" s="4"/>
      <c r="E1048063" s="26"/>
      <c r="F1048063" s="26"/>
      <c r="G1048063" s="26"/>
      <c r="H1048063" s="26"/>
      <c r="I1048063" s="27"/>
      <c r="J1048063" s="26"/>
      <c r="K1048063" s="26"/>
      <c r="L1048063" s="4"/>
      <c r="M1048063" s="4"/>
      <c r="N1048063" s="26"/>
    </row>
    <row r="1048064" customFormat="1" spans="2:14">
      <c r="B1048064" s="26"/>
      <c r="C1048064" s="26"/>
      <c r="D1048064" s="4"/>
      <c r="E1048064" s="26"/>
      <c r="F1048064" s="26"/>
      <c r="G1048064" s="26"/>
      <c r="H1048064" s="26"/>
      <c r="I1048064" s="27"/>
      <c r="J1048064" s="26"/>
      <c r="K1048064" s="26"/>
      <c r="L1048064" s="4"/>
      <c r="M1048064" s="4"/>
      <c r="N1048064" s="26"/>
    </row>
    <row r="1048065" customFormat="1" spans="2:14">
      <c r="B1048065" s="26"/>
      <c r="C1048065" s="26"/>
      <c r="D1048065" s="4"/>
      <c r="E1048065" s="26"/>
      <c r="F1048065" s="26"/>
      <c r="G1048065" s="26"/>
      <c r="H1048065" s="26"/>
      <c r="I1048065" s="27"/>
      <c r="J1048065" s="26"/>
      <c r="K1048065" s="26"/>
      <c r="L1048065" s="4"/>
      <c r="M1048065" s="4"/>
      <c r="N1048065" s="26"/>
    </row>
    <row r="1048066" customFormat="1" spans="2:14">
      <c r="B1048066" s="26"/>
      <c r="C1048066" s="26"/>
      <c r="D1048066" s="4"/>
      <c r="E1048066" s="26"/>
      <c r="F1048066" s="26"/>
      <c r="G1048066" s="26"/>
      <c r="H1048066" s="26"/>
      <c r="I1048066" s="27"/>
      <c r="J1048066" s="26"/>
      <c r="K1048066" s="26"/>
      <c r="L1048066" s="4"/>
      <c r="M1048066" s="4"/>
      <c r="N1048066" s="26"/>
    </row>
    <row r="1048067" customFormat="1" spans="2:14">
      <c r="B1048067" s="26"/>
      <c r="C1048067" s="26"/>
      <c r="D1048067" s="4"/>
      <c r="E1048067" s="26"/>
      <c r="F1048067" s="26"/>
      <c r="G1048067" s="26"/>
      <c r="H1048067" s="26"/>
      <c r="I1048067" s="27"/>
      <c r="J1048067" s="26"/>
      <c r="K1048067" s="26"/>
      <c r="L1048067" s="4"/>
      <c r="M1048067" s="4"/>
      <c r="N1048067" s="26"/>
    </row>
    <row r="1048068" customFormat="1" spans="2:14">
      <c r="B1048068" s="26"/>
      <c r="C1048068" s="26"/>
      <c r="D1048068" s="4"/>
      <c r="E1048068" s="26"/>
      <c r="F1048068" s="26"/>
      <c r="G1048068" s="26"/>
      <c r="H1048068" s="26"/>
      <c r="I1048068" s="27"/>
      <c r="J1048068" s="26"/>
      <c r="K1048068" s="26"/>
      <c r="L1048068" s="4"/>
      <c r="M1048068" s="4"/>
      <c r="N1048068" s="26"/>
    </row>
    <row r="1048069" customFormat="1" spans="2:14">
      <c r="B1048069" s="26"/>
      <c r="C1048069" s="26"/>
      <c r="D1048069" s="4"/>
      <c r="E1048069" s="26"/>
      <c r="F1048069" s="26"/>
      <c r="G1048069" s="26"/>
      <c r="H1048069" s="26"/>
      <c r="I1048069" s="27"/>
      <c r="J1048069" s="26"/>
      <c r="K1048069" s="26"/>
      <c r="L1048069" s="4"/>
      <c r="M1048069" s="4"/>
      <c r="N1048069" s="26"/>
    </row>
    <row r="1048070" customFormat="1" spans="2:14">
      <c r="B1048070" s="26"/>
      <c r="C1048070" s="26"/>
      <c r="D1048070" s="4"/>
      <c r="E1048070" s="26"/>
      <c r="F1048070" s="26"/>
      <c r="G1048070" s="26"/>
      <c r="H1048070" s="26"/>
      <c r="I1048070" s="27"/>
      <c r="J1048070" s="26"/>
      <c r="K1048070" s="26"/>
      <c r="L1048070" s="4"/>
      <c r="M1048070" s="4"/>
      <c r="N1048070" s="26"/>
    </row>
    <row r="1048071" customFormat="1" spans="2:14">
      <c r="B1048071" s="26"/>
      <c r="C1048071" s="26"/>
      <c r="D1048071" s="4"/>
      <c r="E1048071" s="26"/>
      <c r="F1048071" s="26"/>
      <c r="G1048071" s="26"/>
      <c r="H1048071" s="26"/>
      <c r="I1048071" s="27"/>
      <c r="J1048071" s="26"/>
      <c r="K1048071" s="26"/>
      <c r="L1048071" s="4"/>
      <c r="M1048071" s="4"/>
      <c r="N1048071" s="26"/>
    </row>
    <row r="1048072" customFormat="1" spans="2:14">
      <c r="B1048072" s="26"/>
      <c r="C1048072" s="26"/>
      <c r="D1048072" s="4"/>
      <c r="E1048072" s="26"/>
      <c r="F1048072" s="26"/>
      <c r="G1048072" s="26"/>
      <c r="H1048072" s="26"/>
      <c r="I1048072" s="27"/>
      <c r="J1048072" s="26"/>
      <c r="K1048072" s="26"/>
      <c r="L1048072" s="4"/>
      <c r="M1048072" s="4"/>
      <c r="N1048072" s="26"/>
    </row>
    <row r="1048073" customFormat="1" spans="2:14">
      <c r="B1048073" s="26"/>
      <c r="C1048073" s="26"/>
      <c r="D1048073" s="4"/>
      <c r="E1048073" s="26"/>
      <c r="F1048073" s="26"/>
      <c r="G1048073" s="26"/>
      <c r="H1048073" s="26"/>
      <c r="I1048073" s="27"/>
      <c r="J1048073" s="26"/>
      <c r="K1048073" s="26"/>
      <c r="L1048073" s="4"/>
      <c r="M1048073" s="4"/>
      <c r="N1048073" s="26"/>
    </row>
    <row r="1048074" customFormat="1" spans="2:14">
      <c r="B1048074" s="26"/>
      <c r="C1048074" s="26"/>
      <c r="D1048074" s="4"/>
      <c r="E1048074" s="26"/>
      <c r="F1048074" s="26"/>
      <c r="G1048074" s="26"/>
      <c r="H1048074" s="26"/>
      <c r="I1048074" s="27"/>
      <c r="J1048074" s="26"/>
      <c r="K1048074" s="26"/>
      <c r="L1048074" s="4"/>
      <c r="M1048074" s="4"/>
      <c r="N1048074" s="26"/>
    </row>
    <row r="1048075" customFormat="1" spans="2:14">
      <c r="B1048075" s="26"/>
      <c r="C1048075" s="26"/>
      <c r="D1048075" s="4"/>
      <c r="E1048075" s="26"/>
      <c r="F1048075" s="26"/>
      <c r="G1048075" s="26"/>
      <c r="H1048075" s="26"/>
      <c r="I1048075" s="27"/>
      <c r="J1048075" s="26"/>
      <c r="K1048075" s="26"/>
      <c r="L1048075" s="4"/>
      <c r="M1048075" s="4"/>
      <c r="N1048075" s="26"/>
    </row>
    <row r="1048076" customFormat="1" spans="2:14">
      <c r="B1048076" s="26"/>
      <c r="C1048076" s="26"/>
      <c r="D1048076" s="4"/>
      <c r="E1048076" s="26"/>
      <c r="F1048076" s="26"/>
      <c r="G1048076" s="26"/>
      <c r="H1048076" s="26"/>
      <c r="I1048076" s="27"/>
      <c r="J1048076" s="26"/>
      <c r="K1048076" s="26"/>
      <c r="L1048076" s="4"/>
      <c r="M1048076" s="4"/>
      <c r="N1048076" s="26"/>
    </row>
    <row r="1048077" customFormat="1" spans="2:14">
      <c r="B1048077" s="26"/>
      <c r="C1048077" s="26"/>
      <c r="D1048077" s="4"/>
      <c r="E1048077" s="26"/>
      <c r="F1048077" s="26"/>
      <c r="G1048077" s="26"/>
      <c r="H1048077" s="26"/>
      <c r="I1048077" s="27"/>
      <c r="J1048077" s="26"/>
      <c r="K1048077" s="26"/>
      <c r="L1048077" s="4"/>
      <c r="M1048077" s="4"/>
      <c r="N1048077" s="26"/>
    </row>
    <row r="1048078" customFormat="1" spans="2:14">
      <c r="B1048078" s="26"/>
      <c r="C1048078" s="26"/>
      <c r="D1048078" s="4"/>
      <c r="E1048078" s="26"/>
      <c r="F1048078" s="26"/>
      <c r="G1048078" s="26"/>
      <c r="H1048078" s="26"/>
      <c r="I1048078" s="27"/>
      <c r="J1048078" s="26"/>
      <c r="K1048078" s="26"/>
      <c r="L1048078" s="4"/>
      <c r="M1048078" s="4"/>
      <c r="N1048078" s="26"/>
    </row>
    <row r="1048079" customFormat="1" spans="2:14">
      <c r="B1048079" s="26"/>
      <c r="C1048079" s="26"/>
      <c r="D1048079" s="4"/>
      <c r="E1048079" s="26"/>
      <c r="F1048079" s="26"/>
      <c r="G1048079" s="26"/>
      <c r="H1048079" s="26"/>
      <c r="I1048079" s="27"/>
      <c r="J1048079" s="26"/>
      <c r="K1048079" s="26"/>
      <c r="L1048079" s="4"/>
      <c r="M1048079" s="4"/>
      <c r="N1048079" s="26"/>
    </row>
    <row r="1048080" customFormat="1" spans="2:14">
      <c r="B1048080" s="26"/>
      <c r="C1048080" s="26"/>
      <c r="D1048080" s="4"/>
      <c r="E1048080" s="26"/>
      <c r="F1048080" s="26"/>
      <c r="G1048080" s="26"/>
      <c r="H1048080" s="26"/>
      <c r="I1048080" s="27"/>
      <c r="J1048080" s="26"/>
      <c r="K1048080" s="26"/>
      <c r="L1048080" s="4"/>
      <c r="M1048080" s="4"/>
      <c r="N1048080" s="26"/>
    </row>
    <row r="1048081" customFormat="1" spans="2:14">
      <c r="B1048081" s="26"/>
      <c r="C1048081" s="26"/>
      <c r="D1048081" s="4"/>
      <c r="E1048081" s="26"/>
      <c r="F1048081" s="26"/>
      <c r="G1048081" s="26"/>
      <c r="H1048081" s="26"/>
      <c r="I1048081" s="27"/>
      <c r="J1048081" s="26"/>
      <c r="K1048081" s="26"/>
      <c r="L1048081" s="4"/>
      <c r="M1048081" s="4"/>
      <c r="N1048081" s="26"/>
    </row>
    <row r="1048082" customFormat="1" spans="2:14">
      <c r="B1048082" s="26"/>
      <c r="C1048082" s="26"/>
      <c r="D1048082" s="4"/>
      <c r="E1048082" s="26"/>
      <c r="F1048082" s="26"/>
      <c r="G1048082" s="26"/>
      <c r="H1048082" s="26"/>
      <c r="I1048082" s="27"/>
      <c r="J1048082" s="26"/>
      <c r="K1048082" s="26"/>
      <c r="L1048082" s="4"/>
      <c r="M1048082" s="4"/>
      <c r="N1048082" s="26"/>
    </row>
    <row r="1048083" customFormat="1" spans="2:14">
      <c r="B1048083" s="26"/>
      <c r="C1048083" s="26"/>
      <c r="D1048083" s="4"/>
      <c r="E1048083" s="26"/>
      <c r="F1048083" s="26"/>
      <c r="G1048083" s="26"/>
      <c r="H1048083" s="26"/>
      <c r="I1048083" s="27"/>
      <c r="J1048083" s="26"/>
      <c r="K1048083" s="26"/>
      <c r="L1048083" s="4"/>
      <c r="M1048083" s="4"/>
      <c r="N1048083" s="26"/>
    </row>
    <row r="1048084" customFormat="1" spans="2:14">
      <c r="B1048084" s="26"/>
      <c r="C1048084" s="26"/>
      <c r="D1048084" s="4"/>
      <c r="E1048084" s="26"/>
      <c r="F1048084" s="26"/>
      <c r="G1048084" s="26"/>
      <c r="H1048084" s="26"/>
      <c r="I1048084" s="27"/>
      <c r="J1048084" s="26"/>
      <c r="K1048084" s="26"/>
      <c r="L1048084" s="4"/>
      <c r="M1048084" s="4"/>
      <c r="N1048084" s="26"/>
    </row>
    <row r="1048085" customFormat="1" spans="2:14">
      <c r="B1048085" s="26"/>
      <c r="C1048085" s="26"/>
      <c r="D1048085" s="4"/>
      <c r="E1048085" s="26"/>
      <c r="F1048085" s="26"/>
      <c r="G1048085" s="26"/>
      <c r="H1048085" s="26"/>
      <c r="I1048085" s="27"/>
      <c r="J1048085" s="26"/>
      <c r="K1048085" s="26"/>
      <c r="L1048085" s="4"/>
      <c r="M1048085" s="4"/>
      <c r="N1048085" s="26"/>
    </row>
    <row r="1048086" customFormat="1" spans="2:14">
      <c r="B1048086" s="26"/>
      <c r="C1048086" s="26"/>
      <c r="D1048086" s="4"/>
      <c r="E1048086" s="26"/>
      <c r="F1048086" s="26"/>
      <c r="G1048086" s="26"/>
      <c r="H1048086" s="26"/>
      <c r="I1048086" s="27"/>
      <c r="J1048086" s="26"/>
      <c r="K1048086" s="26"/>
      <c r="L1048086" s="4"/>
      <c r="M1048086" s="4"/>
      <c r="N1048086" s="26"/>
    </row>
    <row r="1048087" customFormat="1" spans="2:14">
      <c r="B1048087" s="26"/>
      <c r="C1048087" s="26"/>
      <c r="D1048087" s="4"/>
      <c r="E1048087" s="26"/>
      <c r="F1048087" s="26"/>
      <c r="G1048087" s="26"/>
      <c r="H1048087" s="26"/>
      <c r="I1048087" s="27"/>
      <c r="J1048087" s="26"/>
      <c r="K1048087" s="26"/>
      <c r="L1048087" s="4"/>
      <c r="M1048087" s="4"/>
      <c r="N1048087" s="26"/>
    </row>
    <row r="1048088" customFormat="1" spans="2:14">
      <c r="B1048088" s="26"/>
      <c r="C1048088" s="26"/>
      <c r="D1048088" s="4"/>
      <c r="E1048088" s="26"/>
      <c r="F1048088" s="26"/>
      <c r="G1048088" s="26"/>
      <c r="H1048088" s="26"/>
      <c r="I1048088" s="27"/>
      <c r="J1048088" s="26"/>
      <c r="K1048088" s="26"/>
      <c r="L1048088" s="4"/>
      <c r="M1048088" s="4"/>
      <c r="N1048088" s="26"/>
    </row>
    <row r="1048089" customFormat="1" spans="2:14">
      <c r="B1048089" s="26"/>
      <c r="C1048089" s="26"/>
      <c r="D1048089" s="4"/>
      <c r="E1048089" s="26"/>
      <c r="F1048089" s="26"/>
      <c r="G1048089" s="26"/>
      <c r="H1048089" s="26"/>
      <c r="I1048089" s="27"/>
      <c r="J1048089" s="26"/>
      <c r="K1048089" s="26"/>
      <c r="L1048089" s="4"/>
      <c r="M1048089" s="4"/>
      <c r="N1048089" s="26"/>
    </row>
    <row r="1048090" customFormat="1" spans="2:14">
      <c r="B1048090" s="26"/>
      <c r="C1048090" s="26"/>
      <c r="D1048090" s="4"/>
      <c r="E1048090" s="26"/>
      <c r="F1048090" s="26"/>
      <c r="G1048090" s="26"/>
      <c r="H1048090" s="26"/>
      <c r="I1048090" s="27"/>
      <c r="J1048090" s="26"/>
      <c r="K1048090" s="26"/>
      <c r="L1048090" s="4"/>
      <c r="M1048090" s="4"/>
      <c r="N1048090" s="26"/>
    </row>
    <row r="1048091" customFormat="1" spans="2:14">
      <c r="B1048091" s="26"/>
      <c r="C1048091" s="26"/>
      <c r="D1048091" s="4"/>
      <c r="E1048091" s="26"/>
      <c r="F1048091" s="26"/>
      <c r="G1048091" s="26"/>
      <c r="H1048091" s="26"/>
      <c r="I1048091" s="27"/>
      <c r="J1048091" s="26"/>
      <c r="K1048091" s="26"/>
      <c r="L1048091" s="4"/>
      <c r="M1048091" s="4"/>
      <c r="N1048091" s="26"/>
    </row>
    <row r="1048092" customFormat="1" spans="2:14">
      <c r="B1048092" s="26"/>
      <c r="C1048092" s="26"/>
      <c r="D1048092" s="4"/>
      <c r="E1048092" s="26"/>
      <c r="F1048092" s="26"/>
      <c r="G1048092" s="26"/>
      <c r="H1048092" s="26"/>
      <c r="I1048092" s="27"/>
      <c r="J1048092" s="26"/>
      <c r="K1048092" s="26"/>
      <c r="L1048092" s="4"/>
      <c r="M1048092" s="4"/>
      <c r="N1048092" s="26"/>
    </row>
    <row r="1048093" customFormat="1" spans="2:14">
      <c r="B1048093" s="26"/>
      <c r="C1048093" s="26"/>
      <c r="D1048093" s="4"/>
      <c r="E1048093" s="26"/>
      <c r="F1048093" s="26"/>
      <c r="G1048093" s="26"/>
      <c r="H1048093" s="26"/>
      <c r="I1048093" s="27"/>
      <c r="J1048093" s="26"/>
      <c r="K1048093" s="26"/>
      <c r="L1048093" s="4"/>
      <c r="M1048093" s="4"/>
      <c r="N1048093" s="26"/>
    </row>
    <row r="1048094" customFormat="1" spans="2:14">
      <c r="B1048094" s="26"/>
      <c r="C1048094" s="26"/>
      <c r="D1048094" s="4"/>
      <c r="E1048094" s="26"/>
      <c r="F1048094" s="26"/>
      <c r="G1048094" s="26"/>
      <c r="H1048094" s="26"/>
      <c r="I1048094" s="27"/>
      <c r="J1048094" s="26"/>
      <c r="K1048094" s="26"/>
      <c r="L1048094" s="4"/>
      <c r="M1048094" s="4"/>
      <c r="N1048094" s="26"/>
    </row>
    <row r="1048095" customFormat="1" spans="2:14">
      <c r="B1048095" s="26"/>
      <c r="C1048095" s="26"/>
      <c r="D1048095" s="4"/>
      <c r="E1048095" s="26"/>
      <c r="F1048095" s="26"/>
      <c r="G1048095" s="26"/>
      <c r="H1048095" s="26"/>
      <c r="I1048095" s="27"/>
      <c r="J1048095" s="26"/>
      <c r="K1048095" s="26"/>
      <c r="L1048095" s="4"/>
      <c r="M1048095" s="4"/>
      <c r="N1048095" s="26"/>
    </row>
    <row r="1048096" customFormat="1" spans="2:14">
      <c r="B1048096" s="26"/>
      <c r="C1048096" s="26"/>
      <c r="D1048096" s="4"/>
      <c r="E1048096" s="26"/>
      <c r="F1048096" s="26"/>
      <c r="G1048096" s="26"/>
      <c r="H1048096" s="26"/>
      <c r="I1048096" s="27"/>
      <c r="J1048096" s="26"/>
      <c r="K1048096" s="26"/>
      <c r="L1048096" s="4"/>
      <c r="M1048096" s="4"/>
      <c r="N1048096" s="26"/>
    </row>
    <row r="1048097" customFormat="1" spans="2:14">
      <c r="B1048097" s="26"/>
      <c r="C1048097" s="26"/>
      <c r="D1048097" s="4"/>
      <c r="E1048097" s="26"/>
      <c r="F1048097" s="26"/>
      <c r="G1048097" s="26"/>
      <c r="H1048097" s="26"/>
      <c r="I1048097" s="27"/>
      <c r="J1048097" s="26"/>
      <c r="K1048097" s="26"/>
      <c r="L1048097" s="4"/>
      <c r="M1048097" s="4"/>
      <c r="N1048097" s="26"/>
    </row>
    <row r="1048098" customFormat="1" spans="2:14">
      <c r="B1048098" s="26"/>
      <c r="C1048098" s="26"/>
      <c r="D1048098" s="4"/>
      <c r="E1048098" s="26"/>
      <c r="F1048098" s="26"/>
      <c r="G1048098" s="26"/>
      <c r="H1048098" s="26"/>
      <c r="I1048098" s="27"/>
      <c r="J1048098" s="26"/>
      <c r="K1048098" s="26"/>
      <c r="L1048098" s="4"/>
      <c r="M1048098" s="4"/>
      <c r="N1048098" s="26"/>
    </row>
    <row r="1048099" customFormat="1" spans="2:14">
      <c r="B1048099" s="26"/>
      <c r="C1048099" s="26"/>
      <c r="D1048099" s="4"/>
      <c r="E1048099" s="26"/>
      <c r="F1048099" s="26"/>
      <c r="G1048099" s="26"/>
      <c r="H1048099" s="26"/>
      <c r="I1048099" s="27"/>
      <c r="J1048099" s="26"/>
      <c r="K1048099" s="26"/>
      <c r="L1048099" s="4"/>
      <c r="M1048099" s="4"/>
      <c r="N1048099" s="26"/>
    </row>
    <row r="1048100" customFormat="1" spans="2:14">
      <c r="B1048100" s="26"/>
      <c r="C1048100" s="26"/>
      <c r="D1048100" s="4"/>
      <c r="E1048100" s="26"/>
      <c r="F1048100" s="26"/>
      <c r="G1048100" s="26"/>
      <c r="H1048100" s="26"/>
      <c r="I1048100" s="27"/>
      <c r="J1048100" s="26"/>
      <c r="K1048100" s="26"/>
      <c r="L1048100" s="4"/>
      <c r="M1048100" s="4"/>
      <c r="N1048100" s="26"/>
    </row>
    <row r="1048101" customFormat="1" spans="2:14">
      <c r="B1048101" s="26"/>
      <c r="C1048101" s="26"/>
      <c r="D1048101" s="4"/>
      <c r="E1048101" s="26"/>
      <c r="F1048101" s="26"/>
      <c r="G1048101" s="26"/>
      <c r="H1048101" s="26"/>
      <c r="I1048101" s="27"/>
      <c r="J1048101" s="26"/>
      <c r="K1048101" s="26"/>
      <c r="L1048101" s="4"/>
      <c r="M1048101" s="4"/>
      <c r="N1048101" s="26"/>
    </row>
    <row r="1048102" customFormat="1" spans="2:14">
      <c r="B1048102" s="26"/>
      <c r="C1048102" s="26"/>
      <c r="D1048102" s="4"/>
      <c r="E1048102" s="26"/>
      <c r="F1048102" s="26"/>
      <c r="G1048102" s="26"/>
      <c r="H1048102" s="26"/>
      <c r="I1048102" s="27"/>
      <c r="J1048102" s="26"/>
      <c r="K1048102" s="26"/>
      <c r="L1048102" s="4"/>
      <c r="M1048102" s="4"/>
      <c r="N1048102" s="26"/>
    </row>
    <row r="1048103" customFormat="1" spans="2:14">
      <c r="B1048103" s="26"/>
      <c r="C1048103" s="26"/>
      <c r="D1048103" s="4"/>
      <c r="E1048103" s="26"/>
      <c r="F1048103" s="26"/>
      <c r="G1048103" s="26"/>
      <c r="H1048103" s="26"/>
      <c r="I1048103" s="27"/>
      <c r="J1048103" s="26"/>
      <c r="K1048103" s="26"/>
      <c r="L1048103" s="4"/>
      <c r="M1048103" s="4"/>
      <c r="N1048103" s="26"/>
    </row>
    <row r="1048104" customFormat="1" spans="2:14">
      <c r="B1048104" s="26"/>
      <c r="C1048104" s="26"/>
      <c r="D1048104" s="4"/>
      <c r="E1048104" s="26"/>
      <c r="F1048104" s="26"/>
      <c r="G1048104" s="26"/>
      <c r="H1048104" s="26"/>
      <c r="I1048104" s="27"/>
      <c r="J1048104" s="26"/>
      <c r="K1048104" s="26"/>
      <c r="L1048104" s="4"/>
      <c r="M1048104" s="4"/>
      <c r="N1048104" s="26"/>
    </row>
    <row r="1048105" customFormat="1" spans="2:14">
      <c r="B1048105" s="26"/>
      <c r="C1048105" s="26"/>
      <c r="D1048105" s="4"/>
      <c r="E1048105" s="26"/>
      <c r="F1048105" s="26"/>
      <c r="G1048105" s="26"/>
      <c r="H1048105" s="26"/>
      <c r="I1048105" s="27"/>
      <c r="J1048105" s="26"/>
      <c r="K1048105" s="26"/>
      <c r="L1048105" s="4"/>
      <c r="M1048105" s="4"/>
      <c r="N1048105" s="26"/>
    </row>
    <row r="1048106" customFormat="1" spans="2:14">
      <c r="B1048106" s="26"/>
      <c r="C1048106" s="26"/>
      <c r="D1048106" s="4"/>
      <c r="E1048106" s="26"/>
      <c r="F1048106" s="26"/>
      <c r="G1048106" s="26"/>
      <c r="H1048106" s="26"/>
      <c r="I1048106" s="27"/>
      <c r="J1048106" s="26"/>
      <c r="K1048106" s="26"/>
      <c r="L1048106" s="4"/>
      <c r="M1048106" s="4"/>
      <c r="N1048106" s="26"/>
    </row>
    <row r="1048107" customFormat="1" spans="2:14">
      <c r="B1048107" s="26"/>
      <c r="C1048107" s="26"/>
      <c r="D1048107" s="4"/>
      <c r="E1048107" s="26"/>
      <c r="F1048107" s="26"/>
      <c r="G1048107" s="26"/>
      <c r="H1048107" s="26"/>
      <c r="I1048107" s="27"/>
      <c r="J1048107" s="26"/>
      <c r="K1048107" s="26"/>
      <c r="L1048107" s="4"/>
      <c r="M1048107" s="4"/>
      <c r="N1048107" s="26"/>
    </row>
    <row r="1048108" customFormat="1" spans="2:14">
      <c r="B1048108" s="26"/>
      <c r="C1048108" s="26"/>
      <c r="D1048108" s="4"/>
      <c r="E1048108" s="26"/>
      <c r="F1048108" s="26"/>
      <c r="G1048108" s="26"/>
      <c r="H1048108" s="26"/>
      <c r="I1048108" s="27"/>
      <c r="J1048108" s="26"/>
      <c r="K1048108" s="26"/>
      <c r="L1048108" s="4"/>
      <c r="M1048108" s="4"/>
      <c r="N1048108" s="26"/>
    </row>
    <row r="1048109" customFormat="1" spans="2:14">
      <c r="B1048109" s="26"/>
      <c r="C1048109" s="26"/>
      <c r="D1048109" s="4"/>
      <c r="E1048109" s="26"/>
      <c r="F1048109" s="26"/>
      <c r="G1048109" s="26"/>
      <c r="H1048109" s="26"/>
      <c r="I1048109" s="27"/>
      <c r="J1048109" s="26"/>
      <c r="K1048109" s="26"/>
      <c r="L1048109" s="4"/>
      <c r="M1048109" s="4"/>
      <c r="N1048109" s="26"/>
    </row>
    <row r="1048110" customFormat="1" spans="2:14">
      <c r="B1048110" s="26"/>
      <c r="C1048110" s="26"/>
      <c r="D1048110" s="4"/>
      <c r="E1048110" s="26"/>
      <c r="F1048110" s="26"/>
      <c r="G1048110" s="26"/>
      <c r="H1048110" s="26"/>
      <c r="I1048110" s="27"/>
      <c r="J1048110" s="26"/>
      <c r="K1048110" s="26"/>
      <c r="L1048110" s="4"/>
      <c r="M1048110" s="4"/>
      <c r="N1048110" s="26"/>
    </row>
    <row r="1048111" customFormat="1" spans="2:14">
      <c r="B1048111" s="26"/>
      <c r="C1048111" s="26"/>
      <c r="D1048111" s="4"/>
      <c r="E1048111" s="26"/>
      <c r="F1048111" s="26"/>
      <c r="G1048111" s="26"/>
      <c r="H1048111" s="26"/>
      <c r="I1048111" s="27"/>
      <c r="J1048111" s="26"/>
      <c r="K1048111" s="26"/>
      <c r="L1048111" s="4"/>
      <c r="M1048111" s="4"/>
      <c r="N1048111" s="26"/>
    </row>
    <row r="1048112" customFormat="1" spans="2:14">
      <c r="B1048112" s="26"/>
      <c r="C1048112" s="26"/>
      <c r="D1048112" s="4"/>
      <c r="E1048112" s="26"/>
      <c r="F1048112" s="26"/>
      <c r="G1048112" s="26"/>
      <c r="H1048112" s="26"/>
      <c r="I1048112" s="27"/>
      <c r="J1048112" s="26"/>
      <c r="K1048112" s="26"/>
      <c r="L1048112" s="4"/>
      <c r="M1048112" s="4"/>
      <c r="N1048112" s="26"/>
    </row>
    <row r="1048113" customFormat="1" spans="2:14">
      <c r="B1048113" s="26"/>
      <c r="C1048113" s="26"/>
      <c r="D1048113" s="4"/>
      <c r="E1048113" s="26"/>
      <c r="F1048113" s="26"/>
      <c r="G1048113" s="26"/>
      <c r="H1048113" s="26"/>
      <c r="I1048113" s="27"/>
      <c r="J1048113" s="26"/>
      <c r="K1048113" s="26"/>
      <c r="L1048113" s="4"/>
      <c r="M1048113" s="4"/>
      <c r="N1048113" s="26"/>
    </row>
    <row r="1048114" customFormat="1" spans="2:14">
      <c r="B1048114" s="26"/>
      <c r="C1048114" s="26"/>
      <c r="D1048114" s="4"/>
      <c r="E1048114" s="26"/>
      <c r="F1048114" s="26"/>
      <c r="G1048114" s="26"/>
      <c r="H1048114" s="26"/>
      <c r="I1048114" s="27"/>
      <c r="J1048114" s="26"/>
      <c r="K1048114" s="26"/>
      <c r="L1048114" s="4"/>
      <c r="M1048114" s="4"/>
      <c r="N1048114" s="26"/>
    </row>
    <row r="1048115" customFormat="1" spans="2:14">
      <c r="B1048115" s="26"/>
      <c r="C1048115" s="26"/>
      <c r="D1048115" s="4"/>
      <c r="E1048115" s="26"/>
      <c r="F1048115" s="26"/>
      <c r="G1048115" s="26"/>
      <c r="H1048115" s="26"/>
      <c r="I1048115" s="27"/>
      <c r="J1048115" s="26"/>
      <c r="K1048115" s="26"/>
      <c r="L1048115" s="4"/>
      <c r="M1048115" s="4"/>
      <c r="N1048115" s="26"/>
    </row>
    <row r="1048116" customFormat="1" spans="2:14">
      <c r="B1048116" s="26"/>
      <c r="C1048116" s="26"/>
      <c r="D1048116" s="4"/>
      <c r="E1048116" s="26"/>
      <c r="F1048116" s="26"/>
      <c r="G1048116" s="26"/>
      <c r="H1048116" s="26"/>
      <c r="I1048116" s="27"/>
      <c r="J1048116" s="26"/>
      <c r="K1048116" s="26"/>
      <c r="L1048116" s="4"/>
      <c r="M1048116" s="4"/>
      <c r="N1048116" s="26"/>
    </row>
    <row r="1048117" customFormat="1" spans="2:14">
      <c r="B1048117" s="26"/>
      <c r="C1048117" s="26"/>
      <c r="D1048117" s="4"/>
      <c r="E1048117" s="26"/>
      <c r="F1048117" s="26"/>
      <c r="G1048117" s="26"/>
      <c r="H1048117" s="26"/>
      <c r="I1048117" s="27"/>
      <c r="J1048117" s="26"/>
      <c r="K1048117" s="26"/>
      <c r="L1048117" s="4"/>
      <c r="M1048117" s="4"/>
      <c r="N1048117" s="26"/>
    </row>
    <row r="1048118" customFormat="1" spans="2:14">
      <c r="B1048118" s="26"/>
      <c r="C1048118" s="26"/>
      <c r="D1048118" s="4"/>
      <c r="E1048118" s="26"/>
      <c r="F1048118" s="26"/>
      <c r="G1048118" s="26"/>
      <c r="H1048118" s="26"/>
      <c r="I1048118" s="27"/>
      <c r="J1048118" s="26"/>
      <c r="K1048118" s="26"/>
      <c r="L1048118" s="4"/>
      <c r="M1048118" s="4"/>
      <c r="N1048118" s="26"/>
    </row>
    <row r="1048119" customFormat="1" spans="2:14">
      <c r="B1048119" s="26"/>
      <c r="C1048119" s="26"/>
      <c r="D1048119" s="4"/>
      <c r="E1048119" s="26"/>
      <c r="F1048119" s="26"/>
      <c r="G1048119" s="26"/>
      <c r="H1048119" s="26"/>
      <c r="I1048119" s="27"/>
      <c r="J1048119" s="26"/>
      <c r="K1048119" s="26"/>
      <c r="L1048119" s="4"/>
      <c r="M1048119" s="4"/>
      <c r="N1048119" s="26"/>
    </row>
    <row r="1048120" customFormat="1" spans="2:14">
      <c r="B1048120" s="26"/>
      <c r="C1048120" s="26"/>
      <c r="D1048120" s="4"/>
      <c r="E1048120" s="26"/>
      <c r="F1048120" s="26"/>
      <c r="G1048120" s="26"/>
      <c r="H1048120" s="26"/>
      <c r="I1048120" s="27"/>
      <c r="J1048120" s="26"/>
      <c r="K1048120" s="26"/>
      <c r="L1048120" s="4"/>
      <c r="M1048120" s="4"/>
      <c r="N1048120" s="26"/>
    </row>
    <row r="1048121" customFormat="1" spans="2:14">
      <c r="B1048121" s="26"/>
      <c r="C1048121" s="26"/>
      <c r="D1048121" s="4"/>
      <c r="E1048121" s="26"/>
      <c r="F1048121" s="26"/>
      <c r="G1048121" s="26"/>
      <c r="H1048121" s="26"/>
      <c r="I1048121" s="27"/>
      <c r="J1048121" s="26"/>
      <c r="K1048121" s="26"/>
      <c r="L1048121" s="4"/>
      <c r="M1048121" s="4"/>
      <c r="N1048121" s="26"/>
    </row>
    <row r="1048122" customFormat="1" spans="2:14">
      <c r="B1048122" s="26"/>
      <c r="C1048122" s="26"/>
      <c r="D1048122" s="4"/>
      <c r="E1048122" s="26"/>
      <c r="F1048122" s="26"/>
      <c r="G1048122" s="26"/>
      <c r="H1048122" s="26"/>
      <c r="I1048122" s="27"/>
      <c r="J1048122" s="26"/>
      <c r="K1048122" s="26"/>
      <c r="L1048122" s="4"/>
      <c r="M1048122" s="4"/>
      <c r="N1048122" s="26"/>
    </row>
    <row r="1048123" customFormat="1" spans="2:14">
      <c r="B1048123" s="26"/>
      <c r="C1048123" s="26"/>
      <c r="D1048123" s="4"/>
      <c r="E1048123" s="26"/>
      <c r="F1048123" s="26"/>
      <c r="G1048123" s="26"/>
      <c r="H1048123" s="26"/>
      <c r="I1048123" s="27"/>
      <c r="J1048123" s="26"/>
      <c r="K1048123" s="26"/>
      <c r="L1048123" s="4"/>
      <c r="M1048123" s="4"/>
      <c r="N1048123" s="26"/>
    </row>
    <row r="1048124" customFormat="1" spans="2:14">
      <c r="B1048124" s="26"/>
      <c r="C1048124" s="26"/>
      <c r="D1048124" s="4"/>
      <c r="E1048124" s="26"/>
      <c r="F1048124" s="26"/>
      <c r="G1048124" s="26"/>
      <c r="H1048124" s="26"/>
      <c r="I1048124" s="27"/>
      <c r="J1048124" s="26"/>
      <c r="K1048124" s="26"/>
      <c r="L1048124" s="4"/>
      <c r="M1048124" s="4"/>
      <c r="N1048124" s="26"/>
    </row>
    <row r="1048125" customFormat="1" spans="2:14">
      <c r="B1048125" s="26"/>
      <c r="C1048125" s="26"/>
      <c r="D1048125" s="4"/>
      <c r="E1048125" s="26"/>
      <c r="F1048125" s="26"/>
      <c r="G1048125" s="26"/>
      <c r="H1048125" s="26"/>
      <c r="I1048125" s="27"/>
      <c r="J1048125" s="26"/>
      <c r="K1048125" s="26"/>
      <c r="L1048125" s="4"/>
      <c r="M1048125" s="4"/>
      <c r="N1048125" s="26"/>
    </row>
    <row r="1048126" customFormat="1" spans="2:14">
      <c r="B1048126" s="26"/>
      <c r="C1048126" s="26"/>
      <c r="D1048126" s="4"/>
      <c r="E1048126" s="26"/>
      <c r="F1048126" s="26"/>
      <c r="G1048126" s="26"/>
      <c r="H1048126" s="26"/>
      <c r="I1048126" s="27"/>
      <c r="J1048126" s="26"/>
      <c r="K1048126" s="26"/>
      <c r="L1048126" s="4"/>
      <c r="M1048126" s="4"/>
      <c r="N1048126" s="26"/>
    </row>
    <row r="1048127" customFormat="1" spans="2:14">
      <c r="B1048127" s="26"/>
      <c r="C1048127" s="26"/>
      <c r="D1048127" s="4"/>
      <c r="E1048127" s="26"/>
      <c r="F1048127" s="26"/>
      <c r="G1048127" s="26"/>
      <c r="H1048127" s="26"/>
      <c r="I1048127" s="27"/>
      <c r="J1048127" s="26"/>
      <c r="K1048127" s="26"/>
      <c r="L1048127" s="4"/>
      <c r="M1048127" s="4"/>
      <c r="N1048127" s="26"/>
    </row>
    <row r="1048128" customFormat="1" spans="2:14">
      <c r="B1048128" s="26"/>
      <c r="C1048128" s="26"/>
      <c r="D1048128" s="4"/>
      <c r="E1048128" s="26"/>
      <c r="F1048128" s="26"/>
      <c r="G1048128" s="26"/>
      <c r="H1048128" s="26"/>
      <c r="I1048128" s="27"/>
      <c r="J1048128" s="26"/>
      <c r="K1048128" s="26"/>
      <c r="L1048128" s="4"/>
      <c r="M1048128" s="4"/>
      <c r="N1048128" s="26"/>
    </row>
    <row r="1048129" customFormat="1" spans="2:14">
      <c r="B1048129" s="26"/>
      <c r="C1048129" s="26"/>
      <c r="D1048129" s="4"/>
      <c r="E1048129" s="26"/>
      <c r="F1048129" s="26"/>
      <c r="G1048129" s="26"/>
      <c r="H1048129" s="26"/>
      <c r="I1048129" s="27"/>
      <c r="J1048129" s="26"/>
      <c r="K1048129" s="26"/>
      <c r="L1048129" s="4"/>
      <c r="M1048129" s="4"/>
      <c r="N1048129" s="26"/>
    </row>
    <row r="1048130" customFormat="1" spans="2:14">
      <c r="B1048130" s="26"/>
      <c r="C1048130" s="26"/>
      <c r="D1048130" s="4"/>
      <c r="E1048130" s="26"/>
      <c r="F1048130" s="26"/>
      <c r="G1048130" s="26"/>
      <c r="H1048130" s="26"/>
      <c r="I1048130" s="27"/>
      <c r="J1048130" s="26"/>
      <c r="K1048130" s="26"/>
      <c r="L1048130" s="4"/>
      <c r="M1048130" s="4"/>
      <c r="N1048130" s="26"/>
    </row>
    <row r="1048131" customFormat="1" spans="2:14">
      <c r="B1048131" s="26"/>
      <c r="C1048131" s="26"/>
      <c r="D1048131" s="4"/>
      <c r="E1048131" s="26"/>
      <c r="F1048131" s="26"/>
      <c r="G1048131" s="26"/>
      <c r="H1048131" s="26"/>
      <c r="I1048131" s="27"/>
      <c r="J1048131" s="26"/>
      <c r="K1048131" s="26"/>
      <c r="L1048131" s="4"/>
      <c r="M1048131" s="4"/>
      <c r="N1048131" s="26"/>
    </row>
    <row r="1048132" customFormat="1" spans="2:14">
      <c r="B1048132" s="26"/>
      <c r="C1048132" s="26"/>
      <c r="D1048132" s="4"/>
      <c r="E1048132" s="26"/>
      <c r="F1048132" s="26"/>
      <c r="G1048132" s="26"/>
      <c r="H1048132" s="26"/>
      <c r="I1048132" s="27"/>
      <c r="J1048132" s="26"/>
      <c r="K1048132" s="26"/>
      <c r="L1048132" s="4"/>
      <c r="M1048132" s="4"/>
      <c r="N1048132" s="26"/>
    </row>
    <row r="1048133" customFormat="1" spans="2:14">
      <c r="B1048133" s="26"/>
      <c r="C1048133" s="26"/>
      <c r="D1048133" s="4"/>
      <c r="E1048133" s="26"/>
      <c r="F1048133" s="26"/>
      <c r="G1048133" s="26"/>
      <c r="H1048133" s="26"/>
      <c r="I1048133" s="27"/>
      <c r="J1048133" s="26"/>
      <c r="K1048133" s="26"/>
      <c r="L1048133" s="4"/>
      <c r="M1048133" s="4"/>
      <c r="N1048133" s="26"/>
    </row>
    <row r="1048134" customFormat="1" spans="2:14">
      <c r="B1048134" s="26"/>
      <c r="C1048134" s="26"/>
      <c r="D1048134" s="4"/>
      <c r="E1048134" s="26"/>
      <c r="F1048134" s="26"/>
      <c r="G1048134" s="26"/>
      <c r="H1048134" s="26"/>
      <c r="I1048134" s="27"/>
      <c r="J1048134" s="26"/>
      <c r="K1048134" s="26"/>
      <c r="L1048134" s="4"/>
      <c r="M1048134" s="4"/>
      <c r="N1048134" s="26"/>
    </row>
    <row r="1048135" customFormat="1" spans="2:14">
      <c r="B1048135" s="26"/>
      <c r="C1048135" s="26"/>
      <c r="D1048135" s="4"/>
      <c r="E1048135" s="26"/>
      <c r="F1048135" s="26"/>
      <c r="G1048135" s="26"/>
      <c r="H1048135" s="26"/>
      <c r="I1048135" s="27"/>
      <c r="J1048135" s="26"/>
      <c r="K1048135" s="26"/>
      <c r="L1048135" s="4"/>
      <c r="M1048135" s="4"/>
      <c r="N1048135" s="26"/>
    </row>
    <row r="1048136" customFormat="1" spans="2:14">
      <c r="B1048136" s="26"/>
      <c r="C1048136" s="26"/>
      <c r="D1048136" s="4"/>
      <c r="E1048136" s="26"/>
      <c r="F1048136" s="26"/>
      <c r="G1048136" s="26"/>
      <c r="H1048136" s="26"/>
      <c r="I1048136" s="27"/>
      <c r="J1048136" s="26"/>
      <c r="K1048136" s="26"/>
      <c r="L1048136" s="4"/>
      <c r="M1048136" s="4"/>
      <c r="N1048136" s="26"/>
    </row>
    <row r="1048137" customFormat="1" spans="2:14">
      <c r="B1048137" s="26"/>
      <c r="C1048137" s="26"/>
      <c r="D1048137" s="4"/>
      <c r="E1048137" s="26"/>
      <c r="F1048137" s="26"/>
      <c r="G1048137" s="26"/>
      <c r="H1048137" s="26"/>
      <c r="I1048137" s="27"/>
      <c r="J1048137" s="26"/>
      <c r="K1048137" s="26"/>
      <c r="L1048137" s="4"/>
      <c r="M1048137" s="4"/>
      <c r="N1048137" s="26"/>
    </row>
    <row r="1048138" customFormat="1" spans="2:14">
      <c r="B1048138" s="26"/>
      <c r="C1048138" s="26"/>
      <c r="D1048138" s="4"/>
      <c r="E1048138" s="26"/>
      <c r="F1048138" s="26"/>
      <c r="G1048138" s="26"/>
      <c r="H1048138" s="26"/>
      <c r="I1048138" s="27"/>
      <c r="J1048138" s="26"/>
      <c r="K1048138" s="26"/>
      <c r="L1048138" s="4"/>
      <c r="M1048138" s="4"/>
      <c r="N1048138" s="26"/>
    </row>
    <row r="1048139" customFormat="1" spans="2:14">
      <c r="B1048139" s="26"/>
      <c r="C1048139" s="26"/>
      <c r="D1048139" s="4"/>
      <c r="E1048139" s="26"/>
      <c r="F1048139" s="26"/>
      <c r="G1048139" s="26"/>
      <c r="H1048139" s="26"/>
      <c r="I1048139" s="27"/>
      <c r="J1048139" s="26"/>
      <c r="K1048139" s="26"/>
      <c r="L1048139" s="4"/>
      <c r="M1048139" s="4"/>
      <c r="N1048139" s="26"/>
    </row>
    <row r="1048140" customFormat="1" spans="2:14">
      <c r="B1048140" s="26"/>
      <c r="C1048140" s="26"/>
      <c r="D1048140" s="4"/>
      <c r="E1048140" s="26"/>
      <c r="F1048140" s="26"/>
      <c r="G1048140" s="26"/>
      <c r="H1048140" s="26"/>
      <c r="I1048140" s="27"/>
      <c r="J1048140" s="26"/>
      <c r="K1048140" s="26"/>
      <c r="L1048140" s="4"/>
      <c r="M1048140" s="4"/>
      <c r="N1048140" s="26"/>
    </row>
    <row r="1048141" customFormat="1" spans="2:14">
      <c r="B1048141" s="26"/>
      <c r="C1048141" s="26"/>
      <c r="D1048141" s="4"/>
      <c r="E1048141" s="26"/>
      <c r="F1048141" s="26"/>
      <c r="G1048141" s="26"/>
      <c r="H1048141" s="26"/>
      <c r="I1048141" s="27"/>
      <c r="J1048141" s="26"/>
      <c r="K1048141" s="26"/>
      <c r="L1048141" s="4"/>
      <c r="M1048141" s="4"/>
      <c r="N1048141" s="26"/>
    </row>
    <row r="1048142" customFormat="1" spans="2:14">
      <c r="B1048142" s="26"/>
      <c r="C1048142" s="26"/>
      <c r="D1048142" s="4"/>
      <c r="E1048142" s="26"/>
      <c r="F1048142" s="26"/>
      <c r="G1048142" s="26"/>
      <c r="H1048142" s="26"/>
      <c r="I1048142" s="27"/>
      <c r="J1048142" s="26"/>
      <c r="K1048142" s="26"/>
      <c r="L1048142" s="4"/>
      <c r="M1048142" s="4"/>
      <c r="N1048142" s="26"/>
    </row>
    <row r="1048143" customFormat="1" spans="2:14">
      <c r="B1048143" s="26"/>
      <c r="C1048143" s="26"/>
      <c r="D1048143" s="4"/>
      <c r="E1048143" s="26"/>
      <c r="F1048143" s="26"/>
      <c r="G1048143" s="26"/>
      <c r="H1048143" s="26"/>
      <c r="I1048143" s="27"/>
      <c r="J1048143" s="26"/>
      <c r="K1048143" s="26"/>
      <c r="L1048143" s="4"/>
      <c r="M1048143" s="4"/>
      <c r="N1048143" s="26"/>
    </row>
    <row r="1048144" customFormat="1" spans="2:14">
      <c r="B1048144" s="26"/>
      <c r="C1048144" s="26"/>
      <c r="D1048144" s="4"/>
      <c r="E1048144" s="26"/>
      <c r="F1048144" s="26"/>
      <c r="G1048144" s="26"/>
      <c r="H1048144" s="26"/>
      <c r="I1048144" s="27"/>
      <c r="J1048144" s="26"/>
      <c r="K1048144" s="26"/>
      <c r="L1048144" s="4"/>
      <c r="M1048144" s="4"/>
      <c r="N1048144" s="26"/>
    </row>
    <row r="1048145" customFormat="1" spans="2:14">
      <c r="B1048145" s="26"/>
      <c r="C1048145" s="26"/>
      <c r="D1048145" s="4"/>
      <c r="E1048145" s="26"/>
      <c r="F1048145" s="26"/>
      <c r="G1048145" s="26"/>
      <c r="H1048145" s="26"/>
      <c r="I1048145" s="27"/>
      <c r="J1048145" s="26"/>
      <c r="K1048145" s="26"/>
      <c r="L1048145" s="4"/>
      <c r="M1048145" s="4"/>
      <c r="N1048145" s="26"/>
    </row>
    <row r="1048146" customFormat="1" spans="2:14">
      <c r="B1048146" s="26"/>
      <c r="C1048146" s="26"/>
      <c r="D1048146" s="4"/>
      <c r="E1048146" s="26"/>
      <c r="F1048146" s="26"/>
      <c r="G1048146" s="26"/>
      <c r="H1048146" s="26"/>
      <c r="I1048146" s="27"/>
      <c r="J1048146" s="26"/>
      <c r="K1048146" s="26"/>
      <c r="L1048146" s="4"/>
      <c r="M1048146" s="4"/>
      <c r="N1048146" s="26"/>
    </row>
    <row r="1048147" customFormat="1" spans="2:14">
      <c r="B1048147" s="26"/>
      <c r="C1048147" s="26"/>
      <c r="D1048147" s="4"/>
      <c r="E1048147" s="26"/>
      <c r="F1048147" s="26"/>
      <c r="G1048147" s="26"/>
      <c r="H1048147" s="26"/>
      <c r="I1048147" s="27"/>
      <c r="J1048147" s="26"/>
      <c r="K1048147" s="26"/>
      <c r="L1048147" s="4"/>
      <c r="M1048147" s="4"/>
      <c r="N1048147" s="26"/>
    </row>
    <row r="1048148" customFormat="1" spans="2:14">
      <c r="B1048148" s="26"/>
      <c r="C1048148" s="26"/>
      <c r="D1048148" s="4"/>
      <c r="E1048148" s="26"/>
      <c r="F1048148" s="26"/>
      <c r="G1048148" s="26"/>
      <c r="H1048148" s="26"/>
      <c r="I1048148" s="27"/>
      <c r="J1048148" s="26"/>
      <c r="K1048148" s="26"/>
      <c r="L1048148" s="4"/>
      <c r="M1048148" s="4"/>
      <c r="N1048148" s="26"/>
    </row>
    <row r="1048149" customFormat="1" spans="2:14">
      <c r="B1048149" s="26"/>
      <c r="C1048149" s="26"/>
      <c r="D1048149" s="4"/>
      <c r="E1048149" s="26"/>
      <c r="F1048149" s="26"/>
      <c r="G1048149" s="26"/>
      <c r="H1048149" s="26"/>
      <c r="I1048149" s="27"/>
      <c r="J1048149" s="26"/>
      <c r="K1048149" s="26"/>
      <c r="L1048149" s="4"/>
      <c r="M1048149" s="4"/>
      <c r="N1048149" s="26"/>
    </row>
    <row r="1048150" customFormat="1" spans="2:14">
      <c r="B1048150" s="26"/>
      <c r="C1048150" s="26"/>
      <c r="D1048150" s="4"/>
      <c r="E1048150" s="26"/>
      <c r="F1048150" s="26"/>
      <c r="G1048150" s="26"/>
      <c r="H1048150" s="26"/>
      <c r="I1048150" s="27"/>
      <c r="J1048150" s="26"/>
      <c r="K1048150" s="26"/>
      <c r="L1048150" s="4"/>
      <c r="M1048150" s="4"/>
      <c r="N1048150" s="26"/>
    </row>
    <row r="1048151" customFormat="1" spans="2:14">
      <c r="B1048151" s="26"/>
      <c r="C1048151" s="26"/>
      <c r="D1048151" s="4"/>
      <c r="E1048151" s="26"/>
      <c r="F1048151" s="26"/>
      <c r="G1048151" s="26"/>
      <c r="H1048151" s="26"/>
      <c r="I1048151" s="27"/>
      <c r="J1048151" s="26"/>
      <c r="K1048151" s="26"/>
      <c r="L1048151" s="4"/>
      <c r="M1048151" s="4"/>
      <c r="N1048151" s="26"/>
    </row>
    <row r="1048152" customFormat="1" spans="2:14">
      <c r="B1048152" s="26"/>
      <c r="C1048152" s="26"/>
      <c r="D1048152" s="4"/>
      <c r="E1048152" s="26"/>
      <c r="F1048152" s="26"/>
      <c r="G1048152" s="26"/>
      <c r="H1048152" s="26"/>
      <c r="I1048152" s="27"/>
      <c r="J1048152" s="26"/>
      <c r="K1048152" s="26"/>
      <c r="L1048152" s="4"/>
      <c r="M1048152" s="4"/>
      <c r="N1048152" s="26"/>
    </row>
    <row r="1048153" customFormat="1" spans="2:14">
      <c r="B1048153" s="26"/>
      <c r="C1048153" s="26"/>
      <c r="D1048153" s="4"/>
      <c r="E1048153" s="26"/>
      <c r="F1048153" s="26"/>
      <c r="G1048153" s="26"/>
      <c r="H1048153" s="26"/>
      <c r="I1048153" s="27"/>
      <c r="J1048153" s="26"/>
      <c r="K1048153" s="26"/>
      <c r="L1048153" s="4"/>
      <c r="M1048153" s="4"/>
      <c r="N1048153" s="26"/>
    </row>
    <row r="1048154" customFormat="1" spans="2:14">
      <c r="B1048154" s="26"/>
      <c r="C1048154" s="26"/>
      <c r="D1048154" s="4"/>
      <c r="E1048154" s="26"/>
      <c r="F1048154" s="26"/>
      <c r="G1048154" s="26"/>
      <c r="H1048154" s="26"/>
      <c r="I1048154" s="27"/>
      <c r="J1048154" s="26"/>
      <c r="K1048154" s="26"/>
      <c r="L1048154" s="4"/>
      <c r="M1048154" s="4"/>
      <c r="N1048154" s="26"/>
    </row>
    <row r="1048155" customFormat="1" spans="2:14">
      <c r="B1048155" s="26"/>
      <c r="C1048155" s="26"/>
      <c r="D1048155" s="4"/>
      <c r="E1048155" s="26"/>
      <c r="F1048155" s="26"/>
      <c r="G1048155" s="26"/>
      <c r="H1048155" s="26"/>
      <c r="I1048155" s="27"/>
      <c r="J1048155" s="26"/>
      <c r="K1048155" s="26"/>
      <c r="L1048155" s="4"/>
      <c r="M1048155" s="4"/>
      <c r="N1048155" s="26"/>
    </row>
    <row r="1048156" customFormat="1" spans="2:14">
      <c r="B1048156" s="26"/>
      <c r="C1048156" s="26"/>
      <c r="D1048156" s="4"/>
      <c r="E1048156" s="26"/>
      <c r="F1048156" s="26"/>
      <c r="G1048156" s="26"/>
      <c r="H1048156" s="26"/>
      <c r="I1048156" s="27"/>
      <c r="J1048156" s="26"/>
      <c r="K1048156" s="26"/>
      <c r="L1048156" s="4"/>
      <c r="M1048156" s="4"/>
      <c r="N1048156" s="26"/>
    </row>
    <row r="1048157" customFormat="1" spans="2:14">
      <c r="B1048157" s="26"/>
      <c r="C1048157" s="26"/>
      <c r="D1048157" s="4"/>
      <c r="E1048157" s="26"/>
      <c r="F1048157" s="26"/>
      <c r="G1048157" s="26"/>
      <c r="H1048157" s="26"/>
      <c r="I1048157" s="27"/>
      <c r="J1048157" s="26"/>
      <c r="K1048157" s="26"/>
      <c r="L1048157" s="4"/>
      <c r="M1048157" s="4"/>
      <c r="N1048157" s="26"/>
    </row>
    <row r="1048158" customFormat="1" spans="2:14">
      <c r="B1048158" s="26"/>
      <c r="C1048158" s="26"/>
      <c r="D1048158" s="4"/>
      <c r="E1048158" s="26"/>
      <c r="F1048158" s="26"/>
      <c r="G1048158" s="26"/>
      <c r="H1048158" s="26"/>
      <c r="I1048158" s="27"/>
      <c r="J1048158" s="26"/>
      <c r="K1048158" s="26"/>
      <c r="L1048158" s="4"/>
      <c r="M1048158" s="4"/>
      <c r="N1048158" s="26"/>
    </row>
    <row r="1048159" customFormat="1" spans="2:14">
      <c r="B1048159" s="26"/>
      <c r="C1048159" s="26"/>
      <c r="D1048159" s="4"/>
      <c r="E1048159" s="26"/>
      <c r="F1048159" s="26"/>
      <c r="G1048159" s="26"/>
      <c r="H1048159" s="26"/>
      <c r="I1048159" s="27"/>
      <c r="J1048159" s="26"/>
      <c r="K1048159" s="26"/>
      <c r="L1048159" s="4"/>
      <c r="M1048159" s="4"/>
      <c r="N1048159" s="26"/>
    </row>
    <row r="1048160" customFormat="1" spans="2:14">
      <c r="B1048160" s="26"/>
      <c r="C1048160" s="26"/>
      <c r="D1048160" s="4"/>
      <c r="E1048160" s="26"/>
      <c r="F1048160" s="26"/>
      <c r="G1048160" s="26"/>
      <c r="H1048160" s="26"/>
      <c r="I1048160" s="27"/>
      <c r="J1048160" s="26"/>
      <c r="K1048160" s="26"/>
      <c r="L1048160" s="4"/>
      <c r="M1048160" s="4"/>
      <c r="N1048160" s="26"/>
    </row>
    <row r="1048161" customFormat="1" spans="2:14">
      <c r="B1048161" s="26"/>
      <c r="C1048161" s="26"/>
      <c r="D1048161" s="4"/>
      <c r="E1048161" s="26"/>
      <c r="F1048161" s="26"/>
      <c r="G1048161" s="26"/>
      <c r="H1048161" s="26"/>
      <c r="I1048161" s="27"/>
      <c r="J1048161" s="26"/>
      <c r="K1048161" s="26"/>
      <c r="L1048161" s="4"/>
      <c r="M1048161" s="4"/>
      <c r="N1048161" s="26"/>
    </row>
    <row r="1048162" customFormat="1" spans="2:14">
      <c r="B1048162" s="26"/>
      <c r="C1048162" s="26"/>
      <c r="D1048162" s="4"/>
      <c r="E1048162" s="26"/>
      <c r="F1048162" s="26"/>
      <c r="G1048162" s="26"/>
      <c r="H1048162" s="26"/>
      <c r="I1048162" s="27"/>
      <c r="J1048162" s="26"/>
      <c r="K1048162" s="26"/>
      <c r="L1048162" s="4"/>
      <c r="M1048162" s="4"/>
      <c r="N1048162" s="26"/>
    </row>
    <row r="1048163" customFormat="1" spans="2:14">
      <c r="B1048163" s="26"/>
      <c r="C1048163" s="26"/>
      <c r="D1048163" s="4"/>
      <c r="E1048163" s="26"/>
      <c r="F1048163" s="26"/>
      <c r="G1048163" s="26"/>
      <c r="H1048163" s="26"/>
      <c r="I1048163" s="27"/>
      <c r="J1048163" s="26"/>
      <c r="K1048163" s="26"/>
      <c r="L1048163" s="4"/>
      <c r="M1048163" s="4"/>
      <c r="N1048163" s="26"/>
    </row>
    <row r="1048164" customFormat="1" spans="2:14">
      <c r="B1048164" s="26"/>
      <c r="C1048164" s="26"/>
      <c r="D1048164" s="4"/>
      <c r="E1048164" s="26"/>
      <c r="F1048164" s="26"/>
      <c r="G1048164" s="26"/>
      <c r="H1048164" s="26"/>
      <c r="I1048164" s="27"/>
      <c r="J1048164" s="26"/>
      <c r="K1048164" s="26"/>
      <c r="L1048164" s="4"/>
      <c r="M1048164" s="4"/>
      <c r="N1048164" s="26"/>
    </row>
    <row r="1048165" customFormat="1" spans="2:14">
      <c r="B1048165" s="26"/>
      <c r="C1048165" s="26"/>
      <c r="D1048165" s="4"/>
      <c r="E1048165" s="26"/>
      <c r="F1048165" s="26"/>
      <c r="G1048165" s="26"/>
      <c r="H1048165" s="26"/>
      <c r="I1048165" s="27"/>
      <c r="J1048165" s="26"/>
      <c r="K1048165" s="26"/>
      <c r="L1048165" s="4"/>
      <c r="M1048165" s="4"/>
      <c r="N1048165" s="26"/>
    </row>
    <row r="1048166" customFormat="1" spans="2:14">
      <c r="B1048166" s="26"/>
      <c r="C1048166" s="26"/>
      <c r="D1048166" s="4"/>
      <c r="E1048166" s="26"/>
      <c r="F1048166" s="26"/>
      <c r="G1048166" s="26"/>
      <c r="H1048166" s="26"/>
      <c r="I1048166" s="27"/>
      <c r="J1048166" s="26"/>
      <c r="K1048166" s="26"/>
      <c r="L1048166" s="4"/>
      <c r="M1048166" s="4"/>
      <c r="N1048166" s="26"/>
    </row>
    <row r="1048167" customFormat="1" spans="2:14">
      <c r="B1048167" s="26"/>
      <c r="C1048167" s="26"/>
      <c r="D1048167" s="4"/>
      <c r="E1048167" s="26"/>
      <c r="F1048167" s="26"/>
      <c r="G1048167" s="26"/>
      <c r="H1048167" s="26"/>
      <c r="I1048167" s="27"/>
      <c r="J1048167" s="26"/>
      <c r="K1048167" s="26"/>
      <c r="L1048167" s="4"/>
      <c r="M1048167" s="4"/>
      <c r="N1048167" s="26"/>
    </row>
    <row r="1048168" customFormat="1" spans="2:14">
      <c r="B1048168" s="26"/>
      <c r="C1048168" s="26"/>
      <c r="D1048168" s="4"/>
      <c r="E1048168" s="26"/>
      <c r="F1048168" s="26"/>
      <c r="G1048168" s="26"/>
      <c r="H1048168" s="26"/>
      <c r="I1048168" s="27"/>
      <c r="J1048168" s="26"/>
      <c r="K1048168" s="26"/>
      <c r="L1048168" s="4"/>
      <c r="M1048168" s="4"/>
      <c r="N1048168" s="26"/>
    </row>
    <row r="1048169" customFormat="1" spans="2:14">
      <c r="B1048169" s="26"/>
      <c r="C1048169" s="26"/>
      <c r="D1048169" s="4"/>
      <c r="E1048169" s="26"/>
      <c r="F1048169" s="26"/>
      <c r="G1048169" s="26"/>
      <c r="H1048169" s="26"/>
      <c r="I1048169" s="27"/>
      <c r="J1048169" s="26"/>
      <c r="K1048169" s="26"/>
      <c r="L1048169" s="4"/>
      <c r="M1048169" s="4"/>
      <c r="N1048169" s="26"/>
    </row>
    <row r="1048170" customFormat="1" spans="2:14">
      <c r="B1048170" s="26"/>
      <c r="C1048170" s="26"/>
      <c r="D1048170" s="4"/>
      <c r="E1048170" s="26"/>
      <c r="F1048170" s="26"/>
      <c r="G1048170" s="26"/>
      <c r="H1048170" s="26"/>
      <c r="I1048170" s="27"/>
      <c r="J1048170" s="26"/>
      <c r="K1048170" s="26"/>
      <c r="L1048170" s="4"/>
      <c r="M1048170" s="4"/>
      <c r="N1048170" s="26"/>
    </row>
    <row r="1048171" customFormat="1" spans="2:14">
      <c r="B1048171" s="26"/>
      <c r="C1048171" s="26"/>
      <c r="D1048171" s="4"/>
      <c r="E1048171" s="26"/>
      <c r="F1048171" s="26"/>
      <c r="G1048171" s="26"/>
      <c r="H1048171" s="26"/>
      <c r="I1048171" s="27"/>
      <c r="J1048171" s="26"/>
      <c r="K1048171" s="26"/>
      <c r="L1048171" s="4"/>
      <c r="M1048171" s="4"/>
      <c r="N1048171" s="26"/>
    </row>
    <row r="1048172" customFormat="1" spans="2:14">
      <c r="B1048172" s="26"/>
      <c r="C1048172" s="26"/>
      <c r="D1048172" s="4"/>
      <c r="E1048172" s="26"/>
      <c r="F1048172" s="26"/>
      <c r="G1048172" s="26"/>
      <c r="H1048172" s="26"/>
      <c r="I1048172" s="27"/>
      <c r="J1048172" s="26"/>
      <c r="K1048172" s="26"/>
      <c r="L1048172" s="4"/>
      <c r="M1048172" s="4"/>
      <c r="N1048172" s="26"/>
    </row>
    <row r="1048173" customFormat="1" spans="2:14">
      <c r="B1048173" s="26"/>
      <c r="C1048173" s="26"/>
      <c r="D1048173" s="4"/>
      <c r="E1048173" s="26"/>
      <c r="F1048173" s="26"/>
      <c r="G1048173" s="26"/>
      <c r="H1048173" s="26"/>
      <c r="I1048173" s="27"/>
      <c r="J1048173" s="26"/>
      <c r="K1048173" s="26"/>
      <c r="L1048173" s="4"/>
      <c r="M1048173" s="4"/>
      <c r="N1048173" s="26"/>
    </row>
    <row r="1048174" customFormat="1" spans="2:14">
      <c r="B1048174" s="26"/>
      <c r="C1048174" s="26"/>
      <c r="D1048174" s="4"/>
      <c r="E1048174" s="26"/>
      <c r="F1048174" s="26"/>
      <c r="G1048174" s="26"/>
      <c r="H1048174" s="26"/>
      <c r="I1048174" s="27"/>
      <c r="J1048174" s="26"/>
      <c r="K1048174" s="26"/>
      <c r="L1048174" s="4"/>
      <c r="M1048174" s="4"/>
      <c r="N1048174" s="26"/>
    </row>
    <row r="1048175" customFormat="1" spans="2:14">
      <c r="B1048175" s="26"/>
      <c r="C1048175" s="26"/>
      <c r="D1048175" s="4"/>
      <c r="E1048175" s="26"/>
      <c r="F1048175" s="26"/>
      <c r="G1048175" s="26"/>
      <c r="H1048175" s="26"/>
      <c r="I1048175" s="27"/>
      <c r="J1048175" s="26"/>
      <c r="K1048175" s="26"/>
      <c r="L1048175" s="4"/>
      <c r="M1048175" s="4"/>
      <c r="N1048175" s="26"/>
    </row>
    <row r="1048176" customFormat="1" spans="2:14">
      <c r="B1048176" s="26"/>
      <c r="C1048176" s="26"/>
      <c r="D1048176" s="4"/>
      <c r="E1048176" s="26"/>
      <c r="F1048176" s="26"/>
      <c r="G1048176" s="26"/>
      <c r="H1048176" s="26"/>
      <c r="I1048176" s="27"/>
      <c r="J1048176" s="26"/>
      <c r="K1048176" s="26"/>
      <c r="L1048176" s="4"/>
      <c r="M1048176" s="4"/>
      <c r="N1048176" s="26"/>
    </row>
    <row r="1048177" customFormat="1" spans="2:14">
      <c r="B1048177" s="26"/>
      <c r="C1048177" s="26"/>
      <c r="D1048177" s="4"/>
      <c r="E1048177" s="26"/>
      <c r="F1048177" s="26"/>
      <c r="G1048177" s="26"/>
      <c r="H1048177" s="26"/>
      <c r="I1048177" s="27"/>
      <c r="J1048177" s="26"/>
      <c r="K1048177" s="26"/>
      <c r="L1048177" s="4"/>
      <c r="M1048177" s="4"/>
      <c r="N1048177" s="26"/>
    </row>
    <row r="1048178" customFormat="1" spans="2:14">
      <c r="B1048178" s="26"/>
      <c r="C1048178" s="26"/>
      <c r="D1048178" s="4"/>
      <c r="E1048178" s="26"/>
      <c r="F1048178" s="26"/>
      <c r="G1048178" s="26"/>
      <c r="H1048178" s="26"/>
      <c r="I1048178" s="27"/>
      <c r="J1048178" s="26"/>
      <c r="K1048178" s="26"/>
      <c r="L1048178" s="4"/>
      <c r="M1048178" s="4"/>
      <c r="N1048178" s="26"/>
    </row>
    <row r="1048179" customFormat="1" spans="2:14">
      <c r="B1048179" s="26"/>
      <c r="C1048179" s="26"/>
      <c r="D1048179" s="4"/>
      <c r="E1048179" s="26"/>
      <c r="F1048179" s="26"/>
      <c r="G1048179" s="26"/>
      <c r="H1048179" s="26"/>
      <c r="I1048179" s="27"/>
      <c r="J1048179" s="26"/>
      <c r="K1048179" s="26"/>
      <c r="L1048179" s="4"/>
      <c r="M1048179" s="4"/>
      <c r="N1048179" s="26"/>
    </row>
    <row r="1048180" customFormat="1" spans="2:14">
      <c r="B1048180" s="26"/>
      <c r="C1048180" s="26"/>
      <c r="D1048180" s="4"/>
      <c r="E1048180" s="26"/>
      <c r="F1048180" s="26"/>
      <c r="G1048180" s="26"/>
      <c r="H1048180" s="26"/>
      <c r="I1048180" s="27"/>
      <c r="J1048180" s="26"/>
      <c r="K1048180" s="26"/>
      <c r="L1048180" s="4"/>
      <c r="M1048180" s="4"/>
      <c r="N1048180" s="26"/>
    </row>
    <row r="1048181" customFormat="1" spans="2:14">
      <c r="B1048181" s="26"/>
      <c r="C1048181" s="26"/>
      <c r="D1048181" s="4"/>
      <c r="E1048181" s="26"/>
      <c r="F1048181" s="26"/>
      <c r="G1048181" s="26"/>
      <c r="H1048181" s="26"/>
      <c r="I1048181" s="27"/>
      <c r="J1048181" s="26"/>
      <c r="K1048181" s="26"/>
      <c r="L1048181" s="4"/>
      <c r="M1048181" s="4"/>
      <c r="N1048181" s="26"/>
    </row>
    <row r="1048182" customFormat="1" spans="2:14">
      <c r="B1048182" s="26"/>
      <c r="C1048182" s="26"/>
      <c r="D1048182" s="4"/>
      <c r="E1048182" s="26"/>
      <c r="F1048182" s="26"/>
      <c r="G1048182" s="26"/>
      <c r="H1048182" s="26"/>
      <c r="I1048182" s="27"/>
      <c r="J1048182" s="26"/>
      <c r="K1048182" s="26"/>
      <c r="L1048182" s="4"/>
      <c r="M1048182" s="4"/>
      <c r="N1048182" s="26"/>
    </row>
    <row r="1048183" customFormat="1" spans="2:14">
      <c r="B1048183" s="26"/>
      <c r="C1048183" s="26"/>
      <c r="D1048183" s="4"/>
      <c r="E1048183" s="26"/>
      <c r="F1048183" s="26"/>
      <c r="G1048183" s="26"/>
      <c r="H1048183" s="26"/>
      <c r="I1048183" s="27"/>
      <c r="J1048183" s="26"/>
      <c r="K1048183" s="26"/>
      <c r="L1048183" s="4"/>
      <c r="M1048183" s="4"/>
      <c r="N1048183" s="26"/>
    </row>
    <row r="1048184" customFormat="1" spans="2:14">
      <c r="B1048184" s="26"/>
      <c r="C1048184" s="26"/>
      <c r="D1048184" s="4"/>
      <c r="E1048184" s="26"/>
      <c r="F1048184" s="26"/>
      <c r="G1048184" s="26"/>
      <c r="H1048184" s="26"/>
      <c r="I1048184" s="27"/>
      <c r="J1048184" s="26"/>
      <c r="K1048184" s="26"/>
      <c r="L1048184" s="4"/>
      <c r="M1048184" s="4"/>
      <c r="N1048184" s="26"/>
    </row>
    <row r="1048185" customFormat="1" spans="2:14">
      <c r="B1048185" s="26"/>
      <c r="C1048185" s="26"/>
      <c r="D1048185" s="4"/>
      <c r="E1048185" s="26"/>
      <c r="F1048185" s="26"/>
      <c r="G1048185" s="26"/>
      <c r="H1048185" s="26"/>
      <c r="I1048185" s="27"/>
      <c r="J1048185" s="26"/>
      <c r="K1048185" s="26"/>
      <c r="L1048185" s="4"/>
      <c r="M1048185" s="4"/>
      <c r="N1048185" s="26"/>
    </row>
    <row r="1048186" customFormat="1" spans="2:14">
      <c r="B1048186" s="26"/>
      <c r="C1048186" s="26"/>
      <c r="D1048186" s="4"/>
      <c r="E1048186" s="26"/>
      <c r="F1048186" s="26"/>
      <c r="G1048186" s="26"/>
      <c r="H1048186" s="26"/>
      <c r="I1048186" s="27"/>
      <c r="J1048186" s="26"/>
      <c r="K1048186" s="26"/>
      <c r="L1048186" s="4"/>
      <c r="M1048186" s="4"/>
      <c r="N1048186" s="26"/>
    </row>
    <row r="1048187" customFormat="1" spans="2:14">
      <c r="B1048187" s="26"/>
      <c r="C1048187" s="26"/>
      <c r="D1048187" s="4"/>
      <c r="E1048187" s="26"/>
      <c r="F1048187" s="26"/>
      <c r="G1048187" s="26"/>
      <c r="H1048187" s="26"/>
      <c r="I1048187" s="27"/>
      <c r="J1048187" s="26"/>
      <c r="K1048187" s="26"/>
      <c r="L1048187" s="4"/>
      <c r="M1048187" s="4"/>
      <c r="N1048187" s="26"/>
    </row>
    <row r="1048188" customFormat="1" spans="2:14">
      <c r="B1048188" s="26"/>
      <c r="C1048188" s="26"/>
      <c r="D1048188" s="4"/>
      <c r="E1048188" s="26"/>
      <c r="F1048188" s="26"/>
      <c r="G1048188" s="26"/>
      <c r="H1048188" s="26"/>
      <c r="I1048188" s="27"/>
      <c r="J1048188" s="26"/>
      <c r="K1048188" s="26"/>
      <c r="L1048188" s="4"/>
      <c r="M1048188" s="4"/>
      <c r="N1048188" s="26"/>
    </row>
    <row r="1048189" customFormat="1" spans="2:14">
      <c r="B1048189" s="26"/>
      <c r="C1048189" s="26"/>
      <c r="D1048189" s="4"/>
      <c r="E1048189" s="26"/>
      <c r="F1048189" s="26"/>
      <c r="G1048189" s="26"/>
      <c r="H1048189" s="26"/>
      <c r="I1048189" s="27"/>
      <c r="J1048189" s="26"/>
      <c r="K1048189" s="26"/>
      <c r="L1048189" s="4"/>
      <c r="M1048189" s="4"/>
      <c r="N1048189" s="26"/>
    </row>
    <row r="1048190" customFormat="1" spans="2:14">
      <c r="B1048190" s="26"/>
      <c r="C1048190" s="26"/>
      <c r="D1048190" s="4"/>
      <c r="E1048190" s="26"/>
      <c r="F1048190" s="26"/>
      <c r="G1048190" s="26"/>
      <c r="H1048190" s="26"/>
      <c r="I1048190" s="27"/>
      <c r="J1048190" s="26"/>
      <c r="K1048190" s="26"/>
      <c r="L1048190" s="4"/>
      <c r="M1048190" s="4"/>
      <c r="N1048190" s="26"/>
    </row>
    <row r="1048191" customFormat="1" spans="2:14">
      <c r="B1048191" s="26"/>
      <c r="C1048191" s="26"/>
      <c r="D1048191" s="4"/>
      <c r="E1048191" s="26"/>
      <c r="F1048191" s="26"/>
      <c r="G1048191" s="26"/>
      <c r="H1048191" s="26"/>
      <c r="I1048191" s="27"/>
      <c r="J1048191" s="26"/>
      <c r="K1048191" s="26"/>
      <c r="L1048191" s="4"/>
      <c r="M1048191" s="4"/>
      <c r="N1048191" s="26"/>
    </row>
    <row r="1048192" customFormat="1" spans="2:14">
      <c r="B1048192" s="26"/>
      <c r="C1048192" s="26"/>
      <c r="D1048192" s="4"/>
      <c r="E1048192" s="26"/>
      <c r="F1048192" s="26"/>
      <c r="G1048192" s="26"/>
      <c r="H1048192" s="26"/>
      <c r="I1048192" s="27"/>
      <c r="J1048192" s="26"/>
      <c r="K1048192" s="26"/>
      <c r="L1048192" s="4"/>
      <c r="M1048192" s="4"/>
      <c r="N1048192" s="26"/>
    </row>
    <row r="1048193" customFormat="1" spans="2:14">
      <c r="B1048193" s="26"/>
      <c r="C1048193" s="26"/>
      <c r="D1048193" s="4"/>
      <c r="E1048193" s="26"/>
      <c r="F1048193" s="26"/>
      <c r="G1048193" s="26"/>
      <c r="H1048193" s="26"/>
      <c r="I1048193" s="27"/>
      <c r="J1048193" s="26"/>
      <c r="K1048193" s="26"/>
      <c r="L1048193" s="4"/>
      <c r="M1048193" s="4"/>
      <c r="N1048193" s="26"/>
    </row>
    <row r="1048194" customFormat="1" spans="2:14">
      <c r="B1048194" s="26"/>
      <c r="C1048194" s="26"/>
      <c r="D1048194" s="4"/>
      <c r="E1048194" s="26"/>
      <c r="F1048194" s="26"/>
      <c r="G1048194" s="26"/>
      <c r="H1048194" s="26"/>
      <c r="I1048194" s="27"/>
      <c r="J1048194" s="26"/>
      <c r="K1048194" s="26"/>
      <c r="L1048194" s="4"/>
      <c r="M1048194" s="4"/>
      <c r="N1048194" s="26"/>
    </row>
    <row r="1048195" customFormat="1" spans="2:14">
      <c r="B1048195" s="26"/>
      <c r="C1048195" s="26"/>
      <c r="D1048195" s="4"/>
      <c r="E1048195" s="26"/>
      <c r="F1048195" s="26"/>
      <c r="G1048195" s="26"/>
      <c r="H1048195" s="26"/>
      <c r="I1048195" s="27"/>
      <c r="J1048195" s="26"/>
      <c r="K1048195" s="26"/>
      <c r="L1048195" s="4"/>
      <c r="M1048195" s="4"/>
      <c r="N1048195" s="26"/>
    </row>
    <row r="1048196" customFormat="1" spans="2:14">
      <c r="B1048196" s="26"/>
      <c r="C1048196" s="26"/>
      <c r="D1048196" s="4"/>
      <c r="E1048196" s="26"/>
      <c r="F1048196" s="26"/>
      <c r="G1048196" s="26"/>
      <c r="H1048196" s="26"/>
      <c r="I1048196" s="27"/>
      <c r="J1048196" s="26"/>
      <c r="K1048196" s="26"/>
      <c r="L1048196" s="4"/>
      <c r="M1048196" s="4"/>
      <c r="N1048196" s="26"/>
    </row>
    <row r="1048197" customFormat="1" spans="2:14">
      <c r="B1048197" s="26"/>
      <c r="C1048197" s="26"/>
      <c r="D1048197" s="4"/>
      <c r="E1048197" s="26"/>
      <c r="F1048197" s="26"/>
      <c r="G1048197" s="26"/>
      <c r="H1048197" s="26"/>
      <c r="I1048197" s="27"/>
      <c r="J1048197" s="26"/>
      <c r="K1048197" s="26"/>
      <c r="L1048197" s="4"/>
      <c r="M1048197" s="4"/>
      <c r="N1048197" s="26"/>
    </row>
    <row r="1048198" customFormat="1" spans="2:14">
      <c r="B1048198" s="26"/>
      <c r="C1048198" s="26"/>
      <c r="D1048198" s="4"/>
      <c r="E1048198" s="26"/>
      <c r="F1048198" s="26"/>
      <c r="G1048198" s="26"/>
      <c r="H1048198" s="26"/>
      <c r="I1048198" s="27"/>
      <c r="J1048198" s="26"/>
      <c r="K1048198" s="26"/>
      <c r="L1048198" s="4"/>
      <c r="M1048198" s="4"/>
      <c r="N1048198" s="26"/>
    </row>
    <row r="1048199" customFormat="1" spans="2:14">
      <c r="B1048199" s="26"/>
      <c r="C1048199" s="26"/>
      <c r="D1048199" s="4"/>
      <c r="E1048199" s="26"/>
      <c r="F1048199" s="26"/>
      <c r="G1048199" s="26"/>
      <c r="H1048199" s="26"/>
      <c r="I1048199" s="27"/>
      <c r="J1048199" s="26"/>
      <c r="K1048199" s="26"/>
      <c r="L1048199" s="4"/>
      <c r="M1048199" s="4"/>
      <c r="N1048199" s="26"/>
    </row>
    <row r="1048200" customFormat="1" spans="2:14">
      <c r="B1048200" s="26"/>
      <c r="C1048200" s="26"/>
      <c r="D1048200" s="4"/>
      <c r="E1048200" s="26"/>
      <c r="F1048200" s="26"/>
      <c r="G1048200" s="26"/>
      <c r="H1048200" s="26"/>
      <c r="I1048200" s="27"/>
      <c r="J1048200" s="26"/>
      <c r="K1048200" s="26"/>
      <c r="L1048200" s="4"/>
      <c r="M1048200" s="4"/>
      <c r="N1048200" s="26"/>
    </row>
    <row r="1048201" customFormat="1" spans="2:14">
      <c r="B1048201" s="26"/>
      <c r="C1048201" s="26"/>
      <c r="D1048201" s="4"/>
      <c r="E1048201" s="26"/>
      <c r="F1048201" s="26"/>
      <c r="G1048201" s="26"/>
      <c r="H1048201" s="26"/>
      <c r="I1048201" s="27"/>
      <c r="J1048201" s="26"/>
      <c r="K1048201" s="26"/>
      <c r="L1048201" s="4"/>
      <c r="M1048201" s="4"/>
      <c r="N1048201" s="26"/>
    </row>
    <row r="1048202" customFormat="1" spans="2:14">
      <c r="B1048202" s="26"/>
      <c r="C1048202" s="26"/>
      <c r="D1048202" s="4"/>
      <c r="E1048202" s="26"/>
      <c r="F1048202" s="26"/>
      <c r="G1048202" s="26"/>
      <c r="H1048202" s="26"/>
      <c r="I1048202" s="27"/>
      <c r="J1048202" s="26"/>
      <c r="K1048202" s="26"/>
      <c r="L1048202" s="4"/>
      <c r="M1048202" s="4"/>
      <c r="N1048202" s="26"/>
    </row>
    <row r="1048203" customFormat="1" spans="2:14">
      <c r="B1048203" s="26"/>
      <c r="C1048203" s="26"/>
      <c r="D1048203" s="4"/>
      <c r="E1048203" s="26"/>
      <c r="F1048203" s="26"/>
      <c r="G1048203" s="26"/>
      <c r="H1048203" s="26"/>
      <c r="I1048203" s="27"/>
      <c r="J1048203" s="26"/>
      <c r="K1048203" s="26"/>
      <c r="L1048203" s="4"/>
      <c r="M1048203" s="4"/>
      <c r="N1048203" s="26"/>
    </row>
    <row r="1048204" customFormat="1" spans="2:14">
      <c r="B1048204" s="26"/>
      <c r="C1048204" s="26"/>
      <c r="D1048204" s="4"/>
      <c r="E1048204" s="26"/>
      <c r="F1048204" s="26"/>
      <c r="G1048204" s="26"/>
      <c r="H1048204" s="26"/>
      <c r="I1048204" s="27"/>
      <c r="J1048204" s="26"/>
      <c r="K1048204" s="26"/>
      <c r="L1048204" s="4"/>
      <c r="M1048204" s="4"/>
      <c r="N1048204" s="26"/>
    </row>
    <row r="1048205" customFormat="1" spans="2:14">
      <c r="B1048205" s="26"/>
      <c r="C1048205" s="26"/>
      <c r="D1048205" s="4"/>
      <c r="E1048205" s="26"/>
      <c r="F1048205" s="26"/>
      <c r="G1048205" s="26"/>
      <c r="H1048205" s="26"/>
      <c r="I1048205" s="27"/>
      <c r="J1048205" s="26"/>
      <c r="K1048205" s="26"/>
      <c r="L1048205" s="4"/>
      <c r="M1048205" s="4"/>
      <c r="N1048205" s="26"/>
    </row>
    <row r="1048206" customFormat="1" spans="2:14">
      <c r="B1048206" s="26"/>
      <c r="C1048206" s="26"/>
      <c r="D1048206" s="4"/>
      <c r="E1048206" s="26"/>
      <c r="F1048206" s="26"/>
      <c r="G1048206" s="26"/>
      <c r="H1048206" s="26"/>
      <c r="I1048206" s="27"/>
      <c r="J1048206" s="26"/>
      <c r="K1048206" s="26"/>
      <c r="L1048206" s="4"/>
      <c r="M1048206" s="4"/>
      <c r="N1048206" s="26"/>
    </row>
    <row r="1048207" customFormat="1" spans="2:14">
      <c r="B1048207" s="26"/>
      <c r="C1048207" s="26"/>
      <c r="D1048207" s="4"/>
      <c r="E1048207" s="26"/>
      <c r="F1048207" s="26"/>
      <c r="G1048207" s="26"/>
      <c r="H1048207" s="26"/>
      <c r="I1048207" s="27"/>
      <c r="J1048207" s="26"/>
      <c r="K1048207" s="26"/>
      <c r="L1048207" s="4"/>
      <c r="M1048207" s="4"/>
      <c r="N1048207" s="26"/>
    </row>
    <row r="1048208" customFormat="1" spans="2:14">
      <c r="B1048208" s="26"/>
      <c r="C1048208" s="26"/>
      <c r="D1048208" s="4"/>
      <c r="E1048208" s="26"/>
      <c r="F1048208" s="26"/>
      <c r="G1048208" s="26"/>
      <c r="H1048208" s="26"/>
      <c r="I1048208" s="27"/>
      <c r="J1048208" s="26"/>
      <c r="K1048208" s="26"/>
      <c r="L1048208" s="4"/>
      <c r="M1048208" s="4"/>
      <c r="N1048208" s="26"/>
    </row>
    <row r="1048209" customFormat="1" spans="2:14">
      <c r="B1048209" s="26"/>
      <c r="C1048209" s="26"/>
      <c r="D1048209" s="4"/>
      <c r="E1048209" s="26"/>
      <c r="F1048209" s="26"/>
      <c r="G1048209" s="26"/>
      <c r="H1048209" s="26"/>
      <c r="I1048209" s="27"/>
      <c r="J1048209" s="26"/>
      <c r="K1048209" s="26"/>
      <c r="L1048209" s="4"/>
      <c r="M1048209" s="4"/>
      <c r="N1048209" s="26"/>
    </row>
    <row r="1048210" customFormat="1" spans="2:14">
      <c r="B1048210" s="26"/>
      <c r="C1048210" s="26"/>
      <c r="D1048210" s="4"/>
      <c r="E1048210" s="26"/>
      <c r="F1048210" s="26"/>
      <c r="G1048210" s="26"/>
      <c r="H1048210" s="26"/>
      <c r="I1048210" s="27"/>
      <c r="J1048210" s="26"/>
      <c r="K1048210" s="26"/>
      <c r="L1048210" s="4"/>
      <c r="M1048210" s="4"/>
      <c r="N1048210" s="26"/>
    </row>
    <row r="1048211" customFormat="1" spans="2:14">
      <c r="B1048211" s="26"/>
      <c r="C1048211" s="26"/>
      <c r="D1048211" s="4"/>
      <c r="E1048211" s="26"/>
      <c r="F1048211" s="26"/>
      <c r="G1048211" s="26"/>
      <c r="H1048211" s="26"/>
      <c r="I1048211" s="27"/>
      <c r="J1048211" s="26"/>
      <c r="K1048211" s="26"/>
      <c r="L1048211" s="4"/>
      <c r="M1048211" s="4"/>
      <c r="N1048211" s="26"/>
    </row>
    <row r="1048212" customFormat="1" spans="2:14">
      <c r="B1048212" s="26"/>
      <c r="C1048212" s="26"/>
      <c r="D1048212" s="4"/>
      <c r="E1048212" s="26"/>
      <c r="F1048212" s="26"/>
      <c r="G1048212" s="26"/>
      <c r="H1048212" s="26"/>
      <c r="I1048212" s="27"/>
      <c r="J1048212" s="26"/>
      <c r="K1048212" s="26"/>
      <c r="L1048212" s="4"/>
      <c r="M1048212" s="4"/>
      <c r="N1048212" s="26"/>
    </row>
    <row r="1048213" customFormat="1" spans="2:14">
      <c r="B1048213" s="26"/>
      <c r="C1048213" s="26"/>
      <c r="D1048213" s="4"/>
      <c r="E1048213" s="26"/>
      <c r="F1048213" s="26"/>
      <c r="G1048213" s="26"/>
      <c r="H1048213" s="26"/>
      <c r="I1048213" s="27"/>
      <c r="J1048213" s="26"/>
      <c r="K1048213" s="26"/>
      <c r="L1048213" s="4"/>
      <c r="M1048213" s="4"/>
      <c r="N1048213" s="26"/>
    </row>
    <row r="1048214" customFormat="1" spans="2:14">
      <c r="B1048214" s="26"/>
      <c r="C1048214" s="26"/>
      <c r="D1048214" s="4"/>
      <c r="E1048214" s="26"/>
      <c r="F1048214" s="26"/>
      <c r="G1048214" s="26"/>
      <c r="H1048214" s="26"/>
      <c r="I1048214" s="27"/>
      <c r="J1048214" s="26"/>
      <c r="K1048214" s="26"/>
      <c r="L1048214" s="4"/>
      <c r="M1048214" s="4"/>
      <c r="N1048214" s="26"/>
    </row>
    <row r="1048215" customFormat="1" spans="2:14">
      <c r="B1048215" s="26"/>
      <c r="C1048215" s="26"/>
      <c r="D1048215" s="4"/>
      <c r="E1048215" s="26"/>
      <c r="F1048215" s="26"/>
      <c r="G1048215" s="26"/>
      <c r="H1048215" s="26"/>
      <c r="I1048215" s="27"/>
      <c r="J1048215" s="26"/>
      <c r="K1048215" s="26"/>
      <c r="L1048215" s="4"/>
      <c r="M1048215" s="4"/>
      <c r="N1048215" s="26"/>
    </row>
    <row r="1048216" customFormat="1" spans="2:14">
      <c r="B1048216" s="26"/>
      <c r="C1048216" s="26"/>
      <c r="D1048216" s="4"/>
      <c r="E1048216" s="26"/>
      <c r="F1048216" s="26"/>
      <c r="G1048216" s="26"/>
      <c r="H1048216" s="26"/>
      <c r="I1048216" s="27"/>
      <c r="J1048216" s="26"/>
      <c r="K1048216" s="26"/>
      <c r="L1048216" s="4"/>
      <c r="M1048216" s="4"/>
      <c r="N1048216" s="26"/>
    </row>
    <row r="1048217" customFormat="1" spans="2:14">
      <c r="B1048217" s="26"/>
      <c r="C1048217" s="26"/>
      <c r="D1048217" s="4"/>
      <c r="E1048217" s="26"/>
      <c r="F1048217" s="26"/>
      <c r="G1048217" s="26"/>
      <c r="H1048217" s="26"/>
      <c r="I1048217" s="27"/>
      <c r="J1048217" s="26"/>
      <c r="K1048217" s="26"/>
      <c r="L1048217" s="4"/>
      <c r="M1048217" s="4"/>
      <c r="N1048217" s="26"/>
    </row>
    <row r="1048218" customFormat="1" spans="2:14">
      <c r="B1048218" s="26"/>
      <c r="C1048218" s="26"/>
      <c r="D1048218" s="4"/>
      <c r="E1048218" s="26"/>
      <c r="F1048218" s="26"/>
      <c r="G1048218" s="26"/>
      <c r="H1048218" s="26"/>
      <c r="I1048218" s="27"/>
      <c r="J1048218" s="26"/>
      <c r="K1048218" s="26"/>
      <c r="L1048218" s="4"/>
      <c r="M1048218" s="4"/>
      <c r="N1048218" s="26"/>
    </row>
    <row r="1048219" customFormat="1" spans="2:14">
      <c r="B1048219" s="26"/>
      <c r="C1048219" s="26"/>
      <c r="D1048219" s="4"/>
      <c r="E1048219" s="26"/>
      <c r="F1048219" s="26"/>
      <c r="G1048219" s="26"/>
      <c r="H1048219" s="26"/>
      <c r="I1048219" s="27"/>
      <c r="J1048219" s="26"/>
      <c r="K1048219" s="26"/>
      <c r="L1048219" s="4"/>
      <c r="M1048219" s="4"/>
      <c r="N1048219" s="26"/>
    </row>
    <row r="1048220" customFormat="1" spans="2:14">
      <c r="B1048220" s="26"/>
      <c r="C1048220" s="26"/>
      <c r="D1048220" s="4"/>
      <c r="E1048220" s="26"/>
      <c r="F1048220" s="26"/>
      <c r="G1048220" s="26"/>
      <c r="H1048220" s="26"/>
      <c r="I1048220" s="27"/>
      <c r="J1048220" s="26"/>
      <c r="K1048220" s="26"/>
      <c r="L1048220" s="4"/>
      <c r="M1048220" s="4"/>
      <c r="N1048220" s="26"/>
    </row>
    <row r="1048221" customFormat="1" spans="2:14">
      <c r="B1048221" s="26"/>
      <c r="C1048221" s="26"/>
      <c r="D1048221" s="4"/>
      <c r="E1048221" s="26"/>
      <c r="F1048221" s="26"/>
      <c r="G1048221" s="26"/>
      <c r="H1048221" s="26"/>
      <c r="I1048221" s="27"/>
      <c r="J1048221" s="26"/>
      <c r="K1048221" s="26"/>
      <c r="L1048221" s="4"/>
      <c r="M1048221" s="4"/>
      <c r="N1048221" s="26"/>
    </row>
    <row r="1048222" customFormat="1" spans="2:14">
      <c r="B1048222" s="26"/>
      <c r="C1048222" s="26"/>
      <c r="D1048222" s="4"/>
      <c r="E1048222" s="26"/>
      <c r="F1048222" s="26"/>
      <c r="G1048222" s="26"/>
      <c r="H1048222" s="26"/>
      <c r="I1048222" s="27"/>
      <c r="J1048222" s="26"/>
      <c r="K1048222" s="26"/>
      <c r="L1048222" s="4"/>
      <c r="M1048222" s="4"/>
      <c r="N1048222" s="26"/>
    </row>
    <row r="1048223" customFormat="1" spans="2:14">
      <c r="B1048223" s="26"/>
      <c r="C1048223" s="26"/>
      <c r="D1048223" s="4"/>
      <c r="E1048223" s="26"/>
      <c r="F1048223" s="26"/>
      <c r="G1048223" s="26"/>
      <c r="H1048223" s="26"/>
      <c r="I1048223" s="27"/>
      <c r="J1048223" s="26"/>
      <c r="K1048223" s="26"/>
      <c r="L1048223" s="4"/>
      <c r="M1048223" s="4"/>
      <c r="N1048223" s="26"/>
    </row>
    <row r="1048224" customFormat="1" spans="2:14">
      <c r="B1048224" s="26"/>
      <c r="C1048224" s="26"/>
      <c r="D1048224" s="4"/>
      <c r="E1048224" s="26"/>
      <c r="F1048224" s="26"/>
      <c r="G1048224" s="26"/>
      <c r="H1048224" s="26"/>
      <c r="I1048224" s="27"/>
      <c r="J1048224" s="26"/>
      <c r="K1048224" s="26"/>
      <c r="L1048224" s="4"/>
      <c r="M1048224" s="4"/>
      <c r="N1048224" s="26"/>
    </row>
    <row r="1048225" customFormat="1" spans="2:14">
      <c r="B1048225" s="26"/>
      <c r="C1048225" s="26"/>
      <c r="D1048225" s="4"/>
      <c r="E1048225" s="26"/>
      <c r="F1048225" s="26"/>
      <c r="G1048225" s="26"/>
      <c r="H1048225" s="26"/>
      <c r="I1048225" s="27"/>
      <c r="J1048225" s="26"/>
      <c r="K1048225" s="26"/>
      <c r="L1048225" s="4"/>
      <c r="M1048225" s="4"/>
      <c r="N1048225" s="26"/>
    </row>
    <row r="1048226" customFormat="1" spans="2:14">
      <c r="B1048226" s="26"/>
      <c r="C1048226" s="26"/>
      <c r="D1048226" s="4"/>
      <c r="E1048226" s="26"/>
      <c r="F1048226" s="26"/>
      <c r="G1048226" s="26"/>
      <c r="H1048226" s="26"/>
      <c r="I1048226" s="27"/>
      <c r="J1048226" s="26"/>
      <c r="K1048226" s="26"/>
      <c r="L1048226" s="4"/>
      <c r="M1048226" s="4"/>
      <c r="N1048226" s="26"/>
    </row>
    <row r="1048227" customFormat="1" spans="2:14">
      <c r="B1048227" s="26"/>
      <c r="C1048227" s="26"/>
      <c r="D1048227" s="4"/>
      <c r="E1048227" s="26"/>
      <c r="F1048227" s="26"/>
      <c r="G1048227" s="26"/>
      <c r="H1048227" s="26"/>
      <c r="I1048227" s="27"/>
      <c r="J1048227" s="26"/>
      <c r="K1048227" s="26"/>
      <c r="L1048227" s="4"/>
      <c r="M1048227" s="4"/>
      <c r="N1048227" s="26"/>
    </row>
    <row r="1048228" customFormat="1" spans="2:14">
      <c r="B1048228" s="26"/>
      <c r="C1048228" s="26"/>
      <c r="D1048228" s="4"/>
      <c r="E1048228" s="26"/>
      <c r="F1048228" s="26"/>
      <c r="G1048228" s="26"/>
      <c r="H1048228" s="26"/>
      <c r="I1048228" s="27"/>
      <c r="J1048228" s="26"/>
      <c r="K1048228" s="26"/>
      <c r="L1048228" s="4"/>
      <c r="M1048228" s="4"/>
      <c r="N1048228" s="26"/>
    </row>
    <row r="1048229" customFormat="1" spans="2:14">
      <c r="B1048229" s="26"/>
      <c r="C1048229" s="26"/>
      <c r="D1048229" s="4"/>
      <c r="E1048229" s="26"/>
      <c r="F1048229" s="26"/>
      <c r="G1048229" s="26"/>
      <c r="H1048229" s="26"/>
      <c r="I1048229" s="27"/>
      <c r="J1048229" s="26"/>
      <c r="K1048229" s="26"/>
      <c r="L1048229" s="4"/>
      <c r="M1048229" s="4"/>
      <c r="N1048229" s="26"/>
    </row>
    <row r="1048230" customFormat="1" spans="2:14">
      <c r="B1048230" s="26"/>
      <c r="C1048230" s="26"/>
      <c r="D1048230" s="4"/>
      <c r="E1048230" s="26"/>
      <c r="F1048230" s="26"/>
      <c r="G1048230" s="26"/>
      <c r="H1048230" s="26"/>
      <c r="I1048230" s="27"/>
      <c r="J1048230" s="26"/>
      <c r="K1048230" s="26"/>
      <c r="L1048230" s="4"/>
      <c r="M1048230" s="4"/>
      <c r="N1048230" s="26"/>
    </row>
    <row r="1048231" customFormat="1" spans="2:14">
      <c r="B1048231" s="26"/>
      <c r="C1048231" s="26"/>
      <c r="D1048231" s="4"/>
      <c r="E1048231" s="26"/>
      <c r="F1048231" s="26"/>
      <c r="G1048231" s="26"/>
      <c r="H1048231" s="26"/>
      <c r="I1048231" s="27"/>
      <c r="J1048231" s="26"/>
      <c r="K1048231" s="26"/>
      <c r="L1048231" s="4"/>
      <c r="M1048231" s="4"/>
      <c r="N1048231" s="26"/>
    </row>
    <row r="1048232" customFormat="1" spans="2:14">
      <c r="B1048232" s="26"/>
      <c r="C1048232" s="26"/>
      <c r="D1048232" s="4"/>
      <c r="E1048232" s="26"/>
      <c r="F1048232" s="26"/>
      <c r="G1048232" s="26"/>
      <c r="H1048232" s="26"/>
      <c r="I1048232" s="27"/>
      <c r="J1048232" s="26"/>
      <c r="K1048232" s="26"/>
      <c r="L1048232" s="4"/>
      <c r="M1048232" s="4"/>
      <c r="N1048232" s="26"/>
    </row>
    <row r="1048233" customFormat="1" spans="2:14">
      <c r="B1048233" s="26"/>
      <c r="C1048233" s="26"/>
      <c r="D1048233" s="4"/>
      <c r="E1048233" s="26"/>
      <c r="F1048233" s="26"/>
      <c r="G1048233" s="26"/>
      <c r="H1048233" s="26"/>
      <c r="I1048233" s="27"/>
      <c r="J1048233" s="26"/>
      <c r="K1048233" s="26"/>
      <c r="L1048233" s="4"/>
      <c r="M1048233" s="4"/>
      <c r="N1048233" s="26"/>
    </row>
    <row r="1048234" customFormat="1" spans="2:14">
      <c r="B1048234" s="26"/>
      <c r="C1048234" s="26"/>
      <c r="D1048234" s="4"/>
      <c r="E1048234" s="26"/>
      <c r="F1048234" s="26"/>
      <c r="G1048234" s="26"/>
      <c r="H1048234" s="26"/>
      <c r="I1048234" s="27"/>
      <c r="J1048234" s="26"/>
      <c r="K1048234" s="26"/>
      <c r="L1048234" s="4"/>
      <c r="M1048234" s="4"/>
      <c r="N1048234" s="26"/>
    </row>
    <row r="1048235" customFormat="1" spans="2:14">
      <c r="B1048235" s="26"/>
      <c r="C1048235" s="26"/>
      <c r="D1048235" s="4"/>
      <c r="E1048235" s="26"/>
      <c r="F1048235" s="26"/>
      <c r="G1048235" s="26"/>
      <c r="H1048235" s="26"/>
      <c r="I1048235" s="27"/>
      <c r="J1048235" s="26"/>
      <c r="K1048235" s="26"/>
      <c r="L1048235" s="4"/>
      <c r="M1048235" s="4"/>
      <c r="N1048235" s="26"/>
    </row>
    <row r="1048236" customFormat="1" spans="2:14">
      <c r="B1048236" s="26"/>
      <c r="C1048236" s="26"/>
      <c r="D1048236" s="4"/>
      <c r="E1048236" s="26"/>
      <c r="F1048236" s="26"/>
      <c r="G1048236" s="26"/>
      <c r="H1048236" s="26"/>
      <c r="I1048236" s="27"/>
      <c r="J1048236" s="26"/>
      <c r="K1048236" s="26"/>
      <c r="L1048236" s="4"/>
      <c r="M1048236" s="4"/>
      <c r="N1048236" s="26"/>
    </row>
    <row r="1048237" customFormat="1" spans="2:14">
      <c r="B1048237" s="26"/>
      <c r="C1048237" s="26"/>
      <c r="D1048237" s="4"/>
      <c r="E1048237" s="26"/>
      <c r="F1048237" s="26"/>
      <c r="G1048237" s="26"/>
      <c r="H1048237" s="26"/>
      <c r="I1048237" s="27"/>
      <c r="J1048237" s="26"/>
      <c r="K1048237" s="26"/>
      <c r="L1048237" s="4"/>
      <c r="M1048237" s="4"/>
      <c r="N1048237" s="26"/>
    </row>
    <row r="1048238" customFormat="1" spans="2:14">
      <c r="B1048238" s="26"/>
      <c r="C1048238" s="26"/>
      <c r="D1048238" s="4"/>
      <c r="E1048238" s="26"/>
      <c r="F1048238" s="26"/>
      <c r="G1048238" s="26"/>
      <c r="H1048238" s="26"/>
      <c r="I1048238" s="27"/>
      <c r="J1048238" s="26"/>
      <c r="K1048238" s="26"/>
      <c r="L1048238" s="4"/>
      <c r="M1048238" s="4"/>
      <c r="N1048238" s="26"/>
    </row>
    <row r="1048239" customFormat="1" spans="2:14">
      <c r="B1048239" s="26"/>
      <c r="C1048239" s="26"/>
      <c r="D1048239" s="4"/>
      <c r="E1048239" s="26"/>
      <c r="F1048239" s="26"/>
      <c r="G1048239" s="26"/>
      <c r="H1048239" s="26"/>
      <c r="I1048239" s="27"/>
      <c r="J1048239" s="26"/>
      <c r="K1048239" s="26"/>
      <c r="L1048239" s="4"/>
      <c r="M1048239" s="4"/>
      <c r="N1048239" s="26"/>
    </row>
    <row r="1048240" customFormat="1" spans="2:14">
      <c r="B1048240" s="26"/>
      <c r="C1048240" s="26"/>
      <c r="D1048240" s="4"/>
      <c r="E1048240" s="26"/>
      <c r="F1048240" s="26"/>
      <c r="G1048240" s="26"/>
      <c r="H1048240" s="26"/>
      <c r="I1048240" s="27"/>
      <c r="J1048240" s="26"/>
      <c r="K1048240" s="26"/>
      <c r="L1048240" s="4"/>
      <c r="M1048240" s="4"/>
      <c r="N1048240" s="26"/>
    </row>
    <row r="1048241" customFormat="1" spans="2:14">
      <c r="B1048241" s="26"/>
      <c r="C1048241" s="26"/>
      <c r="D1048241" s="4"/>
      <c r="E1048241" s="26"/>
      <c r="F1048241" s="26"/>
      <c r="G1048241" s="26"/>
      <c r="H1048241" s="26"/>
      <c r="I1048241" s="27"/>
      <c r="J1048241" s="26"/>
      <c r="K1048241" s="26"/>
      <c r="L1048241" s="4"/>
      <c r="M1048241" s="4"/>
      <c r="N1048241" s="26"/>
    </row>
    <row r="1048242" customFormat="1" spans="2:14">
      <c r="B1048242" s="26"/>
      <c r="C1048242" s="26"/>
      <c r="D1048242" s="4"/>
      <c r="E1048242" s="26"/>
      <c r="F1048242" s="26"/>
      <c r="G1048242" s="26"/>
      <c r="H1048242" s="26"/>
      <c r="I1048242" s="27"/>
      <c r="J1048242" s="26"/>
      <c r="K1048242" s="26"/>
      <c r="L1048242" s="4"/>
      <c r="M1048242" s="4"/>
      <c r="N1048242" s="26"/>
    </row>
    <row r="1048243" customFormat="1" spans="2:14">
      <c r="B1048243" s="26"/>
      <c r="C1048243" s="26"/>
      <c r="D1048243" s="4"/>
      <c r="E1048243" s="26"/>
      <c r="F1048243" s="26"/>
      <c r="G1048243" s="26"/>
      <c r="H1048243" s="26"/>
      <c r="I1048243" s="27"/>
      <c r="J1048243" s="26"/>
      <c r="K1048243" s="26"/>
      <c r="L1048243" s="4"/>
      <c r="M1048243" s="4"/>
      <c r="N1048243" s="26"/>
    </row>
    <row r="1048244" customFormat="1" spans="2:14">
      <c r="B1048244" s="26"/>
      <c r="C1048244" s="26"/>
      <c r="D1048244" s="4"/>
      <c r="E1048244" s="26"/>
      <c r="F1048244" s="26"/>
      <c r="G1048244" s="26"/>
      <c r="H1048244" s="26"/>
      <c r="I1048244" s="27"/>
      <c r="J1048244" s="26"/>
      <c r="K1048244" s="26"/>
      <c r="L1048244" s="4"/>
      <c r="M1048244" s="4"/>
      <c r="N1048244" s="26"/>
    </row>
    <row r="1048245" customFormat="1" spans="2:14">
      <c r="B1048245" s="26"/>
      <c r="C1048245" s="26"/>
      <c r="D1048245" s="4"/>
      <c r="E1048245" s="26"/>
      <c r="F1048245" s="26"/>
      <c r="G1048245" s="26"/>
      <c r="H1048245" s="26"/>
      <c r="I1048245" s="27"/>
      <c r="J1048245" s="26"/>
      <c r="K1048245" s="26"/>
      <c r="L1048245" s="4"/>
      <c r="M1048245" s="4"/>
      <c r="N1048245" s="26"/>
    </row>
    <row r="1048246" customFormat="1" spans="2:14">
      <c r="B1048246" s="26"/>
      <c r="C1048246" s="26"/>
      <c r="D1048246" s="4"/>
      <c r="E1048246" s="26"/>
      <c r="F1048246" s="26"/>
      <c r="G1048246" s="26"/>
      <c r="H1048246" s="26"/>
      <c r="I1048246" s="27"/>
      <c r="J1048246" s="26"/>
      <c r="K1048246" s="26"/>
      <c r="L1048246" s="4"/>
      <c r="M1048246" s="4"/>
      <c r="N1048246" s="26"/>
    </row>
    <row r="1048247" customFormat="1" spans="2:14">
      <c r="B1048247" s="26"/>
      <c r="C1048247" s="26"/>
      <c r="D1048247" s="4"/>
      <c r="E1048247" s="26"/>
      <c r="F1048247" s="26"/>
      <c r="G1048247" s="26"/>
      <c r="H1048247" s="26"/>
      <c r="I1048247" s="27"/>
      <c r="J1048247" s="26"/>
      <c r="K1048247" s="26"/>
      <c r="L1048247" s="4"/>
      <c r="M1048247" s="4"/>
      <c r="N1048247" s="26"/>
    </row>
    <row r="1048248" customFormat="1" spans="2:14">
      <c r="B1048248" s="26"/>
      <c r="C1048248" s="26"/>
      <c r="D1048248" s="4"/>
      <c r="E1048248" s="26"/>
      <c r="F1048248" s="26"/>
      <c r="G1048248" s="26"/>
      <c r="H1048248" s="26"/>
      <c r="I1048248" s="27"/>
      <c r="J1048248" s="26"/>
      <c r="K1048248" s="26"/>
      <c r="L1048248" s="4"/>
      <c r="M1048248" s="4"/>
      <c r="N1048248" s="26"/>
    </row>
    <row r="1048249" customFormat="1" spans="2:14">
      <c r="B1048249" s="26"/>
      <c r="C1048249" s="26"/>
      <c r="D1048249" s="4"/>
      <c r="E1048249" s="26"/>
      <c r="F1048249" s="26"/>
      <c r="G1048249" s="26"/>
      <c r="H1048249" s="26"/>
      <c r="I1048249" s="27"/>
      <c r="J1048249" s="26"/>
      <c r="K1048249" s="26"/>
      <c r="L1048249" s="4"/>
      <c r="M1048249" s="4"/>
      <c r="N1048249" s="26"/>
    </row>
    <row r="1048250" customFormat="1" spans="2:14">
      <c r="B1048250" s="26"/>
      <c r="C1048250" s="26"/>
      <c r="D1048250" s="4"/>
      <c r="E1048250" s="26"/>
      <c r="F1048250" s="26"/>
      <c r="G1048250" s="26"/>
      <c r="H1048250" s="26"/>
      <c r="I1048250" s="27"/>
      <c r="J1048250" s="26"/>
      <c r="K1048250" s="26"/>
      <c r="L1048250" s="4"/>
      <c r="M1048250" s="4"/>
      <c r="N1048250" s="26"/>
    </row>
    <row r="1048251" customFormat="1" spans="2:14">
      <c r="B1048251" s="26"/>
      <c r="C1048251" s="26"/>
      <c r="D1048251" s="4"/>
      <c r="E1048251" s="26"/>
      <c r="F1048251" s="26"/>
      <c r="G1048251" s="26"/>
      <c r="H1048251" s="26"/>
      <c r="I1048251" s="27"/>
      <c r="J1048251" s="26"/>
      <c r="K1048251" s="26"/>
      <c r="L1048251" s="4"/>
      <c r="M1048251" s="4"/>
      <c r="N1048251" s="26"/>
    </row>
    <row r="1048252" customFormat="1" spans="2:14">
      <c r="B1048252" s="26"/>
      <c r="C1048252" s="26"/>
      <c r="D1048252" s="4"/>
      <c r="E1048252" s="26"/>
      <c r="F1048252" s="26"/>
      <c r="G1048252" s="26"/>
      <c r="H1048252" s="26"/>
      <c r="I1048252" s="27"/>
      <c r="J1048252" s="26"/>
      <c r="K1048252" s="26"/>
      <c r="L1048252" s="4"/>
      <c r="M1048252" s="4"/>
      <c r="N1048252" s="26"/>
    </row>
    <row r="1048253" customFormat="1" spans="2:14">
      <c r="B1048253" s="26"/>
      <c r="C1048253" s="26"/>
      <c r="D1048253" s="4"/>
      <c r="E1048253" s="26"/>
      <c r="F1048253" s="26"/>
      <c r="G1048253" s="26"/>
      <c r="H1048253" s="26"/>
      <c r="I1048253" s="27"/>
      <c r="J1048253" s="26"/>
      <c r="K1048253" s="26"/>
      <c r="L1048253" s="4"/>
      <c r="M1048253" s="4"/>
      <c r="N1048253" s="26"/>
    </row>
    <row r="1048254" customFormat="1" spans="2:14">
      <c r="B1048254" s="26"/>
      <c r="C1048254" s="26"/>
      <c r="D1048254" s="4"/>
      <c r="E1048254" s="26"/>
      <c r="F1048254" s="26"/>
      <c r="G1048254" s="26"/>
      <c r="H1048254" s="26"/>
      <c r="I1048254" s="27"/>
      <c r="J1048254" s="26"/>
      <c r="K1048254" s="26"/>
      <c r="L1048254" s="4"/>
      <c r="M1048254" s="4"/>
      <c r="N1048254" s="26"/>
    </row>
    <row r="1048255" customFormat="1" spans="2:14">
      <c r="B1048255" s="26"/>
      <c r="C1048255" s="26"/>
      <c r="D1048255" s="4"/>
      <c r="E1048255" s="26"/>
      <c r="F1048255" s="26"/>
      <c r="G1048255" s="26"/>
      <c r="H1048255" s="26"/>
      <c r="I1048255" s="27"/>
      <c r="J1048255" s="26"/>
      <c r="K1048255" s="26"/>
      <c r="L1048255" s="4"/>
      <c r="M1048255" s="4"/>
      <c r="N1048255" s="26"/>
    </row>
    <row r="1048256" customFormat="1" spans="2:14">
      <c r="B1048256" s="26"/>
      <c r="C1048256" s="26"/>
      <c r="D1048256" s="4"/>
      <c r="E1048256" s="26"/>
      <c r="F1048256" s="26"/>
      <c r="G1048256" s="26"/>
      <c r="H1048256" s="26"/>
      <c r="I1048256" s="27"/>
      <c r="J1048256" s="26"/>
      <c r="K1048256" s="26"/>
      <c r="L1048256" s="4"/>
      <c r="M1048256" s="4"/>
      <c r="N1048256" s="26"/>
    </row>
    <row r="1048257" customFormat="1" spans="2:14">
      <c r="B1048257" s="26"/>
      <c r="C1048257" s="26"/>
      <c r="D1048257" s="4"/>
      <c r="E1048257" s="26"/>
      <c r="F1048257" s="26"/>
      <c r="G1048257" s="26"/>
      <c r="H1048257" s="26"/>
      <c r="I1048257" s="27"/>
      <c r="J1048257" s="26"/>
      <c r="K1048257" s="26"/>
      <c r="L1048257" s="4"/>
      <c r="M1048257" s="4"/>
      <c r="N1048257" s="26"/>
    </row>
    <row r="1048258" customFormat="1" spans="2:14">
      <c r="B1048258" s="26"/>
      <c r="C1048258" s="26"/>
      <c r="D1048258" s="4"/>
      <c r="E1048258" s="26"/>
      <c r="F1048258" s="26"/>
      <c r="G1048258" s="26"/>
      <c r="H1048258" s="26"/>
      <c r="I1048258" s="27"/>
      <c r="J1048258" s="26"/>
      <c r="K1048258" s="26"/>
      <c r="L1048258" s="4"/>
      <c r="M1048258" s="4"/>
      <c r="N1048258" s="26"/>
    </row>
    <row r="1048259" customFormat="1" spans="2:14">
      <c r="B1048259" s="26"/>
      <c r="C1048259" s="26"/>
      <c r="D1048259" s="4"/>
      <c r="E1048259" s="26"/>
      <c r="F1048259" s="26"/>
      <c r="G1048259" s="26"/>
      <c r="H1048259" s="26"/>
      <c r="I1048259" s="27"/>
      <c r="J1048259" s="26"/>
      <c r="K1048259" s="26"/>
      <c r="L1048259" s="4"/>
      <c r="M1048259" s="4"/>
      <c r="N1048259" s="26"/>
    </row>
    <row r="1048260" customFormat="1" spans="2:14">
      <c r="B1048260" s="26"/>
      <c r="C1048260" s="26"/>
      <c r="D1048260" s="4"/>
      <c r="E1048260" s="26"/>
      <c r="F1048260" s="26"/>
      <c r="G1048260" s="26"/>
      <c r="H1048260" s="26"/>
      <c r="I1048260" s="27"/>
      <c r="J1048260" s="26"/>
      <c r="K1048260" s="26"/>
      <c r="L1048260" s="4"/>
      <c r="M1048260" s="4"/>
      <c r="N1048260" s="26"/>
    </row>
    <row r="1048261" customFormat="1" spans="2:14">
      <c r="B1048261" s="26"/>
      <c r="C1048261" s="26"/>
      <c r="D1048261" s="4"/>
      <c r="E1048261" s="26"/>
      <c r="F1048261" s="26"/>
      <c r="G1048261" s="26"/>
      <c r="H1048261" s="26"/>
      <c r="I1048261" s="27"/>
      <c r="J1048261" s="26"/>
      <c r="K1048261" s="26"/>
      <c r="L1048261" s="4"/>
      <c r="M1048261" s="4"/>
      <c r="N1048261" s="26"/>
    </row>
    <row r="1048262" customFormat="1" spans="2:14">
      <c r="B1048262" s="26"/>
      <c r="C1048262" s="26"/>
      <c r="D1048262" s="4"/>
      <c r="E1048262" s="26"/>
      <c r="F1048262" s="26"/>
      <c r="G1048262" s="26"/>
      <c r="H1048262" s="26"/>
      <c r="I1048262" s="27"/>
      <c r="J1048262" s="26"/>
      <c r="K1048262" s="26"/>
      <c r="L1048262" s="4"/>
      <c r="M1048262" s="4"/>
      <c r="N1048262" s="26"/>
    </row>
    <row r="1048263" customFormat="1" spans="2:14">
      <c r="B1048263" s="26"/>
      <c r="C1048263" s="26"/>
      <c r="D1048263" s="4"/>
      <c r="E1048263" s="26"/>
      <c r="F1048263" s="26"/>
      <c r="G1048263" s="26"/>
      <c r="H1048263" s="26"/>
      <c r="I1048263" s="27"/>
      <c r="J1048263" s="26"/>
      <c r="K1048263" s="26"/>
      <c r="L1048263" s="4"/>
      <c r="M1048263" s="4"/>
      <c r="N1048263" s="26"/>
    </row>
    <row r="1048264" customFormat="1" spans="2:14">
      <c r="B1048264" s="26"/>
      <c r="C1048264" s="26"/>
      <c r="D1048264" s="4"/>
      <c r="E1048264" s="26"/>
      <c r="F1048264" s="26"/>
      <c r="G1048264" s="26"/>
      <c r="H1048264" s="26"/>
      <c r="I1048264" s="27"/>
      <c r="J1048264" s="26"/>
      <c r="K1048264" s="26"/>
      <c r="L1048264" s="4"/>
      <c r="M1048264" s="4"/>
      <c r="N1048264" s="26"/>
    </row>
    <row r="1048265" customFormat="1" spans="2:14">
      <c r="B1048265" s="26"/>
      <c r="C1048265" s="26"/>
      <c r="D1048265" s="4"/>
      <c r="E1048265" s="26"/>
      <c r="F1048265" s="26"/>
      <c r="G1048265" s="26"/>
      <c r="H1048265" s="26"/>
      <c r="I1048265" s="27"/>
      <c r="J1048265" s="26"/>
      <c r="K1048265" s="26"/>
      <c r="L1048265" s="4"/>
      <c r="M1048265" s="4"/>
      <c r="N1048265" s="26"/>
    </row>
    <row r="1048266" customFormat="1" spans="2:14">
      <c r="B1048266" s="26"/>
      <c r="C1048266" s="26"/>
      <c r="D1048266" s="4"/>
      <c r="E1048266" s="26"/>
      <c r="F1048266" s="26"/>
      <c r="G1048266" s="26"/>
      <c r="H1048266" s="26"/>
      <c r="I1048266" s="27"/>
      <c r="J1048266" s="26"/>
      <c r="K1048266" s="26"/>
      <c r="L1048266" s="4"/>
      <c r="M1048266" s="4"/>
      <c r="N1048266" s="26"/>
    </row>
    <row r="1048267" customFormat="1" spans="2:14">
      <c r="B1048267" s="26"/>
      <c r="C1048267" s="26"/>
      <c r="D1048267" s="4"/>
      <c r="E1048267" s="26"/>
      <c r="F1048267" s="26"/>
      <c r="G1048267" s="26"/>
      <c r="H1048267" s="26"/>
      <c r="I1048267" s="27"/>
      <c r="J1048267" s="26"/>
      <c r="K1048267" s="26"/>
      <c r="L1048267" s="4"/>
      <c r="M1048267" s="4"/>
      <c r="N1048267" s="26"/>
    </row>
    <row r="1048268" customFormat="1" spans="2:14">
      <c r="B1048268" s="26"/>
      <c r="C1048268" s="26"/>
      <c r="D1048268" s="4"/>
      <c r="E1048268" s="26"/>
      <c r="F1048268" s="26"/>
      <c r="G1048268" s="26"/>
      <c r="H1048268" s="26"/>
      <c r="I1048268" s="27"/>
      <c r="J1048268" s="26"/>
      <c r="K1048268" s="26"/>
      <c r="L1048268" s="4"/>
      <c r="M1048268" s="4"/>
      <c r="N1048268" s="26"/>
    </row>
    <row r="1048269" customFormat="1" spans="2:14">
      <c r="B1048269" s="26"/>
      <c r="C1048269" s="26"/>
      <c r="D1048269" s="4"/>
      <c r="E1048269" s="26"/>
      <c r="F1048269" s="26"/>
      <c r="G1048269" s="26"/>
      <c r="H1048269" s="26"/>
      <c r="I1048269" s="27"/>
      <c r="J1048269" s="26"/>
      <c r="K1048269" s="26"/>
      <c r="L1048269" s="4"/>
      <c r="M1048269" s="4"/>
      <c r="N1048269" s="26"/>
    </row>
    <row r="1048270" customFormat="1" spans="2:14">
      <c r="B1048270" s="26"/>
      <c r="C1048270" s="26"/>
      <c r="D1048270" s="4"/>
      <c r="E1048270" s="26"/>
      <c r="F1048270" s="26"/>
      <c r="G1048270" s="26"/>
      <c r="H1048270" s="26"/>
      <c r="I1048270" s="27"/>
      <c r="J1048270" s="26"/>
      <c r="K1048270" s="26"/>
      <c r="L1048270" s="4"/>
      <c r="M1048270" s="4"/>
      <c r="N1048270" s="26"/>
    </row>
    <row r="1048271" customFormat="1" spans="2:14">
      <c r="B1048271" s="26"/>
      <c r="C1048271" s="26"/>
      <c r="D1048271" s="4"/>
      <c r="E1048271" s="26"/>
      <c r="F1048271" s="26"/>
      <c r="G1048271" s="26"/>
      <c r="H1048271" s="26"/>
      <c r="I1048271" s="27"/>
      <c r="J1048271" s="26"/>
      <c r="K1048271" s="26"/>
      <c r="L1048271" s="4"/>
      <c r="M1048271" s="4"/>
      <c r="N1048271" s="26"/>
    </row>
    <row r="1048272" customFormat="1" spans="2:14">
      <c r="B1048272" s="26"/>
      <c r="C1048272" s="26"/>
      <c r="D1048272" s="4"/>
      <c r="E1048272" s="26"/>
      <c r="F1048272" s="26"/>
      <c r="G1048272" s="26"/>
      <c r="H1048272" s="26"/>
      <c r="I1048272" s="27"/>
      <c r="J1048272" s="26"/>
      <c r="K1048272" s="26"/>
      <c r="L1048272" s="4"/>
      <c r="M1048272" s="4"/>
      <c r="N1048272" s="26"/>
    </row>
    <row r="1048273" customFormat="1" spans="2:14">
      <c r="B1048273" s="26"/>
      <c r="C1048273" s="26"/>
      <c r="D1048273" s="4"/>
      <c r="E1048273" s="26"/>
      <c r="F1048273" s="26"/>
      <c r="G1048273" s="26"/>
      <c r="H1048273" s="26"/>
      <c r="I1048273" s="27"/>
      <c r="J1048273" s="26"/>
      <c r="K1048273" s="26"/>
      <c r="L1048273" s="4"/>
      <c r="M1048273" s="4"/>
      <c r="N1048273" s="26"/>
    </row>
    <row r="1048274" customFormat="1" spans="2:14">
      <c r="B1048274" s="26"/>
      <c r="C1048274" s="26"/>
      <c r="D1048274" s="4"/>
      <c r="E1048274" s="26"/>
      <c r="F1048274" s="26"/>
      <c r="G1048274" s="26"/>
      <c r="H1048274" s="26"/>
      <c r="I1048274" s="27"/>
      <c r="J1048274" s="26"/>
      <c r="K1048274" s="26"/>
      <c r="L1048274" s="4"/>
      <c r="M1048274" s="4"/>
      <c r="N1048274" s="26"/>
    </row>
    <row r="1048275" customFormat="1" spans="2:14">
      <c r="B1048275" s="26"/>
      <c r="C1048275" s="26"/>
      <c r="D1048275" s="4"/>
      <c r="E1048275" s="26"/>
      <c r="F1048275" s="26"/>
      <c r="G1048275" s="26"/>
      <c r="H1048275" s="26"/>
      <c r="I1048275" s="27"/>
      <c r="J1048275" s="26"/>
      <c r="K1048275" s="26"/>
      <c r="L1048275" s="4"/>
      <c r="M1048275" s="4"/>
      <c r="N1048275" s="26"/>
    </row>
    <row r="1048276" customFormat="1" spans="2:14">
      <c r="B1048276" s="26"/>
      <c r="C1048276" s="26"/>
      <c r="D1048276" s="4"/>
      <c r="E1048276" s="26"/>
      <c r="F1048276" s="26"/>
      <c r="G1048276" s="26"/>
      <c r="H1048276" s="26"/>
      <c r="I1048276" s="27"/>
      <c r="J1048276" s="26"/>
      <c r="K1048276" s="26"/>
      <c r="L1048276" s="4"/>
      <c r="M1048276" s="4"/>
      <c r="N1048276" s="26"/>
    </row>
    <row r="1048277" customFormat="1" spans="2:14">
      <c r="B1048277" s="26"/>
      <c r="C1048277" s="26"/>
      <c r="D1048277" s="4"/>
      <c r="E1048277" s="26"/>
      <c r="F1048277" s="26"/>
      <c r="G1048277" s="26"/>
      <c r="H1048277" s="26"/>
      <c r="I1048277" s="27"/>
      <c r="J1048277" s="26"/>
      <c r="K1048277" s="26"/>
      <c r="L1048277" s="4"/>
      <c r="M1048277" s="4"/>
      <c r="N1048277" s="26"/>
    </row>
    <row r="1048278" customFormat="1" spans="2:14">
      <c r="B1048278" s="26"/>
      <c r="C1048278" s="26"/>
      <c r="D1048278" s="4"/>
      <c r="E1048278" s="26"/>
      <c r="F1048278" s="26"/>
      <c r="G1048278" s="26"/>
      <c r="H1048278" s="26"/>
      <c r="I1048278" s="27"/>
      <c r="J1048278" s="26"/>
      <c r="K1048278" s="26"/>
      <c r="L1048278" s="4"/>
      <c r="M1048278" s="4"/>
      <c r="N1048278" s="26"/>
    </row>
    <row r="1048279" customFormat="1" spans="2:14">
      <c r="B1048279" s="26"/>
      <c r="C1048279" s="26"/>
      <c r="D1048279" s="4"/>
      <c r="E1048279" s="26"/>
      <c r="F1048279" s="26"/>
      <c r="G1048279" s="26"/>
      <c r="H1048279" s="26"/>
      <c r="I1048279" s="27"/>
      <c r="J1048279" s="26"/>
      <c r="K1048279" s="26"/>
      <c r="L1048279" s="4"/>
      <c r="M1048279" s="4"/>
      <c r="N1048279" s="26"/>
    </row>
    <row r="1048280" customFormat="1" spans="2:14">
      <c r="B1048280" s="26"/>
      <c r="C1048280" s="26"/>
      <c r="D1048280" s="4"/>
      <c r="E1048280" s="26"/>
      <c r="F1048280" s="26"/>
      <c r="G1048280" s="26"/>
      <c r="H1048280" s="26"/>
      <c r="I1048280" s="27"/>
      <c r="J1048280" s="26"/>
      <c r="K1048280" s="26"/>
      <c r="L1048280" s="4"/>
      <c r="M1048280" s="4"/>
      <c r="N1048280" s="26"/>
    </row>
    <row r="1048281" customFormat="1" spans="2:14">
      <c r="B1048281" s="26"/>
      <c r="C1048281" s="26"/>
      <c r="D1048281" s="4"/>
      <c r="E1048281" s="26"/>
      <c r="F1048281" s="26"/>
      <c r="G1048281" s="26"/>
      <c r="H1048281" s="26"/>
      <c r="I1048281" s="27"/>
      <c r="J1048281" s="26"/>
      <c r="K1048281" s="26"/>
      <c r="L1048281" s="4"/>
      <c r="M1048281" s="4"/>
      <c r="N1048281" s="26"/>
    </row>
    <row r="1048282" customFormat="1" spans="2:14">
      <c r="B1048282" s="26"/>
      <c r="C1048282" s="26"/>
      <c r="D1048282" s="4"/>
      <c r="E1048282" s="26"/>
      <c r="F1048282" s="26"/>
      <c r="G1048282" s="26"/>
      <c r="H1048282" s="26"/>
      <c r="I1048282" s="27"/>
      <c r="J1048282" s="26"/>
      <c r="K1048282" s="26"/>
      <c r="L1048282" s="4"/>
      <c r="M1048282" s="4"/>
      <c r="N1048282" s="26"/>
    </row>
    <row r="1048283" customFormat="1" spans="2:14">
      <c r="B1048283" s="26"/>
      <c r="C1048283" s="26"/>
      <c r="D1048283" s="4"/>
      <c r="E1048283" s="26"/>
      <c r="F1048283" s="26"/>
      <c r="G1048283" s="26"/>
      <c r="H1048283" s="26"/>
      <c r="I1048283" s="27"/>
      <c r="J1048283" s="26"/>
      <c r="K1048283" s="26"/>
      <c r="L1048283" s="4"/>
      <c r="M1048283" s="4"/>
      <c r="N1048283" s="26"/>
    </row>
    <row r="1048284" customFormat="1" spans="2:14">
      <c r="B1048284" s="26"/>
      <c r="C1048284" s="26"/>
      <c r="D1048284" s="4"/>
      <c r="E1048284" s="26"/>
      <c r="F1048284" s="26"/>
      <c r="G1048284" s="26"/>
      <c r="H1048284" s="26"/>
      <c r="I1048284" s="27"/>
      <c r="J1048284" s="26"/>
      <c r="K1048284" s="26"/>
      <c r="L1048284" s="4"/>
      <c r="M1048284" s="4"/>
      <c r="N1048284" s="26"/>
    </row>
    <row r="1048285" customFormat="1" spans="2:14">
      <c r="B1048285" s="26"/>
      <c r="C1048285" s="26"/>
      <c r="D1048285" s="4"/>
      <c r="E1048285" s="26"/>
      <c r="F1048285" s="26"/>
      <c r="G1048285" s="26"/>
      <c r="H1048285" s="26"/>
      <c r="I1048285" s="27"/>
      <c r="J1048285" s="26"/>
      <c r="K1048285" s="26"/>
      <c r="L1048285" s="4"/>
      <c r="M1048285" s="4"/>
      <c r="N1048285" s="26"/>
    </row>
    <row r="1048286" customFormat="1" spans="2:14">
      <c r="B1048286" s="26"/>
      <c r="C1048286" s="26"/>
      <c r="D1048286" s="4"/>
      <c r="E1048286" s="26"/>
      <c r="F1048286" s="26"/>
      <c r="G1048286" s="26"/>
      <c r="H1048286" s="26"/>
      <c r="I1048286" s="27"/>
      <c r="J1048286" s="26"/>
      <c r="K1048286" s="26"/>
      <c r="L1048286" s="4"/>
      <c r="M1048286" s="4"/>
      <c r="N1048286" s="26"/>
    </row>
    <row r="1048287" customFormat="1" spans="2:14">
      <c r="B1048287" s="26"/>
      <c r="C1048287" s="26"/>
      <c r="D1048287" s="4"/>
      <c r="E1048287" s="26"/>
      <c r="F1048287" s="26"/>
      <c r="G1048287" s="26"/>
      <c r="H1048287" s="26"/>
      <c r="I1048287" s="27"/>
      <c r="J1048287" s="26"/>
      <c r="K1048287" s="26"/>
      <c r="L1048287" s="4"/>
      <c r="M1048287" s="4"/>
      <c r="N1048287" s="26"/>
    </row>
    <row r="1048288" customFormat="1" spans="2:14">
      <c r="B1048288" s="26"/>
      <c r="C1048288" s="26"/>
      <c r="D1048288" s="4"/>
      <c r="E1048288" s="26"/>
      <c r="F1048288" s="26"/>
      <c r="G1048288" s="26"/>
      <c r="H1048288" s="26"/>
      <c r="I1048288" s="27"/>
      <c r="J1048288" s="26"/>
      <c r="K1048288" s="26"/>
      <c r="L1048288" s="4"/>
      <c r="M1048288" s="4"/>
      <c r="N1048288" s="26"/>
    </row>
    <row r="1048289" customFormat="1" spans="2:14">
      <c r="B1048289" s="26"/>
      <c r="C1048289" s="26"/>
      <c r="D1048289" s="4"/>
      <c r="E1048289" s="26"/>
      <c r="F1048289" s="26"/>
      <c r="G1048289" s="26"/>
      <c r="H1048289" s="26"/>
      <c r="I1048289" s="27"/>
      <c r="J1048289" s="26"/>
      <c r="K1048289" s="26"/>
      <c r="L1048289" s="4"/>
      <c r="M1048289" s="4"/>
      <c r="N1048289" s="26"/>
    </row>
    <row r="1048290" customFormat="1" spans="2:14">
      <c r="B1048290" s="26"/>
      <c r="C1048290" s="26"/>
      <c r="D1048290" s="4"/>
      <c r="E1048290" s="26"/>
      <c r="F1048290" s="26"/>
      <c r="G1048290" s="26"/>
      <c r="H1048290" s="26"/>
      <c r="I1048290" s="27"/>
      <c r="J1048290" s="26"/>
      <c r="K1048290" s="26"/>
      <c r="L1048290" s="4"/>
      <c r="M1048290" s="4"/>
      <c r="N1048290" s="26"/>
    </row>
    <row r="1048291" customFormat="1" spans="2:14">
      <c r="B1048291" s="26"/>
      <c r="C1048291" s="26"/>
      <c r="D1048291" s="4"/>
      <c r="E1048291" s="26"/>
      <c r="F1048291" s="26"/>
      <c r="G1048291" s="26"/>
      <c r="H1048291" s="26"/>
      <c r="I1048291" s="27"/>
      <c r="J1048291" s="26"/>
      <c r="K1048291" s="26"/>
      <c r="L1048291" s="4"/>
      <c r="M1048291" s="4"/>
      <c r="N1048291" s="26"/>
    </row>
    <row r="1048292" customFormat="1" spans="2:14">
      <c r="B1048292" s="26"/>
      <c r="C1048292" s="26"/>
      <c r="D1048292" s="4"/>
      <c r="E1048292" s="26"/>
      <c r="F1048292" s="26"/>
      <c r="G1048292" s="26"/>
      <c r="H1048292" s="26"/>
      <c r="I1048292" s="27"/>
      <c r="J1048292" s="26"/>
      <c r="K1048292" s="26"/>
      <c r="L1048292" s="4"/>
      <c r="M1048292" s="4"/>
      <c r="N1048292" s="26"/>
    </row>
    <row r="1048293" customFormat="1" spans="2:14">
      <c r="B1048293" s="26"/>
      <c r="C1048293" s="26"/>
      <c r="D1048293" s="4"/>
      <c r="E1048293" s="26"/>
      <c r="F1048293" s="26"/>
      <c r="G1048293" s="26"/>
      <c r="H1048293" s="26"/>
      <c r="I1048293" s="27"/>
      <c r="J1048293" s="26"/>
      <c r="K1048293" s="26"/>
      <c r="L1048293" s="4"/>
      <c r="M1048293" s="4"/>
      <c r="N1048293" s="26"/>
    </row>
    <row r="1048294" customFormat="1" spans="2:14">
      <c r="B1048294" s="26"/>
      <c r="C1048294" s="26"/>
      <c r="D1048294" s="4"/>
      <c r="E1048294" s="26"/>
      <c r="F1048294" s="26"/>
      <c r="G1048294" s="26"/>
      <c r="H1048294" s="26"/>
      <c r="I1048294" s="27"/>
      <c r="J1048294" s="26"/>
      <c r="K1048294" s="26"/>
      <c r="L1048294" s="4"/>
      <c r="M1048294" s="4"/>
      <c r="N1048294" s="26"/>
    </row>
    <row r="1048295" customFormat="1" spans="2:14">
      <c r="B1048295" s="26"/>
      <c r="C1048295" s="26"/>
      <c r="D1048295" s="4"/>
      <c r="E1048295" s="26"/>
      <c r="F1048295" s="26"/>
      <c r="G1048295" s="26"/>
      <c r="H1048295" s="26"/>
      <c r="I1048295" s="27"/>
      <c r="J1048295" s="26"/>
      <c r="K1048295" s="26"/>
      <c r="L1048295" s="4"/>
      <c r="M1048295" s="4"/>
      <c r="N1048295" s="26"/>
    </row>
    <row r="1048296" customFormat="1" spans="2:14">
      <c r="B1048296" s="26"/>
      <c r="C1048296" s="26"/>
      <c r="D1048296" s="4"/>
      <c r="E1048296" s="26"/>
      <c r="F1048296" s="26"/>
      <c r="G1048296" s="26"/>
      <c r="H1048296" s="26"/>
      <c r="I1048296" s="27"/>
      <c r="J1048296" s="26"/>
      <c r="K1048296" s="26"/>
      <c r="L1048296" s="4"/>
      <c r="M1048296" s="4"/>
      <c r="N1048296" s="26"/>
    </row>
    <row r="1048297" customFormat="1" spans="2:14">
      <c r="B1048297" s="26"/>
      <c r="C1048297" s="26"/>
      <c r="D1048297" s="4"/>
      <c r="E1048297" s="26"/>
      <c r="F1048297" s="26"/>
      <c r="G1048297" s="26"/>
      <c r="H1048297" s="26"/>
      <c r="I1048297" s="27"/>
      <c r="J1048297" s="26"/>
      <c r="K1048297" s="26"/>
      <c r="L1048297" s="4"/>
      <c r="M1048297" s="4"/>
      <c r="N1048297" s="26"/>
    </row>
    <row r="1048298" customFormat="1" spans="2:14">
      <c r="B1048298" s="26"/>
      <c r="C1048298" s="26"/>
      <c r="D1048298" s="4"/>
      <c r="E1048298" s="26"/>
      <c r="F1048298" s="26"/>
      <c r="G1048298" s="26"/>
      <c r="H1048298" s="26"/>
      <c r="I1048298" s="27"/>
      <c r="J1048298" s="26"/>
      <c r="K1048298" s="26"/>
      <c r="L1048298" s="4"/>
      <c r="M1048298" s="4"/>
      <c r="N1048298" s="26"/>
    </row>
    <row r="1048299" customFormat="1" spans="2:14">
      <c r="B1048299" s="26"/>
      <c r="C1048299" s="26"/>
      <c r="D1048299" s="4"/>
      <c r="E1048299" s="26"/>
      <c r="F1048299" s="26"/>
      <c r="G1048299" s="26"/>
      <c r="H1048299" s="26"/>
      <c r="I1048299" s="27"/>
      <c r="J1048299" s="26"/>
      <c r="K1048299" s="26"/>
      <c r="L1048299" s="4"/>
      <c r="M1048299" s="4"/>
      <c r="N1048299" s="26"/>
    </row>
    <row r="1048300" customFormat="1" spans="2:14">
      <c r="B1048300" s="26"/>
      <c r="C1048300" s="26"/>
      <c r="D1048300" s="4"/>
      <c r="E1048300" s="26"/>
      <c r="F1048300" s="26"/>
      <c r="G1048300" s="26"/>
      <c r="H1048300" s="26"/>
      <c r="I1048300" s="27"/>
      <c r="J1048300" s="26"/>
      <c r="K1048300" s="26"/>
      <c r="L1048300" s="4"/>
      <c r="M1048300" s="4"/>
      <c r="N1048300" s="26"/>
    </row>
    <row r="1048301" customFormat="1" spans="2:14">
      <c r="B1048301" s="26"/>
      <c r="C1048301" s="26"/>
      <c r="D1048301" s="4"/>
      <c r="E1048301" s="26"/>
      <c r="F1048301" s="26"/>
      <c r="G1048301" s="26"/>
      <c r="H1048301" s="26"/>
      <c r="I1048301" s="27"/>
      <c r="J1048301" s="26"/>
      <c r="K1048301" s="26"/>
      <c r="L1048301" s="4"/>
      <c r="M1048301" s="4"/>
      <c r="N1048301" s="26"/>
    </row>
    <row r="1048302" customFormat="1" spans="2:14">
      <c r="B1048302" s="26"/>
      <c r="C1048302" s="26"/>
      <c r="D1048302" s="4"/>
      <c r="E1048302" s="26"/>
      <c r="F1048302" s="26"/>
      <c r="G1048302" s="26"/>
      <c r="H1048302" s="26"/>
      <c r="I1048302" s="27"/>
      <c r="J1048302" s="26"/>
      <c r="K1048302" s="26"/>
      <c r="L1048302" s="4"/>
      <c r="M1048302" s="4"/>
      <c r="N1048302" s="26"/>
    </row>
    <row r="1048303" customFormat="1" spans="2:14">
      <c r="B1048303" s="26"/>
      <c r="C1048303" s="26"/>
      <c r="D1048303" s="4"/>
      <c r="E1048303" s="26"/>
      <c r="F1048303" s="26"/>
      <c r="G1048303" s="26"/>
      <c r="H1048303" s="26"/>
      <c r="I1048303" s="27"/>
      <c r="J1048303" s="26"/>
      <c r="K1048303" s="26"/>
      <c r="L1048303" s="4"/>
      <c r="M1048303" s="4"/>
      <c r="N1048303" s="26"/>
    </row>
    <row r="1048304" customFormat="1" spans="2:14">
      <c r="B1048304" s="26"/>
      <c r="C1048304" s="26"/>
      <c r="D1048304" s="4"/>
      <c r="E1048304" s="26"/>
      <c r="F1048304" s="26"/>
      <c r="G1048304" s="26"/>
      <c r="H1048304" s="26"/>
      <c r="I1048304" s="27"/>
      <c r="J1048304" s="26"/>
      <c r="K1048304" s="26"/>
      <c r="L1048304" s="4"/>
      <c r="M1048304" s="4"/>
      <c r="N1048304" s="26"/>
    </row>
    <row r="1048305" customFormat="1" spans="2:14">
      <c r="B1048305" s="26"/>
      <c r="C1048305" s="26"/>
      <c r="D1048305" s="4"/>
      <c r="E1048305" s="26"/>
      <c r="F1048305" s="26"/>
      <c r="G1048305" s="26"/>
      <c r="H1048305" s="26"/>
      <c r="I1048305" s="27"/>
      <c r="J1048305" s="26"/>
      <c r="K1048305" s="26"/>
      <c r="L1048305" s="4"/>
      <c r="M1048305" s="4"/>
      <c r="N1048305" s="26"/>
    </row>
    <row r="1048306" customFormat="1" spans="2:14">
      <c r="B1048306" s="26"/>
      <c r="C1048306" s="26"/>
      <c r="D1048306" s="4"/>
      <c r="E1048306" s="26"/>
      <c r="F1048306" s="26"/>
      <c r="G1048306" s="26"/>
      <c r="H1048306" s="26"/>
      <c r="I1048306" s="27"/>
      <c r="J1048306" s="26"/>
      <c r="K1048306" s="26"/>
      <c r="L1048306" s="4"/>
      <c r="M1048306" s="4"/>
      <c r="N1048306" s="26"/>
    </row>
    <row r="1048307" customFormat="1" spans="2:14">
      <c r="B1048307" s="26"/>
      <c r="C1048307" s="26"/>
      <c r="D1048307" s="4"/>
      <c r="E1048307" s="26"/>
      <c r="F1048307" s="26"/>
      <c r="G1048307" s="26"/>
      <c r="H1048307" s="26"/>
      <c r="I1048307" s="27"/>
      <c r="J1048307" s="26"/>
      <c r="K1048307" s="26"/>
      <c r="L1048307" s="4"/>
      <c r="M1048307" s="4"/>
      <c r="N1048307" s="26"/>
    </row>
    <row r="1048308" customFormat="1" spans="2:14">
      <c r="B1048308" s="26"/>
      <c r="C1048308" s="26"/>
      <c r="D1048308" s="4"/>
      <c r="E1048308" s="26"/>
      <c r="F1048308" s="26"/>
      <c r="G1048308" s="26"/>
      <c r="H1048308" s="26"/>
      <c r="I1048308" s="27"/>
      <c r="J1048308" s="26"/>
      <c r="K1048308" s="26"/>
      <c r="L1048308" s="4"/>
      <c r="M1048308" s="4"/>
      <c r="N1048308" s="26"/>
    </row>
    <row r="1048309" customFormat="1" spans="2:14">
      <c r="B1048309" s="26"/>
      <c r="C1048309" s="26"/>
      <c r="D1048309" s="4"/>
      <c r="E1048309" s="26"/>
      <c r="F1048309" s="26"/>
      <c r="G1048309" s="26"/>
      <c r="H1048309" s="26"/>
      <c r="I1048309" s="27"/>
      <c r="J1048309" s="26"/>
      <c r="K1048309" s="26"/>
      <c r="L1048309" s="4"/>
      <c r="M1048309" s="4"/>
      <c r="N1048309" s="26"/>
    </row>
    <row r="1048310" customFormat="1" spans="2:14">
      <c r="B1048310" s="26"/>
      <c r="C1048310" s="26"/>
      <c r="D1048310" s="4"/>
      <c r="E1048310" s="26"/>
      <c r="F1048310" s="26"/>
      <c r="G1048310" s="26"/>
      <c r="H1048310" s="26"/>
      <c r="I1048310" s="27"/>
      <c r="J1048310" s="26"/>
      <c r="K1048310" s="26"/>
      <c r="L1048310" s="4"/>
      <c r="M1048310" s="4"/>
      <c r="N1048310" s="26"/>
    </row>
    <row r="1048311" customFormat="1" spans="2:14">
      <c r="B1048311" s="26"/>
      <c r="C1048311" s="26"/>
      <c r="D1048311" s="4"/>
      <c r="E1048311" s="26"/>
      <c r="F1048311" s="26"/>
      <c r="G1048311" s="26"/>
      <c r="H1048311" s="26"/>
      <c r="I1048311" s="27"/>
      <c r="J1048311" s="26"/>
      <c r="K1048311" s="26"/>
      <c r="L1048311" s="4"/>
      <c r="M1048311" s="4"/>
      <c r="N1048311" s="26"/>
    </row>
    <row r="1048312" customFormat="1" spans="2:14">
      <c r="B1048312" s="26"/>
      <c r="C1048312" s="26"/>
      <c r="D1048312" s="4"/>
      <c r="E1048312" s="26"/>
      <c r="F1048312" s="26"/>
      <c r="G1048312" s="26"/>
      <c r="H1048312" s="26"/>
      <c r="I1048312" s="27"/>
      <c r="J1048312" s="26"/>
      <c r="K1048312" s="26"/>
      <c r="L1048312" s="4"/>
      <c r="M1048312" s="4"/>
      <c r="N1048312" s="26"/>
    </row>
    <row r="1048313" customFormat="1" spans="2:14">
      <c r="B1048313" s="26"/>
      <c r="C1048313" s="26"/>
      <c r="D1048313" s="4"/>
      <c r="E1048313" s="26"/>
      <c r="F1048313" s="26"/>
      <c r="G1048313" s="26"/>
      <c r="H1048313" s="26"/>
      <c r="I1048313" s="27"/>
      <c r="J1048313" s="26"/>
      <c r="K1048313" s="26"/>
      <c r="L1048313" s="4"/>
      <c r="M1048313" s="4"/>
      <c r="N1048313" s="26"/>
    </row>
    <row r="1048314" customFormat="1" spans="2:14">
      <c r="B1048314" s="26"/>
      <c r="C1048314" s="26"/>
      <c r="D1048314" s="4"/>
      <c r="E1048314" s="26"/>
      <c r="F1048314" s="26"/>
      <c r="G1048314" s="26"/>
      <c r="H1048314" s="26"/>
      <c r="I1048314" s="27"/>
      <c r="J1048314" s="26"/>
      <c r="K1048314" s="26"/>
      <c r="L1048314" s="4"/>
      <c r="M1048314" s="4"/>
      <c r="N1048314" s="26"/>
    </row>
    <row r="1048315" customFormat="1" spans="2:14">
      <c r="B1048315" s="26"/>
      <c r="C1048315" s="26"/>
      <c r="D1048315" s="4"/>
      <c r="E1048315" s="26"/>
      <c r="F1048315" s="26"/>
      <c r="G1048315" s="26"/>
      <c r="H1048315" s="26"/>
      <c r="I1048315" s="27"/>
      <c r="J1048315" s="26"/>
      <c r="K1048315" s="26"/>
      <c r="L1048315" s="4"/>
      <c r="M1048315" s="4"/>
      <c r="N1048315" s="26"/>
    </row>
    <row r="1048316" customFormat="1" spans="2:14">
      <c r="B1048316" s="26"/>
      <c r="C1048316" s="26"/>
      <c r="D1048316" s="4"/>
      <c r="E1048316" s="26"/>
      <c r="F1048316" s="26"/>
      <c r="G1048316" s="26"/>
      <c r="H1048316" s="26"/>
      <c r="I1048316" s="27"/>
      <c r="J1048316" s="26"/>
      <c r="K1048316" s="26"/>
      <c r="L1048316" s="4"/>
      <c r="M1048316" s="4"/>
      <c r="N1048316" s="26"/>
    </row>
    <row r="1048317" customFormat="1" spans="2:14">
      <c r="B1048317" s="26"/>
      <c r="C1048317" s="26"/>
      <c r="D1048317" s="4"/>
      <c r="E1048317" s="26"/>
      <c r="F1048317" s="26"/>
      <c r="G1048317" s="26"/>
      <c r="H1048317" s="26"/>
      <c r="I1048317" s="27"/>
      <c r="J1048317" s="26"/>
      <c r="K1048317" s="26"/>
      <c r="L1048317" s="4"/>
      <c r="M1048317" s="4"/>
      <c r="N1048317" s="26"/>
    </row>
    <row r="1048318" customFormat="1" spans="2:14">
      <c r="B1048318" s="26"/>
      <c r="C1048318" s="26"/>
      <c r="D1048318" s="4"/>
      <c r="E1048318" s="26"/>
      <c r="F1048318" s="26"/>
      <c r="G1048318" s="26"/>
      <c r="H1048318" s="26"/>
      <c r="I1048318" s="27"/>
      <c r="J1048318" s="26"/>
      <c r="K1048318" s="26"/>
      <c r="L1048318" s="4"/>
      <c r="M1048318" s="4"/>
      <c r="N1048318" s="26"/>
    </row>
    <row r="1048319" customFormat="1" spans="2:14">
      <c r="B1048319" s="26"/>
      <c r="C1048319" s="26"/>
      <c r="D1048319" s="4"/>
      <c r="E1048319" s="26"/>
      <c r="F1048319" s="26"/>
      <c r="G1048319" s="26"/>
      <c r="H1048319" s="26"/>
      <c r="I1048319" s="27"/>
      <c r="J1048319" s="26"/>
      <c r="K1048319" s="26"/>
      <c r="L1048319" s="4"/>
      <c r="M1048319" s="4"/>
      <c r="N1048319" s="26"/>
    </row>
    <row r="1048320" customFormat="1" spans="2:14">
      <c r="B1048320" s="26"/>
      <c r="C1048320" s="26"/>
      <c r="D1048320" s="4"/>
      <c r="E1048320" s="26"/>
      <c r="F1048320" s="26"/>
      <c r="G1048320" s="26"/>
      <c r="H1048320" s="26"/>
      <c r="I1048320" s="27"/>
      <c r="J1048320" s="26"/>
      <c r="K1048320" s="26"/>
      <c r="L1048320" s="4"/>
      <c r="M1048320" s="4"/>
      <c r="N1048320" s="26"/>
    </row>
    <row r="1048321" customFormat="1" spans="2:14">
      <c r="B1048321" s="26"/>
      <c r="C1048321" s="26"/>
      <c r="D1048321" s="4"/>
      <c r="E1048321" s="26"/>
      <c r="F1048321" s="26"/>
      <c r="G1048321" s="26"/>
      <c r="H1048321" s="26"/>
      <c r="I1048321" s="27"/>
      <c r="J1048321" s="26"/>
      <c r="K1048321" s="26"/>
      <c r="L1048321" s="4"/>
      <c r="M1048321" s="4"/>
      <c r="N1048321" s="26"/>
    </row>
    <row r="1048322" customFormat="1" spans="2:14">
      <c r="B1048322" s="26"/>
      <c r="C1048322" s="26"/>
      <c r="D1048322" s="4"/>
      <c r="E1048322" s="26"/>
      <c r="F1048322" s="26"/>
      <c r="G1048322" s="26"/>
      <c r="H1048322" s="26"/>
      <c r="I1048322" s="27"/>
      <c r="J1048322" s="26"/>
      <c r="K1048322" s="26"/>
      <c r="L1048322" s="4"/>
      <c r="M1048322" s="4"/>
      <c r="N1048322" s="26"/>
    </row>
    <row r="1048323" customFormat="1" spans="2:14">
      <c r="B1048323" s="26"/>
      <c r="C1048323" s="26"/>
      <c r="D1048323" s="4"/>
      <c r="E1048323" s="26"/>
      <c r="F1048323" s="26"/>
      <c r="G1048323" s="26"/>
      <c r="H1048323" s="26"/>
      <c r="I1048323" s="27"/>
      <c r="J1048323" s="26"/>
      <c r="K1048323" s="26"/>
      <c r="L1048323" s="4"/>
      <c r="M1048323" s="4"/>
      <c r="N1048323" s="26"/>
    </row>
    <row r="1048324" customFormat="1" spans="2:14">
      <c r="B1048324" s="26"/>
      <c r="C1048324" s="26"/>
      <c r="D1048324" s="4"/>
      <c r="E1048324" s="26"/>
      <c r="F1048324" s="26"/>
      <c r="G1048324" s="26"/>
      <c r="H1048324" s="26"/>
      <c r="I1048324" s="27"/>
      <c r="J1048324" s="26"/>
      <c r="K1048324" s="26"/>
      <c r="L1048324" s="4"/>
      <c r="M1048324" s="4"/>
      <c r="N1048324" s="26"/>
    </row>
    <row r="1048325" customFormat="1" spans="2:14">
      <c r="B1048325" s="26"/>
      <c r="C1048325" s="26"/>
      <c r="D1048325" s="4"/>
      <c r="E1048325" s="26"/>
      <c r="F1048325" s="26"/>
      <c r="G1048325" s="26"/>
      <c r="H1048325" s="26"/>
      <c r="I1048325" s="27"/>
      <c r="J1048325" s="26"/>
      <c r="K1048325" s="26"/>
      <c r="L1048325" s="4"/>
      <c r="M1048325" s="4"/>
      <c r="N1048325" s="26"/>
    </row>
    <row r="1048326" customFormat="1" spans="2:14">
      <c r="B1048326" s="26"/>
      <c r="C1048326" s="26"/>
      <c r="D1048326" s="4"/>
      <c r="E1048326" s="26"/>
      <c r="F1048326" s="26"/>
      <c r="G1048326" s="26"/>
      <c r="H1048326" s="26"/>
      <c r="I1048326" s="27"/>
      <c r="J1048326" s="26"/>
      <c r="K1048326" s="26"/>
      <c r="L1048326" s="4"/>
      <c r="M1048326" s="4"/>
      <c r="N1048326" s="26"/>
    </row>
    <row r="1048327" customFormat="1" spans="2:14">
      <c r="B1048327" s="26"/>
      <c r="C1048327" s="26"/>
      <c r="D1048327" s="4"/>
      <c r="E1048327" s="26"/>
      <c r="F1048327" s="26"/>
      <c r="G1048327" s="26"/>
      <c r="H1048327" s="26"/>
      <c r="I1048327" s="27"/>
      <c r="J1048327" s="26"/>
      <c r="K1048327" s="26"/>
      <c r="L1048327" s="4"/>
      <c r="M1048327" s="4"/>
      <c r="N1048327" s="26"/>
    </row>
    <row r="1048328" customFormat="1" spans="2:14">
      <c r="B1048328" s="26"/>
      <c r="C1048328" s="26"/>
      <c r="D1048328" s="4"/>
      <c r="E1048328" s="26"/>
      <c r="F1048328" s="26"/>
      <c r="G1048328" s="26"/>
      <c r="H1048328" s="26"/>
      <c r="I1048328" s="27"/>
      <c r="J1048328" s="26"/>
      <c r="K1048328" s="26"/>
      <c r="L1048328" s="4"/>
      <c r="M1048328" s="4"/>
      <c r="N1048328" s="26"/>
    </row>
    <row r="1048329" customFormat="1" spans="2:14">
      <c r="B1048329" s="26"/>
      <c r="C1048329" s="26"/>
      <c r="D1048329" s="4"/>
      <c r="E1048329" s="26"/>
      <c r="F1048329" s="26"/>
      <c r="G1048329" s="26"/>
      <c r="H1048329" s="26"/>
      <c r="I1048329" s="27"/>
      <c r="J1048329" s="26"/>
      <c r="K1048329" s="26"/>
      <c r="L1048329" s="4"/>
      <c r="M1048329" s="4"/>
      <c r="N1048329" s="26"/>
    </row>
    <row r="1048330" customFormat="1" spans="2:14">
      <c r="B1048330" s="26"/>
      <c r="C1048330" s="26"/>
      <c r="D1048330" s="4"/>
      <c r="E1048330" s="26"/>
      <c r="F1048330" s="26"/>
      <c r="G1048330" s="26"/>
      <c r="H1048330" s="26"/>
      <c r="I1048330" s="27"/>
      <c r="J1048330" s="26"/>
      <c r="K1048330" s="26"/>
      <c r="L1048330" s="4"/>
      <c r="M1048330" s="4"/>
      <c r="N1048330" s="26"/>
    </row>
    <row r="1048331" customFormat="1" spans="2:14">
      <c r="B1048331" s="26"/>
      <c r="C1048331" s="26"/>
      <c r="D1048331" s="4"/>
      <c r="E1048331" s="26"/>
      <c r="F1048331" s="26"/>
      <c r="G1048331" s="26"/>
      <c r="H1048331" s="26"/>
      <c r="I1048331" s="27"/>
      <c r="J1048331" s="26"/>
      <c r="K1048331" s="26"/>
      <c r="L1048331" s="4"/>
      <c r="M1048331" s="4"/>
      <c r="N1048331" s="26"/>
    </row>
    <row r="1048332" customFormat="1" spans="2:14">
      <c r="B1048332" s="26"/>
      <c r="C1048332" s="26"/>
      <c r="D1048332" s="4"/>
      <c r="E1048332" s="26"/>
      <c r="F1048332" s="26"/>
      <c r="G1048332" s="26"/>
      <c r="H1048332" s="26"/>
      <c r="I1048332" s="27"/>
      <c r="J1048332" s="26"/>
      <c r="K1048332" s="26"/>
      <c r="L1048332" s="4"/>
      <c r="M1048332" s="4"/>
      <c r="N1048332" s="26"/>
    </row>
    <row r="1048333" customFormat="1" spans="2:14">
      <c r="B1048333" s="26"/>
      <c r="C1048333" s="26"/>
      <c r="D1048333" s="4"/>
      <c r="E1048333" s="26"/>
      <c r="F1048333" s="26"/>
      <c r="G1048333" s="26"/>
      <c r="H1048333" s="26"/>
      <c r="I1048333" s="27"/>
      <c r="J1048333" s="26"/>
      <c r="K1048333" s="26"/>
      <c r="L1048333" s="4"/>
      <c r="M1048333" s="4"/>
      <c r="N1048333" s="26"/>
    </row>
    <row r="1048334" customFormat="1" spans="2:14">
      <c r="B1048334" s="26"/>
      <c r="C1048334" s="26"/>
      <c r="D1048334" s="4"/>
      <c r="E1048334" s="26"/>
      <c r="F1048334" s="26"/>
      <c r="G1048334" s="26"/>
      <c r="H1048334" s="26"/>
      <c r="I1048334" s="27"/>
      <c r="J1048334" s="26"/>
      <c r="K1048334" s="26"/>
      <c r="L1048334" s="4"/>
      <c r="M1048334" s="4"/>
      <c r="N1048334" s="26"/>
    </row>
    <row r="1048335" customFormat="1" spans="2:14">
      <c r="B1048335" s="26"/>
      <c r="C1048335" s="26"/>
      <c r="D1048335" s="4"/>
      <c r="E1048335" s="26"/>
      <c r="F1048335" s="26"/>
      <c r="G1048335" s="26"/>
      <c r="H1048335" s="26"/>
      <c r="I1048335" s="27"/>
      <c r="J1048335" s="26"/>
      <c r="K1048335" s="26"/>
      <c r="L1048335" s="4"/>
      <c r="M1048335" s="4"/>
      <c r="N1048335" s="26"/>
    </row>
    <row r="1048336" customFormat="1" spans="2:14">
      <c r="B1048336" s="26"/>
      <c r="C1048336" s="26"/>
      <c r="D1048336" s="4"/>
      <c r="E1048336" s="26"/>
      <c r="F1048336" s="26"/>
      <c r="G1048336" s="26"/>
      <c r="H1048336" s="26"/>
      <c r="I1048336" s="27"/>
      <c r="J1048336" s="26"/>
      <c r="K1048336" s="26"/>
      <c r="L1048336" s="4"/>
      <c r="M1048336" s="4"/>
      <c r="N1048336" s="26"/>
    </row>
    <row r="1048337" customFormat="1" spans="2:14">
      <c r="B1048337" s="26"/>
      <c r="C1048337" s="26"/>
      <c r="D1048337" s="4"/>
      <c r="E1048337" s="26"/>
      <c r="F1048337" s="26"/>
      <c r="G1048337" s="26"/>
      <c r="H1048337" s="26"/>
      <c r="I1048337" s="27"/>
      <c r="J1048337" s="26"/>
      <c r="K1048337" s="26"/>
      <c r="L1048337" s="4"/>
      <c r="M1048337" s="4"/>
      <c r="N1048337" s="26"/>
    </row>
    <row r="1048338" customFormat="1" spans="2:14">
      <c r="B1048338" s="26"/>
      <c r="C1048338" s="26"/>
      <c r="D1048338" s="4"/>
      <c r="E1048338" s="26"/>
      <c r="F1048338" s="26"/>
      <c r="G1048338" s="26"/>
      <c r="H1048338" s="26"/>
      <c r="I1048338" s="27"/>
      <c r="J1048338" s="26"/>
      <c r="K1048338" s="26"/>
      <c r="L1048338" s="4"/>
      <c r="M1048338" s="4"/>
      <c r="N1048338" s="26"/>
    </row>
    <row r="1048339" customFormat="1" spans="2:14">
      <c r="B1048339" s="26"/>
      <c r="C1048339" s="26"/>
      <c r="D1048339" s="4"/>
      <c r="E1048339" s="26"/>
      <c r="F1048339" s="26"/>
      <c r="G1048339" s="26"/>
      <c r="H1048339" s="26"/>
      <c r="I1048339" s="27"/>
      <c r="J1048339" s="26"/>
      <c r="K1048339" s="26"/>
      <c r="L1048339" s="4"/>
      <c r="M1048339" s="4"/>
      <c r="N1048339" s="26"/>
    </row>
    <row r="1048340" customFormat="1" spans="2:14">
      <c r="B1048340" s="26"/>
      <c r="C1048340" s="26"/>
      <c r="D1048340" s="4"/>
      <c r="E1048340" s="26"/>
      <c r="F1048340" s="26"/>
      <c r="G1048340" s="26"/>
      <c r="H1048340" s="26"/>
      <c r="I1048340" s="27"/>
      <c r="J1048340" s="26"/>
      <c r="K1048340" s="26"/>
      <c r="L1048340" s="4"/>
      <c r="M1048340" s="4"/>
      <c r="N1048340" s="26"/>
    </row>
    <row r="1048341" customFormat="1" spans="2:14">
      <c r="B1048341" s="26"/>
      <c r="C1048341" s="26"/>
      <c r="D1048341" s="4"/>
      <c r="E1048341" s="26"/>
      <c r="F1048341" s="26"/>
      <c r="G1048341" s="26"/>
      <c r="H1048341" s="26"/>
      <c r="I1048341" s="27"/>
      <c r="J1048341" s="26"/>
      <c r="K1048341" s="26"/>
      <c r="L1048341" s="4"/>
      <c r="M1048341" s="4"/>
      <c r="N1048341" s="26"/>
    </row>
    <row r="1048342" customFormat="1" spans="2:14">
      <c r="B1048342" s="26"/>
      <c r="C1048342" s="26"/>
      <c r="D1048342" s="4"/>
      <c r="E1048342" s="26"/>
      <c r="F1048342" s="26"/>
      <c r="G1048342" s="26"/>
      <c r="H1048342" s="26"/>
      <c r="I1048342" s="27"/>
      <c r="J1048342" s="26"/>
      <c r="K1048342" s="26"/>
      <c r="L1048342" s="4"/>
      <c r="M1048342" s="4"/>
      <c r="N1048342" s="26"/>
    </row>
    <row r="1048343" customFormat="1" spans="2:14">
      <c r="B1048343" s="26"/>
      <c r="C1048343" s="26"/>
      <c r="D1048343" s="4"/>
      <c r="E1048343" s="26"/>
      <c r="F1048343" s="26"/>
      <c r="G1048343" s="26"/>
      <c r="H1048343" s="26"/>
      <c r="I1048343" s="27"/>
      <c r="J1048343" s="26"/>
      <c r="K1048343" s="26"/>
      <c r="L1048343" s="4"/>
      <c r="M1048343" s="4"/>
      <c r="N1048343" s="26"/>
    </row>
    <row r="1048344" customFormat="1" spans="2:14">
      <c r="B1048344" s="26"/>
      <c r="C1048344" s="26"/>
      <c r="D1048344" s="4"/>
      <c r="E1048344" s="26"/>
      <c r="F1048344" s="26"/>
      <c r="G1048344" s="26"/>
      <c r="H1048344" s="26"/>
      <c r="I1048344" s="27"/>
      <c r="J1048344" s="26"/>
      <c r="K1048344" s="26"/>
      <c r="L1048344" s="4"/>
      <c r="M1048344" s="4"/>
      <c r="N1048344" s="26"/>
    </row>
    <row r="1048345" customFormat="1" spans="2:14">
      <c r="B1048345" s="26"/>
      <c r="C1048345" s="26"/>
      <c r="D1048345" s="4"/>
      <c r="E1048345" s="26"/>
      <c r="F1048345" s="26"/>
      <c r="G1048345" s="26"/>
      <c r="H1048345" s="26"/>
      <c r="I1048345" s="27"/>
      <c r="J1048345" s="26"/>
      <c r="K1048345" s="26"/>
      <c r="L1048345" s="4"/>
      <c r="M1048345" s="4"/>
      <c r="N1048345" s="26"/>
    </row>
    <row r="1048346" customFormat="1" spans="2:14">
      <c r="B1048346" s="26"/>
      <c r="C1048346" s="26"/>
      <c r="D1048346" s="4"/>
      <c r="E1048346" s="26"/>
      <c r="F1048346" s="26"/>
      <c r="G1048346" s="26"/>
      <c r="H1048346" s="26"/>
      <c r="I1048346" s="27"/>
      <c r="J1048346" s="26"/>
      <c r="K1048346" s="26"/>
      <c r="L1048346" s="4"/>
      <c r="M1048346" s="4"/>
      <c r="N1048346" s="26"/>
    </row>
    <row r="1048347" customFormat="1" spans="2:14">
      <c r="B1048347" s="26"/>
      <c r="C1048347" s="26"/>
      <c r="D1048347" s="4"/>
      <c r="E1048347" s="26"/>
      <c r="F1048347" s="26"/>
      <c r="G1048347" s="26"/>
      <c r="H1048347" s="26"/>
      <c r="I1048347" s="27"/>
      <c r="J1048347" s="26"/>
      <c r="K1048347" s="26"/>
      <c r="L1048347" s="4"/>
      <c r="M1048347" s="4"/>
      <c r="N1048347" s="26"/>
    </row>
    <row r="1048348" customFormat="1" spans="2:14">
      <c r="B1048348" s="26"/>
      <c r="C1048348" s="26"/>
      <c r="D1048348" s="4"/>
      <c r="E1048348" s="26"/>
      <c r="F1048348" s="26"/>
      <c r="G1048348" s="26"/>
      <c r="H1048348" s="26"/>
      <c r="I1048348" s="27"/>
      <c r="J1048348" s="26"/>
      <c r="K1048348" s="26"/>
      <c r="L1048348" s="4"/>
      <c r="M1048348" s="4"/>
      <c r="N1048348" s="26"/>
    </row>
    <row r="1048349" customFormat="1" spans="2:14">
      <c r="B1048349" s="26"/>
      <c r="C1048349" s="26"/>
      <c r="D1048349" s="4"/>
      <c r="E1048349" s="26"/>
      <c r="F1048349" s="26"/>
      <c r="G1048349" s="26"/>
      <c r="H1048349" s="26"/>
      <c r="I1048349" s="27"/>
      <c r="J1048349" s="26"/>
      <c r="K1048349" s="26"/>
      <c r="L1048349" s="4"/>
      <c r="M1048349" s="4"/>
      <c r="N1048349" s="26"/>
    </row>
    <row r="1048350" customFormat="1" spans="2:14">
      <c r="B1048350" s="26"/>
      <c r="C1048350" s="26"/>
      <c r="D1048350" s="4"/>
      <c r="E1048350" s="26"/>
      <c r="F1048350" s="26"/>
      <c r="G1048350" s="26"/>
      <c r="H1048350" s="26"/>
      <c r="I1048350" s="27"/>
      <c r="J1048350" s="26"/>
      <c r="K1048350" s="26"/>
      <c r="L1048350" s="4"/>
      <c r="M1048350" s="4"/>
      <c r="N1048350" s="26"/>
    </row>
    <row r="1048351" customFormat="1" spans="2:14">
      <c r="B1048351" s="26"/>
      <c r="C1048351" s="26"/>
      <c r="D1048351" s="4"/>
      <c r="E1048351" s="26"/>
      <c r="F1048351" s="26"/>
      <c r="G1048351" s="26"/>
      <c r="H1048351" s="26"/>
      <c r="I1048351" s="27"/>
      <c r="J1048351" s="26"/>
      <c r="K1048351" s="26"/>
      <c r="L1048351" s="4"/>
      <c r="M1048351" s="4"/>
      <c r="N1048351" s="26"/>
    </row>
    <row r="1048352" customFormat="1" spans="2:14">
      <c r="B1048352" s="26"/>
      <c r="C1048352" s="26"/>
      <c r="D1048352" s="4"/>
      <c r="E1048352" s="26"/>
      <c r="F1048352" s="26"/>
      <c r="G1048352" s="26"/>
      <c r="H1048352" s="26"/>
      <c r="I1048352" s="27"/>
      <c r="J1048352" s="26"/>
      <c r="K1048352" s="26"/>
      <c r="L1048352" s="4"/>
      <c r="M1048352" s="4"/>
      <c r="N1048352" s="26"/>
    </row>
    <row r="1048353" customFormat="1" spans="2:14">
      <c r="B1048353" s="26"/>
      <c r="C1048353" s="26"/>
      <c r="D1048353" s="4"/>
      <c r="E1048353" s="26"/>
      <c r="F1048353" s="26"/>
      <c r="G1048353" s="26"/>
      <c r="H1048353" s="26"/>
      <c r="I1048353" s="27"/>
      <c r="J1048353" s="26"/>
      <c r="K1048353" s="26"/>
      <c r="L1048353" s="4"/>
      <c r="M1048353" s="4"/>
      <c r="N1048353" s="26"/>
    </row>
    <row r="1048354" customFormat="1" spans="2:14">
      <c r="B1048354" s="26"/>
      <c r="C1048354" s="26"/>
      <c r="D1048354" s="4"/>
      <c r="E1048354" s="26"/>
      <c r="F1048354" s="26"/>
      <c r="G1048354" s="26"/>
      <c r="H1048354" s="26"/>
      <c r="I1048354" s="27"/>
      <c r="J1048354" s="26"/>
      <c r="K1048354" s="26"/>
      <c r="L1048354" s="4"/>
      <c r="M1048354" s="4"/>
      <c r="N1048354" s="26"/>
    </row>
    <row r="1048355" customFormat="1" spans="2:14">
      <c r="B1048355" s="26"/>
      <c r="C1048355" s="26"/>
      <c r="D1048355" s="4"/>
      <c r="E1048355" s="26"/>
      <c r="F1048355" s="26"/>
      <c r="G1048355" s="26"/>
      <c r="H1048355" s="26"/>
      <c r="I1048355" s="27"/>
      <c r="J1048355" s="26"/>
      <c r="K1048355" s="26"/>
      <c r="L1048355" s="4"/>
      <c r="M1048355" s="4"/>
      <c r="N1048355" s="26"/>
    </row>
    <row r="1048356" customFormat="1" spans="2:14">
      <c r="B1048356" s="26"/>
      <c r="C1048356" s="26"/>
      <c r="D1048356" s="4"/>
      <c r="E1048356" s="26"/>
      <c r="F1048356" s="26"/>
      <c r="G1048356" s="26"/>
      <c r="H1048356" s="26"/>
      <c r="I1048356" s="27"/>
      <c r="J1048356" s="26"/>
      <c r="K1048356" s="26"/>
      <c r="L1048356" s="4"/>
      <c r="M1048356" s="4"/>
      <c r="N1048356" s="26"/>
    </row>
    <row r="1048357" customFormat="1" spans="2:14">
      <c r="B1048357" s="26"/>
      <c r="C1048357" s="26"/>
      <c r="D1048357" s="4"/>
      <c r="E1048357" s="26"/>
      <c r="F1048357" s="26"/>
      <c r="G1048357" s="26"/>
      <c r="H1048357" s="26"/>
      <c r="I1048357" s="27"/>
      <c r="J1048357" s="26"/>
      <c r="K1048357" s="26"/>
      <c r="L1048357" s="4"/>
      <c r="M1048357" s="4"/>
      <c r="N1048357" s="26"/>
    </row>
    <row r="1048358" customFormat="1" spans="2:14">
      <c r="B1048358" s="26"/>
      <c r="C1048358" s="26"/>
      <c r="D1048358" s="4"/>
      <c r="E1048358" s="26"/>
      <c r="F1048358" s="26"/>
      <c r="G1048358" s="26"/>
      <c r="H1048358" s="26"/>
      <c r="I1048358" s="27"/>
      <c r="J1048358" s="26"/>
      <c r="K1048358" s="26"/>
      <c r="L1048358" s="4"/>
      <c r="M1048358" s="4"/>
      <c r="N1048358" s="26"/>
    </row>
    <row r="1048359" customFormat="1" spans="2:14">
      <c r="B1048359" s="26"/>
      <c r="C1048359" s="26"/>
      <c r="D1048359" s="4"/>
      <c r="E1048359" s="26"/>
      <c r="F1048359" s="26"/>
      <c r="G1048359" s="26"/>
      <c r="H1048359" s="26"/>
      <c r="I1048359" s="27"/>
      <c r="J1048359" s="26"/>
      <c r="K1048359" s="26"/>
      <c r="L1048359" s="4"/>
      <c r="M1048359" s="4"/>
      <c r="N1048359" s="26"/>
    </row>
    <row r="1048360" customFormat="1" spans="2:14">
      <c r="B1048360" s="26"/>
      <c r="C1048360" s="26"/>
      <c r="D1048360" s="4"/>
      <c r="E1048360" s="26"/>
      <c r="F1048360" s="26"/>
      <c r="G1048360" s="26"/>
      <c r="H1048360" s="26"/>
      <c r="I1048360" s="27"/>
      <c r="J1048360" s="26"/>
      <c r="K1048360" s="26"/>
      <c r="L1048360" s="4"/>
      <c r="M1048360" s="4"/>
      <c r="N1048360" s="26"/>
    </row>
    <row r="1048361" customFormat="1" spans="2:14">
      <c r="B1048361" s="26"/>
      <c r="C1048361" s="26"/>
      <c r="D1048361" s="4"/>
      <c r="E1048361" s="26"/>
      <c r="F1048361" s="26"/>
      <c r="G1048361" s="26"/>
      <c r="H1048361" s="26"/>
      <c r="I1048361" s="27"/>
      <c r="J1048361" s="26"/>
      <c r="K1048361" s="26"/>
      <c r="L1048361" s="4"/>
      <c r="M1048361" s="4"/>
      <c r="N1048361" s="26"/>
    </row>
    <row r="1048362" customFormat="1" spans="2:14">
      <c r="B1048362" s="26"/>
      <c r="C1048362" s="26"/>
      <c r="D1048362" s="4"/>
      <c r="E1048362" s="26"/>
      <c r="F1048362" s="26"/>
      <c r="G1048362" s="26"/>
      <c r="H1048362" s="26"/>
      <c r="I1048362" s="27"/>
      <c r="J1048362" s="26"/>
      <c r="K1048362" s="26"/>
      <c r="L1048362" s="4"/>
      <c r="M1048362" s="4"/>
      <c r="N1048362" s="26"/>
    </row>
    <row r="1048363" customFormat="1" spans="2:14">
      <c r="B1048363" s="26"/>
      <c r="C1048363" s="26"/>
      <c r="D1048363" s="4"/>
      <c r="E1048363" s="26"/>
      <c r="F1048363" s="26"/>
      <c r="G1048363" s="26"/>
      <c r="H1048363" s="26"/>
      <c r="I1048363" s="27"/>
      <c r="J1048363" s="26"/>
      <c r="K1048363" s="26"/>
      <c r="L1048363" s="4"/>
      <c r="M1048363" s="4"/>
      <c r="N1048363" s="26"/>
    </row>
    <row r="1048364" customFormat="1" spans="2:14">
      <c r="B1048364" s="26"/>
      <c r="C1048364" s="26"/>
      <c r="D1048364" s="4"/>
      <c r="E1048364" s="26"/>
      <c r="F1048364" s="26"/>
      <c r="G1048364" s="26"/>
      <c r="H1048364" s="26"/>
      <c r="I1048364" s="27"/>
      <c r="J1048364" s="26"/>
      <c r="K1048364" s="26"/>
      <c r="L1048364" s="4"/>
      <c r="M1048364" s="4"/>
      <c r="N1048364" s="26"/>
    </row>
    <row r="1048365" customFormat="1" spans="2:14">
      <c r="B1048365" s="26"/>
      <c r="C1048365" s="26"/>
      <c r="D1048365" s="4"/>
      <c r="E1048365" s="26"/>
      <c r="F1048365" s="26"/>
      <c r="G1048365" s="26"/>
      <c r="H1048365" s="26"/>
      <c r="I1048365" s="27"/>
      <c r="J1048365" s="26"/>
      <c r="K1048365" s="26"/>
      <c r="L1048365" s="4"/>
      <c r="M1048365" s="4"/>
      <c r="N1048365" s="26"/>
    </row>
    <row r="1048366" customFormat="1" spans="2:14">
      <c r="B1048366" s="26"/>
      <c r="C1048366" s="26"/>
      <c r="D1048366" s="4"/>
      <c r="E1048366" s="26"/>
      <c r="F1048366" s="26"/>
      <c r="G1048366" s="26"/>
      <c r="H1048366" s="26"/>
      <c r="I1048366" s="27"/>
      <c r="J1048366" s="26"/>
      <c r="K1048366" s="26"/>
      <c r="L1048366" s="4"/>
      <c r="M1048366" s="4"/>
      <c r="N1048366" s="26"/>
    </row>
    <row r="1048367" customFormat="1" spans="2:14">
      <c r="B1048367" s="26"/>
      <c r="C1048367" s="26"/>
      <c r="D1048367" s="4"/>
      <c r="E1048367" s="26"/>
      <c r="F1048367" s="26"/>
      <c r="G1048367" s="26"/>
      <c r="H1048367" s="26"/>
      <c r="I1048367" s="27"/>
      <c r="J1048367" s="26"/>
      <c r="K1048367" s="26"/>
      <c r="L1048367" s="4"/>
      <c r="M1048367" s="4"/>
      <c r="N1048367" s="26"/>
    </row>
    <row r="1048368" customFormat="1" spans="2:14">
      <c r="B1048368" s="26"/>
      <c r="C1048368" s="26"/>
      <c r="D1048368" s="4"/>
      <c r="E1048368" s="26"/>
      <c r="F1048368" s="26"/>
      <c r="G1048368" s="26"/>
      <c r="H1048368" s="26"/>
      <c r="I1048368" s="27"/>
      <c r="J1048368" s="26"/>
      <c r="K1048368" s="26"/>
      <c r="L1048368" s="4"/>
      <c r="M1048368" s="4"/>
      <c r="N1048368" s="26"/>
    </row>
    <row r="1048369" customFormat="1" spans="2:14">
      <c r="B1048369" s="26"/>
      <c r="C1048369" s="26"/>
      <c r="D1048369" s="4"/>
      <c r="E1048369" s="26"/>
      <c r="F1048369" s="26"/>
      <c r="G1048369" s="26"/>
      <c r="H1048369" s="26"/>
      <c r="I1048369" s="27"/>
      <c r="J1048369" s="26"/>
      <c r="K1048369" s="26"/>
      <c r="L1048369" s="4"/>
      <c r="M1048369" s="4"/>
      <c r="N1048369" s="26"/>
    </row>
    <row r="1048370" customFormat="1" spans="2:14">
      <c r="B1048370" s="26"/>
      <c r="C1048370" s="26"/>
      <c r="D1048370" s="4"/>
      <c r="E1048370" s="26"/>
      <c r="F1048370" s="26"/>
      <c r="G1048370" s="26"/>
      <c r="H1048370" s="26"/>
      <c r="I1048370" s="27"/>
      <c r="J1048370" s="26"/>
      <c r="K1048370" s="26"/>
      <c r="L1048370" s="4"/>
      <c r="M1048370" s="4"/>
      <c r="N1048370" s="26"/>
    </row>
    <row r="1048371" customFormat="1" spans="2:14">
      <c r="B1048371" s="26"/>
      <c r="C1048371" s="26"/>
      <c r="D1048371" s="4"/>
      <c r="E1048371" s="26"/>
      <c r="F1048371" s="26"/>
      <c r="G1048371" s="26"/>
      <c r="H1048371" s="26"/>
      <c r="I1048371" s="27"/>
      <c r="J1048371" s="26"/>
      <c r="K1048371" s="26"/>
      <c r="L1048371" s="4"/>
      <c r="M1048371" s="4"/>
      <c r="N1048371" s="26"/>
    </row>
    <row r="1048372" customFormat="1" spans="2:14">
      <c r="B1048372" s="26"/>
      <c r="C1048372" s="26"/>
      <c r="D1048372" s="4"/>
      <c r="E1048372" s="26"/>
      <c r="F1048372" s="26"/>
      <c r="G1048372" s="26"/>
      <c r="H1048372" s="26"/>
      <c r="I1048372" s="27"/>
      <c r="J1048372" s="26"/>
      <c r="K1048372" s="26"/>
      <c r="L1048372" s="4"/>
      <c r="M1048372" s="4"/>
      <c r="N1048372" s="26"/>
    </row>
    <row r="1048373" customFormat="1" spans="2:14">
      <c r="B1048373" s="26"/>
      <c r="C1048373" s="26"/>
      <c r="D1048373" s="4"/>
      <c r="E1048373" s="26"/>
      <c r="F1048373" s="26"/>
      <c r="G1048373" s="26"/>
      <c r="H1048373" s="26"/>
      <c r="I1048373" s="27"/>
      <c r="J1048373" s="26"/>
      <c r="K1048373" s="26"/>
      <c r="L1048373" s="4"/>
      <c r="M1048373" s="4"/>
      <c r="N1048373" s="26"/>
    </row>
    <row r="1048374" customFormat="1" spans="2:14">
      <c r="B1048374" s="26"/>
      <c r="C1048374" s="26"/>
      <c r="D1048374" s="4"/>
      <c r="E1048374" s="26"/>
      <c r="F1048374" s="26"/>
      <c r="G1048374" s="26"/>
      <c r="H1048374" s="26"/>
      <c r="I1048374" s="27"/>
      <c r="J1048374" s="26"/>
      <c r="K1048374" s="26"/>
      <c r="L1048374" s="4"/>
      <c r="M1048374" s="4"/>
      <c r="N1048374" s="26"/>
    </row>
    <row r="1048375" customFormat="1" spans="2:14">
      <c r="B1048375" s="26"/>
      <c r="C1048375" s="26"/>
      <c r="D1048375" s="4"/>
      <c r="E1048375" s="26"/>
      <c r="F1048375" s="26"/>
      <c r="G1048375" s="26"/>
      <c r="H1048375" s="26"/>
      <c r="I1048375" s="27"/>
      <c r="J1048375" s="26"/>
      <c r="K1048375" s="26"/>
      <c r="L1048375" s="4"/>
      <c r="M1048375" s="4"/>
      <c r="N1048375" s="26"/>
    </row>
    <row r="1048376" customFormat="1" spans="2:14">
      <c r="B1048376" s="26"/>
      <c r="C1048376" s="26"/>
      <c r="D1048376" s="4"/>
      <c r="E1048376" s="26"/>
      <c r="F1048376" s="26"/>
      <c r="G1048376" s="26"/>
      <c r="H1048376" s="26"/>
      <c r="I1048376" s="27"/>
      <c r="J1048376" s="26"/>
      <c r="K1048376" s="26"/>
      <c r="L1048376" s="4"/>
      <c r="M1048376" s="4"/>
      <c r="N1048376" s="26"/>
    </row>
    <row r="1048377" customFormat="1" spans="2:14">
      <c r="B1048377" s="26"/>
      <c r="C1048377" s="26"/>
      <c r="D1048377" s="4"/>
      <c r="E1048377" s="26"/>
      <c r="F1048377" s="26"/>
      <c r="G1048377" s="26"/>
      <c r="H1048377" s="26"/>
      <c r="I1048377" s="27"/>
      <c r="J1048377" s="26"/>
      <c r="K1048377" s="26"/>
      <c r="L1048377" s="4"/>
      <c r="M1048377" s="4"/>
      <c r="N1048377" s="26"/>
    </row>
    <row r="1048378" customFormat="1" spans="2:14">
      <c r="B1048378" s="26"/>
      <c r="C1048378" s="26"/>
      <c r="D1048378" s="4"/>
      <c r="E1048378" s="26"/>
      <c r="F1048378" s="26"/>
      <c r="G1048378" s="26"/>
      <c r="H1048378" s="26"/>
      <c r="I1048378" s="27"/>
      <c r="J1048378" s="26"/>
      <c r="K1048378" s="26"/>
      <c r="L1048378" s="4"/>
      <c r="M1048378" s="4"/>
      <c r="N1048378" s="26"/>
    </row>
    <row r="1048379" customFormat="1" spans="2:14">
      <c r="B1048379" s="26"/>
      <c r="C1048379" s="26"/>
      <c r="D1048379" s="4"/>
      <c r="E1048379" s="26"/>
      <c r="F1048379" s="26"/>
      <c r="G1048379" s="26"/>
      <c r="H1048379" s="26"/>
      <c r="I1048379" s="27"/>
      <c r="J1048379" s="26"/>
      <c r="K1048379" s="26"/>
      <c r="L1048379" s="4"/>
      <c r="M1048379" s="4"/>
      <c r="N1048379" s="26"/>
    </row>
    <row r="1048380" customFormat="1" spans="2:14">
      <c r="B1048380" s="26"/>
      <c r="C1048380" s="26"/>
      <c r="D1048380" s="4"/>
      <c r="E1048380" s="26"/>
      <c r="F1048380" s="26"/>
      <c r="G1048380" s="26"/>
      <c r="H1048380" s="26"/>
      <c r="I1048380" s="27"/>
      <c r="J1048380" s="26"/>
      <c r="K1048380" s="26"/>
      <c r="L1048380" s="4"/>
      <c r="M1048380" s="4"/>
      <c r="N1048380" s="26"/>
    </row>
    <row r="1048381" customFormat="1" spans="2:14">
      <c r="B1048381" s="26"/>
      <c r="C1048381" s="26"/>
      <c r="D1048381" s="4"/>
      <c r="E1048381" s="26"/>
      <c r="F1048381" s="26"/>
      <c r="G1048381" s="26"/>
      <c r="H1048381" s="26"/>
      <c r="I1048381" s="27"/>
      <c r="J1048381" s="26"/>
      <c r="K1048381" s="26"/>
      <c r="L1048381" s="4"/>
      <c r="M1048381" s="4"/>
      <c r="N1048381" s="26"/>
    </row>
    <row r="1048382" customFormat="1" spans="2:14">
      <c r="B1048382" s="26"/>
      <c r="C1048382" s="26"/>
      <c r="D1048382" s="4"/>
      <c r="E1048382" s="26"/>
      <c r="F1048382" s="26"/>
      <c r="G1048382" s="26"/>
      <c r="H1048382" s="26"/>
      <c r="I1048382" s="27"/>
      <c r="J1048382" s="26"/>
      <c r="K1048382" s="26"/>
      <c r="L1048382" s="4"/>
      <c r="M1048382" s="4"/>
      <c r="N1048382" s="26"/>
    </row>
    <row r="1048383" customFormat="1" spans="2:14">
      <c r="B1048383" s="26"/>
      <c r="C1048383" s="26"/>
      <c r="D1048383" s="4"/>
      <c r="E1048383" s="26"/>
      <c r="F1048383" s="26"/>
      <c r="G1048383" s="26"/>
      <c r="H1048383" s="26"/>
      <c r="I1048383" s="27"/>
      <c r="J1048383" s="26"/>
      <c r="K1048383" s="26"/>
      <c r="L1048383" s="4"/>
      <c r="M1048383" s="4"/>
      <c r="N1048383" s="26"/>
    </row>
    <row r="1048384" customFormat="1" spans="2:14">
      <c r="B1048384" s="26"/>
      <c r="C1048384" s="26"/>
      <c r="D1048384" s="4"/>
      <c r="E1048384" s="26"/>
      <c r="F1048384" s="26"/>
      <c r="G1048384" s="26"/>
      <c r="H1048384" s="26"/>
      <c r="I1048384" s="27"/>
      <c r="J1048384" s="26"/>
      <c r="K1048384" s="26"/>
      <c r="L1048384" s="4"/>
      <c r="M1048384" s="4"/>
      <c r="N1048384" s="26"/>
    </row>
    <row r="1048385" customFormat="1" spans="2:14">
      <c r="B1048385" s="26"/>
      <c r="C1048385" s="26"/>
      <c r="D1048385" s="4"/>
      <c r="E1048385" s="26"/>
      <c r="F1048385" s="26"/>
      <c r="G1048385" s="26"/>
      <c r="H1048385" s="26"/>
      <c r="I1048385" s="27"/>
      <c r="J1048385" s="26"/>
      <c r="K1048385" s="26"/>
      <c r="L1048385" s="4"/>
      <c r="M1048385" s="4"/>
      <c r="N1048385" s="26"/>
    </row>
    <row r="1048386" customFormat="1" spans="2:14">
      <c r="B1048386" s="26"/>
      <c r="C1048386" s="26"/>
      <c r="D1048386" s="4"/>
      <c r="E1048386" s="26"/>
      <c r="F1048386" s="26"/>
      <c r="G1048386" s="26"/>
      <c r="H1048386" s="26"/>
      <c r="I1048386" s="27"/>
      <c r="J1048386" s="26"/>
      <c r="K1048386" s="26"/>
      <c r="L1048386" s="4"/>
      <c r="M1048386" s="4"/>
      <c r="N1048386" s="26"/>
    </row>
    <row r="1048387" customFormat="1" spans="2:14">
      <c r="B1048387" s="26"/>
      <c r="C1048387" s="26"/>
      <c r="D1048387" s="4"/>
      <c r="E1048387" s="26"/>
      <c r="F1048387" s="26"/>
      <c r="G1048387" s="26"/>
      <c r="H1048387" s="26"/>
      <c r="I1048387" s="27"/>
      <c r="J1048387" s="26"/>
      <c r="K1048387" s="26"/>
      <c r="L1048387" s="4"/>
      <c r="M1048387" s="4"/>
      <c r="N1048387" s="26"/>
    </row>
    <row r="1048388" customFormat="1" spans="2:14">
      <c r="B1048388" s="26"/>
      <c r="C1048388" s="26"/>
      <c r="D1048388" s="4"/>
      <c r="E1048388" s="26"/>
      <c r="F1048388" s="26"/>
      <c r="G1048388" s="26"/>
      <c r="H1048388" s="26"/>
      <c r="I1048388" s="27"/>
      <c r="J1048388" s="26"/>
      <c r="K1048388" s="26"/>
      <c r="L1048388" s="4"/>
      <c r="M1048388" s="4"/>
      <c r="N1048388" s="26"/>
    </row>
    <row r="1048389" customFormat="1" spans="2:14">
      <c r="B1048389" s="26"/>
      <c r="C1048389" s="26"/>
      <c r="D1048389" s="4"/>
      <c r="E1048389" s="26"/>
      <c r="F1048389" s="26"/>
      <c r="G1048389" s="26"/>
      <c r="H1048389" s="26"/>
      <c r="I1048389" s="27"/>
      <c r="J1048389" s="26"/>
      <c r="K1048389" s="26"/>
      <c r="L1048389" s="4"/>
      <c r="M1048389" s="4"/>
      <c r="N1048389" s="26"/>
    </row>
    <row r="1048390" customFormat="1" spans="2:14">
      <c r="B1048390" s="26"/>
      <c r="C1048390" s="26"/>
      <c r="D1048390" s="4"/>
      <c r="E1048390" s="26"/>
      <c r="F1048390" s="26"/>
      <c r="G1048390" s="26"/>
      <c r="H1048390" s="26"/>
      <c r="I1048390" s="27"/>
      <c r="J1048390" s="26"/>
      <c r="K1048390" s="26"/>
      <c r="L1048390" s="4"/>
      <c r="M1048390" s="4"/>
      <c r="N1048390" s="26"/>
    </row>
    <row r="1048391" customFormat="1" spans="2:14">
      <c r="B1048391" s="26"/>
      <c r="C1048391" s="26"/>
      <c r="D1048391" s="4"/>
      <c r="E1048391" s="26"/>
      <c r="F1048391" s="26"/>
      <c r="G1048391" s="26"/>
      <c r="H1048391" s="26"/>
      <c r="I1048391" s="27"/>
      <c r="J1048391" s="26"/>
      <c r="K1048391" s="26"/>
      <c r="L1048391" s="4"/>
      <c r="M1048391" s="4"/>
      <c r="N1048391" s="26"/>
    </row>
    <row r="1048392" customFormat="1" spans="2:14">
      <c r="B1048392" s="26"/>
      <c r="C1048392" s="26"/>
      <c r="D1048392" s="4"/>
      <c r="E1048392" s="26"/>
      <c r="F1048392" s="26"/>
      <c r="G1048392" s="26"/>
      <c r="H1048392" s="26"/>
      <c r="I1048392" s="27"/>
      <c r="J1048392" s="26"/>
      <c r="K1048392" s="26"/>
      <c r="L1048392" s="4"/>
      <c r="M1048392" s="4"/>
      <c r="N1048392" s="26"/>
    </row>
    <row r="1048393" customFormat="1" spans="2:14">
      <c r="B1048393" s="26"/>
      <c r="C1048393" s="26"/>
      <c r="D1048393" s="4"/>
      <c r="E1048393" s="26"/>
      <c r="F1048393" s="26"/>
      <c r="G1048393" s="26"/>
      <c r="H1048393" s="26"/>
      <c r="I1048393" s="27"/>
      <c r="J1048393" s="26"/>
      <c r="K1048393" s="26"/>
      <c r="L1048393" s="4"/>
      <c r="M1048393" s="4"/>
      <c r="N1048393" s="26"/>
    </row>
    <row r="1048394" customFormat="1" spans="2:14">
      <c r="B1048394" s="26"/>
      <c r="C1048394" s="26"/>
      <c r="D1048394" s="4"/>
      <c r="E1048394" s="26"/>
      <c r="F1048394" s="26"/>
      <c r="G1048394" s="26"/>
      <c r="H1048394" s="26"/>
      <c r="I1048394" s="27"/>
      <c r="J1048394" s="26"/>
      <c r="K1048394" s="26"/>
      <c r="L1048394" s="4"/>
      <c r="M1048394" s="4"/>
      <c r="N1048394" s="26"/>
    </row>
    <row r="1048395" customFormat="1" spans="2:14">
      <c r="B1048395" s="26"/>
      <c r="C1048395" s="26"/>
      <c r="D1048395" s="4"/>
      <c r="E1048395" s="26"/>
      <c r="F1048395" s="26"/>
      <c r="G1048395" s="26"/>
      <c r="H1048395" s="26"/>
      <c r="I1048395" s="27"/>
      <c r="J1048395" s="26"/>
      <c r="K1048395" s="26"/>
      <c r="L1048395" s="4"/>
      <c r="M1048395" s="4"/>
      <c r="N1048395" s="26"/>
    </row>
    <row r="1048396" customFormat="1" spans="2:14">
      <c r="B1048396" s="26"/>
      <c r="C1048396" s="26"/>
      <c r="D1048396" s="4"/>
      <c r="E1048396" s="26"/>
      <c r="F1048396" s="26"/>
      <c r="G1048396" s="26"/>
      <c r="H1048396" s="26"/>
      <c r="I1048396" s="27"/>
      <c r="J1048396" s="26"/>
      <c r="K1048396" s="26"/>
      <c r="L1048396" s="4"/>
      <c r="M1048396" s="4"/>
      <c r="N1048396" s="26"/>
    </row>
    <row r="1048397" customFormat="1" spans="2:14">
      <c r="B1048397" s="26"/>
      <c r="C1048397" s="26"/>
      <c r="D1048397" s="4"/>
      <c r="E1048397" s="26"/>
      <c r="F1048397" s="26"/>
      <c r="G1048397" s="26"/>
      <c r="H1048397" s="26"/>
      <c r="I1048397" s="27"/>
      <c r="J1048397" s="26"/>
      <c r="K1048397" s="26"/>
      <c r="L1048397" s="4"/>
      <c r="M1048397" s="4"/>
      <c r="N1048397" s="26"/>
    </row>
    <row r="1048398" customFormat="1" spans="2:14">
      <c r="B1048398" s="26"/>
      <c r="C1048398" s="26"/>
      <c r="D1048398" s="4"/>
      <c r="E1048398" s="26"/>
      <c r="F1048398" s="26"/>
      <c r="G1048398" s="26"/>
      <c r="H1048398" s="26"/>
      <c r="I1048398" s="27"/>
      <c r="J1048398" s="26"/>
      <c r="K1048398" s="26"/>
      <c r="L1048398" s="4"/>
      <c r="M1048398" s="4"/>
      <c r="N1048398" s="26"/>
    </row>
    <row r="1048399" customFormat="1" spans="2:14">
      <c r="B1048399" s="26"/>
      <c r="C1048399" s="26"/>
      <c r="D1048399" s="4"/>
      <c r="E1048399" s="26"/>
      <c r="F1048399" s="26"/>
      <c r="G1048399" s="26"/>
      <c r="H1048399" s="26"/>
      <c r="I1048399" s="27"/>
      <c r="J1048399" s="26"/>
      <c r="K1048399" s="26"/>
      <c r="L1048399" s="4"/>
      <c r="M1048399" s="4"/>
      <c r="N1048399" s="26"/>
    </row>
    <row r="1048400" customFormat="1" spans="2:14">
      <c r="B1048400" s="26"/>
      <c r="C1048400" s="26"/>
      <c r="D1048400" s="4"/>
      <c r="E1048400" s="26"/>
      <c r="F1048400" s="26"/>
      <c r="G1048400" s="26"/>
      <c r="H1048400" s="26"/>
      <c r="I1048400" s="27"/>
      <c r="J1048400" s="26"/>
      <c r="K1048400" s="26"/>
      <c r="L1048400" s="4"/>
      <c r="M1048400" s="4"/>
      <c r="N1048400" s="26"/>
    </row>
    <row r="1048401" customFormat="1" spans="2:14">
      <c r="B1048401" s="26"/>
      <c r="C1048401" s="26"/>
      <c r="D1048401" s="4"/>
      <c r="E1048401" s="26"/>
      <c r="F1048401" s="26"/>
      <c r="G1048401" s="26"/>
      <c r="H1048401" s="26"/>
      <c r="I1048401" s="27"/>
      <c r="J1048401" s="26"/>
      <c r="K1048401" s="26"/>
      <c r="L1048401" s="4"/>
      <c r="M1048401" s="4"/>
      <c r="N1048401" s="26"/>
    </row>
    <row r="1048402" customFormat="1" spans="2:14">
      <c r="B1048402" s="26"/>
      <c r="C1048402" s="26"/>
      <c r="D1048402" s="4"/>
      <c r="E1048402" s="26"/>
      <c r="F1048402" s="26"/>
      <c r="G1048402" s="26"/>
      <c r="H1048402" s="26"/>
      <c r="I1048402" s="27"/>
      <c r="J1048402" s="26"/>
      <c r="K1048402" s="26"/>
      <c r="L1048402" s="4"/>
      <c r="M1048402" s="4"/>
      <c r="N1048402" s="26"/>
    </row>
    <row r="1048403" customFormat="1" spans="2:14">
      <c r="B1048403" s="26"/>
      <c r="C1048403" s="26"/>
      <c r="D1048403" s="4"/>
      <c r="E1048403" s="26"/>
      <c r="F1048403" s="26"/>
      <c r="G1048403" s="26"/>
      <c r="H1048403" s="26"/>
      <c r="I1048403" s="27"/>
      <c r="J1048403" s="26"/>
      <c r="K1048403" s="26"/>
      <c r="L1048403" s="4"/>
      <c r="M1048403" s="4"/>
      <c r="N1048403" s="26"/>
    </row>
    <row r="1048404" customFormat="1" spans="2:14">
      <c r="B1048404" s="26"/>
      <c r="C1048404" s="26"/>
      <c r="D1048404" s="4"/>
      <c r="E1048404" s="26"/>
      <c r="F1048404" s="26"/>
      <c r="G1048404" s="26"/>
      <c r="H1048404" s="26"/>
      <c r="I1048404" s="27"/>
      <c r="J1048404" s="26"/>
      <c r="K1048404" s="26"/>
      <c r="L1048404" s="4"/>
      <c r="M1048404" s="4"/>
      <c r="N1048404" s="26"/>
    </row>
    <row r="1048405" customFormat="1" spans="2:14">
      <c r="B1048405" s="26"/>
      <c r="C1048405" s="26"/>
      <c r="D1048405" s="4"/>
      <c r="E1048405" s="26"/>
      <c r="F1048405" s="26"/>
      <c r="G1048405" s="26"/>
      <c r="H1048405" s="26"/>
      <c r="I1048405" s="27"/>
      <c r="J1048405" s="26"/>
      <c r="K1048405" s="26"/>
      <c r="L1048405" s="4"/>
      <c r="M1048405" s="4"/>
      <c r="N1048405" s="26"/>
    </row>
    <row r="1048406" customFormat="1" spans="2:14">
      <c r="B1048406" s="26"/>
      <c r="C1048406" s="26"/>
      <c r="D1048406" s="4"/>
      <c r="E1048406" s="26"/>
      <c r="F1048406" s="26"/>
      <c r="G1048406" s="26"/>
      <c r="H1048406" s="26"/>
      <c r="I1048406" s="27"/>
      <c r="J1048406" s="26"/>
      <c r="K1048406" s="26"/>
      <c r="L1048406" s="4"/>
      <c r="M1048406" s="4"/>
      <c r="N1048406" s="26"/>
    </row>
    <row r="1048407" customFormat="1" spans="2:14">
      <c r="B1048407" s="26"/>
      <c r="C1048407" s="26"/>
      <c r="D1048407" s="4"/>
      <c r="E1048407" s="26"/>
      <c r="F1048407" s="26"/>
      <c r="G1048407" s="26"/>
      <c r="H1048407" s="26"/>
      <c r="I1048407" s="27"/>
      <c r="J1048407" s="26"/>
      <c r="K1048407" s="26"/>
      <c r="L1048407" s="4"/>
      <c r="M1048407" s="4"/>
      <c r="N1048407" s="26"/>
    </row>
    <row r="1048408" customFormat="1" spans="2:14">
      <c r="B1048408" s="26"/>
      <c r="C1048408" s="26"/>
      <c r="D1048408" s="4"/>
      <c r="E1048408" s="26"/>
      <c r="F1048408" s="26"/>
      <c r="G1048408" s="26"/>
      <c r="H1048408" s="26"/>
      <c r="I1048408" s="27"/>
      <c r="J1048408" s="26"/>
      <c r="K1048408" s="26"/>
      <c r="L1048408" s="4"/>
      <c r="M1048408" s="4"/>
      <c r="N1048408" s="26"/>
    </row>
    <row r="1048409" customFormat="1" spans="2:14">
      <c r="B1048409" s="26"/>
      <c r="C1048409" s="26"/>
      <c r="D1048409" s="4"/>
      <c r="E1048409" s="26"/>
      <c r="F1048409" s="26"/>
      <c r="G1048409" s="26"/>
      <c r="H1048409" s="26"/>
      <c r="I1048409" s="27"/>
      <c r="J1048409" s="26"/>
      <c r="K1048409" s="26"/>
      <c r="L1048409" s="4"/>
      <c r="M1048409" s="4"/>
      <c r="N1048409" s="26"/>
    </row>
    <row r="1048410" customFormat="1" spans="2:14">
      <c r="B1048410" s="26"/>
      <c r="C1048410" s="26"/>
      <c r="D1048410" s="4"/>
      <c r="E1048410" s="26"/>
      <c r="F1048410" s="26"/>
      <c r="G1048410" s="26"/>
      <c r="H1048410" s="26"/>
      <c r="I1048410" s="27"/>
      <c r="J1048410" s="26"/>
      <c r="K1048410" s="26"/>
      <c r="L1048410" s="4"/>
      <c r="M1048410" s="4"/>
      <c r="N1048410" s="26"/>
    </row>
    <row r="1048411" customFormat="1" spans="2:14">
      <c r="B1048411" s="26"/>
      <c r="C1048411" s="26"/>
      <c r="D1048411" s="4"/>
      <c r="E1048411" s="26"/>
      <c r="F1048411" s="26"/>
      <c r="G1048411" s="26"/>
      <c r="H1048411" s="26"/>
      <c r="I1048411" s="27"/>
      <c r="J1048411" s="26"/>
      <c r="K1048411" s="26"/>
      <c r="L1048411" s="4"/>
      <c r="M1048411" s="4"/>
      <c r="N1048411" s="26"/>
    </row>
    <row r="1048412" customFormat="1" spans="2:14">
      <c r="B1048412" s="26"/>
      <c r="C1048412" s="26"/>
      <c r="D1048412" s="4"/>
      <c r="E1048412" s="26"/>
      <c r="F1048412" s="26"/>
      <c r="G1048412" s="26"/>
      <c r="H1048412" s="26"/>
      <c r="I1048412" s="27"/>
      <c r="J1048412" s="26"/>
      <c r="K1048412" s="26"/>
      <c r="L1048412" s="4"/>
      <c r="M1048412" s="4"/>
      <c r="N1048412" s="26"/>
    </row>
    <row r="1048413" customFormat="1" spans="2:14">
      <c r="B1048413" s="26"/>
      <c r="C1048413" s="26"/>
      <c r="D1048413" s="4"/>
      <c r="E1048413" s="26"/>
      <c r="F1048413" s="26"/>
      <c r="G1048413" s="26"/>
      <c r="H1048413" s="26"/>
      <c r="I1048413" s="27"/>
      <c r="J1048413" s="26"/>
      <c r="K1048413" s="26"/>
      <c r="L1048413" s="4"/>
      <c r="M1048413" s="4"/>
      <c r="N1048413" s="26"/>
    </row>
    <row r="1048414" customFormat="1" spans="2:14">
      <c r="B1048414" s="26"/>
      <c r="C1048414" s="26"/>
      <c r="D1048414" s="4"/>
      <c r="E1048414" s="26"/>
      <c r="F1048414" s="26"/>
      <c r="G1048414" s="26"/>
      <c r="H1048414" s="26"/>
      <c r="I1048414" s="27"/>
      <c r="J1048414" s="26"/>
      <c r="K1048414" s="26"/>
      <c r="L1048414" s="4"/>
      <c r="M1048414" s="4"/>
      <c r="N1048414" s="26"/>
    </row>
    <row r="1048415" customFormat="1" spans="2:14">
      <c r="B1048415" s="26"/>
      <c r="C1048415" s="26"/>
      <c r="D1048415" s="4"/>
      <c r="E1048415" s="26"/>
      <c r="F1048415" s="26"/>
      <c r="G1048415" s="26"/>
      <c r="H1048415" s="26"/>
      <c r="I1048415" s="27"/>
      <c r="J1048415" s="26"/>
      <c r="K1048415" s="26"/>
      <c r="L1048415" s="4"/>
      <c r="M1048415" s="4"/>
      <c r="N1048415" s="26"/>
    </row>
    <row r="1048416" customFormat="1" spans="2:14">
      <c r="B1048416" s="26"/>
      <c r="C1048416" s="26"/>
      <c r="D1048416" s="4"/>
      <c r="E1048416" s="26"/>
      <c r="F1048416" s="26"/>
      <c r="G1048416" s="26"/>
      <c r="H1048416" s="26"/>
      <c r="I1048416" s="27"/>
      <c r="J1048416" s="26"/>
      <c r="K1048416" s="26"/>
      <c r="L1048416" s="4"/>
      <c r="M1048416" s="4"/>
      <c r="N1048416" s="26"/>
    </row>
    <row r="1048417" customFormat="1" spans="2:14">
      <c r="B1048417" s="26"/>
      <c r="C1048417" s="26"/>
      <c r="D1048417" s="4"/>
      <c r="E1048417" s="26"/>
      <c r="F1048417" s="26"/>
      <c r="G1048417" s="26"/>
      <c r="H1048417" s="26"/>
      <c r="I1048417" s="27"/>
      <c r="J1048417" s="26"/>
      <c r="K1048417" s="26"/>
      <c r="L1048417" s="4"/>
      <c r="M1048417" s="4"/>
      <c r="N1048417" s="26"/>
    </row>
    <row r="1048418" customFormat="1" spans="2:14">
      <c r="B1048418" s="26"/>
      <c r="C1048418" s="26"/>
      <c r="D1048418" s="4"/>
      <c r="E1048418" s="26"/>
      <c r="F1048418" s="26"/>
      <c r="G1048418" s="26"/>
      <c r="H1048418" s="26"/>
      <c r="I1048418" s="27"/>
      <c r="J1048418" s="26"/>
      <c r="K1048418" s="26"/>
      <c r="L1048418" s="4"/>
      <c r="M1048418" s="4"/>
      <c r="N1048418" s="26"/>
    </row>
    <row r="1048419" customFormat="1" spans="2:14">
      <c r="B1048419" s="26"/>
      <c r="C1048419" s="26"/>
      <c r="D1048419" s="4"/>
      <c r="E1048419" s="26"/>
      <c r="F1048419" s="26"/>
      <c r="G1048419" s="26"/>
      <c r="H1048419" s="26"/>
      <c r="I1048419" s="27"/>
      <c r="J1048419" s="26"/>
      <c r="K1048419" s="26"/>
      <c r="L1048419" s="4"/>
      <c r="M1048419" s="4"/>
      <c r="N1048419" s="26"/>
    </row>
    <row r="1048420" customFormat="1" spans="2:14">
      <c r="B1048420" s="26"/>
      <c r="C1048420" s="26"/>
      <c r="D1048420" s="4"/>
      <c r="E1048420" s="26"/>
      <c r="F1048420" s="26"/>
      <c r="G1048420" s="26"/>
      <c r="H1048420" s="26"/>
      <c r="I1048420" s="27"/>
      <c r="J1048420" s="26"/>
      <c r="K1048420" s="26"/>
      <c r="L1048420" s="4"/>
      <c r="M1048420" s="4"/>
      <c r="N1048420" s="26"/>
    </row>
    <row r="1048421" customFormat="1" spans="2:14">
      <c r="B1048421" s="26"/>
      <c r="C1048421" s="26"/>
      <c r="D1048421" s="4"/>
      <c r="E1048421" s="26"/>
      <c r="F1048421" s="26"/>
      <c r="G1048421" s="26"/>
      <c r="H1048421" s="26"/>
      <c r="I1048421" s="27"/>
      <c r="J1048421" s="26"/>
      <c r="K1048421" s="26"/>
      <c r="L1048421" s="4"/>
      <c r="M1048421" s="4"/>
      <c r="N1048421" s="26"/>
    </row>
    <row r="1048422" customFormat="1" spans="2:14">
      <c r="B1048422" s="26"/>
      <c r="C1048422" s="26"/>
      <c r="D1048422" s="4"/>
      <c r="E1048422" s="26"/>
      <c r="F1048422" s="26"/>
      <c r="G1048422" s="26"/>
      <c r="H1048422" s="26"/>
      <c r="I1048422" s="27"/>
      <c r="J1048422" s="26"/>
      <c r="K1048422" s="26"/>
      <c r="L1048422" s="4"/>
      <c r="M1048422" s="4"/>
      <c r="N1048422" s="26"/>
    </row>
    <row r="1048423" customFormat="1" spans="2:14">
      <c r="B1048423" s="26"/>
      <c r="C1048423" s="26"/>
      <c r="D1048423" s="4"/>
      <c r="E1048423" s="26"/>
      <c r="F1048423" s="26"/>
      <c r="G1048423" s="26"/>
      <c r="H1048423" s="26"/>
      <c r="I1048423" s="27"/>
      <c r="J1048423" s="26"/>
      <c r="K1048423" s="26"/>
      <c r="L1048423" s="4"/>
      <c r="M1048423" s="4"/>
      <c r="N1048423" s="26"/>
    </row>
    <row r="1048424" customFormat="1" spans="2:14">
      <c r="B1048424" s="26"/>
      <c r="C1048424" s="26"/>
      <c r="D1048424" s="4"/>
      <c r="E1048424" s="26"/>
      <c r="F1048424" s="26"/>
      <c r="G1048424" s="26"/>
      <c r="H1048424" s="26"/>
      <c r="I1048424" s="27"/>
      <c r="J1048424" s="26"/>
      <c r="K1048424" s="26"/>
      <c r="L1048424" s="4"/>
      <c r="M1048424" s="4"/>
      <c r="N1048424" s="26"/>
    </row>
    <row r="1048425" customFormat="1" spans="2:14">
      <c r="B1048425" s="26"/>
      <c r="C1048425" s="26"/>
      <c r="D1048425" s="4"/>
      <c r="E1048425" s="26"/>
      <c r="F1048425" s="26"/>
      <c r="G1048425" s="26"/>
      <c r="H1048425" s="26"/>
      <c r="I1048425" s="27"/>
      <c r="J1048425" s="26"/>
      <c r="K1048425" s="26"/>
      <c r="L1048425" s="4"/>
      <c r="M1048425" s="4"/>
      <c r="N1048425" s="26"/>
    </row>
    <row r="1048426" customFormat="1" spans="2:14">
      <c r="B1048426" s="26"/>
      <c r="C1048426" s="26"/>
      <c r="D1048426" s="4"/>
      <c r="E1048426" s="26"/>
      <c r="F1048426" s="26"/>
      <c r="G1048426" s="26"/>
      <c r="H1048426" s="26"/>
      <c r="I1048426" s="27"/>
      <c r="J1048426" s="26"/>
      <c r="K1048426" s="26"/>
      <c r="L1048426" s="4"/>
      <c r="M1048426" s="4"/>
      <c r="N1048426" s="26"/>
    </row>
  </sheetData>
  <autoFilter xmlns:etc="http://www.wps.cn/officeDocument/2017/etCustomData" ref="A1:P4851" etc:filterBottomFollowUsedRange="0">
    <extLst/>
  </autoFilter>
  <dataValidations count="2">
    <dataValidation allowBlank="1" showInputMessage="1" showErrorMessage="1" sqref="C227 C276 C383 C443 C466 C523 C603 C726 C728 C876:C877"/>
    <dataValidation type="list" allowBlank="1" errorTitle="地区" sqref="N2:N2080">
      <formula1>江门,成都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A1B9A"/>
  </sheetPr>
  <dimension ref="A1:F72"/>
  <sheetViews>
    <sheetView workbookViewId="0">
      <pane ySplit="1" topLeftCell="A2" activePane="bottomLeft" state="frozen"/>
      <selection/>
      <selection pane="bottomLeft" activeCell="F1" sqref="F$1:F$1048576"/>
    </sheetView>
  </sheetViews>
  <sheetFormatPr defaultColWidth="9" defaultRowHeight="16.8" outlineLevelCol="5"/>
  <cols>
    <col min="1" max="1" width="6" customWidth="1"/>
    <col min="2" max="2" width="12" customWidth="1"/>
    <col min="3" max="3" width="18" customWidth="1"/>
    <col min="4" max="4" width="10" customWidth="1"/>
    <col min="5" max="5" width="14" customWidth="1"/>
    <col min="6" max="6" width="30" customWidth="1"/>
  </cols>
  <sheetData>
    <row r="1" spans="1:6">
      <c r="A1" s="6" t="s">
        <v>87</v>
      </c>
      <c r="B1" s="6" t="s">
        <v>3264</v>
      </c>
      <c r="C1" s="6" t="s">
        <v>3265</v>
      </c>
      <c r="D1" s="6" t="s">
        <v>3266</v>
      </c>
      <c r="E1" s="6" t="s">
        <v>3267</v>
      </c>
      <c r="F1" s="6" t="s">
        <v>97</v>
      </c>
    </row>
    <row r="2" spans="1:6">
      <c r="A2" s="10">
        <f t="shared" ref="A2:A51" si="0">IF(B2&lt;&gt;"",ROW()-1,"")</f>
        <v>1</v>
      </c>
      <c r="B2" s="121" t="s">
        <v>3268</v>
      </c>
      <c r="C2" s="24" t="s">
        <v>1056</v>
      </c>
      <c r="D2" s="24" t="s">
        <v>3269</v>
      </c>
      <c r="E2" s="24">
        <v>18616121191</v>
      </c>
      <c r="F2" s="23" t="s">
        <v>30</v>
      </c>
    </row>
    <row r="3" spans="1:6">
      <c r="A3" s="14">
        <f t="shared" si="0"/>
        <v>2</v>
      </c>
      <c r="B3" s="121" t="s">
        <v>3270</v>
      </c>
      <c r="C3" s="24" t="s">
        <v>2181</v>
      </c>
      <c r="D3" s="24" t="s">
        <v>3271</v>
      </c>
      <c r="E3" s="24">
        <v>18525855059</v>
      </c>
      <c r="F3" s="23" t="s">
        <v>30</v>
      </c>
    </row>
    <row r="4" spans="1:6">
      <c r="A4" s="10">
        <f t="shared" si="0"/>
        <v>3</v>
      </c>
      <c r="B4" s="121" t="s">
        <v>3272</v>
      </c>
      <c r="C4" s="24" t="s">
        <v>2174</v>
      </c>
      <c r="D4" s="24" t="s">
        <v>3273</v>
      </c>
      <c r="E4" s="24">
        <v>19082465687</v>
      </c>
      <c r="F4" s="23" t="s">
        <v>30</v>
      </c>
    </row>
    <row r="5" spans="1:6">
      <c r="A5" s="14">
        <f t="shared" si="0"/>
        <v>4</v>
      </c>
      <c r="B5" s="121" t="s">
        <v>3274</v>
      </c>
      <c r="C5" s="24" t="s">
        <v>233</v>
      </c>
      <c r="D5" s="24" t="s">
        <v>3275</v>
      </c>
      <c r="E5" s="24">
        <v>13420092107</v>
      </c>
      <c r="F5" s="23" t="s">
        <v>30</v>
      </c>
    </row>
    <row r="6" spans="1:6">
      <c r="A6" s="10">
        <f t="shared" si="0"/>
        <v>5</v>
      </c>
      <c r="B6" s="121" t="s">
        <v>3276</v>
      </c>
      <c r="C6" s="24" t="s">
        <v>2179</v>
      </c>
      <c r="D6" s="24" t="s">
        <v>3277</v>
      </c>
      <c r="E6" s="24">
        <v>19382251875</v>
      </c>
      <c r="F6" s="23" t="s">
        <v>30</v>
      </c>
    </row>
    <row r="7" spans="1:6">
      <c r="A7" s="14">
        <f t="shared" si="0"/>
        <v>6</v>
      </c>
      <c r="B7" s="121" t="s">
        <v>3278</v>
      </c>
      <c r="C7" s="24" t="s">
        <v>307</v>
      </c>
      <c r="D7" s="24" t="s">
        <v>3279</v>
      </c>
      <c r="E7" s="24">
        <v>13544889449</v>
      </c>
      <c r="F7" s="23" t="s">
        <v>30</v>
      </c>
    </row>
    <row r="8" spans="1:6">
      <c r="A8" s="10">
        <f t="shared" si="0"/>
        <v>7</v>
      </c>
      <c r="B8" s="121" t="s">
        <v>3280</v>
      </c>
      <c r="C8" s="24" t="s">
        <v>1511</v>
      </c>
      <c r="D8" s="24" t="s">
        <v>3281</v>
      </c>
      <c r="E8" s="24">
        <v>13241499001</v>
      </c>
      <c r="F8" s="23" t="s">
        <v>30</v>
      </c>
    </row>
    <row r="9" spans="1:6">
      <c r="A9" s="14">
        <f t="shared" si="0"/>
        <v>8</v>
      </c>
      <c r="B9" s="121" t="s">
        <v>3282</v>
      </c>
      <c r="C9" s="24" t="s">
        <v>129</v>
      </c>
      <c r="D9" s="24" t="s">
        <v>3283</v>
      </c>
      <c r="E9" s="24">
        <v>18695918302</v>
      </c>
      <c r="F9" s="23" t="s">
        <v>30</v>
      </c>
    </row>
    <row r="10" spans="1:6">
      <c r="A10" s="10">
        <f t="shared" si="0"/>
        <v>9</v>
      </c>
      <c r="B10" s="121" t="s">
        <v>3284</v>
      </c>
      <c r="C10" s="24" t="s">
        <v>2232</v>
      </c>
      <c r="D10" s="24" t="s">
        <v>3285</v>
      </c>
      <c r="E10" s="24">
        <v>17608120464</v>
      </c>
      <c r="F10" s="23" t="s">
        <v>30</v>
      </c>
    </row>
    <row r="11" spans="1:6">
      <c r="A11" s="14">
        <f t="shared" si="0"/>
        <v>10</v>
      </c>
      <c r="B11" s="121" t="s">
        <v>3286</v>
      </c>
      <c r="C11" s="24" t="s">
        <v>2692</v>
      </c>
      <c r="D11" s="24" t="s">
        <v>3287</v>
      </c>
      <c r="E11" s="24">
        <v>13515273937</v>
      </c>
      <c r="F11" s="23" t="s">
        <v>30</v>
      </c>
    </row>
    <row r="12" spans="1:6">
      <c r="A12" s="10">
        <f t="shared" si="0"/>
        <v>11</v>
      </c>
      <c r="B12" s="121" t="s">
        <v>3288</v>
      </c>
      <c r="C12" s="24" t="s">
        <v>2250</v>
      </c>
      <c r="D12" s="24" t="s">
        <v>3289</v>
      </c>
      <c r="E12" s="24">
        <v>18615750377</v>
      </c>
      <c r="F12" s="23" t="s">
        <v>30</v>
      </c>
    </row>
    <row r="13" spans="1:6">
      <c r="A13" s="14">
        <f t="shared" si="0"/>
        <v>12</v>
      </c>
      <c r="B13" s="121" t="s">
        <v>3290</v>
      </c>
      <c r="C13" s="24" t="s">
        <v>2166</v>
      </c>
      <c r="D13" s="24" t="s">
        <v>3291</v>
      </c>
      <c r="E13" s="24">
        <v>17738869707</v>
      </c>
      <c r="F13" s="23" t="s">
        <v>30</v>
      </c>
    </row>
    <row r="14" spans="1:6">
      <c r="A14" s="10">
        <f t="shared" si="0"/>
        <v>13</v>
      </c>
      <c r="B14" s="121" t="s">
        <v>3292</v>
      </c>
      <c r="C14" s="24" t="s">
        <v>2156</v>
      </c>
      <c r="D14" s="24" t="s">
        <v>3293</v>
      </c>
      <c r="E14" s="24">
        <v>13348892152</v>
      </c>
      <c r="F14" s="23" t="s">
        <v>30</v>
      </c>
    </row>
    <row r="15" spans="1:6">
      <c r="A15" s="14">
        <f t="shared" si="0"/>
        <v>14</v>
      </c>
      <c r="B15" s="121" t="s">
        <v>3294</v>
      </c>
      <c r="C15" s="24" t="s">
        <v>2349</v>
      </c>
      <c r="D15" s="24" t="s">
        <v>3295</v>
      </c>
      <c r="E15" s="24">
        <v>13798303339</v>
      </c>
      <c r="F15" s="23" t="s">
        <v>30</v>
      </c>
    </row>
    <row r="16" spans="1:6">
      <c r="A16" s="10">
        <f t="shared" si="0"/>
        <v>15</v>
      </c>
      <c r="B16" s="121" t="s">
        <v>3296</v>
      </c>
      <c r="C16" s="24" t="s">
        <v>2221</v>
      </c>
      <c r="D16" s="24" t="s">
        <v>3297</v>
      </c>
      <c r="E16" s="24">
        <v>13544010970</v>
      </c>
      <c r="F16" s="23" t="s">
        <v>30</v>
      </c>
    </row>
    <row r="17" spans="1:6">
      <c r="A17" s="14">
        <f t="shared" si="0"/>
        <v>16</v>
      </c>
      <c r="B17" s="121" t="s">
        <v>3298</v>
      </c>
      <c r="C17" s="24" t="s">
        <v>2727</v>
      </c>
      <c r="D17" s="24" t="s">
        <v>3299</v>
      </c>
      <c r="E17" s="24">
        <v>13764907541</v>
      </c>
      <c r="F17" s="23" t="s">
        <v>30</v>
      </c>
    </row>
    <row r="18" spans="1:6">
      <c r="A18" s="10">
        <f t="shared" si="0"/>
        <v>17</v>
      </c>
      <c r="B18" s="121" t="s">
        <v>3300</v>
      </c>
      <c r="C18" s="24" t="s">
        <v>2195</v>
      </c>
      <c r="D18" s="24" t="s">
        <v>3301</v>
      </c>
      <c r="E18" s="24">
        <v>15108292685</v>
      </c>
      <c r="F18" s="23" t="s">
        <v>30</v>
      </c>
    </row>
    <row r="19" spans="1:6">
      <c r="A19" s="14">
        <f t="shared" si="0"/>
        <v>18</v>
      </c>
      <c r="B19" s="121" t="s">
        <v>3302</v>
      </c>
      <c r="C19" s="24" t="s">
        <v>2164</v>
      </c>
      <c r="D19" s="24" t="s">
        <v>3303</v>
      </c>
      <c r="E19" s="24">
        <v>13032852002</v>
      </c>
      <c r="F19" s="23" t="s">
        <v>30</v>
      </c>
    </row>
    <row r="20" spans="1:6">
      <c r="A20" s="10">
        <f t="shared" si="0"/>
        <v>19</v>
      </c>
      <c r="B20" s="121" t="s">
        <v>3304</v>
      </c>
      <c r="C20" s="24" t="s">
        <v>2153</v>
      </c>
      <c r="D20" s="24" t="s">
        <v>3305</v>
      </c>
      <c r="E20" s="24">
        <v>17713628758</v>
      </c>
      <c r="F20" s="23" t="s">
        <v>30</v>
      </c>
    </row>
    <row r="21" spans="1:6">
      <c r="A21" s="14">
        <f t="shared" si="0"/>
        <v>20</v>
      </c>
      <c r="B21" s="121" t="s">
        <v>3306</v>
      </c>
      <c r="C21" s="24" t="s">
        <v>3307</v>
      </c>
      <c r="D21" s="24" t="s">
        <v>3308</v>
      </c>
      <c r="E21" s="24">
        <v>19141058163</v>
      </c>
      <c r="F21" s="23" t="s">
        <v>30</v>
      </c>
    </row>
    <row r="22" spans="1:6">
      <c r="A22" s="10">
        <f t="shared" si="0"/>
        <v>21</v>
      </c>
      <c r="B22" s="121" t="s">
        <v>3309</v>
      </c>
      <c r="C22" s="24" t="s">
        <v>110</v>
      </c>
      <c r="D22" s="24" t="s">
        <v>3310</v>
      </c>
      <c r="E22" s="24">
        <v>18899859156</v>
      </c>
      <c r="F22" s="23" t="s">
        <v>30</v>
      </c>
    </row>
    <row r="23" spans="1:6">
      <c r="A23" s="14">
        <f t="shared" si="0"/>
        <v>22</v>
      </c>
      <c r="B23" s="121" t="s">
        <v>3311</v>
      </c>
      <c r="C23" s="24" t="s">
        <v>2945</v>
      </c>
      <c r="D23" s="24" t="s">
        <v>3312</v>
      </c>
      <c r="E23" s="24">
        <v>15290447242</v>
      </c>
      <c r="F23" s="23" t="s">
        <v>30</v>
      </c>
    </row>
    <row r="24" spans="1:6">
      <c r="A24" s="10">
        <f t="shared" si="0"/>
        <v>23</v>
      </c>
      <c r="B24" s="121" t="s">
        <v>3313</v>
      </c>
      <c r="C24" s="24" t="s">
        <v>3314</v>
      </c>
      <c r="D24" s="24" t="s">
        <v>3315</v>
      </c>
      <c r="E24" s="24">
        <v>13827272725</v>
      </c>
      <c r="F24" s="23" t="s">
        <v>30</v>
      </c>
    </row>
    <row r="25" spans="1:6">
      <c r="A25" s="14">
        <f t="shared" si="0"/>
        <v>24</v>
      </c>
      <c r="B25" s="121" t="s">
        <v>3316</v>
      </c>
      <c r="C25" s="25" t="s">
        <v>1166</v>
      </c>
      <c r="D25" s="25" t="s">
        <v>3317</v>
      </c>
      <c r="E25" s="25">
        <v>13713714770</v>
      </c>
      <c r="F25" s="23" t="s">
        <v>29</v>
      </c>
    </row>
    <row r="26" spans="1:6">
      <c r="A26" s="10">
        <f t="shared" si="0"/>
        <v>25</v>
      </c>
      <c r="B26" s="121" t="s">
        <v>3318</v>
      </c>
      <c r="C26" s="25" t="s">
        <v>148</v>
      </c>
      <c r="D26" s="25" t="s">
        <v>3319</v>
      </c>
      <c r="E26" s="25">
        <v>13467479813</v>
      </c>
      <c r="F26" s="23" t="s">
        <v>29</v>
      </c>
    </row>
    <row r="27" spans="1:6">
      <c r="A27" s="14">
        <f t="shared" si="0"/>
        <v>26</v>
      </c>
      <c r="B27" s="121" t="s">
        <v>3320</v>
      </c>
      <c r="C27" s="25" t="s">
        <v>307</v>
      </c>
      <c r="D27" s="25" t="s">
        <v>3279</v>
      </c>
      <c r="E27" s="25">
        <v>13544889449</v>
      </c>
      <c r="F27" s="23" t="s">
        <v>29</v>
      </c>
    </row>
    <row r="28" spans="1:6">
      <c r="A28" s="10">
        <f t="shared" si="0"/>
        <v>27</v>
      </c>
      <c r="B28" s="121" t="s">
        <v>3321</v>
      </c>
      <c r="C28" s="25" t="s">
        <v>179</v>
      </c>
      <c r="D28" s="25" t="s">
        <v>3322</v>
      </c>
      <c r="E28" s="25">
        <v>13542110898</v>
      </c>
      <c r="F28" s="23" t="s">
        <v>29</v>
      </c>
    </row>
    <row r="29" spans="1:6">
      <c r="A29" s="14">
        <f t="shared" si="0"/>
        <v>28</v>
      </c>
      <c r="B29" s="121" t="s">
        <v>3323</v>
      </c>
      <c r="C29" s="25" t="s">
        <v>530</v>
      </c>
      <c r="D29" s="25" t="s">
        <v>3324</v>
      </c>
      <c r="E29" s="25">
        <v>15019413939</v>
      </c>
      <c r="F29" s="23" t="s">
        <v>29</v>
      </c>
    </row>
    <row r="30" spans="1:6">
      <c r="A30" s="10">
        <f t="shared" si="0"/>
        <v>29</v>
      </c>
      <c r="B30" s="121" t="s">
        <v>3325</v>
      </c>
      <c r="C30" s="25" t="s">
        <v>129</v>
      </c>
      <c r="D30" s="25" t="s">
        <v>3326</v>
      </c>
      <c r="E30" s="25">
        <v>13803892375</v>
      </c>
      <c r="F30" s="23" t="s">
        <v>29</v>
      </c>
    </row>
    <row r="31" spans="1:6">
      <c r="A31" s="14">
        <f t="shared" si="0"/>
        <v>30</v>
      </c>
      <c r="B31" s="121" t="s">
        <v>3327</v>
      </c>
      <c r="C31" s="25" t="s">
        <v>124</v>
      </c>
      <c r="D31" s="25" t="s">
        <v>3315</v>
      </c>
      <c r="E31" s="25">
        <v>13827272725</v>
      </c>
      <c r="F31" s="23" t="s">
        <v>29</v>
      </c>
    </row>
    <row r="32" spans="1:6">
      <c r="A32" s="10">
        <f t="shared" si="0"/>
        <v>31</v>
      </c>
      <c r="B32" s="121" t="s">
        <v>3328</v>
      </c>
      <c r="C32" s="25" t="s">
        <v>132</v>
      </c>
      <c r="D32" s="25" t="s">
        <v>2971</v>
      </c>
      <c r="E32" s="25">
        <v>18576820198</v>
      </c>
      <c r="F32" s="23" t="s">
        <v>29</v>
      </c>
    </row>
    <row r="33" spans="1:6">
      <c r="A33" s="14">
        <f t="shared" si="0"/>
        <v>32</v>
      </c>
      <c r="B33" s="121" t="s">
        <v>3329</v>
      </c>
      <c r="C33" s="25" t="s">
        <v>173</v>
      </c>
      <c r="D33" s="25" t="s">
        <v>3330</v>
      </c>
      <c r="E33" s="25">
        <v>13528837808</v>
      </c>
      <c r="F33" s="23" t="s">
        <v>29</v>
      </c>
    </row>
    <row r="34" spans="1:6">
      <c r="A34" s="10">
        <f t="shared" si="0"/>
        <v>33</v>
      </c>
      <c r="B34" s="121" t="s">
        <v>3331</v>
      </c>
      <c r="C34" s="25" t="s">
        <v>744</v>
      </c>
      <c r="D34" s="25" t="s">
        <v>3332</v>
      </c>
      <c r="E34" s="25">
        <v>13714590522</v>
      </c>
      <c r="F34" s="23" t="s">
        <v>29</v>
      </c>
    </row>
    <row r="35" spans="1:6">
      <c r="A35" s="14">
        <f t="shared" si="0"/>
        <v>34</v>
      </c>
      <c r="B35" s="121" t="s">
        <v>3333</v>
      </c>
      <c r="C35" s="25" t="s">
        <v>176</v>
      </c>
      <c r="D35" s="25" t="s">
        <v>3334</v>
      </c>
      <c r="E35" s="25">
        <v>15599096490</v>
      </c>
      <c r="F35" s="23" t="s">
        <v>29</v>
      </c>
    </row>
    <row r="36" spans="1:6">
      <c r="A36" s="10">
        <f t="shared" si="0"/>
        <v>35</v>
      </c>
      <c r="B36" s="121" t="s">
        <v>3335</v>
      </c>
      <c r="C36" s="25" t="s">
        <v>426</v>
      </c>
      <c r="D36" s="25" t="s">
        <v>3336</v>
      </c>
      <c r="E36" s="25">
        <v>16601747692</v>
      </c>
      <c r="F36" s="23" t="s">
        <v>29</v>
      </c>
    </row>
    <row r="37" spans="1:6">
      <c r="A37" s="14">
        <f t="shared" si="0"/>
        <v>36</v>
      </c>
      <c r="B37" s="121" t="s">
        <v>3337</v>
      </c>
      <c r="C37" s="25" t="s">
        <v>564</v>
      </c>
      <c r="D37" s="25" t="s">
        <v>3338</v>
      </c>
      <c r="E37" s="25">
        <v>13771006080</v>
      </c>
      <c r="F37" s="23" t="s">
        <v>29</v>
      </c>
    </row>
    <row r="38" spans="1:6">
      <c r="A38" s="10">
        <f t="shared" si="0"/>
        <v>37</v>
      </c>
      <c r="B38" s="121" t="s">
        <v>3339</v>
      </c>
      <c r="C38" s="25" t="s">
        <v>509</v>
      </c>
      <c r="D38" s="25" t="s">
        <v>2951</v>
      </c>
      <c r="E38" s="25">
        <v>15016784883</v>
      </c>
      <c r="F38" s="23" t="s">
        <v>29</v>
      </c>
    </row>
    <row r="39" spans="1:6">
      <c r="A39" s="14">
        <f t="shared" si="0"/>
        <v>38</v>
      </c>
      <c r="B39" s="121" t="s">
        <v>3340</v>
      </c>
      <c r="C39" s="25" t="s">
        <v>103</v>
      </c>
      <c r="D39" s="25" t="s">
        <v>3341</v>
      </c>
      <c r="E39" s="25">
        <v>16620884452</v>
      </c>
      <c r="F39" s="23" t="s">
        <v>29</v>
      </c>
    </row>
    <row r="40" spans="1:6">
      <c r="A40" s="10">
        <f t="shared" si="0"/>
        <v>39</v>
      </c>
      <c r="B40" s="121" t="s">
        <v>3342</v>
      </c>
      <c r="C40" s="25" t="s">
        <v>1542</v>
      </c>
      <c r="D40" s="25" t="s">
        <v>3343</v>
      </c>
      <c r="E40" s="25">
        <v>15013511518</v>
      </c>
      <c r="F40" s="23" t="s">
        <v>29</v>
      </c>
    </row>
    <row r="41" spans="1:6">
      <c r="A41" s="14">
        <f t="shared" si="0"/>
        <v>40</v>
      </c>
      <c r="B41" s="121" t="s">
        <v>3344</v>
      </c>
      <c r="C41" s="25" t="s">
        <v>233</v>
      </c>
      <c r="D41" s="25" t="s">
        <v>3345</v>
      </c>
      <c r="E41" s="25">
        <v>18028369092</v>
      </c>
      <c r="F41" s="23" t="s">
        <v>29</v>
      </c>
    </row>
    <row r="42" spans="1:6">
      <c r="A42" s="10">
        <f t="shared" si="0"/>
        <v>41</v>
      </c>
      <c r="B42" s="121" t="s">
        <v>3346</v>
      </c>
      <c r="C42" s="25" t="s">
        <v>117</v>
      </c>
      <c r="D42" s="25" t="s">
        <v>1973</v>
      </c>
      <c r="E42" s="25">
        <v>19879922679</v>
      </c>
      <c r="F42" s="23" t="s">
        <v>29</v>
      </c>
    </row>
    <row r="43" spans="1:6">
      <c r="A43" s="14">
        <f t="shared" si="0"/>
        <v>42</v>
      </c>
      <c r="B43" s="121" t="s">
        <v>3347</v>
      </c>
      <c r="C43" s="25" t="s">
        <v>3348</v>
      </c>
      <c r="D43" s="25" t="s">
        <v>3349</v>
      </c>
      <c r="E43" s="25">
        <v>18118107966</v>
      </c>
      <c r="F43" s="23" t="s">
        <v>29</v>
      </c>
    </row>
    <row r="44" spans="1:6">
      <c r="A44" s="10">
        <f t="shared" si="0"/>
        <v>43</v>
      </c>
      <c r="B44" s="121" t="s">
        <v>3350</v>
      </c>
      <c r="C44" s="25" t="s">
        <v>690</v>
      </c>
      <c r="D44" s="25" t="s">
        <v>3351</v>
      </c>
      <c r="E44" s="25">
        <v>13538546998</v>
      </c>
      <c r="F44" s="23" t="s">
        <v>29</v>
      </c>
    </row>
    <row r="45" spans="1:6">
      <c r="A45" s="14">
        <f t="shared" si="0"/>
        <v>44</v>
      </c>
      <c r="B45" s="121" t="s">
        <v>3352</v>
      </c>
      <c r="C45" s="25" t="s">
        <v>332</v>
      </c>
      <c r="D45" s="25" t="s">
        <v>3353</v>
      </c>
      <c r="E45" s="25">
        <v>13822465282</v>
      </c>
      <c r="F45" s="23" t="s">
        <v>29</v>
      </c>
    </row>
    <row r="46" spans="1:6">
      <c r="A46" s="10">
        <f t="shared" si="0"/>
        <v>45</v>
      </c>
      <c r="B46" s="121" t="s">
        <v>3354</v>
      </c>
      <c r="C46" s="25" t="s">
        <v>110</v>
      </c>
      <c r="D46" s="25" t="s">
        <v>3310</v>
      </c>
      <c r="E46" s="25">
        <v>18899859156</v>
      </c>
      <c r="F46" s="23" t="s">
        <v>29</v>
      </c>
    </row>
    <row r="47" spans="1:6">
      <c r="A47" s="14">
        <f t="shared" si="0"/>
        <v>46</v>
      </c>
      <c r="B47" s="121" t="s">
        <v>3355</v>
      </c>
      <c r="C47" s="25" t="s">
        <v>3356</v>
      </c>
      <c r="D47" s="25" t="s">
        <v>3357</v>
      </c>
      <c r="E47" s="25">
        <v>15710668728</v>
      </c>
      <c r="F47" s="23" t="s">
        <v>29</v>
      </c>
    </row>
    <row r="48" spans="1:6">
      <c r="A48" s="10">
        <f t="shared" si="0"/>
        <v>47</v>
      </c>
      <c r="B48" s="121" t="s">
        <v>3358</v>
      </c>
      <c r="C48" s="25" t="s">
        <v>1426</v>
      </c>
      <c r="D48" s="25" t="s">
        <v>3359</v>
      </c>
      <c r="E48" s="25">
        <v>13381344424</v>
      </c>
      <c r="F48" s="23" t="s">
        <v>29</v>
      </c>
    </row>
    <row r="49" spans="1:6">
      <c r="A49" s="14">
        <f t="shared" si="0"/>
        <v>48</v>
      </c>
      <c r="B49" s="121" t="s">
        <v>3360</v>
      </c>
      <c r="C49" s="25" t="s">
        <v>135</v>
      </c>
      <c r="D49" s="25" t="s">
        <v>3361</v>
      </c>
      <c r="E49" s="25">
        <v>13712888752</v>
      </c>
      <c r="F49" s="23" t="s">
        <v>29</v>
      </c>
    </row>
    <row r="50" spans="1:6">
      <c r="A50" s="10">
        <f t="shared" si="0"/>
        <v>49</v>
      </c>
      <c r="B50" s="121" t="s">
        <v>3362</v>
      </c>
      <c r="C50" s="25" t="s">
        <v>1006</v>
      </c>
      <c r="D50" s="25" t="s">
        <v>3363</v>
      </c>
      <c r="E50" s="25">
        <v>17625656664</v>
      </c>
      <c r="F50" s="23" t="s">
        <v>29</v>
      </c>
    </row>
    <row r="51" spans="1:6">
      <c r="A51" s="14">
        <f t="shared" si="0"/>
        <v>50</v>
      </c>
      <c r="B51" s="121" t="s">
        <v>3364</v>
      </c>
      <c r="C51" s="25" t="s">
        <v>954</v>
      </c>
      <c r="D51" s="25" t="s">
        <v>3365</v>
      </c>
      <c r="E51" s="25">
        <v>17841564693</v>
      </c>
      <c r="F51" s="23" t="s">
        <v>29</v>
      </c>
    </row>
    <row r="52" spans="1:6">
      <c r="B52" s="121" t="s">
        <v>3366</v>
      </c>
      <c r="C52" s="25" t="s">
        <v>578</v>
      </c>
      <c r="D52" s="25" t="s">
        <v>3367</v>
      </c>
      <c r="E52" s="25">
        <v>18675546135</v>
      </c>
      <c r="F52" s="23" t="s">
        <v>29</v>
      </c>
    </row>
    <row r="53" spans="1:6">
      <c r="B53" s="121" t="s">
        <v>3368</v>
      </c>
      <c r="C53" s="25" t="s">
        <v>796</v>
      </c>
      <c r="D53" s="25" t="s">
        <v>3369</v>
      </c>
      <c r="E53" s="25">
        <v>18688695239</v>
      </c>
      <c r="F53" s="23" t="s">
        <v>29</v>
      </c>
    </row>
    <row r="54" spans="1:6">
      <c r="B54" s="121" t="s">
        <v>3370</v>
      </c>
      <c r="C54" s="25" t="s">
        <v>733</v>
      </c>
      <c r="D54" s="25" t="s">
        <v>3371</v>
      </c>
      <c r="E54" s="25">
        <v>13510450317</v>
      </c>
      <c r="F54" s="23" t="s">
        <v>29</v>
      </c>
    </row>
    <row r="55" spans="1:6">
      <c r="B55" s="121" t="s">
        <v>3372</v>
      </c>
      <c r="C55" s="25" t="s">
        <v>1136</v>
      </c>
      <c r="D55" s="25" t="s">
        <v>3373</v>
      </c>
      <c r="E55" s="25">
        <v>13649862577</v>
      </c>
      <c r="F55" s="23" t="s">
        <v>29</v>
      </c>
    </row>
    <row r="56" spans="1:6">
      <c r="B56" s="121" t="s">
        <v>3374</v>
      </c>
      <c r="C56" s="25" t="s">
        <v>246</v>
      </c>
      <c r="D56" s="25" t="s">
        <v>3375</v>
      </c>
      <c r="E56" s="25">
        <v>13014999331</v>
      </c>
      <c r="F56" s="23" t="s">
        <v>29</v>
      </c>
    </row>
    <row r="57" spans="1:6">
      <c r="B57" s="121" t="s">
        <v>3376</v>
      </c>
      <c r="C57" s="25" t="s">
        <v>468</v>
      </c>
      <c r="D57" s="25" t="s">
        <v>3377</v>
      </c>
      <c r="E57" s="25">
        <v>13828817243</v>
      </c>
      <c r="F57" s="23" t="s">
        <v>29</v>
      </c>
    </row>
    <row r="58" spans="1:6">
      <c r="B58" s="121" t="s">
        <v>3378</v>
      </c>
      <c r="C58" s="25" t="s">
        <v>3379</v>
      </c>
      <c r="D58" s="25" t="s">
        <v>3380</v>
      </c>
      <c r="E58" s="25">
        <v>15398166656</v>
      </c>
      <c r="F58" s="23" t="s">
        <v>29</v>
      </c>
    </row>
    <row r="59" spans="1:6">
      <c r="B59" s="121" t="s">
        <v>3381</v>
      </c>
      <c r="C59" s="25" t="s">
        <v>505</v>
      </c>
      <c r="D59" s="25" t="s">
        <v>3382</v>
      </c>
      <c r="E59" s="25">
        <v>13266727239</v>
      </c>
      <c r="F59" s="23" t="s">
        <v>29</v>
      </c>
    </row>
    <row r="60" spans="1:6">
      <c r="B60" s="121" t="s">
        <v>3383</v>
      </c>
      <c r="C60" s="25" t="s">
        <v>631</v>
      </c>
      <c r="D60" s="25" t="s">
        <v>3384</v>
      </c>
      <c r="E60" s="25">
        <v>19850213555</v>
      </c>
      <c r="F60" s="23" t="s">
        <v>29</v>
      </c>
    </row>
    <row r="61" spans="1:6">
      <c r="B61" s="121" t="s">
        <v>3385</v>
      </c>
      <c r="C61" s="25" t="s">
        <v>312</v>
      </c>
      <c r="D61" s="25" t="s">
        <v>3386</v>
      </c>
      <c r="E61" s="25">
        <v>15295195821</v>
      </c>
      <c r="F61" s="23" t="s">
        <v>29</v>
      </c>
    </row>
    <row r="62" spans="1:6">
      <c r="B62" s="121" t="s">
        <v>3387</v>
      </c>
      <c r="C62" s="25" t="s">
        <v>512</v>
      </c>
      <c r="D62" s="25" t="s">
        <v>1220</v>
      </c>
      <c r="E62" s="25">
        <v>17785319564</v>
      </c>
      <c r="F62" s="23" t="s">
        <v>29</v>
      </c>
    </row>
    <row r="63" spans="1:6">
      <c r="B63" s="121" t="s">
        <v>3388</v>
      </c>
      <c r="C63" s="25" t="s">
        <v>810</v>
      </c>
      <c r="D63" s="25" t="s">
        <v>3389</v>
      </c>
      <c r="E63" s="25">
        <v>13070964654</v>
      </c>
      <c r="F63" s="23" t="s">
        <v>29</v>
      </c>
    </row>
    <row r="64" spans="1:6">
      <c r="B64" s="121" t="s">
        <v>3390</v>
      </c>
      <c r="C64" s="25" t="s">
        <v>1334</v>
      </c>
      <c r="D64" s="25" t="s">
        <v>3391</v>
      </c>
      <c r="E64" s="25">
        <v>13730394924</v>
      </c>
      <c r="F64" s="23" t="s">
        <v>29</v>
      </c>
    </row>
    <row r="65" spans="2:6">
      <c r="B65" s="121" t="s">
        <v>3392</v>
      </c>
      <c r="C65" s="25" t="s">
        <v>3393</v>
      </c>
      <c r="D65" s="25"/>
      <c r="E65" s="25"/>
      <c r="F65" s="23" t="s">
        <v>29</v>
      </c>
    </row>
    <row r="66" spans="2:6">
      <c r="B66" s="121" t="s">
        <v>3394</v>
      </c>
      <c r="C66" s="25" t="s">
        <v>785</v>
      </c>
      <c r="D66" s="25" t="s">
        <v>3395</v>
      </c>
      <c r="E66" s="25">
        <v>17666066858</v>
      </c>
      <c r="F66" s="23" t="s">
        <v>29</v>
      </c>
    </row>
    <row r="67" spans="2:6">
      <c r="B67" s="121" t="s">
        <v>3396</v>
      </c>
      <c r="C67" s="25" t="s">
        <v>681</v>
      </c>
      <c r="D67" s="25"/>
      <c r="E67" s="25"/>
      <c r="F67" s="23" t="s">
        <v>29</v>
      </c>
    </row>
    <row r="68" spans="2:6">
      <c r="B68" s="121" t="s">
        <v>3397</v>
      </c>
      <c r="C68" s="25" t="s">
        <v>1513</v>
      </c>
      <c r="D68" s="25" t="s">
        <v>3398</v>
      </c>
      <c r="E68" s="25">
        <v>15617549556</v>
      </c>
      <c r="F68" s="23" t="s">
        <v>29</v>
      </c>
    </row>
    <row r="69" spans="2:6">
      <c r="B69" s="121" t="s">
        <v>3399</v>
      </c>
      <c r="C69" s="25" t="s">
        <v>1562</v>
      </c>
      <c r="D69" s="25"/>
      <c r="E69" s="25"/>
      <c r="F69" s="23" t="s">
        <v>29</v>
      </c>
    </row>
    <row r="70" spans="2:6">
      <c r="B70" s="121" t="s">
        <v>3400</v>
      </c>
      <c r="C70" s="25" t="s">
        <v>1056</v>
      </c>
      <c r="D70" s="25" t="s">
        <v>3401</v>
      </c>
      <c r="E70" s="25">
        <v>15220757274</v>
      </c>
      <c r="F70" s="23" t="s">
        <v>29</v>
      </c>
    </row>
    <row r="71" spans="2:6">
      <c r="B71" s="121" t="s">
        <v>3402</v>
      </c>
      <c r="C71" s="25" t="s">
        <v>1511</v>
      </c>
      <c r="D71" s="25"/>
      <c r="E71" s="25"/>
      <c r="F71" s="23" t="s">
        <v>29</v>
      </c>
    </row>
    <row r="72" spans="2:6">
      <c r="B72" s="121" t="s">
        <v>3403</v>
      </c>
      <c r="C72" s="25" t="s">
        <v>1933</v>
      </c>
      <c r="D72" s="25"/>
      <c r="E72" s="25"/>
      <c r="F72" s="23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32D2D"/>
  </sheetPr>
  <dimension ref="A1:N5001"/>
  <sheetViews>
    <sheetView workbookViewId="0">
      <pane ySplit="1" topLeftCell="A2" activePane="bottomLeft" state="frozen"/>
      <selection/>
      <selection pane="bottomLeft" activeCell="D6" sqref="D6"/>
    </sheetView>
  </sheetViews>
  <sheetFormatPr defaultColWidth="9" defaultRowHeight="16.8"/>
  <cols>
    <col min="1" max="1" width="6" customWidth="1"/>
    <col min="2" max="2" width="19.4423076923077" customWidth="1"/>
    <col min="3" max="3" width="14" customWidth="1"/>
    <col min="4" max="8" width="19.4423076923077" customWidth="1"/>
    <col min="9" max="9" width="10" customWidth="1"/>
    <col min="10" max="11" width="19.4423076923077" customWidth="1"/>
    <col min="12" max="12" width="8" customWidth="1"/>
    <col min="13" max="13" width="20" customWidth="1"/>
    <col min="14" max="14" width="19.4423076923077" customWidth="1"/>
  </cols>
  <sheetData>
    <row r="1" ht="31" spans="1:14">
      <c r="A1" s="6" t="s">
        <v>87</v>
      </c>
      <c r="B1" s="16" t="s">
        <v>89</v>
      </c>
      <c r="C1" s="6" t="s">
        <v>90</v>
      </c>
      <c r="D1" s="16" t="s">
        <v>69</v>
      </c>
      <c r="E1" s="16" t="s">
        <v>77</v>
      </c>
      <c r="F1" s="16" t="s">
        <v>91</v>
      </c>
      <c r="G1" s="16" t="s">
        <v>3404</v>
      </c>
      <c r="H1" s="16" t="s">
        <v>3405</v>
      </c>
      <c r="I1" s="6" t="s">
        <v>3406</v>
      </c>
      <c r="J1" s="6" t="s">
        <v>3407</v>
      </c>
      <c r="K1" s="16" t="s">
        <v>3408</v>
      </c>
      <c r="L1" s="6" t="s">
        <v>3409</v>
      </c>
      <c r="M1" s="6" t="s">
        <v>97</v>
      </c>
      <c r="N1" s="17" t="s">
        <v>98</v>
      </c>
    </row>
    <row r="2" ht="18" spans="1:14">
      <c r="A2" s="10">
        <f t="shared" ref="A2:A65" si="0">IF(B2&lt;&gt;"",ROW()-1,"")</f>
        <v>1</v>
      </c>
      <c r="B2" s="18" t="s">
        <v>3410</v>
      </c>
      <c r="C2" s="120" t="s">
        <v>126</v>
      </c>
      <c r="D2" s="20" t="s">
        <v>42</v>
      </c>
      <c r="E2" s="18" t="s">
        <v>63</v>
      </c>
      <c r="F2" s="18" t="s">
        <v>135</v>
      </c>
      <c r="G2" s="5">
        <v>46078</v>
      </c>
      <c r="H2" s="5">
        <v>46174</v>
      </c>
      <c r="I2" s="21">
        <f t="shared" ref="I2:I65" si="1">IF(AND(G2&lt;&gt;"",H2&lt;&gt;""),H2-G2,"")</f>
        <v>96</v>
      </c>
      <c r="J2" s="22" t="s">
        <v>3411</v>
      </c>
      <c r="K2" s="11" t="s">
        <v>3412</v>
      </c>
      <c r="L2" s="23" t="s">
        <v>114</v>
      </c>
      <c r="M2" s="24"/>
      <c r="N2" s="20" t="s">
        <v>29</v>
      </c>
    </row>
    <row r="3" ht="18" spans="1:14">
      <c r="A3" s="14">
        <f t="shared" si="0"/>
        <v>2</v>
      </c>
      <c r="B3" s="18" t="s">
        <v>3413</v>
      </c>
      <c r="C3" s="120" t="s">
        <v>128</v>
      </c>
      <c r="D3" s="20" t="s">
        <v>42</v>
      </c>
      <c r="E3" s="18" t="s">
        <v>63</v>
      </c>
      <c r="F3" s="18" t="s">
        <v>124</v>
      </c>
      <c r="G3" s="5">
        <v>46085</v>
      </c>
      <c r="H3" s="5">
        <v>46174</v>
      </c>
      <c r="I3" s="21">
        <f t="shared" si="1"/>
        <v>89</v>
      </c>
      <c r="J3" s="22" t="s">
        <v>3414</v>
      </c>
      <c r="K3" s="11" t="s">
        <v>3415</v>
      </c>
      <c r="L3" s="23" t="s">
        <v>114</v>
      </c>
      <c r="M3" s="24"/>
      <c r="N3" s="20" t="s">
        <v>29</v>
      </c>
    </row>
    <row r="4" ht="18" spans="1:14">
      <c r="A4" s="10">
        <f t="shared" si="0"/>
        <v>3</v>
      </c>
      <c r="B4" s="18" t="s">
        <v>3416</v>
      </c>
      <c r="C4" s="120" t="s">
        <v>280</v>
      </c>
      <c r="D4" s="20" t="s">
        <v>43</v>
      </c>
      <c r="E4" s="18" t="s">
        <v>63</v>
      </c>
      <c r="F4" s="18" t="s">
        <v>132</v>
      </c>
      <c r="G4" s="5">
        <v>46102</v>
      </c>
      <c r="H4" s="5">
        <v>46174</v>
      </c>
      <c r="I4" s="21">
        <f t="shared" si="1"/>
        <v>72</v>
      </c>
      <c r="J4" s="22" t="s">
        <v>3411</v>
      </c>
      <c r="K4" s="11" t="s">
        <v>3417</v>
      </c>
      <c r="L4" s="24"/>
      <c r="M4" s="24"/>
      <c r="N4" s="20" t="s">
        <v>29</v>
      </c>
    </row>
    <row r="5" ht="18" spans="1:14">
      <c r="A5" s="14">
        <f t="shared" si="0"/>
        <v>4</v>
      </c>
      <c r="B5" s="18" t="s">
        <v>3418</v>
      </c>
      <c r="C5" s="120" t="s">
        <v>282</v>
      </c>
      <c r="D5" s="20" t="s">
        <v>43</v>
      </c>
      <c r="E5" s="18" t="s">
        <v>64</v>
      </c>
      <c r="F5" s="18" t="s">
        <v>179</v>
      </c>
      <c r="G5" s="5">
        <v>46105</v>
      </c>
      <c r="H5" s="5">
        <v>46174</v>
      </c>
      <c r="I5" s="21">
        <f t="shared" si="1"/>
        <v>69</v>
      </c>
      <c r="J5" s="22" t="s">
        <v>3414</v>
      </c>
      <c r="K5" s="11" t="s">
        <v>3419</v>
      </c>
      <c r="L5" s="24"/>
      <c r="M5" s="24"/>
      <c r="N5" s="20" t="s">
        <v>29</v>
      </c>
    </row>
    <row r="6" ht="18" spans="1:14">
      <c r="A6" s="10">
        <f t="shared" si="0"/>
        <v>5</v>
      </c>
      <c r="B6" s="18" t="s">
        <v>3420</v>
      </c>
      <c r="C6" s="120" t="s">
        <v>284</v>
      </c>
      <c r="D6" s="20" t="s">
        <v>43</v>
      </c>
      <c r="E6" s="18" t="s">
        <v>63</v>
      </c>
      <c r="F6" s="18" t="s">
        <v>1542</v>
      </c>
      <c r="G6" s="5">
        <v>46125</v>
      </c>
      <c r="H6" s="5">
        <v>46174</v>
      </c>
      <c r="I6" s="21">
        <f t="shared" si="1"/>
        <v>49</v>
      </c>
      <c r="J6" s="22" t="s">
        <v>3414</v>
      </c>
      <c r="K6" s="11" t="s">
        <v>3417</v>
      </c>
      <c r="L6" s="24"/>
      <c r="M6" s="24"/>
      <c r="N6" s="20" t="s">
        <v>29</v>
      </c>
    </row>
    <row r="7" ht="18" spans="1:14">
      <c r="A7" s="14">
        <f t="shared" si="0"/>
        <v>6</v>
      </c>
      <c r="B7" s="18" t="s">
        <v>3421</v>
      </c>
      <c r="C7" s="120" t="s">
        <v>286</v>
      </c>
      <c r="D7" s="20" t="s">
        <v>43</v>
      </c>
      <c r="E7" s="18" t="s">
        <v>63</v>
      </c>
      <c r="F7" s="18" t="s">
        <v>124</v>
      </c>
      <c r="G7" s="5">
        <v>46126</v>
      </c>
      <c r="H7" s="5">
        <v>46174</v>
      </c>
      <c r="I7" s="21">
        <f t="shared" si="1"/>
        <v>48</v>
      </c>
      <c r="J7" s="22" t="s">
        <v>3414</v>
      </c>
      <c r="K7" s="11" t="s">
        <v>3422</v>
      </c>
      <c r="L7" s="24"/>
      <c r="M7" s="24"/>
      <c r="N7" s="20" t="s">
        <v>29</v>
      </c>
    </row>
    <row r="8" ht="18" spans="1:14">
      <c r="A8" s="10">
        <f t="shared" si="0"/>
        <v>7</v>
      </c>
      <c r="B8" s="18" t="s">
        <v>3423</v>
      </c>
      <c r="C8" s="120" t="s">
        <v>126</v>
      </c>
      <c r="D8" s="20" t="s">
        <v>74</v>
      </c>
      <c r="E8" s="18" t="s">
        <v>64</v>
      </c>
      <c r="F8" s="18" t="s">
        <v>135</v>
      </c>
      <c r="G8" s="5">
        <v>46136</v>
      </c>
      <c r="H8" s="5">
        <v>46174</v>
      </c>
      <c r="I8" s="21">
        <f t="shared" si="1"/>
        <v>38</v>
      </c>
      <c r="J8" s="22">
        <v>0</v>
      </c>
      <c r="K8" s="11" t="s">
        <v>3415</v>
      </c>
      <c r="L8" s="24"/>
      <c r="M8" s="24"/>
      <c r="N8" s="20" t="s">
        <v>29</v>
      </c>
    </row>
    <row r="9" ht="18" spans="1:14">
      <c r="A9" s="14">
        <f t="shared" si="0"/>
        <v>8</v>
      </c>
      <c r="B9" s="18" t="s">
        <v>3424</v>
      </c>
      <c r="C9" s="120" t="s">
        <v>128</v>
      </c>
      <c r="D9" s="20" t="s">
        <v>74</v>
      </c>
      <c r="E9" s="18" t="s">
        <v>64</v>
      </c>
      <c r="F9" s="18" t="s">
        <v>135</v>
      </c>
      <c r="G9" s="5">
        <v>46136</v>
      </c>
      <c r="H9" s="5">
        <v>46174</v>
      </c>
      <c r="I9" s="21">
        <f t="shared" si="1"/>
        <v>38</v>
      </c>
      <c r="J9" s="22">
        <v>0</v>
      </c>
      <c r="K9" s="11" t="s">
        <v>3417</v>
      </c>
      <c r="L9" s="24"/>
      <c r="M9" s="24"/>
      <c r="N9" s="20" t="s">
        <v>29</v>
      </c>
    </row>
    <row r="10" ht="18" spans="1:14">
      <c r="A10" s="10">
        <f t="shared" si="0"/>
        <v>9</v>
      </c>
      <c r="B10" s="18" t="s">
        <v>3425</v>
      </c>
      <c r="C10" s="120" t="s">
        <v>280</v>
      </c>
      <c r="D10" s="20" t="s">
        <v>74</v>
      </c>
      <c r="E10" s="18" t="s">
        <v>64</v>
      </c>
      <c r="F10" s="18" t="s">
        <v>135</v>
      </c>
      <c r="G10" s="5">
        <v>46136</v>
      </c>
      <c r="H10" s="5">
        <v>46174</v>
      </c>
      <c r="I10" s="21">
        <f t="shared" si="1"/>
        <v>38</v>
      </c>
      <c r="J10" s="22">
        <v>0</v>
      </c>
      <c r="K10" s="11" t="s">
        <v>3415</v>
      </c>
      <c r="L10" s="24"/>
      <c r="M10" s="24"/>
      <c r="N10" s="20" t="s">
        <v>29</v>
      </c>
    </row>
    <row r="11" ht="18" spans="1:14">
      <c r="A11" s="14">
        <f t="shared" si="0"/>
        <v>10</v>
      </c>
      <c r="B11" s="18" t="s">
        <v>3426</v>
      </c>
      <c r="C11" s="120" t="s">
        <v>282</v>
      </c>
      <c r="D11" s="20" t="s">
        <v>74</v>
      </c>
      <c r="E11" s="18" t="s">
        <v>64</v>
      </c>
      <c r="F11" s="18" t="s">
        <v>135</v>
      </c>
      <c r="G11" s="5">
        <v>46136</v>
      </c>
      <c r="H11" s="5">
        <v>46174</v>
      </c>
      <c r="I11" s="21">
        <f t="shared" si="1"/>
        <v>38</v>
      </c>
      <c r="J11" s="22" t="s">
        <v>3427</v>
      </c>
      <c r="K11" s="11" t="s">
        <v>3428</v>
      </c>
      <c r="L11" s="24"/>
      <c r="M11" s="24"/>
      <c r="N11" s="20" t="s">
        <v>29</v>
      </c>
    </row>
    <row r="12" ht="18" spans="1:14">
      <c r="A12" s="10">
        <f t="shared" si="0"/>
        <v>11</v>
      </c>
      <c r="B12" s="18" t="s">
        <v>3429</v>
      </c>
      <c r="C12" s="120" t="s">
        <v>284</v>
      </c>
      <c r="D12" s="20" t="s">
        <v>74</v>
      </c>
      <c r="E12" s="18" t="s">
        <v>64</v>
      </c>
      <c r="F12" s="18" t="s">
        <v>117</v>
      </c>
      <c r="G12" s="5">
        <v>46136</v>
      </c>
      <c r="H12" s="5">
        <v>46174</v>
      </c>
      <c r="I12" s="21">
        <f t="shared" si="1"/>
        <v>38</v>
      </c>
      <c r="J12" s="22">
        <v>0</v>
      </c>
      <c r="K12" s="11" t="s">
        <v>3430</v>
      </c>
      <c r="L12" s="24"/>
      <c r="M12" s="24"/>
      <c r="N12" s="20" t="s">
        <v>29</v>
      </c>
    </row>
    <row r="13" ht="18" spans="1:14">
      <c r="A13" s="14">
        <f t="shared" si="0"/>
        <v>12</v>
      </c>
      <c r="B13" s="18" t="s">
        <v>3431</v>
      </c>
      <c r="C13" s="120" t="s">
        <v>286</v>
      </c>
      <c r="D13" s="20" t="s">
        <v>74</v>
      </c>
      <c r="E13" s="18" t="s">
        <v>64</v>
      </c>
      <c r="F13" s="18" t="s">
        <v>426</v>
      </c>
      <c r="G13" s="5">
        <v>46138</v>
      </c>
      <c r="H13" s="5">
        <v>46174</v>
      </c>
      <c r="I13" s="21">
        <f t="shared" si="1"/>
        <v>36</v>
      </c>
      <c r="J13" s="22">
        <v>0</v>
      </c>
      <c r="K13" s="11" t="s">
        <v>3412</v>
      </c>
      <c r="L13" s="24"/>
      <c r="M13" s="24"/>
      <c r="N13" s="20" t="s">
        <v>29</v>
      </c>
    </row>
    <row r="14" ht="18" spans="1:14">
      <c r="A14" s="10">
        <f t="shared" si="0"/>
        <v>13</v>
      </c>
      <c r="B14" s="18" t="s">
        <v>1295</v>
      </c>
      <c r="C14" s="120" t="s">
        <v>126</v>
      </c>
      <c r="D14" s="20" t="s">
        <v>43</v>
      </c>
      <c r="E14" s="18" t="s">
        <v>64</v>
      </c>
      <c r="F14" s="18" t="s">
        <v>135</v>
      </c>
      <c r="G14" s="5">
        <v>46142</v>
      </c>
      <c r="H14" s="5">
        <v>46174</v>
      </c>
      <c r="I14" s="21">
        <f t="shared" si="1"/>
        <v>32</v>
      </c>
      <c r="J14" s="22" t="s">
        <v>3414</v>
      </c>
      <c r="K14" s="11" t="s">
        <v>3432</v>
      </c>
      <c r="L14" s="24"/>
      <c r="M14" s="24"/>
      <c r="N14" s="20" t="s">
        <v>29</v>
      </c>
    </row>
    <row r="15" ht="18" spans="1:14">
      <c r="A15" s="14">
        <f t="shared" si="0"/>
        <v>14</v>
      </c>
      <c r="B15" s="18" t="s">
        <v>2366</v>
      </c>
      <c r="C15" s="120" t="s">
        <v>128</v>
      </c>
      <c r="D15" s="20" t="s">
        <v>43</v>
      </c>
      <c r="E15" s="18" t="s">
        <v>64</v>
      </c>
      <c r="F15" s="18" t="s">
        <v>110</v>
      </c>
      <c r="G15" s="5">
        <v>46143</v>
      </c>
      <c r="H15" s="5">
        <v>46174</v>
      </c>
      <c r="I15" s="21">
        <f t="shared" si="1"/>
        <v>31</v>
      </c>
      <c r="J15" s="22" t="s">
        <v>3433</v>
      </c>
      <c r="K15" s="11" t="s">
        <v>3434</v>
      </c>
      <c r="L15" s="24"/>
      <c r="M15" s="24"/>
      <c r="N15" s="20" t="s">
        <v>29</v>
      </c>
    </row>
    <row r="16" ht="18" spans="1:14">
      <c r="A16" s="10">
        <f t="shared" si="0"/>
        <v>15</v>
      </c>
      <c r="B16" s="18" t="s">
        <v>3435</v>
      </c>
      <c r="C16" s="120" t="s">
        <v>280</v>
      </c>
      <c r="D16" s="20" t="s">
        <v>43</v>
      </c>
      <c r="E16" s="18" t="s">
        <v>62</v>
      </c>
      <c r="F16" s="18" t="s">
        <v>103</v>
      </c>
      <c r="G16" s="5">
        <v>46147</v>
      </c>
      <c r="H16" s="5">
        <v>46174</v>
      </c>
      <c r="I16" s="21">
        <f t="shared" si="1"/>
        <v>27</v>
      </c>
      <c r="J16" s="22" t="s">
        <v>3414</v>
      </c>
      <c r="K16" s="11" t="s">
        <v>3436</v>
      </c>
      <c r="L16" s="24"/>
      <c r="M16" s="24"/>
      <c r="N16" s="20" t="s">
        <v>29</v>
      </c>
    </row>
    <row r="17" ht="18" spans="1:14">
      <c r="A17" s="14">
        <f t="shared" si="0"/>
        <v>16</v>
      </c>
      <c r="B17" s="18" t="s">
        <v>3437</v>
      </c>
      <c r="C17" s="120" t="s">
        <v>282</v>
      </c>
      <c r="D17" s="20" t="s">
        <v>43</v>
      </c>
      <c r="E17" s="18" t="s">
        <v>64</v>
      </c>
      <c r="F17" s="18" t="s">
        <v>426</v>
      </c>
      <c r="G17" s="5">
        <v>46148</v>
      </c>
      <c r="H17" s="5">
        <v>46174</v>
      </c>
      <c r="I17" s="21">
        <f t="shared" si="1"/>
        <v>26</v>
      </c>
      <c r="J17" s="22" t="s">
        <v>3414</v>
      </c>
      <c r="K17" s="11" t="s">
        <v>3438</v>
      </c>
      <c r="L17" s="24"/>
      <c r="M17" s="24"/>
      <c r="N17" s="20" t="s">
        <v>29</v>
      </c>
    </row>
    <row r="18" ht="18" spans="1:14">
      <c r="A18" s="10">
        <f t="shared" si="0"/>
        <v>17</v>
      </c>
      <c r="B18" s="18" t="s">
        <v>3439</v>
      </c>
      <c r="C18" s="120" t="s">
        <v>284</v>
      </c>
      <c r="D18" s="20" t="s">
        <v>42</v>
      </c>
      <c r="E18" s="18" t="s">
        <v>62</v>
      </c>
      <c r="F18" s="18" t="s">
        <v>176</v>
      </c>
      <c r="G18" s="5">
        <v>46149</v>
      </c>
      <c r="H18" s="5">
        <v>46174</v>
      </c>
      <c r="I18" s="21">
        <f t="shared" si="1"/>
        <v>25</v>
      </c>
      <c r="J18" s="22" t="s">
        <v>3411</v>
      </c>
      <c r="K18" s="11" t="s">
        <v>3436</v>
      </c>
      <c r="L18" s="24"/>
      <c r="M18" s="24"/>
      <c r="N18" s="20" t="s">
        <v>29</v>
      </c>
    </row>
    <row r="19" ht="18" spans="1:14">
      <c r="A19" s="14">
        <f t="shared" si="0"/>
        <v>18</v>
      </c>
      <c r="B19" s="18" t="s">
        <v>3440</v>
      </c>
      <c r="C19" s="120" t="s">
        <v>286</v>
      </c>
      <c r="D19" s="20" t="s">
        <v>43</v>
      </c>
      <c r="E19" s="18" t="s">
        <v>63</v>
      </c>
      <c r="F19" s="18" t="s">
        <v>468</v>
      </c>
      <c r="G19" s="5">
        <v>46151</v>
      </c>
      <c r="H19" s="5">
        <v>46174</v>
      </c>
      <c r="I19" s="21">
        <f t="shared" si="1"/>
        <v>23</v>
      </c>
      <c r="J19" s="22" t="s">
        <v>3414</v>
      </c>
      <c r="K19" s="11" t="s">
        <v>3417</v>
      </c>
      <c r="L19" s="24"/>
      <c r="M19" s="24"/>
      <c r="N19" s="20" t="s">
        <v>29</v>
      </c>
    </row>
    <row r="20" ht="18" spans="1:14">
      <c r="A20" s="10">
        <f t="shared" si="0"/>
        <v>19</v>
      </c>
      <c r="B20" s="18" t="s">
        <v>3441</v>
      </c>
      <c r="C20" s="120" t="s">
        <v>126</v>
      </c>
      <c r="D20" s="20" t="s">
        <v>43</v>
      </c>
      <c r="E20" s="18" t="s">
        <v>62</v>
      </c>
      <c r="F20" s="18" t="s">
        <v>148</v>
      </c>
      <c r="G20" s="5">
        <v>46154</v>
      </c>
      <c r="H20" s="5">
        <v>46174</v>
      </c>
      <c r="I20" s="21">
        <f t="shared" si="1"/>
        <v>20</v>
      </c>
      <c r="J20" s="22" t="s">
        <v>3414</v>
      </c>
      <c r="K20" s="11" t="s">
        <v>3442</v>
      </c>
      <c r="L20" s="24"/>
      <c r="M20" s="24"/>
      <c r="N20" s="20" t="s">
        <v>29</v>
      </c>
    </row>
    <row r="21" ht="18" spans="1:14">
      <c r="A21" s="14">
        <f t="shared" si="0"/>
        <v>20</v>
      </c>
      <c r="B21" s="18" t="s">
        <v>3443</v>
      </c>
      <c r="C21" s="120" t="s">
        <v>128</v>
      </c>
      <c r="D21" s="20" t="s">
        <v>42</v>
      </c>
      <c r="E21" s="18" t="s">
        <v>63</v>
      </c>
      <c r="F21" s="18" t="s">
        <v>124</v>
      </c>
      <c r="G21" s="5">
        <v>46157</v>
      </c>
      <c r="H21" s="5">
        <v>46174</v>
      </c>
      <c r="I21" s="21">
        <f t="shared" si="1"/>
        <v>17</v>
      </c>
      <c r="J21" s="22" t="s">
        <v>3414</v>
      </c>
      <c r="K21" s="11" t="s">
        <v>3444</v>
      </c>
      <c r="L21" s="24"/>
      <c r="M21" s="24"/>
      <c r="N21" s="20" t="s">
        <v>29</v>
      </c>
    </row>
    <row r="22" ht="18" spans="1:14">
      <c r="A22" s="10">
        <f t="shared" si="0"/>
        <v>21</v>
      </c>
      <c r="B22" s="18" t="s">
        <v>3445</v>
      </c>
      <c r="C22" s="120" t="s">
        <v>280</v>
      </c>
      <c r="D22" s="20" t="s">
        <v>43</v>
      </c>
      <c r="E22" s="18" t="s">
        <v>64</v>
      </c>
      <c r="F22" s="18" t="s">
        <v>179</v>
      </c>
      <c r="G22" s="5">
        <v>46157</v>
      </c>
      <c r="H22" s="5">
        <v>46174</v>
      </c>
      <c r="I22" s="21">
        <f t="shared" si="1"/>
        <v>17</v>
      </c>
      <c r="J22" s="22" t="s">
        <v>3414</v>
      </c>
      <c r="K22" s="11" t="s">
        <v>3422</v>
      </c>
      <c r="L22" s="24"/>
      <c r="M22" s="24"/>
      <c r="N22" s="20" t="s">
        <v>29</v>
      </c>
    </row>
    <row r="23" ht="18" spans="1:14">
      <c r="A23" s="14">
        <f t="shared" si="0"/>
        <v>22</v>
      </c>
      <c r="B23" s="18" t="s">
        <v>3446</v>
      </c>
      <c r="C23" s="120" t="s">
        <v>282</v>
      </c>
      <c r="D23" s="20" t="s">
        <v>74</v>
      </c>
      <c r="E23" s="18" t="s">
        <v>64</v>
      </c>
      <c r="F23" s="18" t="s">
        <v>179</v>
      </c>
      <c r="G23" s="5">
        <v>46158</v>
      </c>
      <c r="H23" s="5">
        <v>46174</v>
      </c>
      <c r="I23" s="21">
        <f t="shared" si="1"/>
        <v>16</v>
      </c>
      <c r="J23" s="22">
        <v>0</v>
      </c>
      <c r="K23" s="11" t="s">
        <v>3447</v>
      </c>
      <c r="L23" s="24"/>
      <c r="M23" s="24"/>
      <c r="N23" s="20" t="s">
        <v>29</v>
      </c>
    </row>
    <row r="24" ht="18" spans="1:14">
      <c r="A24" s="10">
        <f t="shared" si="0"/>
        <v>23</v>
      </c>
      <c r="B24" s="18" t="s">
        <v>3448</v>
      </c>
      <c r="C24" s="120" t="s">
        <v>284</v>
      </c>
      <c r="D24" s="20" t="s">
        <v>74</v>
      </c>
      <c r="E24" s="18" t="s">
        <v>3449</v>
      </c>
      <c r="F24" s="18" t="s">
        <v>179</v>
      </c>
      <c r="G24" s="5">
        <v>46161</v>
      </c>
      <c r="H24" s="5">
        <v>46174</v>
      </c>
      <c r="I24" s="21">
        <f t="shared" si="1"/>
        <v>13</v>
      </c>
      <c r="J24" s="22">
        <v>0</v>
      </c>
      <c r="K24" s="11" t="s">
        <v>3415</v>
      </c>
      <c r="L24" s="24"/>
      <c r="M24" s="24"/>
      <c r="N24" s="20" t="s">
        <v>29</v>
      </c>
    </row>
    <row r="25" ht="18" spans="1:14">
      <c r="A25" s="14">
        <f t="shared" si="0"/>
        <v>24</v>
      </c>
      <c r="B25" s="18" t="s">
        <v>3450</v>
      </c>
      <c r="C25" s="120" t="s">
        <v>286</v>
      </c>
      <c r="D25" s="20" t="s">
        <v>43</v>
      </c>
      <c r="E25" s="18" t="s">
        <v>63</v>
      </c>
      <c r="F25" s="18" t="s">
        <v>530</v>
      </c>
      <c r="G25" s="5">
        <v>46163</v>
      </c>
      <c r="H25" s="5">
        <v>46174</v>
      </c>
      <c r="I25" s="21">
        <f t="shared" si="1"/>
        <v>11</v>
      </c>
      <c r="J25" s="22" t="s">
        <v>3451</v>
      </c>
      <c r="K25" s="11" t="s">
        <v>3452</v>
      </c>
      <c r="L25" s="24"/>
      <c r="M25" s="24"/>
      <c r="N25" s="20" t="s">
        <v>29</v>
      </c>
    </row>
    <row r="26" ht="18" spans="1:14">
      <c r="A26" s="10">
        <f t="shared" si="0"/>
        <v>25</v>
      </c>
      <c r="B26" s="18" t="s">
        <v>3453</v>
      </c>
      <c r="C26" s="120" t="s">
        <v>126</v>
      </c>
      <c r="D26" s="20" t="s">
        <v>43</v>
      </c>
      <c r="E26" s="18" t="s">
        <v>64</v>
      </c>
      <c r="F26" s="18" t="s">
        <v>124</v>
      </c>
      <c r="G26" s="5">
        <v>46166</v>
      </c>
      <c r="H26" s="5">
        <v>46174</v>
      </c>
      <c r="I26" s="21">
        <f t="shared" si="1"/>
        <v>8</v>
      </c>
      <c r="J26" s="22" t="s">
        <v>3411</v>
      </c>
      <c r="K26" s="11" t="s">
        <v>3454</v>
      </c>
      <c r="L26" s="24"/>
      <c r="M26" s="24"/>
      <c r="N26" s="20" t="s">
        <v>29</v>
      </c>
    </row>
    <row r="27" ht="18" spans="1:14">
      <c r="A27" s="14">
        <f t="shared" si="0"/>
        <v>26</v>
      </c>
      <c r="B27" s="18" t="s">
        <v>3455</v>
      </c>
      <c r="C27" s="120" t="s">
        <v>128</v>
      </c>
      <c r="D27" s="20" t="s">
        <v>42</v>
      </c>
      <c r="E27" s="18" t="s">
        <v>64</v>
      </c>
      <c r="F27" s="18" t="s">
        <v>179</v>
      </c>
      <c r="G27" s="5">
        <v>46169</v>
      </c>
      <c r="H27" s="5">
        <v>46174</v>
      </c>
      <c r="I27" s="21">
        <f t="shared" si="1"/>
        <v>5</v>
      </c>
      <c r="J27" s="22" t="s">
        <v>3451</v>
      </c>
      <c r="K27" s="11" t="s">
        <v>3422</v>
      </c>
      <c r="L27" s="24"/>
      <c r="M27" s="24"/>
      <c r="N27" s="20" t="s">
        <v>29</v>
      </c>
    </row>
    <row r="28" ht="18" spans="1:14">
      <c r="A28" s="10">
        <f t="shared" si="0"/>
        <v>27</v>
      </c>
      <c r="B28" s="18" t="s">
        <v>3456</v>
      </c>
      <c r="C28" s="120" t="s">
        <v>280</v>
      </c>
      <c r="D28" s="20" t="s">
        <v>74</v>
      </c>
      <c r="E28" s="18" t="s">
        <v>64</v>
      </c>
      <c r="F28" s="18" t="s">
        <v>179</v>
      </c>
      <c r="G28" s="5">
        <v>46170</v>
      </c>
      <c r="H28" s="5">
        <v>46174</v>
      </c>
      <c r="I28" s="21">
        <f t="shared" si="1"/>
        <v>4</v>
      </c>
      <c r="J28" s="22">
        <v>0</v>
      </c>
      <c r="K28" s="11" t="s">
        <v>3422</v>
      </c>
      <c r="L28" s="24"/>
      <c r="M28" s="24"/>
      <c r="N28" s="20" t="s">
        <v>29</v>
      </c>
    </row>
    <row r="29" ht="18" spans="1:14">
      <c r="A29" s="14">
        <f t="shared" si="0"/>
        <v>28</v>
      </c>
      <c r="B29" s="18" t="s">
        <v>3457</v>
      </c>
      <c r="C29" s="120" t="s">
        <v>282</v>
      </c>
      <c r="D29" s="20" t="s">
        <v>74</v>
      </c>
      <c r="E29" s="18" t="s">
        <v>64</v>
      </c>
      <c r="F29" s="18" t="s">
        <v>179</v>
      </c>
      <c r="G29" s="5">
        <v>46170</v>
      </c>
      <c r="H29" s="5">
        <v>46174</v>
      </c>
      <c r="I29" s="21">
        <f t="shared" si="1"/>
        <v>4</v>
      </c>
      <c r="J29" s="22">
        <v>0</v>
      </c>
      <c r="K29" s="11" t="s">
        <v>3436</v>
      </c>
      <c r="L29" s="24"/>
      <c r="M29" s="24"/>
      <c r="N29" s="20" t="s">
        <v>29</v>
      </c>
    </row>
    <row r="30" ht="18" spans="1:14">
      <c r="A30" s="10">
        <f t="shared" si="0"/>
        <v>29</v>
      </c>
      <c r="B30" s="18" t="s">
        <v>3458</v>
      </c>
      <c r="C30" s="120" t="s">
        <v>284</v>
      </c>
      <c r="D30" s="20" t="s">
        <v>74</v>
      </c>
      <c r="E30" s="18" t="s">
        <v>64</v>
      </c>
      <c r="F30" s="18" t="s">
        <v>179</v>
      </c>
      <c r="G30" s="5">
        <v>46170</v>
      </c>
      <c r="H30" s="5">
        <v>46174</v>
      </c>
      <c r="I30" s="21">
        <f t="shared" si="1"/>
        <v>4</v>
      </c>
      <c r="J30" s="22">
        <v>0</v>
      </c>
      <c r="K30" s="11" t="s">
        <v>3422</v>
      </c>
      <c r="L30" s="24"/>
      <c r="M30" s="24"/>
      <c r="N30" s="20" t="s">
        <v>29</v>
      </c>
    </row>
    <row r="31" ht="18" spans="1:14">
      <c r="A31" s="14">
        <f t="shared" si="0"/>
        <v>30</v>
      </c>
      <c r="B31" s="18" t="s">
        <v>3459</v>
      </c>
      <c r="C31" s="120" t="s">
        <v>286</v>
      </c>
      <c r="D31" s="20" t="s">
        <v>74</v>
      </c>
      <c r="E31" s="18" t="s">
        <v>64</v>
      </c>
      <c r="F31" s="18" t="s">
        <v>179</v>
      </c>
      <c r="G31" s="5">
        <v>46171</v>
      </c>
      <c r="H31" s="5">
        <v>46174</v>
      </c>
      <c r="I31" s="21">
        <f t="shared" si="1"/>
        <v>3</v>
      </c>
      <c r="J31" s="22">
        <v>0</v>
      </c>
      <c r="K31" s="11" t="s">
        <v>3422</v>
      </c>
      <c r="L31" s="24"/>
      <c r="M31" s="24"/>
      <c r="N31" s="20" t="s">
        <v>29</v>
      </c>
    </row>
    <row r="32" ht="18" spans="1:14">
      <c r="A32" s="10">
        <f t="shared" si="0"/>
        <v>31</v>
      </c>
      <c r="B32" s="18" t="s">
        <v>3460</v>
      </c>
      <c r="C32" s="120" t="s">
        <v>126</v>
      </c>
      <c r="D32" s="20" t="s">
        <v>74</v>
      </c>
      <c r="E32" s="18" t="s">
        <v>3449</v>
      </c>
      <c r="F32" s="18" t="s">
        <v>135</v>
      </c>
      <c r="G32" s="5">
        <v>46171</v>
      </c>
      <c r="H32" s="5">
        <v>46174</v>
      </c>
      <c r="I32" s="21">
        <f t="shared" si="1"/>
        <v>3</v>
      </c>
      <c r="J32" s="22">
        <v>0</v>
      </c>
      <c r="K32" s="11" t="s">
        <v>3461</v>
      </c>
      <c r="L32" s="24"/>
      <c r="M32" s="24"/>
      <c r="N32" s="20" t="s">
        <v>29</v>
      </c>
    </row>
    <row r="33" ht="18" spans="1:14">
      <c r="A33" s="14">
        <f t="shared" si="0"/>
        <v>32</v>
      </c>
      <c r="B33" s="18" t="s">
        <v>3462</v>
      </c>
      <c r="C33" s="120" t="s">
        <v>128</v>
      </c>
      <c r="D33" s="20" t="s">
        <v>74</v>
      </c>
      <c r="E33" s="18" t="s">
        <v>64</v>
      </c>
      <c r="F33" s="18" t="s">
        <v>179</v>
      </c>
      <c r="G33" s="5">
        <v>46172</v>
      </c>
      <c r="H33" s="5">
        <v>46174</v>
      </c>
      <c r="I33" s="21">
        <f t="shared" si="1"/>
        <v>2</v>
      </c>
      <c r="J33" s="22">
        <v>0</v>
      </c>
      <c r="K33" s="11" t="s">
        <v>3422</v>
      </c>
      <c r="L33" s="24"/>
      <c r="M33" s="24"/>
      <c r="N33" s="20" t="s">
        <v>29</v>
      </c>
    </row>
    <row r="34" ht="36" spans="1:14">
      <c r="A34" s="10">
        <f t="shared" si="0"/>
        <v>33</v>
      </c>
      <c r="B34" s="18" t="s">
        <v>3463</v>
      </c>
      <c r="C34" s="120" t="s">
        <v>280</v>
      </c>
      <c r="D34" s="20" t="s">
        <v>42</v>
      </c>
      <c r="E34" s="18" t="s">
        <v>63</v>
      </c>
      <c r="F34" s="18" t="s">
        <v>578</v>
      </c>
      <c r="G34" s="5">
        <v>46163</v>
      </c>
      <c r="H34" s="5">
        <v>46174</v>
      </c>
      <c r="I34" s="21">
        <f t="shared" si="1"/>
        <v>11</v>
      </c>
      <c r="J34" s="22" t="s">
        <v>3451</v>
      </c>
      <c r="K34" s="11" t="s">
        <v>3464</v>
      </c>
      <c r="L34" s="24"/>
      <c r="M34" s="24"/>
      <c r="N34" s="20" t="s">
        <v>29</v>
      </c>
    </row>
    <row r="35" ht="18" spans="1:14">
      <c r="A35" s="14">
        <f t="shared" si="0"/>
        <v>34</v>
      </c>
      <c r="B35" s="18" t="s">
        <v>3465</v>
      </c>
      <c r="C35" s="120" t="s">
        <v>282</v>
      </c>
      <c r="D35" s="20" t="s">
        <v>42</v>
      </c>
      <c r="E35" s="18" t="s">
        <v>63</v>
      </c>
      <c r="F35" s="18" t="s">
        <v>124</v>
      </c>
      <c r="G35" s="5">
        <v>46170</v>
      </c>
      <c r="H35" s="5">
        <v>46174</v>
      </c>
      <c r="I35" s="21">
        <f t="shared" si="1"/>
        <v>4</v>
      </c>
      <c r="J35" s="22" t="s">
        <v>3427</v>
      </c>
      <c r="K35" s="11" t="s">
        <v>3466</v>
      </c>
      <c r="L35" s="24"/>
      <c r="M35" s="24"/>
      <c r="N35" s="20" t="s">
        <v>29</v>
      </c>
    </row>
    <row r="36" ht="18" spans="1:14">
      <c r="A36" s="10">
        <f t="shared" si="0"/>
        <v>35</v>
      </c>
      <c r="B36" s="18" t="s">
        <v>3467</v>
      </c>
      <c r="C36" s="120" t="s">
        <v>284</v>
      </c>
      <c r="D36" s="20" t="s">
        <v>42</v>
      </c>
      <c r="E36" s="18" t="s">
        <v>63</v>
      </c>
      <c r="F36" s="18" t="s">
        <v>124</v>
      </c>
      <c r="G36" s="5">
        <v>46172</v>
      </c>
      <c r="H36" s="5">
        <v>46174</v>
      </c>
      <c r="I36" s="21">
        <f t="shared" si="1"/>
        <v>2</v>
      </c>
      <c r="J36" s="22" t="s">
        <v>3427</v>
      </c>
      <c r="K36" s="11" t="s">
        <v>3466</v>
      </c>
      <c r="L36" s="24"/>
      <c r="M36" s="24"/>
      <c r="N36" s="20" t="s">
        <v>29</v>
      </c>
    </row>
    <row r="37" ht="18" spans="1:14">
      <c r="A37" s="14">
        <f t="shared" si="0"/>
        <v>36</v>
      </c>
      <c r="B37" s="18" t="s">
        <v>3468</v>
      </c>
      <c r="C37" s="120" t="s">
        <v>286</v>
      </c>
      <c r="D37" s="20" t="s">
        <v>74</v>
      </c>
      <c r="E37" s="18" t="s">
        <v>64</v>
      </c>
      <c r="F37" s="18" t="s">
        <v>179</v>
      </c>
      <c r="G37" s="5">
        <v>46155</v>
      </c>
      <c r="H37" s="5">
        <v>46174</v>
      </c>
      <c r="I37" s="21">
        <f t="shared" si="1"/>
        <v>19</v>
      </c>
      <c r="J37" s="22" t="s">
        <v>3427</v>
      </c>
      <c r="K37" s="11" t="s">
        <v>3469</v>
      </c>
      <c r="L37" s="24"/>
      <c r="M37" s="24"/>
      <c r="N37" s="20" t="s">
        <v>29</v>
      </c>
    </row>
    <row r="38" ht="18" spans="1:14">
      <c r="A38" s="10">
        <f t="shared" si="0"/>
        <v>37</v>
      </c>
      <c r="B38" s="18" t="s">
        <v>3470</v>
      </c>
      <c r="C38" s="120" t="s">
        <v>126</v>
      </c>
      <c r="D38" s="20" t="s">
        <v>43</v>
      </c>
      <c r="E38" s="18" t="s">
        <v>64</v>
      </c>
      <c r="F38" s="18" t="s">
        <v>148</v>
      </c>
      <c r="G38" s="5">
        <v>46090</v>
      </c>
      <c r="H38" s="5">
        <v>46175</v>
      </c>
      <c r="I38" s="21">
        <f t="shared" si="1"/>
        <v>85</v>
      </c>
      <c r="J38" s="22" t="s">
        <v>3414</v>
      </c>
      <c r="K38" s="11" t="s">
        <v>3412</v>
      </c>
      <c r="L38" s="24"/>
      <c r="M38" s="24"/>
      <c r="N38" s="20" t="s">
        <v>29</v>
      </c>
    </row>
    <row r="39" ht="18" spans="1:14">
      <c r="A39" s="14">
        <f t="shared" si="0"/>
        <v>38</v>
      </c>
      <c r="B39" s="18" t="s">
        <v>3471</v>
      </c>
      <c r="C39" s="120" t="s">
        <v>128</v>
      </c>
      <c r="D39" s="20" t="s">
        <v>43</v>
      </c>
      <c r="E39" s="18" t="s">
        <v>62</v>
      </c>
      <c r="F39" s="18" t="s">
        <v>129</v>
      </c>
      <c r="G39" s="5">
        <v>46134</v>
      </c>
      <c r="H39" s="5">
        <v>46175</v>
      </c>
      <c r="I39" s="21">
        <f t="shared" si="1"/>
        <v>41</v>
      </c>
      <c r="J39" s="22" t="s">
        <v>3427</v>
      </c>
      <c r="K39" s="11" t="s">
        <v>3472</v>
      </c>
      <c r="L39" s="24"/>
      <c r="M39" s="24"/>
      <c r="N39" s="20" t="s">
        <v>29</v>
      </c>
    </row>
    <row r="40" ht="18" spans="1:14">
      <c r="A40" s="10">
        <f t="shared" si="0"/>
        <v>39</v>
      </c>
      <c r="B40" s="18" t="s">
        <v>3473</v>
      </c>
      <c r="C40" s="120" t="s">
        <v>280</v>
      </c>
      <c r="D40" s="20" t="s">
        <v>43</v>
      </c>
      <c r="E40" s="18" t="s">
        <v>64</v>
      </c>
      <c r="F40" s="18" t="s">
        <v>233</v>
      </c>
      <c r="G40" s="5">
        <v>46148</v>
      </c>
      <c r="H40" s="5">
        <v>46175</v>
      </c>
      <c r="I40" s="21">
        <f t="shared" si="1"/>
        <v>27</v>
      </c>
      <c r="J40" s="22" t="s">
        <v>3411</v>
      </c>
      <c r="K40" s="11" t="s">
        <v>3422</v>
      </c>
      <c r="L40" s="24"/>
      <c r="M40" s="24"/>
      <c r="N40" s="20" t="s">
        <v>29</v>
      </c>
    </row>
    <row r="41" ht="18" spans="1:14">
      <c r="A41" s="14">
        <f t="shared" si="0"/>
        <v>40</v>
      </c>
      <c r="B41" s="18" t="s">
        <v>3474</v>
      </c>
      <c r="C41" s="120" t="s">
        <v>282</v>
      </c>
      <c r="D41" s="20" t="s">
        <v>42</v>
      </c>
      <c r="E41" s="18" t="s">
        <v>64</v>
      </c>
      <c r="F41" s="18" t="s">
        <v>135</v>
      </c>
      <c r="G41" s="5">
        <v>46158</v>
      </c>
      <c r="H41" s="5">
        <v>46175</v>
      </c>
      <c r="I41" s="21">
        <f t="shared" si="1"/>
        <v>17</v>
      </c>
      <c r="J41" s="22" t="s">
        <v>3475</v>
      </c>
      <c r="K41" s="11" t="s">
        <v>3422</v>
      </c>
      <c r="L41" s="24"/>
      <c r="M41" s="24"/>
      <c r="N41" s="20" t="s">
        <v>29</v>
      </c>
    </row>
    <row r="42" ht="18" spans="1:14">
      <c r="A42" s="10">
        <f t="shared" si="0"/>
        <v>41</v>
      </c>
      <c r="B42" s="18" t="s">
        <v>3476</v>
      </c>
      <c r="C42" s="120" t="s">
        <v>284</v>
      </c>
      <c r="D42" s="20" t="s">
        <v>43</v>
      </c>
      <c r="E42" s="18" t="s">
        <v>63</v>
      </c>
      <c r="F42" s="18" t="s">
        <v>530</v>
      </c>
      <c r="G42" s="5">
        <v>46164</v>
      </c>
      <c r="H42" s="5">
        <v>46175</v>
      </c>
      <c r="I42" s="21">
        <f t="shared" si="1"/>
        <v>11</v>
      </c>
      <c r="J42" s="22" t="s">
        <v>3414</v>
      </c>
      <c r="K42" s="11" t="s">
        <v>3477</v>
      </c>
      <c r="L42" s="24"/>
      <c r="M42" s="24"/>
      <c r="N42" s="20" t="s">
        <v>29</v>
      </c>
    </row>
    <row r="43" ht="18" spans="1:14">
      <c r="A43" s="14">
        <f t="shared" si="0"/>
        <v>42</v>
      </c>
      <c r="B43" s="18" t="s">
        <v>3478</v>
      </c>
      <c r="C43" s="120" t="s">
        <v>286</v>
      </c>
      <c r="D43" s="20" t="s">
        <v>74</v>
      </c>
      <c r="E43" s="18" t="s">
        <v>64</v>
      </c>
      <c r="F43" s="18" t="s">
        <v>124</v>
      </c>
      <c r="G43" s="5">
        <v>46168</v>
      </c>
      <c r="H43" s="5">
        <v>46175</v>
      </c>
      <c r="I43" s="21">
        <f t="shared" si="1"/>
        <v>7</v>
      </c>
      <c r="J43" s="22" t="s">
        <v>3427</v>
      </c>
      <c r="K43" s="11" t="s">
        <v>3479</v>
      </c>
      <c r="L43" s="24"/>
      <c r="M43" s="24"/>
      <c r="N43" s="20" t="s">
        <v>29</v>
      </c>
    </row>
    <row r="44" ht="18" spans="1:14">
      <c r="A44" s="10">
        <f t="shared" si="0"/>
        <v>43</v>
      </c>
      <c r="B44" s="18" t="s">
        <v>3480</v>
      </c>
      <c r="C44" s="120" t="s">
        <v>126</v>
      </c>
      <c r="D44" s="20" t="s">
        <v>74</v>
      </c>
      <c r="E44" s="18" t="s">
        <v>64</v>
      </c>
      <c r="F44" s="18" t="s">
        <v>148</v>
      </c>
      <c r="G44" s="5">
        <v>46169</v>
      </c>
      <c r="H44" s="5">
        <v>46175</v>
      </c>
      <c r="I44" s="21">
        <f t="shared" si="1"/>
        <v>6</v>
      </c>
      <c r="J44" s="22" t="s">
        <v>3427</v>
      </c>
      <c r="K44" s="11" t="s">
        <v>3436</v>
      </c>
      <c r="L44" s="24"/>
      <c r="M44" s="24"/>
      <c r="N44" s="20" t="s">
        <v>29</v>
      </c>
    </row>
    <row r="45" ht="18" spans="1:14">
      <c r="A45" s="14">
        <f t="shared" si="0"/>
        <v>44</v>
      </c>
      <c r="B45" s="18" t="s">
        <v>3481</v>
      </c>
      <c r="C45" s="120" t="s">
        <v>128</v>
      </c>
      <c r="D45" s="20" t="s">
        <v>74</v>
      </c>
      <c r="E45" s="18" t="s">
        <v>64</v>
      </c>
      <c r="F45" s="18" t="s">
        <v>148</v>
      </c>
      <c r="G45" s="5">
        <v>46169</v>
      </c>
      <c r="H45" s="5">
        <v>46175</v>
      </c>
      <c r="I45" s="21">
        <f t="shared" si="1"/>
        <v>6</v>
      </c>
      <c r="J45" s="22" t="s">
        <v>3427</v>
      </c>
      <c r="K45" s="11" t="s">
        <v>3436</v>
      </c>
      <c r="L45" s="24"/>
      <c r="M45" s="24"/>
      <c r="N45" s="20" t="s">
        <v>29</v>
      </c>
    </row>
    <row r="46" ht="18" spans="1:14">
      <c r="A46" s="10">
        <f t="shared" si="0"/>
        <v>45</v>
      </c>
      <c r="B46" s="18" t="s">
        <v>3482</v>
      </c>
      <c r="C46" s="120" t="s">
        <v>280</v>
      </c>
      <c r="D46" s="20" t="s">
        <v>74</v>
      </c>
      <c r="E46" s="18" t="s">
        <v>64</v>
      </c>
      <c r="F46" s="18" t="s">
        <v>148</v>
      </c>
      <c r="G46" s="5">
        <v>46169</v>
      </c>
      <c r="H46" s="5">
        <v>46175</v>
      </c>
      <c r="I46" s="21">
        <f t="shared" si="1"/>
        <v>6</v>
      </c>
      <c r="J46" s="22" t="s">
        <v>3427</v>
      </c>
      <c r="K46" s="11" t="s">
        <v>3436</v>
      </c>
      <c r="L46" s="24"/>
      <c r="M46" s="24"/>
      <c r="N46" s="20" t="s">
        <v>29</v>
      </c>
    </row>
    <row r="47" ht="18" spans="1:14">
      <c r="A47" s="14">
        <f t="shared" si="0"/>
        <v>46</v>
      </c>
      <c r="B47" s="18" t="s">
        <v>3483</v>
      </c>
      <c r="C47" s="120" t="s">
        <v>282</v>
      </c>
      <c r="D47" s="20" t="s">
        <v>74</v>
      </c>
      <c r="E47" s="18" t="s">
        <v>64</v>
      </c>
      <c r="F47" s="18" t="s">
        <v>148</v>
      </c>
      <c r="G47" s="5">
        <v>46169</v>
      </c>
      <c r="H47" s="5">
        <v>46175</v>
      </c>
      <c r="I47" s="21">
        <f t="shared" si="1"/>
        <v>6</v>
      </c>
      <c r="J47" s="22" t="s">
        <v>3427</v>
      </c>
      <c r="K47" s="11" t="s">
        <v>3436</v>
      </c>
      <c r="L47" s="24"/>
      <c r="M47" s="24"/>
      <c r="N47" s="20" t="s">
        <v>29</v>
      </c>
    </row>
    <row r="48" ht="18" spans="1:14">
      <c r="A48" s="10">
        <f t="shared" si="0"/>
        <v>47</v>
      </c>
      <c r="B48" s="18" t="s">
        <v>3484</v>
      </c>
      <c r="C48" s="120" t="s">
        <v>284</v>
      </c>
      <c r="D48" s="20" t="s">
        <v>74</v>
      </c>
      <c r="E48" s="18" t="s">
        <v>64</v>
      </c>
      <c r="F48" s="18" t="s">
        <v>148</v>
      </c>
      <c r="G48" s="5">
        <v>46169</v>
      </c>
      <c r="H48" s="5">
        <v>46175</v>
      </c>
      <c r="I48" s="21">
        <f t="shared" si="1"/>
        <v>6</v>
      </c>
      <c r="J48" s="22" t="s">
        <v>3427</v>
      </c>
      <c r="K48" s="11" t="s">
        <v>3436</v>
      </c>
      <c r="L48" s="24"/>
      <c r="M48" s="24"/>
      <c r="N48" s="20" t="s">
        <v>29</v>
      </c>
    </row>
    <row r="49" ht="18" spans="1:14">
      <c r="A49" s="14">
        <f t="shared" si="0"/>
        <v>48</v>
      </c>
      <c r="B49" s="18" t="s">
        <v>3485</v>
      </c>
      <c r="C49" s="120" t="s">
        <v>286</v>
      </c>
      <c r="D49" s="20" t="s">
        <v>74</v>
      </c>
      <c r="E49" s="18" t="s">
        <v>64</v>
      </c>
      <c r="F49" s="18" t="s">
        <v>124</v>
      </c>
      <c r="G49" s="5">
        <v>46170</v>
      </c>
      <c r="H49" s="5">
        <v>46175</v>
      </c>
      <c r="I49" s="21">
        <f t="shared" si="1"/>
        <v>5</v>
      </c>
      <c r="J49" s="22" t="s">
        <v>3427</v>
      </c>
      <c r="K49" s="11" t="s">
        <v>3486</v>
      </c>
      <c r="L49" s="24"/>
      <c r="M49" s="24"/>
      <c r="N49" s="20" t="s">
        <v>29</v>
      </c>
    </row>
    <row r="50" ht="18" spans="1:14">
      <c r="A50" s="10">
        <f t="shared" si="0"/>
        <v>49</v>
      </c>
      <c r="B50" s="18" t="s">
        <v>3487</v>
      </c>
      <c r="C50" s="120" t="s">
        <v>126</v>
      </c>
      <c r="D50" s="20" t="s">
        <v>43</v>
      </c>
      <c r="E50" s="18" t="s">
        <v>62</v>
      </c>
      <c r="F50" s="18" t="s">
        <v>148</v>
      </c>
      <c r="G50" s="5">
        <v>46173</v>
      </c>
      <c r="H50" s="5">
        <v>46175</v>
      </c>
      <c r="I50" s="21">
        <f t="shared" si="1"/>
        <v>2</v>
      </c>
      <c r="J50" s="22" t="s">
        <v>3451</v>
      </c>
      <c r="K50" s="11" t="s">
        <v>3436</v>
      </c>
      <c r="L50" s="24"/>
      <c r="M50" s="24"/>
      <c r="N50" s="20" t="s">
        <v>29</v>
      </c>
    </row>
    <row r="51" ht="18" spans="1:14">
      <c r="A51" s="14">
        <f t="shared" si="0"/>
        <v>50</v>
      </c>
      <c r="B51" s="18" t="s">
        <v>3488</v>
      </c>
      <c r="C51" s="120" t="s">
        <v>128</v>
      </c>
      <c r="D51" s="20" t="s">
        <v>42</v>
      </c>
      <c r="E51" s="18" t="s">
        <v>64</v>
      </c>
      <c r="F51" s="18" t="s">
        <v>179</v>
      </c>
      <c r="G51" s="5">
        <v>46082</v>
      </c>
      <c r="H51" s="5">
        <v>46176</v>
      </c>
      <c r="I51" s="21">
        <f t="shared" si="1"/>
        <v>94</v>
      </c>
      <c r="J51" s="22" t="s">
        <v>3475</v>
      </c>
      <c r="K51" s="11" t="s">
        <v>3422</v>
      </c>
      <c r="L51" s="24"/>
      <c r="M51" s="24"/>
      <c r="N51" s="20" t="s">
        <v>29</v>
      </c>
    </row>
    <row r="52" ht="18" spans="1:14">
      <c r="A52" s="10">
        <f t="shared" si="0"/>
        <v>51</v>
      </c>
      <c r="B52" s="18" t="s">
        <v>3489</v>
      </c>
      <c r="C52" s="120" t="s">
        <v>280</v>
      </c>
      <c r="D52" s="20" t="s">
        <v>43</v>
      </c>
      <c r="E52" s="18" t="s">
        <v>64</v>
      </c>
      <c r="F52" s="18" t="s">
        <v>179</v>
      </c>
      <c r="G52" s="5">
        <v>46093</v>
      </c>
      <c r="H52" s="5">
        <v>46176</v>
      </c>
      <c r="I52" s="21">
        <f t="shared" si="1"/>
        <v>83</v>
      </c>
      <c r="J52" s="22" t="s">
        <v>3427</v>
      </c>
      <c r="K52" s="11" t="s">
        <v>3428</v>
      </c>
      <c r="L52" s="24"/>
      <c r="M52" s="24"/>
      <c r="N52" s="20" t="s">
        <v>29</v>
      </c>
    </row>
    <row r="53" ht="18" spans="1:14">
      <c r="A53" s="14">
        <f t="shared" si="0"/>
        <v>52</v>
      </c>
      <c r="B53" s="18" t="s">
        <v>3490</v>
      </c>
      <c r="C53" s="120" t="s">
        <v>282</v>
      </c>
      <c r="D53" s="20" t="s">
        <v>43</v>
      </c>
      <c r="E53" s="18" t="s">
        <v>63</v>
      </c>
      <c r="F53" s="18" t="s">
        <v>124</v>
      </c>
      <c r="G53" s="5">
        <v>46121</v>
      </c>
      <c r="H53" s="5">
        <v>46176</v>
      </c>
      <c r="I53" s="21">
        <f t="shared" si="1"/>
        <v>55</v>
      </c>
      <c r="J53" s="22" t="s">
        <v>3427</v>
      </c>
      <c r="K53" s="11" t="s">
        <v>3477</v>
      </c>
      <c r="L53" s="24"/>
      <c r="M53" s="24"/>
      <c r="N53" s="20" t="s">
        <v>29</v>
      </c>
    </row>
    <row r="54" ht="18" spans="1:14">
      <c r="A54" s="10">
        <f t="shared" si="0"/>
        <v>53</v>
      </c>
      <c r="B54" s="18" t="s">
        <v>3491</v>
      </c>
      <c r="C54" s="120" t="s">
        <v>284</v>
      </c>
      <c r="D54" s="20" t="s">
        <v>74</v>
      </c>
      <c r="E54" s="18" t="s">
        <v>64</v>
      </c>
      <c r="F54" s="18" t="s">
        <v>179</v>
      </c>
      <c r="G54" s="5">
        <v>46136</v>
      </c>
      <c r="H54" s="5">
        <v>46176</v>
      </c>
      <c r="I54" s="21">
        <f t="shared" si="1"/>
        <v>40</v>
      </c>
      <c r="J54" s="22" t="s">
        <v>3427</v>
      </c>
      <c r="K54" s="11" t="s">
        <v>3436</v>
      </c>
      <c r="L54" s="24"/>
      <c r="M54" s="24"/>
      <c r="N54" s="20" t="s">
        <v>29</v>
      </c>
    </row>
    <row r="55" ht="18" spans="1:14">
      <c r="A55" s="14">
        <f t="shared" si="0"/>
        <v>54</v>
      </c>
      <c r="B55" s="18" t="s">
        <v>3492</v>
      </c>
      <c r="C55" s="120" t="s">
        <v>286</v>
      </c>
      <c r="D55" s="20" t="s">
        <v>74</v>
      </c>
      <c r="E55" s="18" t="s">
        <v>64</v>
      </c>
      <c r="F55" s="18" t="s">
        <v>179</v>
      </c>
      <c r="G55" s="5">
        <v>46168</v>
      </c>
      <c r="H55" s="5">
        <v>46176</v>
      </c>
      <c r="I55" s="21">
        <f t="shared" si="1"/>
        <v>8</v>
      </c>
      <c r="J55" s="22" t="s">
        <v>3427</v>
      </c>
      <c r="K55" s="11" t="s">
        <v>3493</v>
      </c>
      <c r="L55" s="24"/>
      <c r="M55" s="24"/>
      <c r="N55" s="20" t="s">
        <v>29</v>
      </c>
    </row>
    <row r="56" ht="18" spans="1:14">
      <c r="A56" s="10">
        <f t="shared" si="0"/>
        <v>55</v>
      </c>
      <c r="B56" s="18" t="s">
        <v>251</v>
      </c>
      <c r="C56" s="120" t="s">
        <v>126</v>
      </c>
      <c r="D56" s="20" t="s">
        <v>74</v>
      </c>
      <c r="E56" s="18" t="s">
        <v>64</v>
      </c>
      <c r="F56" s="18" t="s">
        <v>179</v>
      </c>
      <c r="G56" s="5">
        <v>46174</v>
      </c>
      <c r="H56" s="5">
        <v>46176</v>
      </c>
      <c r="I56" s="21">
        <f t="shared" si="1"/>
        <v>2</v>
      </c>
      <c r="J56" s="22" t="s">
        <v>3427</v>
      </c>
      <c r="K56" s="11" t="s">
        <v>3415</v>
      </c>
      <c r="L56" s="24"/>
      <c r="M56" s="24"/>
      <c r="N56" s="20" t="s">
        <v>29</v>
      </c>
    </row>
    <row r="57" ht="18" spans="1:14">
      <c r="A57" s="14">
        <f t="shared" si="0"/>
        <v>56</v>
      </c>
      <c r="B57" s="18" t="s">
        <v>3494</v>
      </c>
      <c r="C57" s="120" t="s">
        <v>128</v>
      </c>
      <c r="D57" s="20" t="s">
        <v>43</v>
      </c>
      <c r="E57" s="18" t="s">
        <v>62</v>
      </c>
      <c r="F57" s="18" t="s">
        <v>233</v>
      </c>
      <c r="G57" s="5">
        <v>46175</v>
      </c>
      <c r="H57" s="5">
        <v>46176</v>
      </c>
      <c r="I57" s="21">
        <f t="shared" si="1"/>
        <v>1</v>
      </c>
      <c r="J57" s="22" t="s">
        <v>3427</v>
      </c>
      <c r="K57" s="11" t="s">
        <v>3495</v>
      </c>
      <c r="L57" s="24"/>
      <c r="M57" s="24"/>
      <c r="N57" s="20" t="s">
        <v>29</v>
      </c>
    </row>
    <row r="58" ht="18" spans="1:14">
      <c r="A58" s="10">
        <f t="shared" si="0"/>
        <v>57</v>
      </c>
      <c r="B58" s="18" t="s">
        <v>3496</v>
      </c>
      <c r="C58" s="120" t="s">
        <v>280</v>
      </c>
      <c r="D58" s="20" t="s">
        <v>43</v>
      </c>
      <c r="E58" s="18" t="s">
        <v>62</v>
      </c>
      <c r="F58" s="18" t="s">
        <v>233</v>
      </c>
      <c r="G58" s="5">
        <v>46175</v>
      </c>
      <c r="H58" s="5">
        <v>46176</v>
      </c>
      <c r="I58" s="21">
        <f t="shared" si="1"/>
        <v>1</v>
      </c>
      <c r="J58" s="22" t="s">
        <v>3427</v>
      </c>
      <c r="K58" s="11" t="s">
        <v>3495</v>
      </c>
      <c r="L58" s="24"/>
      <c r="M58" s="24"/>
      <c r="N58" s="20" t="s">
        <v>29</v>
      </c>
    </row>
    <row r="59" ht="18" spans="1:14">
      <c r="A59" s="14">
        <f t="shared" si="0"/>
        <v>58</v>
      </c>
      <c r="B59" s="18" t="s">
        <v>3497</v>
      </c>
      <c r="C59" s="120" t="s">
        <v>282</v>
      </c>
      <c r="D59" s="20" t="s">
        <v>43</v>
      </c>
      <c r="E59" s="18" t="s">
        <v>62</v>
      </c>
      <c r="F59" s="18" t="s">
        <v>233</v>
      </c>
      <c r="G59" s="5">
        <v>46175</v>
      </c>
      <c r="H59" s="5">
        <v>46176</v>
      </c>
      <c r="I59" s="21">
        <f t="shared" si="1"/>
        <v>1</v>
      </c>
      <c r="J59" s="22" t="s">
        <v>3427</v>
      </c>
      <c r="K59" s="11" t="s">
        <v>3495</v>
      </c>
      <c r="L59" s="24"/>
      <c r="M59" s="24"/>
      <c r="N59" s="20" t="s">
        <v>29</v>
      </c>
    </row>
    <row r="60" ht="18" spans="1:14">
      <c r="A60" s="10">
        <f t="shared" si="0"/>
        <v>59</v>
      </c>
      <c r="B60" s="18" t="s">
        <v>3498</v>
      </c>
      <c r="C60" s="120" t="s">
        <v>284</v>
      </c>
      <c r="D60" s="20" t="s">
        <v>43</v>
      </c>
      <c r="E60" s="18" t="s">
        <v>62</v>
      </c>
      <c r="F60" s="18" t="s">
        <v>179</v>
      </c>
      <c r="G60" s="5">
        <v>46041</v>
      </c>
      <c r="H60" s="5">
        <v>46177</v>
      </c>
      <c r="I60" s="21">
        <f t="shared" si="1"/>
        <v>136</v>
      </c>
      <c r="J60" s="22" t="s">
        <v>3427</v>
      </c>
      <c r="K60" s="11" t="s">
        <v>3499</v>
      </c>
      <c r="L60" s="24"/>
      <c r="M60" s="24"/>
      <c r="N60" s="20" t="s">
        <v>29</v>
      </c>
    </row>
    <row r="61" ht="18" spans="1:14">
      <c r="A61" s="14">
        <f t="shared" si="0"/>
        <v>60</v>
      </c>
      <c r="B61" s="18" t="s">
        <v>3500</v>
      </c>
      <c r="C61" s="120" t="s">
        <v>286</v>
      </c>
      <c r="D61" s="20" t="s">
        <v>42</v>
      </c>
      <c r="E61" s="18" t="s">
        <v>62</v>
      </c>
      <c r="F61" s="18" t="s">
        <v>103</v>
      </c>
      <c r="G61" s="5">
        <v>46077</v>
      </c>
      <c r="H61" s="5">
        <v>46177</v>
      </c>
      <c r="I61" s="21">
        <f t="shared" si="1"/>
        <v>100</v>
      </c>
      <c r="J61" s="22" t="s">
        <v>3427</v>
      </c>
      <c r="K61" s="11" t="s">
        <v>3422</v>
      </c>
      <c r="L61" s="24"/>
      <c r="M61" s="24"/>
      <c r="N61" s="20" t="s">
        <v>29</v>
      </c>
    </row>
    <row r="62" ht="18" spans="1:14">
      <c r="A62" s="10">
        <f t="shared" si="0"/>
        <v>61</v>
      </c>
      <c r="B62" s="18" t="s">
        <v>3501</v>
      </c>
      <c r="C62" s="120" t="s">
        <v>126</v>
      </c>
      <c r="D62" s="20" t="s">
        <v>43</v>
      </c>
      <c r="E62" s="18" t="s">
        <v>63</v>
      </c>
      <c r="F62" s="18" t="s">
        <v>103</v>
      </c>
      <c r="G62" s="5">
        <v>46077</v>
      </c>
      <c r="H62" s="5">
        <v>46177</v>
      </c>
      <c r="I62" s="21">
        <f t="shared" si="1"/>
        <v>100</v>
      </c>
      <c r="J62" s="22" t="s">
        <v>3414</v>
      </c>
      <c r="K62" s="11" t="s">
        <v>3419</v>
      </c>
      <c r="L62" s="24"/>
      <c r="M62" s="24"/>
      <c r="N62" s="20" t="s">
        <v>29</v>
      </c>
    </row>
    <row r="63" ht="36" spans="1:14">
      <c r="A63" s="14">
        <f t="shared" si="0"/>
        <v>62</v>
      </c>
      <c r="B63" s="18" t="s">
        <v>3502</v>
      </c>
      <c r="C63" s="120" t="s">
        <v>128</v>
      </c>
      <c r="D63" s="20" t="s">
        <v>42</v>
      </c>
      <c r="E63" s="18" t="s">
        <v>63</v>
      </c>
      <c r="F63" s="18" t="s">
        <v>179</v>
      </c>
      <c r="G63" s="5">
        <v>46079</v>
      </c>
      <c r="H63" s="5">
        <v>46177</v>
      </c>
      <c r="I63" s="21">
        <f t="shared" si="1"/>
        <v>98</v>
      </c>
      <c r="J63" s="22" t="s">
        <v>3411</v>
      </c>
      <c r="K63" s="11" t="s">
        <v>3503</v>
      </c>
      <c r="L63" s="24"/>
      <c r="M63" s="24"/>
      <c r="N63" s="20" t="s">
        <v>29</v>
      </c>
    </row>
    <row r="64" ht="36" spans="1:14">
      <c r="A64" s="10">
        <f t="shared" si="0"/>
        <v>63</v>
      </c>
      <c r="B64" s="18" t="s">
        <v>3504</v>
      </c>
      <c r="C64" s="120" t="s">
        <v>280</v>
      </c>
      <c r="D64" s="20" t="s">
        <v>42</v>
      </c>
      <c r="E64" s="18" t="s">
        <v>62</v>
      </c>
      <c r="F64" s="18" t="s">
        <v>103</v>
      </c>
      <c r="G64" s="5">
        <v>46080</v>
      </c>
      <c r="H64" s="5">
        <v>46177</v>
      </c>
      <c r="I64" s="21">
        <f t="shared" si="1"/>
        <v>97</v>
      </c>
      <c r="J64" s="22" t="s">
        <v>3414</v>
      </c>
      <c r="K64" s="11" t="s">
        <v>3505</v>
      </c>
      <c r="L64" s="24"/>
      <c r="M64" s="24"/>
      <c r="N64" s="20" t="s">
        <v>29</v>
      </c>
    </row>
    <row r="65" ht="18" spans="1:14">
      <c r="A65" s="14">
        <f t="shared" si="0"/>
        <v>64</v>
      </c>
      <c r="B65" s="18" t="s">
        <v>3506</v>
      </c>
      <c r="C65" s="120" t="s">
        <v>282</v>
      </c>
      <c r="D65" s="20" t="s">
        <v>74</v>
      </c>
      <c r="E65" s="18" t="s">
        <v>64</v>
      </c>
      <c r="F65" s="18" t="s">
        <v>135</v>
      </c>
      <c r="G65" s="5">
        <v>46105</v>
      </c>
      <c r="H65" s="5">
        <v>46177</v>
      </c>
      <c r="I65" s="21">
        <f t="shared" si="1"/>
        <v>72</v>
      </c>
      <c r="J65" s="22" t="s">
        <v>3427</v>
      </c>
      <c r="K65" s="11" t="s">
        <v>3422</v>
      </c>
      <c r="L65" s="24"/>
      <c r="M65" s="24"/>
      <c r="N65" s="20" t="s">
        <v>29</v>
      </c>
    </row>
    <row r="66" ht="18" spans="1:14">
      <c r="A66" s="10">
        <f t="shared" ref="A66:A129" si="2">IF(B66&lt;&gt;"",ROW()-1,"")</f>
        <v>65</v>
      </c>
      <c r="B66" s="18" t="s">
        <v>3507</v>
      </c>
      <c r="C66" s="120" t="s">
        <v>284</v>
      </c>
      <c r="D66" s="20" t="s">
        <v>43</v>
      </c>
      <c r="E66" s="18" t="s">
        <v>63</v>
      </c>
      <c r="F66" s="18" t="s">
        <v>173</v>
      </c>
      <c r="G66" s="5">
        <v>46107</v>
      </c>
      <c r="H66" s="5">
        <v>46177</v>
      </c>
      <c r="I66" s="21">
        <f t="shared" ref="I66:I129" si="3">IF(AND(G66&lt;&gt;"",H66&lt;&gt;""),H66-G66,"")</f>
        <v>70</v>
      </c>
      <c r="J66" s="22" t="s">
        <v>3414</v>
      </c>
      <c r="K66" s="11" t="s">
        <v>3422</v>
      </c>
      <c r="L66" s="24"/>
      <c r="M66" s="24"/>
      <c r="N66" s="20" t="s">
        <v>29</v>
      </c>
    </row>
    <row r="67" ht="18" spans="1:14">
      <c r="A67" s="14">
        <f t="shared" si="2"/>
        <v>66</v>
      </c>
      <c r="B67" s="18" t="s">
        <v>3508</v>
      </c>
      <c r="C67" s="120" t="s">
        <v>286</v>
      </c>
      <c r="D67" s="20" t="s">
        <v>74</v>
      </c>
      <c r="E67" s="18" t="s">
        <v>64</v>
      </c>
      <c r="F67" s="18" t="s">
        <v>135</v>
      </c>
      <c r="G67" s="5">
        <v>46109</v>
      </c>
      <c r="H67" s="5">
        <v>46177</v>
      </c>
      <c r="I67" s="21">
        <f t="shared" si="3"/>
        <v>68</v>
      </c>
      <c r="J67" s="22" t="s">
        <v>3427</v>
      </c>
      <c r="K67" s="11" t="s">
        <v>3422</v>
      </c>
      <c r="L67" s="24"/>
      <c r="M67" s="24"/>
      <c r="N67" s="20" t="s">
        <v>29</v>
      </c>
    </row>
    <row r="68" ht="18" spans="1:14">
      <c r="A68" s="10">
        <f t="shared" si="2"/>
        <v>67</v>
      </c>
      <c r="B68" s="18" t="s">
        <v>3509</v>
      </c>
      <c r="C68" s="120" t="s">
        <v>126</v>
      </c>
      <c r="D68" s="20" t="s">
        <v>43</v>
      </c>
      <c r="E68" s="18" t="s">
        <v>62</v>
      </c>
      <c r="F68" s="18" t="s">
        <v>246</v>
      </c>
      <c r="G68" s="5">
        <v>46129</v>
      </c>
      <c r="H68" s="5">
        <v>46177</v>
      </c>
      <c r="I68" s="21">
        <f t="shared" si="3"/>
        <v>48</v>
      </c>
      <c r="J68" s="22" t="s">
        <v>3427</v>
      </c>
      <c r="K68" s="11" t="s">
        <v>3499</v>
      </c>
      <c r="L68" s="24"/>
      <c r="M68" s="24"/>
      <c r="N68" s="20" t="s">
        <v>29</v>
      </c>
    </row>
    <row r="69" ht="18" spans="1:14">
      <c r="A69" s="14">
        <f t="shared" si="2"/>
        <v>68</v>
      </c>
      <c r="B69" s="18" t="s">
        <v>3510</v>
      </c>
      <c r="C69" s="120" t="s">
        <v>128</v>
      </c>
      <c r="D69" s="20" t="s">
        <v>74</v>
      </c>
      <c r="E69" s="18" t="s">
        <v>64</v>
      </c>
      <c r="F69" s="18" t="s">
        <v>246</v>
      </c>
      <c r="G69" s="5">
        <v>46129</v>
      </c>
      <c r="H69" s="5">
        <v>46177</v>
      </c>
      <c r="I69" s="21">
        <f t="shared" si="3"/>
        <v>48</v>
      </c>
      <c r="J69" s="22" t="s">
        <v>3427</v>
      </c>
      <c r="K69" s="11" t="s">
        <v>3422</v>
      </c>
      <c r="L69" s="24"/>
      <c r="M69" s="24"/>
      <c r="N69" s="20" t="s">
        <v>29</v>
      </c>
    </row>
    <row r="70" ht="18" spans="1:14">
      <c r="A70" s="10">
        <f t="shared" si="2"/>
        <v>69</v>
      </c>
      <c r="B70" s="18" t="s">
        <v>3511</v>
      </c>
      <c r="C70" s="120" t="s">
        <v>280</v>
      </c>
      <c r="D70" s="20" t="s">
        <v>74</v>
      </c>
      <c r="E70" s="18" t="s">
        <v>64</v>
      </c>
      <c r="F70" s="18" t="s">
        <v>179</v>
      </c>
      <c r="G70" s="5">
        <v>46134</v>
      </c>
      <c r="H70" s="5">
        <v>46177</v>
      </c>
      <c r="I70" s="21">
        <f t="shared" si="3"/>
        <v>43</v>
      </c>
      <c r="J70" s="22" t="s">
        <v>3427</v>
      </c>
      <c r="K70" s="11" t="s">
        <v>3422</v>
      </c>
      <c r="L70" s="24"/>
      <c r="M70" s="24"/>
      <c r="N70" s="20" t="s">
        <v>29</v>
      </c>
    </row>
    <row r="71" ht="18" spans="1:14">
      <c r="A71" s="14">
        <f t="shared" si="2"/>
        <v>70</v>
      </c>
      <c r="B71" s="18" t="s">
        <v>1938</v>
      </c>
      <c r="C71" s="120" t="s">
        <v>282</v>
      </c>
      <c r="D71" s="20" t="s">
        <v>43</v>
      </c>
      <c r="E71" s="18" t="s">
        <v>63</v>
      </c>
      <c r="F71" s="18" t="s">
        <v>129</v>
      </c>
      <c r="G71" s="5">
        <v>46136</v>
      </c>
      <c r="H71" s="5">
        <v>46177</v>
      </c>
      <c r="I71" s="21">
        <f t="shared" si="3"/>
        <v>41</v>
      </c>
      <c r="J71" s="22" t="s">
        <v>3414</v>
      </c>
      <c r="K71" s="11" t="s">
        <v>3512</v>
      </c>
      <c r="L71" s="24"/>
      <c r="M71" s="24"/>
      <c r="N71" s="20" t="s">
        <v>29</v>
      </c>
    </row>
    <row r="72" ht="18" spans="1:14">
      <c r="A72" s="10">
        <f t="shared" si="2"/>
        <v>71</v>
      </c>
      <c r="B72" s="18" t="s">
        <v>3513</v>
      </c>
      <c r="C72" s="120" t="s">
        <v>284</v>
      </c>
      <c r="D72" s="20" t="s">
        <v>43</v>
      </c>
      <c r="E72" s="18" t="s">
        <v>62</v>
      </c>
      <c r="F72" s="18" t="s">
        <v>124</v>
      </c>
      <c r="G72" s="5">
        <v>46136</v>
      </c>
      <c r="H72" s="5">
        <v>46177</v>
      </c>
      <c r="I72" s="21">
        <f t="shared" si="3"/>
        <v>41</v>
      </c>
      <c r="J72" s="22" t="s">
        <v>3414</v>
      </c>
      <c r="K72" s="11" t="s">
        <v>3412</v>
      </c>
      <c r="L72" s="24"/>
      <c r="M72" s="24"/>
      <c r="N72" s="20" t="s">
        <v>29</v>
      </c>
    </row>
    <row r="73" ht="18" spans="1:14">
      <c r="A73" s="14">
        <f t="shared" si="2"/>
        <v>72</v>
      </c>
      <c r="B73" s="18" t="s">
        <v>3514</v>
      </c>
      <c r="C73" s="120" t="s">
        <v>286</v>
      </c>
      <c r="D73" s="20" t="s">
        <v>43</v>
      </c>
      <c r="E73" s="18" t="s">
        <v>62</v>
      </c>
      <c r="F73" s="18" t="s">
        <v>1006</v>
      </c>
      <c r="G73" s="5">
        <v>46138</v>
      </c>
      <c r="H73" s="5">
        <v>46177</v>
      </c>
      <c r="I73" s="21">
        <f t="shared" si="3"/>
        <v>39</v>
      </c>
      <c r="J73" s="22" t="s">
        <v>3414</v>
      </c>
      <c r="K73" s="11" t="s">
        <v>3477</v>
      </c>
      <c r="L73" s="24"/>
      <c r="M73" s="24"/>
      <c r="N73" s="20" t="s">
        <v>29</v>
      </c>
    </row>
    <row r="74" ht="18" spans="1:14">
      <c r="A74" s="10">
        <f t="shared" si="2"/>
        <v>73</v>
      </c>
      <c r="B74" s="18" t="s">
        <v>3515</v>
      </c>
      <c r="C74" s="120" t="s">
        <v>126</v>
      </c>
      <c r="D74" s="20" t="s">
        <v>42</v>
      </c>
      <c r="E74" s="18" t="s">
        <v>62</v>
      </c>
      <c r="F74" s="18" t="s">
        <v>173</v>
      </c>
      <c r="G74" s="5">
        <v>46140</v>
      </c>
      <c r="H74" s="5">
        <v>46177</v>
      </c>
      <c r="I74" s="21">
        <f t="shared" si="3"/>
        <v>37</v>
      </c>
      <c r="J74" s="22" t="s">
        <v>3427</v>
      </c>
      <c r="K74" s="11" t="s">
        <v>3422</v>
      </c>
      <c r="L74" s="24"/>
      <c r="M74" s="24"/>
      <c r="N74" s="20" t="s">
        <v>29</v>
      </c>
    </row>
    <row r="75" ht="18" spans="1:14">
      <c r="A75" s="14">
        <f t="shared" si="2"/>
        <v>74</v>
      </c>
      <c r="B75" s="18" t="s">
        <v>3516</v>
      </c>
      <c r="C75" s="120" t="s">
        <v>128</v>
      </c>
      <c r="D75" s="20" t="s">
        <v>74</v>
      </c>
      <c r="E75" s="18" t="s">
        <v>64</v>
      </c>
      <c r="F75" s="18" t="s">
        <v>179</v>
      </c>
      <c r="G75" s="5">
        <v>46147</v>
      </c>
      <c r="H75" s="5">
        <v>46177</v>
      </c>
      <c r="I75" s="21">
        <f t="shared" si="3"/>
        <v>30</v>
      </c>
      <c r="J75" s="22" t="s">
        <v>3427</v>
      </c>
      <c r="K75" s="11" t="s">
        <v>3517</v>
      </c>
      <c r="L75" s="24"/>
      <c r="M75" s="24"/>
      <c r="N75" s="20" t="s">
        <v>29</v>
      </c>
    </row>
    <row r="76" ht="18" spans="1:14">
      <c r="A76" s="10">
        <f t="shared" si="2"/>
        <v>75</v>
      </c>
      <c r="B76" s="18" t="s">
        <v>3518</v>
      </c>
      <c r="C76" s="120" t="s">
        <v>280</v>
      </c>
      <c r="D76" s="20" t="s">
        <v>42</v>
      </c>
      <c r="E76" s="18" t="s">
        <v>63</v>
      </c>
      <c r="F76" s="18" t="s">
        <v>103</v>
      </c>
      <c r="G76" s="5">
        <v>46149</v>
      </c>
      <c r="H76" s="5">
        <v>46177</v>
      </c>
      <c r="I76" s="21">
        <f t="shared" si="3"/>
        <v>28</v>
      </c>
      <c r="J76" s="22" t="s">
        <v>3414</v>
      </c>
      <c r="K76" s="11" t="s">
        <v>3419</v>
      </c>
      <c r="L76" s="24"/>
      <c r="M76" s="24"/>
      <c r="N76" s="20" t="s">
        <v>29</v>
      </c>
    </row>
    <row r="77" ht="18" spans="1:14">
      <c r="A77" s="14">
        <f t="shared" si="2"/>
        <v>76</v>
      </c>
      <c r="B77" s="18" t="s">
        <v>3519</v>
      </c>
      <c r="C77" s="120" t="s">
        <v>282</v>
      </c>
      <c r="D77" s="20" t="s">
        <v>42</v>
      </c>
      <c r="E77" s="18" t="s">
        <v>63</v>
      </c>
      <c r="F77" s="18" t="s">
        <v>173</v>
      </c>
      <c r="G77" s="5">
        <v>46153</v>
      </c>
      <c r="H77" s="5">
        <v>46177</v>
      </c>
      <c r="I77" s="21">
        <f t="shared" si="3"/>
        <v>24</v>
      </c>
      <c r="J77" s="22" t="s">
        <v>3414</v>
      </c>
      <c r="K77" s="11" t="s">
        <v>3419</v>
      </c>
      <c r="L77" s="24"/>
      <c r="M77" s="24"/>
      <c r="N77" s="20" t="s">
        <v>29</v>
      </c>
    </row>
    <row r="78" ht="18" spans="1:14">
      <c r="A78" s="10">
        <f t="shared" si="2"/>
        <v>77</v>
      </c>
      <c r="B78" s="18" t="s">
        <v>3520</v>
      </c>
      <c r="C78" s="120" t="s">
        <v>284</v>
      </c>
      <c r="D78" s="20" t="s">
        <v>42</v>
      </c>
      <c r="E78" s="18" t="s">
        <v>63</v>
      </c>
      <c r="F78" s="18" t="s">
        <v>179</v>
      </c>
      <c r="G78" s="5">
        <v>46156</v>
      </c>
      <c r="H78" s="5">
        <v>46177</v>
      </c>
      <c r="I78" s="21">
        <f t="shared" si="3"/>
        <v>21</v>
      </c>
      <c r="J78" s="22" t="s">
        <v>3433</v>
      </c>
      <c r="K78" s="11" t="s">
        <v>3477</v>
      </c>
      <c r="L78" s="24"/>
      <c r="M78" s="24"/>
      <c r="N78" s="20" t="s">
        <v>29</v>
      </c>
    </row>
    <row r="79" ht="18" spans="1:14">
      <c r="A79" s="14">
        <f t="shared" si="2"/>
        <v>78</v>
      </c>
      <c r="B79" s="18" t="s">
        <v>3521</v>
      </c>
      <c r="C79" s="120" t="s">
        <v>286</v>
      </c>
      <c r="D79" s="20" t="s">
        <v>74</v>
      </c>
      <c r="E79" s="18" t="s">
        <v>64</v>
      </c>
      <c r="F79" s="18" t="s">
        <v>179</v>
      </c>
      <c r="G79" s="5">
        <v>46158</v>
      </c>
      <c r="H79" s="5">
        <v>46177</v>
      </c>
      <c r="I79" s="21">
        <f t="shared" si="3"/>
        <v>19</v>
      </c>
      <c r="J79" s="22" t="s">
        <v>3427</v>
      </c>
      <c r="K79" s="11" t="s">
        <v>3422</v>
      </c>
      <c r="L79" s="24"/>
      <c r="M79" s="24"/>
      <c r="N79" s="20" t="s">
        <v>29</v>
      </c>
    </row>
    <row r="80" ht="18" spans="1:14">
      <c r="A80" s="10">
        <f t="shared" si="2"/>
        <v>79</v>
      </c>
      <c r="B80" s="18" t="s">
        <v>3522</v>
      </c>
      <c r="C80" s="120" t="s">
        <v>126</v>
      </c>
      <c r="D80" s="20" t="s">
        <v>74</v>
      </c>
      <c r="E80" s="18" t="s">
        <v>64</v>
      </c>
      <c r="F80" s="18" t="s">
        <v>179</v>
      </c>
      <c r="G80" s="5">
        <v>46158</v>
      </c>
      <c r="H80" s="5">
        <v>46177</v>
      </c>
      <c r="I80" s="21">
        <f t="shared" si="3"/>
        <v>19</v>
      </c>
      <c r="J80" s="22" t="s">
        <v>3427</v>
      </c>
      <c r="K80" s="11" t="s">
        <v>3422</v>
      </c>
      <c r="L80" s="24"/>
      <c r="M80" s="24"/>
      <c r="N80" s="20" t="s">
        <v>29</v>
      </c>
    </row>
    <row r="81" ht="18" spans="1:14">
      <c r="A81" s="14">
        <f t="shared" si="2"/>
        <v>80</v>
      </c>
      <c r="B81" s="18" t="s">
        <v>3523</v>
      </c>
      <c r="C81" s="120" t="s">
        <v>128</v>
      </c>
      <c r="D81" s="20" t="s">
        <v>74</v>
      </c>
      <c r="E81" s="18" t="s">
        <v>64</v>
      </c>
      <c r="F81" s="18" t="s">
        <v>179</v>
      </c>
      <c r="G81" s="5">
        <v>46159</v>
      </c>
      <c r="H81" s="5">
        <v>46177</v>
      </c>
      <c r="I81" s="21">
        <f t="shared" si="3"/>
        <v>18</v>
      </c>
      <c r="J81" s="22" t="s">
        <v>3427</v>
      </c>
      <c r="K81" s="11" t="s">
        <v>3524</v>
      </c>
      <c r="L81" s="24"/>
      <c r="M81" s="24"/>
      <c r="N81" s="20" t="s">
        <v>29</v>
      </c>
    </row>
    <row r="82" ht="36" spans="1:14">
      <c r="A82" s="10">
        <f t="shared" si="2"/>
        <v>81</v>
      </c>
      <c r="B82" s="18" t="s">
        <v>3525</v>
      </c>
      <c r="C82" s="120" t="s">
        <v>280</v>
      </c>
      <c r="D82" s="20" t="s">
        <v>42</v>
      </c>
      <c r="E82" s="18" t="s">
        <v>62</v>
      </c>
      <c r="F82" s="18" t="s">
        <v>690</v>
      </c>
      <c r="G82" s="5">
        <v>46160</v>
      </c>
      <c r="H82" s="5">
        <v>46177</v>
      </c>
      <c r="I82" s="21">
        <f t="shared" si="3"/>
        <v>17</v>
      </c>
      <c r="J82" s="22" t="s">
        <v>3427</v>
      </c>
      <c r="K82" s="11" t="s">
        <v>3526</v>
      </c>
      <c r="L82" s="24"/>
      <c r="M82" s="24"/>
      <c r="N82" s="20" t="s">
        <v>29</v>
      </c>
    </row>
    <row r="83" ht="18" spans="1:14">
      <c r="A83" s="14">
        <f t="shared" si="2"/>
        <v>82</v>
      </c>
      <c r="B83" s="18" t="s">
        <v>3527</v>
      </c>
      <c r="C83" s="120" t="s">
        <v>282</v>
      </c>
      <c r="D83" s="20" t="s">
        <v>74</v>
      </c>
      <c r="E83" s="18" t="s">
        <v>64</v>
      </c>
      <c r="F83" s="18" t="s">
        <v>117</v>
      </c>
      <c r="G83" s="5">
        <v>46162</v>
      </c>
      <c r="H83" s="5">
        <v>46177</v>
      </c>
      <c r="I83" s="21">
        <f t="shared" si="3"/>
        <v>15</v>
      </c>
      <c r="J83" s="22" t="s">
        <v>3427</v>
      </c>
      <c r="K83" s="11" t="s">
        <v>3415</v>
      </c>
      <c r="L83" s="24"/>
      <c r="M83" s="24"/>
      <c r="N83" s="20" t="s">
        <v>29</v>
      </c>
    </row>
    <row r="84" ht="18" spans="1:14">
      <c r="A84" s="10">
        <f t="shared" si="2"/>
        <v>83</v>
      </c>
      <c r="B84" s="18" t="s">
        <v>3528</v>
      </c>
      <c r="C84" s="120" t="s">
        <v>284</v>
      </c>
      <c r="D84" s="20" t="s">
        <v>42</v>
      </c>
      <c r="E84" s="18" t="s">
        <v>62</v>
      </c>
      <c r="F84" s="18" t="s">
        <v>124</v>
      </c>
      <c r="G84" s="5">
        <v>46163</v>
      </c>
      <c r="H84" s="5">
        <v>46177</v>
      </c>
      <c r="I84" s="21">
        <f t="shared" si="3"/>
        <v>14</v>
      </c>
      <c r="J84" s="22" t="s">
        <v>3451</v>
      </c>
      <c r="K84" s="11" t="s">
        <v>3422</v>
      </c>
      <c r="L84" s="24"/>
      <c r="M84" s="24"/>
      <c r="N84" s="20" t="s">
        <v>29</v>
      </c>
    </row>
    <row r="85" ht="18" spans="1:14">
      <c r="A85" s="14">
        <f t="shared" si="2"/>
        <v>84</v>
      </c>
      <c r="B85" s="18" t="s">
        <v>3529</v>
      </c>
      <c r="C85" s="120" t="s">
        <v>286</v>
      </c>
      <c r="D85" s="20" t="s">
        <v>43</v>
      </c>
      <c r="E85" s="18" t="s">
        <v>63</v>
      </c>
      <c r="F85" s="18" t="s">
        <v>124</v>
      </c>
      <c r="G85" s="5">
        <v>46163</v>
      </c>
      <c r="H85" s="5">
        <v>46177</v>
      </c>
      <c r="I85" s="21">
        <f t="shared" si="3"/>
        <v>14</v>
      </c>
      <c r="J85" s="22" t="s">
        <v>3414</v>
      </c>
      <c r="K85" s="11" t="s">
        <v>3530</v>
      </c>
      <c r="L85" s="24"/>
      <c r="M85" s="24"/>
      <c r="N85" s="20" t="s">
        <v>29</v>
      </c>
    </row>
    <row r="86" ht="18" spans="1:14">
      <c r="A86" s="10">
        <f t="shared" si="2"/>
        <v>85</v>
      </c>
      <c r="B86" s="18" t="s">
        <v>3531</v>
      </c>
      <c r="C86" s="120" t="s">
        <v>126</v>
      </c>
      <c r="D86" s="20" t="s">
        <v>74</v>
      </c>
      <c r="E86" s="18" t="s">
        <v>64</v>
      </c>
      <c r="F86" s="18" t="s">
        <v>179</v>
      </c>
      <c r="G86" s="5">
        <v>46163</v>
      </c>
      <c r="H86" s="5">
        <v>46177</v>
      </c>
      <c r="I86" s="21">
        <f t="shared" si="3"/>
        <v>14</v>
      </c>
      <c r="J86" s="22" t="s">
        <v>3427</v>
      </c>
      <c r="K86" s="11" t="s">
        <v>3422</v>
      </c>
      <c r="L86" s="24"/>
      <c r="M86" s="24"/>
      <c r="N86" s="20" t="s">
        <v>29</v>
      </c>
    </row>
    <row r="87" ht="18" spans="1:14">
      <c r="A87" s="14">
        <f t="shared" si="2"/>
        <v>86</v>
      </c>
      <c r="B87" s="18" t="s">
        <v>3532</v>
      </c>
      <c r="C87" s="120" t="s">
        <v>128</v>
      </c>
      <c r="D87" s="20" t="s">
        <v>74</v>
      </c>
      <c r="E87" s="18" t="s">
        <v>64</v>
      </c>
      <c r="F87" s="18" t="s">
        <v>179</v>
      </c>
      <c r="G87" s="5">
        <v>46163</v>
      </c>
      <c r="H87" s="5">
        <v>46177</v>
      </c>
      <c r="I87" s="21">
        <f t="shared" si="3"/>
        <v>14</v>
      </c>
      <c r="J87" s="22" t="s">
        <v>3427</v>
      </c>
      <c r="K87" s="11" t="s">
        <v>3422</v>
      </c>
      <c r="L87" s="24"/>
      <c r="M87" s="24"/>
      <c r="N87" s="20" t="s">
        <v>29</v>
      </c>
    </row>
    <row r="88" ht="36" spans="1:14">
      <c r="A88" s="10">
        <f t="shared" si="2"/>
        <v>87</v>
      </c>
      <c r="B88" s="18" t="s">
        <v>3533</v>
      </c>
      <c r="C88" s="120" t="s">
        <v>280</v>
      </c>
      <c r="D88" s="20" t="s">
        <v>42</v>
      </c>
      <c r="E88" s="18" t="s">
        <v>63</v>
      </c>
      <c r="F88" s="18" t="s">
        <v>233</v>
      </c>
      <c r="G88" s="5">
        <v>46164</v>
      </c>
      <c r="H88" s="5">
        <v>46177</v>
      </c>
      <c r="I88" s="21">
        <f t="shared" si="3"/>
        <v>13</v>
      </c>
      <c r="J88" s="22" t="s">
        <v>3427</v>
      </c>
      <c r="K88" s="11" t="s">
        <v>3534</v>
      </c>
      <c r="L88" s="24"/>
      <c r="M88" s="24"/>
      <c r="N88" s="20" t="s">
        <v>29</v>
      </c>
    </row>
    <row r="89" ht="18" spans="1:14">
      <c r="A89" s="14">
        <f t="shared" si="2"/>
        <v>88</v>
      </c>
      <c r="B89" s="18" t="s">
        <v>3535</v>
      </c>
      <c r="C89" s="120" t="s">
        <v>282</v>
      </c>
      <c r="D89" s="20" t="s">
        <v>74</v>
      </c>
      <c r="E89" s="18" t="s">
        <v>64</v>
      </c>
      <c r="F89" s="18" t="s">
        <v>179</v>
      </c>
      <c r="G89" s="5">
        <v>46164</v>
      </c>
      <c r="H89" s="5">
        <v>46177</v>
      </c>
      <c r="I89" s="21">
        <f t="shared" si="3"/>
        <v>13</v>
      </c>
      <c r="J89" s="22" t="s">
        <v>3427</v>
      </c>
      <c r="K89" s="11" t="s">
        <v>3422</v>
      </c>
      <c r="L89" s="24"/>
      <c r="M89" s="24"/>
      <c r="N89" s="20" t="s">
        <v>29</v>
      </c>
    </row>
    <row r="90" ht="18" spans="1:14">
      <c r="A90" s="10">
        <f t="shared" si="2"/>
        <v>89</v>
      </c>
      <c r="B90" s="18" t="s">
        <v>3536</v>
      </c>
      <c r="C90" s="120" t="s">
        <v>284</v>
      </c>
      <c r="D90" s="20" t="s">
        <v>74</v>
      </c>
      <c r="E90" s="18" t="s">
        <v>64</v>
      </c>
      <c r="F90" s="18" t="s">
        <v>179</v>
      </c>
      <c r="G90" s="5">
        <v>46164</v>
      </c>
      <c r="H90" s="5">
        <v>46177</v>
      </c>
      <c r="I90" s="21">
        <f t="shared" si="3"/>
        <v>13</v>
      </c>
      <c r="J90" s="22" t="s">
        <v>3427</v>
      </c>
      <c r="K90" s="11" t="s">
        <v>3422</v>
      </c>
      <c r="L90" s="24"/>
      <c r="M90" s="24"/>
      <c r="N90" s="20" t="s">
        <v>29</v>
      </c>
    </row>
    <row r="91" ht="18" spans="1:14">
      <c r="A91" s="14">
        <f t="shared" si="2"/>
        <v>90</v>
      </c>
      <c r="B91" s="18" t="s">
        <v>3537</v>
      </c>
      <c r="C91" s="120" t="s">
        <v>286</v>
      </c>
      <c r="D91" s="20" t="s">
        <v>42</v>
      </c>
      <c r="E91" s="18" t="s">
        <v>62</v>
      </c>
      <c r="F91" s="18" t="s">
        <v>233</v>
      </c>
      <c r="G91" s="5">
        <v>46165</v>
      </c>
      <c r="H91" s="5">
        <v>46177</v>
      </c>
      <c r="I91" s="21">
        <f t="shared" si="3"/>
        <v>12</v>
      </c>
      <c r="J91" s="22" t="s">
        <v>3414</v>
      </c>
      <c r="K91" s="11" t="s">
        <v>3422</v>
      </c>
      <c r="L91" s="24"/>
      <c r="M91" s="24"/>
      <c r="N91" s="20" t="s">
        <v>29</v>
      </c>
    </row>
    <row r="92" ht="18" spans="1:14">
      <c r="A92" s="10">
        <f t="shared" si="2"/>
        <v>91</v>
      </c>
      <c r="B92" s="18" t="s">
        <v>3538</v>
      </c>
      <c r="C92" s="120" t="s">
        <v>126</v>
      </c>
      <c r="D92" s="20" t="s">
        <v>43</v>
      </c>
      <c r="E92" s="18" t="s">
        <v>62</v>
      </c>
      <c r="F92" s="18" t="s">
        <v>468</v>
      </c>
      <c r="G92" s="5">
        <v>46165</v>
      </c>
      <c r="H92" s="5">
        <v>46177</v>
      </c>
      <c r="I92" s="21">
        <f t="shared" si="3"/>
        <v>12</v>
      </c>
      <c r="J92" s="22" t="s">
        <v>3427</v>
      </c>
      <c r="K92" s="11" t="s">
        <v>3539</v>
      </c>
      <c r="L92" s="24"/>
      <c r="M92" s="24"/>
      <c r="N92" s="20" t="s">
        <v>29</v>
      </c>
    </row>
    <row r="93" ht="18" spans="1:14">
      <c r="A93" s="14">
        <f t="shared" si="2"/>
        <v>92</v>
      </c>
      <c r="B93" s="18" t="s">
        <v>3540</v>
      </c>
      <c r="C93" s="120" t="s">
        <v>128</v>
      </c>
      <c r="D93" s="20" t="s">
        <v>43</v>
      </c>
      <c r="E93" s="18" t="s">
        <v>62</v>
      </c>
      <c r="F93" s="18" t="s">
        <v>468</v>
      </c>
      <c r="G93" s="5">
        <v>46165</v>
      </c>
      <c r="H93" s="5">
        <v>46177</v>
      </c>
      <c r="I93" s="21">
        <f t="shared" si="3"/>
        <v>12</v>
      </c>
      <c r="J93" s="22" t="s">
        <v>3427</v>
      </c>
      <c r="K93" s="11" t="s">
        <v>3466</v>
      </c>
      <c r="L93" s="24"/>
      <c r="M93" s="24"/>
      <c r="N93" s="20" t="s">
        <v>29</v>
      </c>
    </row>
    <row r="94" ht="18" spans="1:14">
      <c r="A94" s="10">
        <f t="shared" si="2"/>
        <v>93</v>
      </c>
      <c r="B94" s="18" t="s">
        <v>3541</v>
      </c>
      <c r="C94" s="120" t="s">
        <v>280</v>
      </c>
      <c r="D94" s="20" t="s">
        <v>43</v>
      </c>
      <c r="E94" s="18" t="s">
        <v>63</v>
      </c>
      <c r="F94" s="18" t="s">
        <v>179</v>
      </c>
      <c r="G94" s="5">
        <v>46165</v>
      </c>
      <c r="H94" s="5">
        <v>46177</v>
      </c>
      <c r="I94" s="21">
        <f t="shared" si="3"/>
        <v>12</v>
      </c>
      <c r="J94" s="22" t="s">
        <v>3433</v>
      </c>
      <c r="K94" s="11" t="s">
        <v>3542</v>
      </c>
      <c r="L94" s="24"/>
      <c r="M94" s="24"/>
      <c r="N94" s="20" t="s">
        <v>29</v>
      </c>
    </row>
    <row r="95" ht="36" spans="1:14">
      <c r="A95" s="14">
        <f t="shared" si="2"/>
        <v>94</v>
      </c>
      <c r="B95" s="18" t="s">
        <v>3543</v>
      </c>
      <c r="C95" s="120" t="s">
        <v>282</v>
      </c>
      <c r="D95" s="20" t="s">
        <v>43</v>
      </c>
      <c r="E95" s="18" t="s">
        <v>62</v>
      </c>
      <c r="F95" s="18" t="s">
        <v>179</v>
      </c>
      <c r="G95" s="5">
        <v>46167</v>
      </c>
      <c r="H95" s="5">
        <v>46177</v>
      </c>
      <c r="I95" s="21">
        <f t="shared" si="3"/>
        <v>10</v>
      </c>
      <c r="J95" s="22" t="s">
        <v>3414</v>
      </c>
      <c r="K95" s="11" t="s">
        <v>3544</v>
      </c>
      <c r="L95" s="24"/>
      <c r="M95" s="24"/>
      <c r="N95" s="20" t="s">
        <v>29</v>
      </c>
    </row>
    <row r="96" ht="18" spans="1:14">
      <c r="A96" s="10">
        <f t="shared" si="2"/>
        <v>95</v>
      </c>
      <c r="B96" s="18" t="s">
        <v>3545</v>
      </c>
      <c r="C96" s="120" t="s">
        <v>284</v>
      </c>
      <c r="D96" s="20" t="s">
        <v>42</v>
      </c>
      <c r="E96" s="18" t="s">
        <v>62</v>
      </c>
      <c r="F96" s="18" t="s">
        <v>332</v>
      </c>
      <c r="G96" s="5">
        <v>46168</v>
      </c>
      <c r="H96" s="5">
        <v>46177</v>
      </c>
      <c r="I96" s="21">
        <f t="shared" si="3"/>
        <v>9</v>
      </c>
      <c r="J96" s="22" t="s">
        <v>3475</v>
      </c>
      <c r="K96" s="11" t="s">
        <v>3415</v>
      </c>
      <c r="L96" s="24"/>
      <c r="M96" s="24"/>
      <c r="N96" s="20" t="s">
        <v>29</v>
      </c>
    </row>
    <row r="97" ht="36" spans="1:14">
      <c r="A97" s="14">
        <f t="shared" si="2"/>
        <v>96</v>
      </c>
      <c r="B97" s="18" t="s">
        <v>3546</v>
      </c>
      <c r="C97" s="120" t="s">
        <v>286</v>
      </c>
      <c r="D97" s="20" t="s">
        <v>42</v>
      </c>
      <c r="E97" s="18" t="s">
        <v>62</v>
      </c>
      <c r="F97" s="18" t="s">
        <v>173</v>
      </c>
      <c r="G97" s="5">
        <v>46168</v>
      </c>
      <c r="H97" s="5">
        <v>46177</v>
      </c>
      <c r="I97" s="21">
        <f t="shared" si="3"/>
        <v>9</v>
      </c>
      <c r="J97" s="22" t="s">
        <v>3427</v>
      </c>
      <c r="K97" s="11" t="s">
        <v>3547</v>
      </c>
      <c r="L97" s="24"/>
      <c r="M97" s="24"/>
      <c r="N97" s="20" t="s">
        <v>29</v>
      </c>
    </row>
    <row r="98" ht="18" spans="1:14">
      <c r="A98" s="10">
        <f t="shared" si="2"/>
        <v>97</v>
      </c>
      <c r="B98" s="18" t="s">
        <v>3548</v>
      </c>
      <c r="C98" s="120" t="s">
        <v>126</v>
      </c>
      <c r="D98" s="20" t="s">
        <v>74</v>
      </c>
      <c r="E98" s="18" t="s">
        <v>3449</v>
      </c>
      <c r="F98" s="18" t="s">
        <v>179</v>
      </c>
      <c r="G98" s="5">
        <v>46168</v>
      </c>
      <c r="H98" s="5">
        <v>46177</v>
      </c>
      <c r="I98" s="21">
        <f t="shared" si="3"/>
        <v>9</v>
      </c>
      <c r="J98" s="22" t="s">
        <v>3427</v>
      </c>
      <c r="K98" s="11" t="s">
        <v>3422</v>
      </c>
      <c r="L98" s="24"/>
      <c r="M98" s="24"/>
      <c r="N98" s="20" t="s">
        <v>29</v>
      </c>
    </row>
    <row r="99" ht="18" spans="1:14">
      <c r="A99" s="14">
        <f t="shared" si="2"/>
        <v>98</v>
      </c>
      <c r="B99" s="18" t="s">
        <v>3549</v>
      </c>
      <c r="C99" s="120" t="s">
        <v>128</v>
      </c>
      <c r="D99" s="20" t="s">
        <v>74</v>
      </c>
      <c r="E99" s="18" t="s">
        <v>64</v>
      </c>
      <c r="F99" s="18" t="s">
        <v>117</v>
      </c>
      <c r="G99" s="5">
        <v>46168</v>
      </c>
      <c r="H99" s="5">
        <v>46177</v>
      </c>
      <c r="I99" s="21">
        <f t="shared" si="3"/>
        <v>9</v>
      </c>
      <c r="J99" s="22" t="s">
        <v>3427</v>
      </c>
      <c r="K99" s="11" t="s">
        <v>3422</v>
      </c>
      <c r="L99" s="24"/>
      <c r="M99" s="24"/>
      <c r="N99" s="20" t="s">
        <v>29</v>
      </c>
    </row>
    <row r="100" ht="18" spans="1:14">
      <c r="A100" s="10">
        <f t="shared" si="2"/>
        <v>99</v>
      </c>
      <c r="B100" s="18" t="s">
        <v>604</v>
      </c>
      <c r="C100" s="120" t="s">
        <v>280</v>
      </c>
      <c r="D100" s="20" t="s">
        <v>74</v>
      </c>
      <c r="E100" s="18" t="s">
        <v>64</v>
      </c>
      <c r="F100" s="18" t="s">
        <v>117</v>
      </c>
      <c r="G100" s="5">
        <v>46169</v>
      </c>
      <c r="H100" s="5">
        <v>46177</v>
      </c>
      <c r="I100" s="21">
        <f t="shared" si="3"/>
        <v>8</v>
      </c>
      <c r="J100" s="22" t="s">
        <v>3427</v>
      </c>
      <c r="K100" s="11" t="s">
        <v>3550</v>
      </c>
      <c r="L100" s="24"/>
      <c r="M100" s="24"/>
      <c r="N100" s="20" t="s">
        <v>29</v>
      </c>
    </row>
    <row r="101" ht="18" spans="1:14">
      <c r="A101" s="14">
        <f t="shared" si="2"/>
        <v>100</v>
      </c>
      <c r="B101" s="18" t="s">
        <v>3551</v>
      </c>
      <c r="C101" s="120" t="s">
        <v>282</v>
      </c>
      <c r="D101" s="20" t="s">
        <v>74</v>
      </c>
      <c r="E101" s="18" t="s">
        <v>64</v>
      </c>
      <c r="F101" s="18" t="s">
        <v>179</v>
      </c>
      <c r="G101" s="5">
        <v>46169</v>
      </c>
      <c r="H101" s="5">
        <v>46177</v>
      </c>
      <c r="I101" s="21">
        <f t="shared" si="3"/>
        <v>8</v>
      </c>
      <c r="J101" s="22" t="s">
        <v>3427</v>
      </c>
      <c r="K101" s="11" t="s">
        <v>3422</v>
      </c>
      <c r="L101" s="24"/>
      <c r="M101" s="24"/>
      <c r="N101" s="20" t="s">
        <v>29</v>
      </c>
    </row>
    <row r="102" ht="18" spans="1:14">
      <c r="A102" s="10">
        <f t="shared" si="2"/>
        <v>101</v>
      </c>
      <c r="B102" s="18" t="s">
        <v>3552</v>
      </c>
      <c r="C102" s="120" t="s">
        <v>284</v>
      </c>
      <c r="D102" s="20" t="s">
        <v>74</v>
      </c>
      <c r="E102" s="18" t="s">
        <v>64</v>
      </c>
      <c r="F102" s="18" t="s">
        <v>179</v>
      </c>
      <c r="G102" s="5">
        <v>46169</v>
      </c>
      <c r="H102" s="5">
        <v>46177</v>
      </c>
      <c r="I102" s="21">
        <f t="shared" si="3"/>
        <v>8</v>
      </c>
      <c r="J102" s="22" t="s">
        <v>3427</v>
      </c>
      <c r="K102" s="11" t="s">
        <v>3422</v>
      </c>
      <c r="L102" s="24"/>
      <c r="M102" s="24"/>
      <c r="N102" s="20" t="s">
        <v>29</v>
      </c>
    </row>
    <row r="103" ht="18" spans="1:14">
      <c r="A103" s="14">
        <f t="shared" si="2"/>
        <v>102</v>
      </c>
      <c r="B103" s="18" t="s">
        <v>3553</v>
      </c>
      <c r="C103" s="120" t="s">
        <v>286</v>
      </c>
      <c r="D103" s="20" t="s">
        <v>74</v>
      </c>
      <c r="E103" s="18" t="s">
        <v>64</v>
      </c>
      <c r="F103" s="18" t="s">
        <v>179</v>
      </c>
      <c r="G103" s="5">
        <v>46169</v>
      </c>
      <c r="H103" s="5">
        <v>46177</v>
      </c>
      <c r="I103" s="21">
        <f t="shared" si="3"/>
        <v>8</v>
      </c>
      <c r="J103" s="22" t="s">
        <v>3427</v>
      </c>
      <c r="K103" s="11" t="s">
        <v>3422</v>
      </c>
      <c r="L103" s="24"/>
      <c r="M103" s="24"/>
      <c r="N103" s="20" t="s">
        <v>29</v>
      </c>
    </row>
    <row r="104" ht="18" spans="1:14">
      <c r="A104" s="10">
        <f t="shared" si="2"/>
        <v>103</v>
      </c>
      <c r="B104" s="18" t="s">
        <v>3554</v>
      </c>
      <c r="C104" s="120" t="s">
        <v>126</v>
      </c>
      <c r="D104" s="20" t="s">
        <v>74</v>
      </c>
      <c r="E104" s="18" t="s">
        <v>64</v>
      </c>
      <c r="F104" s="18" t="s">
        <v>179</v>
      </c>
      <c r="G104" s="5">
        <v>46170</v>
      </c>
      <c r="H104" s="5">
        <v>46177</v>
      </c>
      <c r="I104" s="21">
        <f t="shared" si="3"/>
        <v>7</v>
      </c>
      <c r="J104" s="22" t="s">
        <v>3427</v>
      </c>
      <c r="K104" s="11" t="s">
        <v>3422</v>
      </c>
      <c r="L104" s="24"/>
      <c r="M104" s="24"/>
      <c r="N104" s="20" t="s">
        <v>29</v>
      </c>
    </row>
    <row r="105" ht="18" spans="1:14">
      <c r="A105" s="14">
        <f t="shared" si="2"/>
        <v>104</v>
      </c>
      <c r="B105" s="18" t="s">
        <v>3555</v>
      </c>
      <c r="C105" s="120" t="s">
        <v>128</v>
      </c>
      <c r="D105" s="20" t="s">
        <v>74</v>
      </c>
      <c r="E105" s="18" t="s">
        <v>64</v>
      </c>
      <c r="F105" s="18" t="s">
        <v>179</v>
      </c>
      <c r="G105" s="5">
        <v>46170</v>
      </c>
      <c r="H105" s="5">
        <v>46177</v>
      </c>
      <c r="I105" s="21">
        <f t="shared" si="3"/>
        <v>7</v>
      </c>
      <c r="J105" s="22" t="s">
        <v>3427</v>
      </c>
      <c r="K105" s="11" t="s">
        <v>3422</v>
      </c>
      <c r="L105" s="24"/>
      <c r="M105" s="24"/>
      <c r="N105" s="20" t="s">
        <v>29</v>
      </c>
    </row>
    <row r="106" ht="18" spans="1:14">
      <c r="A106" s="10">
        <f t="shared" si="2"/>
        <v>105</v>
      </c>
      <c r="B106" s="18" t="s">
        <v>3556</v>
      </c>
      <c r="C106" s="120" t="s">
        <v>280</v>
      </c>
      <c r="D106" s="20" t="s">
        <v>74</v>
      </c>
      <c r="E106" s="18" t="s">
        <v>3449</v>
      </c>
      <c r="F106" s="18" t="s">
        <v>117</v>
      </c>
      <c r="G106" s="5">
        <v>46170</v>
      </c>
      <c r="H106" s="5">
        <v>46177</v>
      </c>
      <c r="I106" s="21">
        <f t="shared" si="3"/>
        <v>7</v>
      </c>
      <c r="J106" s="22" t="s">
        <v>3427</v>
      </c>
      <c r="K106" s="11" t="s">
        <v>3422</v>
      </c>
      <c r="L106" s="24"/>
      <c r="M106" s="24"/>
      <c r="N106" s="20" t="s">
        <v>29</v>
      </c>
    </row>
    <row r="107" ht="18" spans="1:14">
      <c r="A107" s="14">
        <f t="shared" si="2"/>
        <v>106</v>
      </c>
      <c r="B107" s="18" t="s">
        <v>3557</v>
      </c>
      <c r="C107" s="120" t="s">
        <v>282</v>
      </c>
      <c r="D107" s="20" t="s">
        <v>74</v>
      </c>
      <c r="E107" s="18" t="s">
        <v>64</v>
      </c>
      <c r="F107" s="18" t="s">
        <v>179</v>
      </c>
      <c r="G107" s="5">
        <v>46170</v>
      </c>
      <c r="H107" s="5">
        <v>46177</v>
      </c>
      <c r="I107" s="21">
        <f t="shared" si="3"/>
        <v>7</v>
      </c>
      <c r="J107" s="22" t="s">
        <v>3427</v>
      </c>
      <c r="K107" s="11" t="s">
        <v>3422</v>
      </c>
      <c r="L107" s="24"/>
      <c r="M107" s="24"/>
      <c r="N107" s="20" t="s">
        <v>29</v>
      </c>
    </row>
    <row r="108" ht="18" spans="1:14">
      <c r="A108" s="10">
        <f t="shared" si="2"/>
        <v>107</v>
      </c>
      <c r="B108" s="18" t="s">
        <v>3558</v>
      </c>
      <c r="C108" s="120" t="s">
        <v>284</v>
      </c>
      <c r="D108" s="20" t="s">
        <v>74</v>
      </c>
      <c r="E108" s="18" t="s">
        <v>64</v>
      </c>
      <c r="F108" s="18" t="s">
        <v>179</v>
      </c>
      <c r="G108" s="5">
        <v>46170</v>
      </c>
      <c r="H108" s="5">
        <v>46177</v>
      </c>
      <c r="I108" s="21">
        <f t="shared" si="3"/>
        <v>7</v>
      </c>
      <c r="J108" s="22" t="s">
        <v>3427</v>
      </c>
      <c r="K108" s="11" t="s">
        <v>3422</v>
      </c>
      <c r="L108" s="24"/>
      <c r="M108" s="24"/>
      <c r="N108" s="20" t="s">
        <v>29</v>
      </c>
    </row>
    <row r="109" ht="18" spans="1:14">
      <c r="A109" s="14">
        <f t="shared" si="2"/>
        <v>108</v>
      </c>
      <c r="B109" s="18" t="s">
        <v>3559</v>
      </c>
      <c r="C109" s="120" t="s">
        <v>286</v>
      </c>
      <c r="D109" s="20" t="s">
        <v>74</v>
      </c>
      <c r="E109" s="18" t="s">
        <v>3449</v>
      </c>
      <c r="F109" s="18" t="s">
        <v>117</v>
      </c>
      <c r="G109" s="5">
        <v>46171</v>
      </c>
      <c r="H109" s="5">
        <v>46177</v>
      </c>
      <c r="I109" s="21">
        <f t="shared" si="3"/>
        <v>6</v>
      </c>
      <c r="J109" s="22" t="s">
        <v>3427</v>
      </c>
      <c r="K109" s="11" t="s">
        <v>3422</v>
      </c>
      <c r="L109" s="24"/>
      <c r="M109" s="24"/>
      <c r="N109" s="20" t="s">
        <v>29</v>
      </c>
    </row>
    <row r="110" ht="18" spans="1:14">
      <c r="A110" s="10">
        <f t="shared" si="2"/>
        <v>109</v>
      </c>
      <c r="B110" s="18" t="s">
        <v>3560</v>
      </c>
      <c r="C110" s="120" t="s">
        <v>126</v>
      </c>
      <c r="D110" s="20" t="s">
        <v>74</v>
      </c>
      <c r="E110" s="18" t="s">
        <v>64</v>
      </c>
      <c r="F110" s="18" t="s">
        <v>246</v>
      </c>
      <c r="G110" s="5">
        <v>46172</v>
      </c>
      <c r="H110" s="5">
        <v>46177</v>
      </c>
      <c r="I110" s="21">
        <f t="shared" si="3"/>
        <v>5</v>
      </c>
      <c r="J110" s="22" t="s">
        <v>3427</v>
      </c>
      <c r="K110" s="11" t="s">
        <v>3422</v>
      </c>
      <c r="L110" s="24"/>
      <c r="M110" s="24"/>
      <c r="N110" s="20" t="s">
        <v>29</v>
      </c>
    </row>
    <row r="111" ht="18" spans="1:14">
      <c r="A111" s="14">
        <f t="shared" si="2"/>
        <v>110</v>
      </c>
      <c r="B111" s="18" t="s">
        <v>3561</v>
      </c>
      <c r="C111" s="120" t="s">
        <v>128</v>
      </c>
      <c r="D111" s="20" t="s">
        <v>74</v>
      </c>
      <c r="E111" s="18" t="s">
        <v>64</v>
      </c>
      <c r="F111" s="18" t="s">
        <v>179</v>
      </c>
      <c r="G111" s="5">
        <v>46172</v>
      </c>
      <c r="H111" s="5">
        <v>46177</v>
      </c>
      <c r="I111" s="21">
        <f t="shared" si="3"/>
        <v>5</v>
      </c>
      <c r="J111" s="22" t="s">
        <v>3427</v>
      </c>
      <c r="K111" s="11" t="s">
        <v>3422</v>
      </c>
      <c r="L111" s="24"/>
      <c r="M111" s="24"/>
      <c r="N111" s="20" t="s">
        <v>29</v>
      </c>
    </row>
    <row r="112" ht="18" spans="1:14">
      <c r="A112" s="10">
        <f t="shared" si="2"/>
        <v>111</v>
      </c>
      <c r="B112" s="18" t="s">
        <v>3562</v>
      </c>
      <c r="C112" s="120" t="s">
        <v>280</v>
      </c>
      <c r="D112" s="20" t="s">
        <v>74</v>
      </c>
      <c r="E112" s="18" t="s">
        <v>64</v>
      </c>
      <c r="F112" s="18" t="s">
        <v>179</v>
      </c>
      <c r="G112" s="5">
        <v>46172</v>
      </c>
      <c r="H112" s="5">
        <v>46177</v>
      </c>
      <c r="I112" s="21">
        <f t="shared" si="3"/>
        <v>5</v>
      </c>
      <c r="J112" s="22" t="s">
        <v>3427</v>
      </c>
      <c r="K112" s="11" t="s">
        <v>3422</v>
      </c>
      <c r="L112" s="24"/>
      <c r="M112" s="24"/>
      <c r="N112" s="20" t="s">
        <v>29</v>
      </c>
    </row>
    <row r="113" ht="18" spans="1:14">
      <c r="A113" s="14">
        <f t="shared" si="2"/>
        <v>112</v>
      </c>
      <c r="B113" s="18" t="s">
        <v>3563</v>
      </c>
      <c r="C113" s="120" t="s">
        <v>282</v>
      </c>
      <c r="D113" s="20" t="s">
        <v>43</v>
      </c>
      <c r="E113" s="18" t="s">
        <v>62</v>
      </c>
      <c r="F113" s="18" t="s">
        <v>468</v>
      </c>
      <c r="G113" s="5">
        <v>46173</v>
      </c>
      <c r="H113" s="5">
        <v>46177</v>
      </c>
      <c r="I113" s="21">
        <f t="shared" si="3"/>
        <v>4</v>
      </c>
      <c r="J113" s="22" t="s">
        <v>3427</v>
      </c>
      <c r="K113" s="11" t="s">
        <v>3466</v>
      </c>
      <c r="L113" s="24"/>
      <c r="M113" s="24"/>
      <c r="N113" s="20" t="s">
        <v>29</v>
      </c>
    </row>
    <row r="114" ht="18" spans="1:14">
      <c r="A114" s="10">
        <f t="shared" si="2"/>
        <v>113</v>
      </c>
      <c r="B114" s="18" t="s">
        <v>3564</v>
      </c>
      <c r="C114" s="120" t="s">
        <v>284</v>
      </c>
      <c r="D114" s="20" t="s">
        <v>43</v>
      </c>
      <c r="E114" s="18" t="s">
        <v>62</v>
      </c>
      <c r="F114" s="18" t="s">
        <v>468</v>
      </c>
      <c r="G114" s="5">
        <v>46173</v>
      </c>
      <c r="H114" s="5">
        <v>46177</v>
      </c>
      <c r="I114" s="21">
        <f t="shared" si="3"/>
        <v>4</v>
      </c>
      <c r="J114" s="22" t="s">
        <v>3427</v>
      </c>
      <c r="K114" s="11" t="s">
        <v>3466</v>
      </c>
      <c r="L114" s="24"/>
      <c r="M114" s="24"/>
      <c r="N114" s="20" t="s">
        <v>29</v>
      </c>
    </row>
    <row r="115" ht="18" spans="1:14">
      <c r="A115" s="14">
        <f t="shared" si="2"/>
        <v>114</v>
      </c>
      <c r="B115" s="18" t="s">
        <v>3565</v>
      </c>
      <c r="C115" s="120" t="s">
        <v>286</v>
      </c>
      <c r="D115" s="20" t="s">
        <v>74</v>
      </c>
      <c r="E115" s="18" t="s">
        <v>64</v>
      </c>
      <c r="F115" s="18" t="s">
        <v>246</v>
      </c>
      <c r="G115" s="5">
        <v>46173</v>
      </c>
      <c r="H115" s="5">
        <v>46177</v>
      </c>
      <c r="I115" s="21">
        <f t="shared" si="3"/>
        <v>4</v>
      </c>
      <c r="J115" s="22" t="s">
        <v>3427</v>
      </c>
      <c r="K115" s="11" t="s">
        <v>3436</v>
      </c>
      <c r="L115" s="24"/>
      <c r="M115" s="24"/>
      <c r="N115" s="20" t="s">
        <v>29</v>
      </c>
    </row>
    <row r="116" ht="18" spans="1:14">
      <c r="A116" s="10">
        <f t="shared" si="2"/>
        <v>115</v>
      </c>
      <c r="B116" s="18" t="s">
        <v>101</v>
      </c>
      <c r="C116" s="120" t="s">
        <v>126</v>
      </c>
      <c r="D116" s="20" t="s">
        <v>42</v>
      </c>
      <c r="E116" s="18" t="s">
        <v>62</v>
      </c>
      <c r="F116" s="18" t="s">
        <v>103</v>
      </c>
      <c r="G116" s="5">
        <v>46174</v>
      </c>
      <c r="H116" s="5">
        <v>46177</v>
      </c>
      <c r="I116" s="21">
        <f t="shared" si="3"/>
        <v>3</v>
      </c>
      <c r="J116" s="22" t="s">
        <v>3427</v>
      </c>
      <c r="K116" s="11" t="s">
        <v>3566</v>
      </c>
      <c r="L116" s="24"/>
      <c r="M116" s="24"/>
      <c r="N116" s="20" t="s">
        <v>29</v>
      </c>
    </row>
    <row r="117" ht="18" spans="1:14">
      <c r="A117" s="14">
        <f t="shared" si="2"/>
        <v>116</v>
      </c>
      <c r="B117" s="18" t="s">
        <v>193</v>
      </c>
      <c r="C117" s="120" t="s">
        <v>128</v>
      </c>
      <c r="D117" s="20" t="s">
        <v>74</v>
      </c>
      <c r="E117" s="18" t="s">
        <v>64</v>
      </c>
      <c r="F117" s="18" t="s">
        <v>179</v>
      </c>
      <c r="G117" s="5">
        <v>46174</v>
      </c>
      <c r="H117" s="5">
        <v>46177</v>
      </c>
      <c r="I117" s="21">
        <f t="shared" si="3"/>
        <v>3</v>
      </c>
      <c r="J117" s="22" t="s">
        <v>3427</v>
      </c>
      <c r="K117" s="11" t="s">
        <v>3454</v>
      </c>
      <c r="L117" s="24"/>
      <c r="M117" s="24"/>
      <c r="N117" s="20" t="s">
        <v>29</v>
      </c>
    </row>
    <row r="118" ht="18" spans="1:14">
      <c r="A118" s="10">
        <f t="shared" si="2"/>
        <v>117</v>
      </c>
      <c r="B118" s="18" t="s">
        <v>427</v>
      </c>
      <c r="C118" s="120" t="s">
        <v>280</v>
      </c>
      <c r="D118" s="20" t="s">
        <v>74</v>
      </c>
      <c r="E118" s="18" t="s">
        <v>64</v>
      </c>
      <c r="F118" s="18" t="s">
        <v>179</v>
      </c>
      <c r="G118" s="5">
        <v>46175</v>
      </c>
      <c r="H118" s="5">
        <v>46177</v>
      </c>
      <c r="I118" s="21">
        <f t="shared" si="3"/>
        <v>2</v>
      </c>
      <c r="J118" s="22" t="s">
        <v>3427</v>
      </c>
      <c r="K118" s="11" t="s">
        <v>3422</v>
      </c>
      <c r="L118" s="24"/>
      <c r="M118" s="24"/>
      <c r="N118" s="20" t="s">
        <v>29</v>
      </c>
    </row>
    <row r="119" ht="18" spans="1:14">
      <c r="A119" s="14">
        <f t="shared" si="2"/>
        <v>118</v>
      </c>
      <c r="B119" s="18" t="s">
        <v>3567</v>
      </c>
      <c r="C119" s="120" t="s">
        <v>282</v>
      </c>
      <c r="D119" s="20" t="s">
        <v>42</v>
      </c>
      <c r="E119" s="18" t="s">
        <v>64</v>
      </c>
      <c r="F119" s="18" t="s">
        <v>173</v>
      </c>
      <c r="G119" s="5">
        <v>46176</v>
      </c>
      <c r="H119" s="5">
        <v>46177</v>
      </c>
      <c r="I119" s="21">
        <f t="shared" si="3"/>
        <v>1</v>
      </c>
      <c r="J119" s="22" t="s">
        <v>3427</v>
      </c>
      <c r="K119" s="11" t="s">
        <v>3568</v>
      </c>
      <c r="L119" s="24"/>
      <c r="M119" s="24"/>
      <c r="N119" s="20" t="s">
        <v>29</v>
      </c>
    </row>
    <row r="120" ht="18" spans="1:14">
      <c r="A120" s="10">
        <f t="shared" si="2"/>
        <v>119</v>
      </c>
      <c r="B120" s="18" t="s">
        <v>3569</v>
      </c>
      <c r="C120" s="120" t="s">
        <v>284</v>
      </c>
      <c r="D120" s="20" t="s">
        <v>43</v>
      </c>
      <c r="E120" s="18" t="s">
        <v>62</v>
      </c>
      <c r="F120" s="18" t="s">
        <v>173</v>
      </c>
      <c r="G120" s="5">
        <v>46176</v>
      </c>
      <c r="H120" s="5">
        <v>46177</v>
      </c>
      <c r="I120" s="21">
        <f t="shared" si="3"/>
        <v>1</v>
      </c>
      <c r="J120" s="22" t="s">
        <v>3451</v>
      </c>
      <c r="K120" s="11" t="s">
        <v>3415</v>
      </c>
      <c r="L120" s="24"/>
      <c r="M120" s="24"/>
      <c r="N120" s="20" t="s">
        <v>29</v>
      </c>
    </row>
    <row r="121" ht="18" spans="1:14">
      <c r="A121" s="14">
        <f t="shared" si="2"/>
        <v>120</v>
      </c>
      <c r="B121" s="18" t="s">
        <v>2017</v>
      </c>
      <c r="C121" s="120" t="s">
        <v>286</v>
      </c>
      <c r="D121" s="20" t="s">
        <v>42</v>
      </c>
      <c r="E121" s="18" t="s">
        <v>63</v>
      </c>
      <c r="F121" s="18" t="s">
        <v>124</v>
      </c>
      <c r="G121" s="5">
        <v>46118</v>
      </c>
      <c r="H121" s="5">
        <v>46177</v>
      </c>
      <c r="I121" s="21">
        <f t="shared" si="3"/>
        <v>59</v>
      </c>
      <c r="J121" s="22" t="s">
        <v>3427</v>
      </c>
      <c r="K121" s="11" t="s">
        <v>3412</v>
      </c>
      <c r="L121" s="24"/>
      <c r="M121" s="24"/>
      <c r="N121" s="20" t="s">
        <v>29</v>
      </c>
    </row>
    <row r="122" ht="18" spans="1:14">
      <c r="A122" s="10">
        <f t="shared" si="2"/>
        <v>121</v>
      </c>
      <c r="B122" s="18" t="s">
        <v>3570</v>
      </c>
      <c r="C122" s="120" t="s">
        <v>126</v>
      </c>
      <c r="D122" s="20" t="s">
        <v>42</v>
      </c>
      <c r="E122" s="18" t="s">
        <v>63</v>
      </c>
      <c r="F122" s="18" t="s">
        <v>179</v>
      </c>
      <c r="G122" s="5">
        <v>46128</v>
      </c>
      <c r="H122" s="5">
        <v>46177</v>
      </c>
      <c r="I122" s="21">
        <f t="shared" si="3"/>
        <v>49</v>
      </c>
      <c r="J122" s="22" t="s">
        <v>3411</v>
      </c>
      <c r="K122" s="11" t="s">
        <v>3417</v>
      </c>
      <c r="L122" s="24"/>
      <c r="M122" s="24"/>
      <c r="N122" s="20" t="s">
        <v>29</v>
      </c>
    </row>
    <row r="123" ht="18" spans="1:14">
      <c r="A123" s="14">
        <f t="shared" si="2"/>
        <v>122</v>
      </c>
      <c r="B123" s="18" t="s">
        <v>3571</v>
      </c>
      <c r="C123" s="120" t="s">
        <v>128</v>
      </c>
      <c r="D123" s="20" t="s">
        <v>74</v>
      </c>
      <c r="E123" s="18" t="s">
        <v>64</v>
      </c>
      <c r="F123" s="18" t="s">
        <v>117</v>
      </c>
      <c r="G123" s="5">
        <v>46137</v>
      </c>
      <c r="H123" s="5">
        <v>46177</v>
      </c>
      <c r="I123" s="21">
        <f t="shared" si="3"/>
        <v>40</v>
      </c>
      <c r="J123" s="22" t="s">
        <v>3427</v>
      </c>
      <c r="K123" s="11" t="s">
        <v>3422</v>
      </c>
      <c r="L123" s="24"/>
      <c r="M123" s="24"/>
      <c r="N123" s="20" t="s">
        <v>29</v>
      </c>
    </row>
    <row r="124" ht="18" spans="1:14">
      <c r="A124" s="10">
        <f t="shared" si="2"/>
        <v>123</v>
      </c>
      <c r="B124" s="18" t="s">
        <v>3572</v>
      </c>
      <c r="C124" s="120" t="s">
        <v>280</v>
      </c>
      <c r="D124" s="20" t="s">
        <v>74</v>
      </c>
      <c r="E124" s="18" t="s">
        <v>64</v>
      </c>
      <c r="F124" s="18" t="s">
        <v>426</v>
      </c>
      <c r="G124" s="5">
        <v>46137</v>
      </c>
      <c r="H124" s="5">
        <v>46177</v>
      </c>
      <c r="I124" s="21">
        <f t="shared" si="3"/>
        <v>40</v>
      </c>
      <c r="J124" s="22" t="s">
        <v>3427</v>
      </c>
      <c r="K124" s="11" t="s">
        <v>3573</v>
      </c>
      <c r="L124" s="24"/>
      <c r="M124" s="24"/>
      <c r="N124" s="20" t="s">
        <v>29</v>
      </c>
    </row>
    <row r="125" ht="18" spans="1:14">
      <c r="A125" s="14">
        <f t="shared" si="2"/>
        <v>124</v>
      </c>
      <c r="B125" s="18" t="s">
        <v>3574</v>
      </c>
      <c r="C125" s="120" t="s">
        <v>282</v>
      </c>
      <c r="D125" s="20" t="s">
        <v>74</v>
      </c>
      <c r="E125" s="18" t="s">
        <v>64</v>
      </c>
      <c r="F125" s="18" t="s">
        <v>117</v>
      </c>
      <c r="G125" s="5">
        <v>46138</v>
      </c>
      <c r="H125" s="5">
        <v>46177</v>
      </c>
      <c r="I125" s="21">
        <f t="shared" si="3"/>
        <v>39</v>
      </c>
      <c r="J125" s="22" t="s">
        <v>3427</v>
      </c>
      <c r="K125" s="11" t="s">
        <v>3422</v>
      </c>
      <c r="L125" s="24"/>
      <c r="M125" s="24"/>
      <c r="N125" s="20" t="s">
        <v>29</v>
      </c>
    </row>
    <row r="126" ht="18" spans="1:14">
      <c r="A126" s="10">
        <f t="shared" si="2"/>
        <v>125</v>
      </c>
      <c r="B126" s="18" t="s">
        <v>671</v>
      </c>
      <c r="C126" s="120" t="s">
        <v>284</v>
      </c>
      <c r="D126" s="20" t="s">
        <v>43</v>
      </c>
      <c r="E126" s="18" t="s">
        <v>64</v>
      </c>
      <c r="F126" s="18" t="s">
        <v>426</v>
      </c>
      <c r="G126" s="5">
        <v>46142</v>
      </c>
      <c r="H126" s="5">
        <v>46177</v>
      </c>
      <c r="I126" s="21">
        <f t="shared" si="3"/>
        <v>35</v>
      </c>
      <c r="J126" s="22" t="s">
        <v>3475</v>
      </c>
      <c r="K126" s="11" t="s">
        <v>3415</v>
      </c>
      <c r="L126" s="24"/>
      <c r="M126" s="24"/>
      <c r="N126" s="20" t="s">
        <v>29</v>
      </c>
    </row>
    <row r="127" ht="18" spans="1:14">
      <c r="A127" s="14">
        <f t="shared" si="2"/>
        <v>126</v>
      </c>
      <c r="B127" s="18" t="s">
        <v>1424</v>
      </c>
      <c r="C127" s="120" t="s">
        <v>286</v>
      </c>
      <c r="D127" s="20" t="s">
        <v>43</v>
      </c>
      <c r="E127" s="18" t="s">
        <v>63</v>
      </c>
      <c r="F127" s="18" t="s">
        <v>733</v>
      </c>
      <c r="G127" s="5">
        <v>46146</v>
      </c>
      <c r="H127" s="5">
        <v>46177</v>
      </c>
      <c r="I127" s="21">
        <f t="shared" si="3"/>
        <v>31</v>
      </c>
      <c r="J127" s="22" t="s">
        <v>3475</v>
      </c>
      <c r="K127" s="11" t="s">
        <v>3575</v>
      </c>
      <c r="L127" s="24"/>
      <c r="M127" s="24"/>
      <c r="N127" s="20" t="s">
        <v>29</v>
      </c>
    </row>
    <row r="128" ht="36" spans="1:14">
      <c r="A128" s="10">
        <f t="shared" si="2"/>
        <v>127</v>
      </c>
      <c r="B128" s="18" t="s">
        <v>3576</v>
      </c>
      <c r="C128" s="120" t="s">
        <v>126</v>
      </c>
      <c r="D128" s="20" t="s">
        <v>43</v>
      </c>
      <c r="E128" s="18" t="s">
        <v>62</v>
      </c>
      <c r="F128" s="18" t="s">
        <v>173</v>
      </c>
      <c r="G128" s="5">
        <v>46150</v>
      </c>
      <c r="H128" s="5">
        <v>46177</v>
      </c>
      <c r="I128" s="21">
        <f t="shared" si="3"/>
        <v>27</v>
      </c>
      <c r="J128" s="22" t="s">
        <v>3427</v>
      </c>
      <c r="K128" s="11" t="s">
        <v>3577</v>
      </c>
      <c r="L128" s="24"/>
      <c r="M128" s="24"/>
      <c r="N128" s="20" t="s">
        <v>29</v>
      </c>
    </row>
    <row r="129" ht="18" spans="1:14">
      <c r="A129" s="14">
        <f t="shared" si="2"/>
        <v>128</v>
      </c>
      <c r="B129" s="18" t="s">
        <v>3578</v>
      </c>
      <c r="C129" s="120" t="s">
        <v>128</v>
      </c>
      <c r="D129" s="20" t="s">
        <v>42</v>
      </c>
      <c r="E129" s="18" t="s">
        <v>63</v>
      </c>
      <c r="F129" s="18" t="s">
        <v>117</v>
      </c>
      <c r="G129" s="5">
        <v>46154</v>
      </c>
      <c r="H129" s="5">
        <v>46177</v>
      </c>
      <c r="I129" s="21">
        <f t="shared" si="3"/>
        <v>23</v>
      </c>
      <c r="J129" s="22" t="s">
        <v>3411</v>
      </c>
      <c r="K129" s="11" t="s">
        <v>3436</v>
      </c>
      <c r="L129" s="24"/>
      <c r="M129" s="24"/>
      <c r="N129" s="20" t="s">
        <v>29</v>
      </c>
    </row>
    <row r="130" ht="36" spans="1:14">
      <c r="A130" s="10">
        <f t="shared" ref="A130:A193" si="4">IF(B130&lt;&gt;"",ROW()-1,"")</f>
        <v>129</v>
      </c>
      <c r="B130" s="18" t="s">
        <v>3579</v>
      </c>
      <c r="C130" s="120" t="s">
        <v>280</v>
      </c>
      <c r="D130" s="20" t="s">
        <v>74</v>
      </c>
      <c r="E130" s="18" t="s">
        <v>64</v>
      </c>
      <c r="F130" s="18" t="s">
        <v>117</v>
      </c>
      <c r="G130" s="5">
        <v>46161</v>
      </c>
      <c r="H130" s="5">
        <v>46177</v>
      </c>
      <c r="I130" s="21">
        <f t="shared" ref="I130:I193" si="5">IF(AND(G130&lt;&gt;"",H130&lt;&gt;""),H130-G130,"")</f>
        <v>16</v>
      </c>
      <c r="J130" s="22" t="s">
        <v>3427</v>
      </c>
      <c r="K130" s="11" t="s">
        <v>3580</v>
      </c>
      <c r="L130" s="24"/>
      <c r="M130" s="24"/>
      <c r="N130" s="20" t="s">
        <v>29</v>
      </c>
    </row>
    <row r="131" ht="36" spans="1:14">
      <c r="A131" s="14">
        <f t="shared" si="4"/>
        <v>130</v>
      </c>
      <c r="B131" s="18" t="s">
        <v>3581</v>
      </c>
      <c r="C131" s="120" t="s">
        <v>282</v>
      </c>
      <c r="D131" s="20" t="s">
        <v>42</v>
      </c>
      <c r="E131" s="18" t="s">
        <v>63</v>
      </c>
      <c r="F131" s="18" t="s">
        <v>307</v>
      </c>
      <c r="G131" s="5">
        <v>46167</v>
      </c>
      <c r="H131" s="5">
        <v>46177</v>
      </c>
      <c r="I131" s="21">
        <f t="shared" si="5"/>
        <v>10</v>
      </c>
      <c r="J131" s="22" t="s">
        <v>3427</v>
      </c>
      <c r="K131" s="11" t="s">
        <v>3582</v>
      </c>
      <c r="L131" s="24"/>
      <c r="M131" s="24"/>
      <c r="N131" s="20" t="s">
        <v>29</v>
      </c>
    </row>
    <row r="132" ht="18" spans="1:14">
      <c r="A132" s="10">
        <f t="shared" si="4"/>
        <v>131</v>
      </c>
      <c r="B132" s="18" t="s">
        <v>3583</v>
      </c>
      <c r="C132" s="120" t="s">
        <v>284</v>
      </c>
      <c r="D132" s="20" t="s">
        <v>42</v>
      </c>
      <c r="E132" s="18" t="s">
        <v>63</v>
      </c>
      <c r="F132" s="18" t="s">
        <v>307</v>
      </c>
      <c r="G132" s="5">
        <v>46167</v>
      </c>
      <c r="H132" s="5">
        <v>46177</v>
      </c>
      <c r="I132" s="21">
        <f t="shared" si="5"/>
        <v>10</v>
      </c>
      <c r="J132" s="22" t="s">
        <v>3427</v>
      </c>
      <c r="K132" s="11" t="s">
        <v>3499</v>
      </c>
      <c r="L132" s="24"/>
      <c r="M132" s="24"/>
      <c r="N132" s="20" t="s">
        <v>29</v>
      </c>
    </row>
    <row r="133" ht="18" spans="1:14">
      <c r="A133" s="14">
        <f t="shared" si="4"/>
        <v>132</v>
      </c>
      <c r="B133" s="18" t="s">
        <v>3584</v>
      </c>
      <c r="C133" s="120" t="s">
        <v>286</v>
      </c>
      <c r="D133" s="20" t="s">
        <v>74</v>
      </c>
      <c r="E133" s="18" t="s">
        <v>64</v>
      </c>
      <c r="F133" s="18" t="s">
        <v>179</v>
      </c>
      <c r="G133" s="5">
        <v>46170</v>
      </c>
      <c r="H133" s="5">
        <v>46177</v>
      </c>
      <c r="I133" s="21">
        <f t="shared" si="5"/>
        <v>7</v>
      </c>
      <c r="J133" s="22" t="s">
        <v>3427</v>
      </c>
      <c r="K133" s="11" t="s">
        <v>3415</v>
      </c>
      <c r="L133" s="24"/>
      <c r="M133" s="24"/>
      <c r="N133" s="20" t="s">
        <v>29</v>
      </c>
    </row>
    <row r="134" ht="18" spans="1:14">
      <c r="A134" s="10">
        <f t="shared" si="4"/>
        <v>133</v>
      </c>
      <c r="B134" s="18" t="s">
        <v>3585</v>
      </c>
      <c r="C134" s="120" t="s">
        <v>126</v>
      </c>
      <c r="D134" s="20" t="s">
        <v>74</v>
      </c>
      <c r="E134" s="18" t="s">
        <v>64</v>
      </c>
      <c r="F134" s="18" t="s">
        <v>135</v>
      </c>
      <c r="G134" s="5">
        <v>46171</v>
      </c>
      <c r="H134" s="5">
        <v>46177</v>
      </c>
      <c r="I134" s="21">
        <f t="shared" si="5"/>
        <v>6</v>
      </c>
      <c r="J134" s="22" t="s">
        <v>3427</v>
      </c>
      <c r="K134" s="11" t="s">
        <v>3415</v>
      </c>
      <c r="L134" s="24"/>
      <c r="M134" s="24"/>
      <c r="N134" s="20" t="s">
        <v>29</v>
      </c>
    </row>
    <row r="135" ht="18" spans="1:14">
      <c r="A135" s="14">
        <f t="shared" si="4"/>
        <v>134</v>
      </c>
      <c r="B135" s="18" t="s">
        <v>3586</v>
      </c>
      <c r="C135" s="120" t="s">
        <v>128</v>
      </c>
      <c r="D135" s="20" t="s">
        <v>43</v>
      </c>
      <c r="E135" s="18" t="s">
        <v>64</v>
      </c>
      <c r="F135" s="18" t="s">
        <v>179</v>
      </c>
      <c r="G135" s="5">
        <v>46171</v>
      </c>
      <c r="H135" s="5">
        <v>46177</v>
      </c>
      <c r="I135" s="21">
        <f t="shared" si="5"/>
        <v>6</v>
      </c>
      <c r="J135" s="22" t="s">
        <v>3433</v>
      </c>
      <c r="K135" s="11" t="s">
        <v>3415</v>
      </c>
      <c r="L135" s="24"/>
      <c r="M135" s="24"/>
      <c r="N135" s="20" t="s">
        <v>29</v>
      </c>
    </row>
    <row r="136" ht="18" spans="1:14">
      <c r="A136" s="10">
        <f t="shared" si="4"/>
        <v>135</v>
      </c>
      <c r="B136" s="18" t="s">
        <v>3587</v>
      </c>
      <c r="C136" s="120" t="s">
        <v>280</v>
      </c>
      <c r="D136" s="20" t="s">
        <v>43</v>
      </c>
      <c r="E136" s="18" t="s">
        <v>64</v>
      </c>
      <c r="F136" s="18" t="s">
        <v>179</v>
      </c>
      <c r="G136" s="5">
        <v>46171</v>
      </c>
      <c r="H136" s="5">
        <v>46177</v>
      </c>
      <c r="I136" s="21">
        <f t="shared" si="5"/>
        <v>6</v>
      </c>
      <c r="J136" s="22" t="s">
        <v>3433</v>
      </c>
      <c r="K136" s="11" t="s">
        <v>3417</v>
      </c>
      <c r="L136" s="24"/>
      <c r="M136" s="24"/>
      <c r="N136" s="20" t="s">
        <v>29</v>
      </c>
    </row>
    <row r="137" ht="18" spans="1:14">
      <c r="A137" s="14">
        <f t="shared" si="4"/>
        <v>136</v>
      </c>
      <c r="B137" s="18" t="s">
        <v>138</v>
      </c>
      <c r="C137" s="120" t="s">
        <v>282</v>
      </c>
      <c r="D137" s="20" t="s">
        <v>74</v>
      </c>
      <c r="E137" s="18" t="s">
        <v>64</v>
      </c>
      <c r="F137" s="18" t="s">
        <v>135</v>
      </c>
      <c r="G137" s="5">
        <v>46174</v>
      </c>
      <c r="H137" s="5">
        <v>46177</v>
      </c>
      <c r="I137" s="21">
        <f t="shared" si="5"/>
        <v>3</v>
      </c>
      <c r="J137" s="22" t="s">
        <v>3427</v>
      </c>
      <c r="K137" s="11" t="s">
        <v>3588</v>
      </c>
      <c r="L137" s="24"/>
      <c r="M137" s="24"/>
      <c r="N137" s="20" t="s">
        <v>29</v>
      </c>
    </row>
    <row r="138" ht="18" spans="1:14">
      <c r="A138" s="10">
        <f t="shared" si="4"/>
        <v>137</v>
      </c>
      <c r="B138" s="18" t="s">
        <v>140</v>
      </c>
      <c r="C138" s="120" t="s">
        <v>284</v>
      </c>
      <c r="D138" s="20" t="s">
        <v>74</v>
      </c>
      <c r="E138" s="18" t="s">
        <v>64</v>
      </c>
      <c r="F138" s="18" t="s">
        <v>135</v>
      </c>
      <c r="G138" s="5">
        <v>46174</v>
      </c>
      <c r="H138" s="5">
        <v>46177</v>
      </c>
      <c r="I138" s="21">
        <f t="shared" si="5"/>
        <v>3</v>
      </c>
      <c r="J138" s="22" t="s">
        <v>3427</v>
      </c>
      <c r="K138" s="11" t="s">
        <v>3588</v>
      </c>
      <c r="L138" s="24"/>
      <c r="M138" s="24"/>
      <c r="N138" s="20" t="s">
        <v>29</v>
      </c>
    </row>
    <row r="139" ht="18" spans="1:14">
      <c r="A139" s="14">
        <f t="shared" si="4"/>
        <v>138</v>
      </c>
      <c r="B139" s="18" t="s">
        <v>317</v>
      </c>
      <c r="C139" s="120" t="s">
        <v>286</v>
      </c>
      <c r="D139" s="20" t="s">
        <v>74</v>
      </c>
      <c r="E139" s="18" t="s">
        <v>64</v>
      </c>
      <c r="F139" s="18" t="s">
        <v>135</v>
      </c>
      <c r="G139" s="5">
        <v>46175</v>
      </c>
      <c r="H139" s="5">
        <v>46177</v>
      </c>
      <c r="I139" s="21">
        <f t="shared" si="5"/>
        <v>2</v>
      </c>
      <c r="J139" s="22" t="s">
        <v>3427</v>
      </c>
      <c r="K139" s="11" t="s">
        <v>3588</v>
      </c>
      <c r="L139" s="24"/>
      <c r="M139" s="24"/>
      <c r="N139" s="20" t="s">
        <v>29</v>
      </c>
    </row>
    <row r="140" ht="18" spans="1:14">
      <c r="A140" s="10">
        <f t="shared" si="4"/>
        <v>139</v>
      </c>
      <c r="B140" s="18" t="s">
        <v>321</v>
      </c>
      <c r="C140" s="120" t="s">
        <v>126</v>
      </c>
      <c r="D140" s="20" t="s">
        <v>74</v>
      </c>
      <c r="E140" s="18" t="s">
        <v>64</v>
      </c>
      <c r="F140" s="18" t="s">
        <v>135</v>
      </c>
      <c r="G140" s="5">
        <v>46175</v>
      </c>
      <c r="H140" s="5">
        <v>46177</v>
      </c>
      <c r="I140" s="21">
        <f t="shared" si="5"/>
        <v>2</v>
      </c>
      <c r="J140" s="22" t="s">
        <v>3427</v>
      </c>
      <c r="K140" s="11" t="s">
        <v>3588</v>
      </c>
      <c r="L140" s="24"/>
      <c r="M140" s="24"/>
      <c r="N140" s="20" t="s">
        <v>29</v>
      </c>
    </row>
    <row r="141" ht="18" spans="1:14">
      <c r="A141" s="14">
        <f t="shared" si="4"/>
        <v>140</v>
      </c>
      <c r="B141" s="18" t="s">
        <v>323</v>
      </c>
      <c r="C141" s="120" t="s">
        <v>128</v>
      </c>
      <c r="D141" s="20" t="s">
        <v>74</v>
      </c>
      <c r="E141" s="18" t="s">
        <v>64</v>
      </c>
      <c r="F141" s="18" t="s">
        <v>135</v>
      </c>
      <c r="G141" s="5">
        <v>46175</v>
      </c>
      <c r="H141" s="5">
        <v>46177</v>
      </c>
      <c r="I141" s="21">
        <f t="shared" si="5"/>
        <v>2</v>
      </c>
      <c r="J141" s="22" t="s">
        <v>3427</v>
      </c>
      <c r="K141" s="11" t="s">
        <v>3588</v>
      </c>
      <c r="L141" s="24"/>
      <c r="M141" s="24"/>
      <c r="N141" s="20" t="s">
        <v>29</v>
      </c>
    </row>
    <row r="142" ht="18" spans="1:14">
      <c r="A142" s="10">
        <f t="shared" si="4"/>
        <v>141</v>
      </c>
      <c r="B142" s="18" t="s">
        <v>2519</v>
      </c>
      <c r="C142" s="120" t="s">
        <v>280</v>
      </c>
      <c r="D142" s="20" t="s">
        <v>42</v>
      </c>
      <c r="E142" s="18" t="s">
        <v>63</v>
      </c>
      <c r="F142" s="18" t="s">
        <v>307</v>
      </c>
      <c r="G142" s="5">
        <v>46176</v>
      </c>
      <c r="H142" s="5">
        <v>46177</v>
      </c>
      <c r="I142" s="21">
        <f t="shared" si="5"/>
        <v>1</v>
      </c>
      <c r="J142" s="22" t="s">
        <v>3427</v>
      </c>
      <c r="K142" s="11" t="s">
        <v>3479</v>
      </c>
      <c r="L142" s="24"/>
      <c r="M142" s="24"/>
      <c r="N142" s="20" t="s">
        <v>29</v>
      </c>
    </row>
    <row r="143" ht="18" spans="1:14">
      <c r="A143" s="14">
        <f t="shared" si="4"/>
        <v>142</v>
      </c>
      <c r="B143" s="18" t="s">
        <v>3589</v>
      </c>
      <c r="C143" s="120" t="s">
        <v>282</v>
      </c>
      <c r="D143" s="20" t="s">
        <v>42</v>
      </c>
      <c r="E143" s="18" t="s">
        <v>64</v>
      </c>
      <c r="F143" s="18" t="s">
        <v>173</v>
      </c>
      <c r="G143" s="5">
        <v>46176</v>
      </c>
      <c r="H143" s="5">
        <v>46177</v>
      </c>
      <c r="I143" s="21">
        <f t="shared" si="5"/>
        <v>1</v>
      </c>
      <c r="J143" s="22" t="s">
        <v>3427</v>
      </c>
      <c r="K143" s="11" t="s">
        <v>3436</v>
      </c>
      <c r="L143" s="24"/>
      <c r="M143" s="24"/>
      <c r="N143" s="20" t="s">
        <v>29</v>
      </c>
    </row>
    <row r="144" ht="18" spans="1:14">
      <c r="A144" s="10">
        <f t="shared" si="4"/>
        <v>143</v>
      </c>
      <c r="B144" s="18" t="s">
        <v>3590</v>
      </c>
      <c r="C144" s="120" t="s">
        <v>284</v>
      </c>
      <c r="D144" s="20" t="s">
        <v>42</v>
      </c>
      <c r="E144" s="18" t="s">
        <v>63</v>
      </c>
      <c r="F144" s="18" t="s">
        <v>505</v>
      </c>
      <c r="G144" s="5">
        <v>46096</v>
      </c>
      <c r="H144" s="5">
        <v>46178</v>
      </c>
      <c r="I144" s="21">
        <f t="shared" si="5"/>
        <v>82</v>
      </c>
      <c r="J144" s="22" t="s">
        <v>3414</v>
      </c>
      <c r="K144" s="11" t="s">
        <v>3422</v>
      </c>
      <c r="L144" s="24"/>
      <c r="M144" s="24"/>
      <c r="N144" s="20" t="s">
        <v>29</v>
      </c>
    </row>
    <row r="145" ht="18" spans="1:14">
      <c r="A145" s="14">
        <f t="shared" si="4"/>
        <v>144</v>
      </c>
      <c r="B145" s="18" t="s">
        <v>3591</v>
      </c>
      <c r="C145" s="120" t="s">
        <v>286</v>
      </c>
      <c r="D145" s="20" t="s">
        <v>74</v>
      </c>
      <c r="E145" s="18" t="s">
        <v>64</v>
      </c>
      <c r="F145" s="18" t="s">
        <v>179</v>
      </c>
      <c r="G145" s="5">
        <v>46129</v>
      </c>
      <c r="H145" s="5">
        <v>46178</v>
      </c>
      <c r="I145" s="21">
        <f t="shared" si="5"/>
        <v>49</v>
      </c>
      <c r="J145" s="22" t="s">
        <v>3427</v>
      </c>
      <c r="K145" s="11" t="s">
        <v>3592</v>
      </c>
      <c r="L145" s="24"/>
      <c r="M145" s="24"/>
      <c r="N145" s="20" t="s">
        <v>29</v>
      </c>
    </row>
    <row r="146" ht="18" spans="1:14">
      <c r="A146" s="10">
        <f t="shared" si="4"/>
        <v>145</v>
      </c>
      <c r="B146" s="18" t="s">
        <v>3593</v>
      </c>
      <c r="C146" s="120" t="s">
        <v>126</v>
      </c>
      <c r="D146" s="20" t="s">
        <v>74</v>
      </c>
      <c r="E146" s="18" t="s">
        <v>64</v>
      </c>
      <c r="F146" s="18" t="s">
        <v>246</v>
      </c>
      <c r="G146" s="5">
        <v>46129</v>
      </c>
      <c r="H146" s="5">
        <v>46178</v>
      </c>
      <c r="I146" s="21">
        <f t="shared" si="5"/>
        <v>49</v>
      </c>
      <c r="J146" s="22" t="s">
        <v>3427</v>
      </c>
      <c r="K146" s="11" t="s">
        <v>3422</v>
      </c>
      <c r="L146" s="24"/>
      <c r="M146" s="24"/>
      <c r="N146" s="20" t="s">
        <v>29</v>
      </c>
    </row>
    <row r="147" ht="18" spans="1:14">
      <c r="A147" s="14">
        <f t="shared" si="4"/>
        <v>146</v>
      </c>
      <c r="B147" s="18" t="s">
        <v>3594</v>
      </c>
      <c r="C147" s="120" t="s">
        <v>128</v>
      </c>
      <c r="D147" s="20" t="s">
        <v>74</v>
      </c>
      <c r="E147" s="18" t="s">
        <v>64</v>
      </c>
      <c r="F147" s="18" t="s">
        <v>179</v>
      </c>
      <c r="G147" s="5">
        <v>46133</v>
      </c>
      <c r="H147" s="5">
        <v>46178</v>
      </c>
      <c r="I147" s="21">
        <f t="shared" si="5"/>
        <v>45</v>
      </c>
      <c r="J147" s="22" t="s">
        <v>3427</v>
      </c>
      <c r="K147" s="11" t="s">
        <v>3422</v>
      </c>
      <c r="L147" s="24"/>
      <c r="M147" s="24"/>
      <c r="N147" s="20" t="s">
        <v>29</v>
      </c>
    </row>
    <row r="148" ht="18" spans="1:14">
      <c r="A148" s="10">
        <f t="shared" si="4"/>
        <v>147</v>
      </c>
      <c r="B148" s="18" t="s">
        <v>3595</v>
      </c>
      <c r="C148" s="120" t="s">
        <v>280</v>
      </c>
      <c r="D148" s="20" t="s">
        <v>74</v>
      </c>
      <c r="E148" s="18" t="s">
        <v>64</v>
      </c>
      <c r="F148" s="18" t="s">
        <v>117</v>
      </c>
      <c r="G148" s="5">
        <v>46134</v>
      </c>
      <c r="H148" s="5">
        <v>46178</v>
      </c>
      <c r="I148" s="21">
        <f t="shared" si="5"/>
        <v>44</v>
      </c>
      <c r="J148" s="22" t="s">
        <v>3427</v>
      </c>
      <c r="K148" s="11" t="s">
        <v>3428</v>
      </c>
      <c r="L148" s="24"/>
      <c r="M148" s="24"/>
      <c r="N148" s="20" t="s">
        <v>29</v>
      </c>
    </row>
    <row r="149" ht="18" spans="1:14">
      <c r="A149" s="14">
        <f t="shared" si="4"/>
        <v>148</v>
      </c>
      <c r="B149" s="18" t="s">
        <v>3596</v>
      </c>
      <c r="C149" s="120" t="s">
        <v>282</v>
      </c>
      <c r="D149" s="20" t="s">
        <v>43</v>
      </c>
      <c r="E149" s="18" t="s">
        <v>64</v>
      </c>
      <c r="F149" s="18" t="s">
        <v>103</v>
      </c>
      <c r="G149" s="5">
        <v>46143</v>
      </c>
      <c r="H149" s="5">
        <v>46178</v>
      </c>
      <c r="I149" s="21">
        <f t="shared" si="5"/>
        <v>35</v>
      </c>
      <c r="J149" s="22" t="s">
        <v>3433</v>
      </c>
      <c r="K149" s="11" t="s">
        <v>3422</v>
      </c>
      <c r="L149" s="24"/>
      <c r="M149" s="24"/>
      <c r="N149" s="20" t="s">
        <v>29</v>
      </c>
    </row>
    <row r="150" ht="18" spans="1:14">
      <c r="A150" s="10">
        <f t="shared" si="4"/>
        <v>149</v>
      </c>
      <c r="B150" s="18" t="s">
        <v>3597</v>
      </c>
      <c r="C150" s="120" t="s">
        <v>284</v>
      </c>
      <c r="D150" s="20" t="s">
        <v>43</v>
      </c>
      <c r="E150" s="18" t="s">
        <v>64</v>
      </c>
      <c r="F150" s="18" t="s">
        <v>103</v>
      </c>
      <c r="G150" s="5">
        <v>46143</v>
      </c>
      <c r="H150" s="5">
        <v>46178</v>
      </c>
      <c r="I150" s="21">
        <f t="shared" si="5"/>
        <v>35</v>
      </c>
      <c r="J150" s="22" t="s">
        <v>3433</v>
      </c>
      <c r="K150" s="11" t="s">
        <v>3422</v>
      </c>
      <c r="L150" s="24"/>
      <c r="M150" s="24"/>
      <c r="N150" s="20" t="s">
        <v>29</v>
      </c>
    </row>
    <row r="151" ht="18" spans="1:14">
      <c r="A151" s="14">
        <f t="shared" si="4"/>
        <v>150</v>
      </c>
      <c r="B151" s="18" t="s">
        <v>3598</v>
      </c>
      <c r="C151" s="120" t="s">
        <v>286</v>
      </c>
      <c r="D151" s="20" t="s">
        <v>43</v>
      </c>
      <c r="E151" s="18" t="s">
        <v>64</v>
      </c>
      <c r="F151" s="18" t="s">
        <v>103</v>
      </c>
      <c r="G151" s="5">
        <v>46146</v>
      </c>
      <c r="H151" s="5">
        <v>46178</v>
      </c>
      <c r="I151" s="21">
        <f t="shared" si="5"/>
        <v>32</v>
      </c>
      <c r="J151" s="22" t="s">
        <v>3475</v>
      </c>
      <c r="K151" s="11" t="s">
        <v>3422</v>
      </c>
      <c r="L151" s="24"/>
      <c r="M151" s="24"/>
      <c r="N151" s="20" t="s">
        <v>29</v>
      </c>
    </row>
    <row r="152" ht="18" spans="1:14">
      <c r="A152" s="10">
        <f t="shared" si="4"/>
        <v>151</v>
      </c>
      <c r="B152" s="18" t="s">
        <v>3599</v>
      </c>
      <c r="C152" s="120" t="s">
        <v>126</v>
      </c>
      <c r="D152" s="20" t="s">
        <v>74</v>
      </c>
      <c r="E152" s="18" t="s">
        <v>64</v>
      </c>
      <c r="F152" s="18" t="s">
        <v>179</v>
      </c>
      <c r="G152" s="5">
        <v>46146</v>
      </c>
      <c r="H152" s="5">
        <v>46178</v>
      </c>
      <c r="I152" s="21">
        <f t="shared" si="5"/>
        <v>32</v>
      </c>
      <c r="J152" s="22" t="s">
        <v>3427</v>
      </c>
      <c r="K152" s="11" t="s">
        <v>3422</v>
      </c>
      <c r="L152" s="24"/>
      <c r="M152" s="24"/>
      <c r="N152" s="20" t="s">
        <v>29</v>
      </c>
    </row>
    <row r="153" ht="18" spans="1:14">
      <c r="A153" s="14">
        <f t="shared" si="4"/>
        <v>152</v>
      </c>
      <c r="B153" s="18" t="s">
        <v>3600</v>
      </c>
      <c r="C153" s="120" t="s">
        <v>128</v>
      </c>
      <c r="D153" s="20" t="s">
        <v>74</v>
      </c>
      <c r="E153" s="18" t="s">
        <v>64</v>
      </c>
      <c r="F153" s="18" t="s">
        <v>179</v>
      </c>
      <c r="G153" s="5">
        <v>46148</v>
      </c>
      <c r="H153" s="5">
        <v>46178</v>
      </c>
      <c r="I153" s="21">
        <f t="shared" si="5"/>
        <v>30</v>
      </c>
      <c r="J153" s="22" t="s">
        <v>3427</v>
      </c>
      <c r="K153" s="11" t="s">
        <v>3422</v>
      </c>
      <c r="L153" s="24"/>
      <c r="M153" s="24"/>
      <c r="N153" s="20" t="s">
        <v>29</v>
      </c>
    </row>
    <row r="154" ht="18" spans="1:14">
      <c r="A154" s="10">
        <f t="shared" si="4"/>
        <v>153</v>
      </c>
      <c r="B154" s="18" t="s">
        <v>3601</v>
      </c>
      <c r="C154" s="120" t="s">
        <v>280</v>
      </c>
      <c r="D154" s="20" t="s">
        <v>43</v>
      </c>
      <c r="E154" s="18" t="s">
        <v>62</v>
      </c>
      <c r="F154" s="18" t="s">
        <v>176</v>
      </c>
      <c r="G154" s="5">
        <v>46156</v>
      </c>
      <c r="H154" s="5">
        <v>46178</v>
      </c>
      <c r="I154" s="21">
        <f t="shared" si="5"/>
        <v>22</v>
      </c>
      <c r="J154" s="22" t="s">
        <v>3414</v>
      </c>
      <c r="K154" s="11" t="s">
        <v>3422</v>
      </c>
      <c r="L154" s="24"/>
      <c r="M154" s="24"/>
      <c r="N154" s="20" t="s">
        <v>29</v>
      </c>
    </row>
    <row r="155" ht="18" spans="1:14">
      <c r="A155" s="14">
        <f t="shared" si="4"/>
        <v>154</v>
      </c>
      <c r="B155" s="18" t="s">
        <v>1750</v>
      </c>
      <c r="C155" s="120" t="s">
        <v>282</v>
      </c>
      <c r="D155" s="20" t="s">
        <v>43</v>
      </c>
      <c r="E155" s="18" t="s">
        <v>63</v>
      </c>
      <c r="F155" s="18" t="s">
        <v>124</v>
      </c>
      <c r="G155" s="5">
        <v>46157</v>
      </c>
      <c r="H155" s="5">
        <v>46178</v>
      </c>
      <c r="I155" s="21">
        <f t="shared" si="5"/>
        <v>21</v>
      </c>
      <c r="J155" s="22" t="s">
        <v>3475</v>
      </c>
      <c r="K155" s="11" t="s">
        <v>3417</v>
      </c>
      <c r="L155" s="24"/>
      <c r="M155" s="24"/>
      <c r="N155" s="20" t="s">
        <v>29</v>
      </c>
    </row>
    <row r="156" ht="18" spans="1:14">
      <c r="A156" s="10">
        <f t="shared" si="4"/>
        <v>155</v>
      </c>
      <c r="B156" s="18" t="s">
        <v>3602</v>
      </c>
      <c r="C156" s="120" t="s">
        <v>284</v>
      </c>
      <c r="D156" s="20" t="s">
        <v>74</v>
      </c>
      <c r="E156" s="18" t="s">
        <v>64</v>
      </c>
      <c r="F156" s="18" t="s">
        <v>179</v>
      </c>
      <c r="G156" s="5">
        <v>46162</v>
      </c>
      <c r="H156" s="5">
        <v>46178</v>
      </c>
      <c r="I156" s="21">
        <f t="shared" si="5"/>
        <v>16</v>
      </c>
      <c r="J156" s="22" t="s">
        <v>3427</v>
      </c>
      <c r="K156" s="11" t="s">
        <v>3422</v>
      </c>
      <c r="L156" s="24"/>
      <c r="M156" s="24"/>
      <c r="N156" s="20" t="s">
        <v>29</v>
      </c>
    </row>
    <row r="157" ht="18" spans="1:14">
      <c r="A157" s="14">
        <f t="shared" si="4"/>
        <v>156</v>
      </c>
      <c r="B157" s="18" t="s">
        <v>3603</v>
      </c>
      <c r="C157" s="120" t="s">
        <v>286</v>
      </c>
      <c r="D157" s="20" t="s">
        <v>43</v>
      </c>
      <c r="E157" s="18" t="s">
        <v>64</v>
      </c>
      <c r="F157" s="18" t="s">
        <v>179</v>
      </c>
      <c r="G157" s="5">
        <v>46164</v>
      </c>
      <c r="H157" s="5">
        <v>46178</v>
      </c>
      <c r="I157" s="21">
        <f t="shared" si="5"/>
        <v>14</v>
      </c>
      <c r="J157" s="22" t="s">
        <v>3414</v>
      </c>
      <c r="K157" s="11" t="s">
        <v>3422</v>
      </c>
      <c r="L157" s="24"/>
      <c r="M157" s="24"/>
      <c r="N157" s="20" t="s">
        <v>29</v>
      </c>
    </row>
    <row r="158" ht="18" spans="1:14">
      <c r="A158" s="10">
        <f t="shared" si="4"/>
        <v>157</v>
      </c>
      <c r="B158" s="18" t="s">
        <v>3604</v>
      </c>
      <c r="C158" s="120" t="s">
        <v>126</v>
      </c>
      <c r="D158" s="20" t="s">
        <v>74</v>
      </c>
      <c r="E158" s="18" t="s">
        <v>64</v>
      </c>
      <c r="F158" s="18" t="s">
        <v>179</v>
      </c>
      <c r="G158" s="5">
        <v>46164</v>
      </c>
      <c r="H158" s="5">
        <v>46178</v>
      </c>
      <c r="I158" s="21">
        <f t="shared" si="5"/>
        <v>14</v>
      </c>
      <c r="J158" s="22" t="s">
        <v>3427</v>
      </c>
      <c r="K158" s="11" t="s">
        <v>3422</v>
      </c>
      <c r="L158" s="24"/>
      <c r="M158" s="24"/>
      <c r="N158" s="20" t="s">
        <v>29</v>
      </c>
    </row>
    <row r="159" ht="18" spans="1:14">
      <c r="A159" s="14">
        <f t="shared" si="4"/>
        <v>158</v>
      </c>
      <c r="B159" s="18" t="s">
        <v>3605</v>
      </c>
      <c r="C159" s="120" t="s">
        <v>128</v>
      </c>
      <c r="D159" s="20" t="s">
        <v>43</v>
      </c>
      <c r="E159" s="18" t="s">
        <v>64</v>
      </c>
      <c r="F159" s="18" t="s">
        <v>179</v>
      </c>
      <c r="G159" s="5">
        <v>46165</v>
      </c>
      <c r="H159" s="5">
        <v>46178</v>
      </c>
      <c r="I159" s="21">
        <f t="shared" si="5"/>
        <v>13</v>
      </c>
      <c r="J159" s="22" t="s">
        <v>3411</v>
      </c>
      <c r="K159" s="11" t="s">
        <v>3469</v>
      </c>
      <c r="L159" s="24"/>
      <c r="M159" s="24"/>
      <c r="N159" s="20" t="s">
        <v>29</v>
      </c>
    </row>
    <row r="160" ht="18" spans="1:14">
      <c r="A160" s="10">
        <f t="shared" si="4"/>
        <v>159</v>
      </c>
      <c r="B160" s="18" t="s">
        <v>3606</v>
      </c>
      <c r="C160" s="120" t="s">
        <v>280</v>
      </c>
      <c r="D160" s="20" t="s">
        <v>74</v>
      </c>
      <c r="E160" s="18" t="s">
        <v>64</v>
      </c>
      <c r="F160" s="18" t="s">
        <v>179</v>
      </c>
      <c r="G160" s="5">
        <v>46167</v>
      </c>
      <c r="H160" s="5">
        <v>46178</v>
      </c>
      <c r="I160" s="21">
        <f t="shared" si="5"/>
        <v>11</v>
      </c>
      <c r="J160" s="22" t="s">
        <v>3427</v>
      </c>
      <c r="K160" s="11" t="s">
        <v>3422</v>
      </c>
      <c r="L160" s="24"/>
      <c r="M160" s="24"/>
      <c r="N160" s="20" t="s">
        <v>29</v>
      </c>
    </row>
    <row r="161" ht="18" spans="1:14">
      <c r="A161" s="14">
        <f t="shared" si="4"/>
        <v>160</v>
      </c>
      <c r="B161" s="18" t="s">
        <v>3607</v>
      </c>
      <c r="C161" s="120" t="s">
        <v>282</v>
      </c>
      <c r="D161" s="20" t="s">
        <v>74</v>
      </c>
      <c r="E161" s="18" t="s">
        <v>64</v>
      </c>
      <c r="F161" s="18" t="s">
        <v>179</v>
      </c>
      <c r="G161" s="5">
        <v>46167</v>
      </c>
      <c r="H161" s="5">
        <v>46178</v>
      </c>
      <c r="I161" s="21">
        <f t="shared" si="5"/>
        <v>11</v>
      </c>
      <c r="J161" s="22" t="s">
        <v>3427</v>
      </c>
      <c r="K161" s="11" t="s">
        <v>3608</v>
      </c>
      <c r="L161" s="24"/>
      <c r="M161" s="24"/>
      <c r="N161" s="20" t="s">
        <v>29</v>
      </c>
    </row>
    <row r="162" ht="18" spans="1:14">
      <c r="A162" s="10">
        <f t="shared" si="4"/>
        <v>161</v>
      </c>
      <c r="B162" s="18" t="s">
        <v>3609</v>
      </c>
      <c r="C162" s="120" t="s">
        <v>284</v>
      </c>
      <c r="D162" s="20" t="s">
        <v>43</v>
      </c>
      <c r="E162" s="18" t="s">
        <v>62</v>
      </c>
      <c r="F162" s="18" t="s">
        <v>564</v>
      </c>
      <c r="G162" s="5">
        <v>46168</v>
      </c>
      <c r="H162" s="5">
        <v>46178</v>
      </c>
      <c r="I162" s="21">
        <f t="shared" si="5"/>
        <v>10</v>
      </c>
      <c r="J162" s="22" t="s">
        <v>3414</v>
      </c>
      <c r="K162" s="11" t="s">
        <v>3610</v>
      </c>
      <c r="L162" s="24"/>
      <c r="M162" s="24"/>
      <c r="N162" s="20" t="s">
        <v>29</v>
      </c>
    </row>
    <row r="163" ht="18" spans="1:14">
      <c r="A163" s="14">
        <f t="shared" si="4"/>
        <v>162</v>
      </c>
      <c r="B163" s="18" t="s">
        <v>3611</v>
      </c>
      <c r="C163" s="120" t="s">
        <v>286</v>
      </c>
      <c r="D163" s="20" t="s">
        <v>74</v>
      </c>
      <c r="E163" s="18" t="s">
        <v>64</v>
      </c>
      <c r="F163" s="18" t="s">
        <v>179</v>
      </c>
      <c r="G163" s="5">
        <v>46168</v>
      </c>
      <c r="H163" s="5">
        <v>46178</v>
      </c>
      <c r="I163" s="21">
        <f t="shared" si="5"/>
        <v>10</v>
      </c>
      <c r="J163" s="22" t="s">
        <v>3427</v>
      </c>
      <c r="K163" s="11" t="s">
        <v>3415</v>
      </c>
      <c r="L163" s="24"/>
      <c r="M163" s="24"/>
      <c r="N163" s="20" t="s">
        <v>29</v>
      </c>
    </row>
    <row r="164" ht="18" spans="1:14">
      <c r="A164" s="10">
        <f t="shared" si="4"/>
        <v>163</v>
      </c>
      <c r="B164" s="18" t="s">
        <v>3612</v>
      </c>
      <c r="C164" s="120" t="s">
        <v>126</v>
      </c>
      <c r="D164" s="20" t="s">
        <v>74</v>
      </c>
      <c r="E164" s="18" t="s">
        <v>64</v>
      </c>
      <c r="F164" s="18" t="s">
        <v>179</v>
      </c>
      <c r="G164" s="5">
        <v>46168</v>
      </c>
      <c r="H164" s="5">
        <v>46178</v>
      </c>
      <c r="I164" s="21">
        <f t="shared" si="5"/>
        <v>10</v>
      </c>
      <c r="J164" s="22" t="s">
        <v>3427</v>
      </c>
      <c r="K164" s="11" t="s">
        <v>3422</v>
      </c>
      <c r="L164" s="24"/>
      <c r="M164" s="24"/>
      <c r="N164" s="20" t="s">
        <v>29</v>
      </c>
    </row>
    <row r="165" ht="18" spans="1:14">
      <c r="A165" s="14">
        <f t="shared" si="4"/>
        <v>164</v>
      </c>
      <c r="B165" s="18" t="s">
        <v>3613</v>
      </c>
      <c r="C165" s="120" t="s">
        <v>128</v>
      </c>
      <c r="D165" s="20" t="s">
        <v>43</v>
      </c>
      <c r="E165" s="18" t="s">
        <v>63</v>
      </c>
      <c r="F165" s="18" t="s">
        <v>124</v>
      </c>
      <c r="G165" s="5">
        <v>46169</v>
      </c>
      <c r="H165" s="5">
        <v>46178</v>
      </c>
      <c r="I165" s="21">
        <f t="shared" si="5"/>
        <v>9</v>
      </c>
      <c r="J165" s="22" t="s">
        <v>3475</v>
      </c>
      <c r="K165" s="11" t="s">
        <v>3422</v>
      </c>
      <c r="L165" s="24"/>
      <c r="M165" s="24"/>
      <c r="N165" s="20" t="s">
        <v>29</v>
      </c>
    </row>
    <row r="166" ht="18" spans="1:14">
      <c r="A166" s="10">
        <f t="shared" si="4"/>
        <v>165</v>
      </c>
      <c r="B166" s="18" t="s">
        <v>3614</v>
      </c>
      <c r="C166" s="120" t="s">
        <v>280</v>
      </c>
      <c r="D166" s="20" t="s">
        <v>43</v>
      </c>
      <c r="E166" s="18" t="s">
        <v>63</v>
      </c>
      <c r="F166" s="18" t="s">
        <v>132</v>
      </c>
      <c r="G166" s="5">
        <v>46169</v>
      </c>
      <c r="H166" s="5">
        <v>46178</v>
      </c>
      <c r="I166" s="21">
        <f t="shared" si="5"/>
        <v>9</v>
      </c>
      <c r="J166" s="22" t="s">
        <v>3475</v>
      </c>
      <c r="K166" s="11" t="s">
        <v>3412</v>
      </c>
      <c r="L166" s="24"/>
      <c r="M166" s="24"/>
      <c r="N166" s="20" t="s">
        <v>29</v>
      </c>
    </row>
    <row r="167" ht="18" spans="1:14">
      <c r="A167" s="14">
        <f t="shared" si="4"/>
        <v>166</v>
      </c>
      <c r="B167" s="18" t="s">
        <v>3615</v>
      </c>
      <c r="C167" s="120" t="s">
        <v>282</v>
      </c>
      <c r="D167" s="20" t="s">
        <v>74</v>
      </c>
      <c r="E167" s="18" t="s">
        <v>64</v>
      </c>
      <c r="F167" s="18" t="s">
        <v>179</v>
      </c>
      <c r="G167" s="5">
        <v>46169</v>
      </c>
      <c r="H167" s="5">
        <v>46178</v>
      </c>
      <c r="I167" s="21">
        <f t="shared" si="5"/>
        <v>9</v>
      </c>
      <c r="J167" s="22" t="s">
        <v>3427</v>
      </c>
      <c r="K167" s="11" t="s">
        <v>3422</v>
      </c>
      <c r="L167" s="24"/>
      <c r="M167" s="24"/>
      <c r="N167" s="20" t="s">
        <v>29</v>
      </c>
    </row>
    <row r="168" ht="18" spans="1:14">
      <c r="A168" s="10">
        <f t="shared" si="4"/>
        <v>167</v>
      </c>
      <c r="B168" s="18" t="s">
        <v>3616</v>
      </c>
      <c r="C168" s="120" t="s">
        <v>284</v>
      </c>
      <c r="D168" s="20" t="s">
        <v>74</v>
      </c>
      <c r="E168" s="18" t="s">
        <v>64</v>
      </c>
      <c r="F168" s="18" t="s">
        <v>179</v>
      </c>
      <c r="G168" s="5">
        <v>46169</v>
      </c>
      <c r="H168" s="5">
        <v>46178</v>
      </c>
      <c r="I168" s="21">
        <f t="shared" si="5"/>
        <v>9</v>
      </c>
      <c r="J168" s="22" t="s">
        <v>3427</v>
      </c>
      <c r="K168" s="11" t="s">
        <v>3422</v>
      </c>
      <c r="L168" s="24"/>
      <c r="M168" s="24"/>
      <c r="N168" s="20" t="s">
        <v>29</v>
      </c>
    </row>
    <row r="169" ht="18" spans="1:14">
      <c r="A169" s="14">
        <f t="shared" si="4"/>
        <v>168</v>
      </c>
      <c r="B169" s="18" t="s">
        <v>3617</v>
      </c>
      <c r="C169" s="120" t="s">
        <v>286</v>
      </c>
      <c r="D169" s="20" t="s">
        <v>43</v>
      </c>
      <c r="E169" s="18" t="s">
        <v>62</v>
      </c>
      <c r="F169" s="18" t="s">
        <v>176</v>
      </c>
      <c r="G169" s="5">
        <v>46170</v>
      </c>
      <c r="H169" s="5">
        <v>46178</v>
      </c>
      <c r="I169" s="21">
        <f t="shared" si="5"/>
        <v>8</v>
      </c>
      <c r="J169" s="22" t="s">
        <v>3451</v>
      </c>
      <c r="K169" s="11" t="s">
        <v>3412</v>
      </c>
      <c r="L169" s="24"/>
      <c r="M169" s="24"/>
      <c r="N169" s="20" t="s">
        <v>29</v>
      </c>
    </row>
    <row r="170" ht="18" spans="1:14">
      <c r="A170" s="10">
        <f t="shared" si="4"/>
        <v>169</v>
      </c>
      <c r="B170" s="18" t="s">
        <v>3618</v>
      </c>
      <c r="C170" s="120" t="s">
        <v>126</v>
      </c>
      <c r="D170" s="20" t="s">
        <v>43</v>
      </c>
      <c r="E170" s="18" t="s">
        <v>62</v>
      </c>
      <c r="F170" s="18" t="s">
        <v>690</v>
      </c>
      <c r="G170" s="5">
        <v>46170</v>
      </c>
      <c r="H170" s="5">
        <v>46178</v>
      </c>
      <c r="I170" s="21">
        <f t="shared" si="5"/>
        <v>8</v>
      </c>
      <c r="J170" s="22" t="s">
        <v>3411</v>
      </c>
      <c r="K170" s="11" t="s">
        <v>3412</v>
      </c>
      <c r="L170" s="24"/>
      <c r="M170" s="24"/>
      <c r="N170" s="20" t="s">
        <v>29</v>
      </c>
    </row>
    <row r="171" ht="18" spans="1:14">
      <c r="A171" s="14">
        <f t="shared" si="4"/>
        <v>170</v>
      </c>
      <c r="B171" s="18" t="s">
        <v>3619</v>
      </c>
      <c r="C171" s="120" t="s">
        <v>128</v>
      </c>
      <c r="D171" s="20" t="s">
        <v>43</v>
      </c>
      <c r="E171" s="18" t="s">
        <v>63</v>
      </c>
      <c r="F171" s="18" t="s">
        <v>173</v>
      </c>
      <c r="G171" s="5">
        <v>46170</v>
      </c>
      <c r="H171" s="5">
        <v>46178</v>
      </c>
      <c r="I171" s="21">
        <f t="shared" si="5"/>
        <v>8</v>
      </c>
      <c r="J171" s="22" t="s">
        <v>3414</v>
      </c>
      <c r="K171" s="11" t="s">
        <v>3422</v>
      </c>
      <c r="L171" s="24"/>
      <c r="M171" s="24"/>
      <c r="N171" s="20" t="s">
        <v>29</v>
      </c>
    </row>
    <row r="172" ht="18" spans="1:14">
      <c r="A172" s="10">
        <f t="shared" si="4"/>
        <v>171</v>
      </c>
      <c r="B172" s="18" t="s">
        <v>3620</v>
      </c>
      <c r="C172" s="120" t="s">
        <v>280</v>
      </c>
      <c r="D172" s="20" t="s">
        <v>43</v>
      </c>
      <c r="E172" s="18" t="s">
        <v>62</v>
      </c>
      <c r="F172" s="18" t="s">
        <v>233</v>
      </c>
      <c r="G172" s="5">
        <v>46171</v>
      </c>
      <c r="H172" s="5">
        <v>46178</v>
      </c>
      <c r="I172" s="21">
        <f t="shared" si="5"/>
        <v>7</v>
      </c>
      <c r="J172" s="22" t="s">
        <v>3427</v>
      </c>
      <c r="K172" s="11" t="s">
        <v>3422</v>
      </c>
      <c r="L172" s="24"/>
      <c r="M172" s="24"/>
      <c r="N172" s="20" t="s">
        <v>29</v>
      </c>
    </row>
    <row r="173" ht="18" spans="1:14">
      <c r="A173" s="14">
        <f t="shared" si="4"/>
        <v>172</v>
      </c>
      <c r="B173" s="18" t="s">
        <v>3621</v>
      </c>
      <c r="C173" s="120" t="s">
        <v>282</v>
      </c>
      <c r="D173" s="20" t="s">
        <v>43</v>
      </c>
      <c r="E173" s="18" t="s">
        <v>62</v>
      </c>
      <c r="F173" s="18" t="s">
        <v>103</v>
      </c>
      <c r="G173" s="5">
        <v>46171</v>
      </c>
      <c r="H173" s="5">
        <v>46178</v>
      </c>
      <c r="I173" s="21">
        <f t="shared" si="5"/>
        <v>7</v>
      </c>
      <c r="J173" s="22" t="s">
        <v>3433</v>
      </c>
      <c r="K173" s="11" t="s">
        <v>3436</v>
      </c>
      <c r="L173" s="24"/>
      <c r="M173" s="24"/>
      <c r="N173" s="20" t="s">
        <v>29</v>
      </c>
    </row>
    <row r="174" ht="18" spans="1:14">
      <c r="A174" s="10">
        <f t="shared" si="4"/>
        <v>173</v>
      </c>
      <c r="B174" s="18" t="s">
        <v>3622</v>
      </c>
      <c r="C174" s="120" t="s">
        <v>284</v>
      </c>
      <c r="D174" s="20" t="s">
        <v>42</v>
      </c>
      <c r="E174" s="18" t="s">
        <v>63</v>
      </c>
      <c r="F174" s="18" t="s">
        <v>530</v>
      </c>
      <c r="G174" s="5">
        <v>46173</v>
      </c>
      <c r="H174" s="5">
        <v>46178</v>
      </c>
      <c r="I174" s="21">
        <f t="shared" si="5"/>
        <v>5</v>
      </c>
      <c r="J174" s="22" t="s">
        <v>3427</v>
      </c>
      <c r="K174" s="11" t="s">
        <v>3422</v>
      </c>
      <c r="L174" s="24"/>
      <c r="M174" s="24"/>
      <c r="N174" s="20" t="s">
        <v>29</v>
      </c>
    </row>
    <row r="175" ht="18" spans="1:14">
      <c r="A175" s="14">
        <f t="shared" si="4"/>
        <v>174</v>
      </c>
      <c r="B175" s="18" t="s">
        <v>3623</v>
      </c>
      <c r="C175" s="120" t="s">
        <v>286</v>
      </c>
      <c r="D175" s="20" t="s">
        <v>42</v>
      </c>
      <c r="E175" s="18" t="s">
        <v>62</v>
      </c>
      <c r="F175" s="18" t="s">
        <v>1166</v>
      </c>
      <c r="G175" s="5">
        <v>46175</v>
      </c>
      <c r="H175" s="5">
        <v>46178</v>
      </c>
      <c r="I175" s="21">
        <f t="shared" si="5"/>
        <v>3</v>
      </c>
      <c r="J175" s="22" t="s">
        <v>3451</v>
      </c>
      <c r="K175" s="11" t="s">
        <v>3624</v>
      </c>
      <c r="L175" s="24"/>
      <c r="M175" s="24"/>
      <c r="N175" s="20" t="s">
        <v>29</v>
      </c>
    </row>
    <row r="176" ht="18" spans="1:14">
      <c r="A176" s="10">
        <f t="shared" si="4"/>
        <v>175</v>
      </c>
      <c r="B176" s="18" t="s">
        <v>3625</v>
      </c>
      <c r="C176" s="120" t="s">
        <v>126</v>
      </c>
      <c r="D176" s="20" t="s">
        <v>43</v>
      </c>
      <c r="E176" s="18" t="s">
        <v>64</v>
      </c>
      <c r="F176" s="18" t="s">
        <v>179</v>
      </c>
      <c r="G176" s="5">
        <v>46165</v>
      </c>
      <c r="H176" s="5">
        <v>46178</v>
      </c>
      <c r="I176" s="21">
        <f t="shared" si="5"/>
        <v>13</v>
      </c>
      <c r="J176" s="22" t="s">
        <v>3475</v>
      </c>
      <c r="K176" s="11" t="s">
        <v>3422</v>
      </c>
      <c r="L176" s="24"/>
      <c r="M176" s="24"/>
      <c r="N176" s="20" t="s">
        <v>29</v>
      </c>
    </row>
    <row r="177" ht="18" spans="1:14">
      <c r="A177" s="14">
        <f t="shared" si="4"/>
        <v>176</v>
      </c>
      <c r="B177" s="18" t="s">
        <v>3626</v>
      </c>
      <c r="C177" s="120" t="s">
        <v>128</v>
      </c>
      <c r="D177" s="20" t="s">
        <v>74</v>
      </c>
      <c r="E177" s="18" t="s">
        <v>64</v>
      </c>
      <c r="F177" s="18" t="s">
        <v>179</v>
      </c>
      <c r="G177" s="5">
        <v>46148</v>
      </c>
      <c r="H177" s="5">
        <v>46178</v>
      </c>
      <c r="I177" s="21">
        <f t="shared" si="5"/>
        <v>30</v>
      </c>
      <c r="J177" s="22" t="s">
        <v>3427</v>
      </c>
      <c r="K177" s="11" t="s">
        <v>3627</v>
      </c>
      <c r="L177" s="24"/>
      <c r="M177" s="24"/>
      <c r="N177" s="20" t="s">
        <v>29</v>
      </c>
    </row>
    <row r="178" ht="18" spans="1:14">
      <c r="A178" s="10">
        <f t="shared" si="4"/>
        <v>177</v>
      </c>
      <c r="B178" s="18" t="s">
        <v>3628</v>
      </c>
      <c r="C178" s="120" t="s">
        <v>280</v>
      </c>
      <c r="D178" s="20" t="s">
        <v>42</v>
      </c>
      <c r="E178" s="18" t="s">
        <v>63</v>
      </c>
      <c r="F178" s="122" t="s">
        <v>505</v>
      </c>
      <c r="G178" s="5">
        <v>46111</v>
      </c>
      <c r="H178" s="5">
        <v>46178</v>
      </c>
      <c r="I178" s="21">
        <f t="shared" si="5"/>
        <v>67</v>
      </c>
      <c r="J178" s="22" t="s">
        <v>3475</v>
      </c>
      <c r="K178" s="11" t="s">
        <v>3627</v>
      </c>
      <c r="L178" s="24"/>
      <c r="M178" s="24"/>
      <c r="N178" s="20" t="s">
        <v>29</v>
      </c>
    </row>
    <row r="179" ht="18" spans="1:14">
      <c r="A179" s="14">
        <f t="shared" si="4"/>
        <v>178</v>
      </c>
      <c r="B179" s="18" t="s">
        <v>3629</v>
      </c>
      <c r="C179" s="120" t="s">
        <v>282</v>
      </c>
      <c r="D179" s="20" t="s">
        <v>42</v>
      </c>
      <c r="E179" s="18" t="s">
        <v>63</v>
      </c>
      <c r="F179" s="18" t="s">
        <v>509</v>
      </c>
      <c r="G179" s="5">
        <v>46127</v>
      </c>
      <c r="H179" s="5">
        <v>46178</v>
      </c>
      <c r="I179" s="21">
        <f t="shared" si="5"/>
        <v>51</v>
      </c>
      <c r="J179" s="22" t="s">
        <v>3475</v>
      </c>
      <c r="K179" s="11" t="s">
        <v>3627</v>
      </c>
      <c r="L179" s="24"/>
      <c r="M179" s="24"/>
      <c r="N179" s="20" t="s">
        <v>29</v>
      </c>
    </row>
    <row r="180" ht="18" spans="1:14">
      <c r="A180" s="10">
        <f t="shared" si="4"/>
        <v>179</v>
      </c>
      <c r="B180" s="18" t="s">
        <v>3630</v>
      </c>
      <c r="C180" s="120" t="s">
        <v>284</v>
      </c>
      <c r="D180" s="20" t="s">
        <v>74</v>
      </c>
      <c r="E180" s="18" t="s">
        <v>64</v>
      </c>
      <c r="F180" s="18" t="s">
        <v>179</v>
      </c>
      <c r="G180" s="5">
        <v>46170</v>
      </c>
      <c r="H180" s="5">
        <v>46178</v>
      </c>
      <c r="I180" s="21">
        <f t="shared" si="5"/>
        <v>8</v>
      </c>
      <c r="J180" s="22" t="s">
        <v>3427</v>
      </c>
      <c r="K180" s="11" t="s">
        <v>3493</v>
      </c>
      <c r="L180" s="24"/>
      <c r="M180" s="24"/>
      <c r="N180" s="20" t="s">
        <v>29</v>
      </c>
    </row>
    <row r="181" ht="18" spans="1:14">
      <c r="A181" s="14">
        <f t="shared" si="4"/>
        <v>180</v>
      </c>
      <c r="B181" s="18" t="s">
        <v>3631</v>
      </c>
      <c r="C181" s="120" t="s">
        <v>286</v>
      </c>
      <c r="D181" s="20" t="s">
        <v>74</v>
      </c>
      <c r="E181" s="18" t="s">
        <v>64</v>
      </c>
      <c r="F181" s="18" t="s">
        <v>179</v>
      </c>
      <c r="G181" s="5">
        <v>46170</v>
      </c>
      <c r="H181" s="5">
        <v>46178</v>
      </c>
      <c r="I181" s="21">
        <f t="shared" si="5"/>
        <v>8</v>
      </c>
      <c r="J181" s="22" t="s">
        <v>3427</v>
      </c>
      <c r="K181" s="11" t="s">
        <v>3493</v>
      </c>
      <c r="L181" s="24"/>
      <c r="M181" s="24"/>
      <c r="N181" s="20" t="s">
        <v>29</v>
      </c>
    </row>
    <row r="182" ht="18" spans="1:14">
      <c r="A182" s="10">
        <f t="shared" si="4"/>
        <v>181</v>
      </c>
      <c r="B182" s="18" t="s">
        <v>3632</v>
      </c>
      <c r="C182" s="120" t="s">
        <v>126</v>
      </c>
      <c r="D182" s="20" t="s">
        <v>74</v>
      </c>
      <c r="E182" s="18" t="s">
        <v>64</v>
      </c>
      <c r="F182" s="18" t="s">
        <v>179</v>
      </c>
      <c r="G182" s="5">
        <v>46170</v>
      </c>
      <c r="H182" s="5">
        <v>46178</v>
      </c>
      <c r="I182" s="21">
        <f t="shared" si="5"/>
        <v>8</v>
      </c>
      <c r="J182" s="22" t="s">
        <v>3427</v>
      </c>
      <c r="K182" s="11" t="s">
        <v>3493</v>
      </c>
      <c r="L182" s="24"/>
      <c r="M182" s="24"/>
      <c r="N182" s="20" t="s">
        <v>29</v>
      </c>
    </row>
    <row r="183" ht="18" spans="1:14">
      <c r="A183" s="14">
        <f t="shared" si="4"/>
        <v>182</v>
      </c>
      <c r="B183" s="18" t="s">
        <v>3633</v>
      </c>
      <c r="C183" s="120" t="s">
        <v>128</v>
      </c>
      <c r="D183" s="20" t="s">
        <v>42</v>
      </c>
      <c r="E183" s="18" t="s">
        <v>64</v>
      </c>
      <c r="F183" s="18" t="s">
        <v>148</v>
      </c>
      <c r="G183" s="5">
        <v>46172</v>
      </c>
      <c r="H183" s="5">
        <v>46178</v>
      </c>
      <c r="I183" s="21">
        <f t="shared" si="5"/>
        <v>6</v>
      </c>
      <c r="J183" s="22" t="s">
        <v>3427</v>
      </c>
      <c r="K183" s="11" t="s">
        <v>3436</v>
      </c>
      <c r="L183" s="24"/>
      <c r="M183" s="24"/>
      <c r="N183" s="20" t="s">
        <v>29</v>
      </c>
    </row>
    <row r="184" ht="18" spans="1:14">
      <c r="A184" s="10">
        <f t="shared" si="4"/>
        <v>183</v>
      </c>
      <c r="B184" s="18" t="s">
        <v>1139</v>
      </c>
      <c r="C184" s="120" t="s">
        <v>280</v>
      </c>
      <c r="D184" s="20" t="s">
        <v>42</v>
      </c>
      <c r="E184" s="18" t="s">
        <v>62</v>
      </c>
      <c r="F184" s="18" t="s">
        <v>233</v>
      </c>
      <c r="G184" s="5">
        <v>46175</v>
      </c>
      <c r="H184" s="5">
        <v>46178</v>
      </c>
      <c r="I184" s="21">
        <f t="shared" si="5"/>
        <v>3</v>
      </c>
      <c r="J184" s="22" t="s">
        <v>3427</v>
      </c>
      <c r="K184" s="11" t="s">
        <v>3627</v>
      </c>
      <c r="L184" s="24"/>
      <c r="M184" s="24"/>
      <c r="N184" s="20" t="s">
        <v>29</v>
      </c>
    </row>
    <row r="185" ht="18" spans="1:14">
      <c r="A185" s="14">
        <f t="shared" si="4"/>
        <v>184</v>
      </c>
      <c r="B185" s="18" t="s">
        <v>308</v>
      </c>
      <c r="C185" s="120" t="s">
        <v>282</v>
      </c>
      <c r="D185" s="20" t="s">
        <v>42</v>
      </c>
      <c r="E185" s="18" t="s">
        <v>64</v>
      </c>
      <c r="F185" s="18" t="s">
        <v>129</v>
      </c>
      <c r="G185" s="5">
        <v>46175</v>
      </c>
      <c r="H185" s="5">
        <v>46178</v>
      </c>
      <c r="I185" s="21">
        <f t="shared" si="5"/>
        <v>3</v>
      </c>
      <c r="J185" s="22" t="s">
        <v>3427</v>
      </c>
      <c r="K185" s="11" t="s">
        <v>3627</v>
      </c>
      <c r="L185" s="24"/>
      <c r="M185" s="24"/>
      <c r="N185" s="20" t="s">
        <v>29</v>
      </c>
    </row>
    <row r="186" ht="18" spans="1:14">
      <c r="A186" s="10">
        <f t="shared" si="4"/>
        <v>185</v>
      </c>
      <c r="B186" s="18" t="s">
        <v>3634</v>
      </c>
      <c r="C186" s="120" t="s">
        <v>284</v>
      </c>
      <c r="D186" s="20" t="s">
        <v>43</v>
      </c>
      <c r="E186" s="18" t="s">
        <v>64</v>
      </c>
      <c r="F186" s="18" t="s">
        <v>179</v>
      </c>
      <c r="G186" s="5">
        <v>46164</v>
      </c>
      <c r="H186" s="5">
        <v>46178</v>
      </c>
      <c r="I186" s="21">
        <f t="shared" si="5"/>
        <v>14</v>
      </c>
      <c r="J186" s="22" t="s">
        <v>3427</v>
      </c>
      <c r="K186" s="11" t="s">
        <v>3436</v>
      </c>
      <c r="L186" s="24"/>
      <c r="M186" s="24"/>
      <c r="N186" s="20" t="s">
        <v>29</v>
      </c>
    </row>
    <row r="187" ht="18" spans="1:14">
      <c r="A187" s="14">
        <f t="shared" si="4"/>
        <v>186</v>
      </c>
      <c r="B187" s="18" t="s">
        <v>3635</v>
      </c>
      <c r="C187" s="120" t="s">
        <v>286</v>
      </c>
      <c r="D187" s="20" t="s">
        <v>43</v>
      </c>
      <c r="E187" s="18" t="s">
        <v>63</v>
      </c>
      <c r="F187" s="18" t="s">
        <v>176</v>
      </c>
      <c r="G187" s="5">
        <v>46091</v>
      </c>
      <c r="H187" s="5">
        <v>46181</v>
      </c>
      <c r="I187" s="21">
        <f t="shared" si="5"/>
        <v>90</v>
      </c>
      <c r="J187" s="22" t="s">
        <v>3414</v>
      </c>
      <c r="K187" s="11" t="s">
        <v>3419</v>
      </c>
      <c r="L187" s="24"/>
      <c r="M187" s="24"/>
      <c r="N187" s="20" t="s">
        <v>29</v>
      </c>
    </row>
    <row r="188" ht="18" spans="1:14">
      <c r="A188" s="10">
        <f t="shared" si="4"/>
        <v>187</v>
      </c>
      <c r="B188" s="18" t="s">
        <v>3636</v>
      </c>
      <c r="C188" s="120" t="s">
        <v>126</v>
      </c>
      <c r="D188" s="20" t="s">
        <v>74</v>
      </c>
      <c r="E188" s="18" t="s">
        <v>64</v>
      </c>
      <c r="F188" s="18" t="s">
        <v>179</v>
      </c>
      <c r="G188" s="5">
        <v>46112</v>
      </c>
      <c r="H188" s="5">
        <v>46181</v>
      </c>
      <c r="I188" s="21">
        <f t="shared" si="5"/>
        <v>69</v>
      </c>
      <c r="J188" s="22" t="s">
        <v>3427</v>
      </c>
      <c r="K188" s="11" t="s">
        <v>3422</v>
      </c>
      <c r="L188" s="24"/>
      <c r="M188" s="24"/>
      <c r="N188" s="20" t="s">
        <v>29</v>
      </c>
    </row>
    <row r="189" ht="36" spans="1:14">
      <c r="A189" s="14">
        <f t="shared" si="4"/>
        <v>188</v>
      </c>
      <c r="B189" s="18" t="s">
        <v>3637</v>
      </c>
      <c r="C189" s="120" t="s">
        <v>128</v>
      </c>
      <c r="D189" s="20" t="s">
        <v>43</v>
      </c>
      <c r="E189" s="18" t="s">
        <v>63</v>
      </c>
      <c r="F189" s="18" t="s">
        <v>1542</v>
      </c>
      <c r="G189" s="5">
        <v>46125</v>
      </c>
      <c r="H189" s="5">
        <v>46181</v>
      </c>
      <c r="I189" s="21">
        <f t="shared" si="5"/>
        <v>56</v>
      </c>
      <c r="J189" s="22" t="s">
        <v>3414</v>
      </c>
      <c r="K189" s="11" t="s">
        <v>3638</v>
      </c>
      <c r="L189" s="24"/>
      <c r="M189" s="24"/>
      <c r="N189" s="20" t="s">
        <v>29</v>
      </c>
    </row>
    <row r="190" ht="18" spans="1:14">
      <c r="A190" s="10">
        <f t="shared" si="4"/>
        <v>189</v>
      </c>
      <c r="B190" s="18" t="s">
        <v>3639</v>
      </c>
      <c r="C190" s="120" t="s">
        <v>280</v>
      </c>
      <c r="D190" s="20" t="s">
        <v>43</v>
      </c>
      <c r="E190" s="18" t="s">
        <v>63</v>
      </c>
      <c r="F190" s="18" t="s">
        <v>124</v>
      </c>
      <c r="G190" s="5">
        <v>46129</v>
      </c>
      <c r="H190" s="5">
        <v>46181</v>
      </c>
      <c r="I190" s="21">
        <f t="shared" si="5"/>
        <v>52</v>
      </c>
      <c r="J190" s="22" t="s">
        <v>3475</v>
      </c>
      <c r="K190" s="11" t="s">
        <v>3419</v>
      </c>
      <c r="L190" s="24"/>
      <c r="M190" s="24"/>
      <c r="N190" s="20" t="s">
        <v>29</v>
      </c>
    </row>
    <row r="191" ht="18" spans="1:14">
      <c r="A191" s="14">
        <f t="shared" si="4"/>
        <v>190</v>
      </c>
      <c r="B191" s="18" t="s">
        <v>3640</v>
      </c>
      <c r="C191" s="120" t="s">
        <v>282</v>
      </c>
      <c r="D191" s="20" t="s">
        <v>74</v>
      </c>
      <c r="E191" s="18" t="s">
        <v>64</v>
      </c>
      <c r="F191" s="18" t="s">
        <v>246</v>
      </c>
      <c r="G191" s="5">
        <v>46129</v>
      </c>
      <c r="H191" s="5">
        <v>46181</v>
      </c>
      <c r="I191" s="21">
        <f t="shared" si="5"/>
        <v>52</v>
      </c>
      <c r="J191" s="22" t="s">
        <v>3427</v>
      </c>
      <c r="K191" s="11" t="s">
        <v>3412</v>
      </c>
      <c r="L191" s="24"/>
      <c r="M191" s="24"/>
      <c r="N191" s="20" t="s">
        <v>29</v>
      </c>
    </row>
    <row r="192" ht="18" spans="1:14">
      <c r="A192" s="10">
        <f t="shared" si="4"/>
        <v>191</v>
      </c>
      <c r="B192" s="18" t="s">
        <v>3641</v>
      </c>
      <c r="C192" s="120" t="s">
        <v>284</v>
      </c>
      <c r="D192" s="20" t="s">
        <v>74</v>
      </c>
      <c r="E192" s="18" t="s">
        <v>64</v>
      </c>
      <c r="F192" s="18" t="s">
        <v>426</v>
      </c>
      <c r="G192" s="5">
        <v>46134</v>
      </c>
      <c r="H192" s="5">
        <v>46181</v>
      </c>
      <c r="I192" s="21">
        <f t="shared" si="5"/>
        <v>47</v>
      </c>
      <c r="J192" s="22" t="s">
        <v>3427</v>
      </c>
      <c r="K192" s="11" t="s">
        <v>3422</v>
      </c>
      <c r="L192" s="24"/>
      <c r="M192" s="24"/>
      <c r="N192" s="20" t="s">
        <v>29</v>
      </c>
    </row>
    <row r="193" ht="18" spans="1:14">
      <c r="A193" s="14">
        <f t="shared" si="4"/>
        <v>192</v>
      </c>
      <c r="B193" s="18" t="s">
        <v>3642</v>
      </c>
      <c r="C193" s="120" t="s">
        <v>286</v>
      </c>
      <c r="D193" s="20" t="s">
        <v>74</v>
      </c>
      <c r="E193" s="18" t="s">
        <v>64</v>
      </c>
      <c r="F193" s="18" t="s">
        <v>124</v>
      </c>
      <c r="G193" s="5">
        <v>46156</v>
      </c>
      <c r="H193" s="5">
        <v>46181</v>
      </c>
      <c r="I193" s="21">
        <f t="shared" si="5"/>
        <v>25</v>
      </c>
      <c r="J193" s="22" t="s">
        <v>3427</v>
      </c>
      <c r="K193" s="11" t="s">
        <v>3419</v>
      </c>
      <c r="L193" s="24"/>
      <c r="M193" s="24"/>
      <c r="N193" s="20" t="s">
        <v>29</v>
      </c>
    </row>
    <row r="194" ht="18" spans="1:14">
      <c r="A194" s="10">
        <f t="shared" ref="A194:A257" si="6">IF(B194&lt;&gt;"",ROW()-1,"")</f>
        <v>193</v>
      </c>
      <c r="B194" s="18" t="s">
        <v>3643</v>
      </c>
      <c r="C194" s="120" t="s">
        <v>126</v>
      </c>
      <c r="D194" s="20" t="s">
        <v>74</v>
      </c>
      <c r="E194" s="18" t="s">
        <v>64</v>
      </c>
      <c r="F194" s="18" t="s">
        <v>179</v>
      </c>
      <c r="G194" s="5">
        <v>46156</v>
      </c>
      <c r="H194" s="5">
        <v>46181</v>
      </c>
      <c r="I194" s="21">
        <f t="shared" ref="I194:I257" si="7">IF(AND(G194&lt;&gt;"",H194&lt;&gt;""),H194-G194,"")</f>
        <v>25</v>
      </c>
      <c r="J194" s="22" t="s">
        <v>3427</v>
      </c>
      <c r="K194" s="11" t="s">
        <v>3415</v>
      </c>
      <c r="L194" s="24"/>
      <c r="M194" s="24"/>
      <c r="N194" s="20" t="s">
        <v>29</v>
      </c>
    </row>
    <row r="195" ht="18" spans="1:14">
      <c r="A195" s="14">
        <f t="shared" si="6"/>
        <v>194</v>
      </c>
      <c r="B195" s="18" t="s">
        <v>3644</v>
      </c>
      <c r="C195" s="120" t="s">
        <v>128</v>
      </c>
      <c r="D195" s="20" t="s">
        <v>74</v>
      </c>
      <c r="E195" s="18" t="s">
        <v>64</v>
      </c>
      <c r="F195" s="18" t="s">
        <v>124</v>
      </c>
      <c r="G195" s="5">
        <v>46158</v>
      </c>
      <c r="H195" s="5">
        <v>46181</v>
      </c>
      <c r="I195" s="21">
        <f t="shared" si="7"/>
        <v>23</v>
      </c>
      <c r="J195" s="22" t="s">
        <v>3427</v>
      </c>
      <c r="K195" s="11" t="s">
        <v>3417</v>
      </c>
      <c r="L195" s="24"/>
      <c r="M195" s="24"/>
      <c r="N195" s="20" t="s">
        <v>29</v>
      </c>
    </row>
    <row r="196" ht="18" spans="1:14">
      <c r="A196" s="10">
        <f t="shared" si="6"/>
        <v>195</v>
      </c>
      <c r="B196" s="18" t="s">
        <v>3645</v>
      </c>
      <c r="C196" s="120" t="s">
        <v>280</v>
      </c>
      <c r="D196" s="20" t="s">
        <v>74</v>
      </c>
      <c r="E196" s="18" t="s">
        <v>64</v>
      </c>
      <c r="F196" s="18" t="s">
        <v>148</v>
      </c>
      <c r="G196" s="5">
        <v>46169</v>
      </c>
      <c r="H196" s="5">
        <v>46181</v>
      </c>
      <c r="I196" s="21">
        <f t="shared" si="7"/>
        <v>12</v>
      </c>
      <c r="J196" s="22" t="s">
        <v>3427</v>
      </c>
      <c r="K196" s="11" t="s">
        <v>3646</v>
      </c>
      <c r="L196" s="24"/>
      <c r="M196" s="24"/>
      <c r="N196" s="20" t="s">
        <v>29</v>
      </c>
    </row>
    <row r="197" ht="18" spans="1:14">
      <c r="A197" s="14">
        <f t="shared" si="6"/>
        <v>196</v>
      </c>
      <c r="B197" s="18" t="s">
        <v>3647</v>
      </c>
      <c r="C197" s="120" t="s">
        <v>282</v>
      </c>
      <c r="D197" s="20" t="s">
        <v>74</v>
      </c>
      <c r="E197" s="18" t="s">
        <v>64</v>
      </c>
      <c r="F197" s="18" t="s">
        <v>179</v>
      </c>
      <c r="G197" s="5">
        <v>46169</v>
      </c>
      <c r="H197" s="5">
        <v>46181</v>
      </c>
      <c r="I197" s="21">
        <f t="shared" si="7"/>
        <v>12</v>
      </c>
      <c r="J197" s="22" t="s">
        <v>3427</v>
      </c>
      <c r="K197" s="11" t="s">
        <v>3422</v>
      </c>
      <c r="L197" s="24"/>
      <c r="M197" s="24"/>
      <c r="N197" s="20" t="s">
        <v>29</v>
      </c>
    </row>
    <row r="198" ht="18" spans="1:14">
      <c r="A198" s="10">
        <f t="shared" si="6"/>
        <v>197</v>
      </c>
      <c r="B198" s="18" t="s">
        <v>3648</v>
      </c>
      <c r="C198" s="120" t="s">
        <v>284</v>
      </c>
      <c r="D198" s="20" t="s">
        <v>74</v>
      </c>
      <c r="E198" s="18" t="s">
        <v>64</v>
      </c>
      <c r="F198" s="18" t="s">
        <v>179</v>
      </c>
      <c r="G198" s="5">
        <v>46171</v>
      </c>
      <c r="H198" s="5">
        <v>46181</v>
      </c>
      <c r="I198" s="21">
        <f t="shared" si="7"/>
        <v>10</v>
      </c>
      <c r="J198" s="22" t="s">
        <v>3427</v>
      </c>
      <c r="K198" s="11" t="s">
        <v>3493</v>
      </c>
      <c r="L198" s="24"/>
      <c r="M198" s="24"/>
      <c r="N198" s="20" t="s">
        <v>29</v>
      </c>
    </row>
    <row r="199" ht="18" spans="1:14">
      <c r="A199" s="14">
        <f t="shared" si="6"/>
        <v>198</v>
      </c>
      <c r="B199" s="18" t="s">
        <v>3649</v>
      </c>
      <c r="C199" s="120" t="s">
        <v>286</v>
      </c>
      <c r="D199" s="20" t="s">
        <v>74</v>
      </c>
      <c r="E199" s="18" t="s">
        <v>64</v>
      </c>
      <c r="F199" s="18" t="s">
        <v>179</v>
      </c>
      <c r="G199" s="5">
        <v>46171</v>
      </c>
      <c r="H199" s="5">
        <v>46181</v>
      </c>
      <c r="I199" s="21">
        <f t="shared" si="7"/>
        <v>10</v>
      </c>
      <c r="J199" s="22" t="s">
        <v>3427</v>
      </c>
      <c r="K199" s="11" t="s">
        <v>3493</v>
      </c>
      <c r="L199" s="24"/>
      <c r="M199" s="24"/>
      <c r="N199" s="20" t="s">
        <v>29</v>
      </c>
    </row>
    <row r="200" ht="18" spans="1:14">
      <c r="A200" s="10">
        <f t="shared" si="6"/>
        <v>199</v>
      </c>
      <c r="B200" s="18" t="s">
        <v>3650</v>
      </c>
      <c r="C200" s="120" t="s">
        <v>126</v>
      </c>
      <c r="D200" s="20" t="s">
        <v>74</v>
      </c>
      <c r="E200" s="18" t="s">
        <v>3449</v>
      </c>
      <c r="F200" s="18" t="s">
        <v>179</v>
      </c>
      <c r="G200" s="5">
        <v>46172</v>
      </c>
      <c r="H200" s="5">
        <v>46181</v>
      </c>
      <c r="I200" s="21">
        <f t="shared" si="7"/>
        <v>9</v>
      </c>
      <c r="J200" s="22" t="s">
        <v>3427</v>
      </c>
      <c r="K200" s="11" t="s">
        <v>3454</v>
      </c>
      <c r="L200" s="24"/>
      <c r="M200" s="24"/>
      <c r="N200" s="20" t="s">
        <v>29</v>
      </c>
    </row>
    <row r="201" ht="18" spans="1:14">
      <c r="A201" s="14">
        <f t="shared" si="6"/>
        <v>200</v>
      </c>
      <c r="B201" s="18" t="s">
        <v>203</v>
      </c>
      <c r="C201" s="120" t="s">
        <v>128</v>
      </c>
      <c r="D201" s="20" t="s">
        <v>74</v>
      </c>
      <c r="E201" s="18" t="s">
        <v>64</v>
      </c>
      <c r="F201" s="18" t="s">
        <v>179</v>
      </c>
      <c r="G201" s="5">
        <v>46174</v>
      </c>
      <c r="H201" s="5">
        <v>46181</v>
      </c>
      <c r="I201" s="21">
        <f t="shared" si="7"/>
        <v>7</v>
      </c>
      <c r="J201" s="22" t="s">
        <v>3427</v>
      </c>
      <c r="K201" s="11" t="s">
        <v>3422</v>
      </c>
      <c r="L201" s="24"/>
      <c r="M201" s="24"/>
      <c r="N201" s="20" t="s">
        <v>29</v>
      </c>
    </row>
    <row r="202" ht="18" spans="1:14">
      <c r="A202" s="10">
        <f t="shared" si="6"/>
        <v>201</v>
      </c>
      <c r="B202" s="18" t="s">
        <v>213</v>
      </c>
      <c r="C202" s="120" t="s">
        <v>280</v>
      </c>
      <c r="D202" s="20" t="s">
        <v>74</v>
      </c>
      <c r="E202" s="18" t="s">
        <v>64</v>
      </c>
      <c r="F202" s="18" t="s">
        <v>179</v>
      </c>
      <c r="G202" s="5">
        <v>46174</v>
      </c>
      <c r="H202" s="5">
        <v>46181</v>
      </c>
      <c r="I202" s="21">
        <f t="shared" si="7"/>
        <v>7</v>
      </c>
      <c r="J202" s="22" t="s">
        <v>3427</v>
      </c>
      <c r="K202" s="11" t="s">
        <v>3422</v>
      </c>
      <c r="L202" s="24"/>
      <c r="M202" s="24"/>
      <c r="N202" s="20" t="s">
        <v>29</v>
      </c>
    </row>
    <row r="203" ht="18" spans="1:14">
      <c r="A203" s="14">
        <f t="shared" si="6"/>
        <v>202</v>
      </c>
      <c r="B203" s="18" t="s">
        <v>437</v>
      </c>
      <c r="C203" s="120" t="s">
        <v>282</v>
      </c>
      <c r="D203" s="20" t="s">
        <v>74</v>
      </c>
      <c r="E203" s="18" t="s">
        <v>3449</v>
      </c>
      <c r="F203" s="18" t="s">
        <v>103</v>
      </c>
      <c r="G203" s="5">
        <v>46175</v>
      </c>
      <c r="H203" s="5">
        <v>46181</v>
      </c>
      <c r="I203" s="21">
        <f t="shared" si="7"/>
        <v>6</v>
      </c>
      <c r="J203" s="22" t="s">
        <v>3427</v>
      </c>
      <c r="K203" s="11" t="s">
        <v>3417</v>
      </c>
      <c r="L203" s="24"/>
      <c r="M203" s="24"/>
      <c r="N203" s="20" t="s">
        <v>29</v>
      </c>
    </row>
    <row r="204" ht="18" spans="1:14">
      <c r="A204" s="10">
        <f t="shared" si="6"/>
        <v>203</v>
      </c>
      <c r="B204" s="18" t="s">
        <v>485</v>
      </c>
      <c r="C204" s="120" t="s">
        <v>284</v>
      </c>
      <c r="D204" s="20" t="s">
        <v>43</v>
      </c>
      <c r="E204" s="18" t="s">
        <v>64</v>
      </c>
      <c r="F204" s="18" t="s">
        <v>179</v>
      </c>
      <c r="G204" s="5">
        <v>46176</v>
      </c>
      <c r="H204" s="5">
        <v>46181</v>
      </c>
      <c r="I204" s="21">
        <f t="shared" si="7"/>
        <v>5</v>
      </c>
      <c r="J204" s="22" t="s">
        <v>3451</v>
      </c>
      <c r="K204" s="11" t="s">
        <v>3627</v>
      </c>
      <c r="L204" s="24"/>
      <c r="M204" s="24"/>
      <c r="N204" s="20" t="s">
        <v>29</v>
      </c>
    </row>
    <row r="205" ht="18" spans="1:14">
      <c r="A205" s="14">
        <f t="shared" si="6"/>
        <v>204</v>
      </c>
      <c r="B205" s="18" t="s">
        <v>487</v>
      </c>
      <c r="C205" s="120" t="s">
        <v>286</v>
      </c>
      <c r="D205" s="20" t="s">
        <v>43</v>
      </c>
      <c r="E205" s="18" t="s">
        <v>64</v>
      </c>
      <c r="F205" s="18" t="s">
        <v>179</v>
      </c>
      <c r="G205" s="5">
        <v>46176</v>
      </c>
      <c r="H205" s="5">
        <v>46181</v>
      </c>
      <c r="I205" s="21">
        <f t="shared" si="7"/>
        <v>5</v>
      </c>
      <c r="J205" s="22" t="s">
        <v>3451</v>
      </c>
      <c r="K205" s="11" t="s">
        <v>3627</v>
      </c>
      <c r="L205" s="24"/>
      <c r="M205" s="24"/>
      <c r="N205" s="20" t="s">
        <v>29</v>
      </c>
    </row>
    <row r="206" ht="18" spans="1:14">
      <c r="A206" s="10">
        <f t="shared" si="6"/>
        <v>205</v>
      </c>
      <c r="B206" s="18" t="s">
        <v>494</v>
      </c>
      <c r="C206" s="120" t="s">
        <v>126</v>
      </c>
      <c r="D206" s="20" t="s">
        <v>74</v>
      </c>
      <c r="E206" s="18" t="s">
        <v>64</v>
      </c>
      <c r="F206" s="18" t="s">
        <v>179</v>
      </c>
      <c r="G206" s="5">
        <v>46176</v>
      </c>
      <c r="H206" s="5">
        <v>46181</v>
      </c>
      <c r="I206" s="21">
        <f t="shared" si="7"/>
        <v>5</v>
      </c>
      <c r="J206" s="22" t="s">
        <v>3427</v>
      </c>
      <c r="K206" s="11" t="s">
        <v>3422</v>
      </c>
      <c r="L206" s="24"/>
      <c r="M206" s="24"/>
      <c r="N206" s="20" t="s">
        <v>29</v>
      </c>
    </row>
    <row r="207" ht="18" spans="1:14">
      <c r="A207" s="14">
        <f t="shared" si="6"/>
        <v>206</v>
      </c>
      <c r="B207" s="18" t="s">
        <v>3651</v>
      </c>
      <c r="C207" s="120" t="s">
        <v>128</v>
      </c>
      <c r="D207" s="20" t="s">
        <v>43</v>
      </c>
      <c r="E207" s="18" t="s">
        <v>62</v>
      </c>
      <c r="F207" s="18" t="s">
        <v>148</v>
      </c>
      <c r="G207" s="5">
        <v>46178</v>
      </c>
      <c r="H207" s="5">
        <v>46181</v>
      </c>
      <c r="I207" s="21">
        <f t="shared" si="7"/>
        <v>3</v>
      </c>
      <c r="J207" s="22" t="s">
        <v>3652</v>
      </c>
      <c r="K207" s="11" t="s">
        <v>3436</v>
      </c>
      <c r="L207" s="24"/>
      <c r="M207" s="24"/>
      <c r="N207" s="20" t="s">
        <v>29</v>
      </c>
    </row>
    <row r="208" ht="18" spans="1:14">
      <c r="A208" s="10">
        <f t="shared" si="6"/>
        <v>207</v>
      </c>
      <c r="B208" s="18" t="s">
        <v>554</v>
      </c>
      <c r="C208" s="120" t="s">
        <v>280</v>
      </c>
      <c r="D208" s="20" t="s">
        <v>43</v>
      </c>
      <c r="E208" s="18" t="s">
        <v>64</v>
      </c>
      <c r="F208" s="18" t="s">
        <v>148</v>
      </c>
      <c r="G208" s="5">
        <v>46178</v>
      </c>
      <c r="H208" s="5">
        <v>46181</v>
      </c>
      <c r="I208" s="21">
        <f t="shared" si="7"/>
        <v>3</v>
      </c>
      <c r="J208" s="22" t="s">
        <v>3652</v>
      </c>
      <c r="K208" s="11" t="s">
        <v>3422</v>
      </c>
      <c r="L208" s="24"/>
      <c r="M208" s="24"/>
      <c r="N208" s="20" t="s">
        <v>29</v>
      </c>
    </row>
    <row r="209" ht="18" spans="1:14">
      <c r="A209" s="14">
        <f t="shared" si="6"/>
        <v>208</v>
      </c>
      <c r="B209" s="18" t="s">
        <v>662</v>
      </c>
      <c r="C209" s="120" t="s">
        <v>282</v>
      </c>
      <c r="D209" s="20" t="s">
        <v>74</v>
      </c>
      <c r="E209" s="18" t="s">
        <v>64</v>
      </c>
      <c r="F209" s="18" t="s">
        <v>179</v>
      </c>
      <c r="G209" s="5">
        <v>46179</v>
      </c>
      <c r="H209" s="5">
        <v>46181</v>
      </c>
      <c r="I209" s="21">
        <f t="shared" si="7"/>
        <v>2</v>
      </c>
      <c r="J209" s="22" t="s">
        <v>3427</v>
      </c>
      <c r="K209" s="11" t="s">
        <v>3422</v>
      </c>
      <c r="L209" s="24"/>
      <c r="M209" s="24"/>
      <c r="N209" s="20" t="s">
        <v>29</v>
      </c>
    </row>
    <row r="210" ht="18" spans="1:14">
      <c r="A210" s="10">
        <f t="shared" si="6"/>
        <v>209</v>
      </c>
      <c r="B210" s="18" t="s">
        <v>673</v>
      </c>
      <c r="C210" s="120" t="s">
        <v>284</v>
      </c>
      <c r="D210" s="20" t="s">
        <v>74</v>
      </c>
      <c r="E210" s="18" t="s">
        <v>3449</v>
      </c>
      <c r="F210" s="18" t="s">
        <v>148</v>
      </c>
      <c r="G210" s="5">
        <v>46179</v>
      </c>
      <c r="H210" s="5">
        <v>46181</v>
      </c>
      <c r="I210" s="21">
        <f t="shared" si="7"/>
        <v>2</v>
      </c>
      <c r="J210" s="22" t="s">
        <v>3427</v>
      </c>
      <c r="K210" s="11" t="s">
        <v>3653</v>
      </c>
      <c r="L210" s="24"/>
      <c r="M210" s="24"/>
      <c r="N210" s="20" t="s">
        <v>29</v>
      </c>
    </row>
    <row r="211" ht="18" spans="1:14">
      <c r="A211" s="14">
        <f t="shared" si="6"/>
        <v>210</v>
      </c>
      <c r="B211" s="18" t="s">
        <v>674</v>
      </c>
      <c r="C211" s="120" t="s">
        <v>286</v>
      </c>
      <c r="D211" s="20" t="s">
        <v>74</v>
      </c>
      <c r="E211" s="18" t="s">
        <v>3449</v>
      </c>
      <c r="F211" s="18" t="s">
        <v>148</v>
      </c>
      <c r="G211" s="5">
        <v>46179</v>
      </c>
      <c r="H211" s="5">
        <v>46181</v>
      </c>
      <c r="I211" s="21">
        <f t="shared" si="7"/>
        <v>2</v>
      </c>
      <c r="J211" s="22" t="s">
        <v>3427</v>
      </c>
      <c r="K211" s="11" t="s">
        <v>3454</v>
      </c>
      <c r="L211" s="24"/>
      <c r="M211" s="24"/>
      <c r="N211" s="20" t="s">
        <v>29</v>
      </c>
    </row>
    <row r="212" ht="18" spans="1:14">
      <c r="A212" s="10">
        <f t="shared" si="6"/>
        <v>211</v>
      </c>
      <c r="B212" s="18" t="s">
        <v>3654</v>
      </c>
      <c r="C212" s="120" t="s">
        <v>126</v>
      </c>
      <c r="D212" s="20" t="s">
        <v>43</v>
      </c>
      <c r="E212" s="18" t="s">
        <v>62</v>
      </c>
      <c r="F212" s="18" t="s">
        <v>530</v>
      </c>
      <c r="G212" s="5">
        <v>46180</v>
      </c>
      <c r="H212" s="5">
        <v>46181</v>
      </c>
      <c r="I212" s="21">
        <f t="shared" si="7"/>
        <v>1</v>
      </c>
      <c r="J212" s="22" t="s">
        <v>3652</v>
      </c>
      <c r="K212" s="11" t="s">
        <v>3627</v>
      </c>
      <c r="L212" s="24"/>
      <c r="M212" s="24"/>
      <c r="N212" s="20" t="s">
        <v>29</v>
      </c>
    </row>
    <row r="213" ht="18" spans="1:14">
      <c r="A213" s="14">
        <f t="shared" si="6"/>
        <v>212</v>
      </c>
      <c r="B213" s="18" t="s">
        <v>1465</v>
      </c>
      <c r="C213" s="120" t="s">
        <v>128</v>
      </c>
      <c r="D213" s="20" t="s">
        <v>42</v>
      </c>
      <c r="E213" s="18" t="s">
        <v>62</v>
      </c>
      <c r="F213" s="18" t="s">
        <v>468</v>
      </c>
      <c r="G213" s="5">
        <v>46180</v>
      </c>
      <c r="H213" s="5">
        <v>46181</v>
      </c>
      <c r="I213" s="21">
        <f t="shared" si="7"/>
        <v>1</v>
      </c>
      <c r="J213" s="22" t="s">
        <v>3427</v>
      </c>
      <c r="K213" s="11" t="s">
        <v>3428</v>
      </c>
      <c r="L213" s="24"/>
      <c r="M213" s="24"/>
      <c r="N213" s="20" t="s">
        <v>29</v>
      </c>
    </row>
    <row r="214" ht="18" spans="1:14">
      <c r="A214" s="10">
        <f t="shared" si="6"/>
        <v>213</v>
      </c>
      <c r="B214" s="18" t="s">
        <v>1303</v>
      </c>
      <c r="C214" s="120" t="s">
        <v>280</v>
      </c>
      <c r="D214" s="20" t="s">
        <v>43</v>
      </c>
      <c r="E214" s="18" t="s">
        <v>62</v>
      </c>
      <c r="F214" s="18" t="s">
        <v>148</v>
      </c>
      <c r="G214" s="5">
        <v>46180</v>
      </c>
      <c r="H214" s="5">
        <v>46181</v>
      </c>
      <c r="I214" s="21">
        <f t="shared" si="7"/>
        <v>1</v>
      </c>
      <c r="J214" s="22" t="s">
        <v>3652</v>
      </c>
      <c r="K214" s="11" t="s">
        <v>3436</v>
      </c>
      <c r="L214" s="24"/>
      <c r="M214" s="24"/>
      <c r="N214" s="20" t="s">
        <v>29</v>
      </c>
    </row>
    <row r="215" ht="18" spans="1:14">
      <c r="A215" s="14">
        <f t="shared" si="6"/>
        <v>214</v>
      </c>
      <c r="B215" s="18" t="s">
        <v>1492</v>
      </c>
      <c r="C215" s="120" t="s">
        <v>282</v>
      </c>
      <c r="D215" s="20" t="s">
        <v>42</v>
      </c>
      <c r="E215" s="18" t="s">
        <v>63</v>
      </c>
      <c r="F215" s="18" t="s">
        <v>173</v>
      </c>
      <c r="G215" s="5">
        <v>46180</v>
      </c>
      <c r="H215" s="5">
        <v>46181</v>
      </c>
      <c r="I215" s="21">
        <f t="shared" si="7"/>
        <v>1</v>
      </c>
      <c r="J215" s="22" t="s">
        <v>3652</v>
      </c>
      <c r="K215" s="11" t="s">
        <v>3655</v>
      </c>
      <c r="L215" s="24"/>
      <c r="M215" s="24"/>
      <c r="N215" s="20" t="s">
        <v>29</v>
      </c>
    </row>
    <row r="216" ht="18" spans="1:14">
      <c r="A216" s="10">
        <f t="shared" si="6"/>
        <v>215</v>
      </c>
      <c r="B216" s="18" t="s">
        <v>1448</v>
      </c>
      <c r="C216" s="120" t="s">
        <v>284</v>
      </c>
      <c r="D216" s="20" t="s">
        <v>43</v>
      </c>
      <c r="E216" s="18" t="s">
        <v>63</v>
      </c>
      <c r="F216" s="18" t="s">
        <v>173</v>
      </c>
      <c r="G216" s="5">
        <v>46180</v>
      </c>
      <c r="H216" s="5">
        <v>46181</v>
      </c>
      <c r="I216" s="21">
        <f t="shared" si="7"/>
        <v>1</v>
      </c>
      <c r="J216" s="22" t="s">
        <v>3652</v>
      </c>
      <c r="K216" s="11" t="s">
        <v>3656</v>
      </c>
      <c r="L216" s="24"/>
      <c r="M216" s="24"/>
      <c r="N216" s="20" t="s">
        <v>29</v>
      </c>
    </row>
    <row r="217" ht="36" spans="1:14">
      <c r="A217" s="14">
        <f t="shared" si="6"/>
        <v>216</v>
      </c>
      <c r="B217" s="18" t="s">
        <v>1478</v>
      </c>
      <c r="C217" s="120" t="s">
        <v>286</v>
      </c>
      <c r="D217" s="20" t="s">
        <v>42</v>
      </c>
      <c r="E217" s="18" t="s">
        <v>62</v>
      </c>
      <c r="F217" s="18" t="s">
        <v>173</v>
      </c>
      <c r="G217" s="5">
        <v>46180</v>
      </c>
      <c r="H217" s="5">
        <v>46181</v>
      </c>
      <c r="I217" s="21">
        <f t="shared" si="7"/>
        <v>1</v>
      </c>
      <c r="J217" s="22" t="s">
        <v>3427</v>
      </c>
      <c r="K217" s="11" t="s">
        <v>3657</v>
      </c>
      <c r="L217" s="24"/>
      <c r="M217" s="24"/>
      <c r="N217" s="20" t="s">
        <v>29</v>
      </c>
    </row>
    <row r="218" ht="36" spans="1:14">
      <c r="A218" s="10">
        <f t="shared" si="6"/>
        <v>217</v>
      </c>
      <c r="B218" s="18" t="s">
        <v>1479</v>
      </c>
      <c r="C218" s="120" t="s">
        <v>126</v>
      </c>
      <c r="D218" s="20" t="s">
        <v>42</v>
      </c>
      <c r="E218" s="18" t="s">
        <v>62</v>
      </c>
      <c r="F218" s="18" t="s">
        <v>173</v>
      </c>
      <c r="G218" s="5">
        <v>46180</v>
      </c>
      <c r="H218" s="5">
        <v>46181</v>
      </c>
      <c r="I218" s="21">
        <f t="shared" si="7"/>
        <v>1</v>
      </c>
      <c r="J218" s="22" t="s">
        <v>3427</v>
      </c>
      <c r="K218" s="11" t="s">
        <v>3657</v>
      </c>
      <c r="L218" s="24"/>
      <c r="M218" s="24"/>
      <c r="N218" s="20" t="s">
        <v>29</v>
      </c>
    </row>
    <row r="219" ht="71" spans="1:14">
      <c r="A219" s="14">
        <f t="shared" si="6"/>
        <v>218</v>
      </c>
      <c r="B219" s="18" t="s">
        <v>1500</v>
      </c>
      <c r="C219" s="120" t="s">
        <v>128</v>
      </c>
      <c r="D219" s="20" t="s">
        <v>42</v>
      </c>
      <c r="E219" s="18" t="s">
        <v>63</v>
      </c>
      <c r="F219" s="18" t="s">
        <v>578</v>
      </c>
      <c r="G219" s="5">
        <v>46180</v>
      </c>
      <c r="H219" s="5">
        <v>46181</v>
      </c>
      <c r="I219" s="21">
        <f t="shared" si="7"/>
        <v>1</v>
      </c>
      <c r="J219" s="22" t="s">
        <v>3652</v>
      </c>
      <c r="K219" s="11" t="s">
        <v>3658</v>
      </c>
      <c r="L219" s="24"/>
      <c r="M219" s="24"/>
      <c r="N219" s="20" t="s">
        <v>29</v>
      </c>
    </row>
    <row r="220" ht="18" spans="1:14">
      <c r="A220" s="10">
        <f t="shared" si="6"/>
        <v>219</v>
      </c>
      <c r="B220" s="18" t="s">
        <v>1467</v>
      </c>
      <c r="C220" s="120" t="s">
        <v>280</v>
      </c>
      <c r="D220" s="20" t="s">
        <v>42</v>
      </c>
      <c r="E220" s="18" t="s">
        <v>63</v>
      </c>
      <c r="F220" s="18" t="s">
        <v>132</v>
      </c>
      <c r="G220" s="5">
        <v>46180</v>
      </c>
      <c r="H220" s="5">
        <v>46181</v>
      </c>
      <c r="I220" s="21">
        <f t="shared" si="7"/>
        <v>1</v>
      </c>
      <c r="J220" s="22" t="s">
        <v>3652</v>
      </c>
      <c r="K220" s="11" t="s">
        <v>3659</v>
      </c>
      <c r="L220" s="24"/>
      <c r="M220" s="24"/>
      <c r="N220" s="20" t="s">
        <v>29</v>
      </c>
    </row>
    <row r="221" ht="18" spans="1:14">
      <c r="A221" s="14">
        <f t="shared" si="6"/>
        <v>220</v>
      </c>
      <c r="B221" s="18" t="s">
        <v>1427</v>
      </c>
      <c r="C221" s="120" t="s">
        <v>282</v>
      </c>
      <c r="D221" s="20" t="s">
        <v>43</v>
      </c>
      <c r="E221" s="18" t="s">
        <v>62</v>
      </c>
      <c r="F221" s="18" t="s">
        <v>1426</v>
      </c>
      <c r="G221" s="5">
        <v>46180</v>
      </c>
      <c r="H221" s="5">
        <v>46181</v>
      </c>
      <c r="I221" s="21">
        <f t="shared" si="7"/>
        <v>1</v>
      </c>
      <c r="J221" s="22" t="s">
        <v>3652</v>
      </c>
      <c r="K221" s="11" t="s">
        <v>3627</v>
      </c>
      <c r="L221" s="24"/>
      <c r="M221" s="24"/>
      <c r="N221" s="20" t="s">
        <v>29</v>
      </c>
    </row>
    <row r="222" ht="18" spans="1:14">
      <c r="A222" s="10">
        <f t="shared" si="6"/>
        <v>221</v>
      </c>
      <c r="B222" s="18" t="s">
        <v>724</v>
      </c>
      <c r="C222" s="120" t="s">
        <v>284</v>
      </c>
      <c r="D222" s="20" t="s">
        <v>74</v>
      </c>
      <c r="E222" s="18" t="s">
        <v>64</v>
      </c>
      <c r="F222" s="18" t="s">
        <v>179</v>
      </c>
      <c r="G222" s="5">
        <v>46180</v>
      </c>
      <c r="H222" s="5">
        <v>46181</v>
      </c>
      <c r="I222" s="21">
        <f t="shared" si="7"/>
        <v>1</v>
      </c>
      <c r="J222" s="22" t="s">
        <v>3427</v>
      </c>
      <c r="K222" s="11" t="s">
        <v>3422</v>
      </c>
      <c r="L222" s="24"/>
      <c r="M222" s="24"/>
      <c r="N222" s="20" t="s">
        <v>29</v>
      </c>
    </row>
    <row r="223" ht="18" spans="1:14">
      <c r="A223" s="14">
        <f t="shared" si="6"/>
        <v>222</v>
      </c>
      <c r="B223" s="18" t="s">
        <v>722</v>
      </c>
      <c r="C223" s="120" t="s">
        <v>286</v>
      </c>
      <c r="D223" s="20" t="s">
        <v>74</v>
      </c>
      <c r="E223" s="18" t="s">
        <v>64</v>
      </c>
      <c r="F223" s="18" t="s">
        <v>179</v>
      </c>
      <c r="G223" s="5">
        <v>46180</v>
      </c>
      <c r="H223" s="5">
        <v>46181</v>
      </c>
      <c r="I223" s="21">
        <f t="shared" si="7"/>
        <v>1</v>
      </c>
      <c r="J223" s="22" t="s">
        <v>3427</v>
      </c>
      <c r="K223" s="11" t="s">
        <v>3660</v>
      </c>
      <c r="L223" s="24"/>
      <c r="M223" s="24"/>
      <c r="N223" s="20" t="s">
        <v>29</v>
      </c>
    </row>
    <row r="224" ht="18" spans="1:14">
      <c r="A224" s="10">
        <f t="shared" si="6"/>
        <v>223</v>
      </c>
      <c r="B224" s="18" t="s">
        <v>3661</v>
      </c>
      <c r="C224" s="120" t="s">
        <v>126</v>
      </c>
      <c r="D224" s="20" t="s">
        <v>74</v>
      </c>
      <c r="E224" s="18" t="s">
        <v>64</v>
      </c>
      <c r="F224" s="18" t="s">
        <v>179</v>
      </c>
      <c r="G224" s="5">
        <v>46137</v>
      </c>
      <c r="H224" s="5">
        <v>46182</v>
      </c>
      <c r="I224" s="21">
        <f t="shared" si="7"/>
        <v>45</v>
      </c>
      <c r="J224" s="22" t="s">
        <v>3427</v>
      </c>
      <c r="K224" s="11" t="s">
        <v>3419</v>
      </c>
      <c r="L224" s="24"/>
      <c r="M224" s="24"/>
      <c r="N224" s="20" t="s">
        <v>29</v>
      </c>
    </row>
    <row r="225" ht="18" spans="1:14">
      <c r="A225" s="14">
        <f t="shared" si="6"/>
        <v>224</v>
      </c>
      <c r="B225" s="18" t="s">
        <v>1022</v>
      </c>
      <c r="C225" s="120" t="s">
        <v>128</v>
      </c>
      <c r="D225" s="20" t="s">
        <v>74</v>
      </c>
      <c r="E225" s="18" t="s">
        <v>64</v>
      </c>
      <c r="F225" s="18" t="s">
        <v>135</v>
      </c>
      <c r="G225" s="5">
        <v>46172</v>
      </c>
      <c r="H225" s="5">
        <v>46182</v>
      </c>
      <c r="I225" s="21">
        <f t="shared" si="7"/>
        <v>10</v>
      </c>
      <c r="J225" s="22" t="s">
        <v>3427</v>
      </c>
      <c r="K225" s="11" t="s">
        <v>3422</v>
      </c>
      <c r="L225" s="24"/>
      <c r="M225" s="24"/>
      <c r="N225" s="20" t="s">
        <v>29</v>
      </c>
    </row>
    <row r="226" ht="18" spans="1:14">
      <c r="A226" s="10">
        <f t="shared" si="6"/>
        <v>225</v>
      </c>
      <c r="B226" s="18" t="s">
        <v>3662</v>
      </c>
      <c r="C226" s="120" t="s">
        <v>280</v>
      </c>
      <c r="D226" s="20" t="s">
        <v>74</v>
      </c>
      <c r="E226" s="18" t="s">
        <v>64</v>
      </c>
      <c r="F226" s="18" t="s">
        <v>148</v>
      </c>
      <c r="G226" s="5">
        <v>46172</v>
      </c>
      <c r="H226" s="5">
        <v>46182</v>
      </c>
      <c r="I226" s="21">
        <f t="shared" si="7"/>
        <v>10</v>
      </c>
      <c r="J226" s="22" t="s">
        <v>3427</v>
      </c>
      <c r="K226" s="11" t="s">
        <v>3466</v>
      </c>
      <c r="L226" s="24"/>
      <c r="M226" s="24"/>
      <c r="N226" s="20" t="s">
        <v>29</v>
      </c>
    </row>
    <row r="227" ht="18" spans="1:14">
      <c r="A227" s="14">
        <f t="shared" si="6"/>
        <v>226</v>
      </c>
      <c r="B227" s="18" t="s">
        <v>3663</v>
      </c>
      <c r="C227" s="120" t="s">
        <v>282</v>
      </c>
      <c r="D227" s="20" t="s">
        <v>74</v>
      </c>
      <c r="E227" s="18" t="s">
        <v>64</v>
      </c>
      <c r="F227" s="18" t="s">
        <v>148</v>
      </c>
      <c r="G227" s="5">
        <v>46173</v>
      </c>
      <c r="H227" s="5">
        <v>46182</v>
      </c>
      <c r="I227" s="21">
        <f t="shared" si="7"/>
        <v>9</v>
      </c>
      <c r="J227" s="22" t="s">
        <v>3427</v>
      </c>
      <c r="K227" s="11" t="s">
        <v>3664</v>
      </c>
      <c r="L227" s="24"/>
      <c r="M227" s="24"/>
      <c r="N227" s="20" t="s">
        <v>29</v>
      </c>
    </row>
    <row r="228" ht="18" spans="1:14">
      <c r="A228" s="10">
        <f t="shared" si="6"/>
        <v>227</v>
      </c>
      <c r="B228" s="18" t="s">
        <v>319</v>
      </c>
      <c r="C228" s="120" t="s">
        <v>284</v>
      </c>
      <c r="D228" s="20" t="s">
        <v>74</v>
      </c>
      <c r="E228" s="18" t="s">
        <v>64</v>
      </c>
      <c r="F228" s="18" t="s">
        <v>135</v>
      </c>
      <c r="G228" s="5">
        <v>46175</v>
      </c>
      <c r="H228" s="5">
        <v>46182</v>
      </c>
      <c r="I228" s="21">
        <f t="shared" si="7"/>
        <v>7</v>
      </c>
      <c r="J228" s="22" t="s">
        <v>3427</v>
      </c>
      <c r="K228" s="11" t="s">
        <v>3419</v>
      </c>
      <c r="L228" s="24"/>
      <c r="M228" s="24"/>
      <c r="N228" s="20" t="s">
        <v>29</v>
      </c>
    </row>
    <row r="229" ht="18" spans="1:14">
      <c r="A229" s="14">
        <f t="shared" si="6"/>
        <v>228</v>
      </c>
      <c r="B229" s="18" t="s">
        <v>625</v>
      </c>
      <c r="C229" s="120" t="s">
        <v>286</v>
      </c>
      <c r="D229" s="20" t="s">
        <v>42</v>
      </c>
      <c r="E229" s="18" t="s">
        <v>64</v>
      </c>
      <c r="F229" s="18" t="s">
        <v>173</v>
      </c>
      <c r="G229" s="5">
        <v>46179</v>
      </c>
      <c r="H229" s="5">
        <v>46182</v>
      </c>
      <c r="I229" s="21">
        <f t="shared" si="7"/>
        <v>3</v>
      </c>
      <c r="J229" s="22" t="s">
        <v>3652</v>
      </c>
      <c r="K229" s="11" t="s">
        <v>3665</v>
      </c>
      <c r="L229" s="24"/>
      <c r="M229" s="24"/>
      <c r="N229" s="20" t="s">
        <v>29</v>
      </c>
    </row>
    <row r="230" ht="18" spans="1:14">
      <c r="A230" s="10">
        <f t="shared" si="6"/>
        <v>229</v>
      </c>
      <c r="B230" s="18" t="s">
        <v>628</v>
      </c>
      <c r="C230" s="120" t="s">
        <v>126</v>
      </c>
      <c r="D230" s="20" t="s">
        <v>42</v>
      </c>
      <c r="E230" s="18" t="s">
        <v>64</v>
      </c>
      <c r="F230" s="18" t="s">
        <v>173</v>
      </c>
      <c r="G230" s="5">
        <v>46179</v>
      </c>
      <c r="H230" s="5">
        <v>46182</v>
      </c>
      <c r="I230" s="21">
        <f t="shared" si="7"/>
        <v>3</v>
      </c>
      <c r="J230" s="22" t="s">
        <v>3652</v>
      </c>
      <c r="K230" s="11" t="s">
        <v>3665</v>
      </c>
      <c r="L230" s="24"/>
      <c r="M230" s="24"/>
      <c r="N230" s="20" t="s">
        <v>29</v>
      </c>
    </row>
    <row r="231" ht="18" spans="1:14">
      <c r="A231" s="14">
        <f t="shared" si="6"/>
        <v>230</v>
      </c>
      <c r="B231" s="18" t="s">
        <v>574</v>
      </c>
      <c r="C231" s="120" t="s">
        <v>128</v>
      </c>
      <c r="D231" s="20" t="s">
        <v>42</v>
      </c>
      <c r="E231" s="18" t="s">
        <v>64</v>
      </c>
      <c r="F231" s="18" t="s">
        <v>117</v>
      </c>
      <c r="G231" s="5">
        <v>46180</v>
      </c>
      <c r="H231" s="5">
        <v>46182</v>
      </c>
      <c r="I231" s="21">
        <f t="shared" si="7"/>
        <v>2</v>
      </c>
      <c r="J231" s="22" t="s">
        <v>3652</v>
      </c>
      <c r="K231" s="11" t="s">
        <v>3666</v>
      </c>
      <c r="L231" s="24"/>
      <c r="M231" s="24"/>
      <c r="N231" s="20" t="s">
        <v>29</v>
      </c>
    </row>
    <row r="232" ht="18" spans="1:14">
      <c r="A232" s="10">
        <f t="shared" si="6"/>
        <v>231</v>
      </c>
      <c r="B232" s="18" t="s">
        <v>1394</v>
      </c>
      <c r="C232" s="120" t="s">
        <v>280</v>
      </c>
      <c r="D232" s="20" t="s">
        <v>42</v>
      </c>
      <c r="E232" s="18" t="s">
        <v>63</v>
      </c>
      <c r="F232" s="18" t="s">
        <v>173</v>
      </c>
      <c r="G232" s="5">
        <v>46181</v>
      </c>
      <c r="H232" s="5">
        <v>46182</v>
      </c>
      <c r="I232" s="21">
        <f t="shared" si="7"/>
        <v>1</v>
      </c>
      <c r="J232" s="22" t="s">
        <v>3652</v>
      </c>
      <c r="K232" s="11" t="s">
        <v>3667</v>
      </c>
      <c r="L232" s="24"/>
      <c r="M232" s="24"/>
      <c r="N232" s="20" t="s">
        <v>29</v>
      </c>
    </row>
    <row r="233" ht="18" spans="1:14">
      <c r="A233" s="14">
        <f t="shared" si="6"/>
        <v>232</v>
      </c>
      <c r="B233" s="18" t="s">
        <v>3668</v>
      </c>
      <c r="C233" s="120" t="s">
        <v>282</v>
      </c>
      <c r="D233" s="20" t="s">
        <v>74</v>
      </c>
      <c r="E233" s="18" t="s">
        <v>64</v>
      </c>
      <c r="F233" s="18" t="s">
        <v>179</v>
      </c>
      <c r="G233" s="5">
        <v>46148</v>
      </c>
      <c r="H233" s="5">
        <v>46183</v>
      </c>
      <c r="I233" s="21">
        <f t="shared" si="7"/>
        <v>35</v>
      </c>
      <c r="J233" s="22" t="s">
        <v>3427</v>
      </c>
      <c r="K233" s="11" t="s">
        <v>3669</v>
      </c>
      <c r="L233" s="24"/>
      <c r="M233" s="24"/>
      <c r="N233" s="20" t="s">
        <v>29</v>
      </c>
    </row>
    <row r="234" ht="18" spans="1:14">
      <c r="A234" s="10">
        <f t="shared" si="6"/>
        <v>233</v>
      </c>
      <c r="B234" s="18" t="s">
        <v>3670</v>
      </c>
      <c r="C234" s="120" t="s">
        <v>284</v>
      </c>
      <c r="D234" s="20" t="s">
        <v>74</v>
      </c>
      <c r="E234" s="18" t="s">
        <v>64</v>
      </c>
      <c r="F234" s="18" t="s">
        <v>179</v>
      </c>
      <c r="G234" s="5">
        <v>46148</v>
      </c>
      <c r="H234" s="5">
        <v>46183</v>
      </c>
      <c r="I234" s="21">
        <f t="shared" si="7"/>
        <v>35</v>
      </c>
      <c r="J234" s="22" t="s">
        <v>3427</v>
      </c>
      <c r="K234" s="11" t="s">
        <v>3669</v>
      </c>
      <c r="L234" s="24"/>
      <c r="M234" s="24"/>
      <c r="N234" s="20" t="s">
        <v>29</v>
      </c>
    </row>
    <row r="235" ht="18" spans="1:14">
      <c r="A235" s="14">
        <f t="shared" si="6"/>
        <v>234</v>
      </c>
      <c r="B235" s="18" t="s">
        <v>3671</v>
      </c>
      <c r="C235" s="120" t="s">
        <v>286</v>
      </c>
      <c r="D235" s="20" t="s">
        <v>74</v>
      </c>
      <c r="E235" s="18" t="s">
        <v>3449</v>
      </c>
      <c r="F235" s="18" t="s">
        <v>179</v>
      </c>
      <c r="G235" s="5">
        <v>46149</v>
      </c>
      <c r="H235" s="5">
        <v>46183</v>
      </c>
      <c r="I235" s="21">
        <f t="shared" si="7"/>
        <v>34</v>
      </c>
      <c r="J235" s="22" t="s">
        <v>3427</v>
      </c>
      <c r="K235" s="11" t="s">
        <v>3422</v>
      </c>
      <c r="L235" s="24"/>
      <c r="M235" s="24"/>
      <c r="N235" s="20" t="s">
        <v>29</v>
      </c>
    </row>
    <row r="236" ht="18" spans="1:14">
      <c r="A236" s="10">
        <f t="shared" si="6"/>
        <v>235</v>
      </c>
      <c r="B236" s="18" t="s">
        <v>3672</v>
      </c>
      <c r="C236" s="120" t="s">
        <v>126</v>
      </c>
      <c r="D236" s="20" t="s">
        <v>74</v>
      </c>
      <c r="E236" s="18" t="s">
        <v>64</v>
      </c>
      <c r="F236" s="18" t="s">
        <v>179</v>
      </c>
      <c r="G236" s="5">
        <v>46167</v>
      </c>
      <c r="H236" s="5">
        <v>46183</v>
      </c>
      <c r="I236" s="21">
        <f t="shared" si="7"/>
        <v>16</v>
      </c>
      <c r="J236" s="22" t="s">
        <v>3427</v>
      </c>
      <c r="K236" s="11" t="s">
        <v>3422</v>
      </c>
      <c r="L236" s="24"/>
      <c r="M236" s="24"/>
      <c r="N236" s="20" t="s">
        <v>29</v>
      </c>
    </row>
    <row r="237" ht="18" spans="1:14">
      <c r="A237" s="14">
        <f t="shared" si="6"/>
        <v>236</v>
      </c>
      <c r="B237" s="18" t="s">
        <v>3673</v>
      </c>
      <c r="C237" s="120" t="s">
        <v>128</v>
      </c>
      <c r="D237" s="20" t="s">
        <v>74</v>
      </c>
      <c r="E237" s="18" t="s">
        <v>64</v>
      </c>
      <c r="F237" s="18" t="s">
        <v>179</v>
      </c>
      <c r="G237" s="5">
        <v>46171</v>
      </c>
      <c r="H237" s="5">
        <v>46183</v>
      </c>
      <c r="I237" s="21">
        <f t="shared" si="7"/>
        <v>12</v>
      </c>
      <c r="J237" s="22" t="s">
        <v>3427</v>
      </c>
      <c r="K237" s="11" t="s">
        <v>3415</v>
      </c>
      <c r="L237" s="24"/>
      <c r="M237" s="24"/>
      <c r="N237" s="20" t="s">
        <v>29</v>
      </c>
    </row>
    <row r="238" ht="18" spans="1:14">
      <c r="A238" s="10">
        <f t="shared" si="6"/>
        <v>237</v>
      </c>
      <c r="B238" s="18" t="s">
        <v>3674</v>
      </c>
      <c r="C238" s="120" t="s">
        <v>280</v>
      </c>
      <c r="D238" s="20" t="s">
        <v>74</v>
      </c>
      <c r="E238" s="18" t="s">
        <v>64</v>
      </c>
      <c r="F238" s="18" t="s">
        <v>179</v>
      </c>
      <c r="G238" s="5">
        <v>46171</v>
      </c>
      <c r="H238" s="5">
        <v>46183</v>
      </c>
      <c r="I238" s="21">
        <f t="shared" si="7"/>
        <v>12</v>
      </c>
      <c r="J238" s="22" t="s">
        <v>3427</v>
      </c>
      <c r="K238" s="11" t="s">
        <v>3436</v>
      </c>
      <c r="L238" s="24"/>
      <c r="M238" s="24"/>
      <c r="N238" s="20" t="s">
        <v>29</v>
      </c>
    </row>
    <row r="239" ht="18" spans="1:14">
      <c r="A239" s="14">
        <f t="shared" si="6"/>
        <v>238</v>
      </c>
      <c r="B239" s="18" t="s">
        <v>3675</v>
      </c>
      <c r="C239" s="120" t="s">
        <v>282</v>
      </c>
      <c r="D239" s="20" t="s">
        <v>74</v>
      </c>
      <c r="E239" s="18" t="s">
        <v>64</v>
      </c>
      <c r="F239" s="18" t="s">
        <v>148</v>
      </c>
      <c r="G239" s="5">
        <v>46172</v>
      </c>
      <c r="H239" s="5">
        <v>46183</v>
      </c>
      <c r="I239" s="21">
        <f t="shared" si="7"/>
        <v>11</v>
      </c>
      <c r="J239" s="22" t="s">
        <v>3427</v>
      </c>
      <c r="K239" s="11" t="s">
        <v>3422</v>
      </c>
      <c r="L239" s="24"/>
      <c r="M239" s="24"/>
      <c r="N239" s="20" t="s">
        <v>29</v>
      </c>
    </row>
    <row r="240" ht="18" spans="1:14">
      <c r="A240" s="10">
        <f t="shared" si="6"/>
        <v>239</v>
      </c>
      <c r="B240" s="18" t="s">
        <v>3676</v>
      </c>
      <c r="C240" s="120" t="s">
        <v>284</v>
      </c>
      <c r="D240" s="20" t="s">
        <v>74</v>
      </c>
      <c r="E240" s="18" t="s">
        <v>64</v>
      </c>
      <c r="F240" s="18" t="s">
        <v>148</v>
      </c>
      <c r="G240" s="5">
        <v>46172</v>
      </c>
      <c r="H240" s="5">
        <v>46183</v>
      </c>
      <c r="I240" s="21">
        <f t="shared" si="7"/>
        <v>11</v>
      </c>
      <c r="J240" s="22" t="s">
        <v>3427</v>
      </c>
      <c r="K240" s="11" t="s">
        <v>3422</v>
      </c>
      <c r="L240" s="24"/>
      <c r="M240" s="24"/>
      <c r="N240" s="20" t="s">
        <v>29</v>
      </c>
    </row>
    <row r="241" ht="18" spans="1:14">
      <c r="A241" s="14">
        <f t="shared" si="6"/>
        <v>240</v>
      </c>
      <c r="B241" s="18" t="s">
        <v>2539</v>
      </c>
      <c r="C241" s="120" t="s">
        <v>286</v>
      </c>
      <c r="D241" s="20" t="s">
        <v>43</v>
      </c>
      <c r="E241" s="18" t="s">
        <v>62</v>
      </c>
      <c r="F241" s="18" t="s">
        <v>129</v>
      </c>
      <c r="G241" s="5">
        <v>46172</v>
      </c>
      <c r="H241" s="5">
        <v>46183</v>
      </c>
      <c r="I241" s="21">
        <f t="shared" si="7"/>
        <v>11</v>
      </c>
      <c r="J241" s="22" t="s">
        <v>3414</v>
      </c>
      <c r="K241" s="11" t="s">
        <v>3627</v>
      </c>
      <c r="L241" s="24"/>
      <c r="M241" s="24"/>
      <c r="N241" s="20" t="s">
        <v>29</v>
      </c>
    </row>
    <row r="242" ht="18" spans="1:14">
      <c r="A242" s="10">
        <f t="shared" si="6"/>
        <v>241</v>
      </c>
      <c r="B242" s="18" t="s">
        <v>3677</v>
      </c>
      <c r="C242" s="120" t="s">
        <v>126</v>
      </c>
      <c r="D242" s="20" t="s">
        <v>74</v>
      </c>
      <c r="E242" s="18" t="s">
        <v>64</v>
      </c>
      <c r="F242" s="18" t="s">
        <v>124</v>
      </c>
      <c r="G242" s="5">
        <v>46173</v>
      </c>
      <c r="H242" s="5">
        <v>46183</v>
      </c>
      <c r="I242" s="21">
        <f t="shared" si="7"/>
        <v>10</v>
      </c>
      <c r="J242" s="22" t="s">
        <v>3427</v>
      </c>
      <c r="K242" s="11" t="s">
        <v>3412</v>
      </c>
      <c r="L242" s="24"/>
      <c r="M242" s="24"/>
      <c r="N242" s="20" t="s">
        <v>29</v>
      </c>
    </row>
    <row r="243" ht="18" spans="1:14">
      <c r="A243" s="14">
        <f t="shared" si="6"/>
        <v>242</v>
      </c>
      <c r="B243" s="18" t="s">
        <v>3678</v>
      </c>
      <c r="C243" s="120" t="s">
        <v>128</v>
      </c>
      <c r="D243" s="20" t="s">
        <v>42</v>
      </c>
      <c r="E243" s="18" t="s">
        <v>63</v>
      </c>
      <c r="F243" s="18" t="s">
        <v>117</v>
      </c>
      <c r="G243" s="5">
        <v>46175</v>
      </c>
      <c r="H243" s="5">
        <v>46183</v>
      </c>
      <c r="I243" s="21">
        <f t="shared" si="7"/>
        <v>8</v>
      </c>
      <c r="J243" s="22" t="s">
        <v>3652</v>
      </c>
      <c r="K243" s="11" t="s">
        <v>3422</v>
      </c>
      <c r="L243" s="24"/>
      <c r="M243" s="24"/>
      <c r="N243" s="20" t="s">
        <v>29</v>
      </c>
    </row>
    <row r="244" ht="18" spans="1:14">
      <c r="A244" s="10">
        <f t="shared" si="6"/>
        <v>243</v>
      </c>
      <c r="B244" s="18" t="s">
        <v>355</v>
      </c>
      <c r="C244" s="120" t="s">
        <v>280</v>
      </c>
      <c r="D244" s="20" t="s">
        <v>42</v>
      </c>
      <c r="E244" s="18" t="s">
        <v>64</v>
      </c>
      <c r="F244" s="18" t="s">
        <v>307</v>
      </c>
      <c r="G244" s="5">
        <v>46175</v>
      </c>
      <c r="H244" s="5">
        <v>46183</v>
      </c>
      <c r="I244" s="21">
        <f t="shared" si="7"/>
        <v>8</v>
      </c>
      <c r="J244" s="22" t="s">
        <v>3652</v>
      </c>
      <c r="K244" s="11" t="s">
        <v>3627</v>
      </c>
      <c r="L244" s="24"/>
      <c r="M244" s="24"/>
      <c r="N244" s="20" t="s">
        <v>29</v>
      </c>
    </row>
    <row r="245" ht="18" spans="1:14">
      <c r="A245" s="14">
        <f t="shared" si="6"/>
        <v>244</v>
      </c>
      <c r="B245" s="18" t="s">
        <v>1421</v>
      </c>
      <c r="C245" s="120" t="s">
        <v>282</v>
      </c>
      <c r="D245" s="20" t="s">
        <v>43</v>
      </c>
      <c r="E245" s="18" t="s">
        <v>62</v>
      </c>
      <c r="F245" s="18" t="s">
        <v>796</v>
      </c>
      <c r="G245" s="5">
        <v>46180</v>
      </c>
      <c r="H245" s="5">
        <v>46183</v>
      </c>
      <c r="I245" s="21">
        <f t="shared" si="7"/>
        <v>3</v>
      </c>
      <c r="J245" s="22" t="s">
        <v>3652</v>
      </c>
      <c r="K245" s="11" t="s">
        <v>3627</v>
      </c>
      <c r="L245" s="24"/>
      <c r="M245" s="24"/>
      <c r="N245" s="20" t="s">
        <v>29</v>
      </c>
    </row>
    <row r="246" ht="18" spans="1:14">
      <c r="A246" s="10">
        <f t="shared" si="6"/>
        <v>245</v>
      </c>
      <c r="B246" s="18" t="s">
        <v>3679</v>
      </c>
      <c r="C246" s="120" t="s">
        <v>284</v>
      </c>
      <c r="D246" s="20" t="s">
        <v>42</v>
      </c>
      <c r="E246" s="18" t="s">
        <v>62</v>
      </c>
      <c r="F246" s="18" t="s">
        <v>103</v>
      </c>
      <c r="G246" s="5">
        <v>46181</v>
      </c>
      <c r="H246" s="5">
        <v>46183</v>
      </c>
      <c r="I246" s="21">
        <f t="shared" si="7"/>
        <v>2</v>
      </c>
      <c r="J246" s="22" t="s">
        <v>3652</v>
      </c>
      <c r="K246" s="11" t="s">
        <v>3627</v>
      </c>
      <c r="L246" s="24"/>
      <c r="M246" s="24"/>
      <c r="N246" s="20" t="s">
        <v>29</v>
      </c>
    </row>
    <row r="247" ht="18" spans="1:14">
      <c r="A247" s="14">
        <f t="shared" si="6"/>
        <v>246</v>
      </c>
      <c r="B247" s="18" t="s">
        <v>1561</v>
      </c>
      <c r="C247" s="120" t="s">
        <v>286</v>
      </c>
      <c r="D247" s="20" t="s">
        <v>43</v>
      </c>
      <c r="E247" s="18" t="s">
        <v>62</v>
      </c>
      <c r="F247" s="18" t="s">
        <v>1562</v>
      </c>
      <c r="G247" s="5">
        <v>46181</v>
      </c>
      <c r="H247" s="5">
        <v>46183</v>
      </c>
      <c r="I247" s="21">
        <f t="shared" si="7"/>
        <v>2</v>
      </c>
      <c r="J247" s="22" t="s">
        <v>3411</v>
      </c>
      <c r="K247" s="11" t="s">
        <v>3680</v>
      </c>
      <c r="L247" s="24"/>
      <c r="M247" s="24"/>
      <c r="N247" s="20" t="s">
        <v>29</v>
      </c>
    </row>
    <row r="248" ht="18" spans="1:14">
      <c r="A248" s="10">
        <f t="shared" si="6"/>
        <v>247</v>
      </c>
      <c r="B248" s="18" t="s">
        <v>3681</v>
      </c>
      <c r="C248" s="120" t="s">
        <v>126</v>
      </c>
      <c r="D248" s="20" t="s">
        <v>73</v>
      </c>
      <c r="E248" s="18" t="s">
        <v>62</v>
      </c>
      <c r="F248" s="18" t="s">
        <v>129</v>
      </c>
      <c r="G248" s="5">
        <v>46107</v>
      </c>
      <c r="H248" s="5">
        <v>46183</v>
      </c>
      <c r="I248" s="21">
        <f t="shared" si="7"/>
        <v>76</v>
      </c>
      <c r="J248" s="22" t="s">
        <v>3427</v>
      </c>
      <c r="K248" s="11" t="s">
        <v>3682</v>
      </c>
      <c r="L248" s="24"/>
      <c r="M248" s="24"/>
      <c r="N248" s="20" t="s">
        <v>29</v>
      </c>
    </row>
    <row r="249" ht="18" spans="1:14">
      <c r="A249" s="14">
        <f t="shared" si="6"/>
        <v>248</v>
      </c>
      <c r="B249" s="18" t="s">
        <v>3683</v>
      </c>
      <c r="C249" s="120" t="s">
        <v>128</v>
      </c>
      <c r="D249" s="20" t="s">
        <v>42</v>
      </c>
      <c r="E249" s="18" t="s">
        <v>63</v>
      </c>
      <c r="F249" s="18" t="s">
        <v>129</v>
      </c>
      <c r="G249" s="5">
        <v>46041</v>
      </c>
      <c r="H249" s="5">
        <v>46184</v>
      </c>
      <c r="I249" s="21">
        <f t="shared" si="7"/>
        <v>143</v>
      </c>
      <c r="J249" s="22" t="s">
        <v>3414</v>
      </c>
      <c r="K249" s="11" t="s">
        <v>3684</v>
      </c>
      <c r="L249" s="24"/>
      <c r="M249" s="24"/>
      <c r="N249" s="20" t="s">
        <v>29</v>
      </c>
    </row>
    <row r="250" ht="18" spans="1:14">
      <c r="A250" s="10">
        <f t="shared" si="6"/>
        <v>249</v>
      </c>
      <c r="B250" s="18" t="s">
        <v>3685</v>
      </c>
      <c r="C250" s="120" t="s">
        <v>280</v>
      </c>
      <c r="D250" s="20" t="s">
        <v>42</v>
      </c>
      <c r="E250" s="18" t="s">
        <v>62</v>
      </c>
      <c r="F250" s="18" t="s">
        <v>179</v>
      </c>
      <c r="G250" s="5">
        <v>46053</v>
      </c>
      <c r="H250" s="5">
        <v>46184</v>
      </c>
      <c r="I250" s="21">
        <f t="shared" si="7"/>
        <v>131</v>
      </c>
      <c r="J250" s="22" t="s">
        <v>3414</v>
      </c>
      <c r="K250" s="11" t="s">
        <v>3686</v>
      </c>
      <c r="L250" s="24"/>
      <c r="M250" s="24"/>
      <c r="N250" s="20" t="s">
        <v>29</v>
      </c>
    </row>
    <row r="251" ht="36" spans="1:14">
      <c r="A251" s="14">
        <f t="shared" si="6"/>
        <v>250</v>
      </c>
      <c r="B251" s="18" t="s">
        <v>3687</v>
      </c>
      <c r="C251" s="120" t="s">
        <v>282</v>
      </c>
      <c r="D251" s="20" t="s">
        <v>42</v>
      </c>
      <c r="E251" s="18" t="s">
        <v>62</v>
      </c>
      <c r="F251" s="18" t="s">
        <v>124</v>
      </c>
      <c r="G251" s="5">
        <v>46085</v>
      </c>
      <c r="H251" s="5">
        <v>46184</v>
      </c>
      <c r="I251" s="21">
        <f t="shared" si="7"/>
        <v>99</v>
      </c>
      <c r="J251" s="22" t="s">
        <v>3688</v>
      </c>
      <c r="K251" s="11" t="s">
        <v>3689</v>
      </c>
      <c r="L251" s="24"/>
      <c r="M251" s="24"/>
      <c r="N251" s="20" t="s">
        <v>29</v>
      </c>
    </row>
    <row r="252" ht="18" spans="1:14">
      <c r="A252" s="10">
        <f t="shared" si="6"/>
        <v>251</v>
      </c>
      <c r="B252" s="18" t="s">
        <v>3690</v>
      </c>
      <c r="C252" s="120" t="s">
        <v>284</v>
      </c>
      <c r="D252" s="20" t="s">
        <v>43</v>
      </c>
      <c r="E252" s="18" t="s">
        <v>62</v>
      </c>
      <c r="F252" s="18" t="s">
        <v>124</v>
      </c>
      <c r="G252" s="5">
        <v>46086</v>
      </c>
      <c r="H252" s="5">
        <v>46184</v>
      </c>
      <c r="I252" s="21">
        <f t="shared" si="7"/>
        <v>98</v>
      </c>
      <c r="J252" s="22" t="s">
        <v>3414</v>
      </c>
      <c r="K252" s="11" t="s">
        <v>3436</v>
      </c>
      <c r="L252" s="24"/>
      <c r="M252" s="24"/>
      <c r="N252" s="20" t="s">
        <v>29</v>
      </c>
    </row>
    <row r="253" ht="18" spans="1:14">
      <c r="A253" s="14">
        <f t="shared" si="6"/>
        <v>252</v>
      </c>
      <c r="B253" s="18" t="s">
        <v>3691</v>
      </c>
      <c r="C253" s="120" t="s">
        <v>286</v>
      </c>
      <c r="D253" s="20" t="s">
        <v>43</v>
      </c>
      <c r="E253" s="18" t="s">
        <v>64</v>
      </c>
      <c r="F253" s="18" t="s">
        <v>135</v>
      </c>
      <c r="G253" s="5">
        <v>46090</v>
      </c>
      <c r="H253" s="5">
        <v>46184</v>
      </c>
      <c r="I253" s="21">
        <f t="shared" si="7"/>
        <v>94</v>
      </c>
      <c r="J253" s="22" t="s">
        <v>3411</v>
      </c>
      <c r="K253" s="11" t="s">
        <v>3412</v>
      </c>
      <c r="L253" s="24"/>
      <c r="M253" s="24"/>
      <c r="N253" s="20" t="s">
        <v>29</v>
      </c>
    </row>
    <row r="254" ht="18" spans="1:14">
      <c r="A254" s="10">
        <f t="shared" si="6"/>
        <v>253</v>
      </c>
      <c r="B254" s="18" t="s">
        <v>3692</v>
      </c>
      <c r="C254" s="120" t="s">
        <v>126</v>
      </c>
      <c r="D254" s="20" t="s">
        <v>42</v>
      </c>
      <c r="E254" s="18" t="s">
        <v>63</v>
      </c>
      <c r="F254" s="18" t="s">
        <v>509</v>
      </c>
      <c r="G254" s="5">
        <v>46090</v>
      </c>
      <c r="H254" s="5">
        <v>46184</v>
      </c>
      <c r="I254" s="21">
        <f t="shared" si="7"/>
        <v>94</v>
      </c>
      <c r="J254" s="22" t="s">
        <v>3688</v>
      </c>
      <c r="K254" s="11" t="s">
        <v>3693</v>
      </c>
      <c r="L254" s="24"/>
      <c r="M254" s="24"/>
      <c r="N254" s="20" t="s">
        <v>29</v>
      </c>
    </row>
    <row r="255" ht="18" spans="1:14">
      <c r="A255" s="14">
        <f t="shared" si="6"/>
        <v>254</v>
      </c>
      <c r="B255" s="18" t="s">
        <v>3694</v>
      </c>
      <c r="C255" s="120" t="s">
        <v>128</v>
      </c>
      <c r="D255" s="20" t="s">
        <v>42</v>
      </c>
      <c r="E255" s="18" t="s">
        <v>62</v>
      </c>
      <c r="F255" s="18" t="s">
        <v>132</v>
      </c>
      <c r="G255" s="5">
        <v>46092</v>
      </c>
      <c r="H255" s="5">
        <v>46184</v>
      </c>
      <c r="I255" s="21">
        <f t="shared" si="7"/>
        <v>92</v>
      </c>
      <c r="J255" s="22" t="s">
        <v>3414</v>
      </c>
      <c r="K255" s="11" t="s">
        <v>3412</v>
      </c>
      <c r="L255" s="24"/>
      <c r="M255" s="24"/>
      <c r="N255" s="20" t="s">
        <v>29</v>
      </c>
    </row>
    <row r="256" ht="36" spans="1:14">
      <c r="A256" s="10">
        <f t="shared" si="6"/>
        <v>255</v>
      </c>
      <c r="B256" s="18" t="s">
        <v>3695</v>
      </c>
      <c r="C256" s="120" t="s">
        <v>280</v>
      </c>
      <c r="D256" s="20" t="s">
        <v>73</v>
      </c>
      <c r="E256" s="18" t="s">
        <v>62</v>
      </c>
      <c r="F256" s="18" t="s">
        <v>103</v>
      </c>
      <c r="G256" s="5">
        <v>46094</v>
      </c>
      <c r="H256" s="5">
        <v>46184</v>
      </c>
      <c r="I256" s="21">
        <f t="shared" si="7"/>
        <v>90</v>
      </c>
      <c r="J256" s="22" t="s">
        <v>3427</v>
      </c>
      <c r="K256" s="11" t="s">
        <v>3696</v>
      </c>
      <c r="L256" s="24"/>
      <c r="M256" s="24"/>
      <c r="N256" s="20" t="s">
        <v>29</v>
      </c>
    </row>
    <row r="257" ht="18" spans="1:14">
      <c r="A257" s="14">
        <f t="shared" si="6"/>
        <v>256</v>
      </c>
      <c r="B257" s="18" t="s">
        <v>3697</v>
      </c>
      <c r="C257" s="120" t="s">
        <v>282</v>
      </c>
      <c r="D257" s="20" t="s">
        <v>42</v>
      </c>
      <c r="E257" s="18" t="s">
        <v>63</v>
      </c>
      <c r="F257" s="18" t="s">
        <v>129</v>
      </c>
      <c r="G257" s="5">
        <v>46095</v>
      </c>
      <c r="H257" s="5">
        <v>46184</v>
      </c>
      <c r="I257" s="21">
        <f t="shared" si="7"/>
        <v>89</v>
      </c>
      <c r="J257" s="22" t="s">
        <v>3427</v>
      </c>
      <c r="K257" s="11" t="s">
        <v>3428</v>
      </c>
      <c r="L257" s="24"/>
      <c r="M257" s="24"/>
      <c r="N257" s="20" t="s">
        <v>29</v>
      </c>
    </row>
    <row r="258" ht="18" spans="1:14">
      <c r="A258" s="10">
        <f t="shared" ref="A258:A321" si="8">IF(B258&lt;&gt;"",ROW()-1,"")</f>
        <v>257</v>
      </c>
      <c r="B258" s="18" t="s">
        <v>3698</v>
      </c>
      <c r="C258" s="120" t="s">
        <v>284</v>
      </c>
      <c r="D258" s="20" t="s">
        <v>42</v>
      </c>
      <c r="E258" s="18" t="s">
        <v>62</v>
      </c>
      <c r="F258" s="18" t="s">
        <v>103</v>
      </c>
      <c r="G258" s="5">
        <v>46098</v>
      </c>
      <c r="H258" s="5">
        <v>46184</v>
      </c>
      <c r="I258" s="21">
        <f t="shared" ref="I258:I321" si="9">IF(AND(G258&lt;&gt;"",H258&lt;&gt;""),H258-G258,"")</f>
        <v>86</v>
      </c>
      <c r="J258" s="22" t="s">
        <v>3414</v>
      </c>
      <c r="K258" s="11" t="s">
        <v>3412</v>
      </c>
      <c r="L258" s="24"/>
      <c r="M258" s="24"/>
      <c r="N258" s="20" t="s">
        <v>29</v>
      </c>
    </row>
    <row r="259" ht="18" spans="1:14">
      <c r="A259" s="14">
        <f t="shared" si="8"/>
        <v>258</v>
      </c>
      <c r="B259" s="18" t="s">
        <v>3699</v>
      </c>
      <c r="C259" s="120" t="s">
        <v>286</v>
      </c>
      <c r="D259" s="20" t="s">
        <v>43</v>
      </c>
      <c r="E259" s="18" t="s">
        <v>62</v>
      </c>
      <c r="F259" s="18" t="s">
        <v>129</v>
      </c>
      <c r="G259" s="5">
        <v>46106</v>
      </c>
      <c r="H259" s="5">
        <v>46184</v>
      </c>
      <c r="I259" s="21">
        <f t="shared" si="9"/>
        <v>78</v>
      </c>
      <c r="J259" s="22" t="s">
        <v>3414</v>
      </c>
      <c r="K259" s="11" t="s">
        <v>3436</v>
      </c>
      <c r="L259" s="24"/>
      <c r="M259" s="24"/>
      <c r="N259" s="20" t="s">
        <v>29</v>
      </c>
    </row>
    <row r="260" ht="18" spans="1:14">
      <c r="A260" s="10">
        <f t="shared" si="8"/>
        <v>259</v>
      </c>
      <c r="B260" s="18" t="s">
        <v>3700</v>
      </c>
      <c r="C260" s="120" t="s">
        <v>126</v>
      </c>
      <c r="D260" s="20" t="s">
        <v>43</v>
      </c>
      <c r="E260" s="18" t="s">
        <v>62</v>
      </c>
      <c r="F260" s="18" t="s">
        <v>129</v>
      </c>
      <c r="G260" s="5">
        <v>46106</v>
      </c>
      <c r="H260" s="5">
        <v>46184</v>
      </c>
      <c r="I260" s="21">
        <f t="shared" si="9"/>
        <v>78</v>
      </c>
      <c r="J260" s="22" t="s">
        <v>3427</v>
      </c>
      <c r="K260" s="11" t="s">
        <v>3701</v>
      </c>
      <c r="L260" s="24"/>
      <c r="M260" s="24"/>
      <c r="N260" s="20" t="s">
        <v>29</v>
      </c>
    </row>
    <row r="261" ht="18" spans="1:14">
      <c r="A261" s="14">
        <f t="shared" si="8"/>
        <v>260</v>
      </c>
      <c r="B261" s="18" t="s">
        <v>3702</v>
      </c>
      <c r="C261" s="120" t="s">
        <v>128</v>
      </c>
      <c r="D261" s="20" t="s">
        <v>43</v>
      </c>
      <c r="E261" s="18" t="s">
        <v>63</v>
      </c>
      <c r="F261" s="18" t="s">
        <v>332</v>
      </c>
      <c r="G261" s="5">
        <v>46107</v>
      </c>
      <c r="H261" s="5">
        <v>46184</v>
      </c>
      <c r="I261" s="21">
        <f t="shared" si="9"/>
        <v>77</v>
      </c>
      <c r="J261" s="22" t="s">
        <v>3411</v>
      </c>
      <c r="K261" s="11" t="s">
        <v>3703</v>
      </c>
      <c r="L261" s="24"/>
      <c r="M261" s="24"/>
      <c r="N261" s="20" t="s">
        <v>29</v>
      </c>
    </row>
    <row r="262" ht="18" spans="1:14">
      <c r="A262" s="10">
        <f t="shared" si="8"/>
        <v>261</v>
      </c>
      <c r="B262" s="18" t="s">
        <v>3704</v>
      </c>
      <c r="C262" s="120" t="s">
        <v>280</v>
      </c>
      <c r="D262" s="20" t="s">
        <v>74</v>
      </c>
      <c r="E262" s="18" t="s">
        <v>64</v>
      </c>
      <c r="F262" s="18" t="s">
        <v>135</v>
      </c>
      <c r="G262" s="5">
        <v>46109</v>
      </c>
      <c r="H262" s="5">
        <v>46184</v>
      </c>
      <c r="I262" s="21">
        <f t="shared" si="9"/>
        <v>75</v>
      </c>
      <c r="J262" s="22" t="s">
        <v>3427</v>
      </c>
      <c r="K262" s="11" t="s">
        <v>3436</v>
      </c>
      <c r="L262" s="24"/>
      <c r="M262" s="24"/>
      <c r="N262" s="20" t="s">
        <v>29</v>
      </c>
    </row>
    <row r="263" ht="18" spans="1:14">
      <c r="A263" s="14">
        <f t="shared" si="8"/>
        <v>262</v>
      </c>
      <c r="B263" s="18" t="s">
        <v>1734</v>
      </c>
      <c r="C263" s="120" t="s">
        <v>282</v>
      </c>
      <c r="D263" s="20" t="s">
        <v>43</v>
      </c>
      <c r="E263" s="18" t="s">
        <v>63</v>
      </c>
      <c r="F263" s="18" t="s">
        <v>129</v>
      </c>
      <c r="G263" s="5">
        <v>46109</v>
      </c>
      <c r="H263" s="5">
        <v>46184</v>
      </c>
      <c r="I263" s="21">
        <f t="shared" si="9"/>
        <v>75</v>
      </c>
      <c r="J263" s="22" t="s">
        <v>3414</v>
      </c>
      <c r="K263" s="11" t="s">
        <v>3412</v>
      </c>
      <c r="L263" s="24"/>
      <c r="M263" s="24"/>
      <c r="N263" s="20" t="s">
        <v>29</v>
      </c>
    </row>
    <row r="264" ht="18" spans="1:14">
      <c r="A264" s="10">
        <f t="shared" si="8"/>
        <v>263</v>
      </c>
      <c r="B264" s="18" t="s">
        <v>3705</v>
      </c>
      <c r="C264" s="120" t="s">
        <v>284</v>
      </c>
      <c r="D264" s="20" t="s">
        <v>74</v>
      </c>
      <c r="E264" s="18" t="s">
        <v>64</v>
      </c>
      <c r="F264" s="18" t="s">
        <v>3706</v>
      </c>
      <c r="G264" s="5">
        <v>46109</v>
      </c>
      <c r="H264" s="5">
        <v>46184</v>
      </c>
      <c r="I264" s="21">
        <f t="shared" si="9"/>
        <v>75</v>
      </c>
      <c r="J264" s="22" t="s">
        <v>3427</v>
      </c>
      <c r="K264" s="11" t="s">
        <v>3707</v>
      </c>
      <c r="L264" s="24"/>
      <c r="M264" s="24"/>
      <c r="N264" s="20" t="s">
        <v>29</v>
      </c>
    </row>
    <row r="265" ht="18" spans="1:14">
      <c r="A265" s="14">
        <f t="shared" si="8"/>
        <v>264</v>
      </c>
      <c r="B265" s="18" t="s">
        <v>3708</v>
      </c>
      <c r="C265" s="120" t="s">
        <v>286</v>
      </c>
      <c r="D265" s="20" t="s">
        <v>74</v>
      </c>
      <c r="E265" s="18" t="s">
        <v>64</v>
      </c>
      <c r="F265" s="18" t="s">
        <v>3706</v>
      </c>
      <c r="G265" s="5">
        <v>46109</v>
      </c>
      <c r="H265" s="5">
        <v>46184</v>
      </c>
      <c r="I265" s="21">
        <f t="shared" si="9"/>
        <v>75</v>
      </c>
      <c r="J265" s="22" t="s">
        <v>3427</v>
      </c>
      <c r="K265" s="11" t="s">
        <v>3707</v>
      </c>
      <c r="L265" s="24"/>
      <c r="M265" s="24"/>
      <c r="N265" s="20" t="s">
        <v>29</v>
      </c>
    </row>
    <row r="266" ht="18" spans="1:14">
      <c r="A266" s="10">
        <f t="shared" si="8"/>
        <v>265</v>
      </c>
      <c r="B266" s="18" t="s">
        <v>3709</v>
      </c>
      <c r="C266" s="120" t="s">
        <v>126</v>
      </c>
      <c r="D266" s="20" t="s">
        <v>74</v>
      </c>
      <c r="E266" s="18" t="s">
        <v>64</v>
      </c>
      <c r="F266" s="18" t="s">
        <v>3706</v>
      </c>
      <c r="G266" s="5">
        <v>46109</v>
      </c>
      <c r="H266" s="5">
        <v>46184</v>
      </c>
      <c r="I266" s="21">
        <f t="shared" si="9"/>
        <v>75</v>
      </c>
      <c r="J266" s="22" t="s">
        <v>3427</v>
      </c>
      <c r="K266" s="11" t="s">
        <v>3707</v>
      </c>
      <c r="L266" s="24"/>
      <c r="M266" s="24"/>
      <c r="N266" s="20" t="s">
        <v>29</v>
      </c>
    </row>
    <row r="267" ht="18" spans="1:14">
      <c r="A267" s="14">
        <f t="shared" si="8"/>
        <v>266</v>
      </c>
      <c r="B267" s="18" t="s">
        <v>3710</v>
      </c>
      <c r="C267" s="120" t="s">
        <v>128</v>
      </c>
      <c r="D267" s="20" t="s">
        <v>42</v>
      </c>
      <c r="E267" s="18" t="s">
        <v>63</v>
      </c>
      <c r="F267" s="18" t="s">
        <v>129</v>
      </c>
      <c r="G267" s="5">
        <v>46119</v>
      </c>
      <c r="H267" s="5">
        <v>46184</v>
      </c>
      <c r="I267" s="21">
        <f t="shared" si="9"/>
        <v>65</v>
      </c>
      <c r="J267" s="22" t="s">
        <v>3414</v>
      </c>
      <c r="K267" s="11" t="s">
        <v>3711</v>
      </c>
      <c r="L267" s="24"/>
      <c r="M267" s="24"/>
      <c r="N267" s="20" t="s">
        <v>29</v>
      </c>
    </row>
    <row r="268" ht="18" spans="1:14">
      <c r="A268" s="10">
        <f t="shared" si="8"/>
        <v>267</v>
      </c>
      <c r="B268" s="18" t="s">
        <v>3712</v>
      </c>
      <c r="C268" s="120" t="s">
        <v>280</v>
      </c>
      <c r="D268" s="20" t="s">
        <v>42</v>
      </c>
      <c r="E268" s="18" t="s">
        <v>62</v>
      </c>
      <c r="F268" s="18" t="s">
        <v>179</v>
      </c>
      <c r="G268" s="5">
        <v>46121</v>
      </c>
      <c r="H268" s="5">
        <v>46184</v>
      </c>
      <c r="I268" s="21">
        <f t="shared" si="9"/>
        <v>63</v>
      </c>
      <c r="J268" s="22" t="s">
        <v>3414</v>
      </c>
      <c r="K268" s="11" t="s">
        <v>3713</v>
      </c>
      <c r="L268" s="24"/>
      <c r="M268" s="24"/>
      <c r="N268" s="20" t="s">
        <v>29</v>
      </c>
    </row>
    <row r="269" ht="18" spans="1:14">
      <c r="A269" s="14">
        <f t="shared" si="8"/>
        <v>268</v>
      </c>
      <c r="B269" s="18" t="s">
        <v>3714</v>
      </c>
      <c r="C269" s="120" t="s">
        <v>282</v>
      </c>
      <c r="D269" s="20" t="s">
        <v>43</v>
      </c>
      <c r="E269" s="18" t="s">
        <v>63</v>
      </c>
      <c r="F269" s="18" t="s">
        <v>148</v>
      </c>
      <c r="G269" s="5">
        <v>46125</v>
      </c>
      <c r="H269" s="5">
        <v>46184</v>
      </c>
      <c r="I269" s="21">
        <f t="shared" si="9"/>
        <v>59</v>
      </c>
      <c r="J269" s="22" t="s">
        <v>3433</v>
      </c>
      <c r="K269" s="11" t="s">
        <v>3715</v>
      </c>
      <c r="L269" s="24"/>
      <c r="M269" s="24"/>
      <c r="N269" s="20" t="s">
        <v>29</v>
      </c>
    </row>
    <row r="270" ht="36" spans="1:14">
      <c r="A270" s="10">
        <f t="shared" si="8"/>
        <v>269</v>
      </c>
      <c r="B270" s="18" t="s">
        <v>3716</v>
      </c>
      <c r="C270" s="120" t="s">
        <v>284</v>
      </c>
      <c r="D270" s="20" t="s">
        <v>42</v>
      </c>
      <c r="E270" s="18" t="s">
        <v>62</v>
      </c>
      <c r="F270" s="18" t="s">
        <v>117</v>
      </c>
      <c r="G270" s="5">
        <v>46129</v>
      </c>
      <c r="H270" s="5">
        <v>46184</v>
      </c>
      <c r="I270" s="21">
        <f t="shared" si="9"/>
        <v>55</v>
      </c>
      <c r="J270" s="22" t="s">
        <v>3427</v>
      </c>
      <c r="K270" s="11" t="s">
        <v>3717</v>
      </c>
      <c r="L270" s="24"/>
      <c r="M270" s="24"/>
      <c r="N270" s="20" t="s">
        <v>29</v>
      </c>
    </row>
    <row r="271" ht="18" spans="1:14">
      <c r="A271" s="14">
        <f t="shared" si="8"/>
        <v>270</v>
      </c>
      <c r="B271" s="18" t="s">
        <v>3718</v>
      </c>
      <c r="C271" s="120" t="s">
        <v>286</v>
      </c>
      <c r="D271" s="20" t="s">
        <v>74</v>
      </c>
      <c r="E271" s="18" t="s">
        <v>64</v>
      </c>
      <c r="F271" s="18" t="s">
        <v>246</v>
      </c>
      <c r="G271" s="5">
        <v>46129</v>
      </c>
      <c r="H271" s="5">
        <v>46184</v>
      </c>
      <c r="I271" s="21">
        <f t="shared" si="9"/>
        <v>55</v>
      </c>
      <c r="J271" s="22" t="s">
        <v>3427</v>
      </c>
      <c r="K271" s="11" t="s">
        <v>3417</v>
      </c>
      <c r="L271" s="24"/>
      <c r="M271" s="24"/>
      <c r="N271" s="20" t="s">
        <v>29</v>
      </c>
    </row>
    <row r="272" ht="18" spans="1:14">
      <c r="A272" s="10">
        <f t="shared" si="8"/>
        <v>271</v>
      </c>
      <c r="B272" s="18" t="s">
        <v>3719</v>
      </c>
      <c r="C272" s="120" t="s">
        <v>126</v>
      </c>
      <c r="D272" s="20" t="s">
        <v>74</v>
      </c>
      <c r="E272" s="18" t="s">
        <v>64</v>
      </c>
      <c r="F272" s="18" t="s">
        <v>179</v>
      </c>
      <c r="G272" s="5">
        <v>46130</v>
      </c>
      <c r="H272" s="5">
        <v>46184</v>
      </c>
      <c r="I272" s="21">
        <f t="shared" si="9"/>
        <v>54</v>
      </c>
      <c r="J272" s="22" t="s">
        <v>3427</v>
      </c>
      <c r="K272" s="11" t="s">
        <v>3720</v>
      </c>
      <c r="L272" s="24"/>
      <c r="M272" s="24"/>
      <c r="N272" s="20" t="s">
        <v>29</v>
      </c>
    </row>
    <row r="273" ht="18" spans="1:14">
      <c r="A273" s="14">
        <f t="shared" si="8"/>
        <v>272</v>
      </c>
      <c r="B273" s="18" t="s">
        <v>3721</v>
      </c>
      <c r="C273" s="120" t="s">
        <v>128</v>
      </c>
      <c r="D273" s="20" t="s">
        <v>42</v>
      </c>
      <c r="E273" s="18" t="s">
        <v>62</v>
      </c>
      <c r="F273" s="18" t="s">
        <v>179</v>
      </c>
      <c r="G273" s="5">
        <v>46130</v>
      </c>
      <c r="H273" s="5">
        <v>46184</v>
      </c>
      <c r="I273" s="21">
        <f t="shared" si="9"/>
        <v>54</v>
      </c>
      <c r="J273" s="22" t="s">
        <v>3427</v>
      </c>
      <c r="K273" s="11" t="s">
        <v>3722</v>
      </c>
      <c r="L273" s="24"/>
      <c r="M273" s="24"/>
      <c r="N273" s="20" t="s">
        <v>29</v>
      </c>
    </row>
    <row r="274" ht="18" spans="1:14">
      <c r="A274" s="10">
        <f t="shared" si="8"/>
        <v>273</v>
      </c>
      <c r="B274" s="18" t="s">
        <v>3723</v>
      </c>
      <c r="C274" s="120" t="s">
        <v>280</v>
      </c>
      <c r="D274" s="20" t="s">
        <v>42</v>
      </c>
      <c r="E274" s="18" t="s">
        <v>64</v>
      </c>
      <c r="F274" s="18" t="s">
        <v>233</v>
      </c>
      <c r="G274" s="5">
        <v>46130</v>
      </c>
      <c r="H274" s="5">
        <v>46184</v>
      </c>
      <c r="I274" s="21">
        <f t="shared" si="9"/>
        <v>54</v>
      </c>
      <c r="J274" s="22" t="s">
        <v>3414</v>
      </c>
      <c r="K274" s="11" t="s">
        <v>3419</v>
      </c>
      <c r="L274" s="24"/>
      <c r="M274" s="24"/>
      <c r="N274" s="20" t="s">
        <v>29</v>
      </c>
    </row>
    <row r="275" ht="18" spans="1:14">
      <c r="A275" s="14">
        <f t="shared" si="8"/>
        <v>274</v>
      </c>
      <c r="B275" s="18" t="s">
        <v>965</v>
      </c>
      <c r="C275" s="120" t="s">
        <v>282</v>
      </c>
      <c r="D275" s="20" t="s">
        <v>43</v>
      </c>
      <c r="E275" s="18" t="s">
        <v>62</v>
      </c>
      <c r="F275" s="18" t="s">
        <v>179</v>
      </c>
      <c r="G275" s="5">
        <v>46134</v>
      </c>
      <c r="H275" s="5">
        <v>46184</v>
      </c>
      <c r="I275" s="21">
        <f t="shared" si="9"/>
        <v>50</v>
      </c>
      <c r="J275" s="22" t="s">
        <v>3414</v>
      </c>
      <c r="K275" s="11" t="s">
        <v>3419</v>
      </c>
      <c r="L275" s="24"/>
      <c r="M275" s="24"/>
      <c r="N275" s="20" t="s">
        <v>29</v>
      </c>
    </row>
    <row r="276" ht="18" spans="1:14">
      <c r="A276" s="10">
        <f t="shared" si="8"/>
        <v>275</v>
      </c>
      <c r="B276" s="18" t="s">
        <v>3724</v>
      </c>
      <c r="C276" s="120" t="s">
        <v>284</v>
      </c>
      <c r="D276" s="20" t="s">
        <v>74</v>
      </c>
      <c r="E276" s="18" t="s">
        <v>64</v>
      </c>
      <c r="F276" s="18" t="s">
        <v>246</v>
      </c>
      <c r="G276" s="5">
        <v>46137</v>
      </c>
      <c r="H276" s="5">
        <v>46184</v>
      </c>
      <c r="I276" s="21">
        <f t="shared" si="9"/>
        <v>47</v>
      </c>
      <c r="J276" s="22" t="s">
        <v>3427</v>
      </c>
      <c r="K276" s="11" t="s">
        <v>3725</v>
      </c>
      <c r="L276" s="24"/>
      <c r="M276" s="24"/>
      <c r="N276" s="20" t="s">
        <v>29</v>
      </c>
    </row>
    <row r="277" ht="18" spans="1:14">
      <c r="A277" s="14">
        <f t="shared" si="8"/>
        <v>276</v>
      </c>
      <c r="B277" s="18" t="s">
        <v>3726</v>
      </c>
      <c r="C277" s="120" t="s">
        <v>286</v>
      </c>
      <c r="D277" s="20" t="s">
        <v>74</v>
      </c>
      <c r="E277" s="18" t="s">
        <v>64</v>
      </c>
      <c r="F277" s="18" t="s">
        <v>246</v>
      </c>
      <c r="G277" s="5">
        <v>46137</v>
      </c>
      <c r="H277" s="5">
        <v>46184</v>
      </c>
      <c r="I277" s="21">
        <f t="shared" si="9"/>
        <v>47</v>
      </c>
      <c r="J277" s="22" t="s">
        <v>3427</v>
      </c>
      <c r="K277" s="11" t="s">
        <v>3727</v>
      </c>
      <c r="L277" s="24"/>
      <c r="M277" s="24"/>
      <c r="N277" s="20" t="s">
        <v>29</v>
      </c>
    </row>
    <row r="278" ht="18" spans="1:14">
      <c r="A278" s="10">
        <f t="shared" si="8"/>
        <v>277</v>
      </c>
      <c r="B278" s="18" t="s">
        <v>3728</v>
      </c>
      <c r="C278" s="120" t="s">
        <v>126</v>
      </c>
      <c r="D278" s="20" t="s">
        <v>74</v>
      </c>
      <c r="E278" s="18" t="s">
        <v>64</v>
      </c>
      <c r="F278" s="18" t="s">
        <v>426</v>
      </c>
      <c r="G278" s="5">
        <v>46137</v>
      </c>
      <c r="H278" s="5">
        <v>46184</v>
      </c>
      <c r="I278" s="21">
        <f t="shared" si="9"/>
        <v>47</v>
      </c>
      <c r="J278" s="22" t="s">
        <v>3427</v>
      </c>
      <c r="K278" s="11" t="s">
        <v>3417</v>
      </c>
      <c r="L278" s="24"/>
      <c r="M278" s="24"/>
      <c r="N278" s="20" t="s">
        <v>29</v>
      </c>
    </row>
    <row r="279" ht="18" spans="1:14">
      <c r="A279" s="14">
        <f t="shared" si="8"/>
        <v>278</v>
      </c>
      <c r="B279" s="18" t="s">
        <v>3729</v>
      </c>
      <c r="C279" s="120" t="s">
        <v>128</v>
      </c>
      <c r="D279" s="20" t="s">
        <v>74</v>
      </c>
      <c r="E279" s="18" t="s">
        <v>64</v>
      </c>
      <c r="F279" s="18" t="s">
        <v>426</v>
      </c>
      <c r="G279" s="5">
        <v>46137</v>
      </c>
      <c r="H279" s="5">
        <v>46184</v>
      </c>
      <c r="I279" s="21">
        <f t="shared" si="9"/>
        <v>47</v>
      </c>
      <c r="J279" s="22" t="s">
        <v>3427</v>
      </c>
      <c r="K279" s="11" t="s">
        <v>3417</v>
      </c>
      <c r="L279" s="24"/>
      <c r="M279" s="24"/>
      <c r="N279" s="20" t="s">
        <v>29</v>
      </c>
    </row>
    <row r="280" ht="18" spans="1:14">
      <c r="A280" s="10">
        <f t="shared" si="8"/>
        <v>279</v>
      </c>
      <c r="B280" s="18" t="s">
        <v>3730</v>
      </c>
      <c r="C280" s="120" t="s">
        <v>280</v>
      </c>
      <c r="D280" s="20" t="s">
        <v>43</v>
      </c>
      <c r="E280" s="18" t="s">
        <v>63</v>
      </c>
      <c r="F280" s="18" t="s">
        <v>179</v>
      </c>
      <c r="G280" s="5">
        <v>46140</v>
      </c>
      <c r="H280" s="5">
        <v>46184</v>
      </c>
      <c r="I280" s="21">
        <f t="shared" si="9"/>
        <v>44</v>
      </c>
      <c r="J280" s="22" t="s">
        <v>3411</v>
      </c>
      <c r="K280" s="11" t="s">
        <v>3731</v>
      </c>
      <c r="L280" s="24"/>
      <c r="M280" s="24"/>
      <c r="N280" s="20" t="s">
        <v>29</v>
      </c>
    </row>
    <row r="281" ht="18" spans="1:14">
      <c r="A281" s="14">
        <f t="shared" si="8"/>
        <v>280</v>
      </c>
      <c r="B281" s="18" t="s">
        <v>3732</v>
      </c>
      <c r="C281" s="120" t="s">
        <v>282</v>
      </c>
      <c r="D281" s="20" t="s">
        <v>43</v>
      </c>
      <c r="E281" s="18" t="s">
        <v>62</v>
      </c>
      <c r="F281" s="18" t="s">
        <v>332</v>
      </c>
      <c r="G281" s="5">
        <v>46148</v>
      </c>
      <c r="H281" s="5">
        <v>46184</v>
      </c>
      <c r="I281" s="21">
        <f t="shared" si="9"/>
        <v>36</v>
      </c>
      <c r="J281" s="22" t="s">
        <v>3433</v>
      </c>
      <c r="K281" s="11" t="s">
        <v>3419</v>
      </c>
      <c r="L281" s="24"/>
      <c r="M281" s="24"/>
      <c r="N281" s="20" t="s">
        <v>29</v>
      </c>
    </row>
    <row r="282" ht="36" spans="1:14">
      <c r="A282" s="10">
        <f t="shared" si="8"/>
        <v>281</v>
      </c>
      <c r="B282" s="18" t="s">
        <v>3733</v>
      </c>
      <c r="C282" s="120" t="s">
        <v>284</v>
      </c>
      <c r="D282" s="20" t="s">
        <v>43</v>
      </c>
      <c r="E282" s="18" t="s">
        <v>63</v>
      </c>
      <c r="F282" s="18" t="s">
        <v>173</v>
      </c>
      <c r="G282" s="5">
        <v>46155</v>
      </c>
      <c r="H282" s="5">
        <v>46184</v>
      </c>
      <c r="I282" s="21">
        <f t="shared" si="9"/>
        <v>29</v>
      </c>
      <c r="J282" s="22" t="s">
        <v>3433</v>
      </c>
      <c r="K282" s="11" t="s">
        <v>3734</v>
      </c>
      <c r="L282" s="24"/>
      <c r="M282" s="24"/>
      <c r="N282" s="20" t="s">
        <v>29</v>
      </c>
    </row>
    <row r="283" ht="18" spans="1:14">
      <c r="A283" s="14">
        <f t="shared" si="8"/>
        <v>282</v>
      </c>
      <c r="B283" s="18" t="s">
        <v>3735</v>
      </c>
      <c r="C283" s="120" t="s">
        <v>286</v>
      </c>
      <c r="D283" s="20" t="s">
        <v>42</v>
      </c>
      <c r="E283" s="18" t="s">
        <v>63</v>
      </c>
      <c r="F283" s="18" t="s">
        <v>307</v>
      </c>
      <c r="G283" s="5">
        <v>46157</v>
      </c>
      <c r="H283" s="5">
        <v>46184</v>
      </c>
      <c r="I283" s="21">
        <f t="shared" si="9"/>
        <v>27</v>
      </c>
      <c r="J283" s="22" t="s">
        <v>3414</v>
      </c>
      <c r="K283" s="11" t="s">
        <v>3419</v>
      </c>
      <c r="L283" s="24"/>
      <c r="M283" s="24"/>
      <c r="N283" s="20" t="s">
        <v>29</v>
      </c>
    </row>
    <row r="284" ht="18" spans="1:14">
      <c r="A284" s="10">
        <f t="shared" si="8"/>
        <v>283</v>
      </c>
      <c r="B284" s="18" t="s">
        <v>3736</v>
      </c>
      <c r="C284" s="120" t="s">
        <v>126</v>
      </c>
      <c r="D284" s="20" t="s">
        <v>74</v>
      </c>
      <c r="E284" s="18" t="s">
        <v>64</v>
      </c>
      <c r="F284" s="18" t="s">
        <v>117</v>
      </c>
      <c r="G284" s="5">
        <v>46161</v>
      </c>
      <c r="H284" s="5">
        <v>46184</v>
      </c>
      <c r="I284" s="21">
        <f t="shared" si="9"/>
        <v>23</v>
      </c>
      <c r="J284" s="22" t="s">
        <v>3427</v>
      </c>
      <c r="K284" s="11" t="s">
        <v>3703</v>
      </c>
      <c r="L284" s="24"/>
      <c r="M284" s="24"/>
      <c r="N284" s="20" t="s">
        <v>29</v>
      </c>
    </row>
    <row r="285" ht="18" spans="1:14">
      <c r="A285" s="14">
        <f t="shared" si="8"/>
        <v>284</v>
      </c>
      <c r="B285" s="18" t="s">
        <v>3737</v>
      </c>
      <c r="C285" s="120" t="s">
        <v>128</v>
      </c>
      <c r="D285" s="20" t="s">
        <v>43</v>
      </c>
      <c r="E285" s="18" t="s">
        <v>63</v>
      </c>
      <c r="F285" s="18" t="s">
        <v>124</v>
      </c>
      <c r="G285" s="5">
        <v>46162</v>
      </c>
      <c r="H285" s="5">
        <v>46184</v>
      </c>
      <c r="I285" s="21">
        <f t="shared" si="9"/>
        <v>22</v>
      </c>
      <c r="J285" s="22" t="s">
        <v>3427</v>
      </c>
      <c r="K285" s="11" t="s">
        <v>3412</v>
      </c>
      <c r="L285" s="24"/>
      <c r="M285" s="24"/>
      <c r="N285" s="20" t="s">
        <v>29</v>
      </c>
    </row>
    <row r="286" ht="18" spans="1:14">
      <c r="A286" s="10">
        <f t="shared" si="8"/>
        <v>285</v>
      </c>
      <c r="B286" s="18" t="s">
        <v>3738</v>
      </c>
      <c r="C286" s="120" t="s">
        <v>280</v>
      </c>
      <c r="D286" s="20" t="s">
        <v>43</v>
      </c>
      <c r="E286" s="18" t="s">
        <v>64</v>
      </c>
      <c r="F286" s="18" t="s">
        <v>117</v>
      </c>
      <c r="G286" s="5">
        <v>46162</v>
      </c>
      <c r="H286" s="5">
        <v>46184</v>
      </c>
      <c r="I286" s="21">
        <f t="shared" si="9"/>
        <v>22</v>
      </c>
      <c r="J286" s="22" t="s">
        <v>3414</v>
      </c>
      <c r="K286" s="11" t="s">
        <v>3419</v>
      </c>
      <c r="L286" s="24"/>
      <c r="M286" s="24"/>
      <c r="N286" s="20" t="s">
        <v>29</v>
      </c>
    </row>
    <row r="287" ht="18" spans="1:14">
      <c r="A287" s="14">
        <f t="shared" si="8"/>
        <v>286</v>
      </c>
      <c r="B287" s="18" t="s">
        <v>1798</v>
      </c>
      <c r="C287" s="120" t="s">
        <v>282</v>
      </c>
      <c r="D287" s="20" t="s">
        <v>42</v>
      </c>
      <c r="E287" s="18" t="s">
        <v>64</v>
      </c>
      <c r="F287" s="18" t="s">
        <v>578</v>
      </c>
      <c r="G287" s="5">
        <v>46162</v>
      </c>
      <c r="H287" s="5">
        <v>46184</v>
      </c>
      <c r="I287" s="21">
        <f t="shared" si="9"/>
        <v>22</v>
      </c>
      <c r="J287" s="22" t="s">
        <v>3414</v>
      </c>
      <c r="K287" s="11" t="s">
        <v>3739</v>
      </c>
      <c r="L287" s="24"/>
      <c r="M287" s="24"/>
      <c r="N287" s="20" t="s">
        <v>29</v>
      </c>
    </row>
    <row r="288" ht="18" spans="1:14">
      <c r="A288" s="10">
        <f t="shared" si="8"/>
        <v>287</v>
      </c>
      <c r="B288" s="18" t="s">
        <v>3740</v>
      </c>
      <c r="C288" s="120" t="s">
        <v>284</v>
      </c>
      <c r="D288" s="20" t="s">
        <v>42</v>
      </c>
      <c r="E288" s="18" t="s">
        <v>62</v>
      </c>
      <c r="F288" s="18" t="s">
        <v>103</v>
      </c>
      <c r="G288" s="5">
        <v>46162</v>
      </c>
      <c r="H288" s="5">
        <v>46184</v>
      </c>
      <c r="I288" s="21">
        <f t="shared" si="9"/>
        <v>22</v>
      </c>
      <c r="J288" s="22" t="s">
        <v>3411</v>
      </c>
      <c r="K288" s="11" t="s">
        <v>3412</v>
      </c>
      <c r="L288" s="24"/>
      <c r="M288" s="24"/>
      <c r="N288" s="20" t="s">
        <v>29</v>
      </c>
    </row>
    <row r="289" ht="18" spans="1:14">
      <c r="A289" s="14">
        <f t="shared" si="8"/>
        <v>288</v>
      </c>
      <c r="B289" s="18" t="s">
        <v>3741</v>
      </c>
      <c r="C289" s="120" t="s">
        <v>286</v>
      </c>
      <c r="D289" s="20" t="s">
        <v>43</v>
      </c>
      <c r="E289" s="18" t="s">
        <v>62</v>
      </c>
      <c r="F289" s="18" t="s">
        <v>103</v>
      </c>
      <c r="G289" s="5">
        <v>46163</v>
      </c>
      <c r="H289" s="5">
        <v>46184</v>
      </c>
      <c r="I289" s="21">
        <f t="shared" si="9"/>
        <v>21</v>
      </c>
      <c r="J289" s="22" t="s">
        <v>3427</v>
      </c>
      <c r="K289" s="11" t="s">
        <v>3742</v>
      </c>
      <c r="L289" s="24"/>
      <c r="M289" s="24"/>
      <c r="N289" s="20" t="s">
        <v>29</v>
      </c>
    </row>
    <row r="290" ht="18" spans="1:14">
      <c r="A290" s="10">
        <f t="shared" si="8"/>
        <v>289</v>
      </c>
      <c r="B290" s="18" t="s">
        <v>3743</v>
      </c>
      <c r="C290" s="120" t="s">
        <v>126</v>
      </c>
      <c r="D290" s="20" t="s">
        <v>42</v>
      </c>
      <c r="E290" s="18" t="s">
        <v>63</v>
      </c>
      <c r="F290" s="18" t="s">
        <v>505</v>
      </c>
      <c r="G290" s="5">
        <v>46163</v>
      </c>
      <c r="H290" s="5">
        <v>46184</v>
      </c>
      <c r="I290" s="21">
        <f t="shared" si="9"/>
        <v>21</v>
      </c>
      <c r="J290" s="22" t="s">
        <v>3414</v>
      </c>
      <c r="K290" s="11" t="s">
        <v>3412</v>
      </c>
      <c r="L290" s="24"/>
      <c r="M290" s="24"/>
      <c r="N290" s="20" t="s">
        <v>29</v>
      </c>
    </row>
    <row r="291" ht="18" spans="1:14">
      <c r="A291" s="14">
        <f t="shared" si="8"/>
        <v>290</v>
      </c>
      <c r="B291" s="18" t="s">
        <v>3744</v>
      </c>
      <c r="C291" s="120" t="s">
        <v>128</v>
      </c>
      <c r="D291" s="20" t="s">
        <v>43</v>
      </c>
      <c r="E291" s="18" t="s">
        <v>62</v>
      </c>
      <c r="F291" s="18" t="s">
        <v>233</v>
      </c>
      <c r="G291" s="5">
        <v>46163</v>
      </c>
      <c r="H291" s="5">
        <v>46184</v>
      </c>
      <c r="I291" s="21">
        <f t="shared" si="9"/>
        <v>21</v>
      </c>
      <c r="J291" s="22" t="s">
        <v>3414</v>
      </c>
      <c r="K291" s="11" t="s">
        <v>3745</v>
      </c>
      <c r="L291" s="24"/>
      <c r="M291" s="24"/>
      <c r="N291" s="20" t="s">
        <v>29</v>
      </c>
    </row>
    <row r="292" ht="18" spans="1:14">
      <c r="A292" s="10">
        <f t="shared" si="8"/>
        <v>291</v>
      </c>
      <c r="B292" s="18" t="s">
        <v>3746</v>
      </c>
      <c r="C292" s="120" t="s">
        <v>280</v>
      </c>
      <c r="D292" s="20" t="s">
        <v>42</v>
      </c>
      <c r="E292" s="18" t="s">
        <v>63</v>
      </c>
      <c r="F292" s="18" t="s">
        <v>307</v>
      </c>
      <c r="G292" s="5">
        <v>46166</v>
      </c>
      <c r="H292" s="5">
        <v>46184</v>
      </c>
      <c r="I292" s="21">
        <f t="shared" si="9"/>
        <v>18</v>
      </c>
      <c r="J292" s="22" t="s">
        <v>3411</v>
      </c>
      <c r="K292" s="11" t="s">
        <v>3419</v>
      </c>
      <c r="L292" s="24"/>
      <c r="M292" s="24"/>
      <c r="N292" s="20" t="s">
        <v>29</v>
      </c>
    </row>
    <row r="293" ht="18" spans="1:14">
      <c r="A293" s="14">
        <f t="shared" si="8"/>
        <v>292</v>
      </c>
      <c r="B293" s="18" t="s">
        <v>3747</v>
      </c>
      <c r="C293" s="120" t="s">
        <v>282</v>
      </c>
      <c r="D293" s="20" t="s">
        <v>43</v>
      </c>
      <c r="E293" s="18" t="s">
        <v>62</v>
      </c>
      <c r="F293" s="18" t="s">
        <v>733</v>
      </c>
      <c r="G293" s="5">
        <v>46166</v>
      </c>
      <c r="H293" s="5">
        <v>46184</v>
      </c>
      <c r="I293" s="21">
        <f t="shared" si="9"/>
        <v>18</v>
      </c>
      <c r="J293" s="22" t="s">
        <v>3433</v>
      </c>
      <c r="K293" s="11" t="s">
        <v>3748</v>
      </c>
      <c r="L293" s="24"/>
      <c r="M293" s="24"/>
      <c r="N293" s="20" t="s">
        <v>29</v>
      </c>
    </row>
    <row r="294" ht="18" spans="1:14">
      <c r="A294" s="10">
        <f t="shared" si="8"/>
        <v>293</v>
      </c>
      <c r="B294" s="18" t="s">
        <v>3749</v>
      </c>
      <c r="C294" s="120" t="s">
        <v>284</v>
      </c>
      <c r="D294" s="20" t="s">
        <v>42</v>
      </c>
      <c r="E294" s="18" t="s">
        <v>63</v>
      </c>
      <c r="F294" s="18" t="s">
        <v>307</v>
      </c>
      <c r="G294" s="5">
        <v>46167</v>
      </c>
      <c r="H294" s="5">
        <v>46184</v>
      </c>
      <c r="I294" s="21">
        <f t="shared" si="9"/>
        <v>17</v>
      </c>
      <c r="J294" s="22" t="s">
        <v>3411</v>
      </c>
      <c r="K294" s="11" t="s">
        <v>3419</v>
      </c>
      <c r="L294" s="24"/>
      <c r="M294" s="24"/>
      <c r="N294" s="20" t="s">
        <v>29</v>
      </c>
    </row>
    <row r="295" ht="18" spans="1:14">
      <c r="A295" s="14">
        <f t="shared" si="8"/>
        <v>294</v>
      </c>
      <c r="B295" s="18" t="s">
        <v>3750</v>
      </c>
      <c r="C295" s="120" t="s">
        <v>286</v>
      </c>
      <c r="D295" s="20" t="s">
        <v>43</v>
      </c>
      <c r="E295" s="18" t="s">
        <v>63</v>
      </c>
      <c r="F295" s="18" t="s">
        <v>233</v>
      </c>
      <c r="G295" s="5">
        <v>46168</v>
      </c>
      <c r="H295" s="5">
        <v>46184</v>
      </c>
      <c r="I295" s="21">
        <f t="shared" si="9"/>
        <v>16</v>
      </c>
      <c r="J295" s="22" t="s">
        <v>3414</v>
      </c>
      <c r="K295" s="11" t="s">
        <v>3751</v>
      </c>
      <c r="L295" s="24"/>
      <c r="M295" s="24"/>
      <c r="N295" s="20" t="s">
        <v>29</v>
      </c>
    </row>
    <row r="296" ht="18" spans="1:14">
      <c r="A296" s="10">
        <f t="shared" si="8"/>
        <v>295</v>
      </c>
      <c r="B296" s="18" t="s">
        <v>3752</v>
      </c>
      <c r="C296" s="120" t="s">
        <v>126</v>
      </c>
      <c r="D296" s="20" t="s">
        <v>43</v>
      </c>
      <c r="E296" s="18" t="s">
        <v>63</v>
      </c>
      <c r="F296" s="18" t="s">
        <v>173</v>
      </c>
      <c r="G296" s="5">
        <v>46168</v>
      </c>
      <c r="H296" s="5">
        <v>46184</v>
      </c>
      <c r="I296" s="21">
        <f t="shared" si="9"/>
        <v>16</v>
      </c>
      <c r="J296" s="22" t="s">
        <v>3427</v>
      </c>
      <c r="K296" s="11" t="s">
        <v>3417</v>
      </c>
      <c r="L296" s="24"/>
      <c r="M296" s="24"/>
      <c r="N296" s="20" t="s">
        <v>29</v>
      </c>
    </row>
    <row r="297" ht="18" spans="1:14">
      <c r="A297" s="14">
        <f t="shared" si="8"/>
        <v>296</v>
      </c>
      <c r="B297" s="18" t="s">
        <v>3753</v>
      </c>
      <c r="C297" s="120" t="s">
        <v>128</v>
      </c>
      <c r="D297" s="20" t="s">
        <v>74</v>
      </c>
      <c r="E297" s="18" t="s">
        <v>64</v>
      </c>
      <c r="F297" s="18" t="s">
        <v>179</v>
      </c>
      <c r="G297" s="5">
        <v>46169</v>
      </c>
      <c r="H297" s="5">
        <v>46184</v>
      </c>
      <c r="I297" s="21">
        <f t="shared" si="9"/>
        <v>15</v>
      </c>
      <c r="J297" s="22" t="s">
        <v>3427</v>
      </c>
      <c r="K297" s="11" t="s">
        <v>3754</v>
      </c>
      <c r="L297" s="24"/>
      <c r="M297" s="24"/>
      <c r="N297" s="20" t="s">
        <v>29</v>
      </c>
    </row>
    <row r="298" ht="18" spans="1:14">
      <c r="A298" s="10">
        <f t="shared" si="8"/>
        <v>297</v>
      </c>
      <c r="B298" s="18" t="s">
        <v>3755</v>
      </c>
      <c r="C298" s="120" t="s">
        <v>280</v>
      </c>
      <c r="D298" s="20" t="s">
        <v>42</v>
      </c>
      <c r="E298" s="18" t="s">
        <v>64</v>
      </c>
      <c r="F298" s="18" t="s">
        <v>307</v>
      </c>
      <c r="G298" s="5">
        <v>46171</v>
      </c>
      <c r="H298" s="5">
        <v>46184</v>
      </c>
      <c r="I298" s="21">
        <f t="shared" si="9"/>
        <v>13</v>
      </c>
      <c r="J298" s="22" t="s">
        <v>3688</v>
      </c>
      <c r="K298" s="11" t="s">
        <v>3756</v>
      </c>
      <c r="L298" s="24"/>
      <c r="M298" s="24"/>
      <c r="N298" s="20" t="s">
        <v>29</v>
      </c>
    </row>
    <row r="299" ht="18" spans="1:14">
      <c r="A299" s="14">
        <f t="shared" si="8"/>
        <v>298</v>
      </c>
      <c r="B299" s="18" t="s">
        <v>3757</v>
      </c>
      <c r="C299" s="120" t="s">
        <v>282</v>
      </c>
      <c r="D299" s="20" t="s">
        <v>74</v>
      </c>
      <c r="E299" s="18" t="s">
        <v>3449</v>
      </c>
      <c r="F299" s="18" t="s">
        <v>179</v>
      </c>
      <c r="G299" s="5">
        <v>46171</v>
      </c>
      <c r="H299" s="5">
        <v>46184</v>
      </c>
      <c r="I299" s="21">
        <f t="shared" si="9"/>
        <v>13</v>
      </c>
      <c r="J299" s="22" t="s">
        <v>3427</v>
      </c>
      <c r="K299" s="11" t="s">
        <v>3758</v>
      </c>
      <c r="L299" s="24"/>
      <c r="M299" s="24"/>
      <c r="N299" s="20" t="s">
        <v>29</v>
      </c>
    </row>
    <row r="300" ht="18" spans="1:14">
      <c r="A300" s="10">
        <f t="shared" si="8"/>
        <v>299</v>
      </c>
      <c r="B300" s="18" t="s">
        <v>3759</v>
      </c>
      <c r="C300" s="120" t="s">
        <v>284</v>
      </c>
      <c r="D300" s="20" t="s">
        <v>74</v>
      </c>
      <c r="E300" s="18" t="s">
        <v>3449</v>
      </c>
      <c r="F300" s="18" t="s">
        <v>179</v>
      </c>
      <c r="G300" s="5">
        <v>46171</v>
      </c>
      <c r="H300" s="5">
        <v>46184</v>
      </c>
      <c r="I300" s="21">
        <f t="shared" si="9"/>
        <v>13</v>
      </c>
      <c r="J300" s="22" t="s">
        <v>3427</v>
      </c>
      <c r="K300" s="11" t="s">
        <v>3758</v>
      </c>
      <c r="L300" s="24"/>
      <c r="M300" s="24"/>
      <c r="N300" s="20" t="s">
        <v>29</v>
      </c>
    </row>
    <row r="301" ht="18" spans="1:14">
      <c r="A301" s="14">
        <f t="shared" si="8"/>
        <v>300</v>
      </c>
      <c r="B301" s="18" t="s">
        <v>3760</v>
      </c>
      <c r="C301" s="120" t="s">
        <v>286</v>
      </c>
      <c r="D301" s="20" t="s">
        <v>42</v>
      </c>
      <c r="E301" s="18" t="s">
        <v>63</v>
      </c>
      <c r="F301" s="18" t="s">
        <v>117</v>
      </c>
      <c r="G301" s="5">
        <v>46172</v>
      </c>
      <c r="H301" s="5">
        <v>46184</v>
      </c>
      <c r="I301" s="21">
        <f t="shared" si="9"/>
        <v>12</v>
      </c>
      <c r="J301" s="22" t="s">
        <v>3411</v>
      </c>
      <c r="K301" s="11" t="s">
        <v>3761</v>
      </c>
      <c r="L301" s="24"/>
      <c r="M301" s="24"/>
      <c r="N301" s="20" t="s">
        <v>29</v>
      </c>
    </row>
    <row r="302" ht="18" spans="1:14">
      <c r="A302" s="10">
        <f t="shared" si="8"/>
        <v>301</v>
      </c>
      <c r="B302" s="18" t="s">
        <v>3762</v>
      </c>
      <c r="C302" s="120" t="s">
        <v>126</v>
      </c>
      <c r="D302" s="20" t="s">
        <v>43</v>
      </c>
      <c r="E302" s="18" t="s">
        <v>63</v>
      </c>
      <c r="F302" s="18" t="s">
        <v>124</v>
      </c>
      <c r="G302" s="5">
        <v>46172</v>
      </c>
      <c r="H302" s="5">
        <v>46184</v>
      </c>
      <c r="I302" s="21">
        <f t="shared" si="9"/>
        <v>12</v>
      </c>
      <c r="J302" s="22" t="s">
        <v>3427</v>
      </c>
      <c r="K302" s="11" t="s">
        <v>3763</v>
      </c>
      <c r="L302" s="24"/>
      <c r="M302" s="24"/>
      <c r="N302" s="20" t="s">
        <v>29</v>
      </c>
    </row>
    <row r="303" ht="18" spans="1:14">
      <c r="A303" s="14">
        <f t="shared" si="8"/>
        <v>302</v>
      </c>
      <c r="B303" s="18" t="s">
        <v>3025</v>
      </c>
      <c r="C303" s="120" t="s">
        <v>128</v>
      </c>
      <c r="D303" s="20" t="s">
        <v>43</v>
      </c>
      <c r="E303" s="18" t="s">
        <v>63</v>
      </c>
      <c r="F303" s="18" t="s">
        <v>129</v>
      </c>
      <c r="G303" s="5">
        <v>46173</v>
      </c>
      <c r="H303" s="5">
        <v>46184</v>
      </c>
      <c r="I303" s="21">
        <f t="shared" si="9"/>
        <v>11</v>
      </c>
      <c r="J303" s="22" t="s">
        <v>3427</v>
      </c>
      <c r="K303" s="11" t="s">
        <v>3419</v>
      </c>
      <c r="L303" s="24"/>
      <c r="M303" s="24"/>
      <c r="N303" s="20" t="s">
        <v>29</v>
      </c>
    </row>
    <row r="304" ht="18" spans="1:14">
      <c r="A304" s="10">
        <f t="shared" si="8"/>
        <v>303</v>
      </c>
      <c r="B304" s="18" t="s">
        <v>3764</v>
      </c>
      <c r="C304" s="120" t="s">
        <v>280</v>
      </c>
      <c r="D304" s="20" t="s">
        <v>42</v>
      </c>
      <c r="E304" s="18" t="s">
        <v>64</v>
      </c>
      <c r="F304" s="18" t="s">
        <v>307</v>
      </c>
      <c r="G304" s="5">
        <v>46173</v>
      </c>
      <c r="H304" s="5">
        <v>46184</v>
      </c>
      <c r="I304" s="21">
        <f t="shared" si="9"/>
        <v>11</v>
      </c>
      <c r="J304" s="22" t="s">
        <v>3427</v>
      </c>
      <c r="K304" s="11" t="s">
        <v>3765</v>
      </c>
      <c r="L304" s="24"/>
      <c r="M304" s="24"/>
      <c r="N304" s="20" t="s">
        <v>29</v>
      </c>
    </row>
    <row r="305" ht="18" spans="1:14">
      <c r="A305" s="14">
        <f t="shared" si="8"/>
        <v>304</v>
      </c>
      <c r="B305" s="18" t="s">
        <v>3766</v>
      </c>
      <c r="C305" s="120" t="s">
        <v>282</v>
      </c>
      <c r="D305" s="20" t="s">
        <v>43</v>
      </c>
      <c r="E305" s="18" t="s">
        <v>62</v>
      </c>
      <c r="F305" s="18" t="s">
        <v>148</v>
      </c>
      <c r="G305" s="5">
        <v>46174</v>
      </c>
      <c r="H305" s="5">
        <v>46184</v>
      </c>
      <c r="I305" s="21">
        <f t="shared" si="9"/>
        <v>10</v>
      </c>
      <c r="J305" s="22" t="s">
        <v>3427</v>
      </c>
      <c r="K305" s="11" t="s">
        <v>3417</v>
      </c>
      <c r="L305" s="24"/>
      <c r="M305" s="24"/>
      <c r="N305" s="20" t="s">
        <v>29</v>
      </c>
    </row>
    <row r="306" ht="36" spans="1:14">
      <c r="A306" s="10">
        <f t="shared" si="8"/>
        <v>305</v>
      </c>
      <c r="B306" s="18" t="s">
        <v>3767</v>
      </c>
      <c r="C306" s="120" t="s">
        <v>284</v>
      </c>
      <c r="D306" s="20" t="s">
        <v>43</v>
      </c>
      <c r="E306" s="18" t="s">
        <v>62</v>
      </c>
      <c r="F306" s="18" t="s">
        <v>176</v>
      </c>
      <c r="G306" s="5">
        <v>46174</v>
      </c>
      <c r="H306" s="5">
        <v>46184</v>
      </c>
      <c r="I306" s="21">
        <f t="shared" si="9"/>
        <v>10</v>
      </c>
      <c r="J306" s="22" t="s">
        <v>3427</v>
      </c>
      <c r="K306" s="11" t="s">
        <v>3768</v>
      </c>
      <c r="L306" s="24"/>
      <c r="M306" s="24"/>
      <c r="N306" s="20" t="s">
        <v>29</v>
      </c>
    </row>
    <row r="307" ht="18" spans="1:14">
      <c r="A307" s="14">
        <f t="shared" si="8"/>
        <v>306</v>
      </c>
      <c r="B307" s="18" t="s">
        <v>3769</v>
      </c>
      <c r="C307" s="120" t="s">
        <v>286</v>
      </c>
      <c r="D307" s="20" t="s">
        <v>43</v>
      </c>
      <c r="E307" s="18" t="s">
        <v>62</v>
      </c>
      <c r="F307" s="18" t="s">
        <v>148</v>
      </c>
      <c r="G307" s="5">
        <v>46174</v>
      </c>
      <c r="H307" s="5">
        <v>46184</v>
      </c>
      <c r="I307" s="21">
        <f t="shared" si="9"/>
        <v>10</v>
      </c>
      <c r="J307" s="22" t="s">
        <v>3427</v>
      </c>
      <c r="K307" s="11" t="s">
        <v>3770</v>
      </c>
      <c r="L307" s="24"/>
      <c r="M307" s="24"/>
      <c r="N307" s="20" t="s">
        <v>29</v>
      </c>
    </row>
    <row r="308" ht="18" spans="1:14">
      <c r="A308" s="10">
        <f t="shared" si="8"/>
        <v>307</v>
      </c>
      <c r="B308" s="18" t="s">
        <v>3771</v>
      </c>
      <c r="C308" s="120" t="s">
        <v>126</v>
      </c>
      <c r="D308" s="20" t="s">
        <v>42</v>
      </c>
      <c r="E308" s="18" t="s">
        <v>62</v>
      </c>
      <c r="F308" s="18" t="s">
        <v>578</v>
      </c>
      <c r="G308" s="5">
        <v>46174</v>
      </c>
      <c r="H308" s="5">
        <v>46184</v>
      </c>
      <c r="I308" s="21">
        <f t="shared" si="9"/>
        <v>10</v>
      </c>
      <c r="J308" s="22" t="s">
        <v>3451</v>
      </c>
      <c r="K308" s="11" t="s">
        <v>3499</v>
      </c>
      <c r="L308" s="24"/>
      <c r="M308" s="24"/>
      <c r="N308" s="20" t="s">
        <v>29</v>
      </c>
    </row>
    <row r="309" ht="18" spans="1:14">
      <c r="A309" s="14">
        <f t="shared" si="8"/>
        <v>308</v>
      </c>
      <c r="B309" s="18" t="s">
        <v>205</v>
      </c>
      <c r="C309" s="120" t="s">
        <v>128</v>
      </c>
      <c r="D309" s="20" t="s">
        <v>42</v>
      </c>
      <c r="E309" s="18" t="s">
        <v>64</v>
      </c>
      <c r="F309" s="18" t="s">
        <v>179</v>
      </c>
      <c r="G309" s="5">
        <v>46174</v>
      </c>
      <c r="H309" s="5">
        <v>46184</v>
      </c>
      <c r="I309" s="21">
        <f t="shared" si="9"/>
        <v>10</v>
      </c>
      <c r="J309" s="22" t="s">
        <v>3427</v>
      </c>
      <c r="K309" s="11" t="s">
        <v>3772</v>
      </c>
      <c r="L309" s="24"/>
      <c r="M309" s="24"/>
      <c r="N309" s="20" t="s">
        <v>29</v>
      </c>
    </row>
    <row r="310" ht="36" spans="1:14">
      <c r="A310" s="10">
        <f t="shared" si="8"/>
        <v>309</v>
      </c>
      <c r="B310" s="18" t="s">
        <v>293</v>
      </c>
      <c r="C310" s="120" t="s">
        <v>280</v>
      </c>
      <c r="D310" s="20" t="s">
        <v>42</v>
      </c>
      <c r="E310" s="18" t="s">
        <v>64</v>
      </c>
      <c r="F310" s="18" t="s">
        <v>103</v>
      </c>
      <c r="G310" s="5">
        <v>46175</v>
      </c>
      <c r="H310" s="5">
        <v>46184</v>
      </c>
      <c r="I310" s="21">
        <f t="shared" si="9"/>
        <v>9</v>
      </c>
      <c r="J310" s="22" t="s">
        <v>3411</v>
      </c>
      <c r="K310" s="11" t="s">
        <v>3773</v>
      </c>
      <c r="L310" s="24"/>
      <c r="M310" s="24"/>
      <c r="N310" s="20" t="s">
        <v>29</v>
      </c>
    </row>
    <row r="311" ht="18" spans="1:14">
      <c r="A311" s="14">
        <f t="shared" si="8"/>
        <v>310</v>
      </c>
      <c r="B311" s="18" t="s">
        <v>3774</v>
      </c>
      <c r="C311" s="120" t="s">
        <v>282</v>
      </c>
      <c r="D311" s="20" t="s">
        <v>42</v>
      </c>
      <c r="E311" s="18" t="s">
        <v>63</v>
      </c>
      <c r="F311" s="18" t="s">
        <v>307</v>
      </c>
      <c r="G311" s="5">
        <v>46175</v>
      </c>
      <c r="H311" s="5">
        <v>46184</v>
      </c>
      <c r="I311" s="21">
        <f t="shared" si="9"/>
        <v>9</v>
      </c>
      <c r="J311" s="22" t="s">
        <v>3451</v>
      </c>
      <c r="K311" s="11" t="s">
        <v>3775</v>
      </c>
      <c r="L311" s="24"/>
      <c r="M311" s="24"/>
      <c r="N311" s="20" t="s">
        <v>29</v>
      </c>
    </row>
    <row r="312" ht="18" spans="1:14">
      <c r="A312" s="10">
        <f t="shared" si="8"/>
        <v>311</v>
      </c>
      <c r="B312" s="18" t="s">
        <v>414</v>
      </c>
      <c r="C312" s="120" t="s">
        <v>284</v>
      </c>
      <c r="D312" s="20" t="s">
        <v>43</v>
      </c>
      <c r="E312" s="18" t="s">
        <v>62</v>
      </c>
      <c r="F312" s="18" t="s">
        <v>103</v>
      </c>
      <c r="G312" s="5">
        <v>46175</v>
      </c>
      <c r="H312" s="5">
        <v>46184</v>
      </c>
      <c r="I312" s="21">
        <f t="shared" si="9"/>
        <v>9</v>
      </c>
      <c r="J312" s="22" t="s">
        <v>3427</v>
      </c>
      <c r="K312" s="11" t="s">
        <v>3466</v>
      </c>
      <c r="L312" s="24"/>
      <c r="M312" s="24"/>
      <c r="N312" s="20" t="s">
        <v>29</v>
      </c>
    </row>
    <row r="313" ht="18" spans="1:14">
      <c r="A313" s="14">
        <f t="shared" si="8"/>
        <v>312</v>
      </c>
      <c r="B313" s="18" t="s">
        <v>422</v>
      </c>
      <c r="C313" s="120" t="s">
        <v>286</v>
      </c>
      <c r="D313" s="20" t="s">
        <v>43</v>
      </c>
      <c r="E313" s="18" t="s">
        <v>63</v>
      </c>
      <c r="F313" s="18" t="s">
        <v>179</v>
      </c>
      <c r="G313" s="5">
        <v>46175</v>
      </c>
      <c r="H313" s="5">
        <v>46184</v>
      </c>
      <c r="I313" s="21">
        <f t="shared" si="9"/>
        <v>9</v>
      </c>
      <c r="J313" s="22" t="s">
        <v>3451</v>
      </c>
      <c r="K313" s="11" t="s">
        <v>3422</v>
      </c>
      <c r="L313" s="24"/>
      <c r="M313" s="24"/>
      <c r="N313" s="20" t="s">
        <v>29</v>
      </c>
    </row>
    <row r="314" ht="18" spans="1:14">
      <c r="A314" s="10">
        <f t="shared" si="8"/>
        <v>313</v>
      </c>
      <c r="B314" s="18" t="s">
        <v>433</v>
      </c>
      <c r="C314" s="120" t="s">
        <v>126</v>
      </c>
      <c r="D314" s="20" t="s">
        <v>74</v>
      </c>
      <c r="E314" s="18" t="s">
        <v>3449</v>
      </c>
      <c r="F314" s="18" t="s">
        <v>117</v>
      </c>
      <c r="G314" s="5">
        <v>46175</v>
      </c>
      <c r="H314" s="5">
        <v>46184</v>
      </c>
      <c r="I314" s="21">
        <f t="shared" si="9"/>
        <v>9</v>
      </c>
      <c r="J314" s="22" t="s">
        <v>3427</v>
      </c>
      <c r="K314" s="11" t="s">
        <v>3477</v>
      </c>
      <c r="L314" s="24"/>
      <c r="M314" s="24"/>
      <c r="N314" s="20" t="s">
        <v>29</v>
      </c>
    </row>
    <row r="315" ht="18" spans="1:14">
      <c r="A315" s="14">
        <f t="shared" si="8"/>
        <v>314</v>
      </c>
      <c r="B315" s="18" t="s">
        <v>1152</v>
      </c>
      <c r="C315" s="120" t="s">
        <v>128</v>
      </c>
      <c r="D315" s="20" t="s">
        <v>42</v>
      </c>
      <c r="E315" s="18" t="s">
        <v>63</v>
      </c>
      <c r="F315" s="18" t="s">
        <v>512</v>
      </c>
      <c r="G315" s="5">
        <v>46176</v>
      </c>
      <c r="H315" s="5">
        <v>46184</v>
      </c>
      <c r="I315" s="21">
        <f t="shared" si="9"/>
        <v>8</v>
      </c>
      <c r="J315" s="22" t="s">
        <v>3427</v>
      </c>
      <c r="K315" s="11" t="s">
        <v>3573</v>
      </c>
      <c r="L315" s="24"/>
      <c r="M315" s="24"/>
      <c r="N315" s="20" t="s">
        <v>29</v>
      </c>
    </row>
    <row r="316" ht="18" spans="1:14">
      <c r="A316" s="10">
        <f t="shared" si="8"/>
        <v>315</v>
      </c>
      <c r="B316" s="18" t="s">
        <v>1128</v>
      </c>
      <c r="C316" s="120" t="s">
        <v>280</v>
      </c>
      <c r="D316" s="20" t="s">
        <v>42</v>
      </c>
      <c r="E316" s="18" t="s">
        <v>63</v>
      </c>
      <c r="F316" s="18" t="s">
        <v>148</v>
      </c>
      <c r="G316" s="5">
        <v>46176</v>
      </c>
      <c r="H316" s="5">
        <v>46184</v>
      </c>
      <c r="I316" s="21">
        <f t="shared" si="9"/>
        <v>8</v>
      </c>
      <c r="J316" s="22" t="s">
        <v>3451</v>
      </c>
      <c r="K316" s="11" t="s">
        <v>3412</v>
      </c>
      <c r="L316" s="24"/>
      <c r="M316" s="24"/>
      <c r="N316" s="20" t="s">
        <v>29</v>
      </c>
    </row>
    <row r="317" ht="18" spans="1:14">
      <c r="A317" s="14">
        <f t="shared" si="8"/>
        <v>316</v>
      </c>
      <c r="B317" s="18" t="s">
        <v>3776</v>
      </c>
      <c r="C317" s="120" t="s">
        <v>282</v>
      </c>
      <c r="D317" s="20" t="s">
        <v>42</v>
      </c>
      <c r="E317" s="18" t="s">
        <v>62</v>
      </c>
      <c r="F317" s="18" t="s">
        <v>173</v>
      </c>
      <c r="G317" s="5">
        <v>46176</v>
      </c>
      <c r="H317" s="5">
        <v>46184</v>
      </c>
      <c r="I317" s="21">
        <f t="shared" si="9"/>
        <v>8</v>
      </c>
      <c r="J317" s="22" t="s">
        <v>3427</v>
      </c>
      <c r="K317" s="11" t="s">
        <v>3758</v>
      </c>
      <c r="L317" s="24"/>
      <c r="M317" s="24"/>
      <c r="N317" s="20" t="s">
        <v>29</v>
      </c>
    </row>
    <row r="318" ht="18" spans="1:14">
      <c r="A318" s="10">
        <f t="shared" si="8"/>
        <v>317</v>
      </c>
      <c r="B318" s="18" t="s">
        <v>3777</v>
      </c>
      <c r="C318" s="120" t="s">
        <v>284</v>
      </c>
      <c r="D318" s="20" t="s">
        <v>43</v>
      </c>
      <c r="E318" s="18" t="s">
        <v>63</v>
      </c>
      <c r="F318" s="18" t="s">
        <v>173</v>
      </c>
      <c r="G318" s="5">
        <v>46176</v>
      </c>
      <c r="H318" s="5">
        <v>46184</v>
      </c>
      <c r="I318" s="21">
        <f t="shared" si="9"/>
        <v>8</v>
      </c>
      <c r="J318" s="22" t="s">
        <v>3451</v>
      </c>
      <c r="K318" s="11" t="s">
        <v>3422</v>
      </c>
      <c r="L318" s="24"/>
      <c r="M318" s="24"/>
      <c r="N318" s="20" t="s">
        <v>29</v>
      </c>
    </row>
    <row r="319" ht="18" spans="1:14">
      <c r="A319" s="14">
        <f t="shared" si="8"/>
        <v>318</v>
      </c>
      <c r="B319" s="18" t="s">
        <v>3778</v>
      </c>
      <c r="C319" s="120" t="s">
        <v>286</v>
      </c>
      <c r="D319" s="20" t="s">
        <v>42</v>
      </c>
      <c r="E319" s="18" t="s">
        <v>64</v>
      </c>
      <c r="F319" s="18" t="s">
        <v>135</v>
      </c>
      <c r="G319" s="5">
        <v>46176</v>
      </c>
      <c r="H319" s="5">
        <v>46184</v>
      </c>
      <c r="I319" s="21">
        <f t="shared" si="9"/>
        <v>8</v>
      </c>
      <c r="J319" s="22" t="s">
        <v>3451</v>
      </c>
      <c r="K319" s="11" t="s">
        <v>3412</v>
      </c>
      <c r="L319" s="24"/>
      <c r="M319" s="24"/>
      <c r="N319" s="20" t="s">
        <v>29</v>
      </c>
    </row>
    <row r="320" ht="18" spans="1:14">
      <c r="A320" s="10">
        <f t="shared" si="8"/>
        <v>319</v>
      </c>
      <c r="B320" s="18" t="s">
        <v>524</v>
      </c>
      <c r="C320" s="120" t="s">
        <v>126</v>
      </c>
      <c r="D320" s="20" t="s">
        <v>43</v>
      </c>
      <c r="E320" s="18" t="s">
        <v>62</v>
      </c>
      <c r="F320" s="18" t="s">
        <v>468</v>
      </c>
      <c r="G320" s="5">
        <v>46177</v>
      </c>
      <c r="H320" s="5">
        <v>46184</v>
      </c>
      <c r="I320" s="21">
        <f t="shared" si="9"/>
        <v>7</v>
      </c>
      <c r="J320" s="22" t="s">
        <v>3427</v>
      </c>
      <c r="K320" s="11" t="s">
        <v>3779</v>
      </c>
      <c r="L320" s="24"/>
      <c r="M320" s="24"/>
      <c r="N320" s="20" t="s">
        <v>29</v>
      </c>
    </row>
    <row r="321" ht="18" spans="1:14">
      <c r="A321" s="14">
        <f t="shared" si="8"/>
        <v>320</v>
      </c>
      <c r="B321" s="18" t="s">
        <v>532</v>
      </c>
      <c r="C321" s="120" t="s">
        <v>128</v>
      </c>
      <c r="D321" s="20" t="s">
        <v>43</v>
      </c>
      <c r="E321" s="18" t="s">
        <v>64</v>
      </c>
      <c r="F321" s="18" t="s">
        <v>179</v>
      </c>
      <c r="G321" s="5">
        <v>46177</v>
      </c>
      <c r="H321" s="5">
        <v>46184</v>
      </c>
      <c r="I321" s="21">
        <f t="shared" si="9"/>
        <v>7</v>
      </c>
      <c r="J321" s="22" t="s">
        <v>3451</v>
      </c>
      <c r="K321" s="11" t="s">
        <v>3780</v>
      </c>
      <c r="L321" s="24"/>
      <c r="M321" s="24"/>
      <c r="N321" s="20" t="s">
        <v>29</v>
      </c>
    </row>
    <row r="322" ht="18" spans="1:14">
      <c r="A322" s="10">
        <f t="shared" ref="A322:A385" si="10">IF(B322&lt;&gt;"",ROW()-1,"")</f>
        <v>321</v>
      </c>
      <c r="B322" s="18" t="s">
        <v>3781</v>
      </c>
      <c r="C322" s="120" t="s">
        <v>280</v>
      </c>
      <c r="D322" s="20" t="s">
        <v>42</v>
      </c>
      <c r="E322" s="18" t="s">
        <v>62</v>
      </c>
      <c r="F322" s="18" t="s">
        <v>233</v>
      </c>
      <c r="G322" s="5">
        <v>46178</v>
      </c>
      <c r="H322" s="5">
        <v>46184</v>
      </c>
      <c r="I322" s="21">
        <f t="shared" ref="I322:I385" si="11">IF(AND(G322&lt;&gt;"",H322&lt;&gt;""),H322-G322,"")</f>
        <v>6</v>
      </c>
      <c r="J322" s="22" t="s">
        <v>3427</v>
      </c>
      <c r="K322" s="11" t="s">
        <v>3477</v>
      </c>
      <c r="L322" s="24"/>
      <c r="M322" s="24"/>
      <c r="N322" s="20" t="s">
        <v>29</v>
      </c>
    </row>
    <row r="323" ht="36" spans="1:14">
      <c r="A323" s="14">
        <f t="shared" si="10"/>
        <v>322</v>
      </c>
      <c r="B323" s="18" t="s">
        <v>1191</v>
      </c>
      <c r="C323" s="120" t="s">
        <v>282</v>
      </c>
      <c r="D323" s="20" t="s">
        <v>42</v>
      </c>
      <c r="E323" s="18" t="s">
        <v>62</v>
      </c>
      <c r="F323" s="18" t="s">
        <v>307</v>
      </c>
      <c r="G323" s="5">
        <v>46178</v>
      </c>
      <c r="H323" s="5">
        <v>46184</v>
      </c>
      <c r="I323" s="21">
        <f t="shared" si="11"/>
        <v>6</v>
      </c>
      <c r="J323" s="22" t="s">
        <v>3451</v>
      </c>
      <c r="K323" s="11" t="s">
        <v>3782</v>
      </c>
      <c r="L323" s="24"/>
      <c r="M323" s="24"/>
      <c r="N323" s="20" t="s">
        <v>29</v>
      </c>
    </row>
    <row r="324" ht="18" spans="1:14">
      <c r="A324" s="10">
        <f t="shared" si="10"/>
        <v>323</v>
      </c>
      <c r="B324" s="18" t="s">
        <v>2947</v>
      </c>
      <c r="C324" s="120" t="s">
        <v>284</v>
      </c>
      <c r="D324" s="20" t="s">
        <v>42</v>
      </c>
      <c r="E324" s="18" t="s">
        <v>64</v>
      </c>
      <c r="F324" s="18" t="s">
        <v>744</v>
      </c>
      <c r="G324" s="5">
        <v>46178</v>
      </c>
      <c r="H324" s="5">
        <v>46184</v>
      </c>
      <c r="I324" s="21">
        <f t="shared" si="11"/>
        <v>6</v>
      </c>
      <c r="J324" s="22" t="s">
        <v>3411</v>
      </c>
      <c r="K324" s="11" t="s">
        <v>3783</v>
      </c>
      <c r="L324" s="24"/>
      <c r="M324" s="24"/>
      <c r="N324" s="20" t="s">
        <v>29</v>
      </c>
    </row>
    <row r="325" ht="18" spans="1:14">
      <c r="A325" s="14">
        <f t="shared" si="10"/>
        <v>324</v>
      </c>
      <c r="B325" s="18" t="s">
        <v>2946</v>
      </c>
      <c r="C325" s="120" t="s">
        <v>286</v>
      </c>
      <c r="D325" s="20" t="s">
        <v>42</v>
      </c>
      <c r="E325" s="18" t="s">
        <v>63</v>
      </c>
      <c r="F325" s="18" t="s">
        <v>744</v>
      </c>
      <c r="G325" s="5">
        <v>46178</v>
      </c>
      <c r="H325" s="5">
        <v>46184</v>
      </c>
      <c r="I325" s="21">
        <f t="shared" si="11"/>
        <v>6</v>
      </c>
      <c r="J325" s="22" t="s">
        <v>3411</v>
      </c>
      <c r="K325" s="11" t="s">
        <v>3784</v>
      </c>
      <c r="L325" s="24"/>
      <c r="M325" s="24"/>
      <c r="N325" s="20" t="s">
        <v>29</v>
      </c>
    </row>
    <row r="326" ht="18" spans="1:14">
      <c r="A326" s="10">
        <f t="shared" si="10"/>
        <v>325</v>
      </c>
      <c r="B326" s="18" t="s">
        <v>2376</v>
      </c>
      <c r="C326" s="120" t="s">
        <v>126</v>
      </c>
      <c r="D326" s="20" t="s">
        <v>42</v>
      </c>
      <c r="E326" s="18" t="s">
        <v>63</v>
      </c>
      <c r="F326" s="18" t="s">
        <v>744</v>
      </c>
      <c r="G326" s="5">
        <v>46178</v>
      </c>
      <c r="H326" s="5">
        <v>46184</v>
      </c>
      <c r="I326" s="21">
        <f t="shared" si="11"/>
        <v>6</v>
      </c>
      <c r="J326" s="22" t="s">
        <v>3411</v>
      </c>
      <c r="K326" s="11" t="s">
        <v>3785</v>
      </c>
      <c r="L326" s="24"/>
      <c r="M326" s="24"/>
      <c r="N326" s="20" t="s">
        <v>29</v>
      </c>
    </row>
    <row r="327" ht="36" spans="1:14">
      <c r="A327" s="14">
        <f t="shared" si="10"/>
        <v>326</v>
      </c>
      <c r="B327" s="18" t="s">
        <v>1393</v>
      </c>
      <c r="C327" s="120" t="s">
        <v>128</v>
      </c>
      <c r="D327" s="20" t="s">
        <v>42</v>
      </c>
      <c r="E327" s="18" t="s">
        <v>63</v>
      </c>
      <c r="F327" s="18" t="s">
        <v>307</v>
      </c>
      <c r="G327" s="5">
        <v>46180</v>
      </c>
      <c r="H327" s="5">
        <v>46184</v>
      </c>
      <c r="I327" s="21">
        <f t="shared" si="11"/>
        <v>4</v>
      </c>
      <c r="J327" s="22" t="s">
        <v>3451</v>
      </c>
      <c r="K327" s="11" t="s">
        <v>3786</v>
      </c>
      <c r="L327" s="24"/>
      <c r="M327" s="24"/>
      <c r="N327" s="20" t="s">
        <v>29</v>
      </c>
    </row>
    <row r="328" ht="18" spans="1:14">
      <c r="A328" s="10">
        <f t="shared" si="10"/>
        <v>327</v>
      </c>
      <c r="B328" s="18" t="s">
        <v>687</v>
      </c>
      <c r="C328" s="120" t="s">
        <v>280</v>
      </c>
      <c r="D328" s="20" t="s">
        <v>74</v>
      </c>
      <c r="E328" s="18" t="s">
        <v>64</v>
      </c>
      <c r="F328" s="18" t="s">
        <v>135</v>
      </c>
      <c r="G328" s="5">
        <v>46180</v>
      </c>
      <c r="H328" s="5">
        <v>46184</v>
      </c>
      <c r="I328" s="21">
        <f t="shared" si="11"/>
        <v>4</v>
      </c>
      <c r="J328" s="22" t="s">
        <v>3427</v>
      </c>
      <c r="K328" s="11" t="s">
        <v>3787</v>
      </c>
      <c r="L328" s="24"/>
      <c r="M328" s="24"/>
      <c r="N328" s="20" t="s">
        <v>29</v>
      </c>
    </row>
    <row r="329" ht="18" spans="1:14">
      <c r="A329" s="14">
        <f t="shared" si="10"/>
        <v>328</v>
      </c>
      <c r="B329" s="18" t="s">
        <v>688</v>
      </c>
      <c r="C329" s="120" t="s">
        <v>282</v>
      </c>
      <c r="D329" s="20" t="s">
        <v>74</v>
      </c>
      <c r="E329" s="18" t="s">
        <v>64</v>
      </c>
      <c r="F329" s="18" t="s">
        <v>135</v>
      </c>
      <c r="G329" s="5">
        <v>46180</v>
      </c>
      <c r="H329" s="5">
        <v>46184</v>
      </c>
      <c r="I329" s="21">
        <f t="shared" si="11"/>
        <v>4</v>
      </c>
      <c r="J329" s="22" t="s">
        <v>3427</v>
      </c>
      <c r="K329" s="11" t="s">
        <v>3787</v>
      </c>
      <c r="L329" s="24"/>
      <c r="M329" s="24"/>
      <c r="N329" s="20" t="s">
        <v>29</v>
      </c>
    </row>
    <row r="330" ht="18" spans="1:14">
      <c r="A330" s="10">
        <f t="shared" si="10"/>
        <v>329</v>
      </c>
      <c r="B330" s="18" t="s">
        <v>717</v>
      </c>
      <c r="C330" s="120" t="s">
        <v>284</v>
      </c>
      <c r="D330" s="20" t="s">
        <v>74</v>
      </c>
      <c r="E330" s="18" t="s">
        <v>64</v>
      </c>
      <c r="F330" s="18" t="s">
        <v>179</v>
      </c>
      <c r="G330" s="5">
        <v>46180</v>
      </c>
      <c r="H330" s="5">
        <v>46184</v>
      </c>
      <c r="I330" s="21">
        <f t="shared" si="11"/>
        <v>4</v>
      </c>
      <c r="J330" s="22" t="s">
        <v>3427</v>
      </c>
      <c r="K330" s="11" t="s">
        <v>3412</v>
      </c>
      <c r="L330" s="24"/>
      <c r="M330" s="24"/>
      <c r="N330" s="20" t="s">
        <v>29</v>
      </c>
    </row>
    <row r="331" ht="18" spans="1:14">
      <c r="A331" s="14">
        <f t="shared" si="10"/>
        <v>330</v>
      </c>
      <c r="B331" s="18" t="s">
        <v>770</v>
      </c>
      <c r="C331" s="120" t="s">
        <v>286</v>
      </c>
      <c r="D331" s="20" t="s">
        <v>74</v>
      </c>
      <c r="E331" s="18" t="s">
        <v>3449</v>
      </c>
      <c r="F331" s="18" t="s">
        <v>179</v>
      </c>
      <c r="G331" s="5">
        <v>46181</v>
      </c>
      <c r="H331" s="5">
        <v>46184</v>
      </c>
      <c r="I331" s="21">
        <f t="shared" si="11"/>
        <v>3</v>
      </c>
      <c r="J331" s="22" t="s">
        <v>3427</v>
      </c>
      <c r="K331" s="11" t="s">
        <v>3788</v>
      </c>
      <c r="L331" s="24"/>
      <c r="M331" s="24"/>
      <c r="N331" s="20" t="s">
        <v>29</v>
      </c>
    </row>
    <row r="332" ht="18" spans="1:14">
      <c r="A332" s="10">
        <f t="shared" si="10"/>
        <v>331</v>
      </c>
      <c r="B332" s="18" t="s">
        <v>669</v>
      </c>
      <c r="C332" s="120" t="s">
        <v>126</v>
      </c>
      <c r="D332" s="20" t="s">
        <v>74</v>
      </c>
      <c r="E332" s="18" t="s">
        <v>64</v>
      </c>
      <c r="F332" s="18" t="s">
        <v>124</v>
      </c>
      <c r="G332" s="5">
        <v>46182</v>
      </c>
      <c r="H332" s="5">
        <v>46184</v>
      </c>
      <c r="I332" s="21">
        <f t="shared" si="11"/>
        <v>2</v>
      </c>
      <c r="J332" s="22" t="s">
        <v>3427</v>
      </c>
      <c r="K332" s="11" t="s">
        <v>3417</v>
      </c>
      <c r="L332" s="24"/>
      <c r="M332" s="24"/>
      <c r="N332" s="20" t="s">
        <v>29</v>
      </c>
    </row>
    <row r="333" ht="36" spans="1:14">
      <c r="A333" s="14">
        <f t="shared" si="10"/>
        <v>332</v>
      </c>
      <c r="B333" s="18" t="s">
        <v>822</v>
      </c>
      <c r="C333" s="120" t="s">
        <v>128</v>
      </c>
      <c r="D333" s="20" t="s">
        <v>74</v>
      </c>
      <c r="E333" s="18" t="s">
        <v>64</v>
      </c>
      <c r="F333" s="18" t="s">
        <v>179</v>
      </c>
      <c r="G333" s="5">
        <v>46182</v>
      </c>
      <c r="H333" s="5">
        <v>46184</v>
      </c>
      <c r="I333" s="21">
        <f t="shared" si="11"/>
        <v>2</v>
      </c>
      <c r="J333" s="22" t="s">
        <v>3427</v>
      </c>
      <c r="K333" s="11" t="s">
        <v>3789</v>
      </c>
      <c r="L333" s="24"/>
      <c r="M333" s="24"/>
      <c r="N333" s="20" t="s">
        <v>29</v>
      </c>
    </row>
    <row r="334" ht="18" spans="1:14">
      <c r="A334" s="10">
        <f t="shared" si="10"/>
        <v>333</v>
      </c>
      <c r="B334" s="18" t="s">
        <v>839</v>
      </c>
      <c r="C334" s="120" t="s">
        <v>280</v>
      </c>
      <c r="D334" s="20" t="s">
        <v>74</v>
      </c>
      <c r="E334" s="18" t="s">
        <v>64</v>
      </c>
      <c r="F334" s="18" t="s">
        <v>179</v>
      </c>
      <c r="G334" s="5">
        <v>46182</v>
      </c>
      <c r="H334" s="5">
        <v>46184</v>
      </c>
      <c r="I334" s="21">
        <f t="shared" si="11"/>
        <v>2</v>
      </c>
      <c r="J334" s="22" t="s">
        <v>3427</v>
      </c>
      <c r="K334" s="11" t="s">
        <v>3790</v>
      </c>
      <c r="L334" s="24"/>
      <c r="M334" s="24"/>
      <c r="N334" s="20" t="s">
        <v>29</v>
      </c>
    </row>
    <row r="335" ht="18" spans="1:14">
      <c r="A335" s="14">
        <f t="shared" si="10"/>
        <v>334</v>
      </c>
      <c r="B335" s="18" t="s">
        <v>847</v>
      </c>
      <c r="C335" s="120" t="s">
        <v>282</v>
      </c>
      <c r="D335" s="20" t="s">
        <v>74</v>
      </c>
      <c r="E335" s="18" t="s">
        <v>64</v>
      </c>
      <c r="F335" s="18" t="s">
        <v>117</v>
      </c>
      <c r="G335" s="5">
        <v>46182</v>
      </c>
      <c r="H335" s="5">
        <v>46184</v>
      </c>
      <c r="I335" s="21">
        <f t="shared" si="11"/>
        <v>2</v>
      </c>
      <c r="J335" s="22" t="s">
        <v>3427</v>
      </c>
      <c r="K335" s="11" t="s">
        <v>3791</v>
      </c>
      <c r="L335" s="24"/>
      <c r="M335" s="24"/>
      <c r="N335" s="20" t="s">
        <v>29</v>
      </c>
    </row>
    <row r="336" ht="18" spans="1:14">
      <c r="A336" s="10">
        <f t="shared" si="10"/>
        <v>335</v>
      </c>
      <c r="B336" s="18" t="s">
        <v>848</v>
      </c>
      <c r="C336" s="120" t="s">
        <v>284</v>
      </c>
      <c r="D336" s="20" t="s">
        <v>74</v>
      </c>
      <c r="E336" s="18" t="s">
        <v>64</v>
      </c>
      <c r="F336" s="18" t="s">
        <v>117</v>
      </c>
      <c r="G336" s="5">
        <v>46182</v>
      </c>
      <c r="H336" s="5">
        <v>46184</v>
      </c>
      <c r="I336" s="21">
        <f t="shared" si="11"/>
        <v>2</v>
      </c>
      <c r="J336" s="22" t="s">
        <v>3427</v>
      </c>
      <c r="K336" s="11" t="s">
        <v>3792</v>
      </c>
      <c r="L336" s="24"/>
      <c r="M336" s="24"/>
      <c r="N336" s="20" t="s">
        <v>29</v>
      </c>
    </row>
    <row r="337" ht="18" spans="1:14">
      <c r="A337" s="14">
        <f t="shared" si="10"/>
        <v>336</v>
      </c>
      <c r="B337" s="18" t="s">
        <v>3793</v>
      </c>
      <c r="C337" s="120" t="s">
        <v>286</v>
      </c>
      <c r="D337" s="20" t="s">
        <v>42</v>
      </c>
      <c r="E337" s="18" t="s">
        <v>62</v>
      </c>
      <c r="F337" s="18" t="s">
        <v>307</v>
      </c>
      <c r="G337" s="5">
        <v>46056</v>
      </c>
      <c r="H337" s="5">
        <v>46185</v>
      </c>
      <c r="I337" s="21">
        <f t="shared" si="11"/>
        <v>129</v>
      </c>
      <c r="J337" s="22" t="s">
        <v>3427</v>
      </c>
      <c r="K337" s="11" t="s">
        <v>3419</v>
      </c>
      <c r="L337" s="24"/>
      <c r="M337" s="24"/>
      <c r="N337" s="20" t="s">
        <v>29</v>
      </c>
    </row>
    <row r="338" ht="18" spans="1:14">
      <c r="A338" s="10">
        <f t="shared" si="10"/>
        <v>337</v>
      </c>
      <c r="B338" s="18" t="s">
        <v>3794</v>
      </c>
      <c r="C338" s="120" t="s">
        <v>126</v>
      </c>
      <c r="D338" s="20" t="s">
        <v>43</v>
      </c>
      <c r="E338" s="18" t="s">
        <v>63</v>
      </c>
      <c r="F338" s="18" t="s">
        <v>103</v>
      </c>
      <c r="G338" s="5">
        <v>46088</v>
      </c>
      <c r="H338" s="5">
        <v>46185</v>
      </c>
      <c r="I338" s="21">
        <f t="shared" si="11"/>
        <v>97</v>
      </c>
      <c r="J338" s="22" t="s">
        <v>3433</v>
      </c>
      <c r="K338" s="11" t="s">
        <v>3412</v>
      </c>
      <c r="L338" s="24"/>
      <c r="M338" s="24"/>
      <c r="N338" s="20" t="s">
        <v>29</v>
      </c>
    </row>
    <row r="339" ht="18" spans="1:14">
      <c r="A339" s="14">
        <f t="shared" si="10"/>
        <v>338</v>
      </c>
      <c r="B339" s="18" t="s">
        <v>3795</v>
      </c>
      <c r="C339" s="120" t="s">
        <v>128</v>
      </c>
      <c r="D339" s="20" t="s">
        <v>43</v>
      </c>
      <c r="E339" s="18" t="s">
        <v>62</v>
      </c>
      <c r="F339" s="18" t="s">
        <v>129</v>
      </c>
      <c r="G339" s="5">
        <v>46132</v>
      </c>
      <c r="H339" s="5">
        <v>46185</v>
      </c>
      <c r="I339" s="21">
        <f t="shared" si="11"/>
        <v>53</v>
      </c>
      <c r="J339" s="22" t="s">
        <v>3433</v>
      </c>
      <c r="K339" s="11" t="s">
        <v>3796</v>
      </c>
      <c r="L339" s="24"/>
      <c r="M339" s="24"/>
      <c r="N339" s="20" t="s">
        <v>29</v>
      </c>
    </row>
    <row r="340" ht="18" spans="1:14">
      <c r="A340" s="10">
        <f t="shared" si="10"/>
        <v>339</v>
      </c>
      <c r="B340" s="18" t="s">
        <v>3797</v>
      </c>
      <c r="C340" s="120" t="s">
        <v>280</v>
      </c>
      <c r="D340" s="20" t="s">
        <v>74</v>
      </c>
      <c r="E340" s="18" t="s">
        <v>64</v>
      </c>
      <c r="F340" s="18" t="s">
        <v>148</v>
      </c>
      <c r="G340" s="5">
        <v>46134</v>
      </c>
      <c r="H340" s="5">
        <v>46185</v>
      </c>
      <c r="I340" s="21">
        <f t="shared" si="11"/>
        <v>51</v>
      </c>
      <c r="J340" s="22" t="s">
        <v>3427</v>
      </c>
      <c r="K340" s="11" t="s">
        <v>3412</v>
      </c>
      <c r="L340" s="24"/>
      <c r="M340" s="24"/>
      <c r="N340" s="20" t="s">
        <v>29</v>
      </c>
    </row>
    <row r="341" ht="18" spans="1:14">
      <c r="A341" s="14">
        <f t="shared" si="10"/>
        <v>340</v>
      </c>
      <c r="B341" s="18" t="s">
        <v>3798</v>
      </c>
      <c r="C341" s="120" t="s">
        <v>282</v>
      </c>
      <c r="D341" s="20" t="s">
        <v>74</v>
      </c>
      <c r="E341" s="18" t="s">
        <v>64</v>
      </c>
      <c r="F341" s="18" t="s">
        <v>426</v>
      </c>
      <c r="G341" s="5">
        <v>46134</v>
      </c>
      <c r="H341" s="5">
        <v>46185</v>
      </c>
      <c r="I341" s="21">
        <f t="shared" si="11"/>
        <v>51</v>
      </c>
      <c r="J341" s="22" t="s">
        <v>3427</v>
      </c>
      <c r="K341" s="11" t="s">
        <v>3799</v>
      </c>
      <c r="L341" s="24"/>
      <c r="M341" s="24"/>
      <c r="N341" s="20" t="s">
        <v>29</v>
      </c>
    </row>
    <row r="342" ht="18" spans="1:14">
      <c r="A342" s="10">
        <f t="shared" si="10"/>
        <v>341</v>
      </c>
      <c r="B342" s="18" t="s">
        <v>3800</v>
      </c>
      <c r="C342" s="120" t="s">
        <v>284</v>
      </c>
      <c r="D342" s="20" t="s">
        <v>43</v>
      </c>
      <c r="E342" s="18" t="s">
        <v>63</v>
      </c>
      <c r="F342" s="18" t="s">
        <v>176</v>
      </c>
      <c r="G342" s="5">
        <v>46154</v>
      </c>
      <c r="H342" s="5">
        <v>46185</v>
      </c>
      <c r="I342" s="21">
        <f t="shared" si="11"/>
        <v>31</v>
      </c>
      <c r="J342" s="22" t="s">
        <v>3433</v>
      </c>
      <c r="K342" s="11" t="s">
        <v>3799</v>
      </c>
      <c r="L342" s="24"/>
      <c r="M342" s="24"/>
      <c r="N342" s="20" t="s">
        <v>29</v>
      </c>
    </row>
    <row r="343" ht="18" spans="1:14">
      <c r="A343" s="14">
        <f t="shared" si="10"/>
        <v>342</v>
      </c>
      <c r="B343" s="18" t="s">
        <v>3801</v>
      </c>
      <c r="C343" s="120" t="s">
        <v>286</v>
      </c>
      <c r="D343" s="20" t="s">
        <v>42</v>
      </c>
      <c r="E343" s="18" t="s">
        <v>63</v>
      </c>
      <c r="F343" s="18" t="s">
        <v>117</v>
      </c>
      <c r="G343" s="5">
        <v>46156</v>
      </c>
      <c r="H343" s="5">
        <v>46185</v>
      </c>
      <c r="I343" s="21">
        <f t="shared" si="11"/>
        <v>29</v>
      </c>
      <c r="J343" s="22" t="s">
        <v>3427</v>
      </c>
      <c r="K343" s="11" t="s">
        <v>3802</v>
      </c>
      <c r="L343" s="24"/>
      <c r="M343" s="24"/>
      <c r="N343" s="20" t="s">
        <v>29</v>
      </c>
    </row>
    <row r="344" ht="18" spans="1:14">
      <c r="A344" s="10">
        <f t="shared" si="10"/>
        <v>343</v>
      </c>
      <c r="B344" s="18" t="s">
        <v>3803</v>
      </c>
      <c r="C344" s="120" t="s">
        <v>126</v>
      </c>
      <c r="D344" s="20" t="s">
        <v>42</v>
      </c>
      <c r="E344" s="18" t="s">
        <v>63</v>
      </c>
      <c r="F344" s="18" t="s">
        <v>307</v>
      </c>
      <c r="G344" s="5">
        <v>46157</v>
      </c>
      <c r="H344" s="5">
        <v>46185</v>
      </c>
      <c r="I344" s="21">
        <f t="shared" si="11"/>
        <v>28</v>
      </c>
      <c r="J344" s="22" t="s">
        <v>3414</v>
      </c>
      <c r="K344" s="11" t="s">
        <v>3422</v>
      </c>
      <c r="L344" s="24"/>
      <c r="M344" s="24"/>
      <c r="N344" s="20" t="s">
        <v>29</v>
      </c>
    </row>
    <row r="345" ht="18" spans="1:14">
      <c r="A345" s="14">
        <f t="shared" si="10"/>
        <v>344</v>
      </c>
      <c r="B345" s="18" t="s">
        <v>3804</v>
      </c>
      <c r="C345" s="120" t="s">
        <v>128</v>
      </c>
      <c r="D345" s="20" t="s">
        <v>74</v>
      </c>
      <c r="E345" s="18" t="s">
        <v>64</v>
      </c>
      <c r="F345" s="18" t="s">
        <v>117</v>
      </c>
      <c r="G345" s="5">
        <v>46161</v>
      </c>
      <c r="H345" s="5">
        <v>46185</v>
      </c>
      <c r="I345" s="21">
        <f t="shared" si="11"/>
        <v>24</v>
      </c>
      <c r="J345" s="22" t="s">
        <v>3427</v>
      </c>
      <c r="K345" s="11" t="s">
        <v>3422</v>
      </c>
      <c r="L345" s="24"/>
      <c r="M345" s="24"/>
      <c r="N345" s="20" t="s">
        <v>29</v>
      </c>
    </row>
    <row r="346" ht="18" spans="1:14">
      <c r="A346" s="10">
        <f t="shared" si="10"/>
        <v>345</v>
      </c>
      <c r="B346" s="18" t="s">
        <v>3805</v>
      </c>
      <c r="C346" s="120" t="s">
        <v>280</v>
      </c>
      <c r="D346" s="20" t="s">
        <v>43</v>
      </c>
      <c r="E346" s="18" t="s">
        <v>64</v>
      </c>
      <c r="F346" s="18" t="s">
        <v>103</v>
      </c>
      <c r="G346" s="5">
        <v>46166</v>
      </c>
      <c r="H346" s="5">
        <v>46185</v>
      </c>
      <c r="I346" s="21">
        <f t="shared" si="11"/>
        <v>19</v>
      </c>
      <c r="J346" s="22" t="s">
        <v>3433</v>
      </c>
      <c r="K346" s="11" t="s">
        <v>3772</v>
      </c>
      <c r="L346" s="24"/>
      <c r="M346" s="24"/>
      <c r="N346" s="20" t="s">
        <v>29</v>
      </c>
    </row>
    <row r="347" ht="18" spans="1:14">
      <c r="A347" s="14">
        <f t="shared" si="10"/>
        <v>346</v>
      </c>
      <c r="B347" s="18" t="s">
        <v>3806</v>
      </c>
      <c r="C347" s="120" t="s">
        <v>282</v>
      </c>
      <c r="D347" s="20" t="s">
        <v>74</v>
      </c>
      <c r="E347" s="18" t="s">
        <v>64</v>
      </c>
      <c r="F347" s="18" t="s">
        <v>179</v>
      </c>
      <c r="G347" s="5">
        <v>46170</v>
      </c>
      <c r="H347" s="5">
        <v>46185</v>
      </c>
      <c r="I347" s="21">
        <f t="shared" si="11"/>
        <v>15</v>
      </c>
      <c r="J347" s="22" t="s">
        <v>3427</v>
      </c>
      <c r="K347" s="11" t="s">
        <v>3436</v>
      </c>
      <c r="L347" s="24"/>
      <c r="M347" s="24"/>
      <c r="N347" s="20" t="s">
        <v>29</v>
      </c>
    </row>
    <row r="348" ht="18" spans="1:14">
      <c r="A348" s="10">
        <f t="shared" si="10"/>
        <v>347</v>
      </c>
      <c r="B348" s="18" t="s">
        <v>3807</v>
      </c>
      <c r="C348" s="120" t="s">
        <v>284</v>
      </c>
      <c r="D348" s="20" t="s">
        <v>43</v>
      </c>
      <c r="E348" s="18" t="s">
        <v>62</v>
      </c>
      <c r="F348" s="18" t="s">
        <v>307</v>
      </c>
      <c r="G348" s="5">
        <v>46171</v>
      </c>
      <c r="H348" s="5">
        <v>46185</v>
      </c>
      <c r="I348" s="21">
        <f t="shared" si="11"/>
        <v>14</v>
      </c>
      <c r="J348" s="22" t="s">
        <v>3427</v>
      </c>
      <c r="K348" s="11" t="s">
        <v>3422</v>
      </c>
      <c r="L348" s="24"/>
      <c r="M348" s="24"/>
      <c r="N348" s="20" t="s">
        <v>29</v>
      </c>
    </row>
    <row r="349" ht="18" spans="1:14">
      <c r="A349" s="14">
        <f t="shared" si="10"/>
        <v>348</v>
      </c>
      <c r="B349" s="18" t="s">
        <v>3808</v>
      </c>
      <c r="C349" s="120" t="s">
        <v>286</v>
      </c>
      <c r="D349" s="20" t="s">
        <v>43</v>
      </c>
      <c r="E349" s="18" t="s">
        <v>63</v>
      </c>
      <c r="F349" s="18" t="s">
        <v>148</v>
      </c>
      <c r="G349" s="5">
        <v>46172</v>
      </c>
      <c r="H349" s="5">
        <v>46185</v>
      </c>
      <c r="I349" s="21">
        <f t="shared" si="11"/>
        <v>13</v>
      </c>
      <c r="J349" s="22" t="s">
        <v>3427</v>
      </c>
      <c r="K349" s="11" t="s">
        <v>3809</v>
      </c>
      <c r="L349" s="24"/>
      <c r="M349" s="24"/>
      <c r="N349" s="20" t="s">
        <v>29</v>
      </c>
    </row>
    <row r="350" ht="18" spans="1:14">
      <c r="A350" s="10">
        <f t="shared" si="10"/>
        <v>349</v>
      </c>
      <c r="B350" s="18" t="s">
        <v>3810</v>
      </c>
      <c r="C350" s="120" t="s">
        <v>126</v>
      </c>
      <c r="D350" s="20" t="s">
        <v>43</v>
      </c>
      <c r="E350" s="18" t="s">
        <v>63</v>
      </c>
      <c r="F350" s="18" t="s">
        <v>173</v>
      </c>
      <c r="G350" s="5">
        <v>46176</v>
      </c>
      <c r="H350" s="5">
        <v>46185</v>
      </c>
      <c r="I350" s="21">
        <f t="shared" si="11"/>
        <v>9</v>
      </c>
      <c r="J350" s="22" t="s">
        <v>3433</v>
      </c>
      <c r="K350" s="11" t="s">
        <v>3811</v>
      </c>
      <c r="L350" s="24"/>
      <c r="M350" s="24"/>
      <c r="N350" s="20" t="s">
        <v>29</v>
      </c>
    </row>
    <row r="351" ht="36" spans="1:14">
      <c r="A351" s="14">
        <f t="shared" si="10"/>
        <v>350</v>
      </c>
      <c r="B351" s="18" t="s">
        <v>2118</v>
      </c>
      <c r="C351" s="120" t="s">
        <v>128</v>
      </c>
      <c r="D351" s="20" t="s">
        <v>42</v>
      </c>
      <c r="E351" s="18" t="s">
        <v>63</v>
      </c>
      <c r="F351" s="18" t="s">
        <v>690</v>
      </c>
      <c r="G351" s="5">
        <v>46179</v>
      </c>
      <c r="H351" s="5">
        <v>46185</v>
      </c>
      <c r="I351" s="21">
        <f t="shared" si="11"/>
        <v>6</v>
      </c>
      <c r="J351" s="22" t="s">
        <v>3451</v>
      </c>
      <c r="K351" s="11" t="s">
        <v>3812</v>
      </c>
      <c r="L351" s="24"/>
      <c r="M351" s="24"/>
      <c r="N351" s="20" t="s">
        <v>29</v>
      </c>
    </row>
    <row r="352" ht="18" spans="1:14">
      <c r="A352" s="10">
        <f t="shared" si="10"/>
        <v>351</v>
      </c>
      <c r="B352" s="18" t="s">
        <v>1484</v>
      </c>
      <c r="C352" s="120" t="s">
        <v>280</v>
      </c>
      <c r="D352" s="20" t="s">
        <v>42</v>
      </c>
      <c r="E352" s="18" t="s">
        <v>63</v>
      </c>
      <c r="F352" s="18" t="s">
        <v>744</v>
      </c>
      <c r="G352" s="5">
        <v>46181</v>
      </c>
      <c r="H352" s="5">
        <v>46185</v>
      </c>
      <c r="I352" s="21">
        <f t="shared" si="11"/>
        <v>4</v>
      </c>
      <c r="J352" s="22" t="s">
        <v>3411</v>
      </c>
      <c r="K352" s="11" t="s">
        <v>3422</v>
      </c>
      <c r="L352" s="24"/>
      <c r="M352" s="24"/>
      <c r="N352" s="20" t="s">
        <v>29</v>
      </c>
    </row>
    <row r="353" ht="18" spans="1:14">
      <c r="A353" s="14">
        <f t="shared" si="10"/>
        <v>352</v>
      </c>
      <c r="B353" s="18" t="s">
        <v>3813</v>
      </c>
      <c r="C353" s="120" t="s">
        <v>282</v>
      </c>
      <c r="D353" s="20" t="s">
        <v>42</v>
      </c>
      <c r="E353" s="18" t="s">
        <v>63</v>
      </c>
      <c r="F353" s="18" t="s">
        <v>103</v>
      </c>
      <c r="G353" s="5">
        <v>46183</v>
      </c>
      <c r="H353" s="5">
        <v>46185</v>
      </c>
      <c r="I353" s="21">
        <f t="shared" si="11"/>
        <v>2</v>
      </c>
      <c r="J353" s="22" t="s">
        <v>3427</v>
      </c>
      <c r="K353" s="11" t="s">
        <v>3814</v>
      </c>
      <c r="L353" s="24"/>
      <c r="M353" s="24"/>
      <c r="N353" s="20" t="s">
        <v>29</v>
      </c>
    </row>
    <row r="354" ht="18" spans="1:14">
      <c r="A354" s="10">
        <f t="shared" si="10"/>
        <v>353</v>
      </c>
      <c r="B354" s="18" t="s">
        <v>3815</v>
      </c>
      <c r="C354" s="120" t="s">
        <v>284</v>
      </c>
      <c r="D354" s="20" t="s">
        <v>42</v>
      </c>
      <c r="E354" s="18" t="s">
        <v>62</v>
      </c>
      <c r="F354" s="18" t="s">
        <v>103</v>
      </c>
      <c r="G354" s="5">
        <v>46090</v>
      </c>
      <c r="H354" s="5">
        <v>46186</v>
      </c>
      <c r="I354" s="21">
        <f t="shared" si="11"/>
        <v>96</v>
      </c>
      <c r="J354" s="22" t="s">
        <v>3475</v>
      </c>
      <c r="K354" s="11" t="s">
        <v>3422</v>
      </c>
      <c r="L354" s="24"/>
      <c r="M354" s="24"/>
      <c r="N354" s="20" t="s">
        <v>29</v>
      </c>
    </row>
    <row r="355" ht="18" spans="1:14">
      <c r="A355" s="14">
        <f t="shared" si="10"/>
        <v>354</v>
      </c>
      <c r="B355" s="18" t="s">
        <v>3816</v>
      </c>
      <c r="C355" s="120" t="s">
        <v>286</v>
      </c>
      <c r="D355" s="20" t="s">
        <v>43</v>
      </c>
      <c r="E355" s="18" t="s">
        <v>63</v>
      </c>
      <c r="F355" s="18" t="s">
        <v>124</v>
      </c>
      <c r="G355" s="5">
        <v>46150</v>
      </c>
      <c r="H355" s="5">
        <v>46186</v>
      </c>
      <c r="I355" s="21">
        <f t="shared" si="11"/>
        <v>36</v>
      </c>
      <c r="J355" s="22" t="s">
        <v>3475</v>
      </c>
      <c r="K355" s="11" t="s">
        <v>3417</v>
      </c>
      <c r="L355" s="24"/>
      <c r="M355" s="24"/>
      <c r="N355" s="20" t="s">
        <v>29</v>
      </c>
    </row>
    <row r="356" ht="18" spans="1:14">
      <c r="A356" s="10">
        <f t="shared" si="10"/>
        <v>355</v>
      </c>
      <c r="B356" s="18" t="s">
        <v>3817</v>
      </c>
      <c r="C356" s="120" t="s">
        <v>126</v>
      </c>
      <c r="D356" s="20" t="s">
        <v>42</v>
      </c>
      <c r="E356" s="18" t="s">
        <v>62</v>
      </c>
      <c r="F356" s="18" t="s">
        <v>1136</v>
      </c>
      <c r="G356" s="5">
        <v>46161</v>
      </c>
      <c r="H356" s="5">
        <v>46186</v>
      </c>
      <c r="I356" s="21">
        <f t="shared" si="11"/>
        <v>25</v>
      </c>
      <c r="J356" s="22" t="s">
        <v>3475</v>
      </c>
      <c r="K356" s="11" t="s">
        <v>3627</v>
      </c>
      <c r="L356" s="24"/>
      <c r="M356" s="24"/>
      <c r="N356" s="20" t="s">
        <v>29</v>
      </c>
    </row>
    <row r="357" ht="18" spans="1:14">
      <c r="A357" s="14">
        <f t="shared" si="10"/>
        <v>356</v>
      </c>
      <c r="B357" s="18" t="s">
        <v>3818</v>
      </c>
      <c r="C357" s="120" t="s">
        <v>128</v>
      </c>
      <c r="D357" s="20" t="s">
        <v>43</v>
      </c>
      <c r="E357" s="18" t="s">
        <v>63</v>
      </c>
      <c r="F357" s="18" t="s">
        <v>509</v>
      </c>
      <c r="G357" s="5">
        <v>46170</v>
      </c>
      <c r="H357" s="5">
        <v>46186</v>
      </c>
      <c r="I357" s="21">
        <f t="shared" si="11"/>
        <v>16</v>
      </c>
      <c r="J357" s="22" t="s">
        <v>3475</v>
      </c>
      <c r="K357" s="11" t="s">
        <v>3417</v>
      </c>
      <c r="L357" s="24"/>
      <c r="M357" s="24"/>
      <c r="N357" s="20" t="s">
        <v>29</v>
      </c>
    </row>
    <row r="358" ht="18" spans="1:14">
      <c r="A358" s="10">
        <f t="shared" si="10"/>
        <v>357</v>
      </c>
      <c r="B358" s="18" t="s">
        <v>3819</v>
      </c>
      <c r="C358" s="120" t="s">
        <v>280</v>
      </c>
      <c r="D358" s="20" t="s">
        <v>42</v>
      </c>
      <c r="E358" s="18" t="s">
        <v>62</v>
      </c>
      <c r="F358" s="18" t="s">
        <v>129</v>
      </c>
      <c r="G358" s="5">
        <v>46175</v>
      </c>
      <c r="H358" s="5">
        <v>46186</v>
      </c>
      <c r="I358" s="21">
        <f t="shared" si="11"/>
        <v>11</v>
      </c>
      <c r="J358" s="22" t="s">
        <v>3427</v>
      </c>
      <c r="K358" s="11" t="s">
        <v>3627</v>
      </c>
      <c r="L358" s="24"/>
      <c r="M358" s="24"/>
      <c r="N358" s="20" t="s">
        <v>29</v>
      </c>
    </row>
    <row r="359" ht="18" spans="1:14">
      <c r="A359" s="14">
        <f t="shared" si="10"/>
        <v>358</v>
      </c>
      <c r="B359" s="18" t="s">
        <v>310</v>
      </c>
      <c r="C359" s="120" t="s">
        <v>282</v>
      </c>
      <c r="D359" s="20" t="s">
        <v>43</v>
      </c>
      <c r="E359" s="18" t="s">
        <v>64</v>
      </c>
      <c r="F359" s="18" t="s">
        <v>312</v>
      </c>
      <c r="G359" s="5">
        <v>46175</v>
      </c>
      <c r="H359" s="5">
        <v>46186</v>
      </c>
      <c r="I359" s="21">
        <f t="shared" si="11"/>
        <v>11</v>
      </c>
      <c r="J359" s="22" t="s">
        <v>3433</v>
      </c>
      <c r="K359" s="11" t="s">
        <v>3422</v>
      </c>
      <c r="L359" s="24"/>
      <c r="M359" s="24"/>
      <c r="N359" s="20" t="s">
        <v>29</v>
      </c>
    </row>
    <row r="360" ht="18" spans="1:14">
      <c r="A360" s="10">
        <f t="shared" si="10"/>
        <v>359</v>
      </c>
      <c r="B360" s="18" t="s">
        <v>1246</v>
      </c>
      <c r="C360" s="120" t="s">
        <v>284</v>
      </c>
      <c r="D360" s="20" t="s">
        <v>42</v>
      </c>
      <c r="E360" s="18" t="s">
        <v>62</v>
      </c>
      <c r="F360" s="18" t="s">
        <v>505</v>
      </c>
      <c r="G360" s="5">
        <v>46177</v>
      </c>
      <c r="H360" s="5">
        <v>46186</v>
      </c>
      <c r="I360" s="21">
        <f t="shared" si="11"/>
        <v>9</v>
      </c>
      <c r="J360" s="22" t="s">
        <v>3475</v>
      </c>
      <c r="K360" s="11" t="s">
        <v>3627</v>
      </c>
      <c r="L360" s="24"/>
      <c r="M360" s="24"/>
      <c r="N360" s="20" t="s">
        <v>29</v>
      </c>
    </row>
    <row r="361" ht="36" spans="1:14">
      <c r="A361" s="14">
        <f t="shared" si="10"/>
        <v>360</v>
      </c>
      <c r="B361" s="18" t="s">
        <v>1369</v>
      </c>
      <c r="C361" s="120" t="s">
        <v>286</v>
      </c>
      <c r="D361" s="20" t="s">
        <v>42</v>
      </c>
      <c r="E361" s="18" t="s">
        <v>62</v>
      </c>
      <c r="F361" s="18" t="s">
        <v>631</v>
      </c>
      <c r="G361" s="5">
        <v>46179</v>
      </c>
      <c r="H361" s="5">
        <v>46186</v>
      </c>
      <c r="I361" s="21">
        <f t="shared" si="11"/>
        <v>7</v>
      </c>
      <c r="J361" s="22" t="s">
        <v>3411</v>
      </c>
      <c r="K361" s="11" t="s">
        <v>3820</v>
      </c>
      <c r="L361" s="24"/>
      <c r="M361" s="24"/>
      <c r="N361" s="20" t="s">
        <v>29</v>
      </c>
    </row>
    <row r="362" ht="18" spans="1:14">
      <c r="A362" s="10">
        <f t="shared" si="10"/>
        <v>361</v>
      </c>
      <c r="B362" s="18" t="s">
        <v>1628</v>
      </c>
      <c r="C362" s="120" t="s">
        <v>126</v>
      </c>
      <c r="D362" s="20" t="s">
        <v>43</v>
      </c>
      <c r="E362" s="18" t="s">
        <v>62</v>
      </c>
      <c r="F362" s="18" t="s">
        <v>129</v>
      </c>
      <c r="G362" s="5">
        <v>46182</v>
      </c>
      <c r="H362" s="5">
        <v>46186</v>
      </c>
      <c r="I362" s="21">
        <f t="shared" si="11"/>
        <v>4</v>
      </c>
      <c r="J362" s="22" t="s">
        <v>3451</v>
      </c>
      <c r="K362" s="11" t="s">
        <v>3821</v>
      </c>
      <c r="L362" s="24"/>
      <c r="M362" s="24"/>
      <c r="N362" s="20" t="s">
        <v>29</v>
      </c>
    </row>
    <row r="363" ht="18" spans="1:14">
      <c r="A363" s="14">
        <f t="shared" si="10"/>
        <v>362</v>
      </c>
      <c r="B363" s="18" t="s">
        <v>240</v>
      </c>
      <c r="C363" s="120" t="s">
        <v>128</v>
      </c>
      <c r="D363" s="20" t="s">
        <v>42</v>
      </c>
      <c r="E363" s="18" t="s">
        <v>63</v>
      </c>
      <c r="F363" s="18" t="s">
        <v>129</v>
      </c>
      <c r="G363" s="5">
        <v>46182</v>
      </c>
      <c r="H363" s="5">
        <v>46186</v>
      </c>
      <c r="I363" s="21">
        <f t="shared" si="11"/>
        <v>4</v>
      </c>
      <c r="J363" s="22" t="s">
        <v>3451</v>
      </c>
      <c r="K363" s="11" t="s">
        <v>3821</v>
      </c>
      <c r="L363" s="24"/>
      <c r="M363" s="24"/>
      <c r="N363" s="20" t="s">
        <v>29</v>
      </c>
    </row>
    <row r="364" ht="18" spans="1:14">
      <c r="A364" s="10">
        <f t="shared" si="10"/>
        <v>363</v>
      </c>
      <c r="B364" s="18" t="s">
        <v>1637</v>
      </c>
      <c r="C364" s="120" t="s">
        <v>280</v>
      </c>
      <c r="D364" s="20" t="s">
        <v>42</v>
      </c>
      <c r="E364" s="18" t="s">
        <v>63</v>
      </c>
      <c r="F364" s="18" t="s">
        <v>129</v>
      </c>
      <c r="G364" s="5">
        <v>46183</v>
      </c>
      <c r="H364" s="5">
        <v>46186</v>
      </c>
      <c r="I364" s="21">
        <f t="shared" si="11"/>
        <v>3</v>
      </c>
      <c r="J364" s="22" t="s">
        <v>3451</v>
      </c>
      <c r="K364" s="11" t="s">
        <v>3821</v>
      </c>
      <c r="L364" s="24"/>
      <c r="M364" s="24"/>
      <c r="N364" s="20" t="s">
        <v>29</v>
      </c>
    </row>
    <row r="365" ht="18" spans="1:14">
      <c r="A365" s="14">
        <f t="shared" si="10"/>
        <v>364</v>
      </c>
      <c r="B365" s="18" t="s">
        <v>3822</v>
      </c>
      <c r="C365" s="120" t="s">
        <v>282</v>
      </c>
      <c r="D365" s="20" t="s">
        <v>43</v>
      </c>
      <c r="E365" s="18" t="s">
        <v>62</v>
      </c>
      <c r="F365" s="18" t="s">
        <v>124</v>
      </c>
      <c r="G365" s="5">
        <v>46149</v>
      </c>
      <c r="H365" s="5">
        <v>46155</v>
      </c>
      <c r="I365" s="21">
        <f t="shared" si="11"/>
        <v>6</v>
      </c>
      <c r="J365" s="22" t="s">
        <v>3414</v>
      </c>
      <c r="K365" s="11" t="s">
        <v>3422</v>
      </c>
      <c r="L365" s="24"/>
      <c r="M365" s="24"/>
      <c r="N365" s="20" t="s">
        <v>30</v>
      </c>
    </row>
    <row r="366" ht="18" spans="1:14">
      <c r="A366" s="10">
        <f t="shared" si="10"/>
        <v>365</v>
      </c>
      <c r="B366" s="18" t="s">
        <v>3823</v>
      </c>
      <c r="C366" s="120" t="s">
        <v>284</v>
      </c>
      <c r="D366" s="20" t="s">
        <v>43</v>
      </c>
      <c r="E366" s="18" t="s">
        <v>63</v>
      </c>
      <c r="F366" s="18" t="s">
        <v>2164</v>
      </c>
      <c r="G366" s="5">
        <v>46149</v>
      </c>
      <c r="H366" s="5">
        <v>46156</v>
      </c>
      <c r="I366" s="21">
        <f t="shared" si="11"/>
        <v>7</v>
      </c>
      <c r="J366" s="22" t="s">
        <v>3433</v>
      </c>
      <c r="K366" s="11" t="s">
        <v>3824</v>
      </c>
      <c r="L366" s="24"/>
      <c r="M366" s="24"/>
      <c r="N366" s="20" t="s">
        <v>30</v>
      </c>
    </row>
    <row r="367" ht="36" spans="1:14">
      <c r="A367" s="14">
        <f t="shared" si="10"/>
        <v>366</v>
      </c>
      <c r="B367" s="18" t="s">
        <v>3825</v>
      </c>
      <c r="C367" s="120" t="s">
        <v>286</v>
      </c>
      <c r="D367" s="20" t="s">
        <v>43</v>
      </c>
      <c r="E367" s="18" t="s">
        <v>63</v>
      </c>
      <c r="F367" s="18" t="s">
        <v>3826</v>
      </c>
      <c r="G367" s="5">
        <v>46149</v>
      </c>
      <c r="H367" s="5">
        <v>46156</v>
      </c>
      <c r="I367" s="21">
        <f t="shared" si="11"/>
        <v>7</v>
      </c>
      <c r="J367" s="22" t="s">
        <v>3433</v>
      </c>
      <c r="K367" s="11" t="s">
        <v>3827</v>
      </c>
      <c r="L367" s="24"/>
      <c r="M367" s="24"/>
      <c r="N367" s="20" t="s">
        <v>30</v>
      </c>
    </row>
    <row r="368" ht="36" spans="1:14">
      <c r="A368" s="10">
        <f t="shared" si="10"/>
        <v>367</v>
      </c>
      <c r="B368" s="18" t="s">
        <v>3828</v>
      </c>
      <c r="C368" s="120" t="s">
        <v>126</v>
      </c>
      <c r="D368" s="20" t="s">
        <v>43</v>
      </c>
      <c r="E368" s="18" t="s">
        <v>63</v>
      </c>
      <c r="F368" s="18" t="s">
        <v>3826</v>
      </c>
      <c r="G368" s="5">
        <v>46149</v>
      </c>
      <c r="H368" s="5">
        <v>46156</v>
      </c>
      <c r="I368" s="21">
        <f t="shared" si="11"/>
        <v>7</v>
      </c>
      <c r="J368" s="22" t="s">
        <v>3433</v>
      </c>
      <c r="K368" s="11" t="s">
        <v>3827</v>
      </c>
      <c r="L368" s="24"/>
      <c r="M368" s="24"/>
      <c r="N368" s="20" t="s">
        <v>30</v>
      </c>
    </row>
    <row r="369" ht="18" spans="1:14">
      <c r="A369" s="14">
        <f t="shared" si="10"/>
        <v>368</v>
      </c>
      <c r="B369" s="18" t="s">
        <v>3829</v>
      </c>
      <c r="C369" s="120" t="s">
        <v>128</v>
      </c>
      <c r="D369" s="20" t="s">
        <v>42</v>
      </c>
      <c r="E369" s="18" t="s">
        <v>63</v>
      </c>
      <c r="F369" s="18" t="s">
        <v>124</v>
      </c>
      <c r="G369" s="5">
        <v>46153</v>
      </c>
      <c r="H369" s="5">
        <v>46161</v>
      </c>
      <c r="I369" s="21">
        <f t="shared" si="11"/>
        <v>8</v>
      </c>
      <c r="J369" s="22" t="s">
        <v>3433</v>
      </c>
      <c r="K369" s="11" t="s">
        <v>3422</v>
      </c>
      <c r="L369" s="24"/>
      <c r="M369" s="24"/>
      <c r="N369" s="20" t="s">
        <v>30</v>
      </c>
    </row>
    <row r="370" ht="88" spans="1:14">
      <c r="A370" s="10">
        <f t="shared" si="10"/>
        <v>369</v>
      </c>
      <c r="B370" s="18" t="s">
        <v>3830</v>
      </c>
      <c r="C370" s="120" t="s">
        <v>280</v>
      </c>
      <c r="D370" s="20" t="s">
        <v>42</v>
      </c>
      <c r="E370" s="18" t="s">
        <v>62</v>
      </c>
      <c r="F370" s="18" t="s">
        <v>3831</v>
      </c>
      <c r="G370" s="5">
        <v>46149</v>
      </c>
      <c r="H370" s="5">
        <v>46161</v>
      </c>
      <c r="I370" s="21">
        <f t="shared" si="11"/>
        <v>12</v>
      </c>
      <c r="J370" s="22" t="s">
        <v>3414</v>
      </c>
      <c r="K370" s="11" t="s">
        <v>3832</v>
      </c>
      <c r="L370" s="24"/>
      <c r="M370" s="24"/>
      <c r="N370" s="20" t="s">
        <v>30</v>
      </c>
    </row>
    <row r="371" ht="18" spans="1:14">
      <c r="A371" s="14">
        <f t="shared" si="10"/>
        <v>370</v>
      </c>
      <c r="B371" s="18" t="s">
        <v>3833</v>
      </c>
      <c r="C371" s="120" t="s">
        <v>282</v>
      </c>
      <c r="D371" s="20" t="s">
        <v>43</v>
      </c>
      <c r="E371" s="18" t="s">
        <v>62</v>
      </c>
      <c r="F371" s="18" t="s">
        <v>124</v>
      </c>
      <c r="G371" s="5">
        <v>46155</v>
      </c>
      <c r="H371" s="5">
        <v>46161</v>
      </c>
      <c r="I371" s="21">
        <f t="shared" si="11"/>
        <v>6</v>
      </c>
      <c r="J371" s="22" t="s">
        <v>3414</v>
      </c>
      <c r="K371" s="11" t="s">
        <v>3422</v>
      </c>
      <c r="L371" s="24"/>
      <c r="M371" s="24"/>
      <c r="N371" s="20" t="s">
        <v>30</v>
      </c>
    </row>
    <row r="372" ht="18" spans="1:14">
      <c r="A372" s="10">
        <f t="shared" si="10"/>
        <v>371</v>
      </c>
      <c r="B372" s="18" t="s">
        <v>3834</v>
      </c>
      <c r="C372" s="120" t="s">
        <v>284</v>
      </c>
      <c r="D372" s="20" t="s">
        <v>43</v>
      </c>
      <c r="E372" s="18" t="s">
        <v>63</v>
      </c>
      <c r="F372" s="18" t="s">
        <v>124</v>
      </c>
      <c r="G372" s="5">
        <v>46153</v>
      </c>
      <c r="H372" s="5">
        <v>46162</v>
      </c>
      <c r="I372" s="21">
        <f t="shared" si="11"/>
        <v>9</v>
      </c>
      <c r="J372" s="22" t="s">
        <v>3414</v>
      </c>
      <c r="K372" s="11" t="s">
        <v>3422</v>
      </c>
      <c r="L372" s="24"/>
      <c r="M372" s="24"/>
      <c r="N372" s="20" t="s">
        <v>30</v>
      </c>
    </row>
    <row r="373" ht="18" spans="1:14">
      <c r="A373" s="14">
        <f t="shared" si="10"/>
        <v>372</v>
      </c>
      <c r="B373" s="18" t="s">
        <v>3835</v>
      </c>
      <c r="C373" s="120" t="s">
        <v>286</v>
      </c>
      <c r="D373" s="20" t="s">
        <v>43</v>
      </c>
      <c r="E373" s="18" t="s">
        <v>63</v>
      </c>
      <c r="F373" s="18" t="s">
        <v>3826</v>
      </c>
      <c r="G373" s="5">
        <v>46149</v>
      </c>
      <c r="H373" s="5">
        <v>46164</v>
      </c>
      <c r="I373" s="21">
        <f t="shared" si="11"/>
        <v>15</v>
      </c>
      <c r="J373" s="22" t="s">
        <v>3836</v>
      </c>
      <c r="K373" s="11" t="s">
        <v>3837</v>
      </c>
      <c r="L373" s="24"/>
      <c r="M373" s="24"/>
      <c r="N373" s="20" t="s">
        <v>30</v>
      </c>
    </row>
    <row r="374" ht="18" spans="1:14">
      <c r="A374" s="10">
        <f t="shared" si="10"/>
        <v>373</v>
      </c>
      <c r="B374" s="18" t="s">
        <v>3838</v>
      </c>
      <c r="C374" s="120" t="s">
        <v>126</v>
      </c>
      <c r="D374" s="20" t="s">
        <v>43</v>
      </c>
      <c r="E374" s="18" t="s">
        <v>63</v>
      </c>
      <c r="F374" s="18" t="s">
        <v>124</v>
      </c>
      <c r="G374" s="5">
        <v>46157</v>
      </c>
      <c r="H374" s="5">
        <v>46163</v>
      </c>
      <c r="I374" s="21">
        <f t="shared" si="11"/>
        <v>6</v>
      </c>
      <c r="J374" s="22" t="s">
        <v>3414</v>
      </c>
      <c r="K374" s="11" t="s">
        <v>3422</v>
      </c>
      <c r="L374" s="24"/>
      <c r="M374" s="24"/>
      <c r="N374" s="20" t="s">
        <v>30</v>
      </c>
    </row>
    <row r="375" ht="18" spans="1:14">
      <c r="A375" s="14">
        <f t="shared" si="10"/>
        <v>374</v>
      </c>
      <c r="B375" s="18" t="s">
        <v>1727</v>
      </c>
      <c r="C375" s="120" t="s">
        <v>128</v>
      </c>
      <c r="D375" s="20" t="s">
        <v>42</v>
      </c>
      <c r="E375" s="18" t="s">
        <v>62</v>
      </c>
      <c r="F375" s="18" t="s">
        <v>2164</v>
      </c>
      <c r="G375" s="5">
        <v>46154</v>
      </c>
      <c r="H375" s="5">
        <v>46163</v>
      </c>
      <c r="I375" s="21">
        <f t="shared" si="11"/>
        <v>9</v>
      </c>
      <c r="J375" s="22" t="s">
        <v>3433</v>
      </c>
      <c r="K375" s="11" t="s">
        <v>3839</v>
      </c>
      <c r="L375" s="24"/>
      <c r="M375" s="24"/>
      <c r="N375" s="20" t="s">
        <v>30</v>
      </c>
    </row>
    <row r="376" ht="18" spans="1:14">
      <c r="A376" s="10">
        <f t="shared" si="10"/>
        <v>375</v>
      </c>
      <c r="B376" s="18" t="s">
        <v>3840</v>
      </c>
      <c r="C376" s="120" t="s">
        <v>280</v>
      </c>
      <c r="D376" s="20" t="s">
        <v>42</v>
      </c>
      <c r="E376" s="18" t="s">
        <v>62</v>
      </c>
      <c r="F376" s="18" t="s">
        <v>124</v>
      </c>
      <c r="G376" s="5">
        <v>46154</v>
      </c>
      <c r="H376" s="5">
        <v>46163</v>
      </c>
      <c r="I376" s="21">
        <f t="shared" si="11"/>
        <v>9</v>
      </c>
      <c r="J376" s="22" t="s">
        <v>3414</v>
      </c>
      <c r="K376" s="11" t="s">
        <v>3422</v>
      </c>
      <c r="L376" s="24"/>
      <c r="M376" s="24"/>
      <c r="N376" s="20" t="s">
        <v>30</v>
      </c>
    </row>
    <row r="377" ht="18" spans="1:14">
      <c r="A377" s="14">
        <f t="shared" si="10"/>
        <v>376</v>
      </c>
      <c r="B377" s="18" t="s">
        <v>3841</v>
      </c>
      <c r="C377" s="120" t="s">
        <v>282</v>
      </c>
      <c r="D377" s="20" t="s">
        <v>43</v>
      </c>
      <c r="E377" s="18" t="s">
        <v>62</v>
      </c>
      <c r="F377" s="18" t="s">
        <v>124</v>
      </c>
      <c r="G377" s="5">
        <v>46153</v>
      </c>
      <c r="H377" s="5">
        <v>46163</v>
      </c>
      <c r="I377" s="21">
        <f t="shared" si="11"/>
        <v>10</v>
      </c>
      <c r="J377" s="22" t="s">
        <v>3414</v>
      </c>
      <c r="K377" s="11" t="s">
        <v>3839</v>
      </c>
      <c r="L377" s="24"/>
      <c r="M377" s="24"/>
      <c r="N377" s="20" t="s">
        <v>30</v>
      </c>
    </row>
    <row r="378" ht="18" spans="1:14">
      <c r="A378" s="10">
        <f t="shared" si="10"/>
        <v>377</v>
      </c>
      <c r="B378" s="18" t="s">
        <v>3842</v>
      </c>
      <c r="C378" s="120" t="s">
        <v>284</v>
      </c>
      <c r="D378" s="20" t="s">
        <v>42</v>
      </c>
      <c r="E378" s="18" t="s">
        <v>62</v>
      </c>
      <c r="F378" s="18" t="s">
        <v>2164</v>
      </c>
      <c r="G378" s="5">
        <v>46154</v>
      </c>
      <c r="H378" s="5">
        <v>46164</v>
      </c>
      <c r="I378" s="21">
        <f t="shared" si="11"/>
        <v>10</v>
      </c>
      <c r="J378" s="22" t="s">
        <v>3414</v>
      </c>
      <c r="K378" s="11" t="s">
        <v>3839</v>
      </c>
      <c r="L378" s="24"/>
      <c r="M378" s="24"/>
      <c r="N378" s="20" t="s">
        <v>30</v>
      </c>
    </row>
    <row r="379" ht="18" spans="1:14">
      <c r="A379" s="14">
        <f t="shared" si="10"/>
        <v>378</v>
      </c>
      <c r="B379" s="18" t="s">
        <v>3841</v>
      </c>
      <c r="C379" s="120" t="s">
        <v>286</v>
      </c>
      <c r="D379" s="20" t="s">
        <v>43</v>
      </c>
      <c r="E379" s="18" t="s">
        <v>62</v>
      </c>
      <c r="F379" s="18" t="s">
        <v>2164</v>
      </c>
      <c r="G379" s="5">
        <v>46149</v>
      </c>
      <c r="H379" s="5">
        <v>46164</v>
      </c>
      <c r="I379" s="21">
        <f t="shared" si="11"/>
        <v>15</v>
      </c>
      <c r="J379" s="22" t="s">
        <v>3427</v>
      </c>
      <c r="K379" s="11" t="s">
        <v>3839</v>
      </c>
      <c r="L379" s="24"/>
      <c r="M379" s="24"/>
      <c r="N379" s="20" t="s">
        <v>30</v>
      </c>
    </row>
    <row r="380" ht="18" spans="1:14">
      <c r="A380" s="10">
        <f t="shared" si="10"/>
        <v>379</v>
      </c>
      <c r="B380" s="18" t="s">
        <v>3843</v>
      </c>
      <c r="C380" s="120" t="s">
        <v>126</v>
      </c>
      <c r="D380" s="20" t="s">
        <v>43</v>
      </c>
      <c r="E380" s="18" t="s">
        <v>63</v>
      </c>
      <c r="F380" s="18" t="s">
        <v>124</v>
      </c>
      <c r="G380" s="5">
        <v>46155</v>
      </c>
      <c r="H380" s="5">
        <v>46164</v>
      </c>
      <c r="I380" s="21">
        <f t="shared" si="11"/>
        <v>9</v>
      </c>
      <c r="J380" s="22" t="s">
        <v>3414</v>
      </c>
      <c r="K380" s="11" t="s">
        <v>3422</v>
      </c>
      <c r="L380" s="24"/>
      <c r="M380" s="24"/>
      <c r="N380" s="20" t="s">
        <v>30</v>
      </c>
    </row>
    <row r="381" ht="17.6" spans="1:14">
      <c r="A381" s="14">
        <f t="shared" si="10"/>
        <v>380</v>
      </c>
      <c r="B381" s="18" t="s">
        <v>3844</v>
      </c>
      <c r="C381" s="120" t="s">
        <v>128</v>
      </c>
      <c r="D381" s="20" t="s">
        <v>43</v>
      </c>
      <c r="E381" s="18" t="s">
        <v>62</v>
      </c>
      <c r="F381" s="18" t="s">
        <v>124</v>
      </c>
      <c r="G381" s="5">
        <v>46155</v>
      </c>
      <c r="H381" s="5">
        <v>46164</v>
      </c>
      <c r="I381" s="21">
        <f t="shared" si="11"/>
        <v>9</v>
      </c>
      <c r="J381" s="22" t="s">
        <v>3845</v>
      </c>
      <c r="K381" s="11">
        <v>0</v>
      </c>
      <c r="L381" s="24"/>
      <c r="M381" s="24"/>
      <c r="N381" s="20" t="s">
        <v>30</v>
      </c>
    </row>
    <row r="382" ht="18" spans="1:14">
      <c r="A382" s="10">
        <f t="shared" si="10"/>
        <v>381</v>
      </c>
      <c r="B382" s="18" t="s">
        <v>3846</v>
      </c>
      <c r="C382" s="120" t="s">
        <v>280</v>
      </c>
      <c r="D382" s="20" t="s">
        <v>43</v>
      </c>
      <c r="E382" s="18" t="s">
        <v>62</v>
      </c>
      <c r="F382" s="18" t="s">
        <v>2164</v>
      </c>
      <c r="G382" s="5">
        <v>46162</v>
      </c>
      <c r="H382" s="5">
        <v>46167</v>
      </c>
      <c r="I382" s="21">
        <f t="shared" si="11"/>
        <v>5</v>
      </c>
      <c r="J382" s="22" t="s">
        <v>3414</v>
      </c>
      <c r="K382" s="11" t="s">
        <v>3847</v>
      </c>
      <c r="L382" s="24"/>
      <c r="M382" s="24"/>
      <c r="N382" s="20" t="s">
        <v>30</v>
      </c>
    </row>
    <row r="383" ht="18" spans="1:14">
      <c r="A383" s="14">
        <f t="shared" si="10"/>
        <v>382</v>
      </c>
      <c r="B383" s="18" t="s">
        <v>3848</v>
      </c>
      <c r="C383" s="120" t="s">
        <v>282</v>
      </c>
      <c r="D383" s="20" t="s">
        <v>42</v>
      </c>
      <c r="E383" s="18" t="s">
        <v>62</v>
      </c>
      <c r="F383" s="18" t="s">
        <v>124</v>
      </c>
      <c r="G383" s="5">
        <v>46154</v>
      </c>
      <c r="H383" s="5">
        <v>46167</v>
      </c>
      <c r="I383" s="21">
        <f t="shared" si="11"/>
        <v>13</v>
      </c>
      <c r="J383" s="22" t="s">
        <v>3414</v>
      </c>
      <c r="K383" s="11" t="s">
        <v>3422</v>
      </c>
      <c r="L383" s="24"/>
      <c r="M383" s="24"/>
      <c r="N383" s="20" t="s">
        <v>30</v>
      </c>
    </row>
    <row r="384" ht="18" spans="1:14">
      <c r="A384" s="10">
        <f t="shared" si="10"/>
        <v>383</v>
      </c>
      <c r="B384" s="18" t="s">
        <v>3849</v>
      </c>
      <c r="C384" s="120" t="s">
        <v>284</v>
      </c>
      <c r="D384" s="20" t="s">
        <v>43</v>
      </c>
      <c r="E384" s="18" t="s">
        <v>63</v>
      </c>
      <c r="F384" s="18" t="s">
        <v>103</v>
      </c>
      <c r="G384" s="5">
        <v>46161</v>
      </c>
      <c r="H384" s="5">
        <v>46167</v>
      </c>
      <c r="I384" s="21">
        <f t="shared" si="11"/>
        <v>6</v>
      </c>
      <c r="J384" s="22" t="s">
        <v>3414</v>
      </c>
      <c r="K384" s="11" t="s">
        <v>3422</v>
      </c>
      <c r="L384" s="24"/>
      <c r="M384" s="24"/>
      <c r="N384" s="20" t="s">
        <v>30</v>
      </c>
    </row>
    <row r="385" ht="36" spans="1:14">
      <c r="A385" s="14">
        <f t="shared" si="10"/>
        <v>384</v>
      </c>
      <c r="B385" s="18" t="s">
        <v>3850</v>
      </c>
      <c r="C385" s="120" t="s">
        <v>286</v>
      </c>
      <c r="D385" s="20" t="s">
        <v>43</v>
      </c>
      <c r="E385" s="18" t="s">
        <v>62</v>
      </c>
      <c r="F385" s="18" t="s">
        <v>3826</v>
      </c>
      <c r="G385" s="5">
        <v>46145</v>
      </c>
      <c r="H385" s="5">
        <v>46167</v>
      </c>
      <c r="I385" s="21">
        <f t="shared" si="11"/>
        <v>22</v>
      </c>
      <c r="J385" s="22" t="s">
        <v>3433</v>
      </c>
      <c r="K385" s="11" t="s">
        <v>3851</v>
      </c>
      <c r="L385" s="24"/>
      <c r="M385" s="24"/>
      <c r="N385" s="20" t="s">
        <v>30</v>
      </c>
    </row>
    <row r="386" ht="18" spans="1:14">
      <c r="A386" s="10">
        <f t="shared" ref="A386:A449" si="12">IF(B386&lt;&gt;"",ROW()-1,"")</f>
        <v>385</v>
      </c>
      <c r="B386" s="18" t="s">
        <v>3852</v>
      </c>
      <c r="C386" s="120" t="s">
        <v>126</v>
      </c>
      <c r="D386" s="20" t="s">
        <v>42</v>
      </c>
      <c r="E386" s="18" t="s">
        <v>63</v>
      </c>
      <c r="F386" s="18" t="s">
        <v>124</v>
      </c>
      <c r="G386" s="5">
        <v>46153</v>
      </c>
      <c r="H386" s="5">
        <v>46167</v>
      </c>
      <c r="I386" s="21">
        <f t="shared" ref="I386:I449" si="13">IF(AND(G386&lt;&gt;"",H386&lt;&gt;""),H386-G386,"")</f>
        <v>14</v>
      </c>
      <c r="J386" s="22" t="s">
        <v>3414</v>
      </c>
      <c r="K386" s="11" t="s">
        <v>3422</v>
      </c>
      <c r="L386" s="24"/>
      <c r="M386" s="24"/>
      <c r="N386" s="20" t="s">
        <v>30</v>
      </c>
    </row>
    <row r="387" ht="18" spans="1:14">
      <c r="A387" s="14">
        <f t="shared" si="12"/>
        <v>386</v>
      </c>
      <c r="B387" s="18" t="s">
        <v>3853</v>
      </c>
      <c r="C387" s="120" t="s">
        <v>128</v>
      </c>
      <c r="D387" s="20" t="s">
        <v>43</v>
      </c>
      <c r="E387" s="18" t="s">
        <v>63</v>
      </c>
      <c r="F387" s="18" t="s">
        <v>3826</v>
      </c>
      <c r="G387" s="5">
        <v>46164</v>
      </c>
      <c r="H387" s="5">
        <v>46168</v>
      </c>
      <c r="I387" s="21">
        <f t="shared" si="13"/>
        <v>4</v>
      </c>
      <c r="J387" s="22" t="s">
        <v>3422</v>
      </c>
      <c r="K387" s="11" t="s">
        <v>3422</v>
      </c>
      <c r="L387" s="24"/>
      <c r="M387" s="24"/>
      <c r="N387" s="20" t="s">
        <v>30</v>
      </c>
    </row>
    <row r="388" ht="18" spans="1:14">
      <c r="A388" s="10">
        <f t="shared" si="12"/>
        <v>387</v>
      </c>
      <c r="B388" s="18" t="s">
        <v>2729</v>
      </c>
      <c r="C388" s="120" t="s">
        <v>280</v>
      </c>
      <c r="D388" s="20" t="s">
        <v>43</v>
      </c>
      <c r="E388" s="18" t="s">
        <v>64</v>
      </c>
      <c r="F388" s="18" t="s">
        <v>2164</v>
      </c>
      <c r="G388" s="5">
        <v>46165</v>
      </c>
      <c r="H388" s="5">
        <v>46168</v>
      </c>
      <c r="I388" s="21">
        <f t="shared" si="13"/>
        <v>3</v>
      </c>
      <c r="J388" s="22" t="s">
        <v>3433</v>
      </c>
      <c r="K388" s="11" t="s">
        <v>3854</v>
      </c>
      <c r="L388" s="24"/>
      <c r="M388" s="24"/>
      <c r="N388" s="20" t="s">
        <v>30</v>
      </c>
    </row>
    <row r="389" ht="18" spans="1:14">
      <c r="A389" s="14">
        <f t="shared" si="12"/>
        <v>388</v>
      </c>
      <c r="B389" s="18" t="s">
        <v>3855</v>
      </c>
      <c r="C389" s="120" t="s">
        <v>282</v>
      </c>
      <c r="D389" s="20" t="s">
        <v>43</v>
      </c>
      <c r="E389" s="18" t="s">
        <v>62</v>
      </c>
      <c r="F389" s="18" t="s">
        <v>2164</v>
      </c>
      <c r="G389" s="5">
        <v>46163</v>
      </c>
      <c r="H389" s="5">
        <v>46168</v>
      </c>
      <c r="I389" s="21">
        <f t="shared" si="13"/>
        <v>5</v>
      </c>
      <c r="J389" s="22" t="s">
        <v>3414</v>
      </c>
      <c r="K389" s="11" t="s">
        <v>3856</v>
      </c>
      <c r="L389" s="24"/>
      <c r="M389" s="24"/>
      <c r="N389" s="20" t="s">
        <v>30</v>
      </c>
    </row>
    <row r="390" ht="36" spans="1:14">
      <c r="A390" s="10">
        <f t="shared" si="12"/>
        <v>389</v>
      </c>
      <c r="B390" s="18" t="s">
        <v>3857</v>
      </c>
      <c r="C390" s="120" t="s">
        <v>284</v>
      </c>
      <c r="D390" s="20" t="s">
        <v>43</v>
      </c>
      <c r="E390" s="18" t="s">
        <v>64</v>
      </c>
      <c r="F390" s="18" t="s">
        <v>3826</v>
      </c>
      <c r="G390" s="5">
        <v>46165</v>
      </c>
      <c r="H390" s="5">
        <v>46168</v>
      </c>
      <c r="I390" s="21">
        <f t="shared" si="13"/>
        <v>3</v>
      </c>
      <c r="J390" s="22" t="s">
        <v>3414</v>
      </c>
      <c r="K390" s="11" t="s">
        <v>3851</v>
      </c>
      <c r="L390" s="24"/>
      <c r="M390" s="24"/>
      <c r="N390" s="20" t="s">
        <v>30</v>
      </c>
    </row>
    <row r="391" ht="18" spans="1:14">
      <c r="A391" s="14">
        <f t="shared" si="12"/>
        <v>390</v>
      </c>
      <c r="B391" s="18" t="s">
        <v>3858</v>
      </c>
      <c r="C391" s="120" t="s">
        <v>286</v>
      </c>
      <c r="D391" s="20" t="s">
        <v>43</v>
      </c>
      <c r="E391" s="18" t="s">
        <v>62</v>
      </c>
      <c r="F391" s="18" t="s">
        <v>3826</v>
      </c>
      <c r="G391" s="5">
        <v>46163</v>
      </c>
      <c r="H391" s="5">
        <v>46168</v>
      </c>
      <c r="I391" s="21">
        <f t="shared" si="13"/>
        <v>5</v>
      </c>
      <c r="J391" s="22" t="s">
        <v>3414</v>
      </c>
      <c r="K391" s="11" t="s">
        <v>3466</v>
      </c>
      <c r="L391" s="24"/>
      <c r="M391" s="24"/>
      <c r="N391" s="20" t="s">
        <v>30</v>
      </c>
    </row>
    <row r="392" ht="36" spans="1:14">
      <c r="A392" s="10">
        <f t="shared" si="12"/>
        <v>391</v>
      </c>
      <c r="B392" s="18" t="s">
        <v>3859</v>
      </c>
      <c r="C392" s="120" t="s">
        <v>126</v>
      </c>
      <c r="D392" s="20" t="s">
        <v>43</v>
      </c>
      <c r="E392" s="18" t="s">
        <v>63</v>
      </c>
      <c r="F392" s="18" t="s">
        <v>3826</v>
      </c>
      <c r="G392" s="5">
        <v>46147</v>
      </c>
      <c r="H392" s="5">
        <v>46168</v>
      </c>
      <c r="I392" s="21">
        <f t="shared" si="13"/>
        <v>21</v>
      </c>
      <c r="J392" s="22" t="s">
        <v>3433</v>
      </c>
      <c r="K392" s="11" t="s">
        <v>3827</v>
      </c>
      <c r="L392" s="24"/>
      <c r="M392" s="24"/>
      <c r="N392" s="20" t="s">
        <v>30</v>
      </c>
    </row>
    <row r="393" ht="36" spans="1:14">
      <c r="A393" s="14">
        <f t="shared" si="12"/>
        <v>392</v>
      </c>
      <c r="B393" s="18" t="s">
        <v>2741</v>
      </c>
      <c r="C393" s="120" t="s">
        <v>128</v>
      </c>
      <c r="D393" s="20" t="s">
        <v>42</v>
      </c>
      <c r="E393" s="18" t="s">
        <v>62</v>
      </c>
      <c r="F393" s="18" t="s">
        <v>3826</v>
      </c>
      <c r="G393" s="5">
        <v>46156</v>
      </c>
      <c r="H393" s="5">
        <v>46168</v>
      </c>
      <c r="I393" s="21">
        <f t="shared" si="13"/>
        <v>12</v>
      </c>
      <c r="J393" s="22" t="s">
        <v>3433</v>
      </c>
      <c r="K393" s="11" t="s">
        <v>3827</v>
      </c>
      <c r="L393" s="24"/>
      <c r="M393" s="24"/>
      <c r="N393" s="20" t="s">
        <v>30</v>
      </c>
    </row>
    <row r="394" ht="36" spans="1:14">
      <c r="A394" s="10">
        <f t="shared" si="12"/>
        <v>393</v>
      </c>
      <c r="B394" s="18" t="s">
        <v>3860</v>
      </c>
      <c r="C394" s="120" t="s">
        <v>280</v>
      </c>
      <c r="D394" s="20" t="s">
        <v>43</v>
      </c>
      <c r="E394" s="18" t="s">
        <v>63</v>
      </c>
      <c r="F394" s="18" t="s">
        <v>3826</v>
      </c>
      <c r="G394" s="5">
        <v>46164</v>
      </c>
      <c r="H394" s="5">
        <v>46168</v>
      </c>
      <c r="I394" s="21">
        <f t="shared" si="13"/>
        <v>4</v>
      </c>
      <c r="J394" s="22" t="s">
        <v>3422</v>
      </c>
      <c r="K394" s="11" t="s">
        <v>3861</v>
      </c>
      <c r="L394" s="24"/>
      <c r="M394" s="24"/>
      <c r="N394" s="20" t="s">
        <v>30</v>
      </c>
    </row>
    <row r="395" ht="36" spans="1:14">
      <c r="A395" s="14">
        <f t="shared" si="12"/>
        <v>394</v>
      </c>
      <c r="B395" s="18" t="s">
        <v>3862</v>
      </c>
      <c r="C395" s="120" t="s">
        <v>282</v>
      </c>
      <c r="D395" s="20" t="s">
        <v>43</v>
      </c>
      <c r="E395" s="18" t="s">
        <v>63</v>
      </c>
      <c r="F395" s="18" t="s">
        <v>3826</v>
      </c>
      <c r="G395" s="5">
        <v>46145</v>
      </c>
      <c r="H395" s="5">
        <v>46168</v>
      </c>
      <c r="I395" s="21">
        <f t="shared" si="13"/>
        <v>23</v>
      </c>
      <c r="J395" s="22" t="s">
        <v>3422</v>
      </c>
      <c r="K395" s="11" t="s">
        <v>3863</v>
      </c>
      <c r="L395" s="24"/>
      <c r="M395" s="24"/>
      <c r="N395" s="20" t="s">
        <v>30</v>
      </c>
    </row>
    <row r="396" ht="36" spans="1:14">
      <c r="A396" s="10">
        <f t="shared" si="12"/>
        <v>395</v>
      </c>
      <c r="B396" s="18" t="s">
        <v>3864</v>
      </c>
      <c r="C396" s="120" t="s">
        <v>284</v>
      </c>
      <c r="D396" s="20" t="s">
        <v>43</v>
      </c>
      <c r="E396" s="18" t="s">
        <v>63</v>
      </c>
      <c r="F396" s="18" t="s">
        <v>3826</v>
      </c>
      <c r="G396" s="5">
        <v>46147</v>
      </c>
      <c r="H396" s="5">
        <v>46168</v>
      </c>
      <c r="I396" s="21">
        <f t="shared" si="13"/>
        <v>21</v>
      </c>
      <c r="J396" s="22" t="s">
        <v>3414</v>
      </c>
      <c r="K396" s="11" t="s">
        <v>3827</v>
      </c>
      <c r="L396" s="24"/>
      <c r="M396" s="24"/>
      <c r="N396" s="20" t="s">
        <v>30</v>
      </c>
    </row>
    <row r="397" ht="36" spans="1:14">
      <c r="A397" s="14">
        <f t="shared" si="12"/>
        <v>396</v>
      </c>
      <c r="B397" s="18" t="s">
        <v>3865</v>
      </c>
      <c r="C397" s="120" t="s">
        <v>286</v>
      </c>
      <c r="D397" s="20" t="s">
        <v>43</v>
      </c>
      <c r="E397" s="18" t="s">
        <v>63</v>
      </c>
      <c r="F397" s="18" t="s">
        <v>3826</v>
      </c>
      <c r="G397" s="5">
        <v>46147</v>
      </c>
      <c r="H397" s="5">
        <v>46168</v>
      </c>
      <c r="I397" s="21">
        <f t="shared" si="13"/>
        <v>21</v>
      </c>
      <c r="J397" s="22" t="s">
        <v>3414</v>
      </c>
      <c r="K397" s="11" t="s">
        <v>3827</v>
      </c>
      <c r="L397" s="24"/>
      <c r="M397" s="24"/>
      <c r="N397" s="20" t="s">
        <v>30</v>
      </c>
    </row>
    <row r="398" ht="18" spans="1:14">
      <c r="A398" s="10">
        <f t="shared" si="12"/>
        <v>397</v>
      </c>
      <c r="B398" s="18" t="s">
        <v>3866</v>
      </c>
      <c r="C398" s="120" t="s">
        <v>126</v>
      </c>
      <c r="D398" s="20" t="s">
        <v>43</v>
      </c>
      <c r="E398" s="18" t="s">
        <v>63</v>
      </c>
      <c r="F398" s="18" t="s">
        <v>3826</v>
      </c>
      <c r="G398" s="5">
        <v>46167</v>
      </c>
      <c r="H398" s="5">
        <v>46168</v>
      </c>
      <c r="I398" s="21">
        <f t="shared" si="13"/>
        <v>1</v>
      </c>
      <c r="J398" s="22" t="s">
        <v>3414</v>
      </c>
      <c r="K398" s="11" t="s">
        <v>3867</v>
      </c>
      <c r="L398" s="24"/>
      <c r="M398" s="24"/>
      <c r="N398" s="20" t="s">
        <v>30</v>
      </c>
    </row>
    <row r="399" ht="18" spans="1:14">
      <c r="A399" s="14">
        <f t="shared" si="12"/>
        <v>398</v>
      </c>
      <c r="B399" s="18" t="s">
        <v>3868</v>
      </c>
      <c r="C399" s="120" t="s">
        <v>128</v>
      </c>
      <c r="D399" s="20" t="s">
        <v>43</v>
      </c>
      <c r="E399" s="18" t="s">
        <v>62</v>
      </c>
      <c r="F399" s="18" t="s">
        <v>2164</v>
      </c>
      <c r="G399" s="5">
        <v>46162</v>
      </c>
      <c r="H399" s="5">
        <v>46168</v>
      </c>
      <c r="I399" s="21">
        <f t="shared" si="13"/>
        <v>6</v>
      </c>
      <c r="J399" s="22" t="s">
        <v>3433</v>
      </c>
      <c r="K399" s="11" t="s">
        <v>3854</v>
      </c>
      <c r="L399" s="24"/>
      <c r="M399" s="24"/>
      <c r="N399" s="20" t="s">
        <v>30</v>
      </c>
    </row>
    <row r="400" ht="18" spans="1:14">
      <c r="A400" s="10">
        <f t="shared" si="12"/>
        <v>399</v>
      </c>
      <c r="B400" s="18" t="s">
        <v>3869</v>
      </c>
      <c r="C400" s="120" t="s">
        <v>280</v>
      </c>
      <c r="D400" s="20" t="s">
        <v>43</v>
      </c>
      <c r="E400" s="18" t="s">
        <v>62</v>
      </c>
      <c r="F400" s="18" t="s">
        <v>124</v>
      </c>
      <c r="G400" s="5">
        <v>46164</v>
      </c>
      <c r="H400" s="5">
        <v>46168</v>
      </c>
      <c r="I400" s="21">
        <f t="shared" si="13"/>
        <v>4</v>
      </c>
      <c r="J400" s="22" t="s">
        <v>3414</v>
      </c>
      <c r="K400" s="11" t="s">
        <v>3422</v>
      </c>
      <c r="L400" s="24"/>
      <c r="M400" s="24"/>
      <c r="N400" s="20" t="s">
        <v>30</v>
      </c>
    </row>
    <row r="401" ht="36" spans="1:14">
      <c r="A401" s="14">
        <f t="shared" si="12"/>
        <v>400</v>
      </c>
      <c r="B401" s="18" t="s">
        <v>3870</v>
      </c>
      <c r="C401" s="120" t="s">
        <v>282</v>
      </c>
      <c r="D401" s="20" t="s">
        <v>43</v>
      </c>
      <c r="E401" s="18" t="s">
        <v>63</v>
      </c>
      <c r="F401" s="18" t="s">
        <v>3826</v>
      </c>
      <c r="G401" s="5">
        <v>46165</v>
      </c>
      <c r="H401" s="5">
        <v>46169</v>
      </c>
      <c r="I401" s="21">
        <f t="shared" si="13"/>
        <v>4</v>
      </c>
      <c r="J401" s="22" t="s">
        <v>3414</v>
      </c>
      <c r="K401" s="11" t="s">
        <v>3851</v>
      </c>
      <c r="L401" s="24"/>
      <c r="M401" s="24"/>
      <c r="N401" s="20" t="s">
        <v>30</v>
      </c>
    </row>
    <row r="402" ht="18" spans="1:14">
      <c r="A402" s="10">
        <f t="shared" si="12"/>
        <v>401</v>
      </c>
      <c r="B402" s="18" t="s">
        <v>3871</v>
      </c>
      <c r="C402" s="120" t="s">
        <v>284</v>
      </c>
      <c r="D402" s="20" t="s">
        <v>43</v>
      </c>
      <c r="E402" s="18" t="s">
        <v>63</v>
      </c>
      <c r="F402" s="18" t="s">
        <v>3826</v>
      </c>
      <c r="G402" s="5">
        <v>46165</v>
      </c>
      <c r="H402" s="5">
        <v>46169</v>
      </c>
      <c r="I402" s="21">
        <f t="shared" si="13"/>
        <v>4</v>
      </c>
      <c r="J402" s="22" t="s">
        <v>3433</v>
      </c>
      <c r="K402" s="11" t="s">
        <v>3867</v>
      </c>
      <c r="L402" s="24"/>
      <c r="M402" s="24"/>
      <c r="N402" s="20" t="s">
        <v>30</v>
      </c>
    </row>
    <row r="403" ht="18" spans="1:14">
      <c r="A403" s="14">
        <f t="shared" si="12"/>
        <v>402</v>
      </c>
      <c r="B403" s="18" t="s">
        <v>3872</v>
      </c>
      <c r="C403" s="120" t="s">
        <v>286</v>
      </c>
      <c r="D403" s="20" t="s">
        <v>43</v>
      </c>
      <c r="E403" s="18" t="s">
        <v>63</v>
      </c>
      <c r="F403" s="18" t="s">
        <v>3826</v>
      </c>
      <c r="G403" s="5">
        <v>46164</v>
      </c>
      <c r="H403" s="5">
        <v>46169</v>
      </c>
      <c r="I403" s="21">
        <f t="shared" si="13"/>
        <v>5</v>
      </c>
      <c r="J403" s="22" t="s">
        <v>3433</v>
      </c>
      <c r="K403" s="11" t="s">
        <v>3867</v>
      </c>
      <c r="L403" s="24"/>
      <c r="M403" s="24"/>
      <c r="N403" s="20" t="s">
        <v>30</v>
      </c>
    </row>
    <row r="404" ht="18" spans="1:14">
      <c r="A404" s="10">
        <f t="shared" si="12"/>
        <v>403</v>
      </c>
      <c r="B404" s="18" t="s">
        <v>3130</v>
      </c>
      <c r="C404" s="120" t="s">
        <v>126</v>
      </c>
      <c r="D404" s="20" t="s">
        <v>43</v>
      </c>
      <c r="E404" s="18" t="s">
        <v>63</v>
      </c>
      <c r="F404" s="18" t="s">
        <v>3826</v>
      </c>
      <c r="G404" s="5">
        <v>46164</v>
      </c>
      <c r="H404" s="5">
        <v>46169</v>
      </c>
      <c r="I404" s="21">
        <f t="shared" si="13"/>
        <v>5</v>
      </c>
      <c r="J404" s="22" t="s">
        <v>3414</v>
      </c>
      <c r="K404" s="11" t="s">
        <v>3422</v>
      </c>
      <c r="L404" s="24"/>
      <c r="M404" s="24"/>
      <c r="N404" s="20" t="s">
        <v>30</v>
      </c>
    </row>
    <row r="405" ht="18" spans="1:14">
      <c r="A405" s="14">
        <f t="shared" si="12"/>
        <v>404</v>
      </c>
      <c r="B405" s="18" t="s">
        <v>3873</v>
      </c>
      <c r="C405" s="120" t="s">
        <v>128</v>
      </c>
      <c r="D405" s="20" t="s">
        <v>42</v>
      </c>
      <c r="E405" s="18" t="s">
        <v>63</v>
      </c>
      <c r="F405" s="18" t="s">
        <v>3826</v>
      </c>
      <c r="G405" s="5">
        <v>46165</v>
      </c>
      <c r="H405" s="5">
        <v>46169</v>
      </c>
      <c r="I405" s="21">
        <f t="shared" si="13"/>
        <v>4</v>
      </c>
      <c r="J405" s="22" t="s">
        <v>3414</v>
      </c>
      <c r="K405" s="11" t="s">
        <v>3466</v>
      </c>
      <c r="L405" s="24"/>
      <c r="M405" s="24"/>
      <c r="N405" s="20" t="s">
        <v>30</v>
      </c>
    </row>
    <row r="406" ht="18" spans="1:14">
      <c r="A406" s="10">
        <f t="shared" si="12"/>
        <v>405</v>
      </c>
      <c r="B406" s="18" t="s">
        <v>1275</v>
      </c>
      <c r="C406" s="120" t="s">
        <v>280</v>
      </c>
      <c r="D406" s="20" t="s">
        <v>43</v>
      </c>
      <c r="E406" s="18" t="s">
        <v>63</v>
      </c>
      <c r="F406" s="18" t="s">
        <v>124</v>
      </c>
      <c r="G406" s="5">
        <v>46161</v>
      </c>
      <c r="H406" s="5">
        <v>46168</v>
      </c>
      <c r="I406" s="21">
        <f t="shared" si="13"/>
        <v>7</v>
      </c>
      <c r="J406" s="22" t="s">
        <v>3414</v>
      </c>
      <c r="K406" s="11" t="s">
        <v>3422</v>
      </c>
      <c r="L406" s="24"/>
      <c r="M406" s="24"/>
      <c r="N406" s="20" t="s">
        <v>30</v>
      </c>
    </row>
    <row r="407" ht="18" spans="1:14">
      <c r="A407" s="14">
        <f t="shared" si="12"/>
        <v>406</v>
      </c>
      <c r="B407" s="18" t="s">
        <v>1274</v>
      </c>
      <c r="C407" s="120" t="s">
        <v>282</v>
      </c>
      <c r="D407" s="20" t="s">
        <v>43</v>
      </c>
      <c r="E407" s="18" t="s">
        <v>62</v>
      </c>
      <c r="F407" s="18" t="s">
        <v>124</v>
      </c>
      <c r="G407" s="5">
        <v>46156</v>
      </c>
      <c r="H407" s="5">
        <v>46168</v>
      </c>
      <c r="I407" s="21">
        <f t="shared" si="13"/>
        <v>12</v>
      </c>
      <c r="J407" s="22" t="s">
        <v>3414</v>
      </c>
      <c r="K407" s="11" t="s">
        <v>3422</v>
      </c>
      <c r="L407" s="24"/>
      <c r="M407" s="24"/>
      <c r="N407" s="20" t="s">
        <v>30</v>
      </c>
    </row>
    <row r="408" ht="18" spans="1:14">
      <c r="A408" s="10">
        <f t="shared" si="12"/>
        <v>407</v>
      </c>
      <c r="B408" s="18" t="s">
        <v>3874</v>
      </c>
      <c r="C408" s="120" t="s">
        <v>284</v>
      </c>
      <c r="D408" s="20" t="s">
        <v>43</v>
      </c>
      <c r="E408" s="18" t="s">
        <v>63</v>
      </c>
      <c r="F408" s="18" t="s">
        <v>2179</v>
      </c>
      <c r="G408" s="5">
        <v>46165</v>
      </c>
      <c r="H408" s="5">
        <v>46169</v>
      </c>
      <c r="I408" s="21">
        <f t="shared" si="13"/>
        <v>4</v>
      </c>
      <c r="J408" s="22" t="s">
        <v>3414</v>
      </c>
      <c r="K408" s="11" t="s">
        <v>3422</v>
      </c>
      <c r="L408" s="24"/>
      <c r="M408" s="24"/>
      <c r="N408" s="20" t="s">
        <v>30</v>
      </c>
    </row>
    <row r="409" ht="18" spans="1:14">
      <c r="A409" s="14">
        <f t="shared" si="12"/>
        <v>408</v>
      </c>
      <c r="B409" s="18" t="s">
        <v>3875</v>
      </c>
      <c r="C409" s="120" t="s">
        <v>286</v>
      </c>
      <c r="D409" s="20" t="s">
        <v>43</v>
      </c>
      <c r="E409" s="18" t="s">
        <v>63</v>
      </c>
      <c r="F409" s="18" t="s">
        <v>3826</v>
      </c>
      <c r="G409" s="5">
        <v>46166</v>
      </c>
      <c r="H409" s="5">
        <v>46169</v>
      </c>
      <c r="I409" s="21">
        <f t="shared" si="13"/>
        <v>3</v>
      </c>
      <c r="J409" s="22" t="s">
        <v>3414</v>
      </c>
      <c r="K409" s="11" t="s">
        <v>3876</v>
      </c>
      <c r="L409" s="24"/>
      <c r="M409" s="24"/>
      <c r="N409" s="20" t="s">
        <v>30</v>
      </c>
    </row>
    <row r="410" ht="18" spans="1:14">
      <c r="A410" s="10">
        <f t="shared" si="12"/>
        <v>409</v>
      </c>
      <c r="B410" s="18" t="s">
        <v>3877</v>
      </c>
      <c r="C410" s="120" t="s">
        <v>126</v>
      </c>
      <c r="D410" s="20" t="s">
        <v>42</v>
      </c>
      <c r="E410" s="18" t="s">
        <v>62</v>
      </c>
      <c r="F410" s="18" t="s">
        <v>2164</v>
      </c>
      <c r="G410" s="5">
        <v>46162</v>
      </c>
      <c r="H410" s="5">
        <v>46169</v>
      </c>
      <c r="I410" s="21">
        <f t="shared" si="13"/>
        <v>7</v>
      </c>
      <c r="J410" s="22" t="s">
        <v>3414</v>
      </c>
      <c r="K410" s="11" t="s">
        <v>3878</v>
      </c>
      <c r="L410" s="24"/>
      <c r="M410" s="24"/>
      <c r="N410" s="20" t="s">
        <v>30</v>
      </c>
    </row>
    <row r="411" ht="18" spans="1:14">
      <c r="A411" s="14">
        <f t="shared" si="12"/>
        <v>410</v>
      </c>
      <c r="B411" s="18" t="s">
        <v>3879</v>
      </c>
      <c r="C411" s="120" t="s">
        <v>128</v>
      </c>
      <c r="D411" s="20" t="s">
        <v>42</v>
      </c>
      <c r="E411" s="18" t="s">
        <v>63</v>
      </c>
      <c r="F411" s="18" t="s">
        <v>148</v>
      </c>
      <c r="G411" s="5">
        <v>46164</v>
      </c>
      <c r="H411" s="5">
        <v>46170</v>
      </c>
      <c r="I411" s="21">
        <f t="shared" si="13"/>
        <v>6</v>
      </c>
      <c r="J411" s="22" t="s">
        <v>3414</v>
      </c>
      <c r="K411" s="11" t="s">
        <v>3422</v>
      </c>
      <c r="L411" s="24"/>
      <c r="M411" s="24"/>
      <c r="N411" s="20" t="s">
        <v>30</v>
      </c>
    </row>
    <row r="412" ht="36" spans="1:14">
      <c r="A412" s="10">
        <f t="shared" si="12"/>
        <v>411</v>
      </c>
      <c r="B412" s="18" t="s">
        <v>3880</v>
      </c>
      <c r="C412" s="120" t="s">
        <v>280</v>
      </c>
      <c r="D412" s="20" t="s">
        <v>43</v>
      </c>
      <c r="E412" s="18" t="s">
        <v>63</v>
      </c>
      <c r="F412" s="18" t="s">
        <v>3826</v>
      </c>
      <c r="G412" s="5">
        <v>46164</v>
      </c>
      <c r="H412" s="5">
        <v>46170</v>
      </c>
      <c r="I412" s="21">
        <f t="shared" si="13"/>
        <v>6</v>
      </c>
      <c r="J412" s="22" t="s">
        <v>3414</v>
      </c>
      <c r="K412" s="11" t="s">
        <v>3881</v>
      </c>
      <c r="L412" s="24"/>
      <c r="M412" s="24"/>
      <c r="N412" s="20" t="s">
        <v>30</v>
      </c>
    </row>
    <row r="413" ht="36" spans="1:14">
      <c r="A413" s="14">
        <f t="shared" si="12"/>
        <v>412</v>
      </c>
      <c r="B413" s="18" t="s">
        <v>3882</v>
      </c>
      <c r="C413" s="120" t="s">
        <v>282</v>
      </c>
      <c r="D413" s="20" t="s">
        <v>43</v>
      </c>
      <c r="E413" s="18" t="s">
        <v>63</v>
      </c>
      <c r="F413" s="18" t="s">
        <v>3826</v>
      </c>
      <c r="G413" s="5">
        <v>46165</v>
      </c>
      <c r="H413" s="5">
        <v>46170</v>
      </c>
      <c r="I413" s="21">
        <f t="shared" si="13"/>
        <v>5</v>
      </c>
      <c r="J413" s="22" t="s">
        <v>3414</v>
      </c>
      <c r="K413" s="11" t="s">
        <v>3883</v>
      </c>
      <c r="L413" s="24"/>
      <c r="M413" s="24"/>
      <c r="N413" s="20" t="s">
        <v>30</v>
      </c>
    </row>
    <row r="414" ht="71" spans="1:14">
      <c r="A414" s="10">
        <f t="shared" si="12"/>
        <v>413</v>
      </c>
      <c r="B414" s="18" t="s">
        <v>3884</v>
      </c>
      <c r="C414" s="120" t="s">
        <v>284</v>
      </c>
      <c r="D414" s="20" t="s">
        <v>42</v>
      </c>
      <c r="E414" s="18" t="s">
        <v>62</v>
      </c>
      <c r="F414" s="18" t="s">
        <v>3831</v>
      </c>
      <c r="G414" s="5">
        <v>46162</v>
      </c>
      <c r="H414" s="5">
        <v>46170</v>
      </c>
      <c r="I414" s="21">
        <f t="shared" si="13"/>
        <v>8</v>
      </c>
      <c r="J414" s="22" t="s">
        <v>3414</v>
      </c>
      <c r="K414" s="11" t="s">
        <v>3885</v>
      </c>
      <c r="L414" s="24"/>
      <c r="M414" s="24"/>
      <c r="N414" s="20" t="s">
        <v>30</v>
      </c>
    </row>
    <row r="415" ht="36" spans="1:14">
      <c r="A415" s="14">
        <f t="shared" si="12"/>
        <v>414</v>
      </c>
      <c r="B415" s="18" t="s">
        <v>3886</v>
      </c>
      <c r="C415" s="120" t="s">
        <v>286</v>
      </c>
      <c r="D415" s="20" t="s">
        <v>43</v>
      </c>
      <c r="E415" s="18" t="s">
        <v>64</v>
      </c>
      <c r="F415" s="18" t="s">
        <v>3826</v>
      </c>
      <c r="G415" s="5">
        <v>46164</v>
      </c>
      <c r="H415" s="5">
        <v>46171</v>
      </c>
      <c r="I415" s="21">
        <f t="shared" si="13"/>
        <v>7</v>
      </c>
      <c r="J415" s="22" t="s">
        <v>3414</v>
      </c>
      <c r="K415" s="11" t="s">
        <v>3851</v>
      </c>
      <c r="L415" s="24"/>
      <c r="M415" s="24"/>
      <c r="N415" s="20" t="s">
        <v>30</v>
      </c>
    </row>
    <row r="416" ht="18" spans="1:14">
      <c r="A416" s="10">
        <f t="shared" si="12"/>
        <v>415</v>
      </c>
      <c r="B416" s="18" t="s">
        <v>3887</v>
      </c>
      <c r="C416" s="120" t="s">
        <v>126</v>
      </c>
      <c r="D416" s="20" t="s">
        <v>42</v>
      </c>
      <c r="E416" s="18" t="s">
        <v>63</v>
      </c>
      <c r="F416" s="18" t="s">
        <v>3826</v>
      </c>
      <c r="G416" s="5">
        <v>46169</v>
      </c>
      <c r="H416" s="5">
        <v>46171</v>
      </c>
      <c r="I416" s="21">
        <f t="shared" si="13"/>
        <v>2</v>
      </c>
      <c r="J416" s="22" t="s">
        <v>3414</v>
      </c>
      <c r="K416" s="11" t="s">
        <v>3888</v>
      </c>
      <c r="L416" s="24"/>
      <c r="M416" s="24"/>
      <c r="N416" s="20" t="s">
        <v>30</v>
      </c>
    </row>
    <row r="417" ht="18" spans="1:14">
      <c r="A417" s="14">
        <f t="shared" si="12"/>
        <v>416</v>
      </c>
      <c r="B417" s="18" t="s">
        <v>3889</v>
      </c>
      <c r="C417" s="120" t="s">
        <v>128</v>
      </c>
      <c r="D417" s="20" t="s">
        <v>43</v>
      </c>
      <c r="E417" s="18" t="s">
        <v>63</v>
      </c>
      <c r="F417" s="18" t="s">
        <v>179</v>
      </c>
      <c r="G417" s="5">
        <v>46169</v>
      </c>
      <c r="H417" s="5">
        <v>46171</v>
      </c>
      <c r="I417" s="21">
        <f t="shared" si="13"/>
        <v>2</v>
      </c>
      <c r="J417" s="22" t="s">
        <v>3414</v>
      </c>
      <c r="K417" s="11" t="s">
        <v>3422</v>
      </c>
      <c r="L417" s="24"/>
      <c r="M417" s="24"/>
      <c r="N417" s="20" t="s">
        <v>30</v>
      </c>
    </row>
    <row r="418" ht="36" spans="1:14">
      <c r="A418" s="10">
        <f t="shared" si="12"/>
        <v>417</v>
      </c>
      <c r="B418" s="18" t="s">
        <v>3890</v>
      </c>
      <c r="C418" s="120" t="s">
        <v>280</v>
      </c>
      <c r="D418" s="20" t="s">
        <v>43</v>
      </c>
      <c r="E418" s="18" t="s">
        <v>64</v>
      </c>
      <c r="F418" s="18" t="s">
        <v>3826</v>
      </c>
      <c r="G418" s="5">
        <v>46166</v>
      </c>
      <c r="H418" s="5">
        <v>46171</v>
      </c>
      <c r="I418" s="21">
        <f t="shared" si="13"/>
        <v>5</v>
      </c>
      <c r="J418" s="22" t="s">
        <v>3414</v>
      </c>
      <c r="K418" s="11" t="s">
        <v>3851</v>
      </c>
      <c r="L418" s="24"/>
      <c r="M418" s="24"/>
      <c r="N418" s="20" t="s">
        <v>30</v>
      </c>
    </row>
    <row r="419" ht="18" spans="1:14">
      <c r="A419" s="14">
        <f t="shared" si="12"/>
        <v>418</v>
      </c>
      <c r="B419" s="18" t="s">
        <v>2861</v>
      </c>
      <c r="C419" s="120" t="s">
        <v>282</v>
      </c>
      <c r="D419" s="20" t="s">
        <v>43</v>
      </c>
      <c r="E419" s="18" t="s">
        <v>64</v>
      </c>
      <c r="F419" s="18" t="s">
        <v>3826</v>
      </c>
      <c r="G419" s="5">
        <v>46160</v>
      </c>
      <c r="H419" s="5">
        <v>46174</v>
      </c>
      <c r="I419" s="21">
        <f t="shared" si="13"/>
        <v>14</v>
      </c>
      <c r="J419" s="22" t="s">
        <v>3414</v>
      </c>
      <c r="K419" s="11" t="s">
        <v>3867</v>
      </c>
      <c r="L419" s="24"/>
      <c r="M419" s="24"/>
      <c r="N419" s="20" t="s">
        <v>30</v>
      </c>
    </row>
    <row r="420" ht="36" spans="1:14">
      <c r="A420" s="10">
        <f t="shared" si="12"/>
        <v>419</v>
      </c>
      <c r="B420" s="18" t="s">
        <v>3891</v>
      </c>
      <c r="C420" s="120" t="s">
        <v>284</v>
      </c>
      <c r="D420" s="20" t="s">
        <v>42</v>
      </c>
      <c r="E420" s="18" t="s">
        <v>63</v>
      </c>
      <c r="F420" s="18" t="s">
        <v>2164</v>
      </c>
      <c r="G420" s="5">
        <v>46171</v>
      </c>
      <c r="H420" s="5">
        <v>46174</v>
      </c>
      <c r="I420" s="21">
        <f t="shared" si="13"/>
        <v>3</v>
      </c>
      <c r="J420" s="22" t="s">
        <v>3414</v>
      </c>
      <c r="K420" s="11" t="s">
        <v>3892</v>
      </c>
      <c r="L420" s="24"/>
      <c r="M420" s="24"/>
      <c r="N420" s="20" t="s">
        <v>30</v>
      </c>
    </row>
    <row r="421" ht="18" spans="1:14">
      <c r="A421" s="14">
        <f t="shared" si="12"/>
        <v>420</v>
      </c>
      <c r="B421" s="18" t="s">
        <v>3893</v>
      </c>
      <c r="C421" s="120" t="s">
        <v>286</v>
      </c>
      <c r="D421" s="20" t="s">
        <v>43</v>
      </c>
      <c r="E421" s="18" t="s">
        <v>63</v>
      </c>
      <c r="F421" s="18" t="s">
        <v>2164</v>
      </c>
      <c r="G421" s="5">
        <v>46173</v>
      </c>
      <c r="H421" s="5">
        <v>46174</v>
      </c>
      <c r="I421" s="21">
        <f t="shared" si="13"/>
        <v>1</v>
      </c>
      <c r="J421" s="22" t="s">
        <v>3414</v>
      </c>
      <c r="K421" s="11" t="s">
        <v>3422</v>
      </c>
      <c r="L421" s="24"/>
      <c r="M421" s="24"/>
      <c r="N421" s="20" t="s">
        <v>30</v>
      </c>
    </row>
    <row r="422" ht="18" spans="1:14">
      <c r="A422" s="10">
        <f t="shared" si="12"/>
        <v>421</v>
      </c>
      <c r="B422" s="18" t="s">
        <v>3894</v>
      </c>
      <c r="C422" s="120" t="s">
        <v>126</v>
      </c>
      <c r="D422" s="20" t="s">
        <v>43</v>
      </c>
      <c r="E422" s="18" t="s">
        <v>62</v>
      </c>
      <c r="F422" s="18" t="s">
        <v>124</v>
      </c>
      <c r="G422" s="5">
        <v>46148</v>
      </c>
      <c r="H422" s="5">
        <v>46174</v>
      </c>
      <c r="I422" s="21">
        <f t="shared" si="13"/>
        <v>26</v>
      </c>
      <c r="J422" s="22" t="s">
        <v>3414</v>
      </c>
      <c r="K422" s="11" t="s">
        <v>3422</v>
      </c>
      <c r="L422" s="24"/>
      <c r="M422" s="24"/>
      <c r="N422" s="20" t="s">
        <v>30</v>
      </c>
    </row>
    <row r="423" ht="18" spans="1:14">
      <c r="A423" s="14">
        <f t="shared" si="12"/>
        <v>422</v>
      </c>
      <c r="B423" s="18" t="s">
        <v>3895</v>
      </c>
      <c r="C423" s="120" t="s">
        <v>128</v>
      </c>
      <c r="D423" s="20" t="s">
        <v>43</v>
      </c>
      <c r="E423" s="18" t="s">
        <v>63</v>
      </c>
      <c r="F423" s="18" t="s">
        <v>3826</v>
      </c>
      <c r="G423" s="5">
        <v>46164</v>
      </c>
      <c r="H423" s="5">
        <v>46174</v>
      </c>
      <c r="I423" s="21">
        <f t="shared" si="13"/>
        <v>10</v>
      </c>
      <c r="J423" s="22" t="s">
        <v>3427</v>
      </c>
      <c r="K423" s="11" t="s">
        <v>3896</v>
      </c>
      <c r="L423" s="24"/>
      <c r="M423" s="24"/>
      <c r="N423" s="20" t="s">
        <v>30</v>
      </c>
    </row>
    <row r="424" ht="18" spans="1:14">
      <c r="A424" s="10">
        <f t="shared" si="12"/>
        <v>423</v>
      </c>
      <c r="B424" s="18" t="s">
        <v>3897</v>
      </c>
      <c r="C424" s="120" t="s">
        <v>280</v>
      </c>
      <c r="D424" s="20" t="s">
        <v>43</v>
      </c>
      <c r="E424" s="18" t="s">
        <v>63</v>
      </c>
      <c r="F424" s="18" t="s">
        <v>3826</v>
      </c>
      <c r="G424" s="5">
        <v>46164</v>
      </c>
      <c r="H424" s="5">
        <v>46174</v>
      </c>
      <c r="I424" s="21">
        <f t="shared" si="13"/>
        <v>10</v>
      </c>
      <c r="J424" s="22" t="s">
        <v>3427</v>
      </c>
      <c r="K424" s="11" t="s">
        <v>3896</v>
      </c>
      <c r="L424" s="24"/>
      <c r="M424" s="24"/>
      <c r="N424" s="20" t="s">
        <v>30</v>
      </c>
    </row>
    <row r="425" ht="18" spans="1:14">
      <c r="A425" s="14">
        <f t="shared" si="12"/>
        <v>424</v>
      </c>
      <c r="B425" s="18" t="s">
        <v>3898</v>
      </c>
      <c r="C425" s="120" t="s">
        <v>282</v>
      </c>
      <c r="D425" s="20" t="s">
        <v>43</v>
      </c>
      <c r="E425" s="18" t="s">
        <v>64</v>
      </c>
      <c r="F425" s="18" t="s">
        <v>2164</v>
      </c>
      <c r="G425" s="5">
        <v>46170</v>
      </c>
      <c r="H425" s="5">
        <v>46174</v>
      </c>
      <c r="I425" s="21">
        <f t="shared" si="13"/>
        <v>4</v>
      </c>
      <c r="J425" s="22" t="s">
        <v>3414</v>
      </c>
      <c r="K425" s="11" t="s">
        <v>3422</v>
      </c>
      <c r="L425" s="24"/>
      <c r="M425" s="24"/>
      <c r="N425" s="20" t="s">
        <v>30</v>
      </c>
    </row>
    <row r="426" ht="18" spans="1:14">
      <c r="A426" s="10">
        <f t="shared" si="12"/>
        <v>425</v>
      </c>
      <c r="B426" s="18" t="s">
        <v>3899</v>
      </c>
      <c r="C426" s="120" t="s">
        <v>284</v>
      </c>
      <c r="D426" s="20" t="s">
        <v>43</v>
      </c>
      <c r="E426" s="18" t="s">
        <v>63</v>
      </c>
      <c r="F426" s="18" t="s">
        <v>3826</v>
      </c>
      <c r="G426" s="5">
        <v>46164</v>
      </c>
      <c r="H426" s="5">
        <v>46174</v>
      </c>
      <c r="I426" s="21">
        <f t="shared" si="13"/>
        <v>10</v>
      </c>
      <c r="J426" s="22" t="s">
        <v>3414</v>
      </c>
      <c r="K426" s="11" t="s">
        <v>3422</v>
      </c>
      <c r="L426" s="24"/>
      <c r="M426" s="24"/>
      <c r="N426" s="20" t="s">
        <v>30</v>
      </c>
    </row>
    <row r="427" ht="18" spans="1:14">
      <c r="A427" s="14">
        <f t="shared" si="12"/>
        <v>426</v>
      </c>
      <c r="B427" s="18" t="s">
        <v>3900</v>
      </c>
      <c r="C427" s="120" t="s">
        <v>286</v>
      </c>
      <c r="D427" s="20" t="s">
        <v>43</v>
      </c>
      <c r="E427" s="18" t="s">
        <v>62</v>
      </c>
      <c r="F427" s="18" t="s">
        <v>124</v>
      </c>
      <c r="G427" s="5">
        <v>46148</v>
      </c>
      <c r="H427" s="5">
        <v>46174</v>
      </c>
      <c r="I427" s="21">
        <f t="shared" si="13"/>
        <v>26</v>
      </c>
      <c r="J427" s="22" t="s">
        <v>3414</v>
      </c>
      <c r="K427" s="11" t="s">
        <v>3422</v>
      </c>
      <c r="L427" s="24"/>
      <c r="M427" s="24"/>
      <c r="N427" s="20" t="s">
        <v>30</v>
      </c>
    </row>
    <row r="428" ht="18" spans="1:14">
      <c r="A428" s="10">
        <f t="shared" si="12"/>
        <v>427</v>
      </c>
      <c r="B428" s="18" t="s">
        <v>3901</v>
      </c>
      <c r="C428" s="120" t="s">
        <v>126</v>
      </c>
      <c r="D428" s="20" t="s">
        <v>43</v>
      </c>
      <c r="E428" s="18" t="s">
        <v>63</v>
      </c>
      <c r="F428" s="18" t="s">
        <v>3826</v>
      </c>
      <c r="G428" s="5">
        <v>46164</v>
      </c>
      <c r="H428" s="5">
        <v>46175</v>
      </c>
      <c r="I428" s="21">
        <f t="shared" si="13"/>
        <v>11</v>
      </c>
      <c r="J428" s="22" t="s">
        <v>3414</v>
      </c>
      <c r="K428" s="11" t="s">
        <v>3466</v>
      </c>
      <c r="L428" s="24"/>
      <c r="M428" s="24"/>
      <c r="N428" s="20" t="s">
        <v>30</v>
      </c>
    </row>
    <row r="429" ht="18" spans="1:14">
      <c r="A429" s="14">
        <f t="shared" si="12"/>
        <v>428</v>
      </c>
      <c r="B429" s="18" t="s">
        <v>3902</v>
      </c>
      <c r="C429" s="120" t="s">
        <v>128</v>
      </c>
      <c r="D429" s="20" t="s">
        <v>42</v>
      </c>
      <c r="E429" s="18" t="s">
        <v>62</v>
      </c>
      <c r="F429" s="18" t="s">
        <v>2164</v>
      </c>
      <c r="G429" s="5">
        <v>46154</v>
      </c>
      <c r="H429" s="5">
        <v>46175</v>
      </c>
      <c r="I429" s="21">
        <f t="shared" si="13"/>
        <v>21</v>
      </c>
      <c r="J429" s="22" t="s">
        <v>3414</v>
      </c>
      <c r="K429" s="11" t="s">
        <v>3903</v>
      </c>
      <c r="L429" s="24"/>
      <c r="M429" s="24"/>
      <c r="N429" s="20" t="s">
        <v>30</v>
      </c>
    </row>
    <row r="430" ht="36" spans="1:14">
      <c r="A430" s="10">
        <f t="shared" si="12"/>
        <v>429</v>
      </c>
      <c r="B430" s="18" t="s">
        <v>1935</v>
      </c>
      <c r="C430" s="120" t="s">
        <v>280</v>
      </c>
      <c r="D430" s="20" t="s">
        <v>43</v>
      </c>
      <c r="E430" s="18" t="s">
        <v>62</v>
      </c>
      <c r="F430" s="18" t="s">
        <v>3826</v>
      </c>
      <c r="G430" s="5">
        <v>46166</v>
      </c>
      <c r="H430" s="5">
        <v>46175</v>
      </c>
      <c r="I430" s="21">
        <f t="shared" si="13"/>
        <v>9</v>
      </c>
      <c r="J430" s="22" t="s">
        <v>3414</v>
      </c>
      <c r="K430" s="11" t="s">
        <v>3904</v>
      </c>
      <c r="L430" s="24"/>
      <c r="M430" s="24"/>
      <c r="N430" s="20" t="s">
        <v>30</v>
      </c>
    </row>
    <row r="431" ht="18" spans="1:14">
      <c r="A431" s="14">
        <f t="shared" si="12"/>
        <v>430</v>
      </c>
      <c r="B431" s="18" t="s">
        <v>3905</v>
      </c>
      <c r="C431" s="120" t="s">
        <v>282</v>
      </c>
      <c r="D431" s="20" t="s">
        <v>43</v>
      </c>
      <c r="E431" s="18" t="s">
        <v>62</v>
      </c>
      <c r="F431" s="18" t="s">
        <v>148</v>
      </c>
      <c r="G431" s="5">
        <v>46174</v>
      </c>
      <c r="H431" s="5">
        <v>46177</v>
      </c>
      <c r="I431" s="21">
        <f t="shared" si="13"/>
        <v>3</v>
      </c>
      <c r="J431" s="22" t="s">
        <v>3414</v>
      </c>
      <c r="K431" s="11" t="s">
        <v>3422</v>
      </c>
      <c r="L431" s="24"/>
      <c r="M431" s="24"/>
      <c r="N431" s="20" t="s">
        <v>30</v>
      </c>
    </row>
    <row r="432" ht="18" spans="1:14">
      <c r="A432" s="10">
        <f t="shared" si="12"/>
        <v>431</v>
      </c>
      <c r="B432" s="18" t="s">
        <v>3906</v>
      </c>
      <c r="C432" s="120" t="s">
        <v>284</v>
      </c>
      <c r="D432" s="20" t="s">
        <v>42</v>
      </c>
      <c r="E432" s="18" t="s">
        <v>62</v>
      </c>
      <c r="F432" s="18" t="s">
        <v>124</v>
      </c>
      <c r="G432" s="5">
        <v>46149</v>
      </c>
      <c r="H432" s="5">
        <v>46177</v>
      </c>
      <c r="I432" s="21">
        <f t="shared" si="13"/>
        <v>28</v>
      </c>
      <c r="J432" s="22" t="s">
        <v>3414</v>
      </c>
      <c r="K432" s="11" t="s">
        <v>3422</v>
      </c>
      <c r="L432" s="24"/>
      <c r="M432" s="24"/>
      <c r="N432" s="20" t="s">
        <v>30</v>
      </c>
    </row>
    <row r="433" ht="18" spans="1:14">
      <c r="A433" s="14">
        <f t="shared" si="12"/>
        <v>432</v>
      </c>
      <c r="B433" s="18" t="s">
        <v>3907</v>
      </c>
      <c r="C433" s="120" t="s">
        <v>286</v>
      </c>
      <c r="D433" s="20" t="s">
        <v>43</v>
      </c>
      <c r="E433" s="18" t="s">
        <v>64</v>
      </c>
      <c r="F433" s="18" t="s">
        <v>2250</v>
      </c>
      <c r="G433" s="5">
        <v>46174</v>
      </c>
      <c r="H433" s="5">
        <v>46177</v>
      </c>
      <c r="I433" s="21">
        <f t="shared" si="13"/>
        <v>3</v>
      </c>
      <c r="J433" s="22" t="s">
        <v>3414</v>
      </c>
      <c r="K433" s="11" t="s">
        <v>3422</v>
      </c>
      <c r="L433" s="24"/>
      <c r="M433" s="24"/>
      <c r="N433" s="20" t="s">
        <v>30</v>
      </c>
    </row>
    <row r="434" ht="18" spans="1:14">
      <c r="A434" s="10">
        <f t="shared" si="12"/>
        <v>433</v>
      </c>
      <c r="B434" s="18" t="s">
        <v>3908</v>
      </c>
      <c r="C434" s="120" t="s">
        <v>126</v>
      </c>
      <c r="D434" s="20" t="s">
        <v>43</v>
      </c>
      <c r="E434" s="18" t="s">
        <v>64</v>
      </c>
      <c r="F434" s="18" t="s">
        <v>124</v>
      </c>
      <c r="G434" s="5">
        <v>46174</v>
      </c>
      <c r="H434" s="5">
        <v>46177</v>
      </c>
      <c r="I434" s="21">
        <f t="shared" si="13"/>
        <v>3</v>
      </c>
      <c r="J434" s="22" t="s">
        <v>3414</v>
      </c>
      <c r="K434" s="11" t="s">
        <v>3422</v>
      </c>
      <c r="L434" s="24"/>
      <c r="M434" s="24"/>
      <c r="N434" s="20" t="s">
        <v>30</v>
      </c>
    </row>
    <row r="435" ht="36" spans="1:14">
      <c r="A435" s="14">
        <f t="shared" si="12"/>
        <v>434</v>
      </c>
      <c r="B435" s="18" t="s">
        <v>3190</v>
      </c>
      <c r="C435" s="120" t="s">
        <v>128</v>
      </c>
      <c r="D435" s="20" t="s">
        <v>43</v>
      </c>
      <c r="E435" s="18" t="s">
        <v>63</v>
      </c>
      <c r="F435" s="18" t="s">
        <v>2250</v>
      </c>
      <c r="G435" s="5">
        <v>46174</v>
      </c>
      <c r="H435" s="5">
        <v>46177</v>
      </c>
      <c r="I435" s="21">
        <f t="shared" si="13"/>
        <v>3</v>
      </c>
      <c r="J435" s="22" t="s">
        <v>3414</v>
      </c>
      <c r="K435" s="11" t="s">
        <v>3909</v>
      </c>
      <c r="L435" s="24"/>
      <c r="M435" s="24"/>
      <c r="N435" s="20" t="s">
        <v>30</v>
      </c>
    </row>
    <row r="436" ht="18" spans="1:14">
      <c r="A436" s="10">
        <f t="shared" si="12"/>
        <v>435</v>
      </c>
      <c r="B436" s="18" t="s">
        <v>3910</v>
      </c>
      <c r="C436" s="120" t="s">
        <v>280</v>
      </c>
      <c r="D436" s="20" t="s">
        <v>43</v>
      </c>
      <c r="E436" s="18" t="s">
        <v>64</v>
      </c>
      <c r="F436" s="18" t="s">
        <v>124</v>
      </c>
      <c r="G436" s="5">
        <v>46174</v>
      </c>
      <c r="H436" s="5">
        <v>46177</v>
      </c>
      <c r="I436" s="21">
        <f t="shared" si="13"/>
        <v>3</v>
      </c>
      <c r="J436" s="22" t="s">
        <v>3414</v>
      </c>
      <c r="K436" s="11" t="s">
        <v>3422</v>
      </c>
      <c r="L436" s="24"/>
      <c r="M436" s="24"/>
      <c r="N436" s="20" t="s">
        <v>30</v>
      </c>
    </row>
    <row r="437" ht="18" spans="1:14">
      <c r="A437" s="14">
        <f t="shared" si="12"/>
        <v>436</v>
      </c>
      <c r="B437" s="18" t="s">
        <v>3911</v>
      </c>
      <c r="C437" s="120" t="s">
        <v>282</v>
      </c>
      <c r="D437" s="20" t="s">
        <v>43</v>
      </c>
      <c r="E437" s="18" t="s">
        <v>64</v>
      </c>
      <c r="F437" s="18" t="s">
        <v>3912</v>
      </c>
      <c r="G437" s="5">
        <v>46170</v>
      </c>
      <c r="H437" s="5">
        <v>46177</v>
      </c>
      <c r="I437" s="21">
        <f t="shared" si="13"/>
        <v>7</v>
      </c>
      <c r="J437" s="22" t="s">
        <v>3414</v>
      </c>
      <c r="K437" s="11" t="s">
        <v>3422</v>
      </c>
      <c r="L437" s="24"/>
      <c r="M437" s="24"/>
      <c r="N437" s="20" t="s">
        <v>30</v>
      </c>
    </row>
    <row r="438" ht="159" spans="1:14">
      <c r="A438" s="10">
        <f t="shared" si="12"/>
        <v>437</v>
      </c>
      <c r="B438" s="18" t="s">
        <v>3913</v>
      </c>
      <c r="C438" s="120" t="s">
        <v>284</v>
      </c>
      <c r="D438" s="20" t="s">
        <v>43</v>
      </c>
      <c r="E438" s="18" t="s">
        <v>62</v>
      </c>
      <c r="F438" s="18" t="s">
        <v>3826</v>
      </c>
      <c r="G438" s="5">
        <v>46169</v>
      </c>
      <c r="H438" s="5">
        <v>46184</v>
      </c>
      <c r="I438" s="21">
        <f t="shared" si="13"/>
        <v>15</v>
      </c>
      <c r="J438" s="22" t="s">
        <v>3414</v>
      </c>
      <c r="K438" s="11" t="s">
        <v>3914</v>
      </c>
      <c r="L438" s="24"/>
      <c r="M438" s="24"/>
      <c r="N438" s="20" t="s">
        <v>30</v>
      </c>
    </row>
    <row r="439" ht="36" spans="1:14">
      <c r="A439" s="14">
        <f t="shared" si="12"/>
        <v>438</v>
      </c>
      <c r="B439" s="18" t="s">
        <v>2474</v>
      </c>
      <c r="C439" s="120" t="s">
        <v>286</v>
      </c>
      <c r="D439" s="20" t="s">
        <v>43</v>
      </c>
      <c r="E439" s="18" t="s">
        <v>64</v>
      </c>
      <c r="F439" s="18" t="s">
        <v>148</v>
      </c>
      <c r="G439" s="5">
        <v>46179</v>
      </c>
      <c r="H439" s="5">
        <v>46184</v>
      </c>
      <c r="I439" s="21">
        <f t="shared" si="13"/>
        <v>5</v>
      </c>
      <c r="J439" s="22" t="s">
        <v>3414</v>
      </c>
      <c r="K439" s="11" t="s">
        <v>3915</v>
      </c>
      <c r="L439" s="24"/>
      <c r="M439" s="24"/>
      <c r="N439" s="20" t="s">
        <v>30</v>
      </c>
    </row>
    <row r="440" ht="53" spans="1:14">
      <c r="A440" s="10">
        <f t="shared" si="12"/>
        <v>439</v>
      </c>
      <c r="B440" s="18" t="s">
        <v>2247</v>
      </c>
      <c r="C440" s="120" t="s">
        <v>126</v>
      </c>
      <c r="D440" s="20" t="s">
        <v>42</v>
      </c>
      <c r="E440" s="18" t="s">
        <v>63</v>
      </c>
      <c r="F440" s="18" t="s">
        <v>3912</v>
      </c>
      <c r="G440" s="5">
        <v>46177</v>
      </c>
      <c r="H440" s="5">
        <v>46184</v>
      </c>
      <c r="I440" s="21">
        <f t="shared" si="13"/>
        <v>7</v>
      </c>
      <c r="J440" s="22" t="s">
        <v>3422</v>
      </c>
      <c r="K440" s="11" t="s">
        <v>3916</v>
      </c>
      <c r="L440" s="24"/>
      <c r="M440" s="24"/>
      <c r="N440" s="20" t="s">
        <v>30</v>
      </c>
    </row>
    <row r="441" ht="18" spans="1:14">
      <c r="A441" s="14">
        <f t="shared" si="12"/>
        <v>440</v>
      </c>
      <c r="B441" s="18" t="s">
        <v>3917</v>
      </c>
      <c r="C441" s="120" t="s">
        <v>128</v>
      </c>
      <c r="D441" s="20" t="s">
        <v>43</v>
      </c>
      <c r="E441" s="18" t="s">
        <v>63</v>
      </c>
      <c r="F441" s="18" t="s">
        <v>3826</v>
      </c>
      <c r="G441" s="5">
        <v>46165</v>
      </c>
      <c r="H441" s="5">
        <v>46184</v>
      </c>
      <c r="I441" s="21">
        <f t="shared" si="13"/>
        <v>19</v>
      </c>
      <c r="J441" s="22" t="s">
        <v>3414</v>
      </c>
      <c r="K441" s="11" t="s">
        <v>3422</v>
      </c>
      <c r="L441" s="24"/>
      <c r="M441" s="24"/>
      <c r="N441" s="20" t="s">
        <v>30</v>
      </c>
    </row>
    <row r="442" ht="18" spans="1:14">
      <c r="A442" s="10">
        <f t="shared" si="12"/>
        <v>441</v>
      </c>
      <c r="B442" s="18" t="s">
        <v>3918</v>
      </c>
      <c r="C442" s="120" t="s">
        <v>280</v>
      </c>
      <c r="D442" s="20" t="s">
        <v>42</v>
      </c>
      <c r="E442" s="18" t="s">
        <v>63</v>
      </c>
      <c r="F442" s="18" t="s">
        <v>2181</v>
      </c>
      <c r="G442" s="5">
        <v>46167</v>
      </c>
      <c r="H442" s="5">
        <v>46184</v>
      </c>
      <c r="I442" s="21">
        <f t="shared" si="13"/>
        <v>17</v>
      </c>
      <c r="J442" s="22" t="s">
        <v>3414</v>
      </c>
      <c r="K442" s="11" t="s">
        <v>3422</v>
      </c>
      <c r="L442" s="24"/>
      <c r="M442" s="24"/>
      <c r="N442" s="20" t="s">
        <v>30</v>
      </c>
    </row>
    <row r="443" ht="18" spans="1:14">
      <c r="A443" s="14">
        <f t="shared" si="12"/>
        <v>442</v>
      </c>
      <c r="B443" s="18" t="s">
        <v>3919</v>
      </c>
      <c r="C443" s="120" t="s">
        <v>282</v>
      </c>
      <c r="D443" s="20" t="s">
        <v>42</v>
      </c>
      <c r="E443" s="18" t="s">
        <v>63</v>
      </c>
      <c r="F443" s="18" t="s">
        <v>2181</v>
      </c>
      <c r="G443" s="5">
        <v>46167</v>
      </c>
      <c r="H443" s="5">
        <v>46184</v>
      </c>
      <c r="I443" s="21">
        <f t="shared" si="13"/>
        <v>17</v>
      </c>
      <c r="J443" s="22" t="s">
        <v>3414</v>
      </c>
      <c r="K443" s="11" t="s">
        <v>3422</v>
      </c>
      <c r="L443" s="24"/>
      <c r="M443" s="24"/>
      <c r="N443" s="20" t="s">
        <v>30</v>
      </c>
    </row>
    <row r="444" ht="18" spans="1:14">
      <c r="A444" s="10">
        <f t="shared" si="12"/>
        <v>443</v>
      </c>
      <c r="B444" s="18" t="s">
        <v>3920</v>
      </c>
      <c r="C444" s="120" t="s">
        <v>284</v>
      </c>
      <c r="D444" s="20" t="s">
        <v>43</v>
      </c>
      <c r="E444" s="18" t="s">
        <v>62</v>
      </c>
      <c r="F444" s="18" t="s">
        <v>124</v>
      </c>
      <c r="G444" s="5">
        <v>46148</v>
      </c>
      <c r="H444" s="5">
        <v>46184</v>
      </c>
      <c r="I444" s="21">
        <f t="shared" si="13"/>
        <v>36</v>
      </c>
      <c r="J444" s="22" t="s">
        <v>3414</v>
      </c>
      <c r="K444" s="11" t="s">
        <v>3422</v>
      </c>
      <c r="L444" s="24"/>
      <c r="M444" s="24"/>
      <c r="N444" s="20" t="s">
        <v>30</v>
      </c>
    </row>
    <row r="445" ht="18" spans="1:14">
      <c r="A445" s="14">
        <f t="shared" si="12"/>
        <v>444</v>
      </c>
      <c r="B445" s="18" t="s">
        <v>1668</v>
      </c>
      <c r="C445" s="120" t="s">
        <v>286</v>
      </c>
      <c r="D445" s="20" t="s">
        <v>43</v>
      </c>
      <c r="E445" s="18" t="s">
        <v>63</v>
      </c>
      <c r="F445" s="18" t="s">
        <v>124</v>
      </c>
      <c r="G445" s="5">
        <v>46174</v>
      </c>
      <c r="H445" s="5">
        <v>46184</v>
      </c>
      <c r="I445" s="21">
        <f t="shared" si="13"/>
        <v>10</v>
      </c>
      <c r="J445" s="22" t="s">
        <v>3414</v>
      </c>
      <c r="K445" s="11" t="s">
        <v>3422</v>
      </c>
      <c r="L445" s="24"/>
      <c r="M445" s="24"/>
      <c r="N445" s="20" t="s">
        <v>30</v>
      </c>
    </row>
    <row r="446" ht="18" spans="1:14">
      <c r="A446" s="10">
        <f t="shared" si="12"/>
        <v>445</v>
      </c>
      <c r="B446" s="18" t="s">
        <v>2224</v>
      </c>
      <c r="C446" s="120" t="s">
        <v>126</v>
      </c>
      <c r="D446" s="20" t="s">
        <v>43</v>
      </c>
      <c r="E446" s="18" t="s">
        <v>62</v>
      </c>
      <c r="F446" s="18" t="s">
        <v>124</v>
      </c>
      <c r="G446" s="5">
        <v>46174</v>
      </c>
      <c r="H446" s="5">
        <v>46184</v>
      </c>
      <c r="I446" s="21">
        <f t="shared" si="13"/>
        <v>10</v>
      </c>
      <c r="J446" s="22" t="s">
        <v>3414</v>
      </c>
      <c r="K446" s="11" t="s">
        <v>3422</v>
      </c>
      <c r="L446" s="24"/>
      <c r="M446" s="24"/>
      <c r="N446" s="20" t="s">
        <v>30</v>
      </c>
    </row>
    <row r="447" ht="18" spans="1:14">
      <c r="A447" s="14">
        <f t="shared" si="12"/>
        <v>446</v>
      </c>
      <c r="B447" s="18" t="s">
        <v>2176</v>
      </c>
      <c r="C447" s="120" t="s">
        <v>128</v>
      </c>
      <c r="D447" s="20" t="s">
        <v>42</v>
      </c>
      <c r="E447" s="18" t="s">
        <v>63</v>
      </c>
      <c r="F447" s="18" t="s">
        <v>124</v>
      </c>
      <c r="G447" s="5">
        <v>46174</v>
      </c>
      <c r="H447" s="5">
        <v>46184</v>
      </c>
      <c r="I447" s="21">
        <f t="shared" si="13"/>
        <v>10</v>
      </c>
      <c r="J447" s="22" t="s">
        <v>3414</v>
      </c>
      <c r="K447" s="11" t="s">
        <v>3422</v>
      </c>
      <c r="L447" s="24"/>
      <c r="M447" s="24"/>
      <c r="N447" s="20" t="s">
        <v>30</v>
      </c>
    </row>
    <row r="448" ht="18" spans="1:14">
      <c r="A448" s="10">
        <f t="shared" si="12"/>
        <v>447</v>
      </c>
      <c r="B448" s="18" t="s">
        <v>3921</v>
      </c>
      <c r="C448" s="120" t="s">
        <v>280</v>
      </c>
      <c r="D448" s="20" t="s">
        <v>43</v>
      </c>
      <c r="E448" s="18" t="s">
        <v>63</v>
      </c>
      <c r="F448" s="18" t="s">
        <v>124</v>
      </c>
      <c r="G448" s="5">
        <v>46174</v>
      </c>
      <c r="H448" s="5">
        <v>46184</v>
      </c>
      <c r="I448" s="21">
        <f t="shared" si="13"/>
        <v>10</v>
      </c>
      <c r="J448" s="22" t="s">
        <v>3414</v>
      </c>
      <c r="K448" s="11" t="s">
        <v>3422</v>
      </c>
      <c r="L448" s="24"/>
      <c r="M448" s="24"/>
      <c r="N448" s="20" t="s">
        <v>30</v>
      </c>
    </row>
    <row r="449" ht="18" spans="1:14">
      <c r="A449" s="14">
        <f t="shared" si="12"/>
        <v>448</v>
      </c>
      <c r="B449" s="18" t="s">
        <v>3922</v>
      </c>
      <c r="C449" s="120" t="s">
        <v>282</v>
      </c>
      <c r="D449" s="20" t="s">
        <v>43</v>
      </c>
      <c r="E449" s="18" t="s">
        <v>63</v>
      </c>
      <c r="F449" s="18" t="s">
        <v>124</v>
      </c>
      <c r="G449" s="5">
        <v>46176</v>
      </c>
      <c r="H449" s="5">
        <v>46184</v>
      </c>
      <c r="I449" s="21">
        <f t="shared" si="13"/>
        <v>8</v>
      </c>
      <c r="J449" s="22" t="s">
        <v>3414</v>
      </c>
      <c r="K449" s="11" t="s">
        <v>3422</v>
      </c>
      <c r="L449" s="24"/>
      <c r="M449" s="24"/>
      <c r="N449" s="20" t="s">
        <v>30</v>
      </c>
    </row>
    <row r="450" ht="36" spans="1:14">
      <c r="A450" s="10">
        <f t="shared" ref="A450:A513" si="14">IF(B450&lt;&gt;"",ROW()-1,"")</f>
        <v>449</v>
      </c>
      <c r="B450" s="18" t="s">
        <v>1274</v>
      </c>
      <c r="C450" s="120" t="s">
        <v>284</v>
      </c>
      <c r="D450" s="20" t="s">
        <v>43</v>
      </c>
      <c r="E450" s="18" t="s">
        <v>62</v>
      </c>
      <c r="F450" s="18" t="s">
        <v>124</v>
      </c>
      <c r="G450" s="5">
        <v>46182</v>
      </c>
      <c r="H450" s="5">
        <v>46184</v>
      </c>
      <c r="I450" s="21">
        <f t="shared" ref="I450:I513" si="15">IF(AND(G450&lt;&gt;"",H450&lt;&gt;""),H450-G450,"")</f>
        <v>2</v>
      </c>
      <c r="J450" s="22" t="s">
        <v>3414</v>
      </c>
      <c r="K450" s="11" t="s">
        <v>3923</v>
      </c>
      <c r="L450" s="24"/>
      <c r="M450" s="24"/>
      <c r="N450" s="20" t="s">
        <v>30</v>
      </c>
    </row>
    <row r="451" ht="36" spans="1:14">
      <c r="A451" s="14">
        <f t="shared" si="14"/>
        <v>450</v>
      </c>
      <c r="B451" s="18" t="s">
        <v>3924</v>
      </c>
      <c r="C451" s="120" t="s">
        <v>286</v>
      </c>
      <c r="D451" s="20" t="s">
        <v>42</v>
      </c>
      <c r="E451" s="18" t="s">
        <v>64</v>
      </c>
      <c r="F451" s="18" t="s">
        <v>124</v>
      </c>
      <c r="G451" s="5">
        <v>46180</v>
      </c>
      <c r="H451" s="5">
        <v>46184</v>
      </c>
      <c r="I451" s="21">
        <f t="shared" si="15"/>
        <v>4</v>
      </c>
      <c r="J451" s="22" t="s">
        <v>3422</v>
      </c>
      <c r="K451" s="11" t="s">
        <v>3925</v>
      </c>
      <c r="L451" s="24"/>
      <c r="M451" s="24"/>
      <c r="N451" s="20" t="s">
        <v>30</v>
      </c>
    </row>
    <row r="452" ht="53" spans="1:14">
      <c r="A452" s="10">
        <f t="shared" si="14"/>
        <v>451</v>
      </c>
      <c r="B452" s="18" t="s">
        <v>2484</v>
      </c>
      <c r="C452" s="120" t="s">
        <v>126</v>
      </c>
      <c r="D452" s="20" t="s">
        <v>43</v>
      </c>
      <c r="E452" s="18" t="s">
        <v>63</v>
      </c>
      <c r="F452" s="18" t="s">
        <v>2164</v>
      </c>
      <c r="G452" s="5">
        <v>46180</v>
      </c>
      <c r="H452" s="5">
        <v>46184</v>
      </c>
      <c r="I452" s="21">
        <f t="shared" si="15"/>
        <v>4</v>
      </c>
      <c r="J452" s="22" t="s">
        <v>3414</v>
      </c>
      <c r="K452" s="11" t="s">
        <v>3926</v>
      </c>
      <c r="L452" s="24"/>
      <c r="M452" s="24"/>
      <c r="N452" s="20" t="s">
        <v>30</v>
      </c>
    </row>
    <row r="453" ht="53" spans="1:14">
      <c r="A453" s="14">
        <f t="shared" si="14"/>
        <v>452</v>
      </c>
      <c r="B453" s="18" t="s">
        <v>2647</v>
      </c>
      <c r="C453" s="120" t="s">
        <v>128</v>
      </c>
      <c r="D453" s="20" t="s">
        <v>43</v>
      </c>
      <c r="E453" s="18" t="s">
        <v>63</v>
      </c>
      <c r="F453" s="18" t="s">
        <v>2164</v>
      </c>
      <c r="G453" s="5">
        <v>46181</v>
      </c>
      <c r="H453" s="5">
        <v>46184</v>
      </c>
      <c r="I453" s="21">
        <f t="shared" si="15"/>
        <v>3</v>
      </c>
      <c r="J453" s="22" t="s">
        <v>3414</v>
      </c>
      <c r="K453" s="11" t="s">
        <v>3927</v>
      </c>
      <c r="L453" s="24"/>
      <c r="M453" s="24"/>
      <c r="N453" s="20" t="s">
        <v>30</v>
      </c>
    </row>
    <row r="454" ht="18" spans="1:14">
      <c r="A454" s="10">
        <f t="shared" si="14"/>
        <v>453</v>
      </c>
      <c r="B454" s="18" t="s">
        <v>3928</v>
      </c>
      <c r="C454" s="120" t="s">
        <v>280</v>
      </c>
      <c r="D454" s="20" t="s">
        <v>43</v>
      </c>
      <c r="E454" s="18" t="s">
        <v>62</v>
      </c>
      <c r="F454" s="18" t="s">
        <v>2179</v>
      </c>
      <c r="G454" s="5">
        <v>46164</v>
      </c>
      <c r="H454" s="5">
        <v>46184</v>
      </c>
      <c r="I454" s="21">
        <f t="shared" si="15"/>
        <v>20</v>
      </c>
      <c r="J454" s="22" t="s">
        <v>3414</v>
      </c>
      <c r="K454" s="11" t="s">
        <v>3422</v>
      </c>
      <c r="L454" s="24"/>
      <c r="M454" s="24"/>
      <c r="N454" s="20" t="s">
        <v>30</v>
      </c>
    </row>
    <row r="455" ht="18" spans="1:14">
      <c r="A455" s="14">
        <f t="shared" si="14"/>
        <v>454</v>
      </c>
      <c r="B455" s="18" t="s">
        <v>3929</v>
      </c>
      <c r="C455" s="120" t="s">
        <v>282</v>
      </c>
      <c r="D455" s="20" t="s">
        <v>43</v>
      </c>
      <c r="E455" s="18" t="s">
        <v>63</v>
      </c>
      <c r="F455" s="18" t="s">
        <v>124</v>
      </c>
      <c r="G455" s="5">
        <v>46164</v>
      </c>
      <c r="H455" s="5">
        <v>46184</v>
      </c>
      <c r="I455" s="21">
        <f t="shared" si="15"/>
        <v>20</v>
      </c>
      <c r="J455" s="22" t="s">
        <v>3414</v>
      </c>
      <c r="K455" s="11" t="s">
        <v>3422</v>
      </c>
      <c r="L455" s="24"/>
      <c r="M455" s="24"/>
      <c r="N455" s="20" t="s">
        <v>30</v>
      </c>
    </row>
    <row r="456" ht="18" spans="1:14">
      <c r="A456" s="10">
        <f t="shared" si="14"/>
        <v>455</v>
      </c>
      <c r="B456" s="18" t="s">
        <v>3134</v>
      </c>
      <c r="C456" s="120" t="s">
        <v>284</v>
      </c>
      <c r="D456" s="20" t="s">
        <v>43</v>
      </c>
      <c r="E456" s="18" t="s">
        <v>63</v>
      </c>
      <c r="F456" s="18" t="s">
        <v>2164</v>
      </c>
      <c r="G456" s="5">
        <v>46174</v>
      </c>
      <c r="H456" s="5">
        <v>46184</v>
      </c>
      <c r="I456" s="21">
        <f t="shared" si="15"/>
        <v>10</v>
      </c>
      <c r="J456" s="22" t="s">
        <v>3422</v>
      </c>
      <c r="K456" s="11" t="s">
        <v>3422</v>
      </c>
      <c r="L456" s="24"/>
      <c r="M456" s="24"/>
      <c r="N456" s="20" t="s">
        <v>30</v>
      </c>
    </row>
    <row r="457" ht="18" spans="1:14">
      <c r="A457" s="14">
        <f t="shared" si="14"/>
        <v>456</v>
      </c>
      <c r="B457" s="18" t="s">
        <v>3930</v>
      </c>
      <c r="C457" s="120" t="s">
        <v>286</v>
      </c>
      <c r="D457" s="20" t="s">
        <v>42</v>
      </c>
      <c r="E457" s="18" t="s">
        <v>63</v>
      </c>
      <c r="F457" s="18" t="s">
        <v>2164</v>
      </c>
      <c r="G457" s="5">
        <v>46173</v>
      </c>
      <c r="H457" s="5">
        <v>46184</v>
      </c>
      <c r="I457" s="21">
        <f t="shared" si="15"/>
        <v>11</v>
      </c>
      <c r="J457" s="22" t="s">
        <v>3414</v>
      </c>
      <c r="K457" s="11" t="s">
        <v>3422</v>
      </c>
      <c r="L457" s="24"/>
      <c r="M457" s="24"/>
      <c r="N457" s="20" t="s">
        <v>30</v>
      </c>
    </row>
    <row r="458" ht="53" spans="1:14">
      <c r="A458" s="10">
        <f t="shared" si="14"/>
        <v>457</v>
      </c>
      <c r="B458" s="18" t="s">
        <v>3931</v>
      </c>
      <c r="C458" s="120" t="s">
        <v>126</v>
      </c>
      <c r="D458" s="20" t="s">
        <v>43</v>
      </c>
      <c r="E458" s="18" t="s">
        <v>63</v>
      </c>
      <c r="F458" s="18" t="s">
        <v>148</v>
      </c>
      <c r="G458" s="5">
        <v>46173</v>
      </c>
      <c r="H458" s="5">
        <v>46184</v>
      </c>
      <c r="I458" s="21">
        <f t="shared" si="15"/>
        <v>11</v>
      </c>
      <c r="J458" s="22" t="s">
        <v>3414</v>
      </c>
      <c r="K458" s="11" t="s">
        <v>3932</v>
      </c>
      <c r="L458" s="24"/>
      <c r="M458" s="24"/>
      <c r="N458" s="20" t="s">
        <v>30</v>
      </c>
    </row>
    <row r="459" ht="18" spans="1:14">
      <c r="A459" s="14">
        <f t="shared" si="14"/>
        <v>458</v>
      </c>
      <c r="B459" s="18" t="s">
        <v>3933</v>
      </c>
      <c r="C459" s="120" t="s">
        <v>128</v>
      </c>
      <c r="D459" s="20" t="s">
        <v>43</v>
      </c>
      <c r="E459" s="18" t="s">
        <v>63</v>
      </c>
      <c r="F459" s="18" t="s">
        <v>3826</v>
      </c>
      <c r="G459" s="5">
        <v>46164</v>
      </c>
      <c r="H459" s="5">
        <v>46184</v>
      </c>
      <c r="I459" s="21">
        <f t="shared" si="15"/>
        <v>20</v>
      </c>
      <c r="J459" s="22" t="s">
        <v>3414</v>
      </c>
      <c r="K459" s="11" t="s">
        <v>3422</v>
      </c>
      <c r="L459" s="24"/>
      <c r="M459" s="24"/>
      <c r="N459" s="20" t="s">
        <v>30</v>
      </c>
    </row>
    <row r="460" ht="18" spans="1:14">
      <c r="A460" s="10">
        <f t="shared" si="14"/>
        <v>459</v>
      </c>
      <c r="B460" s="18" t="s">
        <v>3934</v>
      </c>
      <c r="C460" s="120" t="s">
        <v>280</v>
      </c>
      <c r="D460" s="20" t="s">
        <v>43</v>
      </c>
      <c r="E460" s="18" t="s">
        <v>63</v>
      </c>
      <c r="F460" s="18" t="s">
        <v>3826</v>
      </c>
      <c r="G460" s="5">
        <v>46164</v>
      </c>
      <c r="H460" s="5">
        <v>46184</v>
      </c>
      <c r="I460" s="21">
        <f t="shared" si="15"/>
        <v>20</v>
      </c>
      <c r="J460" s="22" t="s">
        <v>3414</v>
      </c>
      <c r="K460" s="11" t="s">
        <v>3422</v>
      </c>
      <c r="L460" s="24"/>
      <c r="M460" s="24"/>
      <c r="N460" s="20" t="s">
        <v>30</v>
      </c>
    </row>
    <row r="461" ht="18" spans="1:14">
      <c r="A461" s="14">
        <f t="shared" si="14"/>
        <v>460</v>
      </c>
      <c r="B461" s="18" t="s">
        <v>3935</v>
      </c>
      <c r="C461" s="120" t="s">
        <v>282</v>
      </c>
      <c r="D461" s="20" t="s">
        <v>43</v>
      </c>
      <c r="E461" s="18" t="s">
        <v>63</v>
      </c>
      <c r="F461" s="18" t="s">
        <v>124</v>
      </c>
      <c r="G461" s="5">
        <v>46164</v>
      </c>
      <c r="H461" s="5">
        <v>46184</v>
      </c>
      <c r="I461" s="21">
        <f t="shared" si="15"/>
        <v>20</v>
      </c>
      <c r="J461" s="22" t="s">
        <v>3414</v>
      </c>
      <c r="K461" s="11" t="s">
        <v>3422</v>
      </c>
      <c r="L461" s="24"/>
      <c r="M461" s="24"/>
      <c r="N461" s="20" t="s">
        <v>30</v>
      </c>
    </row>
    <row r="462" ht="18" spans="1:14">
      <c r="A462" s="10">
        <f t="shared" si="14"/>
        <v>461</v>
      </c>
      <c r="B462" s="18" t="s">
        <v>3936</v>
      </c>
      <c r="C462" s="120" t="s">
        <v>284</v>
      </c>
      <c r="D462" s="20" t="s">
        <v>43</v>
      </c>
      <c r="E462" s="18" t="s">
        <v>62</v>
      </c>
      <c r="F462" s="18" t="s">
        <v>3826</v>
      </c>
      <c r="G462" s="5">
        <v>46160</v>
      </c>
      <c r="H462" s="5">
        <v>46184</v>
      </c>
      <c r="I462" s="21">
        <f t="shared" si="15"/>
        <v>24</v>
      </c>
      <c r="J462" s="22" t="s">
        <v>3427</v>
      </c>
      <c r="K462" s="11" t="s">
        <v>3896</v>
      </c>
      <c r="L462" s="24"/>
      <c r="M462" s="24"/>
      <c r="N462" s="20" t="s">
        <v>30</v>
      </c>
    </row>
    <row r="463" ht="18" spans="1:14">
      <c r="A463" s="14">
        <f t="shared" si="14"/>
        <v>462</v>
      </c>
      <c r="B463" s="18" t="s">
        <v>3937</v>
      </c>
      <c r="C463" s="120" t="s">
        <v>286</v>
      </c>
      <c r="D463" s="20" t="s">
        <v>43</v>
      </c>
      <c r="E463" s="18" t="s">
        <v>63</v>
      </c>
      <c r="F463" s="18" t="s">
        <v>2153</v>
      </c>
      <c r="G463" s="5">
        <v>46173</v>
      </c>
      <c r="H463" s="5">
        <v>46184</v>
      </c>
      <c r="I463" s="21">
        <f t="shared" si="15"/>
        <v>11</v>
      </c>
      <c r="J463" s="22" t="s">
        <v>3414</v>
      </c>
      <c r="K463" s="11" t="s">
        <v>3422</v>
      </c>
      <c r="L463" s="24"/>
      <c r="M463" s="24"/>
      <c r="N463" s="20" t="s">
        <v>30</v>
      </c>
    </row>
    <row r="464" ht="18" spans="1:14">
      <c r="A464" s="10">
        <f t="shared" si="14"/>
        <v>463</v>
      </c>
      <c r="B464" s="18" t="s">
        <v>3938</v>
      </c>
      <c r="C464" s="120" t="s">
        <v>126</v>
      </c>
      <c r="D464" s="20" t="s">
        <v>42</v>
      </c>
      <c r="E464" s="18" t="s">
        <v>64</v>
      </c>
      <c r="F464" s="18" t="s">
        <v>2153</v>
      </c>
      <c r="G464" s="5">
        <v>46173</v>
      </c>
      <c r="H464" s="5">
        <v>46184</v>
      </c>
      <c r="I464" s="21">
        <f t="shared" si="15"/>
        <v>11</v>
      </c>
      <c r="J464" s="22" t="s">
        <v>3414</v>
      </c>
      <c r="K464" s="11" t="s">
        <v>3422</v>
      </c>
      <c r="L464" s="24"/>
      <c r="M464" s="24"/>
      <c r="N464" s="20" t="s">
        <v>30</v>
      </c>
    </row>
    <row r="465" ht="18" spans="1:14">
      <c r="A465" s="14">
        <f t="shared" si="14"/>
        <v>464</v>
      </c>
      <c r="B465" s="18" t="s">
        <v>3939</v>
      </c>
      <c r="C465" s="120" t="s">
        <v>128</v>
      </c>
      <c r="D465" s="20" t="s">
        <v>43</v>
      </c>
      <c r="E465" s="18" t="s">
        <v>63</v>
      </c>
      <c r="F465" s="18" t="s">
        <v>2153</v>
      </c>
      <c r="G465" s="5">
        <v>46173</v>
      </c>
      <c r="H465" s="5">
        <v>46184</v>
      </c>
      <c r="I465" s="21">
        <f t="shared" si="15"/>
        <v>11</v>
      </c>
      <c r="J465" s="22" t="s">
        <v>3414</v>
      </c>
      <c r="K465" s="11" t="s">
        <v>3837</v>
      </c>
      <c r="L465" s="24"/>
      <c r="M465" s="24"/>
      <c r="N465" s="20" t="s">
        <v>30</v>
      </c>
    </row>
    <row r="466" ht="18" spans="1:14">
      <c r="A466" s="10">
        <f t="shared" si="14"/>
        <v>465</v>
      </c>
      <c r="B466" s="18" t="s">
        <v>3940</v>
      </c>
      <c r="C466" s="120" t="s">
        <v>280</v>
      </c>
      <c r="D466" s="20" t="s">
        <v>43</v>
      </c>
      <c r="E466" s="18" t="s">
        <v>63</v>
      </c>
      <c r="F466" s="18" t="s">
        <v>307</v>
      </c>
      <c r="G466" s="5">
        <v>46171</v>
      </c>
      <c r="H466" s="5">
        <v>46184</v>
      </c>
      <c r="I466" s="21">
        <f t="shared" si="15"/>
        <v>13</v>
      </c>
      <c r="J466" s="22" t="s">
        <v>3414</v>
      </c>
      <c r="K466" s="11" t="s">
        <v>3837</v>
      </c>
      <c r="L466" s="24"/>
      <c r="M466" s="24"/>
      <c r="N466" s="20" t="s">
        <v>30</v>
      </c>
    </row>
    <row r="467" ht="18" spans="1:14">
      <c r="A467" s="14">
        <f t="shared" si="14"/>
        <v>466</v>
      </c>
      <c r="B467" s="18" t="s">
        <v>3941</v>
      </c>
      <c r="C467" s="120" t="s">
        <v>282</v>
      </c>
      <c r="D467" s="20" t="s">
        <v>43</v>
      </c>
      <c r="E467" s="18" t="s">
        <v>62</v>
      </c>
      <c r="F467" s="18" t="s">
        <v>307</v>
      </c>
      <c r="G467" s="5">
        <v>46171</v>
      </c>
      <c r="H467" s="5">
        <v>46184</v>
      </c>
      <c r="I467" s="21">
        <f t="shared" si="15"/>
        <v>13</v>
      </c>
      <c r="J467" s="22" t="s">
        <v>3427</v>
      </c>
      <c r="K467" s="11" t="s">
        <v>3428</v>
      </c>
      <c r="L467" s="24"/>
      <c r="M467" s="24"/>
      <c r="N467" s="20" t="s">
        <v>30</v>
      </c>
    </row>
    <row r="468" ht="18" spans="1:14">
      <c r="A468" s="10">
        <f t="shared" si="14"/>
        <v>467</v>
      </c>
      <c r="B468" s="18" t="s">
        <v>3942</v>
      </c>
      <c r="C468" s="120" t="s">
        <v>284</v>
      </c>
      <c r="D468" s="20" t="s">
        <v>43</v>
      </c>
      <c r="E468" s="18" t="s">
        <v>62</v>
      </c>
      <c r="F468" s="18" t="s">
        <v>307</v>
      </c>
      <c r="G468" s="5">
        <v>46171</v>
      </c>
      <c r="H468" s="5">
        <v>46184</v>
      </c>
      <c r="I468" s="21">
        <f t="shared" si="15"/>
        <v>13</v>
      </c>
      <c r="J468" s="22" t="s">
        <v>3414</v>
      </c>
      <c r="K468" s="11" t="s">
        <v>3837</v>
      </c>
      <c r="L468" s="24"/>
      <c r="M468" s="24"/>
      <c r="N468" s="20" t="s">
        <v>30</v>
      </c>
    </row>
    <row r="469" ht="18" spans="1:14">
      <c r="A469" s="14">
        <f t="shared" si="14"/>
        <v>468</v>
      </c>
      <c r="B469" s="18" t="s">
        <v>3943</v>
      </c>
      <c r="C469" s="120" t="s">
        <v>286</v>
      </c>
      <c r="D469" s="20" t="s">
        <v>43</v>
      </c>
      <c r="E469" s="18" t="s">
        <v>63</v>
      </c>
      <c r="F469" s="18" t="s">
        <v>2179</v>
      </c>
      <c r="G469" s="5">
        <v>46165</v>
      </c>
      <c r="H469" s="5">
        <v>46184</v>
      </c>
      <c r="I469" s="21">
        <f t="shared" si="15"/>
        <v>19</v>
      </c>
      <c r="J469" s="22" t="s">
        <v>3414</v>
      </c>
      <c r="K469" s="11" t="s">
        <v>3422</v>
      </c>
      <c r="L469" s="24"/>
      <c r="M469" s="24"/>
      <c r="N469" s="20" t="s">
        <v>30</v>
      </c>
    </row>
    <row r="470" ht="36" spans="1:14">
      <c r="A470" s="10">
        <f t="shared" si="14"/>
        <v>469</v>
      </c>
      <c r="B470" s="18" t="s">
        <v>3944</v>
      </c>
      <c r="C470" s="120" t="s">
        <v>126</v>
      </c>
      <c r="D470" s="20" t="s">
        <v>42</v>
      </c>
      <c r="E470" s="18" t="s">
        <v>63</v>
      </c>
      <c r="F470" s="18" t="s">
        <v>3831</v>
      </c>
      <c r="G470" s="5">
        <v>46161</v>
      </c>
      <c r="H470" s="5">
        <v>46184</v>
      </c>
      <c r="I470" s="21">
        <f t="shared" si="15"/>
        <v>23</v>
      </c>
      <c r="J470" s="22" t="s">
        <v>3414</v>
      </c>
      <c r="K470" s="11" t="s">
        <v>3945</v>
      </c>
      <c r="L470" s="24"/>
      <c r="M470" s="24"/>
      <c r="N470" s="20" t="s">
        <v>30</v>
      </c>
    </row>
    <row r="471" ht="18" spans="1:14">
      <c r="A471" s="14">
        <f t="shared" si="14"/>
        <v>470</v>
      </c>
      <c r="B471" s="18" t="s">
        <v>1523</v>
      </c>
      <c r="C471" s="120" t="s">
        <v>128</v>
      </c>
      <c r="D471" s="20" t="s">
        <v>43</v>
      </c>
      <c r="E471" s="18" t="s">
        <v>63</v>
      </c>
      <c r="F471" s="18" t="s">
        <v>3826</v>
      </c>
      <c r="G471" s="5">
        <v>46162</v>
      </c>
      <c r="H471" s="5">
        <v>46184</v>
      </c>
      <c r="I471" s="21">
        <f t="shared" si="15"/>
        <v>22</v>
      </c>
      <c r="J471" s="22" t="s">
        <v>3414</v>
      </c>
      <c r="K471" s="11" t="s">
        <v>3422</v>
      </c>
      <c r="L471" s="24"/>
      <c r="M471" s="24"/>
      <c r="N471" s="20" t="s">
        <v>30</v>
      </c>
    </row>
    <row r="472" ht="18" spans="1:14">
      <c r="A472" s="10">
        <f t="shared" si="14"/>
        <v>471</v>
      </c>
      <c r="B472" s="18" t="s">
        <v>2225</v>
      </c>
      <c r="C472" s="120" t="s">
        <v>280</v>
      </c>
      <c r="D472" s="20" t="s">
        <v>43</v>
      </c>
      <c r="E472" s="18" t="s">
        <v>62</v>
      </c>
      <c r="F472" s="18" t="s">
        <v>124</v>
      </c>
      <c r="G472" s="5">
        <v>46174</v>
      </c>
      <c r="H472" s="5">
        <v>46184</v>
      </c>
      <c r="I472" s="21">
        <f t="shared" si="15"/>
        <v>10</v>
      </c>
      <c r="J472" s="22" t="s">
        <v>3414</v>
      </c>
      <c r="K472" s="11" t="s">
        <v>3422</v>
      </c>
      <c r="L472" s="24"/>
      <c r="M472" s="24"/>
      <c r="N472" s="20" t="s">
        <v>30</v>
      </c>
    </row>
    <row r="473" ht="18" spans="1:14">
      <c r="A473" s="14">
        <f t="shared" si="14"/>
        <v>472</v>
      </c>
      <c r="B473" s="18" t="s">
        <v>3946</v>
      </c>
      <c r="C473" s="120" t="s">
        <v>282</v>
      </c>
      <c r="D473" s="20" t="s">
        <v>43</v>
      </c>
      <c r="E473" s="18" t="s">
        <v>63</v>
      </c>
      <c r="F473" s="18" t="s">
        <v>3826</v>
      </c>
      <c r="G473" s="5">
        <v>46149</v>
      </c>
      <c r="H473" s="5">
        <v>46184</v>
      </c>
      <c r="I473" s="21">
        <f t="shared" si="15"/>
        <v>35</v>
      </c>
      <c r="J473" s="22" t="s">
        <v>3414</v>
      </c>
      <c r="K473" s="11" t="s">
        <v>3422</v>
      </c>
      <c r="L473" s="24"/>
      <c r="M473" s="24"/>
      <c r="N473" s="20" t="s">
        <v>30</v>
      </c>
    </row>
    <row r="474" ht="53" spans="1:14">
      <c r="A474" s="10">
        <f t="shared" si="14"/>
        <v>473</v>
      </c>
      <c r="B474" s="18" t="s">
        <v>437</v>
      </c>
      <c r="C474" s="120" t="s">
        <v>284</v>
      </c>
      <c r="D474" s="20" t="s">
        <v>43</v>
      </c>
      <c r="E474" s="18" t="s">
        <v>63</v>
      </c>
      <c r="F474" s="18" t="s">
        <v>2164</v>
      </c>
      <c r="G474" s="5">
        <v>46181</v>
      </c>
      <c r="H474" s="5">
        <v>46184</v>
      </c>
      <c r="I474" s="21">
        <f t="shared" si="15"/>
        <v>3</v>
      </c>
      <c r="J474" s="22" t="s">
        <v>3414</v>
      </c>
      <c r="K474" s="11" t="s">
        <v>3927</v>
      </c>
      <c r="L474" s="24"/>
      <c r="M474" s="24"/>
      <c r="N474" s="20" t="s">
        <v>30</v>
      </c>
    </row>
    <row r="475" ht="53" spans="1:14">
      <c r="A475" s="14">
        <f t="shared" si="14"/>
        <v>474</v>
      </c>
      <c r="B475" s="18" t="s">
        <v>3947</v>
      </c>
      <c r="C475" s="120" t="s">
        <v>286</v>
      </c>
      <c r="D475" s="20" t="s">
        <v>43</v>
      </c>
      <c r="E475" s="18" t="s">
        <v>63</v>
      </c>
      <c r="F475" s="18" t="s">
        <v>2164</v>
      </c>
      <c r="G475" s="5">
        <v>46174</v>
      </c>
      <c r="H475" s="5">
        <v>46184</v>
      </c>
      <c r="I475" s="21">
        <f t="shared" si="15"/>
        <v>10</v>
      </c>
      <c r="J475" s="22" t="s">
        <v>3845</v>
      </c>
      <c r="K475" s="11" t="s">
        <v>3948</v>
      </c>
      <c r="L475" s="24"/>
      <c r="M475" s="24"/>
      <c r="N475" s="20" t="s">
        <v>30</v>
      </c>
    </row>
    <row r="476" spans="1:14">
      <c r="A476" s="10" t="str">
        <f t="shared" si="14"/>
        <v/>
      </c>
      <c r="C476" s="120" t="s">
        <v>126</v>
      </c>
      <c r="D476"/>
      <c r="E476"/>
      <c r="F476"/>
      <c r="G476"/>
      <c r="H476"/>
      <c r="I476" s="21" t="str">
        <f t="shared" si="15"/>
        <v/>
      </c>
      <c r="L476" s="24"/>
      <c r="M476" s="24"/>
    </row>
    <row r="477" spans="1:14">
      <c r="A477" s="14" t="str">
        <f t="shared" si="14"/>
        <v/>
      </c>
      <c r="C477" s="120" t="s">
        <v>128</v>
      </c>
      <c r="D477"/>
      <c r="E477"/>
      <c r="F477"/>
      <c r="G477"/>
      <c r="H477"/>
      <c r="I477" s="21" t="str">
        <f t="shared" si="15"/>
        <v/>
      </c>
      <c r="L477" s="24"/>
      <c r="M477" s="24"/>
    </row>
    <row r="478" spans="1:14">
      <c r="A478" s="10" t="str">
        <f t="shared" si="14"/>
        <v/>
      </c>
      <c r="C478" s="120" t="s">
        <v>280</v>
      </c>
      <c r="D478"/>
      <c r="E478"/>
      <c r="F478"/>
      <c r="G478"/>
      <c r="H478"/>
      <c r="I478" s="21" t="str">
        <f t="shared" si="15"/>
        <v/>
      </c>
      <c r="L478" s="24"/>
      <c r="M478" s="24"/>
    </row>
    <row r="479" spans="1:14">
      <c r="A479" s="14" t="str">
        <f t="shared" si="14"/>
        <v/>
      </c>
      <c r="C479" s="120" t="s">
        <v>282</v>
      </c>
      <c r="D479"/>
      <c r="E479"/>
      <c r="F479"/>
      <c r="G479"/>
      <c r="H479"/>
      <c r="I479" s="21" t="str">
        <f t="shared" si="15"/>
        <v/>
      </c>
      <c r="L479" s="24"/>
      <c r="M479" s="24"/>
    </row>
    <row r="480" spans="1:14">
      <c r="A480" s="10" t="str">
        <f t="shared" si="14"/>
        <v/>
      </c>
      <c r="C480" s="120" t="s">
        <v>284</v>
      </c>
      <c r="D480"/>
      <c r="E480"/>
      <c r="F480"/>
      <c r="G480"/>
      <c r="H480"/>
      <c r="I480" s="21" t="str">
        <f t="shared" si="15"/>
        <v/>
      </c>
      <c r="L480" s="24"/>
      <c r="M480" s="24"/>
    </row>
    <row r="481" spans="1:13">
      <c r="A481" s="14" t="str">
        <f t="shared" si="14"/>
        <v/>
      </c>
      <c r="C481" s="120" t="s">
        <v>286</v>
      </c>
      <c r="D481"/>
      <c r="E481"/>
      <c r="F481"/>
      <c r="G481"/>
      <c r="H481"/>
      <c r="I481" s="21" t="str">
        <f t="shared" si="15"/>
        <v/>
      </c>
      <c r="L481" s="24"/>
      <c r="M481" s="24"/>
    </row>
    <row r="482" spans="1:13">
      <c r="A482" s="10" t="str">
        <f t="shared" si="14"/>
        <v/>
      </c>
      <c r="C482" s="120" t="s">
        <v>126</v>
      </c>
      <c r="D482"/>
      <c r="E482"/>
      <c r="F482"/>
      <c r="G482"/>
      <c r="H482"/>
      <c r="I482" s="21" t="str">
        <f t="shared" si="15"/>
        <v/>
      </c>
      <c r="L482" s="24"/>
      <c r="M482" s="24"/>
    </row>
    <row r="483" spans="1:13">
      <c r="A483" s="14" t="str">
        <f t="shared" si="14"/>
        <v/>
      </c>
      <c r="C483" s="120" t="s">
        <v>128</v>
      </c>
      <c r="D483"/>
      <c r="E483"/>
      <c r="F483"/>
      <c r="G483"/>
      <c r="H483"/>
      <c r="I483" s="21" t="str">
        <f t="shared" si="15"/>
        <v/>
      </c>
      <c r="L483" s="24"/>
      <c r="M483" s="24"/>
    </row>
    <row r="484" spans="1:13">
      <c r="A484" s="10" t="str">
        <f t="shared" si="14"/>
        <v/>
      </c>
      <c r="C484" s="120" t="s">
        <v>280</v>
      </c>
      <c r="D484"/>
      <c r="E484"/>
      <c r="F484"/>
      <c r="G484"/>
      <c r="H484"/>
      <c r="I484" s="21" t="str">
        <f t="shared" si="15"/>
        <v/>
      </c>
      <c r="L484" s="24"/>
      <c r="M484" s="24"/>
    </row>
    <row r="485" spans="1:13">
      <c r="A485" s="14" t="str">
        <f t="shared" si="14"/>
        <v/>
      </c>
      <c r="C485" s="120" t="s">
        <v>282</v>
      </c>
      <c r="D485"/>
      <c r="E485"/>
      <c r="F485"/>
      <c r="G485"/>
      <c r="H485"/>
      <c r="I485" s="21" t="str">
        <f t="shared" si="15"/>
        <v/>
      </c>
      <c r="L485" s="24"/>
      <c r="M485" s="24"/>
    </row>
    <row r="486" spans="1:13">
      <c r="A486" s="10" t="str">
        <f t="shared" si="14"/>
        <v/>
      </c>
      <c r="C486" s="120" t="s">
        <v>284</v>
      </c>
      <c r="D486"/>
      <c r="E486"/>
      <c r="F486"/>
      <c r="G486"/>
      <c r="H486"/>
      <c r="I486" s="21" t="str">
        <f t="shared" si="15"/>
        <v/>
      </c>
      <c r="L486" s="24"/>
      <c r="M486" s="24"/>
    </row>
    <row r="487" spans="1:13">
      <c r="A487" s="14" t="str">
        <f t="shared" si="14"/>
        <v/>
      </c>
      <c r="C487" s="120" t="s">
        <v>286</v>
      </c>
      <c r="D487"/>
      <c r="E487"/>
      <c r="F487"/>
      <c r="G487"/>
      <c r="H487"/>
      <c r="I487" s="21" t="str">
        <f t="shared" si="15"/>
        <v/>
      </c>
      <c r="L487" s="24"/>
      <c r="M487" s="24"/>
    </row>
    <row r="488" spans="1:13">
      <c r="A488" s="10" t="str">
        <f t="shared" si="14"/>
        <v/>
      </c>
      <c r="C488" s="120" t="s">
        <v>126</v>
      </c>
      <c r="D488"/>
      <c r="E488"/>
      <c r="F488"/>
      <c r="G488"/>
      <c r="H488"/>
      <c r="I488" s="21" t="str">
        <f t="shared" si="15"/>
        <v/>
      </c>
      <c r="L488" s="24"/>
      <c r="M488" s="24"/>
    </row>
    <row r="489" spans="1:13">
      <c r="A489" s="14" t="str">
        <f t="shared" si="14"/>
        <v/>
      </c>
      <c r="C489" s="120" t="s">
        <v>128</v>
      </c>
      <c r="D489"/>
      <c r="E489"/>
      <c r="F489"/>
      <c r="G489"/>
      <c r="H489"/>
      <c r="I489" s="21" t="str">
        <f t="shared" si="15"/>
        <v/>
      </c>
      <c r="L489" s="24"/>
      <c r="M489" s="24"/>
    </row>
    <row r="490" spans="1:13">
      <c r="A490" s="10" t="str">
        <f t="shared" si="14"/>
        <v/>
      </c>
      <c r="C490" s="120" t="s">
        <v>280</v>
      </c>
      <c r="D490"/>
      <c r="E490"/>
      <c r="F490"/>
      <c r="G490"/>
      <c r="H490"/>
      <c r="I490" s="21" t="str">
        <f t="shared" si="15"/>
        <v/>
      </c>
      <c r="L490" s="24"/>
      <c r="M490" s="24"/>
    </row>
    <row r="491" spans="1:13">
      <c r="A491" s="14" t="str">
        <f t="shared" si="14"/>
        <v/>
      </c>
      <c r="C491" s="120" t="s">
        <v>282</v>
      </c>
      <c r="D491"/>
      <c r="E491"/>
      <c r="F491"/>
      <c r="G491"/>
      <c r="H491"/>
      <c r="I491" s="21" t="str">
        <f t="shared" si="15"/>
        <v/>
      </c>
      <c r="L491" s="24"/>
      <c r="M491" s="24"/>
    </row>
    <row r="492" spans="1:13">
      <c r="A492" s="10" t="str">
        <f t="shared" si="14"/>
        <v/>
      </c>
      <c r="C492" s="120" t="s">
        <v>284</v>
      </c>
      <c r="D492"/>
      <c r="E492"/>
      <c r="F492"/>
      <c r="G492"/>
      <c r="H492"/>
      <c r="I492" s="21" t="str">
        <f t="shared" si="15"/>
        <v/>
      </c>
      <c r="L492" s="24"/>
      <c r="M492" s="24"/>
    </row>
    <row r="493" spans="1:13">
      <c r="A493" s="14" t="str">
        <f t="shared" si="14"/>
        <v/>
      </c>
      <c r="C493" s="120" t="s">
        <v>286</v>
      </c>
      <c r="D493"/>
      <c r="E493"/>
      <c r="F493"/>
      <c r="G493"/>
      <c r="H493"/>
      <c r="I493" s="21" t="str">
        <f t="shared" si="15"/>
        <v/>
      </c>
      <c r="L493" s="24"/>
      <c r="M493" s="24"/>
    </row>
    <row r="494" spans="1:13">
      <c r="A494" s="10" t="str">
        <f t="shared" si="14"/>
        <v/>
      </c>
      <c r="C494" s="120" t="s">
        <v>126</v>
      </c>
      <c r="D494"/>
      <c r="E494"/>
      <c r="F494"/>
      <c r="G494"/>
      <c r="H494"/>
      <c r="I494" s="21" t="str">
        <f t="shared" si="15"/>
        <v/>
      </c>
      <c r="L494" s="24"/>
      <c r="M494" s="24"/>
    </row>
    <row r="495" spans="1:13">
      <c r="A495" s="14" t="str">
        <f t="shared" si="14"/>
        <v/>
      </c>
      <c r="C495" s="120" t="s">
        <v>128</v>
      </c>
      <c r="D495"/>
      <c r="E495"/>
      <c r="F495"/>
      <c r="G495"/>
      <c r="H495"/>
      <c r="I495" s="21" t="str">
        <f t="shared" si="15"/>
        <v/>
      </c>
      <c r="L495" s="24"/>
      <c r="M495" s="24"/>
    </row>
    <row r="496" spans="1:13">
      <c r="A496" s="10" t="str">
        <f t="shared" si="14"/>
        <v/>
      </c>
      <c r="C496" s="120" t="s">
        <v>280</v>
      </c>
      <c r="D496"/>
      <c r="E496"/>
      <c r="F496"/>
      <c r="G496"/>
      <c r="H496"/>
      <c r="I496" s="21" t="str">
        <f t="shared" si="15"/>
        <v/>
      </c>
      <c r="L496" s="24"/>
      <c r="M496" s="24"/>
    </row>
    <row r="497" spans="1:13">
      <c r="A497" s="14" t="str">
        <f t="shared" si="14"/>
        <v/>
      </c>
      <c r="C497" s="120" t="s">
        <v>282</v>
      </c>
      <c r="D497"/>
      <c r="E497"/>
      <c r="F497"/>
      <c r="G497"/>
      <c r="H497"/>
      <c r="I497" s="21" t="str">
        <f t="shared" si="15"/>
        <v/>
      </c>
      <c r="L497" s="24"/>
      <c r="M497" s="24"/>
    </row>
    <row r="498" spans="1:13">
      <c r="A498" s="10" t="str">
        <f t="shared" si="14"/>
        <v/>
      </c>
      <c r="C498" s="120" t="s">
        <v>284</v>
      </c>
      <c r="D498"/>
      <c r="E498"/>
      <c r="F498"/>
      <c r="G498"/>
      <c r="H498"/>
      <c r="I498" s="21" t="str">
        <f t="shared" si="15"/>
        <v/>
      </c>
      <c r="L498" s="24"/>
      <c r="M498" s="24"/>
    </row>
    <row r="499" spans="1:13">
      <c r="A499" s="14" t="str">
        <f t="shared" si="14"/>
        <v/>
      </c>
      <c r="C499" s="120" t="s">
        <v>286</v>
      </c>
      <c r="D499"/>
      <c r="E499"/>
      <c r="F499"/>
      <c r="G499"/>
      <c r="H499"/>
      <c r="I499" s="21" t="str">
        <f t="shared" si="15"/>
        <v/>
      </c>
      <c r="L499" s="24"/>
      <c r="M499" s="24"/>
    </row>
    <row r="500" spans="1:13">
      <c r="A500" s="10" t="str">
        <f t="shared" si="14"/>
        <v/>
      </c>
      <c r="C500" s="120" t="s">
        <v>126</v>
      </c>
      <c r="D500"/>
      <c r="E500"/>
      <c r="F500"/>
      <c r="G500"/>
      <c r="H500"/>
      <c r="I500" s="21" t="str">
        <f t="shared" si="15"/>
        <v/>
      </c>
      <c r="L500" s="24"/>
      <c r="M500" s="24"/>
    </row>
    <row r="501" spans="1:13">
      <c r="A501" s="14" t="str">
        <f t="shared" si="14"/>
        <v/>
      </c>
      <c r="C501" s="120" t="s">
        <v>128</v>
      </c>
      <c r="D501"/>
      <c r="E501"/>
      <c r="F501"/>
      <c r="G501"/>
      <c r="H501"/>
      <c r="I501" s="21" t="str">
        <f t="shared" si="15"/>
        <v/>
      </c>
      <c r="L501" s="24"/>
      <c r="M501" s="24"/>
    </row>
    <row r="502" spans="1:13">
      <c r="A502" s="10" t="str">
        <f t="shared" si="14"/>
        <v/>
      </c>
      <c r="C502" s="120" t="s">
        <v>280</v>
      </c>
      <c r="D502"/>
      <c r="E502"/>
      <c r="F502"/>
      <c r="G502"/>
      <c r="H502"/>
      <c r="I502" s="21" t="str">
        <f t="shared" si="15"/>
        <v/>
      </c>
      <c r="L502" s="24"/>
      <c r="M502" s="24"/>
    </row>
    <row r="503" spans="1:13">
      <c r="A503" s="14" t="str">
        <f t="shared" si="14"/>
        <v/>
      </c>
      <c r="C503" s="120" t="s">
        <v>282</v>
      </c>
      <c r="D503"/>
      <c r="E503"/>
      <c r="F503"/>
      <c r="G503"/>
      <c r="H503"/>
      <c r="I503" s="21" t="str">
        <f t="shared" si="15"/>
        <v/>
      </c>
      <c r="L503" s="24"/>
      <c r="M503" s="24"/>
    </row>
    <row r="504" spans="1:13">
      <c r="A504" s="10" t="str">
        <f t="shared" si="14"/>
        <v/>
      </c>
      <c r="C504" s="120" t="s">
        <v>284</v>
      </c>
      <c r="D504"/>
      <c r="E504"/>
      <c r="F504"/>
      <c r="G504"/>
      <c r="H504"/>
      <c r="I504" s="21" t="str">
        <f t="shared" si="15"/>
        <v/>
      </c>
      <c r="L504" s="24"/>
      <c r="M504" s="24"/>
    </row>
    <row r="505" spans="1:13">
      <c r="A505" s="14" t="str">
        <f t="shared" si="14"/>
        <v/>
      </c>
      <c r="C505" s="120" t="s">
        <v>286</v>
      </c>
      <c r="D505"/>
      <c r="E505"/>
      <c r="F505"/>
      <c r="G505"/>
      <c r="H505"/>
      <c r="I505" s="21" t="str">
        <f t="shared" si="15"/>
        <v/>
      </c>
      <c r="L505" s="24"/>
      <c r="M505" s="24"/>
    </row>
    <row r="506" spans="1:13">
      <c r="A506" s="10" t="str">
        <f t="shared" si="14"/>
        <v/>
      </c>
      <c r="C506" s="120" t="s">
        <v>126</v>
      </c>
      <c r="D506"/>
      <c r="E506"/>
      <c r="F506"/>
      <c r="G506"/>
      <c r="H506"/>
      <c r="I506" s="21" t="str">
        <f t="shared" si="15"/>
        <v/>
      </c>
      <c r="L506" s="24"/>
      <c r="M506" s="24"/>
    </row>
    <row r="507" spans="1:13">
      <c r="A507" s="14" t="str">
        <f t="shared" si="14"/>
        <v/>
      </c>
      <c r="C507" s="120" t="s">
        <v>128</v>
      </c>
      <c r="D507"/>
      <c r="E507"/>
      <c r="F507"/>
      <c r="G507"/>
      <c r="H507"/>
      <c r="I507" s="21" t="str">
        <f t="shared" si="15"/>
        <v/>
      </c>
      <c r="L507" s="24"/>
      <c r="M507" s="24"/>
    </row>
    <row r="508" spans="1:13">
      <c r="A508" s="10" t="str">
        <f t="shared" si="14"/>
        <v/>
      </c>
      <c r="C508" s="120" t="s">
        <v>280</v>
      </c>
      <c r="D508"/>
      <c r="E508"/>
      <c r="F508"/>
      <c r="G508"/>
      <c r="H508"/>
      <c r="I508" s="21" t="str">
        <f t="shared" si="15"/>
        <v/>
      </c>
      <c r="L508" s="24"/>
      <c r="M508" s="24"/>
    </row>
    <row r="509" spans="1:13">
      <c r="A509" s="14" t="str">
        <f t="shared" si="14"/>
        <v/>
      </c>
      <c r="C509" s="120" t="s">
        <v>282</v>
      </c>
      <c r="D509"/>
      <c r="E509"/>
      <c r="F509"/>
      <c r="G509"/>
      <c r="H509"/>
      <c r="I509" s="21" t="str">
        <f t="shared" si="15"/>
        <v/>
      </c>
      <c r="L509" s="24"/>
      <c r="M509" s="24"/>
    </row>
    <row r="510" spans="1:13">
      <c r="A510" s="10" t="str">
        <f t="shared" si="14"/>
        <v/>
      </c>
      <c r="C510" s="120" t="s">
        <v>284</v>
      </c>
      <c r="D510"/>
      <c r="E510"/>
      <c r="F510"/>
      <c r="G510"/>
      <c r="H510"/>
      <c r="I510" s="21" t="str">
        <f t="shared" si="15"/>
        <v/>
      </c>
      <c r="L510" s="24"/>
      <c r="M510" s="24"/>
    </row>
    <row r="511" spans="1:13">
      <c r="A511" s="14" t="str">
        <f t="shared" si="14"/>
        <v/>
      </c>
      <c r="C511" s="120" t="s">
        <v>286</v>
      </c>
      <c r="D511"/>
      <c r="E511"/>
      <c r="F511"/>
      <c r="G511"/>
      <c r="H511"/>
      <c r="I511" s="21" t="str">
        <f t="shared" si="15"/>
        <v/>
      </c>
      <c r="L511" s="24"/>
      <c r="M511" s="24"/>
    </row>
    <row r="512" spans="1:13">
      <c r="A512" s="10" t="str">
        <f t="shared" si="14"/>
        <v/>
      </c>
      <c r="C512" s="120" t="s">
        <v>126</v>
      </c>
      <c r="D512"/>
      <c r="E512"/>
      <c r="F512"/>
      <c r="G512"/>
      <c r="H512"/>
      <c r="I512" s="21" t="str">
        <f t="shared" si="15"/>
        <v/>
      </c>
      <c r="L512" s="24"/>
      <c r="M512" s="24"/>
    </row>
    <row r="513" spans="1:13">
      <c r="A513" s="14" t="str">
        <f t="shared" si="14"/>
        <v/>
      </c>
      <c r="C513" s="120" t="s">
        <v>128</v>
      </c>
      <c r="D513"/>
      <c r="E513"/>
      <c r="F513"/>
      <c r="G513"/>
      <c r="H513"/>
      <c r="I513" s="21" t="str">
        <f t="shared" si="15"/>
        <v/>
      </c>
      <c r="L513" s="24"/>
      <c r="M513" s="24"/>
    </row>
    <row r="514" spans="1:13">
      <c r="A514" s="10" t="str">
        <f t="shared" ref="A514:A577" si="16">IF(B514&lt;&gt;"",ROW()-1,"")</f>
        <v/>
      </c>
      <c r="C514" s="120" t="s">
        <v>280</v>
      </c>
      <c r="D514"/>
      <c r="E514"/>
      <c r="F514"/>
      <c r="G514"/>
      <c r="H514"/>
      <c r="I514" s="21" t="str">
        <f t="shared" ref="I514:I577" si="17">IF(AND(G514&lt;&gt;"",H514&lt;&gt;""),H514-G514,"")</f>
        <v/>
      </c>
      <c r="L514" s="24"/>
      <c r="M514" s="24"/>
    </row>
    <row r="515" spans="1:13">
      <c r="A515" s="14" t="str">
        <f t="shared" si="16"/>
        <v/>
      </c>
      <c r="C515" s="120" t="s">
        <v>282</v>
      </c>
      <c r="D515"/>
      <c r="E515"/>
      <c r="F515"/>
      <c r="G515"/>
      <c r="H515"/>
      <c r="I515" s="21" t="str">
        <f t="shared" si="17"/>
        <v/>
      </c>
      <c r="L515" s="24"/>
      <c r="M515" s="24"/>
    </row>
    <row r="516" spans="1:13">
      <c r="A516" s="10" t="str">
        <f t="shared" si="16"/>
        <v/>
      </c>
      <c r="C516" s="120" t="s">
        <v>284</v>
      </c>
      <c r="D516"/>
      <c r="E516"/>
      <c r="F516"/>
      <c r="G516"/>
      <c r="H516"/>
      <c r="I516" s="21" t="str">
        <f t="shared" si="17"/>
        <v/>
      </c>
      <c r="L516" s="24"/>
      <c r="M516" s="24"/>
    </row>
    <row r="517" spans="1:13">
      <c r="A517" s="14" t="str">
        <f t="shared" si="16"/>
        <v/>
      </c>
      <c r="C517" s="120" t="s">
        <v>286</v>
      </c>
      <c r="D517"/>
      <c r="E517"/>
      <c r="F517"/>
      <c r="G517"/>
      <c r="H517"/>
      <c r="I517" s="21" t="str">
        <f t="shared" si="17"/>
        <v/>
      </c>
      <c r="L517" s="24"/>
      <c r="M517" s="24"/>
    </row>
    <row r="518" spans="1:13">
      <c r="A518" s="10" t="str">
        <f t="shared" si="16"/>
        <v/>
      </c>
      <c r="C518" s="120" t="s">
        <v>126</v>
      </c>
      <c r="D518"/>
      <c r="E518"/>
      <c r="F518"/>
      <c r="G518"/>
      <c r="H518"/>
      <c r="I518" s="21" t="str">
        <f t="shared" si="17"/>
        <v/>
      </c>
      <c r="L518" s="24"/>
      <c r="M518" s="24"/>
    </row>
    <row r="519" spans="1:13">
      <c r="A519" s="14" t="str">
        <f t="shared" si="16"/>
        <v/>
      </c>
      <c r="C519" s="120" t="s">
        <v>128</v>
      </c>
      <c r="D519"/>
      <c r="E519"/>
      <c r="F519"/>
      <c r="G519"/>
      <c r="H519"/>
      <c r="I519" s="21" t="str">
        <f t="shared" si="17"/>
        <v/>
      </c>
      <c r="L519" s="24"/>
      <c r="M519" s="24"/>
    </row>
    <row r="520" spans="1:13">
      <c r="A520" s="10" t="str">
        <f t="shared" si="16"/>
        <v/>
      </c>
      <c r="C520" s="120" t="s">
        <v>280</v>
      </c>
      <c r="D520"/>
      <c r="E520"/>
      <c r="F520"/>
      <c r="G520"/>
      <c r="H520"/>
      <c r="I520" s="21" t="str">
        <f t="shared" si="17"/>
        <v/>
      </c>
      <c r="L520" s="24"/>
      <c r="M520" s="24"/>
    </row>
    <row r="521" spans="1:13">
      <c r="A521" s="14" t="str">
        <f t="shared" si="16"/>
        <v/>
      </c>
      <c r="C521" s="120" t="s">
        <v>282</v>
      </c>
      <c r="D521"/>
      <c r="E521"/>
      <c r="F521"/>
      <c r="G521"/>
      <c r="H521"/>
      <c r="I521" s="21" t="str">
        <f t="shared" si="17"/>
        <v/>
      </c>
      <c r="L521" s="24"/>
      <c r="M521" s="24"/>
    </row>
    <row r="522" spans="1:13">
      <c r="A522" s="10" t="str">
        <f t="shared" si="16"/>
        <v/>
      </c>
      <c r="C522" s="120" t="s">
        <v>284</v>
      </c>
      <c r="D522"/>
      <c r="E522"/>
      <c r="F522"/>
      <c r="G522"/>
      <c r="H522"/>
      <c r="I522" s="21" t="str">
        <f t="shared" si="17"/>
        <v/>
      </c>
      <c r="L522" s="24"/>
      <c r="M522" s="24"/>
    </row>
    <row r="523" spans="1:13">
      <c r="A523" s="14" t="str">
        <f t="shared" si="16"/>
        <v/>
      </c>
      <c r="C523" s="120" t="s">
        <v>286</v>
      </c>
      <c r="D523"/>
      <c r="E523"/>
      <c r="F523"/>
      <c r="G523"/>
      <c r="H523"/>
      <c r="I523" s="21" t="str">
        <f t="shared" si="17"/>
        <v/>
      </c>
      <c r="L523" s="24"/>
      <c r="M523" s="24"/>
    </row>
    <row r="524" spans="1:13">
      <c r="A524" s="10" t="str">
        <f t="shared" si="16"/>
        <v/>
      </c>
      <c r="C524" s="120" t="s">
        <v>126</v>
      </c>
      <c r="D524"/>
      <c r="E524"/>
      <c r="F524"/>
      <c r="G524"/>
      <c r="H524"/>
      <c r="I524" s="21" t="str">
        <f t="shared" si="17"/>
        <v/>
      </c>
      <c r="L524" s="24"/>
      <c r="M524" s="24"/>
    </row>
    <row r="525" spans="1:13">
      <c r="A525" s="14" t="str">
        <f t="shared" si="16"/>
        <v/>
      </c>
      <c r="C525" s="120" t="s">
        <v>128</v>
      </c>
      <c r="D525"/>
      <c r="E525"/>
      <c r="F525"/>
      <c r="G525"/>
      <c r="H525"/>
      <c r="I525" s="21" t="str">
        <f t="shared" si="17"/>
        <v/>
      </c>
      <c r="L525" s="24"/>
      <c r="M525" s="24"/>
    </row>
    <row r="526" spans="1:13">
      <c r="A526" s="10" t="str">
        <f t="shared" si="16"/>
        <v/>
      </c>
      <c r="C526" s="120" t="s">
        <v>280</v>
      </c>
      <c r="D526"/>
      <c r="E526"/>
      <c r="F526"/>
      <c r="G526"/>
      <c r="H526"/>
      <c r="I526" s="21" t="str">
        <f t="shared" si="17"/>
        <v/>
      </c>
      <c r="L526" s="24"/>
      <c r="M526" s="24"/>
    </row>
    <row r="527" spans="1:13">
      <c r="A527" s="14" t="str">
        <f t="shared" si="16"/>
        <v/>
      </c>
      <c r="C527" s="120" t="s">
        <v>282</v>
      </c>
      <c r="D527"/>
      <c r="E527"/>
      <c r="F527"/>
      <c r="G527"/>
      <c r="H527"/>
      <c r="I527" s="21" t="str">
        <f t="shared" si="17"/>
        <v/>
      </c>
      <c r="L527" s="24"/>
      <c r="M527" s="24"/>
    </row>
    <row r="528" spans="1:13">
      <c r="A528" s="10" t="str">
        <f t="shared" si="16"/>
        <v/>
      </c>
      <c r="C528" s="120" t="s">
        <v>284</v>
      </c>
      <c r="D528"/>
      <c r="E528"/>
      <c r="F528"/>
      <c r="G528"/>
      <c r="H528"/>
      <c r="I528" s="21" t="str">
        <f t="shared" si="17"/>
        <v/>
      </c>
      <c r="L528" s="24"/>
      <c r="M528" s="24"/>
    </row>
    <row r="529" spans="1:13">
      <c r="A529" s="14" t="str">
        <f t="shared" si="16"/>
        <v/>
      </c>
      <c r="C529" s="120" t="s">
        <v>286</v>
      </c>
      <c r="D529"/>
      <c r="E529"/>
      <c r="F529"/>
      <c r="G529"/>
      <c r="H529"/>
      <c r="I529" s="21" t="str">
        <f t="shared" si="17"/>
        <v/>
      </c>
      <c r="L529" s="24"/>
      <c r="M529" s="24"/>
    </row>
    <row r="530" spans="1:13">
      <c r="A530" s="10" t="str">
        <f t="shared" si="16"/>
        <v/>
      </c>
      <c r="C530" s="120" t="s">
        <v>126</v>
      </c>
      <c r="D530"/>
      <c r="E530"/>
      <c r="F530"/>
      <c r="G530"/>
      <c r="H530"/>
      <c r="I530" s="21" t="str">
        <f t="shared" si="17"/>
        <v/>
      </c>
      <c r="L530" s="24"/>
      <c r="M530" s="24"/>
    </row>
    <row r="531" spans="1:13">
      <c r="A531" s="14" t="str">
        <f t="shared" si="16"/>
        <v/>
      </c>
      <c r="C531" s="120" t="s">
        <v>128</v>
      </c>
      <c r="D531"/>
      <c r="E531"/>
      <c r="F531"/>
      <c r="G531"/>
      <c r="H531"/>
      <c r="I531" s="21" t="str">
        <f t="shared" si="17"/>
        <v/>
      </c>
      <c r="L531" s="24"/>
      <c r="M531" s="24"/>
    </row>
    <row r="532" spans="1:13">
      <c r="A532" s="10" t="str">
        <f t="shared" si="16"/>
        <v/>
      </c>
      <c r="C532" s="120" t="s">
        <v>280</v>
      </c>
      <c r="D532"/>
      <c r="E532"/>
      <c r="F532"/>
      <c r="G532"/>
      <c r="H532"/>
      <c r="I532" s="21" t="str">
        <f t="shared" si="17"/>
        <v/>
      </c>
      <c r="L532" s="24"/>
      <c r="M532" s="24"/>
    </row>
    <row r="533" spans="1:13">
      <c r="A533" s="14" t="str">
        <f t="shared" si="16"/>
        <v/>
      </c>
      <c r="C533" s="120" t="s">
        <v>282</v>
      </c>
      <c r="D533"/>
      <c r="E533"/>
      <c r="F533"/>
      <c r="G533"/>
      <c r="H533"/>
      <c r="I533" s="21" t="str">
        <f t="shared" si="17"/>
        <v/>
      </c>
      <c r="L533" s="24"/>
      <c r="M533" s="24"/>
    </row>
    <row r="534" spans="1:13">
      <c r="A534" s="10" t="str">
        <f t="shared" si="16"/>
        <v/>
      </c>
      <c r="C534" s="120" t="s">
        <v>284</v>
      </c>
      <c r="D534"/>
      <c r="E534"/>
      <c r="F534"/>
      <c r="G534"/>
      <c r="H534"/>
      <c r="I534" s="21" t="str">
        <f t="shared" si="17"/>
        <v/>
      </c>
      <c r="L534" s="24"/>
      <c r="M534" s="24"/>
    </row>
    <row r="535" spans="1:13">
      <c r="A535" s="14" t="str">
        <f t="shared" si="16"/>
        <v/>
      </c>
      <c r="C535" s="120" t="s">
        <v>286</v>
      </c>
      <c r="D535"/>
      <c r="E535"/>
      <c r="F535"/>
      <c r="G535"/>
      <c r="H535"/>
      <c r="I535" s="21" t="str">
        <f t="shared" si="17"/>
        <v/>
      </c>
      <c r="L535" s="24"/>
      <c r="M535" s="24"/>
    </row>
    <row r="536" spans="1:13">
      <c r="A536" s="10" t="str">
        <f t="shared" si="16"/>
        <v/>
      </c>
      <c r="C536" s="120" t="s">
        <v>126</v>
      </c>
      <c r="D536"/>
      <c r="E536"/>
      <c r="F536"/>
      <c r="G536"/>
      <c r="H536"/>
      <c r="I536" s="21" t="str">
        <f t="shared" si="17"/>
        <v/>
      </c>
      <c r="L536" s="24"/>
      <c r="M536" s="24"/>
    </row>
    <row r="537" spans="1:13">
      <c r="A537" s="14" t="str">
        <f t="shared" si="16"/>
        <v/>
      </c>
      <c r="C537" s="120" t="s">
        <v>128</v>
      </c>
      <c r="D537"/>
      <c r="E537"/>
      <c r="F537"/>
      <c r="G537"/>
      <c r="H537"/>
      <c r="I537" s="21" t="str">
        <f t="shared" si="17"/>
        <v/>
      </c>
      <c r="L537" s="24"/>
      <c r="M537" s="24"/>
    </row>
    <row r="538" spans="1:13">
      <c r="A538" s="10" t="str">
        <f t="shared" si="16"/>
        <v/>
      </c>
      <c r="C538" s="120" t="s">
        <v>280</v>
      </c>
      <c r="D538"/>
      <c r="E538"/>
      <c r="F538"/>
      <c r="G538"/>
      <c r="H538"/>
      <c r="I538" s="21" t="str">
        <f t="shared" si="17"/>
        <v/>
      </c>
      <c r="L538" s="24"/>
      <c r="M538" s="24"/>
    </row>
    <row r="539" spans="1:13">
      <c r="A539" s="14" t="str">
        <f t="shared" si="16"/>
        <v/>
      </c>
      <c r="C539" s="120" t="s">
        <v>282</v>
      </c>
      <c r="D539"/>
      <c r="E539"/>
      <c r="F539"/>
      <c r="G539"/>
      <c r="H539"/>
      <c r="I539" s="21" t="str">
        <f t="shared" si="17"/>
        <v/>
      </c>
      <c r="L539" s="24"/>
      <c r="M539" s="24"/>
    </row>
    <row r="540" spans="1:13">
      <c r="A540" s="10" t="str">
        <f t="shared" si="16"/>
        <v/>
      </c>
      <c r="C540" s="120" t="s">
        <v>284</v>
      </c>
      <c r="D540"/>
      <c r="E540"/>
      <c r="F540"/>
      <c r="G540"/>
      <c r="H540"/>
      <c r="I540" s="21" t="str">
        <f t="shared" si="17"/>
        <v/>
      </c>
      <c r="L540" s="24"/>
      <c r="M540" s="24"/>
    </row>
    <row r="541" spans="1:13">
      <c r="A541" s="14" t="str">
        <f t="shared" si="16"/>
        <v/>
      </c>
      <c r="C541" s="120" t="s">
        <v>286</v>
      </c>
      <c r="D541"/>
      <c r="E541"/>
      <c r="F541"/>
      <c r="G541"/>
      <c r="H541"/>
      <c r="I541" s="21" t="str">
        <f t="shared" si="17"/>
        <v/>
      </c>
      <c r="L541" s="24"/>
      <c r="M541" s="24"/>
    </row>
    <row r="542" spans="1:13">
      <c r="A542" s="10" t="str">
        <f t="shared" si="16"/>
        <v/>
      </c>
      <c r="C542" s="120" t="s">
        <v>126</v>
      </c>
      <c r="D542"/>
      <c r="E542"/>
      <c r="F542"/>
      <c r="G542"/>
      <c r="H542"/>
      <c r="I542" s="21" t="str">
        <f t="shared" si="17"/>
        <v/>
      </c>
      <c r="L542" s="24"/>
      <c r="M542" s="24"/>
    </row>
    <row r="543" spans="1:13">
      <c r="A543" s="14" t="str">
        <f t="shared" si="16"/>
        <v/>
      </c>
      <c r="C543" s="120" t="s">
        <v>128</v>
      </c>
      <c r="D543"/>
      <c r="E543"/>
      <c r="F543"/>
      <c r="G543"/>
      <c r="H543"/>
      <c r="I543" s="21" t="str">
        <f t="shared" si="17"/>
        <v/>
      </c>
      <c r="L543" s="24"/>
      <c r="M543" s="24"/>
    </row>
    <row r="544" spans="1:13">
      <c r="A544" s="10" t="str">
        <f t="shared" si="16"/>
        <v/>
      </c>
      <c r="C544" s="120" t="s">
        <v>280</v>
      </c>
      <c r="D544"/>
      <c r="E544"/>
      <c r="F544"/>
      <c r="G544"/>
      <c r="H544"/>
      <c r="I544" s="21" t="str">
        <f t="shared" si="17"/>
        <v/>
      </c>
      <c r="L544" s="24"/>
      <c r="M544" s="24"/>
    </row>
    <row r="545" spans="1:13">
      <c r="A545" s="14" t="str">
        <f t="shared" si="16"/>
        <v/>
      </c>
      <c r="C545" s="120" t="s">
        <v>282</v>
      </c>
      <c r="D545"/>
      <c r="E545"/>
      <c r="F545"/>
      <c r="G545"/>
      <c r="H545"/>
      <c r="I545" s="21" t="str">
        <f t="shared" si="17"/>
        <v/>
      </c>
      <c r="L545" s="24"/>
      <c r="M545" s="24"/>
    </row>
    <row r="546" spans="1:13">
      <c r="A546" s="10" t="str">
        <f t="shared" si="16"/>
        <v/>
      </c>
      <c r="C546" s="120" t="s">
        <v>284</v>
      </c>
      <c r="D546"/>
      <c r="E546"/>
      <c r="F546"/>
      <c r="G546"/>
      <c r="H546"/>
      <c r="I546" s="21" t="str">
        <f t="shared" si="17"/>
        <v/>
      </c>
      <c r="L546" s="24"/>
      <c r="M546" s="24"/>
    </row>
    <row r="547" spans="1:13">
      <c r="A547" s="14" t="str">
        <f t="shared" si="16"/>
        <v/>
      </c>
      <c r="C547" s="120" t="s">
        <v>286</v>
      </c>
      <c r="D547"/>
      <c r="E547"/>
      <c r="F547"/>
      <c r="G547"/>
      <c r="H547"/>
      <c r="I547" s="21" t="str">
        <f t="shared" si="17"/>
        <v/>
      </c>
      <c r="L547" s="24"/>
      <c r="M547" s="24"/>
    </row>
    <row r="548" spans="1:13">
      <c r="A548" s="10" t="str">
        <f t="shared" si="16"/>
        <v/>
      </c>
      <c r="C548" s="120" t="s">
        <v>126</v>
      </c>
      <c r="D548"/>
      <c r="E548"/>
      <c r="F548"/>
      <c r="G548"/>
      <c r="H548"/>
      <c r="I548" s="21" t="str">
        <f t="shared" si="17"/>
        <v/>
      </c>
      <c r="L548" s="24"/>
      <c r="M548" s="24"/>
    </row>
    <row r="549" spans="1:13">
      <c r="A549" s="14" t="str">
        <f t="shared" si="16"/>
        <v/>
      </c>
      <c r="C549" s="120" t="s">
        <v>128</v>
      </c>
      <c r="D549"/>
      <c r="E549"/>
      <c r="F549"/>
      <c r="G549"/>
      <c r="H549"/>
      <c r="I549" s="21" t="str">
        <f t="shared" si="17"/>
        <v/>
      </c>
      <c r="L549" s="24"/>
      <c r="M549" s="24"/>
    </row>
    <row r="550" spans="1:13">
      <c r="A550" s="10" t="str">
        <f t="shared" si="16"/>
        <v/>
      </c>
      <c r="C550" s="120" t="s">
        <v>280</v>
      </c>
      <c r="D550"/>
      <c r="E550"/>
      <c r="F550"/>
      <c r="G550"/>
      <c r="H550"/>
      <c r="I550" s="21" t="str">
        <f t="shared" si="17"/>
        <v/>
      </c>
      <c r="L550" s="24"/>
      <c r="M550" s="24"/>
    </row>
    <row r="551" spans="1:13">
      <c r="A551" s="14" t="str">
        <f t="shared" si="16"/>
        <v/>
      </c>
      <c r="C551" s="120" t="s">
        <v>282</v>
      </c>
      <c r="D551"/>
      <c r="E551"/>
      <c r="F551"/>
      <c r="G551"/>
      <c r="H551"/>
      <c r="I551" s="21" t="str">
        <f t="shared" si="17"/>
        <v/>
      </c>
      <c r="L551" s="24"/>
      <c r="M551" s="24"/>
    </row>
    <row r="552" spans="1:13">
      <c r="A552" s="10" t="str">
        <f t="shared" si="16"/>
        <v/>
      </c>
      <c r="C552" s="120" t="s">
        <v>284</v>
      </c>
      <c r="D552"/>
      <c r="E552"/>
      <c r="F552"/>
      <c r="G552"/>
      <c r="H552"/>
      <c r="I552" s="21" t="str">
        <f t="shared" si="17"/>
        <v/>
      </c>
      <c r="L552" s="24"/>
      <c r="M552" s="24"/>
    </row>
    <row r="553" spans="1:13">
      <c r="A553" s="14" t="str">
        <f t="shared" si="16"/>
        <v/>
      </c>
      <c r="C553" s="120" t="s">
        <v>286</v>
      </c>
      <c r="D553"/>
      <c r="E553"/>
      <c r="F553"/>
      <c r="G553"/>
      <c r="H553"/>
      <c r="I553" s="21" t="str">
        <f t="shared" si="17"/>
        <v/>
      </c>
      <c r="L553" s="24"/>
      <c r="M553" s="24"/>
    </row>
    <row r="554" spans="1:13">
      <c r="A554" s="10" t="str">
        <f t="shared" si="16"/>
        <v/>
      </c>
      <c r="C554" s="120" t="s">
        <v>126</v>
      </c>
      <c r="D554"/>
      <c r="E554"/>
      <c r="F554"/>
      <c r="G554"/>
      <c r="H554"/>
      <c r="I554" s="21" t="str">
        <f t="shared" si="17"/>
        <v/>
      </c>
      <c r="L554" s="24"/>
      <c r="M554" s="24"/>
    </row>
    <row r="555" spans="1:13">
      <c r="A555" s="14" t="str">
        <f t="shared" si="16"/>
        <v/>
      </c>
      <c r="C555" s="120" t="s">
        <v>128</v>
      </c>
      <c r="D555"/>
      <c r="E555"/>
      <c r="F555"/>
      <c r="G555"/>
      <c r="H555"/>
      <c r="I555" s="21" t="str">
        <f t="shared" si="17"/>
        <v/>
      </c>
      <c r="L555" s="24"/>
      <c r="M555" s="24"/>
    </row>
    <row r="556" spans="1:13">
      <c r="A556" s="10" t="str">
        <f t="shared" si="16"/>
        <v/>
      </c>
      <c r="C556" s="120" t="s">
        <v>280</v>
      </c>
      <c r="D556"/>
      <c r="E556"/>
      <c r="F556"/>
      <c r="G556"/>
      <c r="H556"/>
      <c r="I556" s="21" t="str">
        <f t="shared" si="17"/>
        <v/>
      </c>
      <c r="L556" s="24"/>
      <c r="M556" s="24"/>
    </row>
    <row r="557" spans="1:13">
      <c r="A557" s="14" t="str">
        <f t="shared" si="16"/>
        <v/>
      </c>
      <c r="C557" s="120" t="s">
        <v>282</v>
      </c>
      <c r="D557"/>
      <c r="E557"/>
      <c r="F557"/>
      <c r="G557"/>
      <c r="H557"/>
      <c r="I557" s="21" t="str">
        <f t="shared" si="17"/>
        <v/>
      </c>
      <c r="L557" s="24"/>
      <c r="M557" s="24"/>
    </row>
    <row r="558" spans="1:13">
      <c r="A558" s="10" t="str">
        <f t="shared" si="16"/>
        <v/>
      </c>
      <c r="C558" s="120" t="s">
        <v>284</v>
      </c>
      <c r="D558"/>
      <c r="E558"/>
      <c r="F558"/>
      <c r="G558"/>
      <c r="H558"/>
      <c r="I558" s="21" t="str">
        <f t="shared" si="17"/>
        <v/>
      </c>
      <c r="L558" s="24"/>
      <c r="M558" s="24"/>
    </row>
    <row r="559" spans="1:13">
      <c r="A559" s="14" t="str">
        <f t="shared" si="16"/>
        <v/>
      </c>
      <c r="C559" s="120" t="s">
        <v>286</v>
      </c>
      <c r="D559"/>
      <c r="E559"/>
      <c r="F559"/>
      <c r="G559"/>
      <c r="H559"/>
      <c r="I559" s="21" t="str">
        <f t="shared" si="17"/>
        <v/>
      </c>
      <c r="L559" s="24"/>
      <c r="M559" s="24"/>
    </row>
    <row r="560" spans="1:13">
      <c r="A560" s="10" t="str">
        <f t="shared" si="16"/>
        <v/>
      </c>
      <c r="C560" s="120" t="s">
        <v>126</v>
      </c>
      <c r="D560"/>
      <c r="E560"/>
      <c r="F560"/>
      <c r="G560"/>
      <c r="H560"/>
      <c r="I560" s="21" t="str">
        <f t="shared" si="17"/>
        <v/>
      </c>
      <c r="L560" s="24"/>
      <c r="M560" s="24"/>
    </row>
    <row r="561" spans="1:13">
      <c r="A561" s="14" t="str">
        <f t="shared" si="16"/>
        <v/>
      </c>
      <c r="C561" s="120" t="s">
        <v>128</v>
      </c>
      <c r="D561"/>
      <c r="E561"/>
      <c r="F561"/>
      <c r="G561"/>
      <c r="H561"/>
      <c r="I561" s="21" t="str">
        <f t="shared" si="17"/>
        <v/>
      </c>
      <c r="L561" s="24"/>
      <c r="M561" s="24"/>
    </row>
    <row r="562" spans="1:13">
      <c r="A562" s="10" t="str">
        <f t="shared" si="16"/>
        <v/>
      </c>
      <c r="C562" s="120" t="s">
        <v>280</v>
      </c>
      <c r="D562"/>
      <c r="E562"/>
      <c r="F562"/>
      <c r="G562"/>
      <c r="H562"/>
      <c r="I562" s="21" t="str">
        <f t="shared" si="17"/>
        <v/>
      </c>
      <c r="L562" s="24"/>
      <c r="M562" s="24"/>
    </row>
    <row r="563" spans="1:13">
      <c r="A563" s="14" t="str">
        <f t="shared" si="16"/>
        <v/>
      </c>
      <c r="C563" s="120" t="s">
        <v>282</v>
      </c>
      <c r="D563"/>
      <c r="E563"/>
      <c r="F563"/>
      <c r="G563"/>
      <c r="H563"/>
      <c r="I563" s="21" t="str">
        <f t="shared" si="17"/>
        <v/>
      </c>
      <c r="L563" s="24"/>
      <c r="M563" s="24"/>
    </row>
    <row r="564" spans="1:13">
      <c r="A564" s="10" t="str">
        <f t="shared" si="16"/>
        <v/>
      </c>
      <c r="C564" s="120" t="s">
        <v>284</v>
      </c>
      <c r="D564"/>
      <c r="E564"/>
      <c r="F564"/>
      <c r="G564"/>
      <c r="H564"/>
      <c r="I564" s="21" t="str">
        <f t="shared" si="17"/>
        <v/>
      </c>
      <c r="L564" s="24"/>
      <c r="M564" s="24"/>
    </row>
    <row r="565" spans="1:13">
      <c r="A565" s="14" t="str">
        <f t="shared" si="16"/>
        <v/>
      </c>
      <c r="C565" s="120" t="s">
        <v>286</v>
      </c>
      <c r="D565"/>
      <c r="E565"/>
      <c r="F565"/>
      <c r="G565"/>
      <c r="H565"/>
      <c r="I565" s="21" t="str">
        <f t="shared" si="17"/>
        <v/>
      </c>
      <c r="L565" s="24"/>
      <c r="M565" s="24"/>
    </row>
    <row r="566" spans="1:13">
      <c r="A566" s="10" t="str">
        <f t="shared" si="16"/>
        <v/>
      </c>
      <c r="C566" s="120" t="s">
        <v>126</v>
      </c>
      <c r="D566"/>
      <c r="E566"/>
      <c r="F566"/>
      <c r="G566"/>
      <c r="H566"/>
      <c r="I566" s="21" t="str">
        <f t="shared" si="17"/>
        <v/>
      </c>
      <c r="L566" s="24"/>
      <c r="M566" s="24"/>
    </row>
    <row r="567" spans="1:13">
      <c r="A567" s="14" t="str">
        <f t="shared" si="16"/>
        <v/>
      </c>
      <c r="C567" s="120" t="s">
        <v>128</v>
      </c>
      <c r="D567"/>
      <c r="E567"/>
      <c r="F567"/>
      <c r="G567"/>
      <c r="H567"/>
      <c r="I567" s="21" t="str">
        <f t="shared" si="17"/>
        <v/>
      </c>
      <c r="L567" s="24"/>
      <c r="M567" s="24"/>
    </row>
    <row r="568" spans="1:13">
      <c r="A568" s="10" t="str">
        <f t="shared" si="16"/>
        <v/>
      </c>
      <c r="C568" s="120" t="s">
        <v>280</v>
      </c>
      <c r="D568"/>
      <c r="E568"/>
      <c r="F568"/>
      <c r="G568"/>
      <c r="H568"/>
      <c r="I568" s="21" t="str">
        <f t="shared" si="17"/>
        <v/>
      </c>
      <c r="L568" s="24"/>
      <c r="M568" s="24"/>
    </row>
    <row r="569" spans="1:13">
      <c r="A569" s="14" t="str">
        <f t="shared" si="16"/>
        <v/>
      </c>
      <c r="C569" s="120" t="s">
        <v>282</v>
      </c>
      <c r="D569"/>
      <c r="E569"/>
      <c r="F569"/>
      <c r="G569"/>
      <c r="H569"/>
      <c r="I569" s="21" t="str">
        <f t="shared" si="17"/>
        <v/>
      </c>
      <c r="L569" s="24"/>
      <c r="M569" s="24"/>
    </row>
    <row r="570" spans="1:13">
      <c r="A570" s="10" t="str">
        <f t="shared" si="16"/>
        <v/>
      </c>
      <c r="C570" s="120" t="s">
        <v>284</v>
      </c>
      <c r="D570"/>
      <c r="E570"/>
      <c r="F570"/>
      <c r="G570"/>
      <c r="H570"/>
      <c r="I570" s="21" t="str">
        <f t="shared" si="17"/>
        <v/>
      </c>
      <c r="L570" s="24"/>
      <c r="M570" s="24"/>
    </row>
    <row r="571" spans="1:13">
      <c r="A571" s="14" t="str">
        <f t="shared" si="16"/>
        <v/>
      </c>
      <c r="C571" s="120" t="s">
        <v>286</v>
      </c>
      <c r="D571"/>
      <c r="E571"/>
      <c r="F571"/>
      <c r="G571"/>
      <c r="H571"/>
      <c r="I571" s="21" t="str">
        <f t="shared" si="17"/>
        <v/>
      </c>
      <c r="L571" s="24"/>
      <c r="M571" s="24"/>
    </row>
    <row r="572" spans="1:13">
      <c r="A572" s="10" t="str">
        <f t="shared" si="16"/>
        <v/>
      </c>
      <c r="C572" s="120" t="s">
        <v>126</v>
      </c>
      <c r="D572"/>
      <c r="E572"/>
      <c r="F572"/>
      <c r="G572"/>
      <c r="H572"/>
      <c r="I572" s="21" t="str">
        <f t="shared" si="17"/>
        <v/>
      </c>
      <c r="L572" s="24"/>
      <c r="M572" s="24"/>
    </row>
    <row r="573" spans="1:13">
      <c r="A573" s="14" t="str">
        <f t="shared" si="16"/>
        <v/>
      </c>
      <c r="C573" s="120" t="s">
        <v>128</v>
      </c>
      <c r="D573"/>
      <c r="E573"/>
      <c r="F573"/>
      <c r="G573"/>
      <c r="H573"/>
      <c r="I573" s="21" t="str">
        <f t="shared" si="17"/>
        <v/>
      </c>
      <c r="L573" s="24"/>
      <c r="M573" s="24"/>
    </row>
    <row r="574" spans="1:13">
      <c r="A574" s="10" t="str">
        <f t="shared" si="16"/>
        <v/>
      </c>
      <c r="C574" s="120" t="s">
        <v>280</v>
      </c>
      <c r="D574"/>
      <c r="E574"/>
      <c r="F574"/>
      <c r="G574"/>
      <c r="H574"/>
      <c r="I574" s="21" t="str">
        <f t="shared" si="17"/>
        <v/>
      </c>
      <c r="L574" s="24"/>
      <c r="M574" s="24"/>
    </row>
    <row r="575" spans="1:13">
      <c r="A575" s="14" t="str">
        <f t="shared" si="16"/>
        <v/>
      </c>
      <c r="C575" s="120" t="s">
        <v>282</v>
      </c>
      <c r="D575"/>
      <c r="E575"/>
      <c r="F575"/>
      <c r="G575"/>
      <c r="H575"/>
      <c r="I575" s="21" t="str">
        <f t="shared" si="17"/>
        <v/>
      </c>
      <c r="L575" s="24"/>
      <c r="M575" s="24"/>
    </row>
    <row r="576" spans="1:13">
      <c r="A576" s="10" t="str">
        <f t="shared" si="16"/>
        <v/>
      </c>
      <c r="C576" s="120" t="s">
        <v>284</v>
      </c>
      <c r="D576"/>
      <c r="E576"/>
      <c r="F576"/>
      <c r="G576"/>
      <c r="H576"/>
      <c r="I576" s="21" t="str">
        <f t="shared" si="17"/>
        <v/>
      </c>
      <c r="L576" s="24"/>
      <c r="M576" s="24"/>
    </row>
    <row r="577" spans="1:13">
      <c r="A577" s="14" t="str">
        <f t="shared" si="16"/>
        <v/>
      </c>
      <c r="C577" s="120" t="s">
        <v>286</v>
      </c>
      <c r="D577"/>
      <c r="E577"/>
      <c r="F577"/>
      <c r="G577"/>
      <c r="H577"/>
      <c r="I577" s="21" t="str">
        <f t="shared" si="17"/>
        <v/>
      </c>
      <c r="L577" s="24"/>
      <c r="M577" s="24"/>
    </row>
    <row r="578" spans="1:13">
      <c r="A578" s="10" t="str">
        <f t="shared" ref="A578:A641" si="18">IF(B578&lt;&gt;"",ROW()-1,"")</f>
        <v/>
      </c>
      <c r="C578" s="120" t="s">
        <v>126</v>
      </c>
      <c r="D578"/>
      <c r="E578"/>
      <c r="F578"/>
      <c r="G578"/>
      <c r="H578"/>
      <c r="I578" s="21" t="str">
        <f t="shared" ref="I578:I641" si="19">IF(AND(G578&lt;&gt;"",H578&lt;&gt;""),H578-G578,"")</f>
        <v/>
      </c>
      <c r="L578" s="24"/>
      <c r="M578" s="24"/>
    </row>
    <row r="579" spans="1:13">
      <c r="A579" s="14" t="str">
        <f t="shared" si="18"/>
        <v/>
      </c>
      <c r="C579" s="120" t="s">
        <v>128</v>
      </c>
      <c r="D579"/>
      <c r="E579"/>
      <c r="F579"/>
      <c r="G579"/>
      <c r="H579"/>
      <c r="I579" s="21" t="str">
        <f t="shared" si="19"/>
        <v/>
      </c>
      <c r="L579" s="24"/>
      <c r="M579" s="24"/>
    </row>
    <row r="580" spans="1:13">
      <c r="A580" s="10" t="str">
        <f t="shared" si="18"/>
        <v/>
      </c>
      <c r="C580" s="120" t="s">
        <v>280</v>
      </c>
      <c r="D580"/>
      <c r="E580"/>
      <c r="F580"/>
      <c r="G580"/>
      <c r="H580"/>
      <c r="I580" s="21" t="str">
        <f t="shared" si="19"/>
        <v/>
      </c>
      <c r="L580" s="24"/>
      <c r="M580" s="24"/>
    </row>
    <row r="581" spans="1:13">
      <c r="A581" s="14" t="str">
        <f t="shared" si="18"/>
        <v/>
      </c>
      <c r="C581" s="120" t="s">
        <v>282</v>
      </c>
      <c r="D581"/>
      <c r="E581"/>
      <c r="F581"/>
      <c r="G581"/>
      <c r="H581"/>
      <c r="I581" s="21" t="str">
        <f t="shared" si="19"/>
        <v/>
      </c>
      <c r="L581" s="24"/>
      <c r="M581" s="24"/>
    </row>
    <row r="582" spans="1:13">
      <c r="A582" s="10" t="str">
        <f t="shared" si="18"/>
        <v/>
      </c>
      <c r="C582" s="120" t="s">
        <v>284</v>
      </c>
      <c r="D582"/>
      <c r="E582"/>
      <c r="F582"/>
      <c r="G582"/>
      <c r="H582"/>
      <c r="I582" s="21" t="str">
        <f t="shared" si="19"/>
        <v/>
      </c>
      <c r="L582" s="24"/>
      <c r="M582" s="24"/>
    </row>
    <row r="583" spans="1:13">
      <c r="A583" s="14" t="str">
        <f t="shared" si="18"/>
        <v/>
      </c>
      <c r="C583" s="120" t="s">
        <v>286</v>
      </c>
      <c r="D583"/>
      <c r="E583"/>
      <c r="F583"/>
      <c r="G583"/>
      <c r="H583"/>
      <c r="I583" s="21" t="str">
        <f t="shared" si="19"/>
        <v/>
      </c>
      <c r="L583" s="24"/>
      <c r="M583" s="24"/>
    </row>
    <row r="584" spans="1:13">
      <c r="A584" s="10" t="str">
        <f t="shared" si="18"/>
        <v/>
      </c>
      <c r="C584" s="120" t="s">
        <v>126</v>
      </c>
      <c r="D584"/>
      <c r="E584"/>
      <c r="F584"/>
      <c r="G584"/>
      <c r="H584"/>
      <c r="I584" s="21" t="str">
        <f t="shared" si="19"/>
        <v/>
      </c>
      <c r="L584" s="24"/>
      <c r="M584" s="24"/>
    </row>
    <row r="585" spans="1:13">
      <c r="A585" s="14" t="str">
        <f t="shared" si="18"/>
        <v/>
      </c>
      <c r="C585" s="120" t="s">
        <v>128</v>
      </c>
      <c r="D585"/>
      <c r="E585"/>
      <c r="F585"/>
      <c r="G585"/>
      <c r="H585"/>
      <c r="I585" s="21" t="str">
        <f t="shared" si="19"/>
        <v/>
      </c>
      <c r="L585" s="24"/>
      <c r="M585" s="24"/>
    </row>
    <row r="586" spans="1:13">
      <c r="A586" s="10" t="str">
        <f t="shared" si="18"/>
        <v/>
      </c>
      <c r="C586" s="120" t="s">
        <v>280</v>
      </c>
      <c r="D586"/>
      <c r="E586"/>
      <c r="F586"/>
      <c r="G586"/>
      <c r="H586"/>
      <c r="I586" s="21" t="str">
        <f t="shared" si="19"/>
        <v/>
      </c>
      <c r="L586" s="24"/>
      <c r="M586" s="24"/>
    </row>
    <row r="587" spans="1:13">
      <c r="A587" s="14" t="str">
        <f t="shared" si="18"/>
        <v/>
      </c>
      <c r="C587" s="120" t="s">
        <v>282</v>
      </c>
      <c r="D587"/>
      <c r="E587"/>
      <c r="F587"/>
      <c r="G587"/>
      <c r="H587"/>
      <c r="I587" s="21" t="str">
        <f t="shared" si="19"/>
        <v/>
      </c>
      <c r="L587" s="24"/>
      <c r="M587" s="24"/>
    </row>
    <row r="588" spans="1:13">
      <c r="A588" s="10" t="str">
        <f t="shared" si="18"/>
        <v/>
      </c>
      <c r="C588" s="120" t="s">
        <v>284</v>
      </c>
      <c r="D588"/>
      <c r="E588"/>
      <c r="F588"/>
      <c r="G588"/>
      <c r="H588"/>
      <c r="I588" s="21" t="str">
        <f t="shared" si="19"/>
        <v/>
      </c>
      <c r="L588" s="24"/>
      <c r="M588" s="24"/>
    </row>
    <row r="589" spans="1:13">
      <c r="A589" s="14" t="str">
        <f t="shared" si="18"/>
        <v/>
      </c>
      <c r="C589" s="120" t="s">
        <v>286</v>
      </c>
      <c r="D589"/>
      <c r="E589"/>
      <c r="F589"/>
      <c r="G589"/>
      <c r="H589"/>
      <c r="I589" s="21" t="str">
        <f t="shared" si="19"/>
        <v/>
      </c>
      <c r="L589" s="24"/>
      <c r="M589" s="24"/>
    </row>
    <row r="590" spans="1:13">
      <c r="A590" s="10" t="str">
        <f t="shared" si="18"/>
        <v/>
      </c>
      <c r="C590" s="120" t="s">
        <v>126</v>
      </c>
      <c r="D590"/>
      <c r="E590"/>
      <c r="F590"/>
      <c r="G590"/>
      <c r="H590"/>
      <c r="I590" s="21" t="str">
        <f t="shared" si="19"/>
        <v/>
      </c>
      <c r="L590" s="24"/>
      <c r="M590" s="24"/>
    </row>
    <row r="591" spans="1:13">
      <c r="A591" s="14" t="str">
        <f t="shared" si="18"/>
        <v/>
      </c>
      <c r="C591" s="120" t="s">
        <v>128</v>
      </c>
      <c r="D591"/>
      <c r="E591"/>
      <c r="F591"/>
      <c r="G591"/>
      <c r="H591"/>
      <c r="I591" s="21" t="str">
        <f t="shared" si="19"/>
        <v/>
      </c>
      <c r="L591" s="24"/>
      <c r="M591" s="24"/>
    </row>
    <row r="592" spans="1:13">
      <c r="A592" s="10" t="str">
        <f t="shared" si="18"/>
        <v/>
      </c>
      <c r="C592" s="120" t="s">
        <v>280</v>
      </c>
      <c r="D592"/>
      <c r="E592"/>
      <c r="F592"/>
      <c r="G592"/>
      <c r="H592"/>
      <c r="I592" s="21" t="str">
        <f t="shared" si="19"/>
        <v/>
      </c>
      <c r="L592" s="24"/>
      <c r="M592" s="24"/>
    </row>
    <row r="593" spans="1:13">
      <c r="A593" s="14" t="str">
        <f t="shared" si="18"/>
        <v/>
      </c>
      <c r="C593" s="120" t="s">
        <v>282</v>
      </c>
      <c r="D593"/>
      <c r="E593"/>
      <c r="F593"/>
      <c r="G593"/>
      <c r="H593"/>
      <c r="I593" s="21" t="str">
        <f t="shared" si="19"/>
        <v/>
      </c>
      <c r="L593" s="24"/>
      <c r="M593" s="24"/>
    </row>
    <row r="594" spans="1:13">
      <c r="A594" s="10" t="str">
        <f t="shared" si="18"/>
        <v/>
      </c>
      <c r="C594" s="120" t="s">
        <v>284</v>
      </c>
      <c r="D594"/>
      <c r="E594"/>
      <c r="F594"/>
      <c r="G594"/>
      <c r="H594"/>
      <c r="I594" s="21" t="str">
        <f t="shared" si="19"/>
        <v/>
      </c>
      <c r="L594" s="24"/>
      <c r="M594" s="24"/>
    </row>
    <row r="595" spans="1:13">
      <c r="A595" s="14" t="str">
        <f t="shared" si="18"/>
        <v/>
      </c>
      <c r="C595" s="120" t="s">
        <v>286</v>
      </c>
      <c r="D595"/>
      <c r="E595"/>
      <c r="F595"/>
      <c r="G595"/>
      <c r="H595"/>
      <c r="I595" s="21" t="str">
        <f t="shared" si="19"/>
        <v/>
      </c>
      <c r="L595" s="24"/>
      <c r="M595" s="24"/>
    </row>
    <row r="596" spans="1:13">
      <c r="A596" s="10" t="str">
        <f t="shared" si="18"/>
        <v/>
      </c>
      <c r="C596" s="120" t="s">
        <v>126</v>
      </c>
      <c r="D596"/>
      <c r="E596"/>
      <c r="F596"/>
      <c r="G596"/>
      <c r="H596"/>
      <c r="I596" s="21" t="str">
        <f t="shared" si="19"/>
        <v/>
      </c>
      <c r="L596" s="24"/>
      <c r="M596" s="24"/>
    </row>
    <row r="597" spans="1:13">
      <c r="A597" s="14" t="str">
        <f t="shared" si="18"/>
        <v/>
      </c>
      <c r="C597" s="120" t="s">
        <v>128</v>
      </c>
      <c r="D597"/>
      <c r="E597"/>
      <c r="F597"/>
      <c r="G597"/>
      <c r="H597"/>
      <c r="I597" s="21" t="str">
        <f t="shared" si="19"/>
        <v/>
      </c>
      <c r="L597" s="24"/>
      <c r="M597" s="24"/>
    </row>
    <row r="598" spans="1:13">
      <c r="A598" s="10" t="str">
        <f t="shared" si="18"/>
        <v/>
      </c>
      <c r="C598" s="120" t="s">
        <v>280</v>
      </c>
      <c r="D598"/>
      <c r="E598"/>
      <c r="F598"/>
      <c r="G598"/>
      <c r="H598"/>
      <c r="I598" s="21" t="str">
        <f t="shared" si="19"/>
        <v/>
      </c>
      <c r="L598" s="24"/>
      <c r="M598" s="24"/>
    </row>
    <row r="599" spans="1:13">
      <c r="A599" s="14" t="str">
        <f t="shared" si="18"/>
        <v/>
      </c>
      <c r="C599" s="120" t="s">
        <v>282</v>
      </c>
      <c r="D599"/>
      <c r="E599"/>
      <c r="F599"/>
      <c r="G599"/>
      <c r="H599"/>
      <c r="I599" s="21" t="str">
        <f t="shared" si="19"/>
        <v/>
      </c>
      <c r="L599" s="24"/>
      <c r="M599" s="24"/>
    </row>
    <row r="600" spans="1:13">
      <c r="A600" s="10" t="str">
        <f t="shared" si="18"/>
        <v/>
      </c>
      <c r="C600" s="120" t="s">
        <v>284</v>
      </c>
      <c r="D600"/>
      <c r="E600"/>
      <c r="F600"/>
      <c r="G600"/>
      <c r="H600"/>
      <c r="I600" s="21" t="str">
        <f t="shared" si="19"/>
        <v/>
      </c>
      <c r="L600" s="24"/>
      <c r="M600" s="24"/>
    </row>
    <row r="601" spans="1:13">
      <c r="A601" s="14" t="str">
        <f t="shared" si="18"/>
        <v/>
      </c>
      <c r="C601" s="120" t="s">
        <v>286</v>
      </c>
      <c r="D601"/>
      <c r="E601"/>
      <c r="F601"/>
      <c r="G601"/>
      <c r="H601"/>
      <c r="I601" s="21" t="str">
        <f t="shared" si="19"/>
        <v/>
      </c>
      <c r="L601" s="24"/>
      <c r="M601" s="24"/>
    </row>
    <row r="602" spans="1:13">
      <c r="A602" s="10" t="str">
        <f t="shared" si="18"/>
        <v/>
      </c>
      <c r="C602" s="120" t="s">
        <v>126</v>
      </c>
      <c r="D602"/>
      <c r="E602"/>
      <c r="F602"/>
      <c r="G602"/>
      <c r="H602"/>
      <c r="I602" s="21" t="str">
        <f t="shared" si="19"/>
        <v/>
      </c>
      <c r="L602" s="24"/>
      <c r="M602" s="24"/>
    </row>
    <row r="603" spans="1:13">
      <c r="A603" s="14" t="str">
        <f t="shared" si="18"/>
        <v/>
      </c>
      <c r="C603" s="120" t="s">
        <v>128</v>
      </c>
      <c r="D603"/>
      <c r="E603"/>
      <c r="F603"/>
      <c r="G603"/>
      <c r="H603"/>
      <c r="I603" s="21" t="str">
        <f t="shared" si="19"/>
        <v/>
      </c>
      <c r="L603" s="24"/>
      <c r="M603" s="24"/>
    </row>
    <row r="604" spans="1:13">
      <c r="A604" s="10" t="str">
        <f t="shared" si="18"/>
        <v/>
      </c>
      <c r="C604" s="120" t="s">
        <v>280</v>
      </c>
      <c r="D604"/>
      <c r="E604"/>
      <c r="F604"/>
      <c r="G604"/>
      <c r="H604"/>
      <c r="I604" s="21" t="str">
        <f t="shared" si="19"/>
        <v/>
      </c>
      <c r="L604" s="24"/>
      <c r="M604" s="24"/>
    </row>
    <row r="605" spans="1:13">
      <c r="A605" s="14" t="str">
        <f t="shared" si="18"/>
        <v/>
      </c>
      <c r="C605" s="120" t="s">
        <v>282</v>
      </c>
      <c r="D605"/>
      <c r="E605"/>
      <c r="F605"/>
      <c r="G605"/>
      <c r="H605"/>
      <c r="I605" s="21" t="str">
        <f t="shared" si="19"/>
        <v/>
      </c>
      <c r="L605" s="24"/>
      <c r="M605" s="24"/>
    </row>
    <row r="606" spans="1:13">
      <c r="A606" s="10" t="str">
        <f t="shared" si="18"/>
        <v/>
      </c>
      <c r="C606" s="120" t="s">
        <v>284</v>
      </c>
      <c r="D606"/>
      <c r="E606"/>
      <c r="F606"/>
      <c r="G606"/>
      <c r="H606"/>
      <c r="I606" s="21" t="str">
        <f t="shared" si="19"/>
        <v/>
      </c>
      <c r="L606" s="24"/>
      <c r="M606" s="24"/>
    </row>
    <row r="607" spans="1:13">
      <c r="A607" s="14" t="str">
        <f t="shared" si="18"/>
        <v/>
      </c>
      <c r="C607" s="120" t="s">
        <v>286</v>
      </c>
      <c r="D607"/>
      <c r="E607"/>
      <c r="F607"/>
      <c r="G607"/>
      <c r="H607"/>
      <c r="I607" s="21" t="str">
        <f t="shared" si="19"/>
        <v/>
      </c>
      <c r="L607" s="24"/>
      <c r="M607" s="24"/>
    </row>
    <row r="608" spans="1:13">
      <c r="A608" s="10" t="str">
        <f t="shared" si="18"/>
        <v/>
      </c>
      <c r="C608" s="120" t="s">
        <v>126</v>
      </c>
      <c r="D608"/>
      <c r="E608"/>
      <c r="F608"/>
      <c r="G608"/>
      <c r="H608"/>
      <c r="I608" s="21" t="str">
        <f t="shared" si="19"/>
        <v/>
      </c>
      <c r="L608" s="24"/>
      <c r="M608" s="24"/>
    </row>
    <row r="609" spans="1:13">
      <c r="A609" s="14" t="str">
        <f t="shared" si="18"/>
        <v/>
      </c>
      <c r="C609" s="120" t="s">
        <v>128</v>
      </c>
      <c r="D609"/>
      <c r="E609"/>
      <c r="F609"/>
      <c r="G609"/>
      <c r="H609"/>
      <c r="I609" s="21" t="str">
        <f t="shared" si="19"/>
        <v/>
      </c>
      <c r="L609" s="24"/>
      <c r="M609" s="24"/>
    </row>
    <row r="610" spans="1:13">
      <c r="A610" s="10" t="str">
        <f t="shared" si="18"/>
        <v/>
      </c>
      <c r="C610" s="120" t="s">
        <v>280</v>
      </c>
      <c r="D610"/>
      <c r="E610"/>
      <c r="F610"/>
      <c r="G610"/>
      <c r="H610"/>
      <c r="I610" s="21" t="str">
        <f t="shared" si="19"/>
        <v/>
      </c>
      <c r="L610" s="24"/>
      <c r="M610" s="24"/>
    </row>
    <row r="611" spans="1:13">
      <c r="A611" s="14" t="str">
        <f t="shared" si="18"/>
        <v/>
      </c>
      <c r="C611" s="120" t="s">
        <v>282</v>
      </c>
      <c r="D611"/>
      <c r="E611"/>
      <c r="F611"/>
      <c r="G611"/>
      <c r="H611"/>
      <c r="I611" s="21" t="str">
        <f t="shared" si="19"/>
        <v/>
      </c>
      <c r="L611" s="24"/>
      <c r="M611" s="24"/>
    </row>
    <row r="612" spans="1:13">
      <c r="A612" s="10" t="str">
        <f t="shared" si="18"/>
        <v/>
      </c>
      <c r="C612" s="120" t="s">
        <v>284</v>
      </c>
      <c r="D612"/>
      <c r="E612"/>
      <c r="F612"/>
      <c r="G612"/>
      <c r="H612"/>
      <c r="I612" s="21" t="str">
        <f t="shared" si="19"/>
        <v/>
      </c>
      <c r="L612" s="24"/>
      <c r="M612" s="24"/>
    </row>
    <row r="613" spans="1:13">
      <c r="A613" s="14" t="str">
        <f t="shared" si="18"/>
        <v/>
      </c>
      <c r="C613" s="120" t="s">
        <v>286</v>
      </c>
      <c r="D613"/>
      <c r="E613"/>
      <c r="F613"/>
      <c r="G613"/>
      <c r="H613"/>
      <c r="I613" s="21" t="str">
        <f t="shared" si="19"/>
        <v/>
      </c>
      <c r="L613" s="24"/>
      <c r="M613" s="24"/>
    </row>
    <row r="614" spans="1:13">
      <c r="A614" s="10" t="str">
        <f t="shared" si="18"/>
        <v/>
      </c>
      <c r="C614" s="120" t="s">
        <v>126</v>
      </c>
      <c r="D614"/>
      <c r="E614"/>
      <c r="F614"/>
      <c r="G614"/>
      <c r="H614"/>
      <c r="I614" s="21" t="str">
        <f t="shared" si="19"/>
        <v/>
      </c>
      <c r="L614" s="24"/>
      <c r="M614" s="24"/>
    </row>
    <row r="615" spans="1:13">
      <c r="A615" s="14" t="str">
        <f t="shared" si="18"/>
        <v/>
      </c>
      <c r="C615" s="120" t="s">
        <v>128</v>
      </c>
      <c r="D615"/>
      <c r="E615"/>
      <c r="F615"/>
      <c r="G615"/>
      <c r="H615"/>
      <c r="I615" s="21" t="str">
        <f t="shared" si="19"/>
        <v/>
      </c>
      <c r="L615" s="24"/>
      <c r="M615" s="24"/>
    </row>
    <row r="616" spans="1:13">
      <c r="A616" s="10" t="str">
        <f t="shared" si="18"/>
        <v/>
      </c>
      <c r="C616" s="120" t="s">
        <v>280</v>
      </c>
      <c r="D616"/>
      <c r="E616"/>
      <c r="F616"/>
      <c r="G616"/>
      <c r="H616"/>
      <c r="I616" s="21" t="str">
        <f t="shared" si="19"/>
        <v/>
      </c>
      <c r="L616" s="24"/>
      <c r="M616" s="24"/>
    </row>
    <row r="617" spans="1:13">
      <c r="A617" s="14" t="str">
        <f t="shared" si="18"/>
        <v/>
      </c>
      <c r="C617" s="120" t="s">
        <v>282</v>
      </c>
      <c r="D617"/>
      <c r="E617"/>
      <c r="F617"/>
      <c r="G617"/>
      <c r="H617"/>
      <c r="I617" s="21" t="str">
        <f t="shared" si="19"/>
        <v/>
      </c>
      <c r="L617" s="24"/>
      <c r="M617" s="24"/>
    </row>
    <row r="618" spans="1:13">
      <c r="A618" s="10" t="str">
        <f t="shared" si="18"/>
        <v/>
      </c>
      <c r="C618" s="120" t="s">
        <v>284</v>
      </c>
      <c r="D618"/>
      <c r="E618"/>
      <c r="F618"/>
      <c r="G618"/>
      <c r="H618"/>
      <c r="I618" s="21" t="str">
        <f t="shared" si="19"/>
        <v/>
      </c>
      <c r="L618" s="24"/>
      <c r="M618" s="24"/>
    </row>
    <row r="619" spans="1:13">
      <c r="A619" s="14" t="str">
        <f t="shared" si="18"/>
        <v/>
      </c>
      <c r="C619" s="120" t="s">
        <v>286</v>
      </c>
      <c r="D619"/>
      <c r="E619"/>
      <c r="F619"/>
      <c r="G619"/>
      <c r="H619"/>
      <c r="I619" s="21" t="str">
        <f t="shared" si="19"/>
        <v/>
      </c>
      <c r="L619" s="24"/>
      <c r="M619" s="24"/>
    </row>
    <row r="620" spans="1:13">
      <c r="A620" s="10" t="str">
        <f t="shared" si="18"/>
        <v/>
      </c>
      <c r="C620" s="120" t="s">
        <v>126</v>
      </c>
      <c r="D620"/>
      <c r="E620"/>
      <c r="F620"/>
      <c r="G620"/>
      <c r="H620"/>
      <c r="I620" s="21" t="str">
        <f t="shared" si="19"/>
        <v/>
      </c>
      <c r="L620" s="24"/>
      <c r="M620" s="24"/>
    </row>
    <row r="621" spans="1:13">
      <c r="A621" s="14" t="str">
        <f t="shared" si="18"/>
        <v/>
      </c>
      <c r="C621" s="120" t="s">
        <v>128</v>
      </c>
      <c r="D621"/>
      <c r="E621"/>
      <c r="F621"/>
      <c r="G621"/>
      <c r="H621"/>
      <c r="I621" s="21" t="str">
        <f t="shared" si="19"/>
        <v/>
      </c>
      <c r="L621" s="24"/>
      <c r="M621" s="24"/>
    </row>
    <row r="622" spans="1:13">
      <c r="A622" s="10" t="str">
        <f t="shared" si="18"/>
        <v/>
      </c>
      <c r="C622" s="120" t="s">
        <v>280</v>
      </c>
      <c r="D622"/>
      <c r="E622"/>
      <c r="F622"/>
      <c r="G622"/>
      <c r="H622"/>
      <c r="I622" s="21" t="str">
        <f t="shared" si="19"/>
        <v/>
      </c>
      <c r="L622" s="24"/>
      <c r="M622" s="24"/>
    </row>
    <row r="623" spans="1:13">
      <c r="A623" s="14" t="str">
        <f t="shared" si="18"/>
        <v/>
      </c>
      <c r="C623" s="120" t="s">
        <v>282</v>
      </c>
      <c r="D623"/>
      <c r="E623"/>
      <c r="F623"/>
      <c r="G623"/>
      <c r="H623"/>
      <c r="I623" s="21" t="str">
        <f t="shared" si="19"/>
        <v/>
      </c>
      <c r="L623" s="24"/>
      <c r="M623" s="24"/>
    </row>
    <row r="624" spans="1:13">
      <c r="A624" s="10" t="str">
        <f t="shared" si="18"/>
        <v/>
      </c>
      <c r="C624" s="120" t="s">
        <v>284</v>
      </c>
      <c r="D624"/>
      <c r="E624"/>
      <c r="F624"/>
      <c r="G624"/>
      <c r="H624"/>
      <c r="I624" s="21" t="str">
        <f t="shared" si="19"/>
        <v/>
      </c>
      <c r="L624" s="24"/>
      <c r="M624" s="24"/>
    </row>
    <row r="625" spans="1:13">
      <c r="A625" s="14" t="str">
        <f t="shared" si="18"/>
        <v/>
      </c>
      <c r="C625" s="120" t="s">
        <v>286</v>
      </c>
      <c r="D625"/>
      <c r="E625"/>
      <c r="F625"/>
      <c r="G625"/>
      <c r="H625"/>
      <c r="I625" s="21" t="str">
        <f t="shared" si="19"/>
        <v/>
      </c>
      <c r="L625" s="24"/>
      <c r="M625" s="24"/>
    </row>
    <row r="626" spans="1:13">
      <c r="A626" s="10" t="str">
        <f t="shared" si="18"/>
        <v/>
      </c>
      <c r="C626" s="120" t="s">
        <v>126</v>
      </c>
      <c r="D626"/>
      <c r="E626"/>
      <c r="F626"/>
      <c r="G626"/>
      <c r="H626"/>
      <c r="I626" s="21" t="str">
        <f t="shared" si="19"/>
        <v/>
      </c>
      <c r="L626" s="24"/>
      <c r="M626" s="24"/>
    </row>
    <row r="627" spans="1:13">
      <c r="A627" s="14" t="str">
        <f t="shared" si="18"/>
        <v/>
      </c>
      <c r="C627" s="120" t="s">
        <v>128</v>
      </c>
      <c r="D627"/>
      <c r="E627"/>
      <c r="F627"/>
      <c r="G627"/>
      <c r="H627"/>
      <c r="I627" s="21" t="str">
        <f t="shared" si="19"/>
        <v/>
      </c>
      <c r="L627" s="24"/>
      <c r="M627" s="24"/>
    </row>
    <row r="628" spans="1:13">
      <c r="A628" s="10" t="str">
        <f t="shared" si="18"/>
        <v/>
      </c>
      <c r="C628" s="120" t="s">
        <v>280</v>
      </c>
      <c r="D628"/>
      <c r="E628"/>
      <c r="F628"/>
      <c r="G628"/>
      <c r="H628"/>
      <c r="I628" s="21" t="str">
        <f t="shared" si="19"/>
        <v/>
      </c>
      <c r="L628" s="24"/>
      <c r="M628" s="24"/>
    </row>
    <row r="629" spans="1:13">
      <c r="A629" s="14" t="str">
        <f t="shared" si="18"/>
        <v/>
      </c>
      <c r="C629" s="120" t="s">
        <v>282</v>
      </c>
      <c r="D629"/>
      <c r="E629"/>
      <c r="F629"/>
      <c r="G629"/>
      <c r="H629"/>
      <c r="I629" s="21" t="str">
        <f t="shared" si="19"/>
        <v/>
      </c>
      <c r="L629" s="24"/>
      <c r="M629" s="24"/>
    </row>
    <row r="630" spans="1:13">
      <c r="A630" s="10" t="str">
        <f t="shared" si="18"/>
        <v/>
      </c>
      <c r="C630" s="120" t="s">
        <v>284</v>
      </c>
      <c r="D630"/>
      <c r="E630"/>
      <c r="F630"/>
      <c r="G630"/>
      <c r="H630"/>
      <c r="I630" s="21" t="str">
        <f t="shared" si="19"/>
        <v/>
      </c>
      <c r="L630" s="24"/>
      <c r="M630" s="24"/>
    </row>
    <row r="631" spans="1:13">
      <c r="A631" s="14" t="str">
        <f t="shared" si="18"/>
        <v/>
      </c>
      <c r="C631" s="120" t="s">
        <v>286</v>
      </c>
      <c r="D631"/>
      <c r="E631"/>
      <c r="F631"/>
      <c r="G631"/>
      <c r="H631"/>
      <c r="I631" s="21" t="str">
        <f t="shared" si="19"/>
        <v/>
      </c>
      <c r="L631" s="24"/>
      <c r="M631" s="24"/>
    </row>
    <row r="632" spans="1:13">
      <c r="A632" s="10" t="str">
        <f t="shared" si="18"/>
        <v/>
      </c>
      <c r="C632" s="120" t="s">
        <v>126</v>
      </c>
      <c r="D632"/>
      <c r="E632"/>
      <c r="F632"/>
      <c r="G632"/>
      <c r="H632"/>
      <c r="I632" s="21" t="str">
        <f t="shared" si="19"/>
        <v/>
      </c>
      <c r="L632" s="24"/>
      <c r="M632" s="24"/>
    </row>
    <row r="633" spans="1:13">
      <c r="A633" s="14" t="str">
        <f t="shared" si="18"/>
        <v/>
      </c>
      <c r="C633" s="120" t="s">
        <v>128</v>
      </c>
      <c r="D633"/>
      <c r="E633"/>
      <c r="F633"/>
      <c r="G633"/>
      <c r="H633"/>
      <c r="I633" s="21" t="str">
        <f t="shared" si="19"/>
        <v/>
      </c>
      <c r="L633" s="24"/>
      <c r="M633" s="24"/>
    </row>
    <row r="634" spans="1:13">
      <c r="A634" s="10" t="str">
        <f t="shared" si="18"/>
        <v/>
      </c>
      <c r="C634" s="120" t="s">
        <v>280</v>
      </c>
      <c r="D634"/>
      <c r="E634"/>
      <c r="F634"/>
      <c r="G634"/>
      <c r="H634"/>
      <c r="I634" s="21" t="str">
        <f t="shared" si="19"/>
        <v/>
      </c>
      <c r="L634" s="24"/>
      <c r="M634" s="24"/>
    </row>
    <row r="635" spans="1:13">
      <c r="A635" s="14" t="str">
        <f t="shared" si="18"/>
        <v/>
      </c>
      <c r="C635" s="120" t="s">
        <v>282</v>
      </c>
      <c r="D635"/>
      <c r="E635"/>
      <c r="F635"/>
      <c r="G635"/>
      <c r="H635"/>
      <c r="I635" s="21" t="str">
        <f t="shared" si="19"/>
        <v/>
      </c>
      <c r="L635" s="24"/>
      <c r="M635" s="24"/>
    </row>
    <row r="636" spans="1:13">
      <c r="A636" s="10" t="str">
        <f t="shared" si="18"/>
        <v/>
      </c>
      <c r="C636" s="120" t="s">
        <v>284</v>
      </c>
      <c r="D636"/>
      <c r="E636"/>
      <c r="F636"/>
      <c r="G636"/>
      <c r="H636"/>
      <c r="I636" s="21" t="str">
        <f t="shared" si="19"/>
        <v/>
      </c>
      <c r="L636" s="24"/>
      <c r="M636" s="24"/>
    </row>
    <row r="637" spans="1:13">
      <c r="A637" s="14" t="str">
        <f t="shared" si="18"/>
        <v/>
      </c>
      <c r="C637" s="120" t="s">
        <v>286</v>
      </c>
      <c r="D637"/>
      <c r="E637"/>
      <c r="F637"/>
      <c r="G637"/>
      <c r="H637"/>
      <c r="I637" s="21" t="str">
        <f t="shared" si="19"/>
        <v/>
      </c>
      <c r="L637" s="24"/>
      <c r="M637" s="24"/>
    </row>
    <row r="638" spans="1:13">
      <c r="A638" s="10" t="str">
        <f t="shared" si="18"/>
        <v/>
      </c>
      <c r="C638" s="120" t="s">
        <v>126</v>
      </c>
      <c r="D638"/>
      <c r="E638"/>
      <c r="F638"/>
      <c r="G638"/>
      <c r="H638"/>
      <c r="I638" s="21" t="str">
        <f t="shared" si="19"/>
        <v/>
      </c>
      <c r="L638" s="24"/>
      <c r="M638" s="24"/>
    </row>
    <row r="639" spans="1:13">
      <c r="A639" s="14" t="str">
        <f t="shared" si="18"/>
        <v/>
      </c>
      <c r="C639" s="120" t="s">
        <v>128</v>
      </c>
      <c r="D639"/>
      <c r="E639"/>
      <c r="F639"/>
      <c r="G639"/>
      <c r="H639"/>
      <c r="I639" s="21" t="str">
        <f t="shared" si="19"/>
        <v/>
      </c>
      <c r="L639" s="24"/>
      <c r="M639" s="24"/>
    </row>
    <row r="640" spans="1:13">
      <c r="A640" s="10" t="str">
        <f t="shared" si="18"/>
        <v/>
      </c>
      <c r="C640" s="120" t="s">
        <v>280</v>
      </c>
      <c r="D640"/>
      <c r="E640"/>
      <c r="F640"/>
      <c r="G640"/>
      <c r="H640"/>
      <c r="I640" s="21" t="str">
        <f t="shared" si="19"/>
        <v/>
      </c>
      <c r="L640" s="24"/>
      <c r="M640" s="24"/>
    </row>
    <row r="641" spans="1:13">
      <c r="A641" s="14" t="str">
        <f t="shared" si="18"/>
        <v/>
      </c>
      <c r="C641" s="120" t="s">
        <v>282</v>
      </c>
      <c r="D641"/>
      <c r="E641"/>
      <c r="F641"/>
      <c r="G641"/>
      <c r="H641"/>
      <c r="I641" s="21" t="str">
        <f t="shared" si="19"/>
        <v/>
      </c>
      <c r="L641" s="24"/>
      <c r="M641" s="24"/>
    </row>
    <row r="642" spans="1:13">
      <c r="A642" s="10" t="str">
        <f t="shared" ref="A642:A705" si="20">IF(B642&lt;&gt;"",ROW()-1,"")</f>
        <v/>
      </c>
      <c r="C642" s="120" t="s">
        <v>284</v>
      </c>
      <c r="D642"/>
      <c r="E642"/>
      <c r="F642"/>
      <c r="G642"/>
      <c r="H642"/>
      <c r="I642" s="21" t="str">
        <f t="shared" ref="I642:I705" si="21">IF(AND(G642&lt;&gt;"",H642&lt;&gt;""),H642-G642,"")</f>
        <v/>
      </c>
      <c r="L642" s="24"/>
      <c r="M642" s="24"/>
    </row>
    <row r="643" spans="1:13">
      <c r="A643" s="14" t="str">
        <f t="shared" si="20"/>
        <v/>
      </c>
      <c r="C643" s="120" t="s">
        <v>286</v>
      </c>
      <c r="D643"/>
      <c r="E643"/>
      <c r="F643"/>
      <c r="G643"/>
      <c r="H643"/>
      <c r="I643" s="21" t="str">
        <f t="shared" si="21"/>
        <v/>
      </c>
      <c r="L643" s="24"/>
      <c r="M643" s="24"/>
    </row>
    <row r="644" spans="1:13">
      <c r="A644" s="10" t="str">
        <f t="shared" si="20"/>
        <v/>
      </c>
      <c r="C644" s="120" t="s">
        <v>126</v>
      </c>
      <c r="D644"/>
      <c r="E644"/>
      <c r="F644"/>
      <c r="G644"/>
      <c r="H644"/>
      <c r="I644" s="21" t="str">
        <f t="shared" si="21"/>
        <v/>
      </c>
      <c r="L644" s="24"/>
      <c r="M644" s="24"/>
    </row>
    <row r="645" spans="1:13">
      <c r="A645" s="14" t="str">
        <f t="shared" si="20"/>
        <v/>
      </c>
      <c r="C645" s="120" t="s">
        <v>128</v>
      </c>
      <c r="D645"/>
      <c r="E645"/>
      <c r="F645"/>
      <c r="G645"/>
      <c r="H645"/>
      <c r="I645" s="21" t="str">
        <f t="shared" si="21"/>
        <v/>
      </c>
      <c r="L645" s="24"/>
      <c r="M645" s="24"/>
    </row>
    <row r="646" spans="1:13">
      <c r="A646" s="10" t="str">
        <f t="shared" si="20"/>
        <v/>
      </c>
      <c r="C646" s="120" t="s">
        <v>280</v>
      </c>
      <c r="D646"/>
      <c r="E646"/>
      <c r="F646"/>
      <c r="G646"/>
      <c r="H646"/>
      <c r="I646" s="21" t="str">
        <f t="shared" si="21"/>
        <v/>
      </c>
      <c r="L646" s="24"/>
      <c r="M646" s="24"/>
    </row>
    <row r="647" spans="1:13">
      <c r="A647" s="14" t="str">
        <f t="shared" si="20"/>
        <v/>
      </c>
      <c r="C647" s="120" t="s">
        <v>282</v>
      </c>
      <c r="D647"/>
      <c r="E647"/>
      <c r="F647"/>
      <c r="G647"/>
      <c r="H647"/>
      <c r="I647" s="21" t="str">
        <f t="shared" si="21"/>
        <v/>
      </c>
      <c r="L647" s="24"/>
      <c r="M647" s="24"/>
    </row>
    <row r="648" spans="1:13">
      <c r="A648" s="10" t="str">
        <f t="shared" si="20"/>
        <v/>
      </c>
      <c r="C648" s="120" t="s">
        <v>284</v>
      </c>
      <c r="D648"/>
      <c r="E648"/>
      <c r="F648"/>
      <c r="G648"/>
      <c r="H648"/>
      <c r="I648" s="21" t="str">
        <f t="shared" si="21"/>
        <v/>
      </c>
      <c r="L648" s="24"/>
      <c r="M648" s="24"/>
    </row>
    <row r="649" spans="1:13">
      <c r="A649" s="14" t="str">
        <f t="shared" si="20"/>
        <v/>
      </c>
      <c r="C649" s="120" t="s">
        <v>286</v>
      </c>
      <c r="D649"/>
      <c r="E649"/>
      <c r="F649"/>
      <c r="G649"/>
      <c r="H649"/>
      <c r="I649" s="21" t="str">
        <f t="shared" si="21"/>
        <v/>
      </c>
      <c r="L649" s="24"/>
      <c r="M649" s="24"/>
    </row>
    <row r="650" spans="1:13">
      <c r="A650" s="10" t="str">
        <f t="shared" si="20"/>
        <v/>
      </c>
      <c r="C650" s="120" t="s">
        <v>126</v>
      </c>
      <c r="D650"/>
      <c r="E650"/>
      <c r="F650"/>
      <c r="G650"/>
      <c r="H650"/>
      <c r="I650" s="21" t="str">
        <f t="shared" si="21"/>
        <v/>
      </c>
      <c r="L650" s="24"/>
      <c r="M650" s="24"/>
    </row>
    <row r="651" spans="1:13">
      <c r="A651" s="14" t="str">
        <f t="shared" si="20"/>
        <v/>
      </c>
      <c r="C651" s="120" t="s">
        <v>128</v>
      </c>
      <c r="D651"/>
      <c r="E651"/>
      <c r="F651"/>
      <c r="G651"/>
      <c r="H651"/>
      <c r="I651" s="21" t="str">
        <f t="shared" si="21"/>
        <v/>
      </c>
      <c r="L651" s="24"/>
      <c r="M651" s="24"/>
    </row>
    <row r="652" spans="1:13">
      <c r="A652" s="10" t="str">
        <f t="shared" si="20"/>
        <v/>
      </c>
      <c r="C652" s="120" t="s">
        <v>280</v>
      </c>
      <c r="D652"/>
      <c r="E652"/>
      <c r="F652"/>
      <c r="G652"/>
      <c r="H652"/>
      <c r="I652" s="21" t="str">
        <f t="shared" si="21"/>
        <v/>
      </c>
      <c r="L652" s="24"/>
      <c r="M652" s="24"/>
    </row>
    <row r="653" spans="1:13">
      <c r="A653" s="14" t="str">
        <f t="shared" si="20"/>
        <v/>
      </c>
      <c r="C653" s="120" t="s">
        <v>282</v>
      </c>
      <c r="D653"/>
      <c r="E653"/>
      <c r="F653"/>
      <c r="G653"/>
      <c r="H653"/>
      <c r="I653" s="21" t="str">
        <f t="shared" si="21"/>
        <v/>
      </c>
      <c r="L653" s="24"/>
      <c r="M653" s="24"/>
    </row>
    <row r="654" spans="1:13">
      <c r="A654" s="10" t="str">
        <f t="shared" si="20"/>
        <v/>
      </c>
      <c r="C654" s="120" t="s">
        <v>284</v>
      </c>
      <c r="D654"/>
      <c r="E654"/>
      <c r="F654"/>
      <c r="G654"/>
      <c r="H654"/>
      <c r="I654" s="21" t="str">
        <f t="shared" si="21"/>
        <v/>
      </c>
      <c r="L654" s="24"/>
      <c r="M654" s="24"/>
    </row>
    <row r="655" spans="1:13">
      <c r="A655" s="14" t="str">
        <f t="shared" si="20"/>
        <v/>
      </c>
      <c r="C655" s="120" t="s">
        <v>286</v>
      </c>
      <c r="D655"/>
      <c r="E655"/>
      <c r="F655"/>
      <c r="G655"/>
      <c r="H655"/>
      <c r="I655" s="21" t="str">
        <f t="shared" si="21"/>
        <v/>
      </c>
      <c r="L655" s="24"/>
      <c r="M655" s="24"/>
    </row>
    <row r="656" spans="1:13">
      <c r="A656" s="10" t="str">
        <f t="shared" si="20"/>
        <v/>
      </c>
      <c r="C656" s="120" t="s">
        <v>126</v>
      </c>
      <c r="D656"/>
      <c r="E656"/>
      <c r="F656"/>
      <c r="G656"/>
      <c r="H656"/>
      <c r="I656" s="21" t="str">
        <f t="shared" si="21"/>
        <v/>
      </c>
      <c r="L656" s="24"/>
      <c r="M656" s="24"/>
    </row>
    <row r="657" spans="1:13">
      <c r="A657" s="14" t="str">
        <f t="shared" si="20"/>
        <v/>
      </c>
      <c r="C657" s="120" t="s">
        <v>128</v>
      </c>
      <c r="D657"/>
      <c r="E657"/>
      <c r="F657"/>
      <c r="G657"/>
      <c r="H657"/>
      <c r="I657" s="21" t="str">
        <f t="shared" si="21"/>
        <v/>
      </c>
      <c r="L657" s="24"/>
      <c r="M657" s="24"/>
    </row>
    <row r="658" spans="1:13">
      <c r="A658" s="10" t="str">
        <f t="shared" si="20"/>
        <v/>
      </c>
      <c r="C658" s="120" t="s">
        <v>280</v>
      </c>
      <c r="D658"/>
      <c r="E658"/>
      <c r="F658"/>
      <c r="G658"/>
      <c r="H658"/>
      <c r="I658" s="21" t="str">
        <f t="shared" si="21"/>
        <v/>
      </c>
      <c r="L658" s="24"/>
      <c r="M658" s="24"/>
    </row>
    <row r="659" spans="1:13">
      <c r="A659" s="14" t="str">
        <f t="shared" si="20"/>
        <v/>
      </c>
      <c r="C659" s="120" t="s">
        <v>282</v>
      </c>
      <c r="D659"/>
      <c r="E659"/>
      <c r="F659"/>
      <c r="G659"/>
      <c r="H659"/>
      <c r="I659" s="21" t="str">
        <f t="shared" si="21"/>
        <v/>
      </c>
      <c r="L659" s="24"/>
      <c r="M659" s="24"/>
    </row>
    <row r="660" spans="1:13">
      <c r="A660" s="10" t="str">
        <f t="shared" si="20"/>
        <v/>
      </c>
      <c r="C660" s="120" t="s">
        <v>284</v>
      </c>
      <c r="D660"/>
      <c r="E660"/>
      <c r="F660"/>
      <c r="G660"/>
      <c r="H660"/>
      <c r="I660" s="21" t="str">
        <f t="shared" si="21"/>
        <v/>
      </c>
      <c r="L660" s="24"/>
      <c r="M660" s="24"/>
    </row>
    <row r="661" spans="1:13">
      <c r="A661" s="14" t="str">
        <f t="shared" si="20"/>
        <v/>
      </c>
      <c r="C661" s="120" t="s">
        <v>286</v>
      </c>
      <c r="D661"/>
      <c r="E661"/>
      <c r="F661"/>
      <c r="G661"/>
      <c r="H661"/>
      <c r="I661" s="21" t="str">
        <f t="shared" si="21"/>
        <v/>
      </c>
      <c r="L661" s="24"/>
      <c r="M661" s="24"/>
    </row>
    <row r="662" spans="1:13">
      <c r="A662" s="10" t="str">
        <f t="shared" si="20"/>
        <v/>
      </c>
      <c r="C662" s="120" t="s">
        <v>126</v>
      </c>
      <c r="D662"/>
      <c r="E662"/>
      <c r="F662"/>
      <c r="G662"/>
      <c r="H662"/>
      <c r="I662" s="21" t="str">
        <f t="shared" si="21"/>
        <v/>
      </c>
      <c r="L662" s="24"/>
      <c r="M662" s="24"/>
    </row>
    <row r="663" spans="1:13">
      <c r="A663" s="14" t="str">
        <f t="shared" si="20"/>
        <v/>
      </c>
      <c r="C663" s="120" t="s">
        <v>128</v>
      </c>
      <c r="D663"/>
      <c r="E663"/>
      <c r="F663"/>
      <c r="G663"/>
      <c r="H663"/>
      <c r="I663" s="21" t="str">
        <f t="shared" si="21"/>
        <v/>
      </c>
      <c r="L663" s="24"/>
      <c r="M663" s="24"/>
    </row>
    <row r="664" spans="1:13">
      <c r="A664" s="10" t="str">
        <f t="shared" si="20"/>
        <v/>
      </c>
      <c r="C664" s="120" t="s">
        <v>280</v>
      </c>
      <c r="D664"/>
      <c r="E664"/>
      <c r="F664"/>
      <c r="G664"/>
      <c r="H664"/>
      <c r="I664" s="21" t="str">
        <f t="shared" si="21"/>
        <v/>
      </c>
      <c r="L664" s="24"/>
      <c r="M664" s="24"/>
    </row>
    <row r="665" spans="1:13">
      <c r="A665" s="14" t="str">
        <f t="shared" si="20"/>
        <v/>
      </c>
      <c r="C665" s="120" t="s">
        <v>282</v>
      </c>
      <c r="D665"/>
      <c r="E665"/>
      <c r="F665"/>
      <c r="G665"/>
      <c r="H665"/>
      <c r="I665" s="21" t="str">
        <f t="shared" si="21"/>
        <v/>
      </c>
      <c r="L665" s="24"/>
      <c r="M665" s="24"/>
    </row>
    <row r="666" spans="1:13">
      <c r="A666" s="10" t="str">
        <f t="shared" si="20"/>
        <v/>
      </c>
      <c r="C666" s="120" t="s">
        <v>284</v>
      </c>
      <c r="D666"/>
      <c r="E666"/>
      <c r="F666"/>
      <c r="G666"/>
      <c r="H666"/>
      <c r="I666" s="21" t="str">
        <f t="shared" si="21"/>
        <v/>
      </c>
      <c r="L666" s="24"/>
      <c r="M666" s="24"/>
    </row>
    <row r="667" spans="1:13">
      <c r="A667" s="14" t="str">
        <f t="shared" si="20"/>
        <v/>
      </c>
      <c r="C667" s="120" t="s">
        <v>286</v>
      </c>
      <c r="D667"/>
      <c r="E667"/>
      <c r="F667"/>
      <c r="G667"/>
      <c r="H667"/>
      <c r="I667" s="21" t="str">
        <f t="shared" si="21"/>
        <v/>
      </c>
      <c r="L667" s="24"/>
      <c r="M667" s="24"/>
    </row>
    <row r="668" spans="1:13">
      <c r="A668" s="10" t="str">
        <f t="shared" si="20"/>
        <v/>
      </c>
      <c r="C668" s="120" t="s">
        <v>126</v>
      </c>
      <c r="D668"/>
      <c r="E668"/>
      <c r="F668"/>
      <c r="G668"/>
      <c r="H668"/>
      <c r="I668" s="21" t="str">
        <f t="shared" si="21"/>
        <v/>
      </c>
      <c r="L668" s="24"/>
      <c r="M668" s="24"/>
    </row>
    <row r="669" spans="1:13">
      <c r="A669" s="14" t="str">
        <f t="shared" si="20"/>
        <v/>
      </c>
      <c r="C669" s="120" t="s">
        <v>128</v>
      </c>
      <c r="D669"/>
      <c r="E669"/>
      <c r="F669"/>
      <c r="G669"/>
      <c r="H669"/>
      <c r="I669" s="21" t="str">
        <f t="shared" si="21"/>
        <v/>
      </c>
      <c r="L669" s="24"/>
      <c r="M669" s="24"/>
    </row>
    <row r="670" spans="1:13">
      <c r="A670" s="10" t="str">
        <f t="shared" si="20"/>
        <v/>
      </c>
      <c r="C670" s="120" t="s">
        <v>280</v>
      </c>
      <c r="D670"/>
      <c r="E670"/>
      <c r="F670"/>
      <c r="G670"/>
      <c r="H670"/>
      <c r="I670" s="21" t="str">
        <f t="shared" si="21"/>
        <v/>
      </c>
      <c r="L670" s="24"/>
      <c r="M670" s="24"/>
    </row>
    <row r="671" spans="1:13">
      <c r="A671" s="14" t="str">
        <f t="shared" si="20"/>
        <v/>
      </c>
      <c r="C671" s="120" t="s">
        <v>282</v>
      </c>
      <c r="D671"/>
      <c r="E671"/>
      <c r="F671"/>
      <c r="G671"/>
      <c r="H671"/>
      <c r="I671" s="21" t="str">
        <f t="shared" si="21"/>
        <v/>
      </c>
      <c r="L671" s="24"/>
      <c r="M671" s="24"/>
    </row>
    <row r="672" spans="1:13">
      <c r="A672" s="10" t="str">
        <f t="shared" si="20"/>
        <v/>
      </c>
      <c r="C672" s="120" t="s">
        <v>284</v>
      </c>
      <c r="D672"/>
      <c r="E672"/>
      <c r="F672"/>
      <c r="G672"/>
      <c r="H672"/>
      <c r="I672" s="21" t="str">
        <f t="shared" si="21"/>
        <v/>
      </c>
      <c r="L672" s="24"/>
      <c r="M672" s="24"/>
    </row>
    <row r="673" spans="1:13">
      <c r="A673" s="14" t="str">
        <f t="shared" si="20"/>
        <v/>
      </c>
      <c r="C673" s="120" t="s">
        <v>286</v>
      </c>
      <c r="D673"/>
      <c r="E673"/>
      <c r="F673"/>
      <c r="G673"/>
      <c r="H673"/>
      <c r="I673" s="21" t="str">
        <f t="shared" si="21"/>
        <v/>
      </c>
      <c r="L673" s="24"/>
      <c r="M673" s="24"/>
    </row>
    <row r="674" spans="1:13">
      <c r="A674" s="10" t="str">
        <f t="shared" si="20"/>
        <v/>
      </c>
      <c r="C674" s="120" t="s">
        <v>126</v>
      </c>
      <c r="D674"/>
      <c r="E674"/>
      <c r="F674"/>
      <c r="G674"/>
      <c r="H674"/>
      <c r="I674" s="21" t="str">
        <f t="shared" si="21"/>
        <v/>
      </c>
      <c r="L674" s="24"/>
      <c r="M674" s="24"/>
    </row>
    <row r="675" spans="1:13">
      <c r="A675" s="14" t="str">
        <f t="shared" si="20"/>
        <v/>
      </c>
      <c r="C675" s="120" t="s">
        <v>128</v>
      </c>
      <c r="D675"/>
      <c r="E675"/>
      <c r="F675"/>
      <c r="G675"/>
      <c r="H675"/>
      <c r="I675" s="21" t="str">
        <f t="shared" si="21"/>
        <v/>
      </c>
      <c r="L675" s="24"/>
      <c r="M675" s="24"/>
    </row>
    <row r="676" spans="1:13">
      <c r="A676" s="10" t="str">
        <f t="shared" si="20"/>
        <v/>
      </c>
      <c r="C676" s="120" t="s">
        <v>280</v>
      </c>
      <c r="D676"/>
      <c r="E676"/>
      <c r="F676"/>
      <c r="G676"/>
      <c r="H676"/>
      <c r="I676" s="21" t="str">
        <f t="shared" si="21"/>
        <v/>
      </c>
      <c r="L676" s="24"/>
      <c r="M676" s="24"/>
    </row>
    <row r="677" spans="1:13">
      <c r="A677" s="14" t="str">
        <f t="shared" si="20"/>
        <v/>
      </c>
      <c r="C677" s="120" t="s">
        <v>282</v>
      </c>
      <c r="D677"/>
      <c r="E677"/>
      <c r="F677"/>
      <c r="G677"/>
      <c r="H677"/>
      <c r="I677" s="21" t="str">
        <f t="shared" si="21"/>
        <v/>
      </c>
      <c r="L677" s="24"/>
      <c r="M677" s="24"/>
    </row>
    <row r="678" spans="1:13">
      <c r="A678" s="10" t="str">
        <f t="shared" si="20"/>
        <v/>
      </c>
      <c r="C678" s="120" t="s">
        <v>284</v>
      </c>
      <c r="D678"/>
      <c r="E678"/>
      <c r="F678"/>
      <c r="G678"/>
      <c r="H678"/>
      <c r="I678" s="21" t="str">
        <f t="shared" si="21"/>
        <v/>
      </c>
      <c r="L678" s="24"/>
      <c r="M678" s="24"/>
    </row>
    <row r="679" spans="1:13">
      <c r="A679" s="14" t="str">
        <f t="shared" si="20"/>
        <v/>
      </c>
      <c r="C679" s="120" t="s">
        <v>286</v>
      </c>
      <c r="D679"/>
      <c r="E679"/>
      <c r="F679"/>
      <c r="G679"/>
      <c r="H679"/>
      <c r="I679" s="21" t="str">
        <f t="shared" si="21"/>
        <v/>
      </c>
      <c r="L679" s="24"/>
      <c r="M679" s="24"/>
    </row>
    <row r="680" spans="1:13">
      <c r="A680" s="10" t="str">
        <f t="shared" si="20"/>
        <v/>
      </c>
      <c r="C680" s="120" t="s">
        <v>126</v>
      </c>
      <c r="D680"/>
      <c r="E680"/>
      <c r="F680"/>
      <c r="G680"/>
      <c r="H680"/>
      <c r="I680" s="21" t="str">
        <f t="shared" si="21"/>
        <v/>
      </c>
      <c r="L680" s="24"/>
      <c r="M680" s="24"/>
    </row>
    <row r="681" spans="1:13">
      <c r="A681" s="14" t="str">
        <f t="shared" si="20"/>
        <v/>
      </c>
      <c r="C681" s="120" t="s">
        <v>128</v>
      </c>
      <c r="D681"/>
      <c r="E681"/>
      <c r="F681"/>
      <c r="G681"/>
      <c r="H681"/>
      <c r="I681" s="21" t="str">
        <f t="shared" si="21"/>
        <v/>
      </c>
      <c r="L681" s="24"/>
      <c r="M681" s="24"/>
    </row>
    <row r="682" spans="1:13">
      <c r="A682" s="10" t="str">
        <f t="shared" si="20"/>
        <v/>
      </c>
      <c r="C682" s="120" t="s">
        <v>280</v>
      </c>
      <c r="D682"/>
      <c r="E682"/>
      <c r="F682"/>
      <c r="G682"/>
      <c r="H682"/>
      <c r="I682" s="21" t="str">
        <f t="shared" si="21"/>
        <v/>
      </c>
      <c r="L682" s="24"/>
      <c r="M682" s="24"/>
    </row>
    <row r="683" spans="1:13">
      <c r="A683" s="14" t="str">
        <f t="shared" si="20"/>
        <v/>
      </c>
      <c r="C683" s="120" t="s">
        <v>282</v>
      </c>
      <c r="D683"/>
      <c r="E683"/>
      <c r="F683"/>
      <c r="G683"/>
      <c r="H683"/>
      <c r="I683" s="21" t="str">
        <f t="shared" si="21"/>
        <v/>
      </c>
      <c r="L683" s="24"/>
      <c r="M683" s="24"/>
    </row>
    <row r="684" spans="1:13">
      <c r="A684" s="10" t="str">
        <f t="shared" si="20"/>
        <v/>
      </c>
      <c r="C684" s="120" t="s">
        <v>284</v>
      </c>
      <c r="D684"/>
      <c r="E684"/>
      <c r="F684"/>
      <c r="G684"/>
      <c r="H684"/>
      <c r="I684" s="21" t="str">
        <f t="shared" si="21"/>
        <v/>
      </c>
      <c r="L684" s="24"/>
      <c r="M684" s="24"/>
    </row>
    <row r="685" spans="1:13">
      <c r="A685" s="14" t="str">
        <f t="shared" si="20"/>
        <v/>
      </c>
      <c r="C685" s="120" t="s">
        <v>286</v>
      </c>
      <c r="D685"/>
      <c r="E685"/>
      <c r="F685"/>
      <c r="G685"/>
      <c r="H685"/>
      <c r="I685" s="21" t="str">
        <f t="shared" si="21"/>
        <v/>
      </c>
      <c r="L685" s="24"/>
      <c r="M685" s="24"/>
    </row>
    <row r="686" spans="1:13">
      <c r="A686" s="10" t="str">
        <f t="shared" si="20"/>
        <v/>
      </c>
      <c r="C686" s="120" t="s">
        <v>126</v>
      </c>
      <c r="D686"/>
      <c r="E686"/>
      <c r="F686"/>
      <c r="G686"/>
      <c r="H686"/>
      <c r="I686" s="21" t="str">
        <f t="shared" si="21"/>
        <v/>
      </c>
      <c r="L686" s="24"/>
      <c r="M686" s="24"/>
    </row>
    <row r="687" spans="1:13">
      <c r="A687" s="14" t="str">
        <f t="shared" si="20"/>
        <v/>
      </c>
      <c r="C687" s="120" t="s">
        <v>128</v>
      </c>
      <c r="D687"/>
      <c r="E687"/>
      <c r="F687"/>
      <c r="G687"/>
      <c r="H687"/>
      <c r="I687" s="21" t="str">
        <f t="shared" si="21"/>
        <v/>
      </c>
      <c r="L687" s="24"/>
      <c r="M687" s="24"/>
    </row>
    <row r="688" spans="1:13">
      <c r="A688" s="10" t="str">
        <f t="shared" si="20"/>
        <v/>
      </c>
      <c r="C688" s="120" t="s">
        <v>280</v>
      </c>
      <c r="D688"/>
      <c r="E688"/>
      <c r="F688"/>
      <c r="G688"/>
      <c r="H688"/>
      <c r="I688" s="21" t="str">
        <f t="shared" si="21"/>
        <v/>
      </c>
      <c r="L688" s="24"/>
      <c r="M688" s="24"/>
    </row>
    <row r="689" spans="1:13">
      <c r="A689" s="14" t="str">
        <f t="shared" si="20"/>
        <v/>
      </c>
      <c r="C689" s="120" t="s">
        <v>282</v>
      </c>
      <c r="D689"/>
      <c r="E689"/>
      <c r="F689"/>
      <c r="G689"/>
      <c r="H689"/>
      <c r="I689" s="21" t="str">
        <f t="shared" si="21"/>
        <v/>
      </c>
      <c r="L689" s="24"/>
      <c r="M689" s="24"/>
    </row>
    <row r="690" spans="1:13">
      <c r="A690" s="10" t="str">
        <f t="shared" si="20"/>
        <v/>
      </c>
      <c r="C690" s="120" t="s">
        <v>284</v>
      </c>
      <c r="D690"/>
      <c r="E690"/>
      <c r="F690"/>
      <c r="G690"/>
      <c r="H690"/>
      <c r="I690" s="21" t="str">
        <f t="shared" si="21"/>
        <v/>
      </c>
      <c r="L690" s="24"/>
      <c r="M690" s="24"/>
    </row>
    <row r="691" spans="1:13">
      <c r="A691" s="14" t="str">
        <f t="shared" si="20"/>
        <v/>
      </c>
      <c r="C691" s="120" t="s">
        <v>286</v>
      </c>
      <c r="D691"/>
      <c r="E691"/>
      <c r="F691"/>
      <c r="G691"/>
      <c r="H691"/>
      <c r="I691" s="21" t="str">
        <f t="shared" si="21"/>
        <v/>
      </c>
      <c r="L691" s="24"/>
      <c r="M691" s="24"/>
    </row>
    <row r="692" spans="1:13">
      <c r="A692" s="10" t="str">
        <f t="shared" si="20"/>
        <v/>
      </c>
      <c r="C692" s="120" t="s">
        <v>126</v>
      </c>
      <c r="D692"/>
      <c r="E692"/>
      <c r="F692"/>
      <c r="G692"/>
      <c r="H692"/>
      <c r="I692" s="21" t="str">
        <f t="shared" si="21"/>
        <v/>
      </c>
      <c r="L692" s="24"/>
      <c r="M692" s="24"/>
    </row>
    <row r="693" spans="1:13">
      <c r="A693" s="14" t="str">
        <f t="shared" si="20"/>
        <v/>
      </c>
      <c r="C693" s="120" t="s">
        <v>128</v>
      </c>
      <c r="D693"/>
      <c r="E693"/>
      <c r="F693"/>
      <c r="G693"/>
      <c r="H693"/>
      <c r="I693" s="21" t="str">
        <f t="shared" si="21"/>
        <v/>
      </c>
      <c r="L693" s="24"/>
      <c r="M693" s="24"/>
    </row>
    <row r="694" spans="1:13">
      <c r="A694" s="10" t="str">
        <f t="shared" si="20"/>
        <v/>
      </c>
      <c r="C694" s="120" t="s">
        <v>280</v>
      </c>
      <c r="D694"/>
      <c r="E694"/>
      <c r="F694"/>
      <c r="G694"/>
      <c r="H694"/>
      <c r="I694" s="21" t="str">
        <f t="shared" si="21"/>
        <v/>
      </c>
      <c r="L694" s="24"/>
      <c r="M694" s="24"/>
    </row>
    <row r="695" spans="1:13">
      <c r="A695" s="14" t="str">
        <f t="shared" si="20"/>
        <v/>
      </c>
      <c r="C695" s="120" t="s">
        <v>282</v>
      </c>
      <c r="D695"/>
      <c r="E695"/>
      <c r="F695"/>
      <c r="G695"/>
      <c r="H695"/>
      <c r="I695" s="21" t="str">
        <f t="shared" si="21"/>
        <v/>
      </c>
      <c r="L695" s="24"/>
      <c r="M695" s="24"/>
    </row>
    <row r="696" spans="1:13">
      <c r="A696" s="10" t="str">
        <f t="shared" si="20"/>
        <v/>
      </c>
      <c r="C696" s="120" t="s">
        <v>284</v>
      </c>
      <c r="D696"/>
      <c r="E696"/>
      <c r="F696"/>
      <c r="G696"/>
      <c r="H696"/>
      <c r="I696" s="21" t="str">
        <f t="shared" si="21"/>
        <v/>
      </c>
      <c r="L696" s="24"/>
      <c r="M696" s="24"/>
    </row>
    <row r="697" spans="1:13">
      <c r="A697" s="14" t="str">
        <f t="shared" si="20"/>
        <v/>
      </c>
      <c r="C697" s="120" t="s">
        <v>286</v>
      </c>
      <c r="D697"/>
      <c r="E697"/>
      <c r="F697"/>
      <c r="G697"/>
      <c r="H697"/>
      <c r="I697" s="21" t="str">
        <f t="shared" si="21"/>
        <v/>
      </c>
      <c r="L697" s="24"/>
      <c r="M697" s="24"/>
    </row>
    <row r="698" spans="1:13">
      <c r="A698" s="10" t="str">
        <f t="shared" si="20"/>
        <v/>
      </c>
      <c r="C698" s="120" t="s">
        <v>126</v>
      </c>
      <c r="D698"/>
      <c r="E698"/>
      <c r="F698"/>
      <c r="G698"/>
      <c r="H698"/>
      <c r="I698" s="21" t="str">
        <f t="shared" si="21"/>
        <v/>
      </c>
      <c r="L698" s="24"/>
      <c r="M698" s="24"/>
    </row>
    <row r="699" spans="1:13">
      <c r="A699" s="14" t="str">
        <f t="shared" si="20"/>
        <v/>
      </c>
      <c r="C699" s="120" t="s">
        <v>128</v>
      </c>
      <c r="D699"/>
      <c r="E699"/>
      <c r="F699"/>
      <c r="G699"/>
      <c r="H699"/>
      <c r="I699" s="21" t="str">
        <f t="shared" si="21"/>
        <v/>
      </c>
      <c r="L699" s="24"/>
      <c r="M699" s="24"/>
    </row>
    <row r="700" spans="1:13">
      <c r="A700" s="10" t="str">
        <f t="shared" si="20"/>
        <v/>
      </c>
      <c r="C700" s="120" t="s">
        <v>280</v>
      </c>
      <c r="D700"/>
      <c r="E700"/>
      <c r="F700"/>
      <c r="G700"/>
      <c r="H700"/>
      <c r="I700" s="21" t="str">
        <f t="shared" si="21"/>
        <v/>
      </c>
      <c r="L700" s="24"/>
      <c r="M700" s="24"/>
    </row>
    <row r="701" spans="1:13">
      <c r="A701" s="14" t="str">
        <f t="shared" si="20"/>
        <v/>
      </c>
      <c r="C701" s="120" t="s">
        <v>282</v>
      </c>
      <c r="D701"/>
      <c r="E701"/>
      <c r="F701"/>
      <c r="G701"/>
      <c r="H701"/>
      <c r="I701" s="21" t="str">
        <f t="shared" si="21"/>
        <v/>
      </c>
      <c r="L701" s="24"/>
      <c r="M701" s="24"/>
    </row>
    <row r="702" spans="1:13">
      <c r="A702" s="10" t="str">
        <f t="shared" si="20"/>
        <v/>
      </c>
      <c r="C702" s="120" t="s">
        <v>284</v>
      </c>
      <c r="D702"/>
      <c r="E702"/>
      <c r="F702"/>
      <c r="G702"/>
      <c r="H702"/>
      <c r="I702" s="21" t="str">
        <f t="shared" si="21"/>
        <v/>
      </c>
      <c r="L702" s="24"/>
      <c r="M702" s="24"/>
    </row>
    <row r="703" spans="1:13">
      <c r="A703" s="14" t="str">
        <f t="shared" si="20"/>
        <v/>
      </c>
      <c r="C703" s="120" t="s">
        <v>286</v>
      </c>
      <c r="D703"/>
      <c r="E703"/>
      <c r="F703"/>
      <c r="G703"/>
      <c r="H703"/>
      <c r="I703" s="21" t="str">
        <f t="shared" si="21"/>
        <v/>
      </c>
      <c r="L703" s="24"/>
      <c r="M703" s="24"/>
    </row>
    <row r="704" spans="1:13">
      <c r="A704" s="10" t="str">
        <f t="shared" si="20"/>
        <v/>
      </c>
      <c r="C704" s="120" t="s">
        <v>126</v>
      </c>
      <c r="D704"/>
      <c r="E704"/>
      <c r="F704"/>
      <c r="G704"/>
      <c r="H704"/>
      <c r="I704" s="21" t="str">
        <f t="shared" si="21"/>
        <v/>
      </c>
      <c r="L704" s="24"/>
      <c r="M704" s="24"/>
    </row>
    <row r="705" spans="1:13">
      <c r="A705" s="14" t="str">
        <f t="shared" si="20"/>
        <v/>
      </c>
      <c r="C705" s="120" t="s">
        <v>128</v>
      </c>
      <c r="D705"/>
      <c r="E705"/>
      <c r="F705"/>
      <c r="G705"/>
      <c r="H705"/>
      <c r="I705" s="21" t="str">
        <f t="shared" si="21"/>
        <v/>
      </c>
      <c r="L705" s="24"/>
      <c r="M705" s="24"/>
    </row>
    <row r="706" spans="1:13">
      <c r="A706" s="10" t="str">
        <f t="shared" ref="A706:A769" si="22">IF(B706&lt;&gt;"",ROW()-1,"")</f>
        <v/>
      </c>
      <c r="C706" s="120" t="s">
        <v>280</v>
      </c>
      <c r="D706"/>
      <c r="E706"/>
      <c r="F706"/>
      <c r="G706"/>
      <c r="H706"/>
      <c r="I706" s="21" t="str">
        <f t="shared" ref="I706:I769" si="23">IF(AND(G706&lt;&gt;"",H706&lt;&gt;""),H706-G706,"")</f>
        <v/>
      </c>
      <c r="L706" s="24"/>
      <c r="M706" s="24"/>
    </row>
    <row r="707" spans="1:13">
      <c r="A707" s="14" t="str">
        <f t="shared" si="22"/>
        <v/>
      </c>
      <c r="C707" s="120" t="s">
        <v>282</v>
      </c>
      <c r="D707"/>
      <c r="E707"/>
      <c r="F707"/>
      <c r="G707"/>
      <c r="H707"/>
      <c r="I707" s="21" t="str">
        <f t="shared" si="23"/>
        <v/>
      </c>
      <c r="L707" s="24"/>
      <c r="M707" s="24"/>
    </row>
    <row r="708" spans="1:13">
      <c r="A708" s="10" t="str">
        <f t="shared" si="22"/>
        <v/>
      </c>
      <c r="C708" s="120" t="s">
        <v>284</v>
      </c>
      <c r="D708"/>
      <c r="E708"/>
      <c r="F708"/>
      <c r="G708"/>
      <c r="H708"/>
      <c r="I708" s="21" t="str">
        <f t="shared" si="23"/>
        <v/>
      </c>
      <c r="L708" s="24"/>
      <c r="M708" s="24"/>
    </row>
    <row r="709" spans="1:13">
      <c r="A709" s="14" t="str">
        <f t="shared" si="22"/>
        <v/>
      </c>
      <c r="C709" s="120" t="s">
        <v>286</v>
      </c>
      <c r="D709"/>
      <c r="E709"/>
      <c r="F709"/>
      <c r="G709"/>
      <c r="H709"/>
      <c r="I709" s="21" t="str">
        <f t="shared" si="23"/>
        <v/>
      </c>
      <c r="L709" s="24"/>
      <c r="M709" s="24"/>
    </row>
    <row r="710" spans="1:13">
      <c r="A710" s="10" t="str">
        <f t="shared" si="22"/>
        <v/>
      </c>
      <c r="C710" s="120" t="s">
        <v>126</v>
      </c>
      <c r="D710"/>
      <c r="E710"/>
      <c r="F710"/>
      <c r="G710"/>
      <c r="H710"/>
      <c r="I710" s="21" t="str">
        <f t="shared" si="23"/>
        <v/>
      </c>
      <c r="L710" s="24"/>
      <c r="M710" s="24"/>
    </row>
    <row r="711" spans="1:13">
      <c r="A711" s="14" t="str">
        <f t="shared" si="22"/>
        <v/>
      </c>
      <c r="C711" s="120" t="s">
        <v>128</v>
      </c>
      <c r="D711"/>
      <c r="E711"/>
      <c r="F711"/>
      <c r="G711"/>
      <c r="H711"/>
      <c r="I711" s="21" t="str">
        <f t="shared" si="23"/>
        <v/>
      </c>
      <c r="L711" s="24"/>
      <c r="M711" s="24"/>
    </row>
    <row r="712" spans="1:13">
      <c r="A712" s="10" t="str">
        <f t="shared" si="22"/>
        <v/>
      </c>
      <c r="C712" s="120" t="s">
        <v>280</v>
      </c>
      <c r="D712"/>
      <c r="E712"/>
      <c r="F712"/>
      <c r="G712"/>
      <c r="H712"/>
      <c r="I712" s="21" t="str">
        <f t="shared" si="23"/>
        <v/>
      </c>
      <c r="L712" s="24"/>
      <c r="M712" s="24"/>
    </row>
    <row r="713" spans="1:13">
      <c r="A713" s="14" t="str">
        <f t="shared" si="22"/>
        <v/>
      </c>
      <c r="C713" s="120" t="s">
        <v>282</v>
      </c>
      <c r="D713"/>
      <c r="E713"/>
      <c r="F713"/>
      <c r="G713"/>
      <c r="H713"/>
      <c r="I713" s="21" t="str">
        <f t="shared" si="23"/>
        <v/>
      </c>
      <c r="L713" s="24"/>
      <c r="M713" s="24"/>
    </row>
    <row r="714" spans="1:13">
      <c r="A714" s="10" t="str">
        <f t="shared" si="22"/>
        <v/>
      </c>
      <c r="C714" s="120" t="s">
        <v>284</v>
      </c>
      <c r="D714"/>
      <c r="E714"/>
      <c r="F714"/>
      <c r="G714"/>
      <c r="H714"/>
      <c r="I714" s="21" t="str">
        <f t="shared" si="23"/>
        <v/>
      </c>
      <c r="L714" s="24"/>
      <c r="M714" s="24"/>
    </row>
    <row r="715" spans="1:13">
      <c r="A715" s="14" t="str">
        <f t="shared" si="22"/>
        <v/>
      </c>
      <c r="C715" s="120" t="s">
        <v>286</v>
      </c>
      <c r="D715"/>
      <c r="E715"/>
      <c r="F715"/>
      <c r="G715"/>
      <c r="H715"/>
      <c r="I715" s="21" t="str">
        <f t="shared" si="23"/>
        <v/>
      </c>
      <c r="L715" s="24"/>
      <c r="M715" s="24"/>
    </row>
    <row r="716" spans="1:13">
      <c r="A716" s="10" t="str">
        <f t="shared" si="22"/>
        <v/>
      </c>
      <c r="C716" s="120" t="s">
        <v>126</v>
      </c>
      <c r="D716"/>
      <c r="E716"/>
      <c r="F716"/>
      <c r="G716"/>
      <c r="H716"/>
      <c r="I716" s="21" t="str">
        <f t="shared" si="23"/>
        <v/>
      </c>
      <c r="L716" s="24"/>
      <c r="M716" s="24"/>
    </row>
    <row r="717" spans="1:13">
      <c r="A717" s="14" t="str">
        <f t="shared" si="22"/>
        <v/>
      </c>
      <c r="C717" s="120" t="s">
        <v>128</v>
      </c>
      <c r="D717"/>
      <c r="E717"/>
      <c r="F717"/>
      <c r="G717"/>
      <c r="H717"/>
      <c r="I717" s="21" t="str">
        <f t="shared" si="23"/>
        <v/>
      </c>
      <c r="L717" s="24"/>
      <c r="M717" s="24"/>
    </row>
    <row r="718" spans="1:13">
      <c r="A718" s="10" t="str">
        <f t="shared" si="22"/>
        <v/>
      </c>
      <c r="C718" s="120" t="s">
        <v>280</v>
      </c>
      <c r="D718"/>
      <c r="E718"/>
      <c r="F718"/>
      <c r="G718"/>
      <c r="H718"/>
      <c r="I718" s="21" t="str">
        <f t="shared" si="23"/>
        <v/>
      </c>
      <c r="L718" s="24"/>
      <c r="M718" s="24"/>
    </row>
    <row r="719" spans="1:13">
      <c r="A719" s="14" t="str">
        <f t="shared" si="22"/>
        <v/>
      </c>
      <c r="C719" s="120" t="s">
        <v>282</v>
      </c>
      <c r="D719"/>
      <c r="E719"/>
      <c r="F719"/>
      <c r="G719"/>
      <c r="H719"/>
      <c r="I719" s="21" t="str">
        <f t="shared" si="23"/>
        <v/>
      </c>
      <c r="L719" s="24"/>
      <c r="M719" s="24"/>
    </row>
    <row r="720" spans="1:13">
      <c r="A720" s="10" t="str">
        <f t="shared" si="22"/>
        <v/>
      </c>
      <c r="C720" s="120" t="s">
        <v>284</v>
      </c>
      <c r="D720"/>
      <c r="E720"/>
      <c r="F720"/>
      <c r="G720"/>
      <c r="H720"/>
      <c r="I720" s="21" t="str">
        <f t="shared" si="23"/>
        <v/>
      </c>
      <c r="L720" s="24"/>
      <c r="M720" s="24"/>
    </row>
    <row r="721" spans="1:13">
      <c r="A721" s="14" t="str">
        <f t="shared" si="22"/>
        <v/>
      </c>
      <c r="C721" s="120" t="s">
        <v>286</v>
      </c>
      <c r="D721"/>
      <c r="E721"/>
      <c r="F721"/>
      <c r="G721"/>
      <c r="H721"/>
      <c r="I721" s="21" t="str">
        <f t="shared" si="23"/>
        <v/>
      </c>
      <c r="L721" s="24"/>
      <c r="M721" s="24"/>
    </row>
    <row r="722" spans="1:13">
      <c r="A722" s="10" t="str">
        <f t="shared" si="22"/>
        <v/>
      </c>
      <c r="C722" s="120" t="s">
        <v>126</v>
      </c>
      <c r="D722"/>
      <c r="E722"/>
      <c r="F722"/>
      <c r="G722"/>
      <c r="H722"/>
      <c r="I722" s="21" t="str">
        <f t="shared" si="23"/>
        <v/>
      </c>
      <c r="L722" s="24"/>
      <c r="M722" s="24"/>
    </row>
    <row r="723" spans="1:13">
      <c r="A723" s="14" t="str">
        <f t="shared" si="22"/>
        <v/>
      </c>
      <c r="C723" s="120" t="s">
        <v>128</v>
      </c>
      <c r="D723"/>
      <c r="E723"/>
      <c r="F723"/>
      <c r="G723"/>
      <c r="H723"/>
      <c r="I723" s="21" t="str">
        <f t="shared" si="23"/>
        <v/>
      </c>
      <c r="L723" s="24"/>
      <c r="M723" s="24"/>
    </row>
    <row r="724" spans="1:13">
      <c r="A724" s="10" t="str">
        <f t="shared" si="22"/>
        <v/>
      </c>
      <c r="C724" s="120" t="s">
        <v>280</v>
      </c>
      <c r="D724"/>
      <c r="E724"/>
      <c r="F724"/>
      <c r="G724"/>
      <c r="H724"/>
      <c r="I724" s="21" t="str">
        <f t="shared" si="23"/>
        <v/>
      </c>
      <c r="L724" s="24"/>
      <c r="M724" s="24"/>
    </row>
    <row r="725" spans="1:13">
      <c r="A725" s="14" t="str">
        <f t="shared" si="22"/>
        <v/>
      </c>
      <c r="C725" s="120" t="s">
        <v>282</v>
      </c>
      <c r="D725"/>
      <c r="E725"/>
      <c r="F725"/>
      <c r="G725"/>
      <c r="H725"/>
      <c r="I725" s="21" t="str">
        <f t="shared" si="23"/>
        <v/>
      </c>
      <c r="L725" s="24"/>
      <c r="M725" s="24"/>
    </row>
    <row r="726" spans="1:13">
      <c r="A726" s="10" t="str">
        <f t="shared" si="22"/>
        <v/>
      </c>
      <c r="C726" s="120" t="s">
        <v>284</v>
      </c>
      <c r="D726"/>
      <c r="E726"/>
      <c r="F726"/>
      <c r="G726"/>
      <c r="H726"/>
      <c r="I726" s="21" t="str">
        <f t="shared" si="23"/>
        <v/>
      </c>
      <c r="L726" s="24"/>
      <c r="M726" s="24"/>
    </row>
    <row r="727" spans="1:13">
      <c r="A727" s="14" t="str">
        <f t="shared" si="22"/>
        <v/>
      </c>
      <c r="C727" s="120" t="s">
        <v>286</v>
      </c>
      <c r="D727"/>
      <c r="E727"/>
      <c r="F727"/>
      <c r="G727"/>
      <c r="H727"/>
      <c r="I727" s="21" t="str">
        <f t="shared" si="23"/>
        <v/>
      </c>
      <c r="L727" s="24"/>
      <c r="M727" s="24"/>
    </row>
    <row r="728" spans="1:13">
      <c r="A728" s="10" t="str">
        <f t="shared" si="22"/>
        <v/>
      </c>
      <c r="C728" s="120" t="s">
        <v>126</v>
      </c>
      <c r="D728"/>
      <c r="E728"/>
      <c r="F728"/>
      <c r="G728"/>
      <c r="H728"/>
      <c r="I728" s="21" t="str">
        <f t="shared" si="23"/>
        <v/>
      </c>
      <c r="L728" s="24"/>
      <c r="M728" s="24"/>
    </row>
    <row r="729" spans="1:13">
      <c r="A729" s="14" t="str">
        <f t="shared" si="22"/>
        <v/>
      </c>
      <c r="C729" s="120" t="s">
        <v>128</v>
      </c>
      <c r="D729"/>
      <c r="E729"/>
      <c r="F729"/>
      <c r="G729"/>
      <c r="H729"/>
      <c r="I729" s="21" t="str">
        <f t="shared" si="23"/>
        <v/>
      </c>
      <c r="L729" s="24"/>
      <c r="M729" s="24"/>
    </row>
    <row r="730" spans="1:13">
      <c r="A730" s="10" t="str">
        <f t="shared" si="22"/>
        <v/>
      </c>
      <c r="C730" s="120" t="s">
        <v>280</v>
      </c>
      <c r="D730"/>
      <c r="E730"/>
      <c r="F730"/>
      <c r="G730"/>
      <c r="H730"/>
      <c r="I730" s="21" t="str">
        <f t="shared" si="23"/>
        <v/>
      </c>
      <c r="L730" s="24"/>
      <c r="M730" s="24"/>
    </row>
    <row r="731" spans="1:13">
      <c r="A731" s="14" t="str">
        <f t="shared" si="22"/>
        <v/>
      </c>
      <c r="C731" s="120" t="s">
        <v>282</v>
      </c>
      <c r="D731"/>
      <c r="E731"/>
      <c r="F731"/>
      <c r="G731"/>
      <c r="H731"/>
      <c r="I731" s="21" t="str">
        <f t="shared" si="23"/>
        <v/>
      </c>
      <c r="L731" s="24"/>
      <c r="M731" s="24"/>
    </row>
    <row r="732" spans="1:13">
      <c r="A732" s="10" t="str">
        <f t="shared" si="22"/>
        <v/>
      </c>
      <c r="C732" s="120" t="s">
        <v>284</v>
      </c>
      <c r="D732"/>
      <c r="E732"/>
      <c r="F732"/>
      <c r="G732"/>
      <c r="H732"/>
      <c r="I732" s="21" t="str">
        <f t="shared" si="23"/>
        <v/>
      </c>
      <c r="L732" s="24"/>
      <c r="M732" s="24"/>
    </row>
    <row r="733" spans="1:13">
      <c r="A733" s="14" t="str">
        <f t="shared" si="22"/>
        <v/>
      </c>
      <c r="C733" s="120" t="s">
        <v>286</v>
      </c>
      <c r="D733"/>
      <c r="E733"/>
      <c r="F733"/>
      <c r="G733"/>
      <c r="H733"/>
      <c r="I733" s="21" t="str">
        <f t="shared" si="23"/>
        <v/>
      </c>
      <c r="L733" s="24"/>
      <c r="M733" s="24"/>
    </row>
    <row r="734" spans="1:13">
      <c r="A734" s="10" t="str">
        <f t="shared" si="22"/>
        <v/>
      </c>
      <c r="C734" s="120" t="s">
        <v>126</v>
      </c>
      <c r="D734"/>
      <c r="E734"/>
      <c r="F734"/>
      <c r="G734"/>
      <c r="H734"/>
      <c r="I734" s="21" t="str">
        <f t="shared" si="23"/>
        <v/>
      </c>
      <c r="L734" s="24"/>
      <c r="M734" s="24"/>
    </row>
    <row r="735" spans="1:13">
      <c r="A735" s="14" t="str">
        <f t="shared" si="22"/>
        <v/>
      </c>
      <c r="C735" s="120" t="s">
        <v>128</v>
      </c>
      <c r="D735"/>
      <c r="E735"/>
      <c r="F735"/>
      <c r="G735"/>
      <c r="H735"/>
      <c r="I735" s="21" t="str">
        <f t="shared" si="23"/>
        <v/>
      </c>
      <c r="L735" s="24"/>
      <c r="M735" s="24"/>
    </row>
    <row r="736" spans="1:13">
      <c r="A736" s="10" t="str">
        <f t="shared" si="22"/>
        <v/>
      </c>
      <c r="C736" s="120" t="s">
        <v>280</v>
      </c>
      <c r="D736"/>
      <c r="E736"/>
      <c r="F736"/>
      <c r="G736"/>
      <c r="H736"/>
      <c r="I736" s="21" t="str">
        <f t="shared" si="23"/>
        <v/>
      </c>
      <c r="L736" s="24"/>
      <c r="M736" s="24"/>
    </row>
    <row r="737" spans="1:13">
      <c r="A737" s="14" t="str">
        <f t="shared" si="22"/>
        <v/>
      </c>
      <c r="C737" s="120" t="s">
        <v>282</v>
      </c>
      <c r="D737"/>
      <c r="E737"/>
      <c r="F737"/>
      <c r="G737"/>
      <c r="H737"/>
      <c r="I737" s="21" t="str">
        <f t="shared" si="23"/>
        <v/>
      </c>
      <c r="L737" s="24"/>
      <c r="M737" s="24"/>
    </row>
    <row r="738" spans="1:13">
      <c r="A738" s="10" t="str">
        <f t="shared" si="22"/>
        <v/>
      </c>
      <c r="C738" s="120" t="s">
        <v>284</v>
      </c>
      <c r="D738"/>
      <c r="E738"/>
      <c r="F738"/>
      <c r="G738"/>
      <c r="H738"/>
      <c r="I738" s="21" t="str">
        <f t="shared" si="23"/>
        <v/>
      </c>
      <c r="L738" s="24"/>
      <c r="M738" s="24"/>
    </row>
    <row r="739" spans="1:13">
      <c r="A739" s="14" t="str">
        <f t="shared" si="22"/>
        <v/>
      </c>
      <c r="C739" s="120" t="s">
        <v>286</v>
      </c>
      <c r="D739"/>
      <c r="E739"/>
      <c r="F739"/>
      <c r="G739"/>
      <c r="H739"/>
      <c r="I739" s="21" t="str">
        <f t="shared" si="23"/>
        <v/>
      </c>
      <c r="L739" s="24"/>
      <c r="M739" s="24"/>
    </row>
    <row r="740" spans="1:13">
      <c r="A740" s="10" t="str">
        <f t="shared" si="22"/>
        <v/>
      </c>
      <c r="C740" s="120" t="s">
        <v>126</v>
      </c>
      <c r="D740"/>
      <c r="E740"/>
      <c r="F740"/>
      <c r="G740"/>
      <c r="H740"/>
      <c r="I740" s="21" t="str">
        <f t="shared" si="23"/>
        <v/>
      </c>
      <c r="L740" s="24"/>
      <c r="M740" s="24"/>
    </row>
    <row r="741" spans="1:13">
      <c r="A741" s="14" t="str">
        <f t="shared" si="22"/>
        <v/>
      </c>
      <c r="C741" s="120" t="s">
        <v>128</v>
      </c>
      <c r="D741"/>
      <c r="E741"/>
      <c r="F741"/>
      <c r="G741"/>
      <c r="H741"/>
      <c r="I741" s="21" t="str">
        <f t="shared" si="23"/>
        <v/>
      </c>
      <c r="L741" s="24"/>
      <c r="M741" s="24"/>
    </row>
    <row r="742" spans="1:13">
      <c r="A742" s="10" t="str">
        <f t="shared" si="22"/>
        <v/>
      </c>
      <c r="C742" s="120" t="s">
        <v>280</v>
      </c>
      <c r="D742"/>
      <c r="E742"/>
      <c r="F742"/>
      <c r="G742"/>
      <c r="H742"/>
      <c r="I742" s="21" t="str">
        <f t="shared" si="23"/>
        <v/>
      </c>
      <c r="L742" s="24"/>
      <c r="M742" s="24"/>
    </row>
    <row r="743" spans="1:13">
      <c r="A743" s="14" t="str">
        <f t="shared" si="22"/>
        <v/>
      </c>
      <c r="C743" s="120" t="s">
        <v>282</v>
      </c>
      <c r="D743"/>
      <c r="E743"/>
      <c r="F743"/>
      <c r="G743"/>
      <c r="H743"/>
      <c r="I743" s="21" t="str">
        <f t="shared" si="23"/>
        <v/>
      </c>
      <c r="L743" s="24"/>
      <c r="M743" s="24"/>
    </row>
    <row r="744" spans="1:13">
      <c r="A744" s="10" t="str">
        <f t="shared" si="22"/>
        <v/>
      </c>
      <c r="C744" s="120" t="s">
        <v>284</v>
      </c>
      <c r="D744"/>
      <c r="E744"/>
      <c r="F744"/>
      <c r="G744"/>
      <c r="H744"/>
      <c r="I744" s="21" t="str">
        <f t="shared" si="23"/>
        <v/>
      </c>
      <c r="L744" s="24"/>
      <c r="M744" s="24"/>
    </row>
    <row r="745" spans="1:13">
      <c r="A745" s="14" t="str">
        <f t="shared" si="22"/>
        <v/>
      </c>
      <c r="C745" s="120" t="s">
        <v>286</v>
      </c>
      <c r="D745"/>
      <c r="E745"/>
      <c r="F745"/>
      <c r="G745"/>
      <c r="H745"/>
      <c r="I745" s="21" t="str">
        <f t="shared" si="23"/>
        <v/>
      </c>
      <c r="L745" s="24"/>
      <c r="M745" s="24"/>
    </row>
    <row r="746" spans="1:13">
      <c r="A746" s="10" t="str">
        <f t="shared" si="22"/>
        <v/>
      </c>
      <c r="C746" s="120" t="s">
        <v>126</v>
      </c>
      <c r="D746"/>
      <c r="E746"/>
      <c r="F746"/>
      <c r="G746"/>
      <c r="H746"/>
      <c r="I746" s="21" t="str">
        <f t="shared" si="23"/>
        <v/>
      </c>
      <c r="L746" s="24"/>
      <c r="M746" s="24"/>
    </row>
    <row r="747" spans="1:13">
      <c r="A747" s="14" t="str">
        <f t="shared" si="22"/>
        <v/>
      </c>
      <c r="C747" s="120" t="s">
        <v>128</v>
      </c>
      <c r="D747"/>
      <c r="E747"/>
      <c r="F747"/>
      <c r="G747"/>
      <c r="H747"/>
      <c r="I747" s="21" t="str">
        <f t="shared" si="23"/>
        <v/>
      </c>
      <c r="L747" s="24"/>
      <c r="M747" s="24"/>
    </row>
    <row r="748" spans="1:13">
      <c r="A748" s="10" t="str">
        <f t="shared" si="22"/>
        <v/>
      </c>
      <c r="C748" s="120" t="s">
        <v>280</v>
      </c>
      <c r="D748"/>
      <c r="E748"/>
      <c r="F748"/>
      <c r="G748"/>
      <c r="H748"/>
      <c r="I748" s="21" t="str">
        <f t="shared" si="23"/>
        <v/>
      </c>
      <c r="L748" s="24"/>
      <c r="M748" s="24"/>
    </row>
    <row r="749" spans="1:13">
      <c r="A749" s="14" t="str">
        <f t="shared" si="22"/>
        <v/>
      </c>
      <c r="C749" s="120" t="s">
        <v>282</v>
      </c>
      <c r="D749"/>
      <c r="E749"/>
      <c r="F749"/>
      <c r="G749"/>
      <c r="H749"/>
      <c r="I749" s="21" t="str">
        <f t="shared" si="23"/>
        <v/>
      </c>
      <c r="L749" s="24"/>
      <c r="M749" s="24"/>
    </row>
    <row r="750" spans="1:13">
      <c r="A750" s="10" t="str">
        <f t="shared" si="22"/>
        <v/>
      </c>
      <c r="C750" s="120" t="s">
        <v>284</v>
      </c>
      <c r="D750"/>
      <c r="E750"/>
      <c r="F750"/>
      <c r="G750"/>
      <c r="H750"/>
      <c r="I750" s="21" t="str">
        <f t="shared" si="23"/>
        <v/>
      </c>
      <c r="L750" s="24"/>
      <c r="M750" s="24"/>
    </row>
    <row r="751" spans="1:13">
      <c r="A751" s="14" t="str">
        <f t="shared" si="22"/>
        <v/>
      </c>
      <c r="C751" s="120" t="s">
        <v>286</v>
      </c>
      <c r="D751"/>
      <c r="E751"/>
      <c r="F751"/>
      <c r="G751"/>
      <c r="H751"/>
      <c r="I751" s="21" t="str">
        <f t="shared" si="23"/>
        <v/>
      </c>
      <c r="L751" s="24"/>
      <c r="M751" s="24"/>
    </row>
    <row r="752" spans="1:13">
      <c r="A752" s="10" t="str">
        <f t="shared" si="22"/>
        <v/>
      </c>
      <c r="C752" s="120" t="s">
        <v>126</v>
      </c>
      <c r="D752"/>
      <c r="E752"/>
      <c r="F752"/>
      <c r="G752"/>
      <c r="H752"/>
      <c r="I752" s="21" t="str">
        <f t="shared" si="23"/>
        <v/>
      </c>
      <c r="L752" s="24"/>
      <c r="M752" s="24"/>
    </row>
    <row r="753" spans="1:13">
      <c r="A753" s="14" t="str">
        <f t="shared" si="22"/>
        <v/>
      </c>
      <c r="C753" s="120" t="s">
        <v>128</v>
      </c>
      <c r="D753"/>
      <c r="E753"/>
      <c r="F753"/>
      <c r="G753"/>
      <c r="H753"/>
      <c r="I753" s="21" t="str">
        <f t="shared" si="23"/>
        <v/>
      </c>
      <c r="L753" s="24"/>
      <c r="M753" s="24"/>
    </row>
    <row r="754" spans="1:13">
      <c r="A754" s="10" t="str">
        <f t="shared" si="22"/>
        <v/>
      </c>
      <c r="C754" s="120" t="s">
        <v>280</v>
      </c>
      <c r="D754"/>
      <c r="E754"/>
      <c r="F754"/>
      <c r="G754"/>
      <c r="H754"/>
      <c r="I754" s="21" t="str">
        <f t="shared" si="23"/>
        <v/>
      </c>
      <c r="L754" s="24"/>
      <c r="M754" s="24"/>
    </row>
    <row r="755" spans="1:13">
      <c r="A755" s="14" t="str">
        <f t="shared" si="22"/>
        <v/>
      </c>
      <c r="C755" s="120" t="s">
        <v>282</v>
      </c>
      <c r="D755"/>
      <c r="E755"/>
      <c r="F755"/>
      <c r="G755"/>
      <c r="H755"/>
      <c r="I755" s="21" t="str">
        <f t="shared" si="23"/>
        <v/>
      </c>
      <c r="L755" s="24"/>
      <c r="M755" s="24"/>
    </row>
    <row r="756" spans="1:13">
      <c r="A756" s="10" t="str">
        <f t="shared" si="22"/>
        <v/>
      </c>
      <c r="C756" s="120" t="s">
        <v>284</v>
      </c>
      <c r="D756"/>
      <c r="E756"/>
      <c r="F756"/>
      <c r="G756"/>
      <c r="H756"/>
      <c r="I756" s="21" t="str">
        <f t="shared" si="23"/>
        <v/>
      </c>
      <c r="L756" s="24"/>
      <c r="M756" s="24"/>
    </row>
    <row r="757" spans="1:13">
      <c r="A757" s="14" t="str">
        <f t="shared" si="22"/>
        <v/>
      </c>
      <c r="C757" s="120" t="s">
        <v>286</v>
      </c>
      <c r="D757"/>
      <c r="E757"/>
      <c r="F757"/>
      <c r="G757"/>
      <c r="H757"/>
      <c r="I757" s="21" t="str">
        <f t="shared" si="23"/>
        <v/>
      </c>
      <c r="L757" s="24"/>
      <c r="M757" s="24"/>
    </row>
    <row r="758" spans="1:13">
      <c r="A758" s="10" t="str">
        <f t="shared" si="22"/>
        <v/>
      </c>
      <c r="C758" s="120" t="s">
        <v>126</v>
      </c>
      <c r="D758"/>
      <c r="E758"/>
      <c r="F758"/>
      <c r="G758"/>
      <c r="H758"/>
      <c r="I758" s="21" t="str">
        <f t="shared" si="23"/>
        <v/>
      </c>
      <c r="L758" s="24"/>
      <c r="M758" s="24"/>
    </row>
    <row r="759" spans="1:13">
      <c r="A759" s="14" t="str">
        <f t="shared" si="22"/>
        <v/>
      </c>
      <c r="C759" s="120" t="s">
        <v>128</v>
      </c>
      <c r="D759"/>
      <c r="E759"/>
      <c r="F759"/>
      <c r="G759"/>
      <c r="H759"/>
      <c r="I759" s="21" t="str">
        <f t="shared" si="23"/>
        <v/>
      </c>
      <c r="L759" s="24"/>
      <c r="M759" s="24"/>
    </row>
    <row r="760" spans="1:13">
      <c r="A760" s="10" t="str">
        <f t="shared" si="22"/>
        <v/>
      </c>
      <c r="C760" s="120" t="s">
        <v>280</v>
      </c>
      <c r="D760"/>
      <c r="E760"/>
      <c r="F760"/>
      <c r="G760"/>
      <c r="H760"/>
      <c r="I760" s="21" t="str">
        <f t="shared" si="23"/>
        <v/>
      </c>
      <c r="L760" s="24"/>
      <c r="M760" s="24"/>
    </row>
    <row r="761" spans="1:13">
      <c r="A761" s="14" t="str">
        <f t="shared" si="22"/>
        <v/>
      </c>
      <c r="C761" s="120" t="s">
        <v>282</v>
      </c>
      <c r="D761"/>
      <c r="E761"/>
      <c r="F761"/>
      <c r="G761"/>
      <c r="H761"/>
      <c r="I761" s="21" t="str">
        <f t="shared" si="23"/>
        <v/>
      </c>
      <c r="L761" s="24"/>
      <c r="M761" s="24"/>
    </row>
    <row r="762" spans="1:13">
      <c r="A762" s="10" t="str">
        <f t="shared" si="22"/>
        <v/>
      </c>
      <c r="C762" s="120" t="s">
        <v>284</v>
      </c>
      <c r="D762"/>
      <c r="E762"/>
      <c r="F762"/>
      <c r="G762"/>
      <c r="H762"/>
      <c r="I762" s="21" t="str">
        <f t="shared" si="23"/>
        <v/>
      </c>
      <c r="L762" s="24"/>
      <c r="M762" s="24"/>
    </row>
    <row r="763" spans="1:13">
      <c r="A763" s="14" t="str">
        <f t="shared" si="22"/>
        <v/>
      </c>
      <c r="C763" s="120" t="s">
        <v>286</v>
      </c>
      <c r="D763"/>
      <c r="E763"/>
      <c r="F763"/>
      <c r="G763"/>
      <c r="H763"/>
      <c r="I763" s="21" t="str">
        <f t="shared" si="23"/>
        <v/>
      </c>
      <c r="L763" s="24"/>
      <c r="M763" s="24"/>
    </row>
    <row r="764" spans="1:13">
      <c r="A764" s="10" t="str">
        <f t="shared" si="22"/>
        <v/>
      </c>
      <c r="C764" s="120" t="s">
        <v>126</v>
      </c>
      <c r="D764"/>
      <c r="E764"/>
      <c r="F764"/>
      <c r="G764"/>
      <c r="H764"/>
      <c r="I764" s="21" t="str">
        <f t="shared" si="23"/>
        <v/>
      </c>
      <c r="L764" s="24"/>
      <c r="M764" s="24"/>
    </row>
    <row r="765" spans="1:13">
      <c r="A765" s="14" t="str">
        <f t="shared" si="22"/>
        <v/>
      </c>
      <c r="C765" s="120" t="s">
        <v>128</v>
      </c>
      <c r="D765"/>
      <c r="E765"/>
      <c r="F765"/>
      <c r="G765"/>
      <c r="H765"/>
      <c r="I765" s="21" t="str">
        <f t="shared" si="23"/>
        <v/>
      </c>
      <c r="L765" s="24"/>
      <c r="M765" s="24"/>
    </row>
    <row r="766" spans="1:13">
      <c r="A766" s="10" t="str">
        <f t="shared" si="22"/>
        <v/>
      </c>
      <c r="C766" s="120" t="s">
        <v>280</v>
      </c>
      <c r="D766"/>
      <c r="E766"/>
      <c r="F766"/>
      <c r="G766"/>
      <c r="H766"/>
      <c r="I766" s="21" t="str">
        <f t="shared" si="23"/>
        <v/>
      </c>
      <c r="L766" s="24"/>
      <c r="M766" s="24"/>
    </row>
    <row r="767" spans="1:13">
      <c r="A767" s="14" t="str">
        <f t="shared" si="22"/>
        <v/>
      </c>
      <c r="C767" s="120" t="s">
        <v>282</v>
      </c>
      <c r="D767"/>
      <c r="E767"/>
      <c r="F767"/>
      <c r="G767"/>
      <c r="H767"/>
      <c r="I767" s="21" t="str">
        <f t="shared" si="23"/>
        <v/>
      </c>
      <c r="L767" s="24"/>
      <c r="M767" s="24"/>
    </row>
    <row r="768" spans="1:13">
      <c r="A768" s="10" t="str">
        <f t="shared" si="22"/>
        <v/>
      </c>
      <c r="C768" s="120" t="s">
        <v>284</v>
      </c>
      <c r="D768"/>
      <c r="E768"/>
      <c r="F768"/>
      <c r="G768"/>
      <c r="H768"/>
      <c r="I768" s="21" t="str">
        <f t="shared" si="23"/>
        <v/>
      </c>
      <c r="L768" s="24"/>
      <c r="M768" s="24"/>
    </row>
    <row r="769" spans="1:13">
      <c r="A769" s="14" t="str">
        <f t="shared" si="22"/>
        <v/>
      </c>
      <c r="C769" s="120" t="s">
        <v>286</v>
      </c>
      <c r="D769"/>
      <c r="E769"/>
      <c r="F769"/>
      <c r="G769"/>
      <c r="H769"/>
      <c r="I769" s="21" t="str">
        <f t="shared" si="23"/>
        <v/>
      </c>
      <c r="L769" s="24"/>
      <c r="M769" s="24"/>
    </row>
    <row r="770" spans="1:13">
      <c r="A770" s="10" t="str">
        <f t="shared" ref="A770:A833" si="24">IF(B770&lt;&gt;"",ROW()-1,"")</f>
        <v/>
      </c>
      <c r="C770" s="120" t="s">
        <v>126</v>
      </c>
      <c r="D770"/>
      <c r="E770"/>
      <c r="F770"/>
      <c r="G770"/>
      <c r="H770"/>
      <c r="I770" s="21" t="str">
        <f t="shared" ref="I770:I833" si="25">IF(AND(G770&lt;&gt;"",H770&lt;&gt;""),H770-G770,"")</f>
        <v/>
      </c>
      <c r="L770" s="24"/>
      <c r="M770" s="24"/>
    </row>
    <row r="771" spans="1:13">
      <c r="A771" s="14" t="str">
        <f t="shared" si="24"/>
        <v/>
      </c>
      <c r="C771" s="120" t="s">
        <v>128</v>
      </c>
      <c r="D771"/>
      <c r="E771"/>
      <c r="F771"/>
      <c r="G771"/>
      <c r="H771"/>
      <c r="I771" s="21" t="str">
        <f t="shared" si="25"/>
        <v/>
      </c>
      <c r="L771" s="24"/>
      <c r="M771" s="24"/>
    </row>
    <row r="772" spans="1:13">
      <c r="A772" s="10" t="str">
        <f t="shared" si="24"/>
        <v/>
      </c>
      <c r="C772" s="120" t="s">
        <v>280</v>
      </c>
      <c r="D772"/>
      <c r="E772"/>
      <c r="F772"/>
      <c r="G772"/>
      <c r="H772"/>
      <c r="I772" s="21" t="str">
        <f t="shared" si="25"/>
        <v/>
      </c>
      <c r="L772" s="24"/>
      <c r="M772" s="24"/>
    </row>
    <row r="773" spans="1:13">
      <c r="A773" s="14" t="str">
        <f t="shared" si="24"/>
        <v/>
      </c>
      <c r="C773" s="120" t="s">
        <v>282</v>
      </c>
      <c r="D773"/>
      <c r="E773"/>
      <c r="F773"/>
      <c r="G773"/>
      <c r="H773"/>
      <c r="I773" s="21" t="str">
        <f t="shared" si="25"/>
        <v/>
      </c>
      <c r="L773" s="24"/>
      <c r="M773" s="24"/>
    </row>
    <row r="774" spans="1:13">
      <c r="A774" s="10" t="str">
        <f t="shared" si="24"/>
        <v/>
      </c>
      <c r="C774" s="120" t="s">
        <v>284</v>
      </c>
      <c r="D774"/>
      <c r="E774"/>
      <c r="F774"/>
      <c r="G774"/>
      <c r="H774"/>
      <c r="I774" s="21" t="str">
        <f t="shared" si="25"/>
        <v/>
      </c>
      <c r="L774" s="24"/>
      <c r="M774" s="24"/>
    </row>
    <row r="775" spans="1:13">
      <c r="A775" s="14" t="str">
        <f t="shared" si="24"/>
        <v/>
      </c>
      <c r="C775" s="120" t="s">
        <v>286</v>
      </c>
      <c r="D775"/>
      <c r="E775"/>
      <c r="F775"/>
      <c r="G775"/>
      <c r="H775"/>
      <c r="I775" s="21" t="str">
        <f t="shared" si="25"/>
        <v/>
      </c>
      <c r="L775" s="24"/>
      <c r="M775" s="24"/>
    </row>
    <row r="776" spans="1:13">
      <c r="A776" s="10" t="str">
        <f t="shared" si="24"/>
        <v/>
      </c>
      <c r="C776" s="120" t="s">
        <v>126</v>
      </c>
      <c r="D776"/>
      <c r="E776"/>
      <c r="F776"/>
      <c r="G776"/>
      <c r="H776"/>
      <c r="I776" s="21" t="str">
        <f t="shared" si="25"/>
        <v/>
      </c>
      <c r="L776" s="24"/>
      <c r="M776" s="24"/>
    </row>
    <row r="777" spans="1:13">
      <c r="A777" s="14" t="str">
        <f t="shared" si="24"/>
        <v/>
      </c>
      <c r="C777" s="120" t="s">
        <v>128</v>
      </c>
      <c r="D777"/>
      <c r="E777"/>
      <c r="F777"/>
      <c r="G777"/>
      <c r="H777"/>
      <c r="I777" s="21" t="str">
        <f t="shared" si="25"/>
        <v/>
      </c>
      <c r="L777" s="24"/>
      <c r="M777" s="24"/>
    </row>
    <row r="778" spans="1:13">
      <c r="A778" s="10" t="str">
        <f t="shared" si="24"/>
        <v/>
      </c>
      <c r="C778" s="120" t="s">
        <v>280</v>
      </c>
      <c r="D778"/>
      <c r="E778"/>
      <c r="F778"/>
      <c r="G778"/>
      <c r="H778"/>
      <c r="I778" s="21" t="str">
        <f t="shared" si="25"/>
        <v/>
      </c>
      <c r="L778" s="24"/>
      <c r="M778" s="24"/>
    </row>
    <row r="779" spans="1:13">
      <c r="A779" s="14" t="str">
        <f t="shared" si="24"/>
        <v/>
      </c>
      <c r="C779" s="120" t="s">
        <v>282</v>
      </c>
      <c r="D779"/>
      <c r="E779"/>
      <c r="F779"/>
      <c r="G779"/>
      <c r="H779"/>
      <c r="I779" s="21" t="str">
        <f t="shared" si="25"/>
        <v/>
      </c>
      <c r="L779" s="24"/>
      <c r="M779" s="24"/>
    </row>
    <row r="780" spans="1:13">
      <c r="A780" s="10" t="str">
        <f t="shared" si="24"/>
        <v/>
      </c>
      <c r="C780" s="120" t="s">
        <v>284</v>
      </c>
      <c r="D780"/>
      <c r="E780"/>
      <c r="F780"/>
      <c r="G780"/>
      <c r="H780"/>
      <c r="I780" s="21" t="str">
        <f t="shared" si="25"/>
        <v/>
      </c>
      <c r="L780" s="24"/>
      <c r="M780" s="24"/>
    </row>
    <row r="781" spans="1:13">
      <c r="A781" s="14" t="str">
        <f t="shared" si="24"/>
        <v/>
      </c>
      <c r="C781" s="120" t="s">
        <v>286</v>
      </c>
      <c r="D781"/>
      <c r="E781"/>
      <c r="F781"/>
      <c r="G781"/>
      <c r="H781"/>
      <c r="I781" s="21" t="str">
        <f t="shared" si="25"/>
        <v/>
      </c>
      <c r="L781" s="24"/>
      <c r="M781" s="24"/>
    </row>
    <row r="782" spans="1:13">
      <c r="A782" s="10" t="str">
        <f t="shared" si="24"/>
        <v/>
      </c>
      <c r="C782" s="120" t="s">
        <v>126</v>
      </c>
      <c r="D782"/>
      <c r="E782"/>
      <c r="F782"/>
      <c r="G782"/>
      <c r="H782"/>
      <c r="I782" s="21" t="str">
        <f t="shared" si="25"/>
        <v/>
      </c>
      <c r="L782" s="24"/>
      <c r="M782" s="24"/>
    </row>
    <row r="783" spans="1:13">
      <c r="A783" s="14" t="str">
        <f t="shared" si="24"/>
        <v/>
      </c>
      <c r="C783" s="120" t="s">
        <v>128</v>
      </c>
      <c r="D783"/>
      <c r="E783"/>
      <c r="F783"/>
      <c r="G783"/>
      <c r="H783"/>
      <c r="I783" s="21" t="str">
        <f t="shared" si="25"/>
        <v/>
      </c>
      <c r="L783" s="24"/>
      <c r="M783" s="24"/>
    </row>
    <row r="784" spans="1:13">
      <c r="A784" s="10" t="str">
        <f t="shared" si="24"/>
        <v/>
      </c>
      <c r="C784" s="120" t="s">
        <v>280</v>
      </c>
      <c r="D784"/>
      <c r="E784"/>
      <c r="F784"/>
      <c r="G784"/>
      <c r="H784"/>
      <c r="I784" s="21" t="str">
        <f t="shared" si="25"/>
        <v/>
      </c>
      <c r="L784" s="24"/>
      <c r="M784" s="24"/>
    </row>
    <row r="785" spans="1:13">
      <c r="A785" s="14" t="str">
        <f t="shared" si="24"/>
        <v/>
      </c>
      <c r="C785" s="120" t="s">
        <v>282</v>
      </c>
      <c r="D785"/>
      <c r="E785"/>
      <c r="F785"/>
      <c r="G785"/>
      <c r="H785"/>
      <c r="I785" s="21" t="str">
        <f t="shared" si="25"/>
        <v/>
      </c>
      <c r="L785" s="24"/>
      <c r="M785" s="24"/>
    </row>
    <row r="786" spans="1:13">
      <c r="A786" s="10" t="str">
        <f t="shared" si="24"/>
        <v/>
      </c>
      <c r="C786" s="120" t="s">
        <v>284</v>
      </c>
      <c r="D786"/>
      <c r="E786"/>
      <c r="F786"/>
      <c r="G786"/>
      <c r="H786"/>
      <c r="I786" s="21" t="str">
        <f t="shared" si="25"/>
        <v/>
      </c>
      <c r="L786" s="24"/>
      <c r="M786" s="24"/>
    </row>
    <row r="787" spans="1:13">
      <c r="A787" s="14" t="str">
        <f t="shared" si="24"/>
        <v/>
      </c>
      <c r="C787" s="120" t="s">
        <v>286</v>
      </c>
      <c r="D787"/>
      <c r="E787"/>
      <c r="F787"/>
      <c r="G787"/>
      <c r="H787"/>
      <c r="I787" s="21" t="str">
        <f t="shared" si="25"/>
        <v/>
      </c>
      <c r="L787" s="24"/>
      <c r="M787" s="24"/>
    </row>
    <row r="788" spans="1:13">
      <c r="A788" s="10" t="str">
        <f t="shared" si="24"/>
        <v/>
      </c>
      <c r="C788" s="120" t="s">
        <v>126</v>
      </c>
      <c r="D788"/>
      <c r="E788"/>
      <c r="F788"/>
      <c r="G788"/>
      <c r="H788"/>
      <c r="I788" s="21" t="str">
        <f t="shared" si="25"/>
        <v/>
      </c>
      <c r="L788" s="24"/>
      <c r="M788" s="24"/>
    </row>
    <row r="789" spans="1:13">
      <c r="A789" s="14" t="str">
        <f t="shared" si="24"/>
        <v/>
      </c>
      <c r="C789" s="120" t="s">
        <v>128</v>
      </c>
      <c r="D789"/>
      <c r="E789"/>
      <c r="F789"/>
      <c r="G789"/>
      <c r="H789"/>
      <c r="I789" s="21" t="str">
        <f t="shared" si="25"/>
        <v/>
      </c>
      <c r="L789" s="24"/>
      <c r="M789" s="24"/>
    </row>
    <row r="790" spans="1:13">
      <c r="A790" s="10" t="str">
        <f t="shared" si="24"/>
        <v/>
      </c>
      <c r="C790" s="120" t="s">
        <v>280</v>
      </c>
      <c r="D790"/>
      <c r="E790"/>
      <c r="F790"/>
      <c r="G790"/>
      <c r="H790"/>
      <c r="I790" s="21" t="str">
        <f t="shared" si="25"/>
        <v/>
      </c>
      <c r="L790" s="24"/>
      <c r="M790" s="24"/>
    </row>
    <row r="791" spans="1:13">
      <c r="A791" s="14" t="str">
        <f t="shared" si="24"/>
        <v/>
      </c>
      <c r="C791" s="120" t="s">
        <v>282</v>
      </c>
      <c r="D791"/>
      <c r="E791"/>
      <c r="F791"/>
      <c r="G791"/>
      <c r="H791"/>
      <c r="I791" s="21" t="str">
        <f t="shared" si="25"/>
        <v/>
      </c>
      <c r="L791" s="24"/>
      <c r="M791" s="24"/>
    </row>
    <row r="792" spans="1:13">
      <c r="A792" s="10" t="str">
        <f t="shared" si="24"/>
        <v/>
      </c>
      <c r="C792" s="120" t="s">
        <v>284</v>
      </c>
      <c r="D792"/>
      <c r="E792"/>
      <c r="F792"/>
      <c r="G792"/>
      <c r="H792"/>
      <c r="I792" s="21" t="str">
        <f t="shared" si="25"/>
        <v/>
      </c>
      <c r="L792" s="24"/>
      <c r="M792" s="24"/>
    </row>
    <row r="793" spans="1:13">
      <c r="A793" s="14" t="str">
        <f t="shared" si="24"/>
        <v/>
      </c>
      <c r="C793" s="120" t="s">
        <v>286</v>
      </c>
      <c r="D793"/>
      <c r="E793"/>
      <c r="F793"/>
      <c r="G793"/>
      <c r="H793"/>
      <c r="I793" s="21" t="str">
        <f t="shared" si="25"/>
        <v/>
      </c>
      <c r="L793" s="24"/>
      <c r="M793" s="24"/>
    </row>
    <row r="794" spans="1:13">
      <c r="A794" s="10" t="str">
        <f t="shared" si="24"/>
        <v/>
      </c>
      <c r="C794" s="120" t="s">
        <v>126</v>
      </c>
      <c r="D794"/>
      <c r="E794"/>
      <c r="F794"/>
      <c r="G794"/>
      <c r="H794"/>
      <c r="I794" s="21" t="str">
        <f t="shared" si="25"/>
        <v/>
      </c>
      <c r="L794" s="24"/>
      <c r="M794" s="24"/>
    </row>
    <row r="795" spans="1:13">
      <c r="A795" s="14" t="str">
        <f t="shared" si="24"/>
        <v/>
      </c>
      <c r="C795" s="120" t="s">
        <v>128</v>
      </c>
      <c r="D795"/>
      <c r="E795"/>
      <c r="F795"/>
      <c r="G795"/>
      <c r="H795"/>
      <c r="I795" s="21" t="str">
        <f t="shared" si="25"/>
        <v/>
      </c>
      <c r="L795" s="24"/>
      <c r="M795" s="24"/>
    </row>
    <row r="796" spans="1:13">
      <c r="A796" s="10" t="str">
        <f t="shared" si="24"/>
        <v/>
      </c>
      <c r="C796" s="120" t="s">
        <v>280</v>
      </c>
      <c r="D796"/>
      <c r="E796"/>
      <c r="F796"/>
      <c r="G796"/>
      <c r="H796"/>
      <c r="I796" s="21" t="str">
        <f t="shared" si="25"/>
        <v/>
      </c>
      <c r="L796" s="24"/>
      <c r="M796" s="24"/>
    </row>
    <row r="797" spans="1:13">
      <c r="A797" s="14" t="str">
        <f t="shared" si="24"/>
        <v/>
      </c>
      <c r="C797" s="120" t="s">
        <v>282</v>
      </c>
      <c r="D797"/>
      <c r="E797"/>
      <c r="F797"/>
      <c r="G797"/>
      <c r="H797"/>
      <c r="I797" s="21" t="str">
        <f t="shared" si="25"/>
        <v/>
      </c>
      <c r="L797" s="24"/>
      <c r="M797" s="24"/>
    </row>
    <row r="798" spans="1:13">
      <c r="A798" s="10" t="str">
        <f t="shared" si="24"/>
        <v/>
      </c>
      <c r="C798" s="120" t="s">
        <v>284</v>
      </c>
      <c r="D798"/>
      <c r="E798"/>
      <c r="F798"/>
      <c r="G798"/>
      <c r="H798"/>
      <c r="I798" s="21" t="str">
        <f t="shared" si="25"/>
        <v/>
      </c>
      <c r="L798" s="24"/>
      <c r="M798" s="24"/>
    </row>
    <row r="799" spans="1:13">
      <c r="A799" s="14" t="str">
        <f t="shared" si="24"/>
        <v/>
      </c>
      <c r="C799" s="120" t="s">
        <v>286</v>
      </c>
      <c r="D799"/>
      <c r="E799"/>
      <c r="F799"/>
      <c r="G799"/>
      <c r="H799"/>
      <c r="I799" s="21" t="str">
        <f t="shared" si="25"/>
        <v/>
      </c>
      <c r="L799" s="24"/>
      <c r="M799" s="24"/>
    </row>
    <row r="800" spans="1:13">
      <c r="A800" s="10" t="str">
        <f t="shared" si="24"/>
        <v/>
      </c>
      <c r="C800" s="120" t="s">
        <v>126</v>
      </c>
      <c r="D800"/>
      <c r="E800"/>
      <c r="F800"/>
      <c r="G800"/>
      <c r="H800"/>
      <c r="I800" s="21" t="str">
        <f t="shared" si="25"/>
        <v/>
      </c>
      <c r="L800" s="24"/>
      <c r="M800" s="24"/>
    </row>
    <row r="801" spans="1:13">
      <c r="A801" s="14" t="str">
        <f t="shared" si="24"/>
        <v/>
      </c>
      <c r="C801" s="120" t="s">
        <v>128</v>
      </c>
      <c r="D801"/>
      <c r="E801"/>
      <c r="F801"/>
      <c r="G801"/>
      <c r="H801"/>
      <c r="I801" s="21" t="str">
        <f t="shared" si="25"/>
        <v/>
      </c>
      <c r="L801" s="24"/>
      <c r="M801" s="24"/>
    </row>
    <row r="802" spans="1:13">
      <c r="A802" s="10" t="str">
        <f t="shared" si="24"/>
        <v/>
      </c>
      <c r="C802" s="120" t="s">
        <v>280</v>
      </c>
      <c r="D802"/>
      <c r="E802"/>
      <c r="F802"/>
      <c r="G802"/>
      <c r="H802"/>
      <c r="I802" s="21" t="str">
        <f t="shared" si="25"/>
        <v/>
      </c>
      <c r="L802" s="24"/>
      <c r="M802" s="24"/>
    </row>
    <row r="803" spans="1:13">
      <c r="A803" s="14" t="str">
        <f t="shared" si="24"/>
        <v/>
      </c>
      <c r="C803" s="120" t="s">
        <v>282</v>
      </c>
      <c r="D803"/>
      <c r="E803"/>
      <c r="F803"/>
      <c r="G803"/>
      <c r="H803"/>
      <c r="I803" s="21" t="str">
        <f t="shared" si="25"/>
        <v/>
      </c>
      <c r="L803" s="24"/>
      <c r="M803" s="24"/>
    </row>
    <row r="804" spans="1:13">
      <c r="A804" s="10" t="str">
        <f t="shared" si="24"/>
        <v/>
      </c>
      <c r="C804" s="120" t="s">
        <v>284</v>
      </c>
      <c r="D804"/>
      <c r="E804"/>
      <c r="F804"/>
      <c r="G804"/>
      <c r="H804"/>
      <c r="I804" s="21" t="str">
        <f t="shared" si="25"/>
        <v/>
      </c>
      <c r="L804" s="24"/>
      <c r="M804" s="24"/>
    </row>
    <row r="805" spans="1:13">
      <c r="A805" s="14" t="str">
        <f t="shared" si="24"/>
        <v/>
      </c>
      <c r="C805" s="120" t="s">
        <v>286</v>
      </c>
      <c r="D805"/>
      <c r="E805"/>
      <c r="F805"/>
      <c r="G805"/>
      <c r="H805"/>
      <c r="I805" s="21" t="str">
        <f t="shared" si="25"/>
        <v/>
      </c>
      <c r="L805" s="24"/>
      <c r="M805" s="24"/>
    </row>
    <row r="806" spans="1:13">
      <c r="A806" s="10" t="str">
        <f t="shared" si="24"/>
        <v/>
      </c>
      <c r="C806" s="120" t="s">
        <v>126</v>
      </c>
      <c r="D806"/>
      <c r="E806"/>
      <c r="F806"/>
      <c r="G806"/>
      <c r="H806"/>
      <c r="I806" s="21" t="str">
        <f t="shared" si="25"/>
        <v/>
      </c>
      <c r="L806" s="24"/>
      <c r="M806" s="24"/>
    </row>
    <row r="807" spans="1:13">
      <c r="A807" s="14" t="str">
        <f t="shared" si="24"/>
        <v/>
      </c>
      <c r="C807" s="120" t="s">
        <v>128</v>
      </c>
      <c r="D807"/>
      <c r="E807"/>
      <c r="F807"/>
      <c r="G807"/>
      <c r="H807"/>
      <c r="I807" s="21" t="str">
        <f t="shared" si="25"/>
        <v/>
      </c>
      <c r="L807" s="24"/>
      <c r="M807" s="24"/>
    </row>
    <row r="808" spans="1:13">
      <c r="A808" s="10" t="str">
        <f t="shared" si="24"/>
        <v/>
      </c>
      <c r="C808" s="120" t="s">
        <v>280</v>
      </c>
      <c r="D808"/>
      <c r="E808"/>
      <c r="F808"/>
      <c r="G808"/>
      <c r="H808"/>
      <c r="I808" s="21" t="str">
        <f t="shared" si="25"/>
        <v/>
      </c>
      <c r="L808" s="24"/>
      <c r="M808" s="24"/>
    </row>
    <row r="809" spans="1:13">
      <c r="A809" s="14" t="str">
        <f t="shared" si="24"/>
        <v/>
      </c>
      <c r="C809" s="120" t="s">
        <v>282</v>
      </c>
      <c r="D809"/>
      <c r="E809"/>
      <c r="F809"/>
      <c r="G809"/>
      <c r="H809"/>
      <c r="I809" s="21" t="str">
        <f t="shared" si="25"/>
        <v/>
      </c>
      <c r="L809" s="24"/>
      <c r="M809" s="24"/>
    </row>
    <row r="810" spans="1:13">
      <c r="A810" s="10" t="str">
        <f t="shared" si="24"/>
        <v/>
      </c>
      <c r="C810" s="120" t="s">
        <v>284</v>
      </c>
      <c r="D810"/>
      <c r="E810"/>
      <c r="F810"/>
      <c r="G810"/>
      <c r="H810"/>
      <c r="I810" s="21" t="str">
        <f t="shared" si="25"/>
        <v/>
      </c>
      <c r="L810" s="24"/>
      <c r="M810" s="24"/>
    </row>
    <row r="811" spans="1:13">
      <c r="A811" s="14" t="str">
        <f t="shared" si="24"/>
        <v/>
      </c>
      <c r="C811" s="120" t="s">
        <v>286</v>
      </c>
      <c r="D811"/>
      <c r="E811"/>
      <c r="F811"/>
      <c r="G811"/>
      <c r="H811"/>
      <c r="I811" s="21" t="str">
        <f t="shared" si="25"/>
        <v/>
      </c>
      <c r="L811" s="24"/>
      <c r="M811" s="24"/>
    </row>
    <row r="812" spans="1:13">
      <c r="A812" s="10" t="str">
        <f t="shared" si="24"/>
        <v/>
      </c>
      <c r="C812" s="120" t="s">
        <v>126</v>
      </c>
      <c r="D812"/>
      <c r="E812"/>
      <c r="F812"/>
      <c r="G812"/>
      <c r="H812"/>
      <c r="I812" s="21" t="str">
        <f t="shared" si="25"/>
        <v/>
      </c>
      <c r="L812" s="24"/>
      <c r="M812" s="24"/>
    </row>
    <row r="813" spans="1:13">
      <c r="A813" s="14" t="str">
        <f t="shared" si="24"/>
        <v/>
      </c>
      <c r="C813" s="120" t="s">
        <v>128</v>
      </c>
      <c r="D813"/>
      <c r="E813"/>
      <c r="F813"/>
      <c r="G813"/>
      <c r="H813"/>
      <c r="I813" s="21" t="str">
        <f t="shared" si="25"/>
        <v/>
      </c>
      <c r="L813" s="24"/>
      <c r="M813" s="24"/>
    </row>
    <row r="814" spans="1:13">
      <c r="A814" s="10" t="str">
        <f t="shared" si="24"/>
        <v/>
      </c>
      <c r="C814" s="120" t="s">
        <v>280</v>
      </c>
      <c r="D814"/>
      <c r="E814"/>
      <c r="F814"/>
      <c r="G814"/>
      <c r="H814"/>
      <c r="I814" s="21" t="str">
        <f t="shared" si="25"/>
        <v/>
      </c>
      <c r="L814" s="24"/>
      <c r="M814" s="24"/>
    </row>
    <row r="815" spans="1:13">
      <c r="A815" s="14" t="str">
        <f t="shared" si="24"/>
        <v/>
      </c>
      <c r="C815" s="120" t="s">
        <v>282</v>
      </c>
      <c r="D815"/>
      <c r="E815"/>
      <c r="F815"/>
      <c r="G815"/>
      <c r="H815"/>
      <c r="I815" s="21" t="str">
        <f t="shared" si="25"/>
        <v/>
      </c>
      <c r="L815" s="24"/>
      <c r="M815" s="24"/>
    </row>
    <row r="816" spans="1:13">
      <c r="A816" s="10" t="str">
        <f t="shared" si="24"/>
        <v/>
      </c>
      <c r="C816" s="120" t="s">
        <v>284</v>
      </c>
      <c r="D816"/>
      <c r="E816"/>
      <c r="F816"/>
      <c r="G816"/>
      <c r="H816"/>
      <c r="I816" s="21" t="str">
        <f t="shared" si="25"/>
        <v/>
      </c>
      <c r="L816" s="24"/>
      <c r="M816" s="24"/>
    </row>
    <row r="817" spans="1:13">
      <c r="A817" s="14" t="str">
        <f t="shared" si="24"/>
        <v/>
      </c>
      <c r="C817" s="120" t="s">
        <v>286</v>
      </c>
      <c r="D817"/>
      <c r="E817"/>
      <c r="F817"/>
      <c r="G817"/>
      <c r="H817"/>
      <c r="I817" s="21" t="str">
        <f t="shared" si="25"/>
        <v/>
      </c>
      <c r="L817" s="24"/>
      <c r="M817" s="24"/>
    </row>
    <row r="818" spans="1:13">
      <c r="A818" s="10" t="str">
        <f t="shared" si="24"/>
        <v/>
      </c>
      <c r="C818" s="120" t="s">
        <v>126</v>
      </c>
      <c r="D818"/>
      <c r="E818"/>
      <c r="F818"/>
      <c r="G818"/>
      <c r="H818"/>
      <c r="I818" s="21" t="str">
        <f t="shared" si="25"/>
        <v/>
      </c>
      <c r="L818" s="24"/>
      <c r="M818" s="24"/>
    </row>
    <row r="819" spans="1:13">
      <c r="A819" s="14" t="str">
        <f t="shared" si="24"/>
        <v/>
      </c>
      <c r="C819" s="120" t="s">
        <v>128</v>
      </c>
      <c r="D819"/>
      <c r="E819"/>
      <c r="F819"/>
      <c r="G819"/>
      <c r="H819"/>
      <c r="I819" s="21" t="str">
        <f t="shared" si="25"/>
        <v/>
      </c>
      <c r="L819" s="24"/>
      <c r="M819" s="24"/>
    </row>
    <row r="820" spans="1:13">
      <c r="A820" s="10" t="str">
        <f t="shared" si="24"/>
        <v/>
      </c>
      <c r="C820" s="120" t="s">
        <v>280</v>
      </c>
      <c r="D820"/>
      <c r="E820"/>
      <c r="F820"/>
      <c r="G820"/>
      <c r="H820"/>
      <c r="I820" s="21" t="str">
        <f t="shared" si="25"/>
        <v/>
      </c>
      <c r="L820" s="24"/>
      <c r="M820" s="24"/>
    </row>
    <row r="821" spans="1:13">
      <c r="A821" s="14" t="str">
        <f t="shared" si="24"/>
        <v/>
      </c>
      <c r="C821" s="120" t="s">
        <v>282</v>
      </c>
      <c r="D821"/>
      <c r="E821"/>
      <c r="F821"/>
      <c r="G821"/>
      <c r="H821"/>
      <c r="I821" s="21" t="str">
        <f t="shared" si="25"/>
        <v/>
      </c>
      <c r="L821" s="24"/>
      <c r="M821" s="24"/>
    </row>
    <row r="822" spans="1:13">
      <c r="A822" s="10" t="str">
        <f t="shared" si="24"/>
        <v/>
      </c>
      <c r="C822" s="120" t="s">
        <v>284</v>
      </c>
      <c r="D822"/>
      <c r="E822"/>
      <c r="F822"/>
      <c r="G822"/>
      <c r="H822"/>
      <c r="I822" s="21" t="str">
        <f t="shared" si="25"/>
        <v/>
      </c>
      <c r="L822" s="24"/>
      <c r="M822" s="24"/>
    </row>
    <row r="823" spans="1:13">
      <c r="A823" s="14" t="str">
        <f t="shared" si="24"/>
        <v/>
      </c>
      <c r="C823" s="120" t="s">
        <v>286</v>
      </c>
      <c r="D823"/>
      <c r="E823"/>
      <c r="F823"/>
      <c r="G823"/>
      <c r="H823"/>
      <c r="I823" s="21" t="str">
        <f t="shared" si="25"/>
        <v/>
      </c>
      <c r="L823" s="24"/>
      <c r="M823" s="24"/>
    </row>
    <row r="824" spans="1:13">
      <c r="A824" s="10" t="str">
        <f t="shared" si="24"/>
        <v/>
      </c>
      <c r="C824" s="120" t="s">
        <v>126</v>
      </c>
      <c r="D824"/>
      <c r="E824"/>
      <c r="F824"/>
      <c r="G824"/>
      <c r="H824"/>
      <c r="I824" s="21" t="str">
        <f t="shared" si="25"/>
        <v/>
      </c>
      <c r="L824" s="24"/>
      <c r="M824" s="24"/>
    </row>
    <row r="825" spans="1:13">
      <c r="A825" s="14" t="str">
        <f t="shared" si="24"/>
        <v/>
      </c>
      <c r="C825" s="120" t="s">
        <v>128</v>
      </c>
      <c r="D825"/>
      <c r="E825"/>
      <c r="F825"/>
      <c r="G825"/>
      <c r="H825"/>
      <c r="I825" s="21" t="str">
        <f t="shared" si="25"/>
        <v/>
      </c>
      <c r="L825" s="24"/>
      <c r="M825" s="24"/>
    </row>
    <row r="826" spans="1:13">
      <c r="A826" s="10" t="str">
        <f t="shared" si="24"/>
        <v/>
      </c>
      <c r="C826" s="120" t="s">
        <v>280</v>
      </c>
      <c r="D826"/>
      <c r="E826"/>
      <c r="F826"/>
      <c r="G826"/>
      <c r="H826"/>
      <c r="I826" s="21" t="str">
        <f t="shared" si="25"/>
        <v/>
      </c>
      <c r="L826" s="24"/>
      <c r="M826" s="24"/>
    </row>
    <row r="827" spans="1:13">
      <c r="A827" s="14" t="str">
        <f t="shared" si="24"/>
        <v/>
      </c>
      <c r="C827" s="120" t="s">
        <v>282</v>
      </c>
      <c r="D827"/>
      <c r="E827"/>
      <c r="F827"/>
      <c r="G827"/>
      <c r="H827"/>
      <c r="I827" s="21" t="str">
        <f t="shared" si="25"/>
        <v/>
      </c>
      <c r="L827" s="24"/>
      <c r="M827" s="24"/>
    </row>
    <row r="828" spans="1:13">
      <c r="A828" s="10" t="str">
        <f t="shared" si="24"/>
        <v/>
      </c>
      <c r="C828" s="120" t="s">
        <v>284</v>
      </c>
      <c r="D828"/>
      <c r="E828"/>
      <c r="F828"/>
      <c r="G828"/>
      <c r="H828"/>
      <c r="I828" s="21" t="str">
        <f t="shared" si="25"/>
        <v/>
      </c>
      <c r="L828" s="24"/>
      <c r="M828" s="24"/>
    </row>
    <row r="829" spans="1:13">
      <c r="A829" s="14" t="str">
        <f t="shared" si="24"/>
        <v/>
      </c>
      <c r="C829" s="120" t="s">
        <v>286</v>
      </c>
      <c r="D829"/>
      <c r="E829"/>
      <c r="F829"/>
      <c r="G829"/>
      <c r="H829"/>
      <c r="I829" s="21" t="str">
        <f t="shared" si="25"/>
        <v/>
      </c>
      <c r="L829" s="24"/>
      <c r="M829" s="24"/>
    </row>
    <row r="830" spans="1:13">
      <c r="A830" s="10" t="str">
        <f t="shared" si="24"/>
        <v/>
      </c>
      <c r="C830" s="120" t="s">
        <v>126</v>
      </c>
      <c r="D830"/>
      <c r="E830"/>
      <c r="F830"/>
      <c r="G830"/>
      <c r="H830"/>
      <c r="I830" s="21" t="str">
        <f t="shared" si="25"/>
        <v/>
      </c>
      <c r="L830" s="24"/>
      <c r="M830" s="24"/>
    </row>
    <row r="831" spans="1:13">
      <c r="A831" s="14" t="str">
        <f t="shared" si="24"/>
        <v/>
      </c>
      <c r="C831" s="120" t="s">
        <v>128</v>
      </c>
      <c r="D831"/>
      <c r="E831"/>
      <c r="F831"/>
      <c r="G831"/>
      <c r="H831"/>
      <c r="I831" s="21" t="str">
        <f t="shared" si="25"/>
        <v/>
      </c>
      <c r="L831" s="24"/>
      <c r="M831" s="24"/>
    </row>
    <row r="832" spans="1:13">
      <c r="A832" s="10" t="str">
        <f t="shared" si="24"/>
        <v/>
      </c>
      <c r="C832" s="120" t="s">
        <v>280</v>
      </c>
      <c r="D832"/>
      <c r="E832"/>
      <c r="F832"/>
      <c r="G832"/>
      <c r="H832"/>
      <c r="I832" s="21" t="str">
        <f t="shared" si="25"/>
        <v/>
      </c>
      <c r="L832" s="24"/>
      <c r="M832" s="24"/>
    </row>
    <row r="833" spans="1:13">
      <c r="A833" s="14" t="str">
        <f t="shared" si="24"/>
        <v/>
      </c>
      <c r="C833" s="120" t="s">
        <v>282</v>
      </c>
      <c r="D833"/>
      <c r="E833"/>
      <c r="F833"/>
      <c r="G833"/>
      <c r="H833"/>
      <c r="I833" s="21" t="str">
        <f t="shared" si="25"/>
        <v/>
      </c>
      <c r="L833" s="24"/>
      <c r="M833" s="24"/>
    </row>
    <row r="834" spans="1:13">
      <c r="A834" s="10" t="str">
        <f t="shared" ref="A834:A897" si="26">IF(B834&lt;&gt;"",ROW()-1,"")</f>
        <v/>
      </c>
      <c r="C834" s="120" t="s">
        <v>284</v>
      </c>
      <c r="D834"/>
      <c r="E834"/>
      <c r="F834"/>
      <c r="G834"/>
      <c r="H834"/>
      <c r="I834" s="21" t="str">
        <f t="shared" ref="I834:I897" si="27">IF(AND(G834&lt;&gt;"",H834&lt;&gt;""),H834-G834,"")</f>
        <v/>
      </c>
      <c r="L834" s="24"/>
      <c r="M834" s="24"/>
    </row>
    <row r="835" spans="1:13">
      <c r="A835" s="14" t="str">
        <f t="shared" si="26"/>
        <v/>
      </c>
      <c r="C835" s="120" t="s">
        <v>286</v>
      </c>
      <c r="D835"/>
      <c r="E835"/>
      <c r="F835"/>
      <c r="G835"/>
      <c r="H835"/>
      <c r="I835" s="21" t="str">
        <f t="shared" si="27"/>
        <v/>
      </c>
      <c r="L835" s="24"/>
      <c r="M835" s="24"/>
    </row>
    <row r="836" spans="1:13">
      <c r="A836" s="10" t="str">
        <f t="shared" si="26"/>
        <v/>
      </c>
      <c r="C836" s="120" t="s">
        <v>126</v>
      </c>
      <c r="D836"/>
      <c r="E836"/>
      <c r="F836"/>
      <c r="G836"/>
      <c r="H836"/>
      <c r="I836" s="21" t="str">
        <f t="shared" si="27"/>
        <v/>
      </c>
      <c r="L836" s="24"/>
      <c r="M836" s="24"/>
    </row>
    <row r="837" spans="1:13">
      <c r="A837" s="14" t="str">
        <f t="shared" si="26"/>
        <v/>
      </c>
      <c r="C837" s="120" t="s">
        <v>128</v>
      </c>
      <c r="D837"/>
      <c r="E837"/>
      <c r="F837"/>
      <c r="G837"/>
      <c r="H837"/>
      <c r="I837" s="21" t="str">
        <f t="shared" si="27"/>
        <v/>
      </c>
      <c r="L837" s="24"/>
      <c r="M837" s="24"/>
    </row>
    <row r="838" spans="1:13">
      <c r="A838" s="10" t="str">
        <f t="shared" si="26"/>
        <v/>
      </c>
      <c r="C838" s="120" t="s">
        <v>280</v>
      </c>
      <c r="D838"/>
      <c r="E838"/>
      <c r="F838"/>
      <c r="G838"/>
      <c r="H838"/>
      <c r="I838" s="21" t="str">
        <f t="shared" si="27"/>
        <v/>
      </c>
      <c r="L838" s="24"/>
      <c r="M838" s="24"/>
    </row>
    <row r="839" spans="1:13">
      <c r="A839" s="14" t="str">
        <f t="shared" si="26"/>
        <v/>
      </c>
      <c r="C839" s="120" t="s">
        <v>282</v>
      </c>
      <c r="D839"/>
      <c r="E839"/>
      <c r="F839"/>
      <c r="G839"/>
      <c r="H839"/>
      <c r="I839" s="21" t="str">
        <f t="shared" si="27"/>
        <v/>
      </c>
      <c r="L839" s="24"/>
      <c r="M839" s="24"/>
    </row>
    <row r="840" spans="1:13">
      <c r="A840" s="10" t="str">
        <f t="shared" si="26"/>
        <v/>
      </c>
      <c r="C840" s="120" t="s">
        <v>284</v>
      </c>
      <c r="D840"/>
      <c r="E840"/>
      <c r="F840"/>
      <c r="G840"/>
      <c r="H840"/>
      <c r="I840" s="21" t="str">
        <f t="shared" si="27"/>
        <v/>
      </c>
      <c r="L840" s="24"/>
      <c r="M840" s="24"/>
    </row>
    <row r="841" spans="1:13">
      <c r="A841" s="14" t="str">
        <f t="shared" si="26"/>
        <v/>
      </c>
      <c r="C841" s="120" t="s">
        <v>286</v>
      </c>
      <c r="D841"/>
      <c r="E841"/>
      <c r="F841"/>
      <c r="G841"/>
      <c r="H841"/>
      <c r="I841" s="21" t="str">
        <f t="shared" si="27"/>
        <v/>
      </c>
      <c r="L841" s="24"/>
      <c r="M841" s="24"/>
    </row>
    <row r="842" spans="1:13">
      <c r="A842" s="10" t="str">
        <f t="shared" si="26"/>
        <v/>
      </c>
      <c r="C842" s="120" t="s">
        <v>126</v>
      </c>
      <c r="D842"/>
      <c r="E842"/>
      <c r="F842"/>
      <c r="G842"/>
      <c r="H842"/>
      <c r="I842" s="21" t="str">
        <f t="shared" si="27"/>
        <v/>
      </c>
      <c r="L842" s="24"/>
      <c r="M842" s="24"/>
    </row>
    <row r="843" spans="1:13">
      <c r="A843" s="14" t="str">
        <f t="shared" si="26"/>
        <v/>
      </c>
      <c r="C843" s="120" t="s">
        <v>128</v>
      </c>
      <c r="D843"/>
      <c r="E843"/>
      <c r="F843"/>
      <c r="G843"/>
      <c r="H843"/>
      <c r="I843" s="21" t="str">
        <f t="shared" si="27"/>
        <v/>
      </c>
      <c r="L843" s="24"/>
      <c r="M843" s="24"/>
    </row>
    <row r="844" spans="1:13">
      <c r="A844" s="10" t="str">
        <f t="shared" si="26"/>
        <v/>
      </c>
      <c r="C844" s="120" t="s">
        <v>280</v>
      </c>
      <c r="D844"/>
      <c r="E844"/>
      <c r="F844"/>
      <c r="G844"/>
      <c r="H844"/>
      <c r="I844" s="21" t="str">
        <f t="shared" si="27"/>
        <v/>
      </c>
      <c r="L844" s="24"/>
      <c r="M844" s="24"/>
    </row>
    <row r="845" spans="1:13">
      <c r="A845" s="14" t="str">
        <f t="shared" si="26"/>
        <v/>
      </c>
      <c r="C845" s="120" t="s">
        <v>282</v>
      </c>
      <c r="D845"/>
      <c r="E845"/>
      <c r="F845"/>
      <c r="G845"/>
      <c r="H845"/>
      <c r="I845" s="21" t="str">
        <f t="shared" si="27"/>
        <v/>
      </c>
      <c r="L845" s="24"/>
      <c r="M845" s="24"/>
    </row>
    <row r="846" spans="1:13">
      <c r="A846" s="10" t="str">
        <f t="shared" si="26"/>
        <v/>
      </c>
      <c r="C846" s="120" t="s">
        <v>284</v>
      </c>
      <c r="D846"/>
      <c r="E846"/>
      <c r="F846"/>
      <c r="G846"/>
      <c r="H846"/>
      <c r="I846" s="21" t="str">
        <f t="shared" si="27"/>
        <v/>
      </c>
      <c r="L846" s="24"/>
      <c r="M846" s="24"/>
    </row>
    <row r="847" spans="1:13">
      <c r="A847" s="14" t="str">
        <f t="shared" si="26"/>
        <v/>
      </c>
      <c r="C847" s="120" t="s">
        <v>286</v>
      </c>
      <c r="D847"/>
      <c r="E847"/>
      <c r="F847"/>
      <c r="G847"/>
      <c r="H847"/>
      <c r="I847" s="21" t="str">
        <f t="shared" si="27"/>
        <v/>
      </c>
      <c r="L847" s="24"/>
      <c r="M847" s="24"/>
    </row>
    <row r="848" spans="1:13">
      <c r="A848" s="10" t="str">
        <f t="shared" si="26"/>
        <v/>
      </c>
      <c r="C848" s="120" t="s">
        <v>126</v>
      </c>
      <c r="D848"/>
      <c r="E848"/>
      <c r="F848"/>
      <c r="G848"/>
      <c r="H848"/>
      <c r="I848" s="21" t="str">
        <f t="shared" si="27"/>
        <v/>
      </c>
      <c r="L848" s="24"/>
      <c r="M848" s="24"/>
    </row>
    <row r="849" spans="1:13">
      <c r="A849" s="14" t="str">
        <f t="shared" si="26"/>
        <v/>
      </c>
      <c r="C849" s="120" t="s">
        <v>128</v>
      </c>
      <c r="D849"/>
      <c r="E849"/>
      <c r="F849"/>
      <c r="G849"/>
      <c r="H849"/>
      <c r="I849" s="21" t="str">
        <f t="shared" si="27"/>
        <v/>
      </c>
      <c r="L849" s="24"/>
      <c r="M849" s="24"/>
    </row>
    <row r="850" spans="1:13">
      <c r="A850" s="10" t="str">
        <f t="shared" si="26"/>
        <v/>
      </c>
      <c r="C850" s="120" t="s">
        <v>280</v>
      </c>
      <c r="D850"/>
      <c r="E850"/>
      <c r="F850"/>
      <c r="G850"/>
      <c r="H850"/>
      <c r="I850" s="21" t="str">
        <f t="shared" si="27"/>
        <v/>
      </c>
      <c r="L850" s="24"/>
      <c r="M850" s="24"/>
    </row>
    <row r="851" spans="1:13">
      <c r="A851" s="14" t="str">
        <f t="shared" si="26"/>
        <v/>
      </c>
      <c r="C851" s="120" t="s">
        <v>282</v>
      </c>
      <c r="D851"/>
      <c r="E851"/>
      <c r="F851"/>
      <c r="G851"/>
      <c r="H851"/>
      <c r="I851" s="21" t="str">
        <f t="shared" si="27"/>
        <v/>
      </c>
      <c r="L851" s="24"/>
      <c r="M851" s="24"/>
    </row>
    <row r="852" spans="1:13">
      <c r="A852" s="10" t="str">
        <f t="shared" si="26"/>
        <v/>
      </c>
      <c r="C852" s="120" t="s">
        <v>284</v>
      </c>
      <c r="D852"/>
      <c r="E852"/>
      <c r="F852"/>
      <c r="G852"/>
      <c r="H852"/>
      <c r="I852" s="21" t="str">
        <f t="shared" si="27"/>
        <v/>
      </c>
      <c r="L852" s="24"/>
      <c r="M852" s="24"/>
    </row>
    <row r="853" spans="1:13">
      <c r="A853" s="14" t="str">
        <f t="shared" si="26"/>
        <v/>
      </c>
      <c r="C853" s="120" t="s">
        <v>286</v>
      </c>
      <c r="D853"/>
      <c r="E853"/>
      <c r="F853"/>
      <c r="G853"/>
      <c r="H853"/>
      <c r="I853" s="21" t="str">
        <f t="shared" si="27"/>
        <v/>
      </c>
      <c r="L853" s="24"/>
      <c r="M853" s="24"/>
    </row>
    <row r="854" spans="1:13">
      <c r="A854" s="10" t="str">
        <f t="shared" si="26"/>
        <v/>
      </c>
      <c r="C854" s="120" t="s">
        <v>126</v>
      </c>
      <c r="D854"/>
      <c r="E854"/>
      <c r="F854"/>
      <c r="G854"/>
      <c r="H854"/>
      <c r="I854" s="21" t="str">
        <f t="shared" si="27"/>
        <v/>
      </c>
      <c r="L854" s="24"/>
      <c r="M854" s="24"/>
    </row>
    <row r="855" spans="1:13">
      <c r="A855" s="14" t="str">
        <f t="shared" si="26"/>
        <v/>
      </c>
      <c r="C855" s="120" t="s">
        <v>128</v>
      </c>
      <c r="D855"/>
      <c r="E855"/>
      <c r="F855"/>
      <c r="G855"/>
      <c r="H855"/>
      <c r="I855" s="21" t="str">
        <f t="shared" si="27"/>
        <v/>
      </c>
      <c r="L855" s="24"/>
      <c r="M855" s="24"/>
    </row>
    <row r="856" spans="1:13">
      <c r="A856" s="10" t="str">
        <f t="shared" si="26"/>
        <v/>
      </c>
      <c r="C856" s="120" t="s">
        <v>280</v>
      </c>
      <c r="D856"/>
      <c r="E856"/>
      <c r="F856"/>
      <c r="G856"/>
      <c r="H856"/>
      <c r="I856" s="21" t="str">
        <f t="shared" si="27"/>
        <v/>
      </c>
      <c r="L856" s="24"/>
      <c r="M856" s="24"/>
    </row>
    <row r="857" spans="1:13">
      <c r="A857" s="14" t="str">
        <f t="shared" si="26"/>
        <v/>
      </c>
      <c r="C857" s="120" t="s">
        <v>282</v>
      </c>
      <c r="D857"/>
      <c r="E857"/>
      <c r="F857"/>
      <c r="G857"/>
      <c r="H857"/>
      <c r="I857" s="21" t="str">
        <f t="shared" si="27"/>
        <v/>
      </c>
      <c r="L857" s="24"/>
      <c r="M857" s="24"/>
    </row>
    <row r="858" spans="1:13">
      <c r="A858" s="10" t="str">
        <f t="shared" si="26"/>
        <v/>
      </c>
      <c r="C858" s="120" t="s">
        <v>284</v>
      </c>
      <c r="D858"/>
      <c r="E858"/>
      <c r="F858"/>
      <c r="G858"/>
      <c r="H858"/>
      <c r="I858" s="21" t="str">
        <f t="shared" si="27"/>
        <v/>
      </c>
      <c r="L858" s="24"/>
      <c r="M858" s="24"/>
    </row>
    <row r="859" spans="1:13">
      <c r="A859" s="14" t="str">
        <f t="shared" si="26"/>
        <v/>
      </c>
      <c r="C859" s="120" t="s">
        <v>286</v>
      </c>
      <c r="D859"/>
      <c r="E859"/>
      <c r="F859"/>
      <c r="G859"/>
      <c r="H859"/>
      <c r="I859" s="21" t="str">
        <f t="shared" si="27"/>
        <v/>
      </c>
      <c r="L859" s="24"/>
      <c r="M859" s="24"/>
    </row>
    <row r="860" spans="1:13">
      <c r="A860" s="10" t="str">
        <f t="shared" si="26"/>
        <v/>
      </c>
      <c r="C860" s="120" t="s">
        <v>126</v>
      </c>
      <c r="D860"/>
      <c r="E860"/>
      <c r="F860"/>
      <c r="G860"/>
      <c r="H860"/>
      <c r="I860" s="21" t="str">
        <f t="shared" si="27"/>
        <v/>
      </c>
      <c r="L860" s="24"/>
      <c r="M860" s="24"/>
    </row>
    <row r="861" spans="1:13">
      <c r="A861" s="14" t="str">
        <f t="shared" si="26"/>
        <v/>
      </c>
      <c r="C861" s="120" t="s">
        <v>128</v>
      </c>
      <c r="D861"/>
      <c r="E861"/>
      <c r="F861"/>
      <c r="G861"/>
      <c r="H861"/>
      <c r="I861" s="21" t="str">
        <f t="shared" si="27"/>
        <v/>
      </c>
      <c r="L861" s="24"/>
      <c r="M861" s="24"/>
    </row>
    <row r="862" spans="1:13">
      <c r="A862" s="10" t="str">
        <f t="shared" si="26"/>
        <v/>
      </c>
      <c r="C862" s="120" t="s">
        <v>280</v>
      </c>
      <c r="D862"/>
      <c r="E862"/>
      <c r="F862"/>
      <c r="G862"/>
      <c r="H862"/>
      <c r="I862" s="21" t="str">
        <f t="shared" si="27"/>
        <v/>
      </c>
      <c r="L862" s="24"/>
      <c r="M862" s="24"/>
    </row>
    <row r="863" spans="1:13">
      <c r="A863" s="14" t="str">
        <f t="shared" si="26"/>
        <v/>
      </c>
      <c r="C863" s="120" t="s">
        <v>282</v>
      </c>
      <c r="D863"/>
      <c r="E863"/>
      <c r="F863"/>
      <c r="G863"/>
      <c r="H863"/>
      <c r="I863" s="21" t="str">
        <f t="shared" si="27"/>
        <v/>
      </c>
      <c r="L863" s="24"/>
      <c r="M863" s="24"/>
    </row>
    <row r="864" spans="1:13">
      <c r="A864" s="10" t="str">
        <f t="shared" si="26"/>
        <v/>
      </c>
      <c r="C864" s="120" t="s">
        <v>284</v>
      </c>
      <c r="D864"/>
      <c r="E864"/>
      <c r="F864"/>
      <c r="G864"/>
      <c r="H864"/>
      <c r="I864" s="21" t="str">
        <f t="shared" si="27"/>
        <v/>
      </c>
      <c r="L864" s="24"/>
      <c r="M864" s="24"/>
    </row>
    <row r="865" spans="1:13">
      <c r="A865" s="14" t="str">
        <f t="shared" si="26"/>
        <v/>
      </c>
      <c r="C865" s="120" t="s">
        <v>286</v>
      </c>
      <c r="D865"/>
      <c r="E865"/>
      <c r="F865"/>
      <c r="G865"/>
      <c r="H865"/>
      <c r="I865" s="21" t="str">
        <f t="shared" si="27"/>
        <v/>
      </c>
      <c r="L865" s="24"/>
      <c r="M865" s="24"/>
    </row>
    <row r="866" spans="1:13">
      <c r="A866" s="10" t="str">
        <f t="shared" si="26"/>
        <v/>
      </c>
      <c r="C866" s="120" t="s">
        <v>126</v>
      </c>
      <c r="D866"/>
      <c r="E866"/>
      <c r="F866"/>
      <c r="G866"/>
      <c r="H866"/>
      <c r="I866" s="21" t="str">
        <f t="shared" si="27"/>
        <v/>
      </c>
      <c r="L866" s="24"/>
      <c r="M866" s="24"/>
    </row>
    <row r="867" spans="1:13">
      <c r="A867" s="14" t="str">
        <f t="shared" si="26"/>
        <v/>
      </c>
      <c r="C867" s="120" t="s">
        <v>128</v>
      </c>
      <c r="D867"/>
      <c r="E867"/>
      <c r="F867"/>
      <c r="G867"/>
      <c r="H867"/>
      <c r="I867" s="21" t="str">
        <f t="shared" si="27"/>
        <v/>
      </c>
      <c r="L867" s="24"/>
      <c r="M867" s="24"/>
    </row>
    <row r="868" spans="1:13">
      <c r="A868" s="10" t="str">
        <f t="shared" si="26"/>
        <v/>
      </c>
      <c r="C868" s="120" t="s">
        <v>280</v>
      </c>
      <c r="D868"/>
      <c r="E868"/>
      <c r="F868"/>
      <c r="G868"/>
      <c r="H868"/>
      <c r="I868" s="21" t="str">
        <f t="shared" si="27"/>
        <v/>
      </c>
      <c r="L868" s="24"/>
      <c r="M868" s="24"/>
    </row>
    <row r="869" spans="1:13">
      <c r="A869" s="14" t="str">
        <f t="shared" si="26"/>
        <v/>
      </c>
      <c r="C869" s="120" t="s">
        <v>282</v>
      </c>
      <c r="D869"/>
      <c r="E869"/>
      <c r="F869"/>
      <c r="G869"/>
      <c r="H869"/>
      <c r="I869" s="21" t="str">
        <f t="shared" si="27"/>
        <v/>
      </c>
      <c r="L869" s="24"/>
      <c r="M869" s="24"/>
    </row>
    <row r="870" spans="1:13">
      <c r="A870" s="10" t="str">
        <f t="shared" si="26"/>
        <v/>
      </c>
      <c r="C870" s="120" t="s">
        <v>284</v>
      </c>
      <c r="D870"/>
      <c r="E870"/>
      <c r="F870"/>
      <c r="G870"/>
      <c r="H870"/>
      <c r="I870" s="21" t="str">
        <f t="shared" si="27"/>
        <v/>
      </c>
      <c r="L870" s="24"/>
      <c r="M870" s="24"/>
    </row>
    <row r="871" spans="1:13">
      <c r="A871" s="14" t="str">
        <f t="shared" si="26"/>
        <v/>
      </c>
      <c r="C871" s="120" t="s">
        <v>286</v>
      </c>
      <c r="D871"/>
      <c r="E871"/>
      <c r="F871"/>
      <c r="G871"/>
      <c r="H871"/>
      <c r="I871" s="21" t="str">
        <f t="shared" si="27"/>
        <v/>
      </c>
      <c r="L871" s="24"/>
      <c r="M871" s="24"/>
    </row>
    <row r="872" spans="1:13">
      <c r="A872" s="10" t="str">
        <f t="shared" si="26"/>
        <v/>
      </c>
      <c r="C872" s="120" t="s">
        <v>126</v>
      </c>
      <c r="D872"/>
      <c r="E872"/>
      <c r="F872"/>
      <c r="G872"/>
      <c r="H872"/>
      <c r="I872" s="21" t="str">
        <f t="shared" si="27"/>
        <v/>
      </c>
      <c r="L872" s="24"/>
      <c r="M872" s="24"/>
    </row>
    <row r="873" spans="1:13">
      <c r="A873" s="14" t="str">
        <f t="shared" si="26"/>
        <v/>
      </c>
      <c r="C873" s="120" t="s">
        <v>128</v>
      </c>
      <c r="D873"/>
      <c r="E873"/>
      <c r="F873"/>
      <c r="G873"/>
      <c r="H873"/>
      <c r="I873" s="21" t="str">
        <f t="shared" si="27"/>
        <v/>
      </c>
      <c r="L873" s="24"/>
      <c r="M873" s="24"/>
    </row>
    <row r="874" spans="1:13">
      <c r="A874" s="10" t="str">
        <f t="shared" si="26"/>
        <v/>
      </c>
      <c r="C874" s="120" t="s">
        <v>280</v>
      </c>
      <c r="D874"/>
      <c r="E874"/>
      <c r="F874"/>
      <c r="G874"/>
      <c r="H874"/>
      <c r="I874" s="21" t="str">
        <f t="shared" si="27"/>
        <v/>
      </c>
      <c r="L874" s="24"/>
      <c r="M874" s="24"/>
    </row>
    <row r="875" spans="1:13">
      <c r="A875" s="14" t="str">
        <f t="shared" si="26"/>
        <v/>
      </c>
      <c r="C875" s="120" t="s">
        <v>282</v>
      </c>
      <c r="D875"/>
      <c r="E875"/>
      <c r="F875"/>
      <c r="G875"/>
      <c r="H875"/>
      <c r="I875" s="21" t="str">
        <f t="shared" si="27"/>
        <v/>
      </c>
      <c r="L875" s="24"/>
      <c r="M875" s="24"/>
    </row>
    <row r="876" spans="1:13">
      <c r="A876" s="10" t="str">
        <f t="shared" si="26"/>
        <v/>
      </c>
      <c r="C876" s="120" t="s">
        <v>284</v>
      </c>
      <c r="D876"/>
      <c r="E876"/>
      <c r="F876"/>
      <c r="G876"/>
      <c r="H876"/>
      <c r="I876" s="21" t="str">
        <f t="shared" si="27"/>
        <v/>
      </c>
      <c r="L876" s="24"/>
      <c r="M876" s="24"/>
    </row>
    <row r="877" spans="1:13">
      <c r="A877" s="14" t="str">
        <f t="shared" si="26"/>
        <v/>
      </c>
      <c r="C877" s="120" t="s">
        <v>286</v>
      </c>
      <c r="D877"/>
      <c r="E877"/>
      <c r="F877"/>
      <c r="G877"/>
      <c r="H877"/>
      <c r="I877" s="21" t="str">
        <f t="shared" si="27"/>
        <v/>
      </c>
      <c r="L877" s="24"/>
      <c r="M877" s="24"/>
    </row>
    <row r="878" spans="1:13">
      <c r="A878" s="10" t="str">
        <f t="shared" si="26"/>
        <v/>
      </c>
      <c r="C878" s="120" t="s">
        <v>126</v>
      </c>
      <c r="D878"/>
      <c r="E878"/>
      <c r="F878"/>
      <c r="G878"/>
      <c r="H878"/>
      <c r="I878" s="21" t="str">
        <f t="shared" si="27"/>
        <v/>
      </c>
      <c r="L878" s="24"/>
      <c r="M878" s="24"/>
    </row>
    <row r="879" spans="1:13">
      <c r="A879" s="14" t="str">
        <f t="shared" si="26"/>
        <v/>
      </c>
      <c r="C879" s="120" t="s">
        <v>128</v>
      </c>
      <c r="D879"/>
      <c r="E879"/>
      <c r="F879"/>
      <c r="G879"/>
      <c r="H879"/>
      <c r="I879" s="21" t="str">
        <f t="shared" si="27"/>
        <v/>
      </c>
      <c r="L879" s="24"/>
      <c r="M879" s="24"/>
    </row>
    <row r="880" spans="1:13">
      <c r="A880" s="10" t="str">
        <f t="shared" si="26"/>
        <v/>
      </c>
      <c r="C880" s="120" t="s">
        <v>280</v>
      </c>
      <c r="D880"/>
      <c r="E880"/>
      <c r="F880"/>
      <c r="G880"/>
      <c r="H880"/>
      <c r="I880" s="21" t="str">
        <f t="shared" si="27"/>
        <v/>
      </c>
      <c r="L880" s="24"/>
      <c r="M880" s="24"/>
    </row>
    <row r="881" spans="1:13">
      <c r="A881" s="14" t="str">
        <f t="shared" si="26"/>
        <v/>
      </c>
      <c r="C881" s="120" t="s">
        <v>282</v>
      </c>
      <c r="D881"/>
      <c r="E881"/>
      <c r="F881"/>
      <c r="G881"/>
      <c r="H881"/>
      <c r="I881" s="21" t="str">
        <f t="shared" si="27"/>
        <v/>
      </c>
      <c r="L881" s="24"/>
      <c r="M881" s="24"/>
    </row>
    <row r="882" spans="1:13">
      <c r="A882" s="10" t="str">
        <f t="shared" si="26"/>
        <v/>
      </c>
      <c r="C882" s="120" t="s">
        <v>284</v>
      </c>
      <c r="D882"/>
      <c r="E882"/>
      <c r="F882"/>
      <c r="G882"/>
      <c r="H882"/>
      <c r="I882" s="21" t="str">
        <f t="shared" si="27"/>
        <v/>
      </c>
      <c r="L882" s="24"/>
      <c r="M882" s="24"/>
    </row>
    <row r="883" spans="1:13">
      <c r="A883" s="14" t="str">
        <f t="shared" si="26"/>
        <v/>
      </c>
      <c r="C883" s="120" t="s">
        <v>286</v>
      </c>
      <c r="D883"/>
      <c r="E883"/>
      <c r="F883"/>
      <c r="G883"/>
      <c r="H883"/>
      <c r="I883" s="21" t="str">
        <f t="shared" si="27"/>
        <v/>
      </c>
      <c r="L883" s="24"/>
      <c r="M883" s="24"/>
    </row>
    <row r="884" spans="1:13">
      <c r="A884" s="10" t="str">
        <f t="shared" si="26"/>
        <v/>
      </c>
      <c r="C884" s="120" t="s">
        <v>126</v>
      </c>
      <c r="D884"/>
      <c r="E884"/>
      <c r="F884"/>
      <c r="G884"/>
      <c r="H884"/>
      <c r="I884" s="21" t="str">
        <f t="shared" si="27"/>
        <v/>
      </c>
      <c r="L884" s="24"/>
      <c r="M884" s="24"/>
    </row>
    <row r="885" spans="1:13">
      <c r="A885" s="14" t="str">
        <f t="shared" si="26"/>
        <v/>
      </c>
      <c r="C885" s="120" t="s">
        <v>128</v>
      </c>
      <c r="D885"/>
      <c r="E885"/>
      <c r="F885"/>
      <c r="G885"/>
      <c r="H885"/>
      <c r="I885" s="21" t="str">
        <f t="shared" si="27"/>
        <v/>
      </c>
      <c r="L885" s="24"/>
      <c r="M885" s="24"/>
    </row>
    <row r="886" spans="1:13">
      <c r="A886" s="10" t="str">
        <f t="shared" si="26"/>
        <v/>
      </c>
      <c r="C886" s="120" t="s">
        <v>280</v>
      </c>
      <c r="D886"/>
      <c r="E886"/>
      <c r="F886"/>
      <c r="G886"/>
      <c r="H886"/>
      <c r="I886" s="21" t="str">
        <f t="shared" si="27"/>
        <v/>
      </c>
      <c r="L886" s="24"/>
      <c r="M886" s="24"/>
    </row>
    <row r="887" spans="1:13">
      <c r="A887" s="14" t="str">
        <f t="shared" si="26"/>
        <v/>
      </c>
      <c r="C887" s="120" t="s">
        <v>282</v>
      </c>
      <c r="D887"/>
      <c r="E887"/>
      <c r="F887"/>
      <c r="G887"/>
      <c r="H887"/>
      <c r="I887" s="21" t="str">
        <f t="shared" si="27"/>
        <v/>
      </c>
      <c r="L887" s="24"/>
      <c r="M887" s="24"/>
    </row>
    <row r="888" spans="1:13">
      <c r="A888" s="10" t="str">
        <f t="shared" si="26"/>
        <v/>
      </c>
      <c r="C888" s="120" t="s">
        <v>284</v>
      </c>
      <c r="D888"/>
      <c r="E888"/>
      <c r="F888"/>
      <c r="G888"/>
      <c r="H888"/>
      <c r="I888" s="21" t="str">
        <f t="shared" si="27"/>
        <v/>
      </c>
      <c r="L888" s="24"/>
      <c r="M888" s="24"/>
    </row>
    <row r="889" spans="1:13">
      <c r="A889" s="14" t="str">
        <f t="shared" si="26"/>
        <v/>
      </c>
      <c r="C889" s="120" t="s">
        <v>286</v>
      </c>
      <c r="D889"/>
      <c r="E889"/>
      <c r="F889"/>
      <c r="G889"/>
      <c r="H889"/>
      <c r="I889" s="21" t="str">
        <f t="shared" si="27"/>
        <v/>
      </c>
      <c r="L889" s="24"/>
      <c r="M889" s="24"/>
    </row>
    <row r="890" spans="1:13">
      <c r="A890" s="10" t="str">
        <f t="shared" si="26"/>
        <v/>
      </c>
      <c r="C890" s="120" t="s">
        <v>126</v>
      </c>
      <c r="D890"/>
      <c r="E890"/>
      <c r="F890"/>
      <c r="G890"/>
      <c r="H890"/>
      <c r="I890" s="21" t="str">
        <f t="shared" si="27"/>
        <v/>
      </c>
      <c r="L890" s="24"/>
      <c r="M890" s="24"/>
    </row>
    <row r="891" spans="1:13">
      <c r="A891" s="14" t="str">
        <f t="shared" si="26"/>
        <v/>
      </c>
      <c r="C891" s="120" t="s">
        <v>128</v>
      </c>
      <c r="D891"/>
      <c r="E891"/>
      <c r="F891"/>
      <c r="G891"/>
      <c r="H891"/>
      <c r="I891" s="21" t="str">
        <f t="shared" si="27"/>
        <v/>
      </c>
      <c r="L891" s="24"/>
      <c r="M891" s="24"/>
    </row>
    <row r="892" spans="1:13">
      <c r="A892" s="10" t="str">
        <f t="shared" si="26"/>
        <v/>
      </c>
      <c r="C892" s="120" t="s">
        <v>280</v>
      </c>
      <c r="D892"/>
      <c r="E892"/>
      <c r="F892"/>
      <c r="G892"/>
      <c r="H892"/>
      <c r="I892" s="21" t="str">
        <f t="shared" si="27"/>
        <v/>
      </c>
      <c r="L892" s="24"/>
      <c r="M892" s="24"/>
    </row>
    <row r="893" spans="1:13">
      <c r="A893" s="14" t="str">
        <f t="shared" si="26"/>
        <v/>
      </c>
      <c r="C893" s="120" t="s">
        <v>282</v>
      </c>
      <c r="D893"/>
      <c r="E893"/>
      <c r="F893"/>
      <c r="G893"/>
      <c r="H893"/>
      <c r="I893" s="21" t="str">
        <f t="shared" si="27"/>
        <v/>
      </c>
      <c r="L893" s="24"/>
      <c r="M893" s="24"/>
    </row>
    <row r="894" spans="1:13">
      <c r="A894" s="10" t="str">
        <f t="shared" si="26"/>
        <v/>
      </c>
      <c r="C894" s="120" t="s">
        <v>284</v>
      </c>
      <c r="D894"/>
      <c r="E894"/>
      <c r="F894"/>
      <c r="G894"/>
      <c r="H894"/>
      <c r="I894" s="21" t="str">
        <f t="shared" si="27"/>
        <v/>
      </c>
      <c r="L894" s="24"/>
      <c r="M894" s="24"/>
    </row>
    <row r="895" spans="1:13">
      <c r="A895" s="14" t="str">
        <f t="shared" si="26"/>
        <v/>
      </c>
      <c r="C895" s="120" t="s">
        <v>286</v>
      </c>
      <c r="D895"/>
      <c r="E895"/>
      <c r="F895"/>
      <c r="G895"/>
      <c r="H895"/>
      <c r="I895" s="21" t="str">
        <f t="shared" si="27"/>
        <v/>
      </c>
      <c r="L895" s="24"/>
      <c r="M895" s="24"/>
    </row>
    <row r="896" spans="1:13">
      <c r="A896" s="10" t="str">
        <f t="shared" si="26"/>
        <v/>
      </c>
      <c r="C896" s="120" t="s">
        <v>126</v>
      </c>
      <c r="D896"/>
      <c r="E896"/>
      <c r="F896"/>
      <c r="G896"/>
      <c r="H896"/>
      <c r="I896" s="21" t="str">
        <f t="shared" si="27"/>
        <v/>
      </c>
      <c r="L896" s="24"/>
      <c r="M896" s="24"/>
    </row>
    <row r="897" spans="1:13">
      <c r="A897" s="14" t="str">
        <f t="shared" si="26"/>
        <v/>
      </c>
      <c r="C897" s="120" t="s">
        <v>128</v>
      </c>
      <c r="D897"/>
      <c r="E897"/>
      <c r="F897"/>
      <c r="G897"/>
      <c r="H897"/>
      <c r="I897" s="21" t="str">
        <f t="shared" si="27"/>
        <v/>
      </c>
      <c r="L897" s="24"/>
      <c r="M897" s="24"/>
    </row>
    <row r="898" spans="1:13">
      <c r="A898" s="10" t="str">
        <f t="shared" ref="A898:A961" si="28">IF(B898&lt;&gt;"",ROW()-1,"")</f>
        <v/>
      </c>
      <c r="C898" s="120" t="s">
        <v>280</v>
      </c>
      <c r="D898"/>
      <c r="E898"/>
      <c r="F898"/>
      <c r="G898"/>
      <c r="H898"/>
      <c r="I898" s="21" t="str">
        <f t="shared" ref="I898:I961" si="29">IF(AND(G898&lt;&gt;"",H898&lt;&gt;""),H898-G898,"")</f>
        <v/>
      </c>
      <c r="L898" s="24"/>
      <c r="M898" s="24"/>
    </row>
    <row r="899" spans="1:13">
      <c r="A899" s="14" t="str">
        <f t="shared" si="28"/>
        <v/>
      </c>
      <c r="C899" s="120" t="s">
        <v>282</v>
      </c>
      <c r="D899"/>
      <c r="E899"/>
      <c r="F899"/>
      <c r="G899"/>
      <c r="H899"/>
      <c r="I899" s="21" t="str">
        <f t="shared" si="29"/>
        <v/>
      </c>
      <c r="L899" s="24"/>
      <c r="M899" s="24"/>
    </row>
    <row r="900" spans="1:13">
      <c r="A900" s="10" t="str">
        <f t="shared" si="28"/>
        <v/>
      </c>
      <c r="C900" s="120" t="s">
        <v>284</v>
      </c>
      <c r="D900"/>
      <c r="E900"/>
      <c r="F900"/>
      <c r="G900"/>
      <c r="H900"/>
      <c r="I900" s="21" t="str">
        <f t="shared" si="29"/>
        <v/>
      </c>
      <c r="L900" s="24"/>
      <c r="M900" s="24"/>
    </row>
    <row r="901" spans="1:13">
      <c r="A901" s="14" t="str">
        <f t="shared" si="28"/>
        <v/>
      </c>
      <c r="C901" s="120" t="s">
        <v>286</v>
      </c>
      <c r="D901"/>
      <c r="E901"/>
      <c r="F901"/>
      <c r="G901"/>
      <c r="H901"/>
      <c r="I901" s="21" t="str">
        <f t="shared" si="29"/>
        <v/>
      </c>
      <c r="L901" s="24"/>
      <c r="M901" s="24"/>
    </row>
    <row r="902" spans="1:13">
      <c r="A902" s="10" t="str">
        <f t="shared" si="28"/>
        <v/>
      </c>
      <c r="C902" s="120" t="s">
        <v>126</v>
      </c>
      <c r="D902"/>
      <c r="E902"/>
      <c r="F902"/>
      <c r="G902"/>
      <c r="H902"/>
      <c r="I902" s="21" t="str">
        <f t="shared" si="29"/>
        <v/>
      </c>
      <c r="L902" s="24"/>
      <c r="M902" s="24"/>
    </row>
    <row r="903" spans="1:13">
      <c r="A903" s="14" t="str">
        <f t="shared" si="28"/>
        <v/>
      </c>
      <c r="C903" s="120" t="s">
        <v>128</v>
      </c>
      <c r="D903"/>
      <c r="E903"/>
      <c r="F903"/>
      <c r="G903"/>
      <c r="H903"/>
      <c r="I903" s="21" t="str">
        <f t="shared" si="29"/>
        <v/>
      </c>
      <c r="L903" s="24"/>
      <c r="M903" s="24"/>
    </row>
    <row r="904" spans="1:13">
      <c r="A904" s="10" t="str">
        <f t="shared" si="28"/>
        <v/>
      </c>
      <c r="C904" s="120" t="s">
        <v>280</v>
      </c>
      <c r="D904"/>
      <c r="E904"/>
      <c r="F904"/>
      <c r="G904"/>
      <c r="H904"/>
      <c r="I904" s="21" t="str">
        <f t="shared" si="29"/>
        <v/>
      </c>
      <c r="L904" s="24"/>
      <c r="M904" s="24"/>
    </row>
    <row r="905" spans="1:13">
      <c r="A905" s="14" t="str">
        <f t="shared" si="28"/>
        <v/>
      </c>
      <c r="C905" s="120" t="s">
        <v>282</v>
      </c>
      <c r="D905"/>
      <c r="E905"/>
      <c r="F905"/>
      <c r="G905"/>
      <c r="H905"/>
      <c r="I905" s="21" t="str">
        <f t="shared" si="29"/>
        <v/>
      </c>
      <c r="L905" s="24"/>
      <c r="M905" s="24"/>
    </row>
    <row r="906" spans="1:13">
      <c r="A906" s="10" t="str">
        <f t="shared" si="28"/>
        <v/>
      </c>
      <c r="C906" s="120" t="s">
        <v>284</v>
      </c>
      <c r="D906"/>
      <c r="E906"/>
      <c r="F906"/>
      <c r="G906"/>
      <c r="H906"/>
      <c r="I906" s="21" t="str">
        <f t="shared" si="29"/>
        <v/>
      </c>
      <c r="L906" s="24"/>
      <c r="M906" s="24"/>
    </row>
    <row r="907" spans="1:13">
      <c r="A907" s="14" t="str">
        <f t="shared" si="28"/>
        <v/>
      </c>
      <c r="C907" s="120" t="s">
        <v>286</v>
      </c>
      <c r="D907"/>
      <c r="E907"/>
      <c r="F907"/>
      <c r="G907"/>
      <c r="H907"/>
      <c r="I907" s="21" t="str">
        <f t="shared" si="29"/>
        <v/>
      </c>
      <c r="L907" s="24"/>
      <c r="M907" s="24"/>
    </row>
    <row r="908" spans="1:13">
      <c r="A908" s="10" t="str">
        <f t="shared" si="28"/>
        <v/>
      </c>
      <c r="C908" s="120" t="s">
        <v>126</v>
      </c>
      <c r="D908"/>
      <c r="E908"/>
      <c r="F908"/>
      <c r="G908"/>
      <c r="H908"/>
      <c r="I908" s="21" t="str">
        <f t="shared" si="29"/>
        <v/>
      </c>
      <c r="L908" s="24"/>
      <c r="M908" s="24"/>
    </row>
    <row r="909" spans="1:13">
      <c r="A909" s="14" t="str">
        <f t="shared" si="28"/>
        <v/>
      </c>
      <c r="C909" s="120" t="s">
        <v>128</v>
      </c>
      <c r="D909"/>
      <c r="E909"/>
      <c r="F909"/>
      <c r="G909"/>
      <c r="H909"/>
      <c r="I909" s="21" t="str">
        <f t="shared" si="29"/>
        <v/>
      </c>
      <c r="L909" s="24"/>
      <c r="M909" s="24"/>
    </row>
    <row r="910" spans="1:13">
      <c r="A910" s="10" t="str">
        <f t="shared" si="28"/>
        <v/>
      </c>
      <c r="C910" s="120" t="s">
        <v>280</v>
      </c>
      <c r="D910"/>
      <c r="E910"/>
      <c r="F910"/>
      <c r="G910"/>
      <c r="H910"/>
      <c r="I910" s="21" t="str">
        <f t="shared" si="29"/>
        <v/>
      </c>
      <c r="L910" s="24"/>
      <c r="M910" s="24"/>
    </row>
    <row r="911" spans="1:13">
      <c r="A911" s="14" t="str">
        <f t="shared" si="28"/>
        <v/>
      </c>
      <c r="C911" s="120" t="s">
        <v>282</v>
      </c>
      <c r="D911"/>
      <c r="E911"/>
      <c r="F911"/>
      <c r="G911"/>
      <c r="H911"/>
      <c r="I911" s="21" t="str">
        <f t="shared" si="29"/>
        <v/>
      </c>
      <c r="L911" s="24"/>
      <c r="M911" s="24"/>
    </row>
    <row r="912" spans="1:13">
      <c r="A912" s="10" t="str">
        <f t="shared" si="28"/>
        <v/>
      </c>
      <c r="C912" s="120" t="s">
        <v>284</v>
      </c>
      <c r="D912"/>
      <c r="E912"/>
      <c r="F912"/>
      <c r="G912"/>
      <c r="H912"/>
      <c r="I912" s="21" t="str">
        <f t="shared" si="29"/>
        <v/>
      </c>
      <c r="L912" s="24"/>
      <c r="M912" s="24"/>
    </row>
    <row r="913" spans="1:13">
      <c r="A913" s="14" t="str">
        <f t="shared" si="28"/>
        <v/>
      </c>
      <c r="C913" s="120" t="s">
        <v>286</v>
      </c>
      <c r="D913"/>
      <c r="E913"/>
      <c r="F913"/>
      <c r="G913"/>
      <c r="H913"/>
      <c r="I913" s="21" t="str">
        <f t="shared" si="29"/>
        <v/>
      </c>
      <c r="L913" s="24"/>
      <c r="M913" s="24"/>
    </row>
    <row r="914" spans="1:13">
      <c r="A914" s="10" t="str">
        <f t="shared" si="28"/>
        <v/>
      </c>
      <c r="C914" s="120" t="s">
        <v>126</v>
      </c>
      <c r="D914"/>
      <c r="E914"/>
      <c r="F914"/>
      <c r="G914"/>
      <c r="H914"/>
      <c r="I914" s="21" t="str">
        <f t="shared" si="29"/>
        <v/>
      </c>
      <c r="L914" s="24"/>
      <c r="M914" s="24"/>
    </row>
    <row r="915" spans="1:13">
      <c r="A915" s="14" t="str">
        <f t="shared" si="28"/>
        <v/>
      </c>
      <c r="C915" s="120" t="s">
        <v>128</v>
      </c>
      <c r="D915"/>
      <c r="E915"/>
      <c r="F915"/>
      <c r="G915"/>
      <c r="H915"/>
      <c r="I915" s="21" t="str">
        <f t="shared" si="29"/>
        <v/>
      </c>
      <c r="L915" s="24"/>
      <c r="M915" s="24"/>
    </row>
    <row r="916" spans="1:13">
      <c r="A916" s="10" t="str">
        <f t="shared" si="28"/>
        <v/>
      </c>
      <c r="C916" s="120" t="s">
        <v>280</v>
      </c>
      <c r="D916"/>
      <c r="E916"/>
      <c r="F916"/>
      <c r="G916"/>
      <c r="H916"/>
      <c r="I916" s="21" t="str">
        <f t="shared" si="29"/>
        <v/>
      </c>
      <c r="L916" s="24"/>
      <c r="M916" s="24"/>
    </row>
    <row r="917" spans="1:13">
      <c r="A917" s="14" t="str">
        <f t="shared" si="28"/>
        <v/>
      </c>
      <c r="C917" s="120" t="s">
        <v>282</v>
      </c>
      <c r="D917"/>
      <c r="E917"/>
      <c r="F917"/>
      <c r="G917"/>
      <c r="H917"/>
      <c r="I917" s="21" t="str">
        <f t="shared" si="29"/>
        <v/>
      </c>
      <c r="L917" s="24"/>
      <c r="M917" s="24"/>
    </row>
    <row r="918" spans="1:13">
      <c r="A918" s="10" t="str">
        <f t="shared" si="28"/>
        <v/>
      </c>
      <c r="C918" s="120" t="s">
        <v>284</v>
      </c>
      <c r="D918"/>
      <c r="E918"/>
      <c r="F918"/>
      <c r="G918"/>
      <c r="H918"/>
      <c r="I918" s="21" t="str">
        <f t="shared" si="29"/>
        <v/>
      </c>
      <c r="L918" s="24"/>
      <c r="M918" s="24"/>
    </row>
    <row r="919" spans="1:13">
      <c r="A919" s="14" t="str">
        <f t="shared" si="28"/>
        <v/>
      </c>
      <c r="C919" s="120" t="s">
        <v>286</v>
      </c>
      <c r="D919"/>
      <c r="E919"/>
      <c r="F919"/>
      <c r="G919"/>
      <c r="H919"/>
      <c r="I919" s="21" t="str">
        <f t="shared" si="29"/>
        <v/>
      </c>
      <c r="L919" s="24"/>
      <c r="M919" s="24"/>
    </row>
    <row r="920" spans="1:13">
      <c r="A920" s="10" t="str">
        <f t="shared" si="28"/>
        <v/>
      </c>
      <c r="C920" s="120" t="s">
        <v>126</v>
      </c>
      <c r="D920"/>
      <c r="E920"/>
      <c r="F920"/>
      <c r="G920"/>
      <c r="H920"/>
      <c r="I920" s="21" t="str">
        <f t="shared" si="29"/>
        <v/>
      </c>
      <c r="L920" s="24"/>
      <c r="M920" s="24"/>
    </row>
    <row r="921" spans="1:13">
      <c r="A921" s="14" t="str">
        <f t="shared" si="28"/>
        <v/>
      </c>
      <c r="C921" s="120" t="s">
        <v>128</v>
      </c>
      <c r="D921"/>
      <c r="E921"/>
      <c r="F921"/>
      <c r="G921"/>
      <c r="H921"/>
      <c r="I921" s="21" t="str">
        <f t="shared" si="29"/>
        <v/>
      </c>
      <c r="L921" s="24"/>
      <c r="M921" s="24"/>
    </row>
    <row r="922" spans="1:13">
      <c r="A922" s="10" t="str">
        <f t="shared" si="28"/>
        <v/>
      </c>
      <c r="C922" s="120" t="s">
        <v>280</v>
      </c>
      <c r="D922"/>
      <c r="E922"/>
      <c r="F922"/>
      <c r="G922"/>
      <c r="H922"/>
      <c r="I922" s="21" t="str">
        <f t="shared" si="29"/>
        <v/>
      </c>
      <c r="L922" s="24"/>
      <c r="M922" s="24"/>
    </row>
    <row r="923" spans="1:13">
      <c r="A923" s="14" t="str">
        <f t="shared" si="28"/>
        <v/>
      </c>
      <c r="C923" s="120" t="s">
        <v>282</v>
      </c>
      <c r="D923"/>
      <c r="E923"/>
      <c r="F923"/>
      <c r="G923"/>
      <c r="H923"/>
      <c r="I923" s="21" t="str">
        <f t="shared" si="29"/>
        <v/>
      </c>
      <c r="L923" s="24"/>
      <c r="M923" s="24"/>
    </row>
    <row r="924" spans="1:13">
      <c r="A924" s="10" t="str">
        <f t="shared" si="28"/>
        <v/>
      </c>
      <c r="C924" s="120" t="s">
        <v>284</v>
      </c>
      <c r="D924"/>
      <c r="E924"/>
      <c r="F924"/>
      <c r="G924"/>
      <c r="H924"/>
      <c r="I924" s="21" t="str">
        <f t="shared" si="29"/>
        <v/>
      </c>
      <c r="L924" s="24"/>
      <c r="M924" s="24"/>
    </row>
    <row r="925" spans="1:13">
      <c r="A925" s="14" t="str">
        <f t="shared" si="28"/>
        <v/>
      </c>
      <c r="C925" s="120" t="s">
        <v>286</v>
      </c>
      <c r="D925"/>
      <c r="E925"/>
      <c r="F925"/>
      <c r="G925"/>
      <c r="H925"/>
      <c r="I925" s="21" t="str">
        <f t="shared" si="29"/>
        <v/>
      </c>
      <c r="L925" s="24"/>
      <c r="M925" s="24"/>
    </row>
    <row r="926" spans="1:13">
      <c r="A926" s="10" t="str">
        <f t="shared" si="28"/>
        <v/>
      </c>
      <c r="C926" s="120" t="s">
        <v>126</v>
      </c>
      <c r="D926"/>
      <c r="E926"/>
      <c r="F926"/>
      <c r="G926"/>
      <c r="H926"/>
      <c r="I926" s="21" t="str">
        <f t="shared" si="29"/>
        <v/>
      </c>
      <c r="L926" s="24"/>
      <c r="M926" s="24"/>
    </row>
    <row r="927" spans="1:13">
      <c r="A927" s="14" t="str">
        <f t="shared" si="28"/>
        <v/>
      </c>
      <c r="C927" s="120" t="s">
        <v>128</v>
      </c>
      <c r="D927"/>
      <c r="E927"/>
      <c r="F927"/>
      <c r="G927"/>
      <c r="H927"/>
      <c r="I927" s="21" t="str">
        <f t="shared" si="29"/>
        <v/>
      </c>
      <c r="L927" s="24"/>
      <c r="M927" s="24"/>
    </row>
    <row r="928" spans="1:13">
      <c r="A928" s="10" t="str">
        <f t="shared" si="28"/>
        <v/>
      </c>
      <c r="C928" s="120" t="s">
        <v>280</v>
      </c>
      <c r="D928"/>
      <c r="E928"/>
      <c r="F928"/>
      <c r="G928"/>
      <c r="H928"/>
      <c r="I928" s="21" t="str">
        <f t="shared" si="29"/>
        <v/>
      </c>
      <c r="L928" s="24"/>
      <c r="M928" s="24"/>
    </row>
    <row r="929" spans="1:13">
      <c r="A929" s="14" t="str">
        <f t="shared" si="28"/>
        <v/>
      </c>
      <c r="C929" s="120" t="s">
        <v>282</v>
      </c>
      <c r="D929"/>
      <c r="E929"/>
      <c r="F929"/>
      <c r="G929"/>
      <c r="H929"/>
      <c r="I929" s="21" t="str">
        <f t="shared" si="29"/>
        <v/>
      </c>
      <c r="L929" s="24"/>
      <c r="M929" s="24"/>
    </row>
    <row r="930" spans="1:13">
      <c r="A930" s="10" t="str">
        <f t="shared" si="28"/>
        <v/>
      </c>
      <c r="C930" s="120" t="s">
        <v>284</v>
      </c>
      <c r="D930"/>
      <c r="E930"/>
      <c r="F930"/>
      <c r="G930"/>
      <c r="H930"/>
      <c r="I930" s="21" t="str">
        <f t="shared" si="29"/>
        <v/>
      </c>
      <c r="L930" s="24"/>
      <c r="M930" s="24"/>
    </row>
    <row r="931" spans="1:13">
      <c r="A931" s="14" t="str">
        <f t="shared" si="28"/>
        <v/>
      </c>
      <c r="C931" s="120" t="s">
        <v>286</v>
      </c>
      <c r="D931"/>
      <c r="E931"/>
      <c r="F931"/>
      <c r="G931"/>
      <c r="H931"/>
      <c r="I931" s="21" t="str">
        <f t="shared" si="29"/>
        <v/>
      </c>
      <c r="L931" s="24"/>
      <c r="M931" s="24"/>
    </row>
    <row r="932" spans="1:13">
      <c r="A932" s="10" t="str">
        <f t="shared" si="28"/>
        <v/>
      </c>
      <c r="C932" s="120" t="s">
        <v>126</v>
      </c>
      <c r="D932"/>
      <c r="E932"/>
      <c r="F932"/>
      <c r="G932"/>
      <c r="H932"/>
      <c r="I932" s="21" t="str">
        <f t="shared" si="29"/>
        <v/>
      </c>
      <c r="L932" s="24"/>
      <c r="M932" s="24"/>
    </row>
    <row r="933" spans="1:13">
      <c r="A933" s="14" t="str">
        <f t="shared" si="28"/>
        <v/>
      </c>
      <c r="C933" s="120" t="s">
        <v>128</v>
      </c>
      <c r="D933"/>
      <c r="E933"/>
      <c r="F933"/>
      <c r="G933"/>
      <c r="H933"/>
      <c r="I933" s="21" t="str">
        <f t="shared" si="29"/>
        <v/>
      </c>
      <c r="L933" s="24"/>
      <c r="M933" s="24"/>
    </row>
    <row r="934" spans="1:13">
      <c r="A934" s="10" t="str">
        <f t="shared" si="28"/>
        <v/>
      </c>
      <c r="C934" s="120" t="s">
        <v>280</v>
      </c>
      <c r="D934"/>
      <c r="E934"/>
      <c r="F934"/>
      <c r="G934"/>
      <c r="H934"/>
      <c r="I934" s="21" t="str">
        <f t="shared" si="29"/>
        <v/>
      </c>
      <c r="L934" s="24"/>
      <c r="M934" s="24"/>
    </row>
    <row r="935" spans="1:13">
      <c r="A935" s="14" t="str">
        <f t="shared" si="28"/>
        <v/>
      </c>
      <c r="C935" s="120" t="s">
        <v>282</v>
      </c>
      <c r="D935"/>
      <c r="E935"/>
      <c r="F935"/>
      <c r="G935"/>
      <c r="H935"/>
      <c r="I935" s="21" t="str">
        <f t="shared" si="29"/>
        <v/>
      </c>
      <c r="L935" s="24"/>
      <c r="M935" s="24"/>
    </row>
    <row r="936" spans="1:13">
      <c r="A936" s="10" t="str">
        <f t="shared" si="28"/>
        <v/>
      </c>
      <c r="C936" s="120" t="s">
        <v>284</v>
      </c>
      <c r="D936"/>
      <c r="E936"/>
      <c r="F936"/>
      <c r="G936"/>
      <c r="H936"/>
      <c r="I936" s="21" t="str">
        <f t="shared" si="29"/>
        <v/>
      </c>
      <c r="L936" s="24"/>
      <c r="M936" s="24"/>
    </row>
    <row r="937" spans="1:13">
      <c r="A937" s="14" t="str">
        <f t="shared" si="28"/>
        <v/>
      </c>
      <c r="C937" s="120" t="s">
        <v>286</v>
      </c>
      <c r="D937"/>
      <c r="E937"/>
      <c r="F937"/>
      <c r="G937"/>
      <c r="H937"/>
      <c r="I937" s="21" t="str">
        <f t="shared" si="29"/>
        <v/>
      </c>
      <c r="L937" s="24"/>
      <c r="M937" s="24"/>
    </row>
    <row r="938" spans="1:13">
      <c r="A938" s="10" t="str">
        <f t="shared" si="28"/>
        <v/>
      </c>
      <c r="C938" s="120" t="s">
        <v>126</v>
      </c>
      <c r="D938"/>
      <c r="E938"/>
      <c r="F938"/>
      <c r="G938"/>
      <c r="H938"/>
      <c r="I938" s="21" t="str">
        <f t="shared" si="29"/>
        <v/>
      </c>
      <c r="L938" s="24"/>
      <c r="M938" s="24"/>
    </row>
    <row r="939" spans="1:13">
      <c r="A939" s="14" t="str">
        <f t="shared" si="28"/>
        <v/>
      </c>
      <c r="C939" s="120" t="s">
        <v>128</v>
      </c>
      <c r="D939"/>
      <c r="E939"/>
      <c r="F939"/>
      <c r="G939"/>
      <c r="H939"/>
      <c r="I939" s="21" t="str">
        <f t="shared" si="29"/>
        <v/>
      </c>
      <c r="L939" s="24"/>
      <c r="M939" s="24"/>
    </row>
    <row r="940" spans="1:13">
      <c r="A940" s="10" t="str">
        <f t="shared" si="28"/>
        <v/>
      </c>
      <c r="C940" s="120" t="s">
        <v>280</v>
      </c>
      <c r="D940"/>
      <c r="E940"/>
      <c r="F940"/>
      <c r="G940"/>
      <c r="H940"/>
      <c r="I940" s="21" t="str">
        <f t="shared" si="29"/>
        <v/>
      </c>
      <c r="L940" s="24"/>
      <c r="M940" s="24"/>
    </row>
    <row r="941" spans="1:13">
      <c r="A941" s="14" t="str">
        <f t="shared" si="28"/>
        <v/>
      </c>
      <c r="C941" s="120" t="s">
        <v>282</v>
      </c>
      <c r="D941"/>
      <c r="E941"/>
      <c r="F941"/>
      <c r="G941"/>
      <c r="H941"/>
      <c r="I941" s="21" t="str">
        <f t="shared" si="29"/>
        <v/>
      </c>
      <c r="L941" s="24"/>
      <c r="M941" s="24"/>
    </row>
    <row r="942" spans="1:13">
      <c r="A942" s="10" t="str">
        <f t="shared" si="28"/>
        <v/>
      </c>
      <c r="C942" s="120" t="s">
        <v>284</v>
      </c>
      <c r="D942"/>
      <c r="E942"/>
      <c r="F942"/>
      <c r="G942"/>
      <c r="H942"/>
      <c r="I942" s="21" t="str">
        <f t="shared" si="29"/>
        <v/>
      </c>
      <c r="L942" s="24"/>
      <c r="M942" s="24"/>
    </row>
    <row r="943" spans="1:13">
      <c r="A943" s="14" t="str">
        <f t="shared" si="28"/>
        <v/>
      </c>
      <c r="C943" s="120" t="s">
        <v>286</v>
      </c>
      <c r="D943"/>
      <c r="E943"/>
      <c r="F943"/>
      <c r="G943"/>
      <c r="H943"/>
      <c r="I943" s="21" t="str">
        <f t="shared" si="29"/>
        <v/>
      </c>
      <c r="L943" s="24"/>
      <c r="M943" s="24"/>
    </row>
    <row r="944" spans="1:13">
      <c r="A944" s="10" t="str">
        <f t="shared" si="28"/>
        <v/>
      </c>
      <c r="C944" s="120" t="s">
        <v>126</v>
      </c>
      <c r="D944"/>
      <c r="E944"/>
      <c r="F944"/>
      <c r="G944"/>
      <c r="H944"/>
      <c r="I944" s="21" t="str">
        <f t="shared" si="29"/>
        <v/>
      </c>
      <c r="L944" s="24"/>
      <c r="M944" s="24"/>
    </row>
    <row r="945" spans="1:13">
      <c r="A945" s="14" t="str">
        <f t="shared" si="28"/>
        <v/>
      </c>
      <c r="C945" s="120" t="s">
        <v>128</v>
      </c>
      <c r="D945"/>
      <c r="E945"/>
      <c r="F945"/>
      <c r="G945"/>
      <c r="H945"/>
      <c r="I945" s="21" t="str">
        <f t="shared" si="29"/>
        <v/>
      </c>
      <c r="L945" s="24"/>
      <c r="M945" s="24"/>
    </row>
    <row r="946" spans="1:13">
      <c r="A946" s="10" t="str">
        <f t="shared" si="28"/>
        <v/>
      </c>
      <c r="C946" s="120" t="s">
        <v>280</v>
      </c>
      <c r="D946"/>
      <c r="E946"/>
      <c r="F946"/>
      <c r="G946"/>
      <c r="H946"/>
      <c r="I946" s="21" t="str">
        <f t="shared" si="29"/>
        <v/>
      </c>
      <c r="L946" s="24"/>
      <c r="M946" s="24"/>
    </row>
    <row r="947" spans="1:13">
      <c r="A947" s="14" t="str">
        <f t="shared" si="28"/>
        <v/>
      </c>
      <c r="C947" s="120" t="s">
        <v>282</v>
      </c>
      <c r="D947"/>
      <c r="E947"/>
      <c r="F947"/>
      <c r="G947"/>
      <c r="H947"/>
      <c r="I947" s="21" t="str">
        <f t="shared" si="29"/>
        <v/>
      </c>
      <c r="L947" s="24"/>
      <c r="M947" s="24"/>
    </row>
    <row r="948" spans="1:13">
      <c r="A948" s="10" t="str">
        <f t="shared" si="28"/>
        <v/>
      </c>
      <c r="C948" s="120" t="s">
        <v>284</v>
      </c>
      <c r="D948"/>
      <c r="E948"/>
      <c r="F948"/>
      <c r="G948"/>
      <c r="H948"/>
      <c r="I948" s="21" t="str">
        <f t="shared" si="29"/>
        <v/>
      </c>
      <c r="L948" s="24"/>
      <c r="M948" s="24"/>
    </row>
    <row r="949" spans="1:13">
      <c r="A949" s="14" t="str">
        <f t="shared" si="28"/>
        <v/>
      </c>
      <c r="C949" s="120" t="s">
        <v>286</v>
      </c>
      <c r="D949"/>
      <c r="E949"/>
      <c r="F949"/>
      <c r="G949"/>
      <c r="H949"/>
      <c r="I949" s="21" t="str">
        <f t="shared" si="29"/>
        <v/>
      </c>
      <c r="L949" s="24"/>
      <c r="M949" s="24"/>
    </row>
    <row r="950" spans="1:13">
      <c r="A950" s="10" t="str">
        <f t="shared" si="28"/>
        <v/>
      </c>
      <c r="C950" s="120" t="s">
        <v>126</v>
      </c>
      <c r="D950"/>
      <c r="E950"/>
      <c r="F950"/>
      <c r="G950"/>
      <c r="H950"/>
      <c r="I950" s="21" t="str">
        <f t="shared" si="29"/>
        <v/>
      </c>
      <c r="L950" s="24"/>
      <c r="M950" s="24"/>
    </row>
    <row r="951" spans="1:13">
      <c r="A951" s="14" t="str">
        <f t="shared" si="28"/>
        <v/>
      </c>
      <c r="C951" s="120" t="s">
        <v>128</v>
      </c>
      <c r="D951"/>
      <c r="E951"/>
      <c r="F951"/>
      <c r="G951"/>
      <c r="H951"/>
      <c r="I951" s="21" t="str">
        <f t="shared" si="29"/>
        <v/>
      </c>
      <c r="L951" s="24"/>
      <c r="M951" s="24"/>
    </row>
    <row r="952" spans="1:13">
      <c r="A952" s="10" t="str">
        <f t="shared" si="28"/>
        <v/>
      </c>
      <c r="C952" s="120" t="s">
        <v>280</v>
      </c>
      <c r="D952"/>
      <c r="E952"/>
      <c r="F952"/>
      <c r="G952"/>
      <c r="H952"/>
      <c r="I952" s="21" t="str">
        <f t="shared" si="29"/>
        <v/>
      </c>
      <c r="L952" s="24"/>
      <c r="M952" s="24"/>
    </row>
    <row r="953" spans="1:13">
      <c r="A953" s="14" t="str">
        <f t="shared" si="28"/>
        <v/>
      </c>
      <c r="C953" s="120" t="s">
        <v>282</v>
      </c>
      <c r="D953"/>
      <c r="E953"/>
      <c r="F953"/>
      <c r="G953"/>
      <c r="H953"/>
      <c r="I953" s="21" t="str">
        <f t="shared" si="29"/>
        <v/>
      </c>
      <c r="L953" s="24"/>
      <c r="M953" s="24"/>
    </row>
    <row r="954" spans="1:13">
      <c r="A954" s="10" t="str">
        <f t="shared" si="28"/>
        <v/>
      </c>
      <c r="C954" s="120" t="s">
        <v>284</v>
      </c>
      <c r="D954"/>
      <c r="E954"/>
      <c r="F954"/>
      <c r="G954"/>
      <c r="H954"/>
      <c r="I954" s="21" t="str">
        <f t="shared" si="29"/>
        <v/>
      </c>
      <c r="L954" s="24"/>
      <c r="M954" s="24"/>
    </row>
    <row r="955" spans="1:13">
      <c r="A955" s="14" t="str">
        <f t="shared" si="28"/>
        <v/>
      </c>
      <c r="C955" s="120" t="s">
        <v>286</v>
      </c>
      <c r="D955"/>
      <c r="E955"/>
      <c r="F955"/>
      <c r="G955"/>
      <c r="H955"/>
      <c r="I955" s="21" t="str">
        <f t="shared" si="29"/>
        <v/>
      </c>
      <c r="L955" s="24"/>
      <c r="M955" s="24"/>
    </row>
    <row r="956" spans="1:13">
      <c r="A956" s="10" t="str">
        <f t="shared" si="28"/>
        <v/>
      </c>
      <c r="C956" s="120" t="s">
        <v>126</v>
      </c>
      <c r="D956"/>
      <c r="E956"/>
      <c r="F956"/>
      <c r="G956"/>
      <c r="H956"/>
      <c r="I956" s="21" t="str">
        <f t="shared" si="29"/>
        <v/>
      </c>
      <c r="L956" s="24"/>
      <c r="M956" s="24"/>
    </row>
    <row r="957" spans="1:13">
      <c r="A957" s="14" t="str">
        <f t="shared" si="28"/>
        <v/>
      </c>
      <c r="C957" s="120" t="s">
        <v>128</v>
      </c>
      <c r="D957"/>
      <c r="E957"/>
      <c r="F957"/>
      <c r="G957"/>
      <c r="H957"/>
      <c r="I957" s="21" t="str">
        <f t="shared" si="29"/>
        <v/>
      </c>
      <c r="L957" s="24"/>
      <c r="M957" s="24"/>
    </row>
    <row r="958" spans="1:13">
      <c r="A958" s="10" t="str">
        <f t="shared" si="28"/>
        <v/>
      </c>
      <c r="C958" s="120" t="s">
        <v>280</v>
      </c>
      <c r="D958"/>
      <c r="E958"/>
      <c r="F958"/>
      <c r="G958"/>
      <c r="H958"/>
      <c r="I958" s="21" t="str">
        <f t="shared" si="29"/>
        <v/>
      </c>
      <c r="L958" s="24"/>
      <c r="M958" s="24"/>
    </row>
    <row r="959" spans="1:13">
      <c r="A959" s="14" t="str">
        <f t="shared" si="28"/>
        <v/>
      </c>
      <c r="C959" s="120" t="s">
        <v>282</v>
      </c>
      <c r="D959"/>
      <c r="E959"/>
      <c r="F959"/>
      <c r="G959"/>
      <c r="H959"/>
      <c r="I959" s="21" t="str">
        <f t="shared" si="29"/>
        <v/>
      </c>
      <c r="L959" s="24"/>
      <c r="M959" s="24"/>
    </row>
    <row r="960" spans="1:13">
      <c r="A960" s="10" t="str">
        <f t="shared" si="28"/>
        <v/>
      </c>
      <c r="C960" s="120" t="s">
        <v>284</v>
      </c>
      <c r="D960"/>
      <c r="E960"/>
      <c r="F960"/>
      <c r="G960"/>
      <c r="H960"/>
      <c r="I960" s="21" t="str">
        <f t="shared" si="29"/>
        <v/>
      </c>
      <c r="L960" s="24"/>
      <c r="M960" s="24"/>
    </row>
    <row r="961" spans="1:13">
      <c r="A961" s="14" t="str">
        <f t="shared" si="28"/>
        <v/>
      </c>
      <c r="C961" s="120" t="s">
        <v>286</v>
      </c>
      <c r="D961"/>
      <c r="E961"/>
      <c r="F961"/>
      <c r="G961"/>
      <c r="H961"/>
      <c r="I961" s="21" t="str">
        <f t="shared" si="29"/>
        <v/>
      </c>
      <c r="L961" s="24"/>
      <c r="M961" s="24"/>
    </row>
    <row r="962" spans="1:13">
      <c r="A962" s="10" t="str">
        <f t="shared" ref="A962:A1025" si="30">IF(B962&lt;&gt;"",ROW()-1,"")</f>
        <v/>
      </c>
      <c r="C962" s="120" t="s">
        <v>126</v>
      </c>
      <c r="D962"/>
      <c r="E962"/>
      <c r="F962"/>
      <c r="G962"/>
      <c r="H962"/>
      <c r="I962" s="21" t="str">
        <f t="shared" ref="I962:I1025" si="31">IF(AND(G962&lt;&gt;"",H962&lt;&gt;""),H962-G962,"")</f>
        <v/>
      </c>
      <c r="L962" s="24"/>
      <c r="M962" s="24"/>
    </row>
    <row r="963" spans="1:13">
      <c r="A963" s="14" t="str">
        <f t="shared" si="30"/>
        <v/>
      </c>
      <c r="C963" s="120" t="s">
        <v>128</v>
      </c>
      <c r="D963"/>
      <c r="E963"/>
      <c r="F963"/>
      <c r="G963"/>
      <c r="H963"/>
      <c r="I963" s="21" t="str">
        <f t="shared" si="31"/>
        <v/>
      </c>
      <c r="L963" s="24"/>
      <c r="M963" s="24"/>
    </row>
    <row r="964" spans="1:13">
      <c r="A964" s="10" t="str">
        <f t="shared" si="30"/>
        <v/>
      </c>
      <c r="C964" s="120" t="s">
        <v>280</v>
      </c>
      <c r="D964"/>
      <c r="E964"/>
      <c r="F964"/>
      <c r="G964"/>
      <c r="H964"/>
      <c r="I964" s="21" t="str">
        <f t="shared" si="31"/>
        <v/>
      </c>
      <c r="L964" s="24"/>
      <c r="M964" s="24"/>
    </row>
    <row r="965" spans="1:13">
      <c r="A965" s="14" t="str">
        <f t="shared" si="30"/>
        <v/>
      </c>
      <c r="C965" s="120" t="s">
        <v>282</v>
      </c>
      <c r="D965"/>
      <c r="E965"/>
      <c r="F965"/>
      <c r="G965"/>
      <c r="H965"/>
      <c r="I965" s="21" t="str">
        <f t="shared" si="31"/>
        <v/>
      </c>
      <c r="L965" s="24"/>
      <c r="M965" s="24"/>
    </row>
    <row r="966" spans="1:13">
      <c r="A966" s="10" t="str">
        <f t="shared" si="30"/>
        <v/>
      </c>
      <c r="C966" s="120" t="s">
        <v>284</v>
      </c>
      <c r="D966"/>
      <c r="E966"/>
      <c r="F966"/>
      <c r="G966"/>
      <c r="H966"/>
      <c r="I966" s="21" t="str">
        <f t="shared" si="31"/>
        <v/>
      </c>
      <c r="L966" s="24"/>
      <c r="M966" s="24"/>
    </row>
    <row r="967" spans="1:13">
      <c r="A967" s="14" t="str">
        <f t="shared" si="30"/>
        <v/>
      </c>
      <c r="C967" s="120" t="s">
        <v>286</v>
      </c>
      <c r="D967"/>
      <c r="E967"/>
      <c r="F967"/>
      <c r="G967"/>
      <c r="H967"/>
      <c r="I967" s="21" t="str">
        <f t="shared" si="31"/>
        <v/>
      </c>
      <c r="L967" s="24"/>
      <c r="M967" s="24"/>
    </row>
    <row r="968" spans="1:13">
      <c r="A968" s="10" t="str">
        <f t="shared" si="30"/>
        <v/>
      </c>
      <c r="C968" s="120" t="s">
        <v>126</v>
      </c>
      <c r="D968"/>
      <c r="E968"/>
      <c r="F968"/>
      <c r="G968"/>
      <c r="H968"/>
      <c r="I968" s="21" t="str">
        <f t="shared" si="31"/>
        <v/>
      </c>
      <c r="L968" s="24"/>
      <c r="M968" s="24"/>
    </row>
    <row r="969" spans="1:13">
      <c r="A969" s="14" t="str">
        <f t="shared" si="30"/>
        <v/>
      </c>
      <c r="C969" s="120" t="s">
        <v>128</v>
      </c>
      <c r="D969"/>
      <c r="E969"/>
      <c r="F969"/>
      <c r="G969"/>
      <c r="H969"/>
      <c r="I969" s="21" t="str">
        <f t="shared" si="31"/>
        <v/>
      </c>
      <c r="L969" s="24"/>
      <c r="M969" s="24"/>
    </row>
    <row r="970" spans="1:13">
      <c r="A970" s="10" t="str">
        <f t="shared" si="30"/>
        <v/>
      </c>
      <c r="C970" s="120" t="s">
        <v>280</v>
      </c>
      <c r="D970"/>
      <c r="E970"/>
      <c r="F970"/>
      <c r="G970"/>
      <c r="H970"/>
      <c r="I970" s="21" t="str">
        <f t="shared" si="31"/>
        <v/>
      </c>
      <c r="L970" s="24"/>
      <c r="M970" s="24"/>
    </row>
    <row r="971" spans="1:13">
      <c r="A971" s="14" t="str">
        <f t="shared" si="30"/>
        <v/>
      </c>
      <c r="C971" s="120" t="s">
        <v>282</v>
      </c>
      <c r="D971"/>
      <c r="E971"/>
      <c r="F971"/>
      <c r="G971"/>
      <c r="H971"/>
      <c r="I971" s="21" t="str">
        <f t="shared" si="31"/>
        <v/>
      </c>
      <c r="L971" s="24"/>
      <c r="M971" s="24"/>
    </row>
    <row r="972" spans="1:13">
      <c r="A972" s="10" t="str">
        <f t="shared" si="30"/>
        <v/>
      </c>
      <c r="C972" s="120" t="s">
        <v>284</v>
      </c>
      <c r="D972"/>
      <c r="E972"/>
      <c r="F972"/>
      <c r="G972"/>
      <c r="H972"/>
      <c r="I972" s="21" t="str">
        <f t="shared" si="31"/>
        <v/>
      </c>
      <c r="L972" s="24"/>
      <c r="M972" s="24"/>
    </row>
    <row r="973" spans="1:13">
      <c r="A973" s="14" t="str">
        <f t="shared" si="30"/>
        <v/>
      </c>
      <c r="C973" s="120" t="s">
        <v>286</v>
      </c>
      <c r="D973"/>
      <c r="E973"/>
      <c r="F973"/>
      <c r="G973"/>
      <c r="H973"/>
      <c r="I973" s="21" t="str">
        <f t="shared" si="31"/>
        <v/>
      </c>
      <c r="L973" s="24"/>
      <c r="M973" s="24"/>
    </row>
    <row r="974" spans="1:13">
      <c r="A974" s="10" t="str">
        <f t="shared" si="30"/>
        <v/>
      </c>
      <c r="C974" s="120" t="s">
        <v>126</v>
      </c>
      <c r="D974"/>
      <c r="E974"/>
      <c r="F974"/>
      <c r="G974"/>
      <c r="H974"/>
      <c r="I974" s="21" t="str">
        <f t="shared" si="31"/>
        <v/>
      </c>
      <c r="L974" s="24"/>
      <c r="M974" s="24"/>
    </row>
    <row r="975" spans="1:13">
      <c r="A975" s="14" t="str">
        <f t="shared" si="30"/>
        <v/>
      </c>
      <c r="C975" s="120" t="s">
        <v>128</v>
      </c>
      <c r="D975"/>
      <c r="E975"/>
      <c r="F975"/>
      <c r="G975"/>
      <c r="H975"/>
      <c r="I975" s="21" t="str">
        <f t="shared" si="31"/>
        <v/>
      </c>
      <c r="L975" s="24"/>
      <c r="M975" s="24"/>
    </row>
    <row r="976" spans="1:13">
      <c r="A976" s="10" t="str">
        <f t="shared" si="30"/>
        <v/>
      </c>
      <c r="C976" s="120" t="s">
        <v>280</v>
      </c>
      <c r="D976"/>
      <c r="E976"/>
      <c r="F976"/>
      <c r="G976"/>
      <c r="H976"/>
      <c r="I976" s="21" t="str">
        <f t="shared" si="31"/>
        <v/>
      </c>
      <c r="L976" s="24"/>
      <c r="M976" s="24"/>
    </row>
    <row r="977" spans="1:13">
      <c r="A977" s="14" t="str">
        <f t="shared" si="30"/>
        <v/>
      </c>
      <c r="C977" s="120" t="s">
        <v>282</v>
      </c>
      <c r="D977"/>
      <c r="E977"/>
      <c r="F977"/>
      <c r="G977"/>
      <c r="H977"/>
      <c r="I977" s="21" t="str">
        <f t="shared" si="31"/>
        <v/>
      </c>
      <c r="L977" s="24"/>
      <c r="M977" s="24"/>
    </row>
    <row r="978" spans="1:13">
      <c r="A978" s="10" t="str">
        <f t="shared" si="30"/>
        <v/>
      </c>
      <c r="C978" s="120" t="s">
        <v>284</v>
      </c>
      <c r="D978"/>
      <c r="E978"/>
      <c r="F978"/>
      <c r="G978"/>
      <c r="H978"/>
      <c r="I978" s="21" t="str">
        <f t="shared" si="31"/>
        <v/>
      </c>
      <c r="L978" s="24"/>
      <c r="M978" s="24"/>
    </row>
    <row r="979" spans="1:13">
      <c r="A979" s="14" t="str">
        <f t="shared" si="30"/>
        <v/>
      </c>
      <c r="C979" s="120" t="s">
        <v>286</v>
      </c>
      <c r="D979"/>
      <c r="E979"/>
      <c r="F979"/>
      <c r="G979"/>
      <c r="H979"/>
      <c r="I979" s="21" t="str">
        <f t="shared" si="31"/>
        <v/>
      </c>
      <c r="L979" s="24"/>
      <c r="M979" s="24"/>
    </row>
    <row r="980" spans="1:13">
      <c r="A980" s="10" t="str">
        <f t="shared" si="30"/>
        <v/>
      </c>
      <c r="C980" s="120" t="s">
        <v>126</v>
      </c>
      <c r="D980"/>
      <c r="E980"/>
      <c r="F980"/>
      <c r="G980"/>
      <c r="H980"/>
      <c r="I980" s="21" t="str">
        <f t="shared" si="31"/>
        <v/>
      </c>
      <c r="L980" s="24"/>
      <c r="M980" s="24"/>
    </row>
    <row r="981" spans="1:13">
      <c r="A981" s="14" t="str">
        <f t="shared" si="30"/>
        <v/>
      </c>
      <c r="C981" s="120" t="s">
        <v>128</v>
      </c>
      <c r="D981"/>
      <c r="E981"/>
      <c r="F981"/>
      <c r="G981"/>
      <c r="H981"/>
      <c r="I981" s="21" t="str">
        <f t="shared" si="31"/>
        <v/>
      </c>
      <c r="L981" s="24"/>
      <c r="M981" s="24"/>
    </row>
    <row r="982" spans="1:13">
      <c r="A982" s="10" t="str">
        <f t="shared" si="30"/>
        <v/>
      </c>
      <c r="C982" s="120" t="s">
        <v>280</v>
      </c>
      <c r="D982"/>
      <c r="E982"/>
      <c r="F982"/>
      <c r="G982"/>
      <c r="H982"/>
      <c r="I982" s="21" t="str">
        <f t="shared" si="31"/>
        <v/>
      </c>
      <c r="L982" s="24"/>
      <c r="M982" s="24"/>
    </row>
    <row r="983" spans="1:13">
      <c r="A983" s="14" t="str">
        <f t="shared" si="30"/>
        <v/>
      </c>
      <c r="C983" s="120" t="s">
        <v>282</v>
      </c>
      <c r="D983"/>
      <c r="E983"/>
      <c r="F983"/>
      <c r="G983"/>
      <c r="H983"/>
      <c r="I983" s="21" t="str">
        <f t="shared" si="31"/>
        <v/>
      </c>
      <c r="L983" s="24"/>
      <c r="M983" s="24"/>
    </row>
    <row r="984" spans="1:13">
      <c r="A984" s="10" t="str">
        <f t="shared" si="30"/>
        <v/>
      </c>
      <c r="C984" s="120" t="s">
        <v>284</v>
      </c>
      <c r="D984"/>
      <c r="E984"/>
      <c r="F984"/>
      <c r="G984"/>
      <c r="H984"/>
      <c r="I984" s="21" t="str">
        <f t="shared" si="31"/>
        <v/>
      </c>
      <c r="L984" s="24"/>
      <c r="M984" s="24"/>
    </row>
    <row r="985" spans="1:13">
      <c r="A985" s="14" t="str">
        <f t="shared" si="30"/>
        <v/>
      </c>
      <c r="C985" s="120" t="s">
        <v>286</v>
      </c>
      <c r="D985"/>
      <c r="E985"/>
      <c r="F985"/>
      <c r="G985"/>
      <c r="H985"/>
      <c r="I985" s="21" t="str">
        <f t="shared" si="31"/>
        <v/>
      </c>
      <c r="L985" s="24"/>
      <c r="M985" s="24"/>
    </row>
    <row r="986" spans="1:13">
      <c r="A986" s="10" t="str">
        <f t="shared" si="30"/>
        <v/>
      </c>
      <c r="C986" s="120" t="s">
        <v>126</v>
      </c>
      <c r="D986"/>
      <c r="E986"/>
      <c r="F986"/>
      <c r="G986"/>
      <c r="H986"/>
      <c r="I986" s="21" t="str">
        <f t="shared" si="31"/>
        <v/>
      </c>
      <c r="L986" s="24"/>
      <c r="M986" s="24"/>
    </row>
    <row r="987" spans="1:13">
      <c r="A987" s="14" t="str">
        <f t="shared" si="30"/>
        <v/>
      </c>
      <c r="C987" s="120" t="s">
        <v>128</v>
      </c>
      <c r="D987"/>
      <c r="E987"/>
      <c r="F987"/>
      <c r="G987"/>
      <c r="H987"/>
      <c r="I987" s="21" t="str">
        <f t="shared" si="31"/>
        <v/>
      </c>
      <c r="L987" s="24"/>
      <c r="M987" s="24"/>
    </row>
    <row r="988" spans="1:13">
      <c r="A988" s="10" t="str">
        <f t="shared" si="30"/>
        <v/>
      </c>
      <c r="C988" s="120" t="s">
        <v>280</v>
      </c>
      <c r="D988"/>
      <c r="E988"/>
      <c r="F988"/>
      <c r="G988"/>
      <c r="H988"/>
      <c r="I988" s="21" t="str">
        <f t="shared" si="31"/>
        <v/>
      </c>
      <c r="L988" s="24"/>
      <c r="M988" s="24"/>
    </row>
    <row r="989" spans="1:13">
      <c r="A989" s="14" t="str">
        <f t="shared" si="30"/>
        <v/>
      </c>
      <c r="C989" s="120" t="s">
        <v>282</v>
      </c>
      <c r="D989"/>
      <c r="E989"/>
      <c r="F989"/>
      <c r="G989"/>
      <c r="H989"/>
      <c r="I989" s="21" t="str">
        <f t="shared" si="31"/>
        <v/>
      </c>
      <c r="L989" s="24"/>
      <c r="M989" s="24"/>
    </row>
    <row r="990" spans="1:13">
      <c r="A990" s="10" t="str">
        <f t="shared" si="30"/>
        <v/>
      </c>
      <c r="C990" s="120" t="s">
        <v>284</v>
      </c>
      <c r="D990"/>
      <c r="E990"/>
      <c r="F990"/>
      <c r="G990"/>
      <c r="H990"/>
      <c r="I990" s="21" t="str">
        <f t="shared" si="31"/>
        <v/>
      </c>
      <c r="L990" s="24"/>
      <c r="M990" s="24"/>
    </row>
    <row r="991" spans="1:13">
      <c r="A991" s="14" t="str">
        <f t="shared" si="30"/>
        <v/>
      </c>
      <c r="C991" s="120" t="s">
        <v>286</v>
      </c>
      <c r="D991"/>
      <c r="E991"/>
      <c r="F991"/>
      <c r="G991"/>
      <c r="H991"/>
      <c r="I991" s="21" t="str">
        <f t="shared" si="31"/>
        <v/>
      </c>
      <c r="L991" s="24"/>
      <c r="M991" s="24"/>
    </row>
    <row r="992" spans="1:13">
      <c r="A992" s="10" t="str">
        <f t="shared" si="30"/>
        <v/>
      </c>
      <c r="C992" s="120" t="s">
        <v>126</v>
      </c>
      <c r="D992"/>
      <c r="E992"/>
      <c r="F992"/>
      <c r="G992"/>
      <c r="H992"/>
      <c r="I992" s="21" t="str">
        <f t="shared" si="31"/>
        <v/>
      </c>
      <c r="L992" s="24"/>
      <c r="M992" s="24"/>
    </row>
    <row r="993" spans="1:13">
      <c r="A993" s="14" t="str">
        <f t="shared" si="30"/>
        <v/>
      </c>
      <c r="C993" s="120" t="s">
        <v>128</v>
      </c>
      <c r="D993"/>
      <c r="E993"/>
      <c r="F993"/>
      <c r="G993"/>
      <c r="H993"/>
      <c r="I993" s="21" t="str">
        <f t="shared" si="31"/>
        <v/>
      </c>
      <c r="L993" s="24"/>
      <c r="M993" s="24"/>
    </row>
    <row r="994" spans="1:13">
      <c r="A994" s="10" t="str">
        <f t="shared" si="30"/>
        <v/>
      </c>
      <c r="C994" s="120" t="s">
        <v>280</v>
      </c>
      <c r="D994"/>
      <c r="E994"/>
      <c r="F994"/>
      <c r="G994"/>
      <c r="H994"/>
      <c r="I994" s="21" t="str">
        <f t="shared" si="31"/>
        <v/>
      </c>
      <c r="L994" s="24"/>
      <c r="M994" s="24"/>
    </row>
    <row r="995" spans="1:13">
      <c r="A995" s="14" t="str">
        <f t="shared" si="30"/>
        <v/>
      </c>
      <c r="C995" s="120" t="s">
        <v>282</v>
      </c>
      <c r="D995"/>
      <c r="E995"/>
      <c r="F995"/>
      <c r="G995"/>
      <c r="H995"/>
      <c r="I995" s="21" t="str">
        <f t="shared" si="31"/>
        <v/>
      </c>
      <c r="L995" s="24"/>
      <c r="M995" s="24"/>
    </row>
    <row r="996" spans="1:13">
      <c r="A996" s="10" t="str">
        <f t="shared" si="30"/>
        <v/>
      </c>
      <c r="C996" s="120" t="s">
        <v>284</v>
      </c>
      <c r="D996"/>
      <c r="E996"/>
      <c r="F996"/>
      <c r="G996"/>
      <c r="H996"/>
      <c r="I996" s="21" t="str">
        <f t="shared" si="31"/>
        <v/>
      </c>
      <c r="L996" s="24"/>
      <c r="M996" s="24"/>
    </row>
    <row r="997" spans="1:13">
      <c r="A997" s="14" t="str">
        <f t="shared" si="30"/>
        <v/>
      </c>
      <c r="C997" s="120" t="s">
        <v>286</v>
      </c>
      <c r="D997"/>
      <c r="E997"/>
      <c r="F997"/>
      <c r="G997"/>
      <c r="H997"/>
      <c r="I997" s="21" t="str">
        <f t="shared" si="31"/>
        <v/>
      </c>
      <c r="L997" s="24"/>
      <c r="M997" s="24"/>
    </row>
    <row r="998" spans="1:13">
      <c r="A998" s="10" t="str">
        <f t="shared" si="30"/>
        <v/>
      </c>
      <c r="C998" s="120" t="s">
        <v>126</v>
      </c>
      <c r="D998"/>
      <c r="E998"/>
      <c r="F998"/>
      <c r="G998"/>
      <c r="H998"/>
      <c r="I998" s="21" t="str">
        <f t="shared" si="31"/>
        <v/>
      </c>
      <c r="L998" s="24"/>
      <c r="M998" s="24"/>
    </row>
    <row r="999" spans="1:13">
      <c r="A999" s="14" t="str">
        <f t="shared" si="30"/>
        <v/>
      </c>
      <c r="C999" s="120" t="s">
        <v>128</v>
      </c>
      <c r="D999"/>
      <c r="E999"/>
      <c r="F999"/>
      <c r="G999"/>
      <c r="H999"/>
      <c r="I999" s="21" t="str">
        <f t="shared" si="31"/>
        <v/>
      </c>
      <c r="L999" s="24"/>
      <c r="M999" s="24"/>
    </row>
    <row r="1000" spans="1:13">
      <c r="A1000" s="10" t="str">
        <f t="shared" si="30"/>
        <v/>
      </c>
      <c r="C1000" s="120" t="s">
        <v>280</v>
      </c>
      <c r="D1000"/>
      <c r="E1000"/>
      <c r="F1000"/>
      <c r="G1000"/>
      <c r="H1000"/>
      <c r="I1000" s="21" t="str">
        <f t="shared" si="31"/>
        <v/>
      </c>
      <c r="L1000" s="24"/>
      <c r="M1000" s="24"/>
    </row>
    <row r="1001" spans="1:13">
      <c r="A1001" s="14" t="str">
        <f t="shared" si="30"/>
        <v/>
      </c>
      <c r="C1001" s="120" t="s">
        <v>282</v>
      </c>
      <c r="D1001"/>
      <c r="E1001"/>
      <c r="F1001"/>
      <c r="G1001"/>
      <c r="H1001"/>
      <c r="I1001" s="21" t="str">
        <f t="shared" si="31"/>
        <v/>
      </c>
      <c r="L1001" s="24"/>
      <c r="M1001" s="24"/>
    </row>
    <row r="1002" spans="1:13">
      <c r="A1002" s="10" t="str">
        <f t="shared" si="30"/>
        <v/>
      </c>
      <c r="C1002" s="120" t="s">
        <v>284</v>
      </c>
      <c r="D1002"/>
      <c r="E1002"/>
      <c r="F1002"/>
      <c r="G1002"/>
      <c r="H1002"/>
      <c r="I1002" s="21" t="str">
        <f t="shared" si="31"/>
        <v/>
      </c>
      <c r="L1002" s="24"/>
      <c r="M1002" s="24"/>
    </row>
    <row r="1003" spans="1:13">
      <c r="A1003" s="14" t="str">
        <f t="shared" si="30"/>
        <v/>
      </c>
      <c r="C1003" s="120" t="s">
        <v>286</v>
      </c>
      <c r="D1003"/>
      <c r="E1003"/>
      <c r="F1003"/>
      <c r="G1003"/>
      <c r="H1003"/>
      <c r="I1003" s="21" t="str">
        <f t="shared" si="31"/>
        <v/>
      </c>
      <c r="L1003" s="24"/>
      <c r="M1003" s="24"/>
    </row>
    <row r="1004" spans="1:13">
      <c r="A1004" s="10" t="str">
        <f t="shared" si="30"/>
        <v/>
      </c>
      <c r="C1004" s="120" t="s">
        <v>126</v>
      </c>
      <c r="D1004"/>
      <c r="E1004"/>
      <c r="F1004"/>
      <c r="G1004"/>
      <c r="H1004"/>
      <c r="I1004" s="21" t="str">
        <f t="shared" si="31"/>
        <v/>
      </c>
      <c r="L1004" s="24"/>
      <c r="M1004" s="24"/>
    </row>
    <row r="1005" spans="1:13">
      <c r="A1005" s="14" t="str">
        <f t="shared" si="30"/>
        <v/>
      </c>
      <c r="C1005" s="120" t="s">
        <v>128</v>
      </c>
      <c r="D1005"/>
      <c r="E1005"/>
      <c r="F1005"/>
      <c r="G1005"/>
      <c r="H1005"/>
      <c r="I1005" s="21" t="str">
        <f t="shared" si="31"/>
        <v/>
      </c>
      <c r="L1005" s="24"/>
      <c r="M1005" s="24"/>
    </row>
    <row r="1006" spans="1:13">
      <c r="A1006" s="10" t="str">
        <f t="shared" si="30"/>
        <v/>
      </c>
      <c r="C1006" s="120" t="s">
        <v>280</v>
      </c>
      <c r="D1006"/>
      <c r="E1006"/>
      <c r="F1006"/>
      <c r="G1006"/>
      <c r="H1006"/>
      <c r="I1006" s="21" t="str">
        <f t="shared" si="31"/>
        <v/>
      </c>
      <c r="L1006" s="24"/>
      <c r="M1006" s="24"/>
    </row>
    <row r="1007" spans="1:13">
      <c r="A1007" s="14" t="str">
        <f t="shared" si="30"/>
        <v/>
      </c>
      <c r="C1007" s="120" t="s">
        <v>282</v>
      </c>
      <c r="D1007"/>
      <c r="E1007"/>
      <c r="F1007"/>
      <c r="G1007"/>
      <c r="H1007"/>
      <c r="I1007" s="21" t="str">
        <f t="shared" si="31"/>
        <v/>
      </c>
      <c r="L1007" s="24"/>
      <c r="M1007" s="24"/>
    </row>
    <row r="1008" spans="1:13">
      <c r="A1008" s="10" t="str">
        <f t="shared" si="30"/>
        <v/>
      </c>
      <c r="C1008" s="120" t="s">
        <v>284</v>
      </c>
      <c r="D1008"/>
      <c r="E1008"/>
      <c r="F1008"/>
      <c r="G1008"/>
      <c r="H1008"/>
      <c r="I1008" s="21" t="str">
        <f t="shared" si="31"/>
        <v/>
      </c>
      <c r="L1008" s="24"/>
      <c r="M1008" s="24"/>
    </row>
    <row r="1009" spans="1:13">
      <c r="A1009" s="14" t="str">
        <f t="shared" si="30"/>
        <v/>
      </c>
      <c r="C1009" s="120" t="s">
        <v>286</v>
      </c>
      <c r="D1009"/>
      <c r="E1009"/>
      <c r="F1009"/>
      <c r="G1009"/>
      <c r="H1009"/>
      <c r="I1009" s="21" t="str">
        <f t="shared" si="31"/>
        <v/>
      </c>
      <c r="L1009" s="24"/>
      <c r="M1009" s="24"/>
    </row>
    <row r="1010" spans="1:13">
      <c r="A1010" s="10" t="str">
        <f t="shared" si="30"/>
        <v/>
      </c>
      <c r="C1010" s="120" t="s">
        <v>126</v>
      </c>
      <c r="D1010"/>
      <c r="E1010"/>
      <c r="F1010"/>
      <c r="G1010"/>
      <c r="H1010"/>
      <c r="I1010" s="21" t="str">
        <f t="shared" si="31"/>
        <v/>
      </c>
      <c r="L1010" s="24"/>
      <c r="M1010" s="24"/>
    </row>
    <row r="1011" spans="1:13">
      <c r="A1011" s="14" t="str">
        <f t="shared" si="30"/>
        <v/>
      </c>
      <c r="C1011" s="120" t="s">
        <v>128</v>
      </c>
      <c r="D1011"/>
      <c r="E1011"/>
      <c r="F1011"/>
      <c r="G1011"/>
      <c r="H1011"/>
      <c r="I1011" s="21" t="str">
        <f t="shared" si="31"/>
        <v/>
      </c>
      <c r="L1011" s="24"/>
      <c r="M1011" s="24"/>
    </row>
    <row r="1012" spans="1:13">
      <c r="A1012" s="10" t="str">
        <f t="shared" si="30"/>
        <v/>
      </c>
      <c r="C1012" s="120" t="s">
        <v>280</v>
      </c>
      <c r="D1012"/>
      <c r="E1012"/>
      <c r="F1012"/>
      <c r="G1012"/>
      <c r="H1012"/>
      <c r="I1012" s="21" t="str">
        <f t="shared" si="31"/>
        <v/>
      </c>
      <c r="L1012" s="24"/>
      <c r="M1012" s="24"/>
    </row>
    <row r="1013" spans="1:13">
      <c r="A1013" s="14" t="str">
        <f t="shared" si="30"/>
        <v/>
      </c>
      <c r="C1013" s="120" t="s">
        <v>282</v>
      </c>
      <c r="D1013"/>
      <c r="E1013"/>
      <c r="F1013"/>
      <c r="G1013"/>
      <c r="H1013"/>
      <c r="I1013" s="21" t="str">
        <f t="shared" si="31"/>
        <v/>
      </c>
      <c r="L1013" s="24"/>
      <c r="M1013" s="24"/>
    </row>
    <row r="1014" spans="1:13">
      <c r="A1014" s="10" t="str">
        <f t="shared" si="30"/>
        <v/>
      </c>
      <c r="C1014" s="120" t="s">
        <v>284</v>
      </c>
      <c r="D1014"/>
      <c r="E1014"/>
      <c r="F1014"/>
      <c r="G1014"/>
      <c r="H1014"/>
      <c r="I1014" s="21" t="str">
        <f t="shared" si="31"/>
        <v/>
      </c>
      <c r="L1014" s="24"/>
      <c r="M1014" s="24"/>
    </row>
    <row r="1015" spans="1:13">
      <c r="A1015" s="14" t="str">
        <f t="shared" si="30"/>
        <v/>
      </c>
      <c r="C1015" s="120" t="s">
        <v>286</v>
      </c>
      <c r="D1015"/>
      <c r="E1015"/>
      <c r="F1015"/>
      <c r="G1015"/>
      <c r="H1015"/>
      <c r="I1015" s="21" t="str">
        <f t="shared" si="31"/>
        <v/>
      </c>
      <c r="L1015" s="24"/>
      <c r="M1015" s="24"/>
    </row>
    <row r="1016" spans="1:13">
      <c r="A1016" s="10" t="str">
        <f t="shared" si="30"/>
        <v/>
      </c>
      <c r="C1016" s="120" t="s">
        <v>126</v>
      </c>
      <c r="D1016"/>
      <c r="E1016"/>
      <c r="F1016"/>
      <c r="G1016"/>
      <c r="H1016"/>
      <c r="I1016" s="21" t="str">
        <f t="shared" si="31"/>
        <v/>
      </c>
      <c r="L1016" s="24"/>
      <c r="M1016" s="24"/>
    </row>
    <row r="1017" spans="1:13">
      <c r="A1017" s="14" t="str">
        <f t="shared" si="30"/>
        <v/>
      </c>
      <c r="C1017" s="120" t="s">
        <v>128</v>
      </c>
      <c r="D1017"/>
      <c r="E1017"/>
      <c r="F1017"/>
      <c r="G1017"/>
      <c r="H1017"/>
      <c r="I1017" s="21" t="str">
        <f t="shared" si="31"/>
        <v/>
      </c>
      <c r="L1017" s="24"/>
      <c r="M1017" s="24"/>
    </row>
    <row r="1018" spans="1:13">
      <c r="A1018" s="10" t="str">
        <f t="shared" si="30"/>
        <v/>
      </c>
      <c r="C1018" s="120" t="s">
        <v>280</v>
      </c>
      <c r="D1018"/>
      <c r="E1018"/>
      <c r="F1018"/>
      <c r="G1018"/>
      <c r="H1018"/>
      <c r="I1018" s="21" t="str">
        <f t="shared" si="31"/>
        <v/>
      </c>
      <c r="L1018" s="24"/>
      <c r="M1018" s="24"/>
    </row>
    <row r="1019" spans="1:13">
      <c r="A1019" s="14" t="str">
        <f t="shared" si="30"/>
        <v/>
      </c>
      <c r="C1019" s="120" t="s">
        <v>282</v>
      </c>
      <c r="D1019"/>
      <c r="E1019"/>
      <c r="F1019"/>
      <c r="G1019"/>
      <c r="H1019"/>
      <c r="I1019" s="21" t="str">
        <f t="shared" si="31"/>
        <v/>
      </c>
      <c r="L1019" s="24"/>
      <c r="M1019" s="24"/>
    </row>
    <row r="1020" spans="1:13">
      <c r="A1020" s="10" t="str">
        <f t="shared" si="30"/>
        <v/>
      </c>
      <c r="C1020" s="120" t="s">
        <v>284</v>
      </c>
      <c r="D1020"/>
      <c r="E1020"/>
      <c r="F1020"/>
      <c r="G1020"/>
      <c r="H1020"/>
      <c r="I1020" s="21" t="str">
        <f t="shared" si="31"/>
        <v/>
      </c>
      <c r="L1020" s="24"/>
      <c r="M1020" s="24"/>
    </row>
    <row r="1021" spans="1:13">
      <c r="A1021" s="14" t="str">
        <f t="shared" si="30"/>
        <v/>
      </c>
      <c r="C1021" s="120" t="s">
        <v>286</v>
      </c>
      <c r="D1021"/>
      <c r="E1021"/>
      <c r="F1021"/>
      <c r="G1021"/>
      <c r="H1021"/>
      <c r="I1021" s="21" t="str">
        <f t="shared" si="31"/>
        <v/>
      </c>
      <c r="L1021" s="24"/>
      <c r="M1021" s="24"/>
    </row>
    <row r="1022" spans="1:13">
      <c r="A1022" s="10" t="str">
        <f t="shared" si="30"/>
        <v/>
      </c>
      <c r="C1022" s="120" t="s">
        <v>126</v>
      </c>
      <c r="D1022"/>
      <c r="E1022"/>
      <c r="F1022"/>
      <c r="G1022"/>
      <c r="H1022"/>
      <c r="I1022" s="21" t="str">
        <f t="shared" si="31"/>
        <v/>
      </c>
      <c r="L1022" s="24"/>
      <c r="M1022" s="24"/>
    </row>
    <row r="1023" spans="1:13">
      <c r="A1023" s="14" t="str">
        <f t="shared" si="30"/>
        <v/>
      </c>
      <c r="C1023" s="120" t="s">
        <v>128</v>
      </c>
      <c r="D1023"/>
      <c r="E1023"/>
      <c r="F1023"/>
      <c r="G1023"/>
      <c r="H1023"/>
      <c r="I1023" s="21" t="str">
        <f t="shared" si="31"/>
        <v/>
      </c>
      <c r="L1023" s="24"/>
      <c r="M1023" s="24"/>
    </row>
    <row r="1024" spans="1:13">
      <c r="A1024" s="10" t="str">
        <f t="shared" si="30"/>
        <v/>
      </c>
      <c r="C1024" s="120" t="s">
        <v>280</v>
      </c>
      <c r="D1024"/>
      <c r="E1024"/>
      <c r="F1024"/>
      <c r="G1024"/>
      <c r="H1024"/>
      <c r="I1024" s="21" t="str">
        <f t="shared" si="31"/>
        <v/>
      </c>
      <c r="L1024" s="24"/>
      <c r="M1024" s="24"/>
    </row>
    <row r="1025" spans="1:13">
      <c r="A1025" s="14" t="str">
        <f t="shared" si="30"/>
        <v/>
      </c>
      <c r="C1025" s="120" t="s">
        <v>282</v>
      </c>
      <c r="D1025"/>
      <c r="E1025"/>
      <c r="F1025"/>
      <c r="G1025"/>
      <c r="H1025"/>
      <c r="I1025" s="21" t="str">
        <f t="shared" si="31"/>
        <v/>
      </c>
      <c r="L1025" s="24"/>
      <c r="M1025" s="24"/>
    </row>
    <row r="1026" spans="1:13">
      <c r="A1026" s="10" t="str">
        <f t="shared" ref="A1026:A1089" si="32">IF(B1026&lt;&gt;"",ROW()-1,"")</f>
        <v/>
      </c>
      <c r="C1026" s="120" t="s">
        <v>284</v>
      </c>
      <c r="D1026"/>
      <c r="E1026"/>
      <c r="F1026"/>
      <c r="G1026"/>
      <c r="H1026"/>
      <c r="I1026" s="21" t="str">
        <f t="shared" ref="I1026:I1089" si="33">IF(AND(G1026&lt;&gt;"",H1026&lt;&gt;""),H1026-G1026,"")</f>
        <v/>
      </c>
      <c r="L1026" s="24"/>
      <c r="M1026" s="24"/>
    </row>
    <row r="1027" spans="1:13">
      <c r="A1027" s="14" t="str">
        <f t="shared" si="32"/>
        <v/>
      </c>
      <c r="C1027" s="120" t="s">
        <v>286</v>
      </c>
      <c r="D1027"/>
      <c r="E1027"/>
      <c r="F1027"/>
      <c r="G1027"/>
      <c r="H1027"/>
      <c r="I1027" s="21" t="str">
        <f t="shared" si="33"/>
        <v/>
      </c>
      <c r="L1027" s="24"/>
      <c r="M1027" s="24"/>
    </row>
    <row r="1028" spans="1:13">
      <c r="A1028" s="10" t="str">
        <f t="shared" si="32"/>
        <v/>
      </c>
      <c r="C1028" s="120" t="s">
        <v>126</v>
      </c>
      <c r="D1028"/>
      <c r="E1028"/>
      <c r="F1028"/>
      <c r="G1028"/>
      <c r="H1028"/>
      <c r="I1028" s="21" t="str">
        <f t="shared" si="33"/>
        <v/>
      </c>
      <c r="L1028" s="24"/>
      <c r="M1028" s="24"/>
    </row>
    <row r="1029" spans="1:13">
      <c r="A1029" s="14" t="str">
        <f t="shared" si="32"/>
        <v/>
      </c>
      <c r="C1029" s="120" t="s">
        <v>128</v>
      </c>
      <c r="D1029"/>
      <c r="E1029"/>
      <c r="F1029"/>
      <c r="G1029"/>
      <c r="H1029"/>
      <c r="I1029" s="21" t="str">
        <f t="shared" si="33"/>
        <v/>
      </c>
      <c r="L1029" s="24"/>
      <c r="M1029" s="24"/>
    </row>
    <row r="1030" spans="1:13">
      <c r="A1030" s="10" t="str">
        <f t="shared" si="32"/>
        <v/>
      </c>
      <c r="C1030" s="120" t="s">
        <v>280</v>
      </c>
      <c r="D1030"/>
      <c r="E1030"/>
      <c r="F1030"/>
      <c r="G1030"/>
      <c r="H1030"/>
      <c r="I1030" s="21" t="str">
        <f t="shared" si="33"/>
        <v/>
      </c>
      <c r="L1030" s="24"/>
      <c r="M1030" s="24"/>
    </row>
    <row r="1031" spans="1:13">
      <c r="A1031" s="14" t="str">
        <f t="shared" si="32"/>
        <v/>
      </c>
      <c r="C1031" s="120" t="s">
        <v>282</v>
      </c>
      <c r="D1031"/>
      <c r="E1031"/>
      <c r="F1031"/>
      <c r="G1031"/>
      <c r="H1031"/>
      <c r="I1031" s="21" t="str">
        <f t="shared" si="33"/>
        <v/>
      </c>
      <c r="L1031" s="24"/>
      <c r="M1031" s="24"/>
    </row>
    <row r="1032" spans="1:13">
      <c r="A1032" s="10" t="str">
        <f t="shared" si="32"/>
        <v/>
      </c>
      <c r="C1032" s="120" t="s">
        <v>284</v>
      </c>
      <c r="D1032"/>
      <c r="E1032"/>
      <c r="F1032"/>
      <c r="G1032"/>
      <c r="H1032"/>
      <c r="I1032" s="21" t="str">
        <f t="shared" si="33"/>
        <v/>
      </c>
      <c r="L1032" s="24"/>
      <c r="M1032" s="24"/>
    </row>
    <row r="1033" spans="1:13">
      <c r="A1033" s="14" t="str">
        <f t="shared" si="32"/>
        <v/>
      </c>
      <c r="C1033" s="120" t="s">
        <v>286</v>
      </c>
      <c r="D1033"/>
      <c r="E1033"/>
      <c r="F1033"/>
      <c r="G1033"/>
      <c r="H1033"/>
      <c r="I1033" s="21" t="str">
        <f t="shared" si="33"/>
        <v/>
      </c>
      <c r="L1033" s="24"/>
      <c r="M1033" s="24"/>
    </row>
    <row r="1034" spans="1:13">
      <c r="A1034" s="10" t="str">
        <f t="shared" si="32"/>
        <v/>
      </c>
      <c r="C1034" s="120" t="s">
        <v>126</v>
      </c>
      <c r="D1034"/>
      <c r="E1034"/>
      <c r="F1034"/>
      <c r="G1034"/>
      <c r="H1034"/>
      <c r="I1034" s="21" t="str">
        <f t="shared" si="33"/>
        <v/>
      </c>
      <c r="L1034" s="24"/>
      <c r="M1034" s="24"/>
    </row>
    <row r="1035" spans="1:13">
      <c r="A1035" s="14" t="str">
        <f t="shared" si="32"/>
        <v/>
      </c>
      <c r="C1035" s="120" t="s">
        <v>128</v>
      </c>
      <c r="D1035"/>
      <c r="E1035"/>
      <c r="F1035"/>
      <c r="G1035"/>
      <c r="H1035"/>
      <c r="I1035" s="21" t="str">
        <f t="shared" si="33"/>
        <v/>
      </c>
      <c r="L1035" s="24"/>
      <c r="M1035" s="24"/>
    </row>
    <row r="1036" spans="1:13">
      <c r="A1036" s="10" t="str">
        <f t="shared" si="32"/>
        <v/>
      </c>
      <c r="C1036" s="120" t="s">
        <v>280</v>
      </c>
      <c r="D1036"/>
      <c r="E1036"/>
      <c r="F1036"/>
      <c r="G1036"/>
      <c r="H1036"/>
      <c r="I1036" s="21" t="str">
        <f t="shared" si="33"/>
        <v/>
      </c>
      <c r="L1036" s="24"/>
      <c r="M1036" s="24"/>
    </row>
    <row r="1037" spans="1:13">
      <c r="A1037" s="14" t="str">
        <f t="shared" si="32"/>
        <v/>
      </c>
      <c r="C1037" s="120" t="s">
        <v>282</v>
      </c>
      <c r="D1037"/>
      <c r="E1037"/>
      <c r="F1037"/>
      <c r="G1037"/>
      <c r="H1037"/>
      <c r="I1037" s="21" t="str">
        <f t="shared" si="33"/>
        <v/>
      </c>
      <c r="L1037" s="24"/>
      <c r="M1037" s="24"/>
    </row>
    <row r="1038" spans="1:13">
      <c r="A1038" s="10" t="str">
        <f t="shared" si="32"/>
        <v/>
      </c>
      <c r="C1038" s="120" t="s">
        <v>284</v>
      </c>
      <c r="D1038"/>
      <c r="E1038"/>
      <c r="F1038"/>
      <c r="G1038"/>
      <c r="H1038"/>
      <c r="I1038" s="21" t="str">
        <f t="shared" si="33"/>
        <v/>
      </c>
      <c r="L1038" s="24"/>
      <c r="M1038" s="24"/>
    </row>
    <row r="1039" spans="1:13">
      <c r="A1039" s="14" t="str">
        <f t="shared" si="32"/>
        <v/>
      </c>
      <c r="C1039" s="120" t="s">
        <v>286</v>
      </c>
      <c r="D1039"/>
      <c r="E1039"/>
      <c r="F1039"/>
      <c r="G1039"/>
      <c r="H1039"/>
      <c r="I1039" s="21" t="str">
        <f t="shared" si="33"/>
        <v/>
      </c>
      <c r="L1039" s="24"/>
      <c r="M1039" s="24"/>
    </row>
    <row r="1040" spans="1:13">
      <c r="A1040" s="10" t="str">
        <f t="shared" si="32"/>
        <v/>
      </c>
      <c r="C1040" s="120" t="s">
        <v>126</v>
      </c>
      <c r="D1040"/>
      <c r="E1040"/>
      <c r="F1040"/>
      <c r="G1040"/>
      <c r="H1040"/>
      <c r="I1040" s="21" t="str">
        <f t="shared" si="33"/>
        <v/>
      </c>
      <c r="L1040" s="24"/>
      <c r="M1040" s="24"/>
    </row>
    <row r="1041" spans="1:13">
      <c r="A1041" s="14" t="str">
        <f t="shared" si="32"/>
        <v/>
      </c>
      <c r="C1041" s="120" t="s">
        <v>128</v>
      </c>
      <c r="D1041"/>
      <c r="E1041"/>
      <c r="F1041"/>
      <c r="G1041"/>
      <c r="H1041"/>
      <c r="I1041" s="21" t="str">
        <f t="shared" si="33"/>
        <v/>
      </c>
      <c r="L1041" s="24"/>
      <c r="M1041" s="24"/>
    </row>
    <row r="1042" spans="1:13">
      <c r="A1042" s="10" t="str">
        <f t="shared" si="32"/>
        <v/>
      </c>
      <c r="C1042" s="120" t="s">
        <v>280</v>
      </c>
      <c r="D1042"/>
      <c r="E1042"/>
      <c r="F1042"/>
      <c r="G1042"/>
      <c r="H1042"/>
      <c r="I1042" s="21" t="str">
        <f t="shared" si="33"/>
        <v/>
      </c>
      <c r="L1042" s="24"/>
      <c r="M1042" s="24"/>
    </row>
    <row r="1043" spans="1:13">
      <c r="A1043" s="14" t="str">
        <f t="shared" si="32"/>
        <v/>
      </c>
      <c r="C1043" s="120" t="s">
        <v>282</v>
      </c>
      <c r="D1043"/>
      <c r="E1043"/>
      <c r="F1043"/>
      <c r="G1043"/>
      <c r="H1043"/>
      <c r="I1043" s="21" t="str">
        <f t="shared" si="33"/>
        <v/>
      </c>
      <c r="L1043" s="24"/>
      <c r="M1043" s="24"/>
    </row>
    <row r="1044" spans="1:13">
      <c r="A1044" s="10" t="str">
        <f t="shared" si="32"/>
        <v/>
      </c>
      <c r="C1044" s="120" t="s">
        <v>284</v>
      </c>
      <c r="D1044"/>
      <c r="E1044"/>
      <c r="F1044"/>
      <c r="G1044"/>
      <c r="H1044"/>
      <c r="I1044" s="21" t="str">
        <f t="shared" si="33"/>
        <v/>
      </c>
      <c r="L1044" s="24"/>
      <c r="M1044" s="24"/>
    </row>
    <row r="1045" spans="1:13">
      <c r="A1045" s="14" t="str">
        <f t="shared" si="32"/>
        <v/>
      </c>
      <c r="C1045" s="120" t="s">
        <v>286</v>
      </c>
      <c r="D1045"/>
      <c r="E1045"/>
      <c r="F1045"/>
      <c r="G1045"/>
      <c r="H1045"/>
      <c r="I1045" s="21" t="str">
        <f t="shared" si="33"/>
        <v/>
      </c>
      <c r="L1045" s="24"/>
      <c r="M1045" s="24"/>
    </row>
    <row r="1046" spans="1:13">
      <c r="A1046" s="10" t="str">
        <f t="shared" si="32"/>
        <v/>
      </c>
      <c r="C1046" s="120" t="s">
        <v>126</v>
      </c>
      <c r="D1046"/>
      <c r="E1046"/>
      <c r="F1046"/>
      <c r="G1046"/>
      <c r="H1046"/>
      <c r="I1046" s="21" t="str">
        <f t="shared" si="33"/>
        <v/>
      </c>
      <c r="L1046" s="24"/>
      <c r="M1046" s="24"/>
    </row>
    <row r="1047" spans="1:13">
      <c r="A1047" s="14" t="str">
        <f t="shared" si="32"/>
        <v/>
      </c>
      <c r="C1047" s="120" t="s">
        <v>128</v>
      </c>
      <c r="D1047"/>
      <c r="E1047"/>
      <c r="F1047"/>
      <c r="G1047"/>
      <c r="H1047"/>
      <c r="I1047" s="21" t="str">
        <f t="shared" si="33"/>
        <v/>
      </c>
      <c r="L1047" s="24"/>
      <c r="M1047" s="24"/>
    </row>
    <row r="1048" spans="1:13">
      <c r="A1048" s="10" t="str">
        <f t="shared" si="32"/>
        <v/>
      </c>
      <c r="C1048" s="120" t="s">
        <v>280</v>
      </c>
      <c r="D1048"/>
      <c r="E1048"/>
      <c r="F1048"/>
      <c r="G1048"/>
      <c r="H1048"/>
      <c r="I1048" s="21" t="str">
        <f t="shared" si="33"/>
        <v/>
      </c>
      <c r="L1048" s="24"/>
      <c r="M1048" s="24"/>
    </row>
    <row r="1049" spans="1:13">
      <c r="A1049" s="14" t="str">
        <f t="shared" si="32"/>
        <v/>
      </c>
      <c r="C1049" s="120" t="s">
        <v>282</v>
      </c>
      <c r="D1049"/>
      <c r="E1049"/>
      <c r="F1049"/>
      <c r="G1049"/>
      <c r="H1049"/>
      <c r="I1049" s="21" t="str">
        <f t="shared" si="33"/>
        <v/>
      </c>
      <c r="L1049" s="24"/>
      <c r="M1049" s="24"/>
    </row>
    <row r="1050" spans="1:13">
      <c r="A1050" s="10" t="str">
        <f t="shared" si="32"/>
        <v/>
      </c>
      <c r="C1050" s="120" t="s">
        <v>284</v>
      </c>
      <c r="D1050"/>
      <c r="E1050"/>
      <c r="F1050"/>
      <c r="G1050"/>
      <c r="H1050"/>
      <c r="I1050" s="21" t="str">
        <f t="shared" si="33"/>
        <v/>
      </c>
      <c r="L1050" s="24"/>
      <c r="M1050" s="24"/>
    </row>
    <row r="1051" spans="1:13">
      <c r="A1051" s="14" t="str">
        <f t="shared" si="32"/>
        <v/>
      </c>
      <c r="C1051" s="120" t="s">
        <v>286</v>
      </c>
      <c r="D1051"/>
      <c r="E1051"/>
      <c r="F1051"/>
      <c r="G1051"/>
      <c r="H1051"/>
      <c r="I1051" s="21" t="str">
        <f t="shared" si="33"/>
        <v/>
      </c>
      <c r="L1051" s="24"/>
      <c r="M1051" s="24"/>
    </row>
    <row r="1052" spans="1:13">
      <c r="A1052" s="10" t="str">
        <f t="shared" si="32"/>
        <v/>
      </c>
      <c r="C1052" s="120" t="s">
        <v>126</v>
      </c>
      <c r="D1052"/>
      <c r="E1052"/>
      <c r="F1052"/>
      <c r="G1052"/>
      <c r="H1052"/>
      <c r="I1052" s="21" t="str">
        <f t="shared" si="33"/>
        <v/>
      </c>
      <c r="L1052" s="24"/>
      <c r="M1052" s="24"/>
    </row>
    <row r="1053" spans="1:13">
      <c r="A1053" s="14" t="str">
        <f t="shared" si="32"/>
        <v/>
      </c>
      <c r="C1053" s="120" t="s">
        <v>128</v>
      </c>
      <c r="D1053"/>
      <c r="E1053"/>
      <c r="F1053"/>
      <c r="G1053"/>
      <c r="H1053"/>
      <c r="I1053" s="21" t="str">
        <f t="shared" si="33"/>
        <v/>
      </c>
      <c r="L1053" s="24"/>
      <c r="M1053" s="24"/>
    </row>
    <row r="1054" spans="1:13">
      <c r="A1054" s="10" t="str">
        <f t="shared" si="32"/>
        <v/>
      </c>
      <c r="C1054" s="120" t="s">
        <v>280</v>
      </c>
      <c r="D1054"/>
      <c r="E1054"/>
      <c r="F1054"/>
      <c r="G1054"/>
      <c r="H1054"/>
      <c r="I1054" s="21" t="str">
        <f t="shared" si="33"/>
        <v/>
      </c>
      <c r="L1054" s="24"/>
      <c r="M1054" s="24"/>
    </row>
    <row r="1055" spans="1:13">
      <c r="A1055" s="14" t="str">
        <f t="shared" si="32"/>
        <v/>
      </c>
      <c r="C1055" s="120" t="s">
        <v>282</v>
      </c>
      <c r="D1055"/>
      <c r="E1055"/>
      <c r="F1055"/>
      <c r="G1055"/>
      <c r="H1055"/>
      <c r="I1055" s="21" t="str">
        <f t="shared" si="33"/>
        <v/>
      </c>
      <c r="L1055" s="24"/>
      <c r="M1055" s="24"/>
    </row>
    <row r="1056" spans="1:13">
      <c r="A1056" s="10" t="str">
        <f t="shared" si="32"/>
        <v/>
      </c>
      <c r="C1056" s="120" t="s">
        <v>284</v>
      </c>
      <c r="D1056"/>
      <c r="E1056"/>
      <c r="F1056"/>
      <c r="G1056"/>
      <c r="H1056"/>
      <c r="I1056" s="21" t="str">
        <f t="shared" si="33"/>
        <v/>
      </c>
      <c r="L1056" s="24"/>
      <c r="M1056" s="24"/>
    </row>
    <row r="1057" spans="1:13">
      <c r="A1057" s="14" t="str">
        <f t="shared" si="32"/>
        <v/>
      </c>
      <c r="C1057" s="120" t="s">
        <v>286</v>
      </c>
      <c r="D1057"/>
      <c r="E1057"/>
      <c r="F1057"/>
      <c r="G1057"/>
      <c r="H1057"/>
      <c r="I1057" s="21" t="str">
        <f t="shared" si="33"/>
        <v/>
      </c>
      <c r="L1057" s="24"/>
      <c r="M1057" s="24"/>
    </row>
    <row r="1058" spans="1:13">
      <c r="A1058" s="10" t="str">
        <f t="shared" si="32"/>
        <v/>
      </c>
      <c r="C1058" s="120" t="s">
        <v>126</v>
      </c>
      <c r="D1058"/>
      <c r="E1058"/>
      <c r="F1058"/>
      <c r="G1058"/>
      <c r="H1058"/>
      <c r="I1058" s="21" t="str">
        <f t="shared" si="33"/>
        <v/>
      </c>
      <c r="L1058" s="24"/>
      <c r="M1058" s="24"/>
    </row>
    <row r="1059" spans="1:13">
      <c r="A1059" s="14" t="str">
        <f t="shared" si="32"/>
        <v/>
      </c>
      <c r="C1059" s="120" t="s">
        <v>128</v>
      </c>
      <c r="D1059"/>
      <c r="E1059"/>
      <c r="F1059"/>
      <c r="G1059"/>
      <c r="H1059"/>
      <c r="I1059" s="21" t="str">
        <f t="shared" si="33"/>
        <v/>
      </c>
      <c r="L1059" s="24"/>
      <c r="M1059" s="24"/>
    </row>
    <row r="1060" spans="1:13">
      <c r="A1060" s="10" t="str">
        <f t="shared" si="32"/>
        <v/>
      </c>
      <c r="C1060" s="120" t="s">
        <v>280</v>
      </c>
      <c r="D1060"/>
      <c r="E1060"/>
      <c r="F1060"/>
      <c r="G1060"/>
      <c r="H1060"/>
      <c r="I1060" s="21" t="str">
        <f t="shared" si="33"/>
        <v/>
      </c>
      <c r="L1060" s="24"/>
      <c r="M1060" s="24"/>
    </row>
    <row r="1061" spans="1:13">
      <c r="A1061" s="14" t="str">
        <f t="shared" si="32"/>
        <v/>
      </c>
      <c r="C1061" s="120" t="s">
        <v>282</v>
      </c>
      <c r="D1061"/>
      <c r="E1061"/>
      <c r="F1061"/>
      <c r="G1061"/>
      <c r="H1061"/>
      <c r="I1061" s="21" t="str">
        <f t="shared" si="33"/>
        <v/>
      </c>
      <c r="L1061" s="24"/>
      <c r="M1061" s="24"/>
    </row>
    <row r="1062" spans="1:13">
      <c r="A1062" s="10" t="str">
        <f t="shared" si="32"/>
        <v/>
      </c>
      <c r="C1062" s="120" t="s">
        <v>284</v>
      </c>
      <c r="D1062"/>
      <c r="E1062"/>
      <c r="F1062"/>
      <c r="G1062"/>
      <c r="H1062"/>
      <c r="I1062" s="21" t="str">
        <f t="shared" si="33"/>
        <v/>
      </c>
      <c r="L1062" s="24"/>
      <c r="M1062" s="24"/>
    </row>
    <row r="1063" spans="1:13">
      <c r="A1063" s="14" t="str">
        <f t="shared" si="32"/>
        <v/>
      </c>
      <c r="C1063" s="120" t="s">
        <v>286</v>
      </c>
      <c r="D1063"/>
      <c r="E1063"/>
      <c r="F1063"/>
      <c r="G1063"/>
      <c r="H1063"/>
      <c r="I1063" s="21" t="str">
        <f t="shared" si="33"/>
        <v/>
      </c>
      <c r="L1063" s="24"/>
      <c r="M1063" s="24"/>
    </row>
    <row r="1064" spans="1:13">
      <c r="A1064" s="10" t="str">
        <f t="shared" si="32"/>
        <v/>
      </c>
      <c r="C1064" s="120" t="s">
        <v>126</v>
      </c>
      <c r="D1064"/>
      <c r="E1064"/>
      <c r="F1064"/>
      <c r="G1064"/>
      <c r="H1064"/>
      <c r="I1064" s="21" t="str">
        <f t="shared" si="33"/>
        <v/>
      </c>
      <c r="L1064" s="24"/>
      <c r="M1064" s="24"/>
    </row>
    <row r="1065" spans="1:13">
      <c r="A1065" s="14" t="str">
        <f t="shared" si="32"/>
        <v/>
      </c>
      <c r="C1065" s="120" t="s">
        <v>128</v>
      </c>
      <c r="D1065"/>
      <c r="E1065"/>
      <c r="F1065"/>
      <c r="G1065"/>
      <c r="H1065"/>
      <c r="I1065" s="21" t="str">
        <f t="shared" si="33"/>
        <v/>
      </c>
      <c r="L1065" s="24"/>
      <c r="M1065" s="24"/>
    </row>
    <row r="1066" spans="1:13">
      <c r="A1066" s="10" t="str">
        <f t="shared" si="32"/>
        <v/>
      </c>
      <c r="C1066" s="120" t="s">
        <v>280</v>
      </c>
      <c r="D1066"/>
      <c r="E1066"/>
      <c r="F1066"/>
      <c r="G1066"/>
      <c r="H1066"/>
      <c r="I1066" s="21" t="str">
        <f t="shared" si="33"/>
        <v/>
      </c>
      <c r="L1066" s="24"/>
      <c r="M1066" s="24"/>
    </row>
    <row r="1067" spans="1:13">
      <c r="A1067" s="14" t="str">
        <f t="shared" si="32"/>
        <v/>
      </c>
      <c r="C1067" s="120" t="s">
        <v>282</v>
      </c>
      <c r="D1067"/>
      <c r="E1067"/>
      <c r="F1067"/>
      <c r="G1067"/>
      <c r="H1067"/>
      <c r="I1067" s="21" t="str">
        <f t="shared" si="33"/>
        <v/>
      </c>
      <c r="L1067" s="24"/>
      <c r="M1067" s="24"/>
    </row>
    <row r="1068" spans="1:13">
      <c r="A1068" s="10" t="str">
        <f t="shared" si="32"/>
        <v/>
      </c>
      <c r="C1068" s="120" t="s">
        <v>284</v>
      </c>
      <c r="D1068"/>
      <c r="E1068"/>
      <c r="F1068"/>
      <c r="G1068"/>
      <c r="H1068"/>
      <c r="I1068" s="21" t="str">
        <f t="shared" si="33"/>
        <v/>
      </c>
      <c r="L1068" s="24"/>
      <c r="M1068" s="24"/>
    </row>
    <row r="1069" spans="1:13">
      <c r="A1069" s="14" t="str">
        <f t="shared" si="32"/>
        <v/>
      </c>
      <c r="C1069" s="120" t="s">
        <v>286</v>
      </c>
      <c r="D1069"/>
      <c r="E1069"/>
      <c r="F1069"/>
      <c r="G1069"/>
      <c r="H1069"/>
      <c r="I1069" s="21" t="str">
        <f t="shared" si="33"/>
        <v/>
      </c>
      <c r="L1069" s="24"/>
      <c r="M1069" s="24"/>
    </row>
    <row r="1070" spans="1:13">
      <c r="A1070" s="10" t="str">
        <f t="shared" si="32"/>
        <v/>
      </c>
      <c r="C1070" s="120" t="s">
        <v>126</v>
      </c>
      <c r="D1070"/>
      <c r="E1070"/>
      <c r="F1070"/>
      <c r="G1070"/>
      <c r="H1070"/>
      <c r="I1070" s="21" t="str">
        <f t="shared" si="33"/>
        <v/>
      </c>
      <c r="L1070" s="24"/>
      <c r="M1070" s="24"/>
    </row>
    <row r="1071" spans="1:13">
      <c r="A1071" s="14" t="str">
        <f t="shared" si="32"/>
        <v/>
      </c>
      <c r="C1071" s="120" t="s">
        <v>128</v>
      </c>
      <c r="D1071"/>
      <c r="E1071"/>
      <c r="F1071"/>
      <c r="G1071"/>
      <c r="H1071"/>
      <c r="I1071" s="21" t="str">
        <f t="shared" si="33"/>
        <v/>
      </c>
      <c r="L1071" s="24"/>
      <c r="M1071" s="24"/>
    </row>
    <row r="1072" spans="1:13">
      <c r="A1072" s="10" t="str">
        <f t="shared" si="32"/>
        <v/>
      </c>
      <c r="C1072" s="120" t="s">
        <v>280</v>
      </c>
      <c r="D1072"/>
      <c r="E1072"/>
      <c r="F1072"/>
      <c r="G1072"/>
      <c r="H1072"/>
      <c r="I1072" s="21" t="str">
        <f t="shared" si="33"/>
        <v/>
      </c>
      <c r="L1072" s="24"/>
      <c r="M1072" s="24"/>
    </row>
    <row r="1073" spans="1:13">
      <c r="A1073" s="14" t="str">
        <f t="shared" si="32"/>
        <v/>
      </c>
      <c r="C1073" s="120" t="s">
        <v>282</v>
      </c>
      <c r="D1073"/>
      <c r="E1073"/>
      <c r="F1073"/>
      <c r="G1073"/>
      <c r="H1073"/>
      <c r="I1073" s="21" t="str">
        <f t="shared" si="33"/>
        <v/>
      </c>
      <c r="L1073" s="24"/>
      <c r="M1073" s="24"/>
    </row>
    <row r="1074" spans="1:13">
      <c r="A1074" s="10" t="str">
        <f t="shared" si="32"/>
        <v/>
      </c>
      <c r="C1074" s="120" t="s">
        <v>284</v>
      </c>
      <c r="D1074"/>
      <c r="E1074"/>
      <c r="F1074"/>
      <c r="G1074"/>
      <c r="H1074"/>
      <c r="I1074" s="21" t="str">
        <f t="shared" si="33"/>
        <v/>
      </c>
      <c r="L1074" s="24"/>
      <c r="M1074" s="24"/>
    </row>
    <row r="1075" spans="1:13">
      <c r="A1075" s="14" t="str">
        <f t="shared" si="32"/>
        <v/>
      </c>
      <c r="C1075" s="120" t="s">
        <v>286</v>
      </c>
      <c r="D1075"/>
      <c r="E1075"/>
      <c r="F1075"/>
      <c r="G1075"/>
      <c r="H1075"/>
      <c r="I1075" s="21" t="str">
        <f t="shared" si="33"/>
        <v/>
      </c>
      <c r="L1075" s="24"/>
      <c r="M1075" s="24"/>
    </row>
    <row r="1076" spans="1:13">
      <c r="A1076" s="10" t="str">
        <f t="shared" si="32"/>
        <v/>
      </c>
      <c r="C1076" s="120" t="s">
        <v>126</v>
      </c>
      <c r="D1076"/>
      <c r="E1076"/>
      <c r="F1076"/>
      <c r="G1076"/>
      <c r="H1076"/>
      <c r="I1076" s="21" t="str">
        <f t="shared" si="33"/>
        <v/>
      </c>
      <c r="L1076" s="24"/>
      <c r="M1076" s="24"/>
    </row>
    <row r="1077" spans="1:13">
      <c r="A1077" s="14" t="str">
        <f t="shared" si="32"/>
        <v/>
      </c>
      <c r="C1077" s="120" t="s">
        <v>128</v>
      </c>
      <c r="D1077"/>
      <c r="E1077"/>
      <c r="F1077"/>
      <c r="G1077"/>
      <c r="H1077"/>
      <c r="I1077" s="21" t="str">
        <f t="shared" si="33"/>
        <v/>
      </c>
      <c r="L1077" s="24"/>
      <c r="M1077" s="24"/>
    </row>
    <row r="1078" spans="1:13">
      <c r="A1078" s="10" t="str">
        <f t="shared" si="32"/>
        <v/>
      </c>
      <c r="C1078" s="120" t="s">
        <v>280</v>
      </c>
      <c r="D1078"/>
      <c r="E1078"/>
      <c r="F1078"/>
      <c r="G1078"/>
      <c r="H1078"/>
      <c r="I1078" s="21" t="str">
        <f t="shared" si="33"/>
        <v/>
      </c>
      <c r="L1078" s="24"/>
      <c r="M1078" s="24"/>
    </row>
    <row r="1079" spans="1:13">
      <c r="A1079" s="14" t="str">
        <f t="shared" si="32"/>
        <v/>
      </c>
      <c r="C1079" s="120" t="s">
        <v>282</v>
      </c>
      <c r="D1079"/>
      <c r="E1079"/>
      <c r="F1079"/>
      <c r="G1079"/>
      <c r="H1079"/>
      <c r="I1079" s="21" t="str">
        <f t="shared" si="33"/>
        <v/>
      </c>
      <c r="L1079" s="24"/>
      <c r="M1079" s="24"/>
    </row>
    <row r="1080" spans="1:13">
      <c r="A1080" s="10" t="str">
        <f t="shared" si="32"/>
        <v/>
      </c>
      <c r="C1080" s="120" t="s">
        <v>284</v>
      </c>
      <c r="D1080"/>
      <c r="E1080"/>
      <c r="F1080"/>
      <c r="G1080"/>
      <c r="H1080"/>
      <c r="I1080" s="21" t="str">
        <f t="shared" si="33"/>
        <v/>
      </c>
      <c r="L1080" s="24"/>
      <c r="M1080" s="24"/>
    </row>
    <row r="1081" spans="1:13">
      <c r="A1081" s="14" t="str">
        <f t="shared" si="32"/>
        <v/>
      </c>
      <c r="C1081" s="120" t="s">
        <v>286</v>
      </c>
      <c r="D1081"/>
      <c r="E1081"/>
      <c r="F1081"/>
      <c r="G1081"/>
      <c r="H1081"/>
      <c r="I1081" s="21" t="str">
        <f t="shared" si="33"/>
        <v/>
      </c>
      <c r="L1081" s="24"/>
      <c r="M1081" s="24"/>
    </row>
    <row r="1082" spans="1:13">
      <c r="A1082" s="10" t="str">
        <f t="shared" si="32"/>
        <v/>
      </c>
      <c r="C1082" s="120" t="s">
        <v>126</v>
      </c>
      <c r="D1082"/>
      <c r="E1082"/>
      <c r="F1082"/>
      <c r="G1082"/>
      <c r="H1082"/>
      <c r="I1082" s="21" t="str">
        <f t="shared" si="33"/>
        <v/>
      </c>
      <c r="L1082" s="24"/>
      <c r="M1082" s="24"/>
    </row>
    <row r="1083" spans="1:13">
      <c r="A1083" s="14" t="str">
        <f t="shared" si="32"/>
        <v/>
      </c>
      <c r="C1083" s="120" t="s">
        <v>128</v>
      </c>
      <c r="D1083"/>
      <c r="E1083"/>
      <c r="F1083"/>
      <c r="G1083"/>
      <c r="H1083"/>
      <c r="I1083" s="21" t="str">
        <f t="shared" si="33"/>
        <v/>
      </c>
      <c r="L1083" s="24"/>
      <c r="M1083" s="24"/>
    </row>
    <row r="1084" spans="1:13">
      <c r="A1084" s="10" t="str">
        <f t="shared" si="32"/>
        <v/>
      </c>
      <c r="C1084" s="120" t="s">
        <v>280</v>
      </c>
      <c r="D1084"/>
      <c r="E1084"/>
      <c r="F1084"/>
      <c r="G1084"/>
      <c r="H1084"/>
      <c r="I1084" s="21" t="str">
        <f t="shared" si="33"/>
        <v/>
      </c>
      <c r="L1084" s="24"/>
      <c r="M1084" s="24"/>
    </row>
    <row r="1085" spans="1:13">
      <c r="A1085" s="14" t="str">
        <f t="shared" si="32"/>
        <v/>
      </c>
      <c r="C1085" s="120" t="s">
        <v>282</v>
      </c>
      <c r="D1085"/>
      <c r="E1085"/>
      <c r="F1085"/>
      <c r="G1085"/>
      <c r="H1085"/>
      <c r="I1085" s="21" t="str">
        <f t="shared" si="33"/>
        <v/>
      </c>
      <c r="L1085" s="24"/>
      <c r="M1085" s="24"/>
    </row>
    <row r="1086" spans="1:13">
      <c r="A1086" s="10" t="str">
        <f t="shared" si="32"/>
        <v/>
      </c>
      <c r="C1086" s="120" t="s">
        <v>284</v>
      </c>
      <c r="D1086"/>
      <c r="E1086"/>
      <c r="F1086"/>
      <c r="G1086"/>
      <c r="H1086"/>
      <c r="I1086" s="21" t="str">
        <f t="shared" si="33"/>
        <v/>
      </c>
      <c r="L1086" s="24"/>
      <c r="M1086" s="24"/>
    </row>
    <row r="1087" spans="1:13">
      <c r="A1087" s="14" t="str">
        <f t="shared" si="32"/>
        <v/>
      </c>
      <c r="C1087" s="120" t="s">
        <v>286</v>
      </c>
      <c r="D1087"/>
      <c r="E1087"/>
      <c r="F1087"/>
      <c r="G1087"/>
      <c r="H1087"/>
      <c r="I1087" s="21" t="str">
        <f t="shared" si="33"/>
        <v/>
      </c>
      <c r="L1087" s="24"/>
      <c r="M1087" s="24"/>
    </row>
    <row r="1088" spans="1:13">
      <c r="A1088" s="10" t="str">
        <f t="shared" si="32"/>
        <v/>
      </c>
      <c r="C1088" s="120" t="s">
        <v>126</v>
      </c>
      <c r="D1088"/>
      <c r="E1088"/>
      <c r="F1088"/>
      <c r="G1088"/>
      <c r="H1088"/>
      <c r="I1088" s="21" t="str">
        <f t="shared" si="33"/>
        <v/>
      </c>
      <c r="L1088" s="24"/>
      <c r="M1088" s="24"/>
    </row>
    <row r="1089" spans="1:13">
      <c r="A1089" s="14" t="str">
        <f t="shared" si="32"/>
        <v/>
      </c>
      <c r="C1089" s="120" t="s">
        <v>128</v>
      </c>
      <c r="D1089"/>
      <c r="E1089"/>
      <c r="F1089"/>
      <c r="G1089"/>
      <c r="H1089"/>
      <c r="I1089" s="21" t="str">
        <f t="shared" si="33"/>
        <v/>
      </c>
      <c r="L1089" s="24"/>
      <c r="M1089" s="24"/>
    </row>
    <row r="1090" spans="1:13">
      <c r="A1090" s="10" t="str">
        <f t="shared" ref="A1090:A1153" si="34">IF(B1090&lt;&gt;"",ROW()-1,"")</f>
        <v/>
      </c>
      <c r="C1090" s="120" t="s">
        <v>280</v>
      </c>
      <c r="D1090"/>
      <c r="E1090"/>
      <c r="F1090"/>
      <c r="G1090"/>
      <c r="H1090"/>
      <c r="I1090" s="21" t="str">
        <f t="shared" ref="I1090:I1153" si="35">IF(AND(G1090&lt;&gt;"",H1090&lt;&gt;""),H1090-G1090,"")</f>
        <v/>
      </c>
      <c r="L1090" s="24"/>
      <c r="M1090" s="24"/>
    </row>
    <row r="1091" spans="1:13">
      <c r="A1091" s="14" t="str">
        <f t="shared" si="34"/>
        <v/>
      </c>
      <c r="C1091" s="120" t="s">
        <v>282</v>
      </c>
      <c r="D1091"/>
      <c r="E1091"/>
      <c r="F1091"/>
      <c r="G1091"/>
      <c r="H1091"/>
      <c r="I1091" s="21" t="str">
        <f t="shared" si="35"/>
        <v/>
      </c>
      <c r="L1091" s="24"/>
      <c r="M1091" s="24"/>
    </row>
    <row r="1092" spans="1:13">
      <c r="A1092" s="10" t="str">
        <f t="shared" si="34"/>
        <v/>
      </c>
      <c r="C1092" s="120" t="s">
        <v>284</v>
      </c>
      <c r="D1092"/>
      <c r="E1092"/>
      <c r="F1092"/>
      <c r="G1092"/>
      <c r="H1092"/>
      <c r="I1092" s="21" t="str">
        <f t="shared" si="35"/>
        <v/>
      </c>
      <c r="L1092" s="24"/>
      <c r="M1092" s="24"/>
    </row>
    <row r="1093" spans="1:13">
      <c r="A1093" s="14" t="str">
        <f t="shared" si="34"/>
        <v/>
      </c>
      <c r="C1093" s="120" t="s">
        <v>286</v>
      </c>
      <c r="D1093"/>
      <c r="E1093"/>
      <c r="F1093"/>
      <c r="G1093"/>
      <c r="H1093"/>
      <c r="I1093" s="21" t="str">
        <f t="shared" si="35"/>
        <v/>
      </c>
      <c r="L1093" s="24"/>
      <c r="M1093" s="24"/>
    </row>
    <row r="1094" spans="1:13">
      <c r="A1094" s="10" t="str">
        <f t="shared" si="34"/>
        <v/>
      </c>
      <c r="C1094" s="120" t="s">
        <v>126</v>
      </c>
      <c r="D1094"/>
      <c r="E1094"/>
      <c r="F1094"/>
      <c r="G1094"/>
      <c r="H1094"/>
      <c r="I1094" s="21" t="str">
        <f t="shared" si="35"/>
        <v/>
      </c>
      <c r="L1094" s="24"/>
      <c r="M1094" s="24"/>
    </row>
    <row r="1095" spans="1:13">
      <c r="A1095" s="14" t="str">
        <f t="shared" si="34"/>
        <v/>
      </c>
      <c r="C1095" s="120" t="s">
        <v>128</v>
      </c>
      <c r="D1095"/>
      <c r="E1095"/>
      <c r="F1095"/>
      <c r="G1095"/>
      <c r="H1095"/>
      <c r="I1095" s="21" t="str">
        <f t="shared" si="35"/>
        <v/>
      </c>
      <c r="L1095" s="24"/>
      <c r="M1095" s="24"/>
    </row>
    <row r="1096" spans="1:13">
      <c r="A1096" s="10" t="str">
        <f t="shared" si="34"/>
        <v/>
      </c>
      <c r="C1096" s="120" t="s">
        <v>280</v>
      </c>
      <c r="D1096"/>
      <c r="E1096"/>
      <c r="F1096"/>
      <c r="G1096"/>
      <c r="H1096"/>
      <c r="I1096" s="21" t="str">
        <f t="shared" si="35"/>
        <v/>
      </c>
      <c r="L1096" s="24"/>
      <c r="M1096" s="24"/>
    </row>
    <row r="1097" spans="1:13">
      <c r="A1097" s="14" t="str">
        <f t="shared" si="34"/>
        <v/>
      </c>
      <c r="C1097" s="120" t="s">
        <v>282</v>
      </c>
      <c r="D1097"/>
      <c r="E1097"/>
      <c r="F1097"/>
      <c r="G1097"/>
      <c r="H1097"/>
      <c r="I1097" s="21" t="str">
        <f t="shared" si="35"/>
        <v/>
      </c>
      <c r="L1097" s="24"/>
      <c r="M1097" s="24"/>
    </row>
    <row r="1098" spans="1:13">
      <c r="A1098" s="10" t="str">
        <f t="shared" si="34"/>
        <v/>
      </c>
      <c r="C1098" s="120" t="s">
        <v>284</v>
      </c>
      <c r="D1098"/>
      <c r="E1098"/>
      <c r="F1098"/>
      <c r="G1098"/>
      <c r="H1098"/>
      <c r="I1098" s="21" t="str">
        <f t="shared" si="35"/>
        <v/>
      </c>
      <c r="L1098" s="24"/>
      <c r="M1098" s="24"/>
    </row>
    <row r="1099" spans="1:13">
      <c r="A1099" s="14" t="str">
        <f t="shared" si="34"/>
        <v/>
      </c>
      <c r="C1099" s="120" t="s">
        <v>286</v>
      </c>
      <c r="D1099"/>
      <c r="E1099"/>
      <c r="F1099"/>
      <c r="G1099"/>
      <c r="H1099"/>
      <c r="I1099" s="21" t="str">
        <f t="shared" si="35"/>
        <v/>
      </c>
      <c r="L1099" s="24"/>
      <c r="M1099" s="24"/>
    </row>
    <row r="1100" spans="1:13">
      <c r="A1100" s="10" t="str">
        <f t="shared" si="34"/>
        <v/>
      </c>
      <c r="C1100" s="120" t="s">
        <v>126</v>
      </c>
      <c r="D1100"/>
      <c r="E1100"/>
      <c r="F1100"/>
      <c r="G1100"/>
      <c r="H1100"/>
      <c r="I1100" s="21" t="str">
        <f t="shared" si="35"/>
        <v/>
      </c>
      <c r="L1100" s="24"/>
      <c r="M1100" s="24"/>
    </row>
    <row r="1101" spans="1:13">
      <c r="A1101" s="14" t="str">
        <f t="shared" si="34"/>
        <v/>
      </c>
      <c r="C1101" s="120" t="s">
        <v>128</v>
      </c>
      <c r="D1101"/>
      <c r="E1101"/>
      <c r="F1101"/>
      <c r="G1101"/>
      <c r="H1101"/>
      <c r="I1101" s="21" t="str">
        <f t="shared" si="35"/>
        <v/>
      </c>
      <c r="L1101" s="24"/>
      <c r="M1101" s="24"/>
    </row>
    <row r="1102" spans="1:13">
      <c r="A1102" s="10" t="str">
        <f t="shared" si="34"/>
        <v/>
      </c>
      <c r="C1102" s="120" t="s">
        <v>280</v>
      </c>
      <c r="D1102"/>
      <c r="E1102"/>
      <c r="F1102"/>
      <c r="G1102"/>
      <c r="H1102"/>
      <c r="I1102" s="21" t="str">
        <f t="shared" si="35"/>
        <v/>
      </c>
      <c r="L1102" s="24"/>
      <c r="M1102" s="24"/>
    </row>
    <row r="1103" spans="1:13">
      <c r="A1103" s="14" t="str">
        <f t="shared" si="34"/>
        <v/>
      </c>
      <c r="C1103" s="120" t="s">
        <v>282</v>
      </c>
      <c r="D1103"/>
      <c r="E1103"/>
      <c r="F1103"/>
      <c r="G1103"/>
      <c r="H1103"/>
      <c r="I1103" s="21" t="str">
        <f t="shared" si="35"/>
        <v/>
      </c>
      <c r="L1103" s="24"/>
      <c r="M1103" s="24"/>
    </row>
    <row r="1104" spans="1:13">
      <c r="A1104" s="10" t="str">
        <f t="shared" si="34"/>
        <v/>
      </c>
      <c r="C1104" s="120" t="s">
        <v>284</v>
      </c>
      <c r="D1104"/>
      <c r="E1104"/>
      <c r="F1104"/>
      <c r="G1104"/>
      <c r="H1104"/>
      <c r="I1104" s="21" t="str">
        <f t="shared" si="35"/>
        <v/>
      </c>
      <c r="L1104" s="24"/>
      <c r="M1104" s="24"/>
    </row>
    <row r="1105" spans="1:13">
      <c r="A1105" s="14" t="str">
        <f t="shared" si="34"/>
        <v/>
      </c>
      <c r="C1105" s="120" t="s">
        <v>286</v>
      </c>
      <c r="D1105"/>
      <c r="E1105"/>
      <c r="F1105"/>
      <c r="G1105"/>
      <c r="H1105"/>
      <c r="I1105" s="21" t="str">
        <f t="shared" si="35"/>
        <v/>
      </c>
      <c r="L1105" s="24"/>
      <c r="M1105" s="24"/>
    </row>
    <row r="1106" spans="1:13">
      <c r="A1106" s="10" t="str">
        <f t="shared" si="34"/>
        <v/>
      </c>
      <c r="C1106" s="120" t="s">
        <v>126</v>
      </c>
      <c r="D1106"/>
      <c r="E1106"/>
      <c r="F1106"/>
      <c r="G1106"/>
      <c r="H1106"/>
      <c r="I1106" s="21" t="str">
        <f t="shared" si="35"/>
        <v/>
      </c>
      <c r="L1106" s="24"/>
      <c r="M1106" s="24"/>
    </row>
    <row r="1107" spans="1:13">
      <c r="A1107" s="14" t="str">
        <f t="shared" si="34"/>
        <v/>
      </c>
      <c r="C1107" s="120" t="s">
        <v>128</v>
      </c>
      <c r="D1107"/>
      <c r="E1107"/>
      <c r="F1107"/>
      <c r="G1107"/>
      <c r="H1107"/>
      <c r="I1107" s="21" t="str">
        <f t="shared" si="35"/>
        <v/>
      </c>
      <c r="L1107" s="24"/>
      <c r="M1107" s="24"/>
    </row>
    <row r="1108" spans="1:13">
      <c r="A1108" s="10" t="str">
        <f t="shared" si="34"/>
        <v/>
      </c>
      <c r="C1108" s="120" t="s">
        <v>280</v>
      </c>
      <c r="D1108"/>
      <c r="E1108"/>
      <c r="F1108"/>
      <c r="G1108"/>
      <c r="H1108"/>
      <c r="I1108" s="21" t="str">
        <f t="shared" si="35"/>
        <v/>
      </c>
      <c r="L1108" s="24"/>
      <c r="M1108" s="24"/>
    </row>
    <row r="1109" spans="1:13">
      <c r="A1109" s="14" t="str">
        <f t="shared" si="34"/>
        <v/>
      </c>
      <c r="C1109" s="120" t="s">
        <v>282</v>
      </c>
      <c r="D1109"/>
      <c r="E1109"/>
      <c r="F1109"/>
      <c r="G1109"/>
      <c r="H1109"/>
      <c r="I1109" s="21" t="str">
        <f t="shared" si="35"/>
        <v/>
      </c>
      <c r="L1109" s="24"/>
      <c r="M1109" s="24"/>
    </row>
    <row r="1110" spans="1:13">
      <c r="A1110" s="10" t="str">
        <f t="shared" si="34"/>
        <v/>
      </c>
      <c r="C1110" s="120" t="s">
        <v>284</v>
      </c>
      <c r="D1110"/>
      <c r="E1110"/>
      <c r="F1110"/>
      <c r="G1110"/>
      <c r="H1110"/>
      <c r="I1110" s="21" t="str">
        <f t="shared" si="35"/>
        <v/>
      </c>
      <c r="L1110" s="24"/>
      <c r="M1110" s="24"/>
    </row>
    <row r="1111" spans="1:13">
      <c r="A1111" s="14" t="str">
        <f t="shared" si="34"/>
        <v/>
      </c>
      <c r="C1111" s="120" t="s">
        <v>286</v>
      </c>
      <c r="D1111"/>
      <c r="E1111"/>
      <c r="F1111"/>
      <c r="G1111"/>
      <c r="H1111"/>
      <c r="I1111" s="21" t="str">
        <f t="shared" si="35"/>
        <v/>
      </c>
      <c r="L1111" s="24"/>
      <c r="M1111" s="24"/>
    </row>
    <row r="1112" spans="1:13">
      <c r="A1112" s="10" t="str">
        <f t="shared" si="34"/>
        <v/>
      </c>
      <c r="C1112" s="120" t="s">
        <v>126</v>
      </c>
      <c r="D1112"/>
      <c r="E1112"/>
      <c r="F1112"/>
      <c r="G1112"/>
      <c r="H1112"/>
      <c r="I1112" s="21" t="str">
        <f t="shared" si="35"/>
        <v/>
      </c>
      <c r="L1112" s="24"/>
      <c r="M1112" s="24"/>
    </row>
    <row r="1113" spans="1:13">
      <c r="A1113" s="14" t="str">
        <f t="shared" si="34"/>
        <v/>
      </c>
      <c r="C1113" s="120" t="s">
        <v>128</v>
      </c>
      <c r="D1113"/>
      <c r="E1113"/>
      <c r="F1113"/>
      <c r="G1113"/>
      <c r="H1113"/>
      <c r="I1113" s="21" t="str">
        <f t="shared" si="35"/>
        <v/>
      </c>
      <c r="L1113" s="24"/>
      <c r="M1113" s="24"/>
    </row>
    <row r="1114" spans="1:13">
      <c r="A1114" s="10" t="str">
        <f t="shared" si="34"/>
        <v/>
      </c>
      <c r="C1114" s="120" t="s">
        <v>280</v>
      </c>
      <c r="D1114"/>
      <c r="E1114"/>
      <c r="F1114"/>
      <c r="G1114"/>
      <c r="H1114"/>
      <c r="I1114" s="21" t="str">
        <f t="shared" si="35"/>
        <v/>
      </c>
      <c r="L1114" s="24"/>
      <c r="M1114" s="24"/>
    </row>
    <row r="1115" spans="1:13">
      <c r="A1115" s="14" t="str">
        <f t="shared" si="34"/>
        <v/>
      </c>
      <c r="C1115" s="120" t="s">
        <v>282</v>
      </c>
      <c r="D1115"/>
      <c r="E1115"/>
      <c r="F1115"/>
      <c r="G1115"/>
      <c r="H1115"/>
      <c r="I1115" s="21" t="str">
        <f t="shared" si="35"/>
        <v/>
      </c>
      <c r="L1115" s="24"/>
      <c r="M1115" s="24"/>
    </row>
    <row r="1116" spans="1:13">
      <c r="A1116" s="10" t="str">
        <f t="shared" si="34"/>
        <v/>
      </c>
      <c r="C1116" s="120" t="s">
        <v>284</v>
      </c>
      <c r="D1116"/>
      <c r="E1116"/>
      <c r="F1116"/>
      <c r="G1116"/>
      <c r="H1116"/>
      <c r="I1116" s="21" t="str">
        <f t="shared" si="35"/>
        <v/>
      </c>
      <c r="L1116" s="24"/>
      <c r="M1116" s="24"/>
    </row>
    <row r="1117" spans="1:13">
      <c r="A1117" s="14" t="str">
        <f t="shared" si="34"/>
        <v/>
      </c>
      <c r="C1117" s="120" t="s">
        <v>286</v>
      </c>
      <c r="D1117"/>
      <c r="E1117"/>
      <c r="F1117"/>
      <c r="G1117"/>
      <c r="H1117"/>
      <c r="I1117" s="21" t="str">
        <f t="shared" si="35"/>
        <v/>
      </c>
      <c r="L1117" s="24"/>
      <c r="M1117" s="24"/>
    </row>
    <row r="1118" spans="1:13">
      <c r="A1118" s="10" t="str">
        <f t="shared" si="34"/>
        <v/>
      </c>
      <c r="C1118" s="120" t="s">
        <v>126</v>
      </c>
      <c r="D1118"/>
      <c r="E1118"/>
      <c r="F1118"/>
      <c r="G1118"/>
      <c r="H1118"/>
      <c r="I1118" s="21" t="str">
        <f t="shared" si="35"/>
        <v/>
      </c>
      <c r="L1118" s="24"/>
      <c r="M1118" s="24"/>
    </row>
    <row r="1119" spans="1:13">
      <c r="A1119" s="14" t="str">
        <f t="shared" si="34"/>
        <v/>
      </c>
      <c r="C1119" s="120" t="s">
        <v>128</v>
      </c>
      <c r="D1119"/>
      <c r="E1119"/>
      <c r="F1119"/>
      <c r="G1119"/>
      <c r="H1119"/>
      <c r="I1119" s="21" t="str">
        <f t="shared" si="35"/>
        <v/>
      </c>
      <c r="L1119" s="24"/>
      <c r="M1119" s="24"/>
    </row>
    <row r="1120" spans="1:13">
      <c r="A1120" s="10" t="str">
        <f t="shared" si="34"/>
        <v/>
      </c>
      <c r="C1120" s="120" t="s">
        <v>280</v>
      </c>
      <c r="D1120"/>
      <c r="E1120"/>
      <c r="F1120"/>
      <c r="G1120"/>
      <c r="H1120"/>
      <c r="I1120" s="21" t="str">
        <f t="shared" si="35"/>
        <v/>
      </c>
      <c r="L1120" s="24"/>
      <c r="M1120" s="24"/>
    </row>
    <row r="1121" spans="1:13">
      <c r="A1121" s="14" t="str">
        <f t="shared" si="34"/>
        <v/>
      </c>
      <c r="C1121" s="120" t="s">
        <v>282</v>
      </c>
      <c r="D1121"/>
      <c r="E1121"/>
      <c r="F1121"/>
      <c r="G1121"/>
      <c r="H1121"/>
      <c r="I1121" s="21" t="str">
        <f t="shared" si="35"/>
        <v/>
      </c>
      <c r="L1121" s="24"/>
      <c r="M1121" s="24"/>
    </row>
    <row r="1122" spans="1:13">
      <c r="A1122" s="10" t="str">
        <f t="shared" si="34"/>
        <v/>
      </c>
      <c r="C1122" s="120" t="s">
        <v>284</v>
      </c>
      <c r="D1122"/>
      <c r="E1122"/>
      <c r="F1122"/>
      <c r="G1122"/>
      <c r="H1122"/>
      <c r="I1122" s="21" t="str">
        <f t="shared" si="35"/>
        <v/>
      </c>
      <c r="L1122" s="24"/>
      <c r="M1122" s="24"/>
    </row>
    <row r="1123" spans="1:13">
      <c r="A1123" s="14" t="str">
        <f t="shared" si="34"/>
        <v/>
      </c>
      <c r="C1123" s="120" t="s">
        <v>286</v>
      </c>
      <c r="D1123"/>
      <c r="E1123"/>
      <c r="F1123"/>
      <c r="G1123"/>
      <c r="H1123"/>
      <c r="I1123" s="21" t="str">
        <f t="shared" si="35"/>
        <v/>
      </c>
      <c r="L1123" s="24"/>
      <c r="M1123" s="24"/>
    </row>
    <row r="1124" spans="1:13">
      <c r="A1124" s="10" t="str">
        <f t="shared" si="34"/>
        <v/>
      </c>
      <c r="C1124" s="120" t="s">
        <v>126</v>
      </c>
      <c r="D1124"/>
      <c r="E1124"/>
      <c r="F1124"/>
      <c r="G1124"/>
      <c r="H1124"/>
      <c r="I1124" s="21" t="str">
        <f t="shared" si="35"/>
        <v/>
      </c>
      <c r="L1124" s="24"/>
      <c r="M1124" s="24"/>
    </row>
    <row r="1125" spans="1:13">
      <c r="A1125" s="14" t="str">
        <f t="shared" si="34"/>
        <v/>
      </c>
      <c r="C1125" s="120" t="s">
        <v>128</v>
      </c>
      <c r="D1125"/>
      <c r="E1125"/>
      <c r="F1125"/>
      <c r="G1125"/>
      <c r="H1125"/>
      <c r="I1125" s="21" t="str">
        <f t="shared" si="35"/>
        <v/>
      </c>
      <c r="L1125" s="24"/>
      <c r="M1125" s="24"/>
    </row>
    <row r="1126" spans="1:13">
      <c r="A1126" s="10" t="str">
        <f t="shared" si="34"/>
        <v/>
      </c>
      <c r="C1126" s="120" t="s">
        <v>280</v>
      </c>
      <c r="D1126"/>
      <c r="E1126"/>
      <c r="F1126"/>
      <c r="G1126"/>
      <c r="H1126"/>
      <c r="I1126" s="21" t="str">
        <f t="shared" si="35"/>
        <v/>
      </c>
      <c r="L1126" s="24"/>
      <c r="M1126" s="24"/>
    </row>
    <row r="1127" spans="1:13">
      <c r="A1127" s="14" t="str">
        <f t="shared" si="34"/>
        <v/>
      </c>
      <c r="C1127" s="120" t="s">
        <v>282</v>
      </c>
      <c r="D1127"/>
      <c r="E1127"/>
      <c r="F1127"/>
      <c r="G1127"/>
      <c r="H1127"/>
      <c r="I1127" s="21" t="str">
        <f t="shared" si="35"/>
        <v/>
      </c>
      <c r="L1127" s="24"/>
      <c r="M1127" s="24"/>
    </row>
    <row r="1128" spans="1:13">
      <c r="A1128" s="10" t="str">
        <f t="shared" si="34"/>
        <v/>
      </c>
      <c r="C1128" s="120" t="s">
        <v>284</v>
      </c>
      <c r="D1128"/>
      <c r="E1128"/>
      <c r="F1128"/>
      <c r="G1128"/>
      <c r="H1128"/>
      <c r="I1128" s="21" t="str">
        <f t="shared" si="35"/>
        <v/>
      </c>
      <c r="L1128" s="24"/>
      <c r="M1128" s="24"/>
    </row>
    <row r="1129" spans="1:13">
      <c r="A1129" s="14" t="str">
        <f t="shared" si="34"/>
        <v/>
      </c>
      <c r="C1129" s="120" t="s">
        <v>286</v>
      </c>
      <c r="D1129"/>
      <c r="E1129"/>
      <c r="F1129"/>
      <c r="G1129"/>
      <c r="H1129"/>
      <c r="I1129" s="21" t="str">
        <f t="shared" si="35"/>
        <v/>
      </c>
      <c r="L1129" s="24"/>
      <c r="M1129" s="24"/>
    </row>
    <row r="1130" spans="1:13">
      <c r="A1130" s="10" t="str">
        <f t="shared" si="34"/>
        <v/>
      </c>
      <c r="C1130" s="120" t="s">
        <v>126</v>
      </c>
      <c r="D1130"/>
      <c r="E1130"/>
      <c r="F1130"/>
      <c r="G1130"/>
      <c r="H1130"/>
      <c r="I1130" s="21" t="str">
        <f t="shared" si="35"/>
        <v/>
      </c>
      <c r="L1130" s="24"/>
      <c r="M1130" s="24"/>
    </row>
    <row r="1131" spans="1:13">
      <c r="A1131" s="14" t="str">
        <f t="shared" si="34"/>
        <v/>
      </c>
      <c r="C1131" s="120" t="s">
        <v>128</v>
      </c>
      <c r="D1131"/>
      <c r="E1131"/>
      <c r="F1131"/>
      <c r="G1131"/>
      <c r="H1131"/>
      <c r="I1131" s="21" t="str">
        <f t="shared" si="35"/>
        <v/>
      </c>
      <c r="L1131" s="24"/>
      <c r="M1131" s="24"/>
    </row>
    <row r="1132" spans="1:13">
      <c r="A1132" s="10" t="str">
        <f t="shared" si="34"/>
        <v/>
      </c>
      <c r="C1132" s="120" t="s">
        <v>280</v>
      </c>
      <c r="D1132"/>
      <c r="E1132"/>
      <c r="F1132"/>
      <c r="G1132"/>
      <c r="H1132"/>
      <c r="I1132" s="21" t="str">
        <f t="shared" si="35"/>
        <v/>
      </c>
      <c r="L1132" s="24"/>
      <c r="M1132" s="24"/>
    </row>
    <row r="1133" spans="1:13">
      <c r="A1133" s="14" t="str">
        <f t="shared" si="34"/>
        <v/>
      </c>
      <c r="C1133" s="120" t="s">
        <v>282</v>
      </c>
      <c r="D1133"/>
      <c r="E1133"/>
      <c r="F1133"/>
      <c r="G1133"/>
      <c r="H1133"/>
      <c r="I1133" s="21" t="str">
        <f t="shared" si="35"/>
        <v/>
      </c>
      <c r="L1133" s="24"/>
      <c r="M1133" s="24"/>
    </row>
    <row r="1134" spans="1:13">
      <c r="A1134" s="10" t="str">
        <f t="shared" si="34"/>
        <v/>
      </c>
      <c r="C1134" s="120" t="s">
        <v>284</v>
      </c>
      <c r="D1134"/>
      <c r="E1134"/>
      <c r="F1134"/>
      <c r="G1134"/>
      <c r="H1134"/>
      <c r="I1134" s="21" t="str">
        <f t="shared" si="35"/>
        <v/>
      </c>
      <c r="L1134" s="24"/>
      <c r="M1134" s="24"/>
    </row>
    <row r="1135" spans="1:13">
      <c r="A1135" s="14" t="str">
        <f t="shared" si="34"/>
        <v/>
      </c>
      <c r="C1135" s="120" t="s">
        <v>286</v>
      </c>
      <c r="D1135"/>
      <c r="E1135"/>
      <c r="F1135"/>
      <c r="G1135"/>
      <c r="H1135"/>
      <c r="I1135" s="21" t="str">
        <f t="shared" si="35"/>
        <v/>
      </c>
      <c r="L1135" s="24"/>
      <c r="M1135" s="24"/>
    </row>
    <row r="1136" spans="1:13">
      <c r="A1136" s="10" t="str">
        <f t="shared" si="34"/>
        <v/>
      </c>
      <c r="C1136" s="120" t="s">
        <v>126</v>
      </c>
      <c r="D1136"/>
      <c r="E1136"/>
      <c r="F1136"/>
      <c r="G1136"/>
      <c r="H1136"/>
      <c r="I1136" s="21" t="str">
        <f t="shared" si="35"/>
        <v/>
      </c>
      <c r="L1136" s="24"/>
      <c r="M1136" s="24"/>
    </row>
    <row r="1137" spans="1:13">
      <c r="A1137" s="14" t="str">
        <f t="shared" si="34"/>
        <v/>
      </c>
      <c r="C1137" s="120" t="s">
        <v>128</v>
      </c>
      <c r="D1137"/>
      <c r="E1137"/>
      <c r="F1137"/>
      <c r="G1137"/>
      <c r="H1137"/>
      <c r="I1137" s="21" t="str">
        <f t="shared" si="35"/>
        <v/>
      </c>
      <c r="L1137" s="24"/>
      <c r="M1137" s="24"/>
    </row>
    <row r="1138" spans="1:13">
      <c r="A1138" s="10" t="str">
        <f t="shared" si="34"/>
        <v/>
      </c>
      <c r="C1138" s="120" t="s">
        <v>280</v>
      </c>
      <c r="D1138"/>
      <c r="E1138"/>
      <c r="F1138"/>
      <c r="G1138"/>
      <c r="H1138"/>
      <c r="I1138" s="21" t="str">
        <f t="shared" si="35"/>
        <v/>
      </c>
      <c r="L1138" s="24"/>
      <c r="M1138" s="24"/>
    </row>
    <row r="1139" spans="1:13">
      <c r="A1139" s="14" t="str">
        <f t="shared" si="34"/>
        <v/>
      </c>
      <c r="C1139" s="120" t="s">
        <v>282</v>
      </c>
      <c r="D1139"/>
      <c r="E1139"/>
      <c r="F1139"/>
      <c r="G1139"/>
      <c r="H1139"/>
      <c r="I1139" s="21" t="str">
        <f t="shared" si="35"/>
        <v/>
      </c>
      <c r="L1139" s="24"/>
      <c r="M1139" s="24"/>
    </row>
    <row r="1140" spans="1:13">
      <c r="A1140" s="10" t="str">
        <f t="shared" si="34"/>
        <v/>
      </c>
      <c r="C1140" s="120" t="s">
        <v>284</v>
      </c>
      <c r="D1140"/>
      <c r="E1140"/>
      <c r="F1140"/>
      <c r="G1140"/>
      <c r="H1140"/>
      <c r="I1140" s="21" t="str">
        <f t="shared" si="35"/>
        <v/>
      </c>
      <c r="L1140" s="24"/>
      <c r="M1140" s="24"/>
    </row>
    <row r="1141" spans="1:13">
      <c r="A1141" s="14" t="str">
        <f t="shared" si="34"/>
        <v/>
      </c>
      <c r="C1141" s="120" t="s">
        <v>286</v>
      </c>
      <c r="D1141"/>
      <c r="E1141"/>
      <c r="F1141"/>
      <c r="G1141"/>
      <c r="H1141"/>
      <c r="I1141" s="21" t="str">
        <f t="shared" si="35"/>
        <v/>
      </c>
      <c r="L1141" s="24"/>
      <c r="M1141" s="24"/>
    </row>
    <row r="1142" spans="1:13">
      <c r="A1142" s="10" t="str">
        <f t="shared" si="34"/>
        <v/>
      </c>
      <c r="C1142" s="120" t="s">
        <v>126</v>
      </c>
      <c r="D1142"/>
      <c r="E1142"/>
      <c r="F1142"/>
      <c r="G1142"/>
      <c r="H1142"/>
      <c r="I1142" s="21" t="str">
        <f t="shared" si="35"/>
        <v/>
      </c>
      <c r="L1142" s="24"/>
      <c r="M1142" s="24"/>
    </row>
    <row r="1143" spans="1:13">
      <c r="A1143" s="14" t="str">
        <f t="shared" si="34"/>
        <v/>
      </c>
      <c r="C1143" s="120" t="s">
        <v>128</v>
      </c>
      <c r="D1143"/>
      <c r="E1143"/>
      <c r="F1143"/>
      <c r="G1143"/>
      <c r="H1143"/>
      <c r="I1143" s="21" t="str">
        <f t="shared" si="35"/>
        <v/>
      </c>
      <c r="L1143" s="24"/>
      <c r="M1143" s="24"/>
    </row>
    <row r="1144" spans="1:13">
      <c r="A1144" s="10" t="str">
        <f t="shared" si="34"/>
        <v/>
      </c>
      <c r="C1144" s="120" t="s">
        <v>280</v>
      </c>
      <c r="D1144"/>
      <c r="E1144"/>
      <c r="F1144"/>
      <c r="G1144"/>
      <c r="H1144"/>
      <c r="I1144" s="21" t="str">
        <f t="shared" si="35"/>
        <v/>
      </c>
      <c r="L1144" s="24"/>
      <c r="M1144" s="24"/>
    </row>
    <row r="1145" spans="1:13">
      <c r="A1145" s="14" t="str">
        <f t="shared" si="34"/>
        <v/>
      </c>
      <c r="C1145" s="120" t="s">
        <v>282</v>
      </c>
      <c r="D1145"/>
      <c r="E1145"/>
      <c r="F1145"/>
      <c r="G1145"/>
      <c r="H1145"/>
      <c r="I1145" s="21" t="str">
        <f t="shared" si="35"/>
        <v/>
      </c>
      <c r="L1145" s="24"/>
      <c r="M1145" s="24"/>
    </row>
    <row r="1146" spans="1:13">
      <c r="A1146" s="10" t="str">
        <f t="shared" si="34"/>
        <v/>
      </c>
      <c r="C1146" s="120" t="s">
        <v>284</v>
      </c>
      <c r="D1146"/>
      <c r="E1146"/>
      <c r="F1146"/>
      <c r="G1146"/>
      <c r="H1146"/>
      <c r="I1146" s="21" t="str">
        <f t="shared" si="35"/>
        <v/>
      </c>
      <c r="L1146" s="24"/>
      <c r="M1146" s="24"/>
    </row>
    <row r="1147" spans="1:13">
      <c r="A1147" s="14" t="str">
        <f t="shared" si="34"/>
        <v/>
      </c>
      <c r="C1147" s="120" t="s">
        <v>286</v>
      </c>
      <c r="D1147"/>
      <c r="E1147"/>
      <c r="F1147"/>
      <c r="G1147"/>
      <c r="H1147"/>
      <c r="I1147" s="21" t="str">
        <f t="shared" si="35"/>
        <v/>
      </c>
      <c r="L1147" s="24"/>
      <c r="M1147" s="24"/>
    </row>
    <row r="1148" spans="1:13">
      <c r="A1148" s="10" t="str">
        <f t="shared" si="34"/>
        <v/>
      </c>
      <c r="C1148" s="120" t="s">
        <v>126</v>
      </c>
      <c r="D1148"/>
      <c r="E1148"/>
      <c r="F1148"/>
      <c r="G1148"/>
      <c r="H1148"/>
      <c r="I1148" s="21" t="str">
        <f t="shared" si="35"/>
        <v/>
      </c>
      <c r="L1148" s="24"/>
      <c r="M1148" s="24"/>
    </row>
    <row r="1149" spans="1:13">
      <c r="A1149" s="14" t="str">
        <f t="shared" si="34"/>
        <v/>
      </c>
      <c r="C1149" s="120" t="s">
        <v>128</v>
      </c>
      <c r="D1149"/>
      <c r="E1149"/>
      <c r="F1149"/>
      <c r="G1149"/>
      <c r="H1149"/>
      <c r="I1149" s="21" t="str">
        <f t="shared" si="35"/>
        <v/>
      </c>
      <c r="L1149" s="24"/>
      <c r="M1149" s="24"/>
    </row>
    <row r="1150" spans="1:13">
      <c r="A1150" s="10" t="str">
        <f t="shared" si="34"/>
        <v/>
      </c>
      <c r="C1150" s="120" t="s">
        <v>280</v>
      </c>
      <c r="D1150"/>
      <c r="E1150"/>
      <c r="F1150"/>
      <c r="G1150"/>
      <c r="H1150"/>
      <c r="I1150" s="21" t="str">
        <f t="shared" si="35"/>
        <v/>
      </c>
      <c r="L1150" s="24"/>
      <c r="M1150" s="24"/>
    </row>
    <row r="1151" spans="1:13">
      <c r="A1151" s="14" t="str">
        <f t="shared" si="34"/>
        <v/>
      </c>
      <c r="C1151" s="120" t="s">
        <v>282</v>
      </c>
      <c r="D1151"/>
      <c r="E1151"/>
      <c r="F1151"/>
      <c r="G1151"/>
      <c r="H1151"/>
      <c r="I1151" s="21" t="str">
        <f t="shared" si="35"/>
        <v/>
      </c>
      <c r="L1151" s="24"/>
      <c r="M1151" s="24"/>
    </row>
    <row r="1152" spans="1:13">
      <c r="A1152" s="10" t="str">
        <f t="shared" si="34"/>
        <v/>
      </c>
      <c r="C1152" s="120" t="s">
        <v>284</v>
      </c>
      <c r="D1152"/>
      <c r="E1152"/>
      <c r="F1152"/>
      <c r="G1152"/>
      <c r="H1152"/>
      <c r="I1152" s="21" t="str">
        <f t="shared" si="35"/>
        <v/>
      </c>
      <c r="L1152" s="24"/>
      <c r="M1152" s="24"/>
    </row>
    <row r="1153" spans="1:13">
      <c r="A1153" s="14" t="str">
        <f t="shared" si="34"/>
        <v/>
      </c>
      <c r="C1153" s="120" t="s">
        <v>286</v>
      </c>
      <c r="D1153"/>
      <c r="E1153"/>
      <c r="F1153"/>
      <c r="G1153"/>
      <c r="H1153"/>
      <c r="I1153" s="21" t="str">
        <f t="shared" si="35"/>
        <v/>
      </c>
      <c r="L1153" s="24"/>
      <c r="M1153" s="24"/>
    </row>
    <row r="1154" spans="1:13">
      <c r="A1154" s="10" t="str">
        <f t="shared" ref="A1154:A1217" si="36">IF(B1154&lt;&gt;"",ROW()-1,"")</f>
        <v/>
      </c>
      <c r="C1154" s="120" t="s">
        <v>126</v>
      </c>
      <c r="D1154"/>
      <c r="E1154"/>
      <c r="F1154"/>
      <c r="G1154"/>
      <c r="H1154"/>
      <c r="I1154" s="21" t="str">
        <f t="shared" ref="I1154:I1217" si="37">IF(AND(G1154&lt;&gt;"",H1154&lt;&gt;""),H1154-G1154,"")</f>
        <v/>
      </c>
      <c r="L1154" s="24"/>
      <c r="M1154" s="24"/>
    </row>
    <row r="1155" spans="1:13">
      <c r="A1155" s="14" t="str">
        <f t="shared" si="36"/>
        <v/>
      </c>
      <c r="C1155" s="120" t="s">
        <v>128</v>
      </c>
      <c r="D1155"/>
      <c r="E1155"/>
      <c r="F1155"/>
      <c r="G1155"/>
      <c r="H1155"/>
      <c r="I1155" s="21" t="str">
        <f t="shared" si="37"/>
        <v/>
      </c>
      <c r="L1155" s="24"/>
      <c r="M1155" s="24"/>
    </row>
    <row r="1156" spans="1:13">
      <c r="A1156" s="10" t="str">
        <f t="shared" si="36"/>
        <v/>
      </c>
      <c r="C1156" s="120" t="s">
        <v>280</v>
      </c>
      <c r="D1156"/>
      <c r="E1156"/>
      <c r="F1156"/>
      <c r="G1156"/>
      <c r="H1156"/>
      <c r="I1156" s="21" t="str">
        <f t="shared" si="37"/>
        <v/>
      </c>
      <c r="L1156" s="24"/>
      <c r="M1156" s="24"/>
    </row>
    <row r="1157" spans="1:13">
      <c r="A1157" s="14" t="str">
        <f t="shared" si="36"/>
        <v/>
      </c>
      <c r="C1157" s="120" t="s">
        <v>282</v>
      </c>
      <c r="D1157"/>
      <c r="E1157"/>
      <c r="F1157"/>
      <c r="G1157"/>
      <c r="H1157"/>
      <c r="I1157" s="21" t="str">
        <f t="shared" si="37"/>
        <v/>
      </c>
      <c r="L1157" s="24"/>
      <c r="M1157" s="24"/>
    </row>
    <row r="1158" spans="1:13">
      <c r="A1158" s="10" t="str">
        <f t="shared" si="36"/>
        <v/>
      </c>
      <c r="C1158" s="120" t="s">
        <v>284</v>
      </c>
      <c r="D1158"/>
      <c r="E1158"/>
      <c r="F1158"/>
      <c r="G1158"/>
      <c r="H1158"/>
      <c r="I1158" s="21" t="str">
        <f t="shared" si="37"/>
        <v/>
      </c>
      <c r="L1158" s="24"/>
      <c r="M1158" s="24"/>
    </row>
    <row r="1159" spans="1:13">
      <c r="A1159" s="14" t="str">
        <f t="shared" si="36"/>
        <v/>
      </c>
      <c r="C1159" s="120" t="s">
        <v>286</v>
      </c>
      <c r="D1159"/>
      <c r="E1159"/>
      <c r="F1159"/>
      <c r="G1159"/>
      <c r="H1159"/>
      <c r="I1159" s="21" t="str">
        <f t="shared" si="37"/>
        <v/>
      </c>
      <c r="L1159" s="24"/>
      <c r="M1159" s="24"/>
    </row>
    <row r="1160" spans="1:13">
      <c r="A1160" s="10" t="str">
        <f t="shared" si="36"/>
        <v/>
      </c>
      <c r="C1160" s="120" t="s">
        <v>126</v>
      </c>
      <c r="D1160"/>
      <c r="E1160"/>
      <c r="F1160"/>
      <c r="G1160"/>
      <c r="H1160"/>
      <c r="I1160" s="21" t="str">
        <f t="shared" si="37"/>
        <v/>
      </c>
      <c r="L1160" s="24"/>
      <c r="M1160" s="24"/>
    </row>
    <row r="1161" spans="1:13">
      <c r="A1161" s="14" t="str">
        <f t="shared" si="36"/>
        <v/>
      </c>
      <c r="C1161" s="120" t="s">
        <v>128</v>
      </c>
      <c r="D1161"/>
      <c r="E1161"/>
      <c r="F1161"/>
      <c r="G1161"/>
      <c r="H1161"/>
      <c r="I1161" s="21" t="str">
        <f t="shared" si="37"/>
        <v/>
      </c>
      <c r="L1161" s="24"/>
      <c r="M1161" s="24"/>
    </row>
    <row r="1162" spans="1:13">
      <c r="A1162" s="10" t="str">
        <f t="shared" si="36"/>
        <v/>
      </c>
      <c r="C1162" s="120" t="s">
        <v>280</v>
      </c>
      <c r="D1162"/>
      <c r="E1162"/>
      <c r="F1162"/>
      <c r="G1162"/>
      <c r="H1162"/>
      <c r="I1162" s="21" t="str">
        <f t="shared" si="37"/>
        <v/>
      </c>
      <c r="L1162" s="24"/>
      <c r="M1162" s="24"/>
    </row>
    <row r="1163" spans="1:13">
      <c r="A1163" s="14" t="str">
        <f t="shared" si="36"/>
        <v/>
      </c>
      <c r="C1163" s="120" t="s">
        <v>282</v>
      </c>
      <c r="D1163"/>
      <c r="E1163"/>
      <c r="F1163"/>
      <c r="G1163"/>
      <c r="H1163"/>
      <c r="I1163" s="21" t="str">
        <f t="shared" si="37"/>
        <v/>
      </c>
      <c r="L1163" s="24"/>
      <c r="M1163" s="24"/>
    </row>
    <row r="1164" spans="1:13">
      <c r="A1164" s="10" t="str">
        <f t="shared" si="36"/>
        <v/>
      </c>
      <c r="C1164" s="120" t="s">
        <v>284</v>
      </c>
      <c r="D1164"/>
      <c r="E1164"/>
      <c r="F1164"/>
      <c r="G1164"/>
      <c r="H1164"/>
      <c r="I1164" s="21" t="str">
        <f t="shared" si="37"/>
        <v/>
      </c>
      <c r="L1164" s="24"/>
      <c r="M1164" s="24"/>
    </row>
    <row r="1165" spans="1:13">
      <c r="A1165" s="14" t="str">
        <f t="shared" si="36"/>
        <v/>
      </c>
      <c r="C1165" s="120" t="s">
        <v>286</v>
      </c>
      <c r="D1165"/>
      <c r="E1165"/>
      <c r="F1165"/>
      <c r="G1165"/>
      <c r="H1165"/>
      <c r="I1165" s="21" t="str">
        <f t="shared" si="37"/>
        <v/>
      </c>
      <c r="L1165" s="24"/>
      <c r="M1165" s="24"/>
    </row>
    <row r="1166" spans="1:13">
      <c r="A1166" s="10" t="str">
        <f t="shared" si="36"/>
        <v/>
      </c>
      <c r="C1166" s="120" t="s">
        <v>126</v>
      </c>
      <c r="D1166"/>
      <c r="E1166"/>
      <c r="F1166"/>
      <c r="G1166"/>
      <c r="H1166"/>
      <c r="I1166" s="21" t="str">
        <f t="shared" si="37"/>
        <v/>
      </c>
      <c r="L1166" s="24"/>
      <c r="M1166" s="24"/>
    </row>
    <row r="1167" spans="1:13">
      <c r="A1167" s="14" t="str">
        <f t="shared" si="36"/>
        <v/>
      </c>
      <c r="C1167" s="120" t="s">
        <v>128</v>
      </c>
      <c r="D1167"/>
      <c r="E1167"/>
      <c r="F1167"/>
      <c r="G1167"/>
      <c r="H1167"/>
      <c r="I1167" s="21" t="str">
        <f t="shared" si="37"/>
        <v/>
      </c>
      <c r="L1167" s="24"/>
      <c r="M1167" s="24"/>
    </row>
    <row r="1168" spans="1:13">
      <c r="A1168" s="10" t="str">
        <f t="shared" si="36"/>
        <v/>
      </c>
      <c r="C1168" s="120" t="s">
        <v>280</v>
      </c>
      <c r="D1168"/>
      <c r="E1168"/>
      <c r="F1168"/>
      <c r="G1168"/>
      <c r="H1168"/>
      <c r="I1168" s="21" t="str">
        <f t="shared" si="37"/>
        <v/>
      </c>
      <c r="L1168" s="24"/>
      <c r="M1168" s="24"/>
    </row>
    <row r="1169" spans="1:13">
      <c r="A1169" s="14" t="str">
        <f t="shared" si="36"/>
        <v/>
      </c>
      <c r="C1169" s="120" t="s">
        <v>282</v>
      </c>
      <c r="D1169"/>
      <c r="E1169"/>
      <c r="F1169"/>
      <c r="G1169"/>
      <c r="H1169"/>
      <c r="I1169" s="21" t="str">
        <f t="shared" si="37"/>
        <v/>
      </c>
      <c r="L1169" s="24"/>
      <c r="M1169" s="24"/>
    </row>
    <row r="1170" spans="1:13">
      <c r="A1170" s="10" t="str">
        <f t="shared" si="36"/>
        <v/>
      </c>
      <c r="C1170" s="120" t="s">
        <v>284</v>
      </c>
      <c r="D1170"/>
      <c r="E1170"/>
      <c r="F1170"/>
      <c r="G1170"/>
      <c r="H1170"/>
      <c r="I1170" s="21" t="str">
        <f t="shared" si="37"/>
        <v/>
      </c>
      <c r="L1170" s="24"/>
      <c r="M1170" s="24"/>
    </row>
    <row r="1171" spans="1:13">
      <c r="A1171" s="14" t="str">
        <f t="shared" si="36"/>
        <v/>
      </c>
      <c r="C1171" s="120" t="s">
        <v>286</v>
      </c>
      <c r="D1171"/>
      <c r="E1171"/>
      <c r="F1171"/>
      <c r="G1171"/>
      <c r="H1171"/>
      <c r="I1171" s="21" t="str">
        <f t="shared" si="37"/>
        <v/>
      </c>
      <c r="L1171" s="24"/>
      <c r="M1171" s="24"/>
    </row>
    <row r="1172" spans="1:13">
      <c r="A1172" s="10" t="str">
        <f t="shared" si="36"/>
        <v/>
      </c>
      <c r="C1172" s="120" t="s">
        <v>126</v>
      </c>
      <c r="D1172"/>
      <c r="E1172"/>
      <c r="F1172"/>
      <c r="G1172"/>
      <c r="H1172"/>
      <c r="I1172" s="21" t="str">
        <f t="shared" si="37"/>
        <v/>
      </c>
      <c r="L1172" s="24"/>
      <c r="M1172" s="24"/>
    </row>
    <row r="1173" spans="1:13">
      <c r="A1173" s="14" t="str">
        <f t="shared" si="36"/>
        <v/>
      </c>
      <c r="C1173" s="120" t="s">
        <v>128</v>
      </c>
      <c r="D1173"/>
      <c r="E1173"/>
      <c r="F1173"/>
      <c r="G1173"/>
      <c r="H1173"/>
      <c r="I1173" s="21" t="str">
        <f t="shared" si="37"/>
        <v/>
      </c>
      <c r="L1173" s="24"/>
      <c r="M1173" s="24"/>
    </row>
    <row r="1174" spans="1:13">
      <c r="A1174" s="10" t="str">
        <f t="shared" si="36"/>
        <v/>
      </c>
      <c r="C1174" s="120" t="s">
        <v>280</v>
      </c>
      <c r="D1174"/>
      <c r="E1174"/>
      <c r="F1174"/>
      <c r="G1174"/>
      <c r="H1174"/>
      <c r="I1174" s="21" t="str">
        <f t="shared" si="37"/>
        <v/>
      </c>
      <c r="L1174" s="24"/>
      <c r="M1174" s="24"/>
    </row>
    <row r="1175" spans="1:13">
      <c r="A1175" s="14" t="str">
        <f t="shared" si="36"/>
        <v/>
      </c>
      <c r="C1175" s="120" t="s">
        <v>282</v>
      </c>
      <c r="D1175"/>
      <c r="E1175"/>
      <c r="F1175"/>
      <c r="G1175"/>
      <c r="H1175"/>
      <c r="I1175" s="21" t="str">
        <f t="shared" si="37"/>
        <v/>
      </c>
      <c r="L1175" s="24"/>
      <c r="M1175" s="24"/>
    </row>
    <row r="1176" spans="1:13">
      <c r="A1176" s="10" t="str">
        <f t="shared" si="36"/>
        <v/>
      </c>
      <c r="C1176" s="120" t="s">
        <v>284</v>
      </c>
      <c r="D1176"/>
      <c r="E1176"/>
      <c r="F1176"/>
      <c r="G1176"/>
      <c r="H1176"/>
      <c r="I1176" s="21" t="str">
        <f t="shared" si="37"/>
        <v/>
      </c>
      <c r="L1176" s="24"/>
      <c r="M1176" s="24"/>
    </row>
    <row r="1177" spans="1:13">
      <c r="A1177" s="14" t="str">
        <f t="shared" si="36"/>
        <v/>
      </c>
      <c r="C1177" s="120" t="s">
        <v>286</v>
      </c>
      <c r="D1177"/>
      <c r="E1177"/>
      <c r="F1177"/>
      <c r="G1177"/>
      <c r="H1177"/>
      <c r="I1177" s="21" t="str">
        <f t="shared" si="37"/>
        <v/>
      </c>
      <c r="L1177" s="24"/>
      <c r="M1177" s="24"/>
    </row>
    <row r="1178" spans="1:13">
      <c r="A1178" s="10" t="str">
        <f t="shared" si="36"/>
        <v/>
      </c>
      <c r="C1178" s="120" t="s">
        <v>126</v>
      </c>
      <c r="D1178"/>
      <c r="E1178"/>
      <c r="F1178"/>
      <c r="G1178"/>
      <c r="H1178"/>
      <c r="I1178" s="21" t="str">
        <f t="shared" si="37"/>
        <v/>
      </c>
      <c r="L1178" s="24"/>
      <c r="M1178" s="24"/>
    </row>
    <row r="1179" spans="1:13">
      <c r="A1179" s="14" t="str">
        <f t="shared" si="36"/>
        <v/>
      </c>
      <c r="C1179" s="120" t="s">
        <v>128</v>
      </c>
      <c r="D1179"/>
      <c r="E1179"/>
      <c r="F1179"/>
      <c r="G1179"/>
      <c r="H1179"/>
      <c r="I1179" s="21" t="str">
        <f t="shared" si="37"/>
        <v/>
      </c>
      <c r="L1179" s="24"/>
      <c r="M1179" s="24"/>
    </row>
    <row r="1180" spans="1:13">
      <c r="A1180" s="10" t="str">
        <f t="shared" si="36"/>
        <v/>
      </c>
      <c r="C1180" s="120" t="s">
        <v>280</v>
      </c>
      <c r="D1180"/>
      <c r="E1180"/>
      <c r="F1180"/>
      <c r="G1180"/>
      <c r="H1180"/>
      <c r="I1180" s="21" t="str">
        <f t="shared" si="37"/>
        <v/>
      </c>
      <c r="L1180" s="24"/>
      <c r="M1180" s="24"/>
    </row>
    <row r="1181" spans="1:13">
      <c r="A1181" s="14" t="str">
        <f t="shared" si="36"/>
        <v/>
      </c>
      <c r="C1181" s="120" t="s">
        <v>282</v>
      </c>
      <c r="D1181"/>
      <c r="E1181"/>
      <c r="F1181"/>
      <c r="G1181"/>
      <c r="H1181"/>
      <c r="I1181" s="21" t="str">
        <f t="shared" si="37"/>
        <v/>
      </c>
      <c r="L1181" s="24"/>
      <c r="M1181" s="24"/>
    </row>
    <row r="1182" spans="1:13">
      <c r="A1182" s="10" t="str">
        <f t="shared" si="36"/>
        <v/>
      </c>
      <c r="C1182" s="120" t="s">
        <v>284</v>
      </c>
      <c r="D1182"/>
      <c r="E1182"/>
      <c r="F1182"/>
      <c r="G1182"/>
      <c r="H1182"/>
      <c r="I1182" s="21" t="str">
        <f t="shared" si="37"/>
        <v/>
      </c>
      <c r="L1182" s="24"/>
      <c r="M1182" s="24"/>
    </row>
    <row r="1183" spans="1:13">
      <c r="A1183" s="14" t="str">
        <f t="shared" si="36"/>
        <v/>
      </c>
      <c r="C1183" s="120" t="s">
        <v>286</v>
      </c>
      <c r="D1183"/>
      <c r="E1183"/>
      <c r="F1183"/>
      <c r="G1183"/>
      <c r="H1183"/>
      <c r="I1183" s="21" t="str">
        <f t="shared" si="37"/>
        <v/>
      </c>
      <c r="L1183" s="24"/>
      <c r="M1183" s="24"/>
    </row>
    <row r="1184" spans="1:13">
      <c r="A1184" s="10" t="str">
        <f t="shared" si="36"/>
        <v/>
      </c>
      <c r="C1184" s="120" t="s">
        <v>126</v>
      </c>
      <c r="D1184"/>
      <c r="E1184"/>
      <c r="F1184"/>
      <c r="G1184"/>
      <c r="H1184"/>
      <c r="I1184" s="21" t="str">
        <f t="shared" si="37"/>
        <v/>
      </c>
      <c r="L1184" s="24"/>
      <c r="M1184" s="24"/>
    </row>
    <row r="1185" spans="1:13">
      <c r="A1185" s="14" t="str">
        <f t="shared" si="36"/>
        <v/>
      </c>
      <c r="C1185" s="120" t="s">
        <v>128</v>
      </c>
      <c r="D1185"/>
      <c r="E1185"/>
      <c r="F1185"/>
      <c r="G1185"/>
      <c r="H1185"/>
      <c r="I1185" s="21" t="str">
        <f t="shared" si="37"/>
        <v/>
      </c>
      <c r="L1185" s="24"/>
      <c r="M1185" s="24"/>
    </row>
    <row r="1186" spans="1:13">
      <c r="A1186" s="10" t="str">
        <f t="shared" si="36"/>
        <v/>
      </c>
      <c r="C1186" s="120" t="s">
        <v>280</v>
      </c>
      <c r="D1186"/>
      <c r="E1186"/>
      <c r="F1186"/>
      <c r="G1186"/>
      <c r="H1186"/>
      <c r="I1186" s="21" t="str">
        <f t="shared" si="37"/>
        <v/>
      </c>
      <c r="L1186" s="24"/>
      <c r="M1186" s="24"/>
    </row>
    <row r="1187" spans="1:13">
      <c r="A1187" s="14" t="str">
        <f t="shared" si="36"/>
        <v/>
      </c>
      <c r="C1187" s="120" t="s">
        <v>282</v>
      </c>
      <c r="D1187"/>
      <c r="E1187"/>
      <c r="F1187"/>
      <c r="G1187"/>
      <c r="H1187"/>
      <c r="I1187" s="21" t="str">
        <f t="shared" si="37"/>
        <v/>
      </c>
      <c r="L1187" s="24"/>
      <c r="M1187" s="24"/>
    </row>
    <row r="1188" spans="1:13">
      <c r="A1188" s="10" t="str">
        <f t="shared" si="36"/>
        <v/>
      </c>
      <c r="C1188" s="120" t="s">
        <v>284</v>
      </c>
      <c r="D1188"/>
      <c r="E1188"/>
      <c r="F1188"/>
      <c r="G1188"/>
      <c r="H1188"/>
      <c r="I1188" s="21" t="str">
        <f t="shared" si="37"/>
        <v/>
      </c>
      <c r="L1188" s="24"/>
      <c r="M1188" s="24"/>
    </row>
    <row r="1189" spans="1:13">
      <c r="A1189" s="14" t="str">
        <f t="shared" si="36"/>
        <v/>
      </c>
      <c r="C1189" s="120" t="s">
        <v>286</v>
      </c>
      <c r="D1189"/>
      <c r="E1189"/>
      <c r="F1189"/>
      <c r="G1189"/>
      <c r="H1189"/>
      <c r="I1189" s="21" t="str">
        <f t="shared" si="37"/>
        <v/>
      </c>
      <c r="L1189" s="24"/>
      <c r="M1189" s="24"/>
    </row>
    <row r="1190" spans="1:13">
      <c r="A1190" s="10" t="str">
        <f t="shared" si="36"/>
        <v/>
      </c>
      <c r="C1190" s="120" t="s">
        <v>126</v>
      </c>
      <c r="D1190"/>
      <c r="E1190"/>
      <c r="F1190"/>
      <c r="G1190"/>
      <c r="H1190"/>
      <c r="I1190" s="21" t="str">
        <f t="shared" si="37"/>
        <v/>
      </c>
      <c r="L1190" s="24"/>
      <c r="M1190" s="24"/>
    </row>
    <row r="1191" spans="1:13">
      <c r="A1191" s="14" t="str">
        <f t="shared" si="36"/>
        <v/>
      </c>
      <c r="C1191" s="120" t="s">
        <v>128</v>
      </c>
      <c r="D1191"/>
      <c r="E1191"/>
      <c r="F1191"/>
      <c r="G1191"/>
      <c r="H1191"/>
      <c r="I1191" s="21" t="str">
        <f t="shared" si="37"/>
        <v/>
      </c>
      <c r="L1191" s="24"/>
      <c r="M1191" s="24"/>
    </row>
    <row r="1192" spans="1:13">
      <c r="A1192" s="10" t="str">
        <f t="shared" si="36"/>
        <v/>
      </c>
      <c r="C1192" s="120" t="s">
        <v>280</v>
      </c>
      <c r="D1192"/>
      <c r="E1192"/>
      <c r="F1192"/>
      <c r="G1192"/>
      <c r="H1192"/>
      <c r="I1192" s="21" t="str">
        <f t="shared" si="37"/>
        <v/>
      </c>
      <c r="L1192" s="24"/>
      <c r="M1192" s="24"/>
    </row>
    <row r="1193" spans="1:13">
      <c r="A1193" s="14" t="str">
        <f t="shared" si="36"/>
        <v/>
      </c>
      <c r="C1193" s="120" t="s">
        <v>282</v>
      </c>
      <c r="D1193"/>
      <c r="E1193"/>
      <c r="F1193"/>
      <c r="G1193"/>
      <c r="H1193"/>
      <c r="I1193" s="21" t="str">
        <f t="shared" si="37"/>
        <v/>
      </c>
      <c r="L1193" s="24"/>
      <c r="M1193" s="24"/>
    </row>
    <row r="1194" spans="1:13">
      <c r="A1194" s="10" t="str">
        <f t="shared" si="36"/>
        <v/>
      </c>
      <c r="C1194" s="120" t="s">
        <v>284</v>
      </c>
      <c r="D1194"/>
      <c r="E1194"/>
      <c r="F1194"/>
      <c r="G1194"/>
      <c r="H1194"/>
      <c r="I1194" s="21" t="str">
        <f t="shared" si="37"/>
        <v/>
      </c>
      <c r="L1194" s="24"/>
      <c r="M1194" s="24"/>
    </row>
    <row r="1195" spans="1:13">
      <c r="A1195" s="14" t="str">
        <f t="shared" si="36"/>
        <v/>
      </c>
      <c r="C1195" s="120" t="s">
        <v>286</v>
      </c>
      <c r="D1195"/>
      <c r="E1195"/>
      <c r="F1195"/>
      <c r="G1195"/>
      <c r="H1195"/>
      <c r="I1195" s="21" t="str">
        <f t="shared" si="37"/>
        <v/>
      </c>
      <c r="L1195" s="24"/>
      <c r="M1195" s="24"/>
    </row>
    <row r="1196" spans="1:13">
      <c r="A1196" s="10" t="str">
        <f t="shared" si="36"/>
        <v/>
      </c>
      <c r="C1196" s="120" t="s">
        <v>126</v>
      </c>
      <c r="D1196"/>
      <c r="E1196"/>
      <c r="F1196"/>
      <c r="G1196"/>
      <c r="H1196"/>
      <c r="I1196" s="21" t="str">
        <f t="shared" si="37"/>
        <v/>
      </c>
      <c r="L1196" s="24"/>
      <c r="M1196" s="24"/>
    </row>
    <row r="1197" spans="1:13">
      <c r="A1197" s="14" t="str">
        <f t="shared" si="36"/>
        <v/>
      </c>
      <c r="C1197" s="120" t="s">
        <v>128</v>
      </c>
      <c r="D1197"/>
      <c r="E1197"/>
      <c r="F1197"/>
      <c r="G1197"/>
      <c r="H1197"/>
      <c r="I1197" s="21" t="str">
        <f t="shared" si="37"/>
        <v/>
      </c>
      <c r="L1197" s="24"/>
      <c r="M1197" s="24"/>
    </row>
    <row r="1198" spans="1:13">
      <c r="A1198" s="10" t="str">
        <f t="shared" si="36"/>
        <v/>
      </c>
      <c r="C1198" s="120" t="s">
        <v>280</v>
      </c>
      <c r="D1198"/>
      <c r="E1198"/>
      <c r="F1198"/>
      <c r="G1198"/>
      <c r="H1198"/>
      <c r="I1198" s="21" t="str">
        <f t="shared" si="37"/>
        <v/>
      </c>
      <c r="L1198" s="24"/>
      <c r="M1198" s="24"/>
    </row>
    <row r="1199" spans="1:13">
      <c r="A1199" s="14" t="str">
        <f t="shared" si="36"/>
        <v/>
      </c>
      <c r="C1199" s="120" t="s">
        <v>282</v>
      </c>
      <c r="D1199"/>
      <c r="E1199"/>
      <c r="F1199"/>
      <c r="G1199"/>
      <c r="H1199"/>
      <c r="I1199" s="21" t="str">
        <f t="shared" si="37"/>
        <v/>
      </c>
      <c r="L1199" s="24"/>
      <c r="M1199" s="24"/>
    </row>
    <row r="1200" spans="1:13">
      <c r="A1200" s="10" t="str">
        <f t="shared" si="36"/>
        <v/>
      </c>
      <c r="C1200" s="120" t="s">
        <v>284</v>
      </c>
      <c r="D1200"/>
      <c r="E1200"/>
      <c r="F1200"/>
      <c r="G1200"/>
      <c r="H1200"/>
      <c r="I1200" s="21" t="str">
        <f t="shared" si="37"/>
        <v/>
      </c>
      <c r="L1200" s="24"/>
      <c r="M1200" s="24"/>
    </row>
    <row r="1201" spans="1:13">
      <c r="A1201" s="14" t="str">
        <f t="shared" si="36"/>
        <v/>
      </c>
      <c r="C1201" s="120" t="s">
        <v>286</v>
      </c>
      <c r="D1201"/>
      <c r="E1201"/>
      <c r="F1201"/>
      <c r="G1201"/>
      <c r="H1201"/>
      <c r="I1201" s="21" t="str">
        <f t="shared" si="37"/>
        <v/>
      </c>
      <c r="L1201" s="24"/>
      <c r="M1201" s="24"/>
    </row>
    <row r="1202" spans="1:13">
      <c r="A1202" s="10" t="str">
        <f t="shared" si="36"/>
        <v/>
      </c>
      <c r="C1202" s="120" t="s">
        <v>126</v>
      </c>
      <c r="D1202"/>
      <c r="E1202"/>
      <c r="F1202"/>
      <c r="G1202"/>
      <c r="H1202"/>
      <c r="I1202" s="21" t="str">
        <f t="shared" si="37"/>
        <v/>
      </c>
      <c r="L1202" s="24"/>
      <c r="M1202" s="24"/>
    </row>
    <row r="1203" spans="1:13">
      <c r="A1203" s="14" t="str">
        <f t="shared" si="36"/>
        <v/>
      </c>
      <c r="C1203" s="120" t="s">
        <v>128</v>
      </c>
      <c r="D1203"/>
      <c r="E1203"/>
      <c r="F1203"/>
      <c r="G1203"/>
      <c r="H1203"/>
      <c r="I1203" s="21" t="str">
        <f t="shared" si="37"/>
        <v/>
      </c>
      <c r="L1203" s="24"/>
      <c r="M1203" s="24"/>
    </row>
    <row r="1204" spans="1:13">
      <c r="A1204" s="10" t="str">
        <f t="shared" si="36"/>
        <v/>
      </c>
      <c r="C1204" s="120" t="s">
        <v>280</v>
      </c>
      <c r="D1204"/>
      <c r="E1204"/>
      <c r="F1204"/>
      <c r="G1204"/>
      <c r="H1204"/>
      <c r="I1204" s="21" t="str">
        <f t="shared" si="37"/>
        <v/>
      </c>
      <c r="L1204" s="24"/>
      <c r="M1204" s="24"/>
    </row>
    <row r="1205" spans="1:13">
      <c r="A1205" s="14" t="str">
        <f t="shared" si="36"/>
        <v/>
      </c>
      <c r="C1205" s="120" t="s">
        <v>282</v>
      </c>
      <c r="D1205"/>
      <c r="E1205"/>
      <c r="F1205"/>
      <c r="G1205"/>
      <c r="H1205"/>
      <c r="I1205" s="21" t="str">
        <f t="shared" si="37"/>
        <v/>
      </c>
      <c r="L1205" s="24"/>
      <c r="M1205" s="24"/>
    </row>
    <row r="1206" spans="1:13">
      <c r="A1206" s="10" t="str">
        <f t="shared" si="36"/>
        <v/>
      </c>
      <c r="C1206" s="120" t="s">
        <v>284</v>
      </c>
      <c r="D1206"/>
      <c r="E1206"/>
      <c r="F1206"/>
      <c r="G1206"/>
      <c r="H1206"/>
      <c r="I1206" s="21" t="str">
        <f t="shared" si="37"/>
        <v/>
      </c>
      <c r="L1206" s="24"/>
      <c r="M1206" s="24"/>
    </row>
    <row r="1207" spans="1:13">
      <c r="A1207" s="14" t="str">
        <f t="shared" si="36"/>
        <v/>
      </c>
      <c r="C1207" s="120" t="s">
        <v>286</v>
      </c>
      <c r="D1207"/>
      <c r="E1207"/>
      <c r="F1207"/>
      <c r="G1207"/>
      <c r="H1207"/>
      <c r="I1207" s="21" t="str">
        <f t="shared" si="37"/>
        <v/>
      </c>
      <c r="L1207" s="24"/>
      <c r="M1207" s="24"/>
    </row>
    <row r="1208" spans="1:13">
      <c r="A1208" s="10" t="str">
        <f t="shared" si="36"/>
        <v/>
      </c>
      <c r="C1208" s="120" t="s">
        <v>126</v>
      </c>
      <c r="D1208"/>
      <c r="E1208"/>
      <c r="F1208"/>
      <c r="G1208"/>
      <c r="H1208"/>
      <c r="I1208" s="21" t="str">
        <f t="shared" si="37"/>
        <v/>
      </c>
      <c r="L1208" s="24"/>
      <c r="M1208" s="24"/>
    </row>
    <row r="1209" spans="1:13">
      <c r="A1209" s="14" t="str">
        <f t="shared" si="36"/>
        <v/>
      </c>
      <c r="C1209" s="120" t="s">
        <v>128</v>
      </c>
      <c r="D1209"/>
      <c r="E1209"/>
      <c r="F1209"/>
      <c r="G1209"/>
      <c r="H1209"/>
      <c r="I1209" s="21" t="str">
        <f t="shared" si="37"/>
        <v/>
      </c>
      <c r="L1209" s="24"/>
      <c r="M1209" s="24"/>
    </row>
    <row r="1210" spans="1:13">
      <c r="A1210" s="10" t="str">
        <f t="shared" si="36"/>
        <v/>
      </c>
      <c r="C1210" s="120" t="s">
        <v>280</v>
      </c>
      <c r="D1210"/>
      <c r="E1210"/>
      <c r="F1210"/>
      <c r="G1210"/>
      <c r="H1210"/>
      <c r="I1210" s="21" t="str">
        <f t="shared" si="37"/>
        <v/>
      </c>
      <c r="L1210" s="24"/>
      <c r="M1210" s="24"/>
    </row>
    <row r="1211" spans="1:13">
      <c r="A1211" s="14" t="str">
        <f t="shared" si="36"/>
        <v/>
      </c>
      <c r="C1211" s="120" t="s">
        <v>282</v>
      </c>
      <c r="D1211"/>
      <c r="E1211"/>
      <c r="F1211"/>
      <c r="G1211"/>
      <c r="H1211"/>
      <c r="I1211" s="21" t="str">
        <f t="shared" si="37"/>
        <v/>
      </c>
      <c r="L1211" s="24"/>
      <c r="M1211" s="24"/>
    </row>
    <row r="1212" spans="1:13">
      <c r="A1212" s="10" t="str">
        <f t="shared" si="36"/>
        <v/>
      </c>
      <c r="C1212" s="120" t="s">
        <v>284</v>
      </c>
      <c r="D1212"/>
      <c r="E1212"/>
      <c r="F1212"/>
      <c r="G1212"/>
      <c r="H1212"/>
      <c r="I1212" s="21" t="str">
        <f t="shared" si="37"/>
        <v/>
      </c>
      <c r="L1212" s="24"/>
      <c r="M1212" s="24"/>
    </row>
    <row r="1213" spans="1:13">
      <c r="A1213" s="14" t="str">
        <f t="shared" si="36"/>
        <v/>
      </c>
      <c r="C1213" s="120" t="s">
        <v>286</v>
      </c>
      <c r="D1213"/>
      <c r="E1213"/>
      <c r="F1213"/>
      <c r="G1213"/>
      <c r="H1213"/>
      <c r="I1213" s="21" t="str">
        <f t="shared" si="37"/>
        <v/>
      </c>
      <c r="L1213" s="24"/>
      <c r="M1213" s="24"/>
    </row>
    <row r="1214" spans="1:13">
      <c r="A1214" s="10" t="str">
        <f t="shared" si="36"/>
        <v/>
      </c>
      <c r="C1214" s="120" t="s">
        <v>126</v>
      </c>
      <c r="D1214"/>
      <c r="E1214"/>
      <c r="F1214"/>
      <c r="G1214"/>
      <c r="H1214"/>
      <c r="I1214" s="21" t="str">
        <f t="shared" si="37"/>
        <v/>
      </c>
      <c r="L1214" s="24"/>
      <c r="M1214" s="24"/>
    </row>
    <row r="1215" spans="1:13">
      <c r="A1215" s="14" t="str">
        <f t="shared" si="36"/>
        <v/>
      </c>
      <c r="C1215" s="120" t="s">
        <v>128</v>
      </c>
      <c r="D1215"/>
      <c r="E1215"/>
      <c r="F1215"/>
      <c r="G1215"/>
      <c r="H1215"/>
      <c r="I1215" s="21" t="str">
        <f t="shared" si="37"/>
        <v/>
      </c>
      <c r="L1215" s="24"/>
      <c r="M1215" s="24"/>
    </row>
    <row r="1216" spans="1:13">
      <c r="A1216" s="10" t="str">
        <f t="shared" si="36"/>
        <v/>
      </c>
      <c r="C1216" s="120" t="s">
        <v>280</v>
      </c>
      <c r="D1216"/>
      <c r="E1216"/>
      <c r="F1216"/>
      <c r="G1216"/>
      <c r="H1216"/>
      <c r="I1216" s="21" t="str">
        <f t="shared" si="37"/>
        <v/>
      </c>
      <c r="L1216" s="24"/>
      <c r="M1216" s="24"/>
    </row>
    <row r="1217" spans="1:13">
      <c r="A1217" s="14" t="str">
        <f t="shared" si="36"/>
        <v/>
      </c>
      <c r="C1217" s="120" t="s">
        <v>282</v>
      </c>
      <c r="D1217"/>
      <c r="E1217"/>
      <c r="F1217"/>
      <c r="G1217"/>
      <c r="H1217"/>
      <c r="I1217" s="21" t="str">
        <f t="shared" si="37"/>
        <v/>
      </c>
      <c r="L1217" s="24"/>
      <c r="M1217" s="24"/>
    </row>
    <row r="1218" spans="1:13">
      <c r="A1218" s="10" t="str">
        <f t="shared" ref="A1218:A1281" si="38">IF(B1218&lt;&gt;"",ROW()-1,"")</f>
        <v/>
      </c>
      <c r="C1218" s="120" t="s">
        <v>284</v>
      </c>
      <c r="D1218"/>
      <c r="E1218"/>
      <c r="F1218"/>
      <c r="G1218"/>
      <c r="H1218"/>
      <c r="I1218" s="21" t="str">
        <f t="shared" ref="I1218:I1281" si="39">IF(AND(G1218&lt;&gt;"",H1218&lt;&gt;""),H1218-G1218,"")</f>
        <v/>
      </c>
      <c r="L1218" s="24"/>
      <c r="M1218" s="24"/>
    </row>
    <row r="1219" spans="1:13">
      <c r="A1219" s="14" t="str">
        <f t="shared" si="38"/>
        <v/>
      </c>
      <c r="C1219" s="120" t="s">
        <v>286</v>
      </c>
      <c r="D1219"/>
      <c r="E1219"/>
      <c r="F1219"/>
      <c r="G1219"/>
      <c r="H1219"/>
      <c r="I1219" s="21" t="str">
        <f t="shared" si="39"/>
        <v/>
      </c>
      <c r="L1219" s="24"/>
      <c r="M1219" s="24"/>
    </row>
    <row r="1220" spans="1:13">
      <c r="A1220" s="10" t="str">
        <f t="shared" si="38"/>
        <v/>
      </c>
      <c r="C1220" s="120" t="s">
        <v>126</v>
      </c>
      <c r="D1220"/>
      <c r="E1220"/>
      <c r="F1220"/>
      <c r="G1220"/>
      <c r="H1220"/>
      <c r="I1220" s="21" t="str">
        <f t="shared" si="39"/>
        <v/>
      </c>
      <c r="L1220" s="24"/>
      <c r="M1220" s="24"/>
    </row>
    <row r="1221" spans="1:13">
      <c r="A1221" s="14" t="str">
        <f t="shared" si="38"/>
        <v/>
      </c>
      <c r="C1221" s="120" t="s">
        <v>128</v>
      </c>
      <c r="D1221"/>
      <c r="E1221"/>
      <c r="F1221"/>
      <c r="G1221"/>
      <c r="H1221"/>
      <c r="I1221" s="21" t="str">
        <f t="shared" si="39"/>
        <v/>
      </c>
      <c r="L1221" s="24"/>
      <c r="M1221" s="24"/>
    </row>
    <row r="1222" spans="1:13">
      <c r="A1222" s="10" t="str">
        <f t="shared" si="38"/>
        <v/>
      </c>
      <c r="C1222" s="120" t="s">
        <v>280</v>
      </c>
      <c r="D1222"/>
      <c r="E1222"/>
      <c r="F1222"/>
      <c r="G1222"/>
      <c r="H1222"/>
      <c r="I1222" s="21" t="str">
        <f t="shared" si="39"/>
        <v/>
      </c>
      <c r="L1222" s="24"/>
      <c r="M1222" s="24"/>
    </row>
    <row r="1223" spans="1:13">
      <c r="A1223" s="14" t="str">
        <f t="shared" si="38"/>
        <v/>
      </c>
      <c r="C1223" s="120" t="s">
        <v>282</v>
      </c>
      <c r="D1223"/>
      <c r="E1223"/>
      <c r="F1223"/>
      <c r="G1223"/>
      <c r="H1223"/>
      <c r="I1223" s="21" t="str">
        <f t="shared" si="39"/>
        <v/>
      </c>
      <c r="L1223" s="24"/>
      <c r="M1223" s="24"/>
    </row>
    <row r="1224" spans="1:13">
      <c r="A1224" s="10" t="str">
        <f t="shared" si="38"/>
        <v/>
      </c>
      <c r="C1224" s="120" t="s">
        <v>284</v>
      </c>
      <c r="D1224"/>
      <c r="E1224"/>
      <c r="F1224"/>
      <c r="G1224"/>
      <c r="H1224"/>
      <c r="I1224" s="21" t="str">
        <f t="shared" si="39"/>
        <v/>
      </c>
      <c r="L1224" s="24"/>
      <c r="M1224" s="24"/>
    </row>
    <row r="1225" spans="1:13">
      <c r="A1225" s="14" t="str">
        <f t="shared" si="38"/>
        <v/>
      </c>
      <c r="C1225" s="120" t="s">
        <v>286</v>
      </c>
      <c r="D1225"/>
      <c r="E1225"/>
      <c r="F1225"/>
      <c r="G1225"/>
      <c r="H1225"/>
      <c r="I1225" s="21" t="str">
        <f t="shared" si="39"/>
        <v/>
      </c>
      <c r="L1225" s="24"/>
      <c r="M1225" s="24"/>
    </row>
    <row r="1226" spans="1:13">
      <c r="A1226" s="10" t="str">
        <f t="shared" si="38"/>
        <v/>
      </c>
      <c r="C1226" s="120" t="s">
        <v>126</v>
      </c>
      <c r="D1226"/>
      <c r="E1226"/>
      <c r="F1226"/>
      <c r="G1226"/>
      <c r="H1226"/>
      <c r="I1226" s="21" t="str">
        <f t="shared" si="39"/>
        <v/>
      </c>
      <c r="L1226" s="24"/>
      <c r="M1226" s="24"/>
    </row>
    <row r="1227" spans="1:13">
      <c r="A1227" s="14" t="str">
        <f t="shared" si="38"/>
        <v/>
      </c>
      <c r="C1227" s="120" t="s">
        <v>128</v>
      </c>
      <c r="D1227"/>
      <c r="E1227"/>
      <c r="F1227"/>
      <c r="G1227"/>
      <c r="H1227"/>
      <c r="I1227" s="21" t="str">
        <f t="shared" si="39"/>
        <v/>
      </c>
      <c r="L1227" s="24"/>
      <c r="M1227" s="24"/>
    </row>
    <row r="1228" spans="1:13">
      <c r="A1228" s="10" t="str">
        <f t="shared" si="38"/>
        <v/>
      </c>
      <c r="C1228" s="120" t="s">
        <v>280</v>
      </c>
      <c r="D1228"/>
      <c r="E1228"/>
      <c r="F1228"/>
      <c r="G1228"/>
      <c r="H1228"/>
      <c r="I1228" s="21" t="str">
        <f t="shared" si="39"/>
        <v/>
      </c>
      <c r="L1228" s="24"/>
      <c r="M1228" s="24"/>
    </row>
    <row r="1229" spans="1:13">
      <c r="A1229" s="14" t="str">
        <f t="shared" si="38"/>
        <v/>
      </c>
      <c r="C1229" s="120" t="s">
        <v>282</v>
      </c>
      <c r="D1229"/>
      <c r="E1229"/>
      <c r="F1229"/>
      <c r="G1229"/>
      <c r="H1229"/>
      <c r="I1229" s="21" t="str">
        <f t="shared" si="39"/>
        <v/>
      </c>
      <c r="L1229" s="24"/>
      <c r="M1229" s="24"/>
    </row>
    <row r="1230" spans="1:13">
      <c r="A1230" s="10" t="str">
        <f t="shared" si="38"/>
        <v/>
      </c>
      <c r="C1230" s="120" t="s">
        <v>284</v>
      </c>
      <c r="D1230"/>
      <c r="E1230"/>
      <c r="F1230"/>
      <c r="G1230"/>
      <c r="H1230"/>
      <c r="I1230" s="21" t="str">
        <f t="shared" si="39"/>
        <v/>
      </c>
      <c r="L1230" s="24"/>
      <c r="M1230" s="24"/>
    </row>
    <row r="1231" spans="1:13">
      <c r="A1231" s="14" t="str">
        <f t="shared" si="38"/>
        <v/>
      </c>
      <c r="C1231" s="120" t="s">
        <v>286</v>
      </c>
      <c r="D1231"/>
      <c r="E1231"/>
      <c r="F1231"/>
      <c r="G1231"/>
      <c r="H1231"/>
      <c r="I1231" s="21" t="str">
        <f t="shared" si="39"/>
        <v/>
      </c>
      <c r="L1231" s="24"/>
      <c r="M1231" s="24"/>
    </row>
    <row r="1232" spans="1:13">
      <c r="A1232" s="10" t="str">
        <f t="shared" si="38"/>
        <v/>
      </c>
      <c r="C1232" s="120" t="s">
        <v>126</v>
      </c>
      <c r="D1232"/>
      <c r="E1232"/>
      <c r="F1232"/>
      <c r="G1232"/>
      <c r="H1232"/>
      <c r="I1232" s="21" t="str">
        <f t="shared" si="39"/>
        <v/>
      </c>
      <c r="L1232" s="24"/>
      <c r="M1232" s="24"/>
    </row>
    <row r="1233" spans="1:13">
      <c r="A1233" s="14" t="str">
        <f t="shared" si="38"/>
        <v/>
      </c>
      <c r="C1233" s="120" t="s">
        <v>128</v>
      </c>
      <c r="D1233"/>
      <c r="E1233"/>
      <c r="F1233"/>
      <c r="G1233"/>
      <c r="H1233"/>
      <c r="I1233" s="21" t="str">
        <f t="shared" si="39"/>
        <v/>
      </c>
      <c r="L1233" s="24"/>
      <c r="M1233" s="24"/>
    </row>
    <row r="1234" spans="1:13">
      <c r="A1234" s="10" t="str">
        <f t="shared" si="38"/>
        <v/>
      </c>
      <c r="C1234" s="120" t="s">
        <v>280</v>
      </c>
      <c r="D1234"/>
      <c r="E1234"/>
      <c r="F1234"/>
      <c r="G1234"/>
      <c r="H1234"/>
      <c r="I1234" s="21" t="str">
        <f t="shared" si="39"/>
        <v/>
      </c>
      <c r="L1234" s="24"/>
      <c r="M1234" s="24"/>
    </row>
    <row r="1235" spans="1:13">
      <c r="A1235" s="14" t="str">
        <f t="shared" si="38"/>
        <v/>
      </c>
      <c r="C1235" s="120" t="s">
        <v>282</v>
      </c>
      <c r="D1235"/>
      <c r="E1235"/>
      <c r="F1235"/>
      <c r="G1235"/>
      <c r="H1235"/>
      <c r="I1235" s="21" t="str">
        <f t="shared" si="39"/>
        <v/>
      </c>
      <c r="L1235" s="24"/>
      <c r="M1235" s="24"/>
    </row>
    <row r="1236" spans="1:13">
      <c r="A1236" s="10" t="str">
        <f t="shared" si="38"/>
        <v/>
      </c>
      <c r="C1236" s="120" t="s">
        <v>284</v>
      </c>
      <c r="D1236"/>
      <c r="E1236"/>
      <c r="F1236"/>
      <c r="G1236"/>
      <c r="H1236"/>
      <c r="I1236" s="21" t="str">
        <f t="shared" si="39"/>
        <v/>
      </c>
      <c r="L1236" s="24"/>
      <c r="M1236" s="24"/>
    </row>
    <row r="1237" spans="1:13">
      <c r="A1237" s="14" t="str">
        <f t="shared" si="38"/>
        <v/>
      </c>
      <c r="C1237" s="120" t="s">
        <v>286</v>
      </c>
      <c r="D1237"/>
      <c r="E1237"/>
      <c r="F1237"/>
      <c r="G1237"/>
      <c r="H1237"/>
      <c r="I1237" s="21" t="str">
        <f t="shared" si="39"/>
        <v/>
      </c>
      <c r="L1237" s="24"/>
      <c r="M1237" s="24"/>
    </row>
    <row r="1238" spans="1:13">
      <c r="A1238" s="10" t="str">
        <f t="shared" si="38"/>
        <v/>
      </c>
      <c r="C1238" s="120" t="s">
        <v>126</v>
      </c>
      <c r="D1238"/>
      <c r="E1238"/>
      <c r="F1238"/>
      <c r="G1238"/>
      <c r="H1238"/>
      <c r="I1238" s="21" t="str">
        <f t="shared" si="39"/>
        <v/>
      </c>
      <c r="L1238" s="24"/>
      <c r="M1238" s="24"/>
    </row>
    <row r="1239" spans="1:13">
      <c r="A1239" s="14" t="str">
        <f t="shared" si="38"/>
        <v/>
      </c>
      <c r="C1239" s="120" t="s">
        <v>128</v>
      </c>
      <c r="D1239"/>
      <c r="E1239"/>
      <c r="F1239"/>
      <c r="G1239"/>
      <c r="H1239"/>
      <c r="I1239" s="21" t="str">
        <f t="shared" si="39"/>
        <v/>
      </c>
      <c r="L1239" s="24"/>
      <c r="M1239" s="24"/>
    </row>
    <row r="1240" spans="1:13">
      <c r="A1240" s="10" t="str">
        <f t="shared" si="38"/>
        <v/>
      </c>
      <c r="C1240" s="120" t="s">
        <v>280</v>
      </c>
      <c r="D1240"/>
      <c r="E1240"/>
      <c r="F1240"/>
      <c r="G1240"/>
      <c r="H1240"/>
      <c r="I1240" s="21" t="str">
        <f t="shared" si="39"/>
        <v/>
      </c>
      <c r="L1240" s="24"/>
      <c r="M1240" s="24"/>
    </row>
    <row r="1241" spans="1:13">
      <c r="A1241" s="14" t="str">
        <f t="shared" si="38"/>
        <v/>
      </c>
      <c r="C1241" s="120" t="s">
        <v>282</v>
      </c>
      <c r="D1241"/>
      <c r="E1241"/>
      <c r="F1241"/>
      <c r="G1241"/>
      <c r="H1241"/>
      <c r="I1241" s="21" t="str">
        <f t="shared" si="39"/>
        <v/>
      </c>
      <c r="L1241" s="24"/>
      <c r="M1241" s="24"/>
    </row>
    <row r="1242" spans="1:13">
      <c r="A1242" s="10" t="str">
        <f t="shared" si="38"/>
        <v/>
      </c>
      <c r="C1242" s="120" t="s">
        <v>284</v>
      </c>
      <c r="D1242"/>
      <c r="E1242"/>
      <c r="F1242"/>
      <c r="G1242"/>
      <c r="H1242"/>
      <c r="I1242" s="21" t="str">
        <f t="shared" si="39"/>
        <v/>
      </c>
      <c r="L1242" s="24"/>
      <c r="M1242" s="24"/>
    </row>
    <row r="1243" spans="1:13">
      <c r="A1243" s="14" t="str">
        <f t="shared" si="38"/>
        <v/>
      </c>
      <c r="C1243" s="120" t="s">
        <v>286</v>
      </c>
      <c r="D1243"/>
      <c r="E1243"/>
      <c r="F1243"/>
      <c r="G1243"/>
      <c r="H1243"/>
      <c r="I1243" s="21" t="str">
        <f t="shared" si="39"/>
        <v/>
      </c>
      <c r="L1243" s="24"/>
      <c r="M1243" s="24"/>
    </row>
    <row r="1244" spans="1:13">
      <c r="A1244" s="10" t="str">
        <f t="shared" si="38"/>
        <v/>
      </c>
      <c r="C1244" s="120" t="s">
        <v>126</v>
      </c>
      <c r="D1244"/>
      <c r="E1244"/>
      <c r="F1244"/>
      <c r="G1244"/>
      <c r="H1244"/>
      <c r="I1244" s="21" t="str">
        <f t="shared" si="39"/>
        <v/>
      </c>
      <c r="L1244" s="24"/>
      <c r="M1244" s="24"/>
    </row>
    <row r="1245" spans="1:13">
      <c r="A1245" s="14" t="str">
        <f t="shared" si="38"/>
        <v/>
      </c>
      <c r="C1245" s="120" t="s">
        <v>128</v>
      </c>
      <c r="D1245"/>
      <c r="E1245"/>
      <c r="F1245"/>
      <c r="G1245"/>
      <c r="H1245"/>
      <c r="I1245" s="21" t="str">
        <f t="shared" si="39"/>
        <v/>
      </c>
      <c r="L1245" s="24"/>
      <c r="M1245" s="24"/>
    </row>
    <row r="1246" spans="1:13">
      <c r="A1246" s="10" t="str">
        <f t="shared" si="38"/>
        <v/>
      </c>
      <c r="C1246" s="120" t="s">
        <v>280</v>
      </c>
      <c r="D1246"/>
      <c r="E1246"/>
      <c r="F1246"/>
      <c r="G1246"/>
      <c r="H1246"/>
      <c r="I1246" s="21" t="str">
        <f t="shared" si="39"/>
        <v/>
      </c>
      <c r="L1246" s="24"/>
      <c r="M1246" s="24"/>
    </row>
    <row r="1247" spans="1:13">
      <c r="A1247" s="14" t="str">
        <f t="shared" si="38"/>
        <v/>
      </c>
      <c r="C1247" s="120" t="s">
        <v>282</v>
      </c>
      <c r="D1247"/>
      <c r="E1247"/>
      <c r="F1247"/>
      <c r="G1247"/>
      <c r="H1247"/>
      <c r="I1247" s="21" t="str">
        <f t="shared" si="39"/>
        <v/>
      </c>
      <c r="L1247" s="24"/>
      <c r="M1247" s="24"/>
    </row>
    <row r="1248" spans="1:13">
      <c r="A1248" s="10" t="str">
        <f t="shared" si="38"/>
        <v/>
      </c>
      <c r="C1248" s="120" t="s">
        <v>284</v>
      </c>
      <c r="D1248"/>
      <c r="E1248"/>
      <c r="F1248"/>
      <c r="G1248"/>
      <c r="H1248"/>
      <c r="I1248" s="21" t="str">
        <f t="shared" si="39"/>
        <v/>
      </c>
      <c r="L1248" s="24"/>
      <c r="M1248" s="24"/>
    </row>
    <row r="1249" spans="1:13">
      <c r="A1249" s="14" t="str">
        <f t="shared" si="38"/>
        <v/>
      </c>
      <c r="C1249" s="120" t="s">
        <v>286</v>
      </c>
      <c r="D1249"/>
      <c r="E1249"/>
      <c r="F1249"/>
      <c r="G1249"/>
      <c r="H1249"/>
      <c r="I1249" s="21" t="str">
        <f t="shared" si="39"/>
        <v/>
      </c>
      <c r="L1249" s="24"/>
      <c r="M1249" s="24"/>
    </row>
    <row r="1250" spans="1:13">
      <c r="A1250" s="10" t="str">
        <f t="shared" si="38"/>
        <v/>
      </c>
      <c r="C1250" s="120" t="s">
        <v>126</v>
      </c>
      <c r="D1250"/>
      <c r="E1250"/>
      <c r="F1250"/>
      <c r="G1250"/>
      <c r="H1250"/>
      <c r="I1250" s="21" t="str">
        <f t="shared" si="39"/>
        <v/>
      </c>
      <c r="L1250" s="24"/>
      <c r="M1250" s="24"/>
    </row>
    <row r="1251" spans="1:13">
      <c r="A1251" s="14" t="str">
        <f t="shared" si="38"/>
        <v/>
      </c>
      <c r="C1251" s="120" t="s">
        <v>128</v>
      </c>
      <c r="D1251"/>
      <c r="E1251"/>
      <c r="F1251"/>
      <c r="G1251"/>
      <c r="H1251"/>
      <c r="I1251" s="21" t="str">
        <f t="shared" si="39"/>
        <v/>
      </c>
      <c r="L1251" s="24"/>
      <c r="M1251" s="24"/>
    </row>
    <row r="1252" spans="1:13">
      <c r="A1252" s="10" t="str">
        <f t="shared" si="38"/>
        <v/>
      </c>
      <c r="C1252" s="120" t="s">
        <v>280</v>
      </c>
      <c r="D1252"/>
      <c r="E1252"/>
      <c r="F1252"/>
      <c r="G1252"/>
      <c r="H1252"/>
      <c r="I1252" s="21" t="str">
        <f t="shared" si="39"/>
        <v/>
      </c>
      <c r="L1252" s="24"/>
      <c r="M1252" s="24"/>
    </row>
    <row r="1253" spans="1:13">
      <c r="A1253" s="14" t="str">
        <f t="shared" si="38"/>
        <v/>
      </c>
      <c r="C1253" s="120" t="s">
        <v>282</v>
      </c>
      <c r="D1253"/>
      <c r="E1253"/>
      <c r="F1253"/>
      <c r="G1253"/>
      <c r="H1253"/>
      <c r="I1253" s="21" t="str">
        <f t="shared" si="39"/>
        <v/>
      </c>
      <c r="L1253" s="24"/>
      <c r="M1253" s="24"/>
    </row>
    <row r="1254" spans="1:13">
      <c r="A1254" s="10" t="str">
        <f t="shared" si="38"/>
        <v/>
      </c>
      <c r="C1254" s="120" t="s">
        <v>284</v>
      </c>
      <c r="D1254"/>
      <c r="E1254"/>
      <c r="F1254"/>
      <c r="G1254"/>
      <c r="H1254"/>
      <c r="I1254" s="21" t="str">
        <f t="shared" si="39"/>
        <v/>
      </c>
      <c r="L1254" s="24"/>
      <c r="M1254" s="24"/>
    </row>
    <row r="1255" spans="1:13">
      <c r="A1255" s="14" t="str">
        <f t="shared" si="38"/>
        <v/>
      </c>
      <c r="C1255" s="120" t="s">
        <v>286</v>
      </c>
      <c r="D1255"/>
      <c r="E1255"/>
      <c r="F1255"/>
      <c r="G1255"/>
      <c r="H1255"/>
      <c r="I1255" s="21" t="str">
        <f t="shared" si="39"/>
        <v/>
      </c>
      <c r="L1255" s="24"/>
      <c r="M1255" s="24"/>
    </row>
    <row r="1256" spans="1:13">
      <c r="A1256" s="10" t="str">
        <f t="shared" si="38"/>
        <v/>
      </c>
      <c r="C1256" s="120" t="s">
        <v>126</v>
      </c>
      <c r="D1256"/>
      <c r="E1256"/>
      <c r="F1256"/>
      <c r="G1256"/>
      <c r="H1256"/>
      <c r="I1256" s="21" t="str">
        <f t="shared" si="39"/>
        <v/>
      </c>
      <c r="L1256" s="24"/>
      <c r="M1256" s="24"/>
    </row>
    <row r="1257" spans="1:13">
      <c r="A1257" s="14" t="str">
        <f t="shared" si="38"/>
        <v/>
      </c>
      <c r="C1257" s="120" t="s">
        <v>128</v>
      </c>
      <c r="D1257"/>
      <c r="E1257"/>
      <c r="F1257"/>
      <c r="G1257"/>
      <c r="H1257"/>
      <c r="I1257" s="21" t="str">
        <f t="shared" si="39"/>
        <v/>
      </c>
      <c r="L1257" s="24"/>
      <c r="M1257" s="24"/>
    </row>
    <row r="1258" spans="1:13">
      <c r="A1258" s="10" t="str">
        <f t="shared" si="38"/>
        <v/>
      </c>
      <c r="C1258" s="120" t="s">
        <v>280</v>
      </c>
      <c r="D1258"/>
      <c r="E1258"/>
      <c r="F1258"/>
      <c r="G1258"/>
      <c r="H1258"/>
      <c r="I1258" s="21" t="str">
        <f t="shared" si="39"/>
        <v/>
      </c>
      <c r="L1258" s="24"/>
      <c r="M1258" s="24"/>
    </row>
    <row r="1259" spans="1:13">
      <c r="A1259" s="14" t="str">
        <f t="shared" si="38"/>
        <v/>
      </c>
      <c r="C1259" s="120" t="s">
        <v>282</v>
      </c>
      <c r="D1259"/>
      <c r="E1259"/>
      <c r="F1259"/>
      <c r="G1259"/>
      <c r="H1259"/>
      <c r="I1259" s="21" t="str">
        <f t="shared" si="39"/>
        <v/>
      </c>
      <c r="L1259" s="24"/>
      <c r="M1259" s="24"/>
    </row>
    <row r="1260" spans="1:13">
      <c r="A1260" s="10" t="str">
        <f t="shared" si="38"/>
        <v/>
      </c>
      <c r="C1260" s="120" t="s">
        <v>284</v>
      </c>
      <c r="D1260"/>
      <c r="E1260"/>
      <c r="F1260"/>
      <c r="G1260"/>
      <c r="H1260"/>
      <c r="I1260" s="21" t="str">
        <f t="shared" si="39"/>
        <v/>
      </c>
      <c r="L1260" s="24"/>
      <c r="M1260" s="24"/>
    </row>
    <row r="1261" spans="1:13">
      <c r="A1261" s="14" t="str">
        <f t="shared" si="38"/>
        <v/>
      </c>
      <c r="C1261" s="120" t="s">
        <v>286</v>
      </c>
      <c r="D1261"/>
      <c r="E1261"/>
      <c r="F1261"/>
      <c r="G1261"/>
      <c r="H1261"/>
      <c r="I1261" s="21" t="str">
        <f t="shared" si="39"/>
        <v/>
      </c>
      <c r="L1261" s="24"/>
      <c r="M1261" s="24"/>
    </row>
    <row r="1262" spans="1:13">
      <c r="A1262" s="10" t="str">
        <f t="shared" si="38"/>
        <v/>
      </c>
      <c r="C1262" s="120" t="s">
        <v>126</v>
      </c>
      <c r="D1262"/>
      <c r="E1262"/>
      <c r="F1262"/>
      <c r="G1262"/>
      <c r="H1262"/>
      <c r="I1262" s="21" t="str">
        <f t="shared" si="39"/>
        <v/>
      </c>
      <c r="L1262" s="24"/>
      <c r="M1262" s="24"/>
    </row>
    <row r="1263" spans="1:13">
      <c r="A1263" s="14" t="str">
        <f t="shared" si="38"/>
        <v/>
      </c>
      <c r="C1263" s="120" t="s">
        <v>128</v>
      </c>
      <c r="D1263"/>
      <c r="E1263"/>
      <c r="F1263"/>
      <c r="G1263"/>
      <c r="H1263"/>
      <c r="I1263" s="21" t="str">
        <f t="shared" si="39"/>
        <v/>
      </c>
      <c r="L1263" s="24"/>
      <c r="M1263" s="24"/>
    </row>
    <row r="1264" spans="1:13">
      <c r="A1264" s="10" t="str">
        <f t="shared" si="38"/>
        <v/>
      </c>
      <c r="C1264" s="120" t="s">
        <v>280</v>
      </c>
      <c r="D1264"/>
      <c r="E1264"/>
      <c r="F1264"/>
      <c r="G1264"/>
      <c r="H1264"/>
      <c r="I1264" s="21" t="str">
        <f t="shared" si="39"/>
        <v/>
      </c>
      <c r="L1264" s="24"/>
      <c r="M1264" s="24"/>
    </row>
    <row r="1265" spans="1:13">
      <c r="A1265" s="14" t="str">
        <f t="shared" si="38"/>
        <v/>
      </c>
      <c r="C1265" s="120" t="s">
        <v>282</v>
      </c>
      <c r="D1265"/>
      <c r="E1265"/>
      <c r="F1265"/>
      <c r="G1265"/>
      <c r="H1265"/>
      <c r="I1265" s="21" t="str">
        <f t="shared" si="39"/>
        <v/>
      </c>
      <c r="L1265" s="24"/>
      <c r="M1265" s="24"/>
    </row>
    <row r="1266" spans="1:13">
      <c r="A1266" s="10" t="str">
        <f t="shared" si="38"/>
        <v/>
      </c>
      <c r="C1266" s="120" t="s">
        <v>284</v>
      </c>
      <c r="D1266"/>
      <c r="E1266"/>
      <c r="F1266"/>
      <c r="G1266"/>
      <c r="H1266"/>
      <c r="I1266" s="21" t="str">
        <f t="shared" si="39"/>
        <v/>
      </c>
      <c r="L1266" s="24"/>
      <c r="M1266" s="24"/>
    </row>
    <row r="1267" spans="1:13">
      <c r="A1267" s="14" t="str">
        <f t="shared" si="38"/>
        <v/>
      </c>
      <c r="C1267" s="120" t="s">
        <v>286</v>
      </c>
      <c r="D1267"/>
      <c r="E1267"/>
      <c r="F1267"/>
      <c r="G1267"/>
      <c r="H1267"/>
      <c r="I1267" s="21" t="str">
        <f t="shared" si="39"/>
        <v/>
      </c>
      <c r="L1267" s="24"/>
      <c r="M1267" s="24"/>
    </row>
    <row r="1268" spans="1:13">
      <c r="A1268" s="10" t="str">
        <f t="shared" si="38"/>
        <v/>
      </c>
      <c r="C1268" s="120" t="s">
        <v>126</v>
      </c>
      <c r="D1268"/>
      <c r="E1268"/>
      <c r="F1268"/>
      <c r="G1268"/>
      <c r="H1268"/>
      <c r="I1268" s="21" t="str">
        <f t="shared" si="39"/>
        <v/>
      </c>
      <c r="L1268" s="24"/>
      <c r="M1268" s="24"/>
    </row>
    <row r="1269" spans="1:13">
      <c r="A1269" s="14" t="str">
        <f t="shared" si="38"/>
        <v/>
      </c>
      <c r="C1269" s="120" t="s">
        <v>128</v>
      </c>
      <c r="D1269"/>
      <c r="E1269"/>
      <c r="F1269"/>
      <c r="G1269"/>
      <c r="H1269"/>
      <c r="I1269" s="21" t="str">
        <f t="shared" si="39"/>
        <v/>
      </c>
      <c r="L1269" s="24"/>
      <c r="M1269" s="24"/>
    </row>
    <row r="1270" spans="1:13">
      <c r="A1270" s="10" t="str">
        <f t="shared" si="38"/>
        <v/>
      </c>
      <c r="C1270" s="120" t="s">
        <v>280</v>
      </c>
      <c r="D1270"/>
      <c r="E1270"/>
      <c r="F1270"/>
      <c r="G1270"/>
      <c r="H1270"/>
      <c r="I1270" s="21" t="str">
        <f t="shared" si="39"/>
        <v/>
      </c>
      <c r="L1270" s="24"/>
      <c r="M1270" s="24"/>
    </row>
    <row r="1271" spans="1:13">
      <c r="A1271" s="14" t="str">
        <f t="shared" si="38"/>
        <v/>
      </c>
      <c r="C1271" s="120" t="s">
        <v>282</v>
      </c>
      <c r="D1271"/>
      <c r="E1271"/>
      <c r="F1271"/>
      <c r="G1271"/>
      <c r="H1271"/>
      <c r="I1271" s="21" t="str">
        <f t="shared" si="39"/>
        <v/>
      </c>
      <c r="L1271" s="24"/>
      <c r="M1271" s="24"/>
    </row>
    <row r="1272" spans="1:13">
      <c r="A1272" s="10" t="str">
        <f t="shared" si="38"/>
        <v/>
      </c>
      <c r="C1272" s="120" t="s">
        <v>284</v>
      </c>
      <c r="D1272"/>
      <c r="E1272"/>
      <c r="F1272"/>
      <c r="G1272"/>
      <c r="H1272"/>
      <c r="I1272" s="21" t="str">
        <f t="shared" si="39"/>
        <v/>
      </c>
      <c r="L1272" s="24"/>
      <c r="M1272" s="24"/>
    </row>
    <row r="1273" spans="1:13">
      <c r="A1273" s="14" t="str">
        <f t="shared" si="38"/>
        <v/>
      </c>
      <c r="C1273" s="120" t="s">
        <v>286</v>
      </c>
      <c r="D1273"/>
      <c r="E1273"/>
      <c r="F1273"/>
      <c r="G1273"/>
      <c r="H1273"/>
      <c r="I1273" s="21" t="str">
        <f t="shared" si="39"/>
        <v/>
      </c>
      <c r="L1273" s="24"/>
      <c r="M1273" s="24"/>
    </row>
    <row r="1274" spans="1:13">
      <c r="A1274" s="10" t="str">
        <f t="shared" si="38"/>
        <v/>
      </c>
      <c r="C1274" s="120" t="s">
        <v>126</v>
      </c>
      <c r="D1274"/>
      <c r="E1274"/>
      <c r="F1274"/>
      <c r="G1274"/>
      <c r="H1274"/>
      <c r="I1274" s="21" t="str">
        <f t="shared" si="39"/>
        <v/>
      </c>
      <c r="L1274" s="24"/>
      <c r="M1274" s="24"/>
    </row>
    <row r="1275" spans="1:13">
      <c r="A1275" s="14" t="str">
        <f t="shared" si="38"/>
        <v/>
      </c>
      <c r="C1275" s="120" t="s">
        <v>128</v>
      </c>
      <c r="D1275"/>
      <c r="E1275"/>
      <c r="F1275"/>
      <c r="G1275"/>
      <c r="H1275"/>
      <c r="I1275" s="21" t="str">
        <f t="shared" si="39"/>
        <v/>
      </c>
      <c r="L1275" s="24"/>
      <c r="M1275" s="24"/>
    </row>
    <row r="1276" spans="1:13">
      <c r="A1276" s="10" t="str">
        <f t="shared" si="38"/>
        <v/>
      </c>
      <c r="C1276" s="120" t="s">
        <v>280</v>
      </c>
      <c r="D1276"/>
      <c r="E1276"/>
      <c r="F1276"/>
      <c r="G1276"/>
      <c r="H1276"/>
      <c r="I1276" s="21" t="str">
        <f t="shared" si="39"/>
        <v/>
      </c>
      <c r="L1276" s="24"/>
      <c r="M1276" s="24"/>
    </row>
    <row r="1277" spans="1:13">
      <c r="A1277" s="14" t="str">
        <f t="shared" si="38"/>
        <v/>
      </c>
      <c r="C1277" s="120" t="s">
        <v>282</v>
      </c>
      <c r="D1277"/>
      <c r="E1277"/>
      <c r="F1277"/>
      <c r="G1277"/>
      <c r="H1277"/>
      <c r="I1277" s="21" t="str">
        <f t="shared" si="39"/>
        <v/>
      </c>
      <c r="L1277" s="24"/>
      <c r="M1277" s="24"/>
    </row>
    <row r="1278" spans="1:13">
      <c r="A1278" s="10" t="str">
        <f t="shared" si="38"/>
        <v/>
      </c>
      <c r="C1278" s="120" t="s">
        <v>284</v>
      </c>
      <c r="D1278"/>
      <c r="E1278"/>
      <c r="F1278"/>
      <c r="G1278"/>
      <c r="H1278"/>
      <c r="I1278" s="21" t="str">
        <f t="shared" si="39"/>
        <v/>
      </c>
      <c r="L1278" s="24"/>
      <c r="M1278" s="24"/>
    </row>
    <row r="1279" spans="1:13">
      <c r="A1279" s="14" t="str">
        <f t="shared" si="38"/>
        <v/>
      </c>
      <c r="C1279" s="120" t="s">
        <v>286</v>
      </c>
      <c r="D1279"/>
      <c r="E1279"/>
      <c r="F1279"/>
      <c r="G1279"/>
      <c r="H1279"/>
      <c r="I1279" s="21" t="str">
        <f t="shared" si="39"/>
        <v/>
      </c>
      <c r="L1279" s="24"/>
      <c r="M1279" s="24"/>
    </row>
    <row r="1280" spans="1:13">
      <c r="A1280" s="10" t="str">
        <f t="shared" si="38"/>
        <v/>
      </c>
      <c r="C1280" s="120" t="s">
        <v>126</v>
      </c>
      <c r="D1280"/>
      <c r="E1280"/>
      <c r="F1280"/>
      <c r="G1280"/>
      <c r="H1280"/>
      <c r="I1280" s="21" t="str">
        <f t="shared" si="39"/>
        <v/>
      </c>
      <c r="L1280" s="24"/>
      <c r="M1280" s="24"/>
    </row>
    <row r="1281" spans="1:13">
      <c r="A1281" s="14" t="str">
        <f t="shared" si="38"/>
        <v/>
      </c>
      <c r="C1281" s="120" t="s">
        <v>128</v>
      </c>
      <c r="D1281"/>
      <c r="E1281"/>
      <c r="F1281"/>
      <c r="G1281"/>
      <c r="H1281"/>
      <c r="I1281" s="21" t="str">
        <f t="shared" si="39"/>
        <v/>
      </c>
      <c r="L1281" s="24"/>
      <c r="M1281" s="24"/>
    </row>
    <row r="1282" spans="1:13">
      <c r="A1282" s="10" t="str">
        <f t="shared" ref="A1282:A1345" si="40">IF(B1282&lt;&gt;"",ROW()-1,"")</f>
        <v/>
      </c>
      <c r="C1282" s="120" t="s">
        <v>280</v>
      </c>
      <c r="D1282"/>
      <c r="E1282"/>
      <c r="F1282"/>
      <c r="G1282"/>
      <c r="H1282"/>
      <c r="I1282" s="21" t="str">
        <f t="shared" ref="I1282:I1345" si="41">IF(AND(G1282&lt;&gt;"",H1282&lt;&gt;""),H1282-G1282,"")</f>
        <v/>
      </c>
      <c r="L1282" s="24"/>
      <c r="M1282" s="24"/>
    </row>
    <row r="1283" spans="1:13">
      <c r="A1283" s="14" t="str">
        <f t="shared" si="40"/>
        <v/>
      </c>
      <c r="C1283" s="120" t="s">
        <v>282</v>
      </c>
      <c r="D1283"/>
      <c r="E1283"/>
      <c r="F1283"/>
      <c r="G1283"/>
      <c r="H1283"/>
      <c r="I1283" s="21" t="str">
        <f t="shared" si="41"/>
        <v/>
      </c>
      <c r="L1283" s="24"/>
      <c r="M1283" s="24"/>
    </row>
    <row r="1284" spans="1:13">
      <c r="A1284" s="10" t="str">
        <f t="shared" si="40"/>
        <v/>
      </c>
      <c r="C1284" s="120" t="s">
        <v>284</v>
      </c>
      <c r="D1284"/>
      <c r="E1284"/>
      <c r="F1284"/>
      <c r="G1284"/>
      <c r="H1284"/>
      <c r="I1284" s="21" t="str">
        <f t="shared" si="41"/>
        <v/>
      </c>
      <c r="L1284" s="24"/>
      <c r="M1284" s="24"/>
    </row>
    <row r="1285" spans="1:13">
      <c r="A1285" s="14" t="str">
        <f t="shared" si="40"/>
        <v/>
      </c>
      <c r="C1285" s="120" t="s">
        <v>286</v>
      </c>
      <c r="D1285"/>
      <c r="E1285"/>
      <c r="F1285"/>
      <c r="G1285"/>
      <c r="H1285"/>
      <c r="I1285" s="21" t="str">
        <f t="shared" si="41"/>
        <v/>
      </c>
      <c r="L1285" s="24"/>
      <c r="M1285" s="24"/>
    </row>
    <row r="1286" spans="1:13">
      <c r="A1286" s="10" t="str">
        <f t="shared" si="40"/>
        <v/>
      </c>
      <c r="C1286" s="120" t="s">
        <v>126</v>
      </c>
      <c r="D1286"/>
      <c r="E1286"/>
      <c r="F1286"/>
      <c r="G1286"/>
      <c r="H1286"/>
      <c r="I1286" s="21" t="str">
        <f t="shared" si="41"/>
        <v/>
      </c>
      <c r="L1286" s="24"/>
      <c r="M1286" s="24"/>
    </row>
    <row r="1287" spans="1:13">
      <c r="A1287" s="14" t="str">
        <f t="shared" si="40"/>
        <v/>
      </c>
      <c r="C1287" s="120" t="s">
        <v>128</v>
      </c>
      <c r="D1287"/>
      <c r="E1287"/>
      <c r="F1287"/>
      <c r="G1287"/>
      <c r="H1287"/>
      <c r="I1287" s="21" t="str">
        <f t="shared" si="41"/>
        <v/>
      </c>
      <c r="L1287" s="24"/>
      <c r="M1287" s="24"/>
    </row>
    <row r="1288" spans="1:13">
      <c r="A1288" s="10" t="str">
        <f t="shared" si="40"/>
        <v/>
      </c>
      <c r="C1288" s="120" t="s">
        <v>280</v>
      </c>
      <c r="D1288"/>
      <c r="E1288"/>
      <c r="F1288"/>
      <c r="G1288"/>
      <c r="H1288"/>
      <c r="I1288" s="21" t="str">
        <f t="shared" si="41"/>
        <v/>
      </c>
      <c r="L1288" s="24"/>
      <c r="M1288" s="24"/>
    </row>
    <row r="1289" spans="1:13">
      <c r="A1289" s="14" t="str">
        <f t="shared" si="40"/>
        <v/>
      </c>
      <c r="C1289" s="120" t="s">
        <v>282</v>
      </c>
      <c r="D1289"/>
      <c r="E1289"/>
      <c r="F1289"/>
      <c r="G1289"/>
      <c r="H1289"/>
      <c r="I1289" s="21" t="str">
        <f t="shared" si="41"/>
        <v/>
      </c>
      <c r="L1289" s="24"/>
      <c r="M1289" s="24"/>
    </row>
    <row r="1290" spans="1:13">
      <c r="A1290" s="10" t="str">
        <f t="shared" si="40"/>
        <v/>
      </c>
      <c r="C1290" s="120" t="s">
        <v>284</v>
      </c>
      <c r="D1290"/>
      <c r="E1290"/>
      <c r="F1290"/>
      <c r="G1290"/>
      <c r="H1290"/>
      <c r="I1290" s="21" t="str">
        <f t="shared" si="41"/>
        <v/>
      </c>
      <c r="L1290" s="24"/>
      <c r="M1290" s="24"/>
    </row>
    <row r="1291" spans="1:13">
      <c r="A1291" s="14" t="str">
        <f t="shared" si="40"/>
        <v/>
      </c>
      <c r="C1291" s="120" t="s">
        <v>286</v>
      </c>
      <c r="D1291"/>
      <c r="E1291"/>
      <c r="F1291"/>
      <c r="G1291"/>
      <c r="H1291"/>
      <c r="I1291" s="21" t="str">
        <f t="shared" si="41"/>
        <v/>
      </c>
      <c r="L1291" s="24"/>
      <c r="M1291" s="24"/>
    </row>
    <row r="1292" spans="1:13">
      <c r="A1292" s="10" t="str">
        <f t="shared" si="40"/>
        <v/>
      </c>
      <c r="C1292" s="120" t="s">
        <v>126</v>
      </c>
      <c r="D1292"/>
      <c r="E1292"/>
      <c r="F1292"/>
      <c r="G1292"/>
      <c r="H1292"/>
      <c r="I1292" s="21" t="str">
        <f t="shared" si="41"/>
        <v/>
      </c>
      <c r="L1292" s="24"/>
      <c r="M1292" s="24"/>
    </row>
    <row r="1293" spans="1:13">
      <c r="A1293" s="14" t="str">
        <f t="shared" si="40"/>
        <v/>
      </c>
      <c r="C1293" s="120" t="s">
        <v>128</v>
      </c>
      <c r="D1293"/>
      <c r="E1293"/>
      <c r="F1293"/>
      <c r="G1293"/>
      <c r="H1293"/>
      <c r="I1293" s="21" t="str">
        <f t="shared" si="41"/>
        <v/>
      </c>
      <c r="L1293" s="24"/>
      <c r="M1293" s="24"/>
    </row>
    <row r="1294" spans="1:13">
      <c r="A1294" s="10" t="str">
        <f t="shared" si="40"/>
        <v/>
      </c>
      <c r="C1294" s="120" t="s">
        <v>280</v>
      </c>
      <c r="D1294"/>
      <c r="E1294"/>
      <c r="F1294"/>
      <c r="G1294"/>
      <c r="H1294"/>
      <c r="I1294" s="21" t="str">
        <f t="shared" si="41"/>
        <v/>
      </c>
      <c r="L1294" s="24"/>
      <c r="M1294" s="24"/>
    </row>
    <row r="1295" spans="1:13">
      <c r="A1295" s="14" t="str">
        <f t="shared" si="40"/>
        <v/>
      </c>
      <c r="C1295" s="120" t="s">
        <v>282</v>
      </c>
      <c r="D1295"/>
      <c r="E1295"/>
      <c r="F1295"/>
      <c r="G1295"/>
      <c r="H1295"/>
      <c r="I1295" s="21" t="str">
        <f t="shared" si="41"/>
        <v/>
      </c>
      <c r="L1295" s="24"/>
      <c r="M1295" s="24"/>
    </row>
    <row r="1296" spans="1:13">
      <c r="A1296" s="10" t="str">
        <f t="shared" si="40"/>
        <v/>
      </c>
      <c r="C1296" s="120" t="s">
        <v>284</v>
      </c>
      <c r="D1296"/>
      <c r="E1296"/>
      <c r="F1296"/>
      <c r="G1296"/>
      <c r="H1296"/>
      <c r="I1296" s="21" t="str">
        <f t="shared" si="41"/>
        <v/>
      </c>
      <c r="L1296" s="24"/>
      <c r="M1296" s="24"/>
    </row>
    <row r="1297" spans="1:13">
      <c r="A1297" s="14" t="str">
        <f t="shared" si="40"/>
        <v/>
      </c>
      <c r="C1297" s="120" t="s">
        <v>286</v>
      </c>
      <c r="D1297"/>
      <c r="E1297"/>
      <c r="F1297"/>
      <c r="G1297"/>
      <c r="H1297"/>
      <c r="I1297" s="21" t="str">
        <f t="shared" si="41"/>
        <v/>
      </c>
      <c r="L1297" s="24"/>
      <c r="M1297" s="24"/>
    </row>
    <row r="1298" spans="1:13">
      <c r="A1298" s="10" t="str">
        <f t="shared" si="40"/>
        <v/>
      </c>
      <c r="C1298" s="120" t="s">
        <v>126</v>
      </c>
      <c r="D1298"/>
      <c r="E1298"/>
      <c r="F1298"/>
      <c r="G1298"/>
      <c r="H1298"/>
      <c r="I1298" s="21" t="str">
        <f t="shared" si="41"/>
        <v/>
      </c>
      <c r="L1298" s="24"/>
      <c r="M1298" s="24"/>
    </row>
    <row r="1299" spans="1:13">
      <c r="A1299" s="14" t="str">
        <f t="shared" si="40"/>
        <v/>
      </c>
      <c r="C1299" s="120" t="s">
        <v>128</v>
      </c>
      <c r="D1299"/>
      <c r="E1299"/>
      <c r="F1299"/>
      <c r="G1299"/>
      <c r="H1299"/>
      <c r="I1299" s="21" t="str">
        <f t="shared" si="41"/>
        <v/>
      </c>
      <c r="L1299" s="24"/>
      <c r="M1299" s="24"/>
    </row>
    <row r="1300" spans="1:13">
      <c r="A1300" s="10" t="str">
        <f t="shared" si="40"/>
        <v/>
      </c>
      <c r="C1300" s="120" t="s">
        <v>280</v>
      </c>
      <c r="D1300"/>
      <c r="E1300"/>
      <c r="F1300"/>
      <c r="G1300"/>
      <c r="H1300"/>
      <c r="I1300" s="21" t="str">
        <f t="shared" si="41"/>
        <v/>
      </c>
      <c r="L1300" s="24"/>
      <c r="M1300" s="24"/>
    </row>
    <row r="1301" spans="1:13">
      <c r="A1301" s="14" t="str">
        <f t="shared" si="40"/>
        <v/>
      </c>
      <c r="C1301" s="120" t="s">
        <v>282</v>
      </c>
      <c r="D1301"/>
      <c r="E1301"/>
      <c r="F1301"/>
      <c r="G1301"/>
      <c r="H1301"/>
      <c r="I1301" s="21" t="str">
        <f t="shared" si="41"/>
        <v/>
      </c>
      <c r="L1301" s="24"/>
      <c r="M1301" s="24"/>
    </row>
    <row r="1302" spans="1:13">
      <c r="A1302" s="10" t="str">
        <f t="shared" si="40"/>
        <v/>
      </c>
      <c r="C1302" s="120" t="s">
        <v>284</v>
      </c>
      <c r="D1302"/>
      <c r="E1302"/>
      <c r="F1302"/>
      <c r="G1302"/>
      <c r="H1302"/>
      <c r="I1302" s="21" t="str">
        <f t="shared" si="41"/>
        <v/>
      </c>
      <c r="L1302" s="24"/>
      <c r="M1302" s="24"/>
    </row>
    <row r="1303" spans="1:13">
      <c r="A1303" s="14" t="str">
        <f t="shared" si="40"/>
        <v/>
      </c>
      <c r="C1303" s="120" t="s">
        <v>286</v>
      </c>
      <c r="D1303"/>
      <c r="E1303"/>
      <c r="F1303"/>
      <c r="G1303"/>
      <c r="H1303"/>
      <c r="I1303" s="21" t="str">
        <f t="shared" si="41"/>
        <v/>
      </c>
      <c r="L1303" s="24"/>
      <c r="M1303" s="24"/>
    </row>
    <row r="1304" spans="1:13">
      <c r="A1304" s="10" t="str">
        <f t="shared" si="40"/>
        <v/>
      </c>
      <c r="C1304" s="120" t="s">
        <v>126</v>
      </c>
      <c r="D1304"/>
      <c r="E1304"/>
      <c r="F1304"/>
      <c r="G1304"/>
      <c r="H1304"/>
      <c r="I1304" s="21" t="str">
        <f t="shared" si="41"/>
        <v/>
      </c>
      <c r="L1304" s="24"/>
      <c r="M1304" s="24"/>
    </row>
    <row r="1305" spans="1:13">
      <c r="A1305" s="14" t="str">
        <f t="shared" si="40"/>
        <v/>
      </c>
      <c r="C1305" s="120" t="s">
        <v>128</v>
      </c>
      <c r="D1305"/>
      <c r="E1305"/>
      <c r="F1305"/>
      <c r="G1305"/>
      <c r="H1305"/>
      <c r="I1305" s="21" t="str">
        <f t="shared" si="41"/>
        <v/>
      </c>
      <c r="L1305" s="24"/>
      <c r="M1305" s="24"/>
    </row>
    <row r="1306" spans="1:13">
      <c r="A1306" s="10" t="str">
        <f t="shared" si="40"/>
        <v/>
      </c>
      <c r="C1306" s="120" t="s">
        <v>280</v>
      </c>
      <c r="D1306"/>
      <c r="E1306"/>
      <c r="F1306"/>
      <c r="G1306"/>
      <c r="H1306"/>
      <c r="I1306" s="21" t="str">
        <f t="shared" si="41"/>
        <v/>
      </c>
      <c r="L1306" s="24"/>
      <c r="M1306" s="24"/>
    </row>
    <row r="1307" spans="1:13">
      <c r="A1307" s="14" t="str">
        <f t="shared" si="40"/>
        <v/>
      </c>
      <c r="C1307" s="120" t="s">
        <v>282</v>
      </c>
      <c r="D1307"/>
      <c r="E1307"/>
      <c r="F1307"/>
      <c r="G1307"/>
      <c r="H1307"/>
      <c r="I1307" s="21" t="str">
        <f t="shared" si="41"/>
        <v/>
      </c>
      <c r="L1307" s="24"/>
      <c r="M1307" s="24"/>
    </row>
    <row r="1308" spans="1:13">
      <c r="A1308" s="10" t="str">
        <f t="shared" si="40"/>
        <v/>
      </c>
      <c r="C1308" s="120" t="s">
        <v>284</v>
      </c>
      <c r="D1308"/>
      <c r="E1308"/>
      <c r="F1308"/>
      <c r="G1308"/>
      <c r="H1308"/>
      <c r="I1308" s="21" t="str">
        <f t="shared" si="41"/>
        <v/>
      </c>
      <c r="L1308" s="24"/>
      <c r="M1308" s="24"/>
    </row>
    <row r="1309" spans="1:13">
      <c r="A1309" s="14" t="str">
        <f t="shared" si="40"/>
        <v/>
      </c>
      <c r="C1309" s="120" t="s">
        <v>286</v>
      </c>
      <c r="D1309"/>
      <c r="E1309"/>
      <c r="F1309"/>
      <c r="G1309"/>
      <c r="H1309"/>
      <c r="I1309" s="21" t="str">
        <f t="shared" si="41"/>
        <v/>
      </c>
      <c r="L1309" s="24"/>
      <c r="M1309" s="24"/>
    </row>
    <row r="1310" spans="1:13">
      <c r="A1310" s="10" t="str">
        <f t="shared" si="40"/>
        <v/>
      </c>
      <c r="C1310" s="120" t="s">
        <v>126</v>
      </c>
      <c r="D1310"/>
      <c r="E1310"/>
      <c r="F1310"/>
      <c r="G1310"/>
      <c r="H1310"/>
      <c r="I1310" s="21" t="str">
        <f t="shared" si="41"/>
        <v/>
      </c>
      <c r="L1310" s="24"/>
      <c r="M1310" s="24"/>
    </row>
    <row r="1311" spans="1:13">
      <c r="A1311" s="14" t="str">
        <f t="shared" si="40"/>
        <v/>
      </c>
      <c r="C1311" s="120" t="s">
        <v>128</v>
      </c>
      <c r="D1311"/>
      <c r="E1311"/>
      <c r="F1311"/>
      <c r="G1311"/>
      <c r="H1311"/>
      <c r="I1311" s="21" t="str">
        <f t="shared" si="41"/>
        <v/>
      </c>
      <c r="L1311" s="24"/>
      <c r="M1311" s="24"/>
    </row>
    <row r="1312" spans="1:13">
      <c r="A1312" s="10" t="str">
        <f t="shared" si="40"/>
        <v/>
      </c>
      <c r="C1312" s="120" t="s">
        <v>280</v>
      </c>
      <c r="D1312"/>
      <c r="E1312"/>
      <c r="F1312"/>
      <c r="G1312"/>
      <c r="H1312"/>
      <c r="I1312" s="21" t="str">
        <f t="shared" si="41"/>
        <v/>
      </c>
      <c r="L1312" s="24"/>
      <c r="M1312" s="24"/>
    </row>
    <row r="1313" spans="1:13">
      <c r="A1313" s="14" t="str">
        <f t="shared" si="40"/>
        <v/>
      </c>
      <c r="C1313" s="120" t="s">
        <v>282</v>
      </c>
      <c r="D1313"/>
      <c r="E1313"/>
      <c r="F1313"/>
      <c r="G1313"/>
      <c r="H1313"/>
      <c r="I1313" s="21" t="str">
        <f t="shared" si="41"/>
        <v/>
      </c>
      <c r="L1313" s="24"/>
      <c r="M1313" s="24"/>
    </row>
    <row r="1314" spans="1:13">
      <c r="A1314" s="10" t="str">
        <f t="shared" si="40"/>
        <v/>
      </c>
      <c r="C1314" s="120" t="s">
        <v>284</v>
      </c>
      <c r="D1314"/>
      <c r="E1314"/>
      <c r="F1314"/>
      <c r="G1314"/>
      <c r="H1314"/>
      <c r="I1314" s="21" t="str">
        <f t="shared" si="41"/>
        <v/>
      </c>
      <c r="L1314" s="24"/>
      <c r="M1314" s="24"/>
    </row>
    <row r="1315" spans="1:13">
      <c r="A1315" s="14" t="str">
        <f t="shared" si="40"/>
        <v/>
      </c>
      <c r="C1315" s="120" t="s">
        <v>286</v>
      </c>
      <c r="D1315"/>
      <c r="E1315"/>
      <c r="F1315"/>
      <c r="G1315"/>
      <c r="H1315"/>
      <c r="I1315" s="21" t="str">
        <f t="shared" si="41"/>
        <v/>
      </c>
      <c r="L1315" s="24"/>
      <c r="M1315" s="24"/>
    </row>
    <row r="1316" spans="1:13">
      <c r="A1316" s="10" t="str">
        <f t="shared" si="40"/>
        <v/>
      </c>
      <c r="C1316" s="120" t="s">
        <v>126</v>
      </c>
      <c r="D1316"/>
      <c r="E1316"/>
      <c r="F1316"/>
      <c r="G1316"/>
      <c r="H1316"/>
      <c r="I1316" s="21" t="str">
        <f t="shared" si="41"/>
        <v/>
      </c>
      <c r="L1316" s="24"/>
      <c r="M1316" s="24"/>
    </row>
    <row r="1317" spans="1:13">
      <c r="A1317" s="14" t="str">
        <f t="shared" si="40"/>
        <v/>
      </c>
      <c r="C1317" s="120" t="s">
        <v>128</v>
      </c>
      <c r="D1317"/>
      <c r="E1317"/>
      <c r="F1317"/>
      <c r="G1317"/>
      <c r="H1317"/>
      <c r="I1317" s="21" t="str">
        <f t="shared" si="41"/>
        <v/>
      </c>
      <c r="L1317" s="24"/>
      <c r="M1317" s="24"/>
    </row>
    <row r="1318" spans="1:13">
      <c r="A1318" s="10" t="str">
        <f t="shared" si="40"/>
        <v/>
      </c>
      <c r="C1318" s="120" t="s">
        <v>280</v>
      </c>
      <c r="D1318"/>
      <c r="E1318"/>
      <c r="F1318"/>
      <c r="G1318"/>
      <c r="H1318"/>
      <c r="I1318" s="21" t="str">
        <f t="shared" si="41"/>
        <v/>
      </c>
      <c r="L1318" s="24"/>
      <c r="M1318" s="24"/>
    </row>
    <row r="1319" spans="1:13">
      <c r="A1319" s="14" t="str">
        <f t="shared" si="40"/>
        <v/>
      </c>
      <c r="C1319" s="120" t="s">
        <v>282</v>
      </c>
      <c r="D1319"/>
      <c r="E1319"/>
      <c r="F1319"/>
      <c r="G1319"/>
      <c r="H1319"/>
      <c r="I1319" s="21" t="str">
        <f t="shared" si="41"/>
        <v/>
      </c>
      <c r="L1319" s="24"/>
      <c r="M1319" s="24"/>
    </row>
    <row r="1320" spans="1:13">
      <c r="A1320" s="10" t="str">
        <f t="shared" si="40"/>
        <v/>
      </c>
      <c r="C1320" s="120" t="s">
        <v>284</v>
      </c>
      <c r="D1320"/>
      <c r="E1320"/>
      <c r="F1320"/>
      <c r="G1320"/>
      <c r="H1320"/>
      <c r="I1320" s="21" t="str">
        <f t="shared" si="41"/>
        <v/>
      </c>
      <c r="L1320" s="24"/>
      <c r="M1320" s="24"/>
    </row>
    <row r="1321" spans="1:13">
      <c r="A1321" s="14" t="str">
        <f t="shared" si="40"/>
        <v/>
      </c>
      <c r="C1321" s="120" t="s">
        <v>286</v>
      </c>
      <c r="D1321"/>
      <c r="E1321"/>
      <c r="F1321"/>
      <c r="G1321"/>
      <c r="H1321"/>
      <c r="I1321" s="21" t="str">
        <f t="shared" si="41"/>
        <v/>
      </c>
      <c r="L1321" s="24"/>
      <c r="M1321" s="24"/>
    </row>
    <row r="1322" spans="1:13">
      <c r="A1322" s="10" t="str">
        <f t="shared" si="40"/>
        <v/>
      </c>
      <c r="C1322" s="120" t="s">
        <v>126</v>
      </c>
      <c r="D1322"/>
      <c r="E1322"/>
      <c r="F1322"/>
      <c r="G1322"/>
      <c r="H1322"/>
      <c r="I1322" s="21" t="str">
        <f t="shared" si="41"/>
        <v/>
      </c>
      <c r="L1322" s="24"/>
      <c r="M1322" s="24"/>
    </row>
    <row r="1323" spans="1:13">
      <c r="A1323" s="14" t="str">
        <f t="shared" si="40"/>
        <v/>
      </c>
      <c r="C1323" s="120" t="s">
        <v>128</v>
      </c>
      <c r="D1323"/>
      <c r="E1323"/>
      <c r="F1323"/>
      <c r="G1323"/>
      <c r="H1323"/>
      <c r="I1323" s="21" t="str">
        <f t="shared" si="41"/>
        <v/>
      </c>
      <c r="L1323" s="24"/>
      <c r="M1323" s="24"/>
    </row>
    <row r="1324" spans="1:13">
      <c r="A1324" s="10" t="str">
        <f t="shared" si="40"/>
        <v/>
      </c>
      <c r="C1324" s="120" t="s">
        <v>280</v>
      </c>
      <c r="D1324"/>
      <c r="E1324"/>
      <c r="F1324"/>
      <c r="G1324"/>
      <c r="H1324"/>
      <c r="I1324" s="21" t="str">
        <f t="shared" si="41"/>
        <v/>
      </c>
      <c r="L1324" s="24"/>
      <c r="M1324" s="24"/>
    </row>
    <row r="1325" spans="1:13">
      <c r="A1325" s="14" t="str">
        <f t="shared" si="40"/>
        <v/>
      </c>
      <c r="C1325" s="120" t="s">
        <v>282</v>
      </c>
      <c r="D1325"/>
      <c r="E1325"/>
      <c r="F1325"/>
      <c r="G1325"/>
      <c r="H1325"/>
      <c r="I1325" s="21" t="str">
        <f t="shared" si="41"/>
        <v/>
      </c>
      <c r="L1325" s="24"/>
      <c r="M1325" s="24"/>
    </row>
    <row r="1326" spans="1:13">
      <c r="A1326" s="10" t="str">
        <f t="shared" si="40"/>
        <v/>
      </c>
      <c r="C1326" s="120" t="s">
        <v>284</v>
      </c>
      <c r="D1326"/>
      <c r="E1326"/>
      <c r="F1326"/>
      <c r="G1326"/>
      <c r="H1326"/>
      <c r="I1326" s="21" t="str">
        <f t="shared" si="41"/>
        <v/>
      </c>
      <c r="L1326" s="24"/>
      <c r="M1326" s="24"/>
    </row>
    <row r="1327" spans="1:13">
      <c r="A1327" s="14" t="str">
        <f t="shared" si="40"/>
        <v/>
      </c>
      <c r="C1327" s="120" t="s">
        <v>286</v>
      </c>
      <c r="D1327"/>
      <c r="E1327"/>
      <c r="F1327"/>
      <c r="G1327"/>
      <c r="H1327"/>
      <c r="I1327" s="21" t="str">
        <f t="shared" si="41"/>
        <v/>
      </c>
      <c r="L1327" s="24"/>
      <c r="M1327" s="24"/>
    </row>
    <row r="1328" spans="1:13">
      <c r="A1328" s="10" t="str">
        <f t="shared" si="40"/>
        <v/>
      </c>
      <c r="C1328" s="120" t="s">
        <v>126</v>
      </c>
      <c r="D1328"/>
      <c r="E1328"/>
      <c r="F1328"/>
      <c r="G1328"/>
      <c r="H1328"/>
      <c r="I1328" s="21" t="str">
        <f t="shared" si="41"/>
        <v/>
      </c>
      <c r="L1328" s="24"/>
      <c r="M1328" s="24"/>
    </row>
    <row r="1329" spans="1:13">
      <c r="A1329" s="14" t="str">
        <f t="shared" si="40"/>
        <v/>
      </c>
      <c r="C1329" s="120" t="s">
        <v>128</v>
      </c>
      <c r="D1329"/>
      <c r="E1329"/>
      <c r="F1329"/>
      <c r="G1329"/>
      <c r="H1329"/>
      <c r="I1329" s="21" t="str">
        <f t="shared" si="41"/>
        <v/>
      </c>
      <c r="L1329" s="24"/>
      <c r="M1329" s="24"/>
    </row>
    <row r="1330" spans="1:13">
      <c r="A1330" s="10" t="str">
        <f t="shared" si="40"/>
        <v/>
      </c>
      <c r="C1330" s="120" t="s">
        <v>280</v>
      </c>
      <c r="D1330"/>
      <c r="E1330"/>
      <c r="F1330"/>
      <c r="G1330"/>
      <c r="H1330"/>
      <c r="I1330" s="21" t="str">
        <f t="shared" si="41"/>
        <v/>
      </c>
      <c r="L1330" s="24"/>
      <c r="M1330" s="24"/>
    </row>
    <row r="1331" spans="1:13">
      <c r="A1331" s="14" t="str">
        <f t="shared" si="40"/>
        <v/>
      </c>
      <c r="C1331" s="120" t="s">
        <v>282</v>
      </c>
      <c r="D1331"/>
      <c r="E1331"/>
      <c r="F1331"/>
      <c r="G1331"/>
      <c r="H1331"/>
      <c r="I1331" s="21" t="str">
        <f t="shared" si="41"/>
        <v/>
      </c>
      <c r="L1331" s="24"/>
      <c r="M1331" s="24"/>
    </row>
    <row r="1332" spans="1:13">
      <c r="A1332" s="10" t="str">
        <f t="shared" si="40"/>
        <v/>
      </c>
      <c r="C1332" s="120" t="s">
        <v>284</v>
      </c>
      <c r="D1332"/>
      <c r="E1332"/>
      <c r="F1332"/>
      <c r="G1332"/>
      <c r="H1332"/>
      <c r="I1332" s="21" t="str">
        <f t="shared" si="41"/>
        <v/>
      </c>
      <c r="L1332" s="24"/>
      <c r="M1332" s="24"/>
    </row>
    <row r="1333" spans="1:13">
      <c r="A1333" s="14" t="str">
        <f t="shared" si="40"/>
        <v/>
      </c>
      <c r="C1333" s="120" t="s">
        <v>286</v>
      </c>
      <c r="D1333"/>
      <c r="E1333"/>
      <c r="F1333"/>
      <c r="G1333"/>
      <c r="H1333"/>
      <c r="I1333" s="21" t="str">
        <f t="shared" si="41"/>
        <v/>
      </c>
      <c r="L1333" s="24"/>
      <c r="M1333" s="24"/>
    </row>
    <row r="1334" spans="1:13">
      <c r="A1334" s="10" t="str">
        <f t="shared" si="40"/>
        <v/>
      </c>
      <c r="C1334" s="120" t="s">
        <v>126</v>
      </c>
      <c r="D1334"/>
      <c r="E1334"/>
      <c r="F1334"/>
      <c r="G1334"/>
      <c r="H1334"/>
      <c r="I1334" s="21" t="str">
        <f t="shared" si="41"/>
        <v/>
      </c>
      <c r="L1334" s="24"/>
      <c r="M1334" s="24"/>
    </row>
    <row r="1335" spans="1:13">
      <c r="A1335" s="14" t="str">
        <f t="shared" si="40"/>
        <v/>
      </c>
      <c r="C1335" s="120" t="s">
        <v>128</v>
      </c>
      <c r="D1335"/>
      <c r="E1335"/>
      <c r="F1335"/>
      <c r="G1335"/>
      <c r="H1335"/>
      <c r="I1335" s="21" t="str">
        <f t="shared" si="41"/>
        <v/>
      </c>
      <c r="L1335" s="24"/>
      <c r="M1335" s="24"/>
    </row>
    <row r="1336" spans="1:13">
      <c r="A1336" s="10" t="str">
        <f t="shared" si="40"/>
        <v/>
      </c>
      <c r="C1336" s="120" t="s">
        <v>280</v>
      </c>
      <c r="D1336"/>
      <c r="E1336"/>
      <c r="F1336"/>
      <c r="G1336"/>
      <c r="H1336"/>
      <c r="I1336" s="21" t="str">
        <f t="shared" si="41"/>
        <v/>
      </c>
      <c r="L1336" s="24"/>
      <c r="M1336" s="24"/>
    </row>
    <row r="1337" spans="1:13">
      <c r="A1337" s="14" t="str">
        <f t="shared" si="40"/>
        <v/>
      </c>
      <c r="C1337" s="120" t="s">
        <v>282</v>
      </c>
      <c r="D1337"/>
      <c r="E1337"/>
      <c r="F1337"/>
      <c r="G1337"/>
      <c r="H1337"/>
      <c r="I1337" s="21" t="str">
        <f t="shared" si="41"/>
        <v/>
      </c>
      <c r="L1337" s="24"/>
      <c r="M1337" s="24"/>
    </row>
    <row r="1338" spans="1:13">
      <c r="A1338" s="10" t="str">
        <f t="shared" si="40"/>
        <v/>
      </c>
      <c r="C1338" s="120" t="s">
        <v>284</v>
      </c>
      <c r="D1338"/>
      <c r="E1338"/>
      <c r="F1338"/>
      <c r="G1338"/>
      <c r="H1338"/>
      <c r="I1338" s="21" t="str">
        <f t="shared" si="41"/>
        <v/>
      </c>
      <c r="L1338" s="24"/>
      <c r="M1338" s="24"/>
    </row>
    <row r="1339" spans="1:13">
      <c r="A1339" s="14" t="str">
        <f t="shared" si="40"/>
        <v/>
      </c>
      <c r="C1339" s="120" t="s">
        <v>286</v>
      </c>
      <c r="D1339"/>
      <c r="E1339"/>
      <c r="F1339"/>
      <c r="G1339"/>
      <c r="H1339"/>
      <c r="I1339" s="21" t="str">
        <f t="shared" si="41"/>
        <v/>
      </c>
      <c r="L1339" s="24"/>
      <c r="M1339" s="24"/>
    </row>
    <row r="1340" spans="1:13">
      <c r="A1340" s="10" t="str">
        <f t="shared" si="40"/>
        <v/>
      </c>
      <c r="C1340" s="120" t="s">
        <v>126</v>
      </c>
      <c r="D1340"/>
      <c r="E1340"/>
      <c r="F1340"/>
      <c r="G1340"/>
      <c r="H1340"/>
      <c r="I1340" s="21" t="str">
        <f t="shared" si="41"/>
        <v/>
      </c>
      <c r="L1340" s="24"/>
      <c r="M1340" s="24"/>
    </row>
    <row r="1341" spans="1:13">
      <c r="A1341" s="14" t="str">
        <f t="shared" si="40"/>
        <v/>
      </c>
      <c r="C1341" s="120" t="s">
        <v>128</v>
      </c>
      <c r="D1341"/>
      <c r="E1341"/>
      <c r="F1341"/>
      <c r="G1341"/>
      <c r="H1341"/>
      <c r="I1341" s="21" t="str">
        <f t="shared" si="41"/>
        <v/>
      </c>
      <c r="L1341" s="24"/>
      <c r="M1341" s="24"/>
    </row>
    <row r="1342" spans="1:13">
      <c r="A1342" s="10" t="str">
        <f t="shared" si="40"/>
        <v/>
      </c>
      <c r="C1342" s="120" t="s">
        <v>280</v>
      </c>
      <c r="D1342"/>
      <c r="E1342"/>
      <c r="F1342"/>
      <c r="G1342"/>
      <c r="H1342"/>
      <c r="I1342" s="21" t="str">
        <f t="shared" si="41"/>
        <v/>
      </c>
      <c r="L1342" s="24"/>
      <c r="M1342" s="24"/>
    </row>
    <row r="1343" spans="1:13">
      <c r="A1343" s="14" t="str">
        <f t="shared" si="40"/>
        <v/>
      </c>
      <c r="C1343" s="120" t="s">
        <v>282</v>
      </c>
      <c r="D1343"/>
      <c r="E1343"/>
      <c r="F1343"/>
      <c r="G1343"/>
      <c r="H1343"/>
      <c r="I1343" s="21" t="str">
        <f t="shared" si="41"/>
        <v/>
      </c>
      <c r="L1343" s="24"/>
      <c r="M1343" s="24"/>
    </row>
    <row r="1344" spans="1:13">
      <c r="A1344" s="10" t="str">
        <f t="shared" si="40"/>
        <v/>
      </c>
      <c r="C1344" s="120" t="s">
        <v>284</v>
      </c>
      <c r="D1344"/>
      <c r="E1344"/>
      <c r="F1344"/>
      <c r="G1344"/>
      <c r="H1344"/>
      <c r="I1344" s="21" t="str">
        <f t="shared" si="41"/>
        <v/>
      </c>
      <c r="L1344" s="24"/>
      <c r="M1344" s="24"/>
    </row>
    <row r="1345" spans="1:13">
      <c r="A1345" s="14" t="str">
        <f t="shared" si="40"/>
        <v/>
      </c>
      <c r="C1345" s="120" t="s">
        <v>286</v>
      </c>
      <c r="D1345"/>
      <c r="E1345"/>
      <c r="F1345"/>
      <c r="G1345"/>
      <c r="H1345"/>
      <c r="I1345" s="21" t="str">
        <f t="shared" si="41"/>
        <v/>
      </c>
      <c r="L1345" s="24"/>
      <c r="M1345" s="24"/>
    </row>
    <row r="1346" spans="1:13">
      <c r="A1346" s="10" t="str">
        <f t="shared" ref="A1346:A1409" si="42">IF(B1346&lt;&gt;"",ROW()-1,"")</f>
        <v/>
      </c>
      <c r="C1346" s="120" t="s">
        <v>126</v>
      </c>
      <c r="D1346"/>
      <c r="E1346"/>
      <c r="F1346"/>
      <c r="G1346"/>
      <c r="H1346"/>
      <c r="I1346" s="21" t="str">
        <f t="shared" ref="I1346:I1409" si="43">IF(AND(G1346&lt;&gt;"",H1346&lt;&gt;""),H1346-G1346,"")</f>
        <v/>
      </c>
      <c r="L1346" s="24"/>
      <c r="M1346" s="24"/>
    </row>
    <row r="1347" spans="1:13">
      <c r="A1347" s="14" t="str">
        <f t="shared" si="42"/>
        <v/>
      </c>
      <c r="C1347" s="120" t="s">
        <v>128</v>
      </c>
      <c r="D1347"/>
      <c r="E1347"/>
      <c r="F1347"/>
      <c r="G1347"/>
      <c r="H1347"/>
      <c r="I1347" s="21" t="str">
        <f t="shared" si="43"/>
        <v/>
      </c>
      <c r="L1347" s="24"/>
      <c r="M1347" s="24"/>
    </row>
    <row r="1348" spans="1:13">
      <c r="A1348" s="10" t="str">
        <f t="shared" si="42"/>
        <v/>
      </c>
      <c r="C1348" s="120" t="s">
        <v>280</v>
      </c>
      <c r="D1348"/>
      <c r="E1348"/>
      <c r="F1348"/>
      <c r="G1348"/>
      <c r="H1348"/>
      <c r="I1348" s="21" t="str">
        <f t="shared" si="43"/>
        <v/>
      </c>
      <c r="L1348" s="24"/>
      <c r="M1348" s="24"/>
    </row>
    <row r="1349" spans="1:13">
      <c r="A1349" s="14" t="str">
        <f t="shared" si="42"/>
        <v/>
      </c>
      <c r="C1349" s="120" t="s">
        <v>282</v>
      </c>
      <c r="D1349"/>
      <c r="E1349"/>
      <c r="F1349"/>
      <c r="G1349"/>
      <c r="H1349"/>
      <c r="I1349" s="21" t="str">
        <f t="shared" si="43"/>
        <v/>
      </c>
      <c r="L1349" s="24"/>
      <c r="M1349" s="24"/>
    </row>
    <row r="1350" spans="1:13">
      <c r="A1350" s="10" t="str">
        <f t="shared" si="42"/>
        <v/>
      </c>
      <c r="C1350" s="120" t="s">
        <v>284</v>
      </c>
      <c r="D1350"/>
      <c r="E1350"/>
      <c r="F1350"/>
      <c r="G1350"/>
      <c r="H1350"/>
      <c r="I1350" s="21" t="str">
        <f t="shared" si="43"/>
        <v/>
      </c>
      <c r="L1350" s="24"/>
      <c r="M1350" s="24"/>
    </row>
    <row r="1351" spans="1:13">
      <c r="A1351" s="14" t="str">
        <f t="shared" si="42"/>
        <v/>
      </c>
      <c r="C1351" s="120" t="s">
        <v>286</v>
      </c>
      <c r="D1351"/>
      <c r="E1351"/>
      <c r="F1351"/>
      <c r="G1351"/>
      <c r="H1351"/>
      <c r="I1351" s="21" t="str">
        <f t="shared" si="43"/>
        <v/>
      </c>
      <c r="L1351" s="24"/>
      <c r="M1351" s="24"/>
    </row>
    <row r="1352" spans="1:13">
      <c r="A1352" s="10" t="str">
        <f t="shared" si="42"/>
        <v/>
      </c>
      <c r="C1352" s="120" t="s">
        <v>126</v>
      </c>
      <c r="D1352"/>
      <c r="E1352"/>
      <c r="F1352"/>
      <c r="G1352"/>
      <c r="H1352"/>
      <c r="I1352" s="21" t="str">
        <f t="shared" si="43"/>
        <v/>
      </c>
      <c r="L1352" s="24"/>
      <c r="M1352" s="24"/>
    </row>
    <row r="1353" spans="1:13">
      <c r="A1353" s="14" t="str">
        <f t="shared" si="42"/>
        <v/>
      </c>
      <c r="C1353" s="120" t="s">
        <v>128</v>
      </c>
      <c r="D1353"/>
      <c r="E1353"/>
      <c r="F1353"/>
      <c r="G1353"/>
      <c r="H1353"/>
      <c r="I1353" s="21" t="str">
        <f t="shared" si="43"/>
        <v/>
      </c>
      <c r="L1353" s="24"/>
      <c r="M1353" s="24"/>
    </row>
    <row r="1354" spans="1:13">
      <c r="A1354" s="10" t="str">
        <f t="shared" si="42"/>
        <v/>
      </c>
      <c r="C1354" s="120" t="s">
        <v>280</v>
      </c>
      <c r="D1354"/>
      <c r="E1354"/>
      <c r="F1354"/>
      <c r="G1354"/>
      <c r="H1354"/>
      <c r="I1354" s="21" t="str">
        <f t="shared" si="43"/>
        <v/>
      </c>
      <c r="L1354" s="24"/>
      <c r="M1354" s="24"/>
    </row>
    <row r="1355" spans="1:13">
      <c r="A1355" s="14" t="str">
        <f t="shared" si="42"/>
        <v/>
      </c>
      <c r="C1355" s="120" t="s">
        <v>282</v>
      </c>
      <c r="D1355"/>
      <c r="E1355"/>
      <c r="F1355"/>
      <c r="G1355"/>
      <c r="H1355"/>
      <c r="I1355" s="21" t="str">
        <f t="shared" si="43"/>
        <v/>
      </c>
      <c r="L1355" s="24"/>
      <c r="M1355" s="24"/>
    </row>
    <row r="1356" spans="1:13">
      <c r="A1356" s="10" t="str">
        <f t="shared" si="42"/>
        <v/>
      </c>
      <c r="C1356" s="120" t="s">
        <v>284</v>
      </c>
      <c r="D1356"/>
      <c r="E1356"/>
      <c r="F1356"/>
      <c r="G1356"/>
      <c r="H1356"/>
      <c r="I1356" s="21" t="str">
        <f t="shared" si="43"/>
        <v/>
      </c>
      <c r="L1356" s="24"/>
      <c r="M1356" s="24"/>
    </row>
    <row r="1357" spans="1:13">
      <c r="A1357" s="14" t="str">
        <f t="shared" si="42"/>
        <v/>
      </c>
      <c r="C1357" s="120" t="s">
        <v>286</v>
      </c>
      <c r="D1357"/>
      <c r="E1357"/>
      <c r="F1357"/>
      <c r="G1357"/>
      <c r="H1357"/>
      <c r="I1357" s="21" t="str">
        <f t="shared" si="43"/>
        <v/>
      </c>
      <c r="L1357" s="24"/>
      <c r="M1357" s="24"/>
    </row>
    <row r="1358" spans="1:13">
      <c r="A1358" s="10" t="str">
        <f t="shared" si="42"/>
        <v/>
      </c>
      <c r="C1358" s="120" t="s">
        <v>126</v>
      </c>
      <c r="D1358"/>
      <c r="E1358"/>
      <c r="F1358"/>
      <c r="G1358"/>
      <c r="H1358"/>
      <c r="I1358" s="21" t="str">
        <f t="shared" si="43"/>
        <v/>
      </c>
      <c r="L1358" s="24"/>
      <c r="M1358" s="24"/>
    </row>
    <row r="1359" spans="1:13">
      <c r="A1359" s="14" t="str">
        <f t="shared" si="42"/>
        <v/>
      </c>
      <c r="C1359" s="120" t="s">
        <v>128</v>
      </c>
      <c r="D1359"/>
      <c r="E1359"/>
      <c r="F1359"/>
      <c r="G1359"/>
      <c r="H1359"/>
      <c r="I1359" s="21" t="str">
        <f t="shared" si="43"/>
        <v/>
      </c>
      <c r="L1359" s="24"/>
      <c r="M1359" s="24"/>
    </row>
    <row r="1360" spans="1:13">
      <c r="A1360" s="10" t="str">
        <f t="shared" si="42"/>
        <v/>
      </c>
      <c r="C1360" s="120" t="s">
        <v>280</v>
      </c>
      <c r="D1360"/>
      <c r="E1360"/>
      <c r="F1360"/>
      <c r="G1360"/>
      <c r="H1360"/>
      <c r="I1360" s="21" t="str">
        <f t="shared" si="43"/>
        <v/>
      </c>
      <c r="L1360" s="24"/>
      <c r="M1360" s="24"/>
    </row>
    <row r="1361" spans="1:13">
      <c r="A1361" s="14" t="str">
        <f t="shared" si="42"/>
        <v/>
      </c>
      <c r="C1361" s="120" t="s">
        <v>282</v>
      </c>
      <c r="D1361"/>
      <c r="E1361"/>
      <c r="F1361"/>
      <c r="G1361"/>
      <c r="H1361"/>
      <c r="I1361" s="21" t="str">
        <f t="shared" si="43"/>
        <v/>
      </c>
      <c r="L1361" s="24"/>
      <c r="M1361" s="24"/>
    </row>
    <row r="1362" spans="1:13">
      <c r="A1362" s="10" t="str">
        <f t="shared" si="42"/>
        <v/>
      </c>
      <c r="C1362" s="120" t="s">
        <v>284</v>
      </c>
      <c r="D1362"/>
      <c r="E1362"/>
      <c r="F1362"/>
      <c r="G1362"/>
      <c r="H1362"/>
      <c r="I1362" s="21" t="str">
        <f t="shared" si="43"/>
        <v/>
      </c>
      <c r="L1362" s="24"/>
      <c r="M1362" s="24"/>
    </row>
    <row r="1363" spans="1:13">
      <c r="A1363" s="14" t="str">
        <f t="shared" si="42"/>
        <v/>
      </c>
      <c r="C1363" s="120" t="s">
        <v>286</v>
      </c>
      <c r="D1363"/>
      <c r="E1363"/>
      <c r="F1363"/>
      <c r="G1363"/>
      <c r="H1363"/>
      <c r="I1363" s="21" t="str">
        <f t="shared" si="43"/>
        <v/>
      </c>
      <c r="L1363" s="24"/>
      <c r="M1363" s="24"/>
    </row>
    <row r="1364" spans="1:13">
      <c r="A1364" s="10" t="str">
        <f t="shared" si="42"/>
        <v/>
      </c>
      <c r="C1364" s="120" t="s">
        <v>126</v>
      </c>
      <c r="D1364"/>
      <c r="E1364"/>
      <c r="F1364"/>
      <c r="G1364"/>
      <c r="H1364"/>
      <c r="I1364" s="21" t="str">
        <f t="shared" si="43"/>
        <v/>
      </c>
      <c r="L1364" s="24"/>
      <c r="M1364" s="24"/>
    </row>
    <row r="1365" spans="1:13">
      <c r="A1365" s="14" t="str">
        <f t="shared" si="42"/>
        <v/>
      </c>
      <c r="C1365" s="120" t="s">
        <v>128</v>
      </c>
      <c r="D1365"/>
      <c r="E1365"/>
      <c r="F1365"/>
      <c r="G1365"/>
      <c r="H1365"/>
      <c r="I1365" s="21" t="str">
        <f t="shared" si="43"/>
        <v/>
      </c>
      <c r="L1365" s="24"/>
      <c r="M1365" s="24"/>
    </row>
    <row r="1366" spans="1:13">
      <c r="A1366" s="10" t="str">
        <f t="shared" si="42"/>
        <v/>
      </c>
      <c r="C1366" s="120" t="s">
        <v>280</v>
      </c>
      <c r="D1366"/>
      <c r="E1366"/>
      <c r="F1366"/>
      <c r="G1366"/>
      <c r="H1366"/>
      <c r="I1366" s="21" t="str">
        <f t="shared" si="43"/>
        <v/>
      </c>
      <c r="L1366" s="24"/>
      <c r="M1366" s="24"/>
    </row>
    <row r="1367" spans="1:13">
      <c r="A1367" s="14" t="str">
        <f t="shared" si="42"/>
        <v/>
      </c>
      <c r="C1367" s="120" t="s">
        <v>282</v>
      </c>
      <c r="D1367"/>
      <c r="E1367"/>
      <c r="F1367"/>
      <c r="G1367"/>
      <c r="H1367"/>
      <c r="I1367" s="21" t="str">
        <f t="shared" si="43"/>
        <v/>
      </c>
      <c r="L1367" s="24"/>
      <c r="M1367" s="24"/>
    </row>
    <row r="1368" spans="1:13">
      <c r="A1368" s="10" t="str">
        <f t="shared" si="42"/>
        <v/>
      </c>
      <c r="C1368" s="120" t="s">
        <v>284</v>
      </c>
      <c r="D1368"/>
      <c r="E1368"/>
      <c r="F1368"/>
      <c r="G1368"/>
      <c r="H1368"/>
      <c r="I1368" s="21" t="str">
        <f t="shared" si="43"/>
        <v/>
      </c>
      <c r="L1368" s="24"/>
      <c r="M1368" s="24"/>
    </row>
    <row r="1369" spans="1:13">
      <c r="A1369" s="14" t="str">
        <f t="shared" si="42"/>
        <v/>
      </c>
      <c r="C1369" s="120" t="s">
        <v>286</v>
      </c>
      <c r="D1369"/>
      <c r="E1369"/>
      <c r="F1369"/>
      <c r="G1369"/>
      <c r="H1369"/>
      <c r="I1369" s="21" t="str">
        <f t="shared" si="43"/>
        <v/>
      </c>
      <c r="L1369" s="24"/>
      <c r="M1369" s="24"/>
    </row>
    <row r="1370" spans="1:13">
      <c r="A1370" s="10" t="str">
        <f t="shared" si="42"/>
        <v/>
      </c>
      <c r="C1370" s="120" t="s">
        <v>126</v>
      </c>
      <c r="D1370"/>
      <c r="E1370"/>
      <c r="F1370"/>
      <c r="G1370"/>
      <c r="H1370"/>
      <c r="I1370" s="21" t="str">
        <f t="shared" si="43"/>
        <v/>
      </c>
      <c r="L1370" s="24"/>
      <c r="M1370" s="24"/>
    </row>
    <row r="1371" spans="1:13">
      <c r="A1371" s="14" t="str">
        <f t="shared" si="42"/>
        <v/>
      </c>
      <c r="C1371" s="120" t="s">
        <v>128</v>
      </c>
      <c r="D1371"/>
      <c r="E1371"/>
      <c r="F1371"/>
      <c r="G1371"/>
      <c r="H1371"/>
      <c r="I1371" s="21" t="str">
        <f t="shared" si="43"/>
        <v/>
      </c>
      <c r="L1371" s="24"/>
      <c r="M1371" s="24"/>
    </row>
    <row r="1372" spans="1:13">
      <c r="A1372" s="10" t="str">
        <f t="shared" si="42"/>
        <v/>
      </c>
      <c r="C1372" s="120" t="s">
        <v>280</v>
      </c>
      <c r="D1372"/>
      <c r="E1372"/>
      <c r="F1372"/>
      <c r="G1372"/>
      <c r="H1372"/>
      <c r="I1372" s="21" t="str">
        <f t="shared" si="43"/>
        <v/>
      </c>
      <c r="L1372" s="24"/>
      <c r="M1372" s="24"/>
    </row>
    <row r="1373" spans="1:13">
      <c r="A1373" s="14" t="str">
        <f t="shared" si="42"/>
        <v/>
      </c>
      <c r="C1373" s="120" t="s">
        <v>282</v>
      </c>
      <c r="D1373"/>
      <c r="E1373"/>
      <c r="F1373"/>
      <c r="G1373"/>
      <c r="H1373"/>
      <c r="I1373" s="21" t="str">
        <f t="shared" si="43"/>
        <v/>
      </c>
      <c r="L1373" s="24"/>
      <c r="M1373" s="24"/>
    </row>
    <row r="1374" spans="1:13">
      <c r="A1374" s="10" t="str">
        <f t="shared" si="42"/>
        <v/>
      </c>
      <c r="C1374" s="120" t="s">
        <v>284</v>
      </c>
      <c r="D1374"/>
      <c r="E1374"/>
      <c r="F1374"/>
      <c r="G1374"/>
      <c r="H1374"/>
      <c r="I1374" s="21" t="str">
        <f t="shared" si="43"/>
        <v/>
      </c>
      <c r="L1374" s="24"/>
      <c r="M1374" s="24"/>
    </row>
    <row r="1375" spans="1:13">
      <c r="A1375" s="14" t="str">
        <f t="shared" si="42"/>
        <v/>
      </c>
      <c r="C1375" s="120" t="s">
        <v>286</v>
      </c>
      <c r="D1375"/>
      <c r="E1375"/>
      <c r="F1375"/>
      <c r="G1375"/>
      <c r="H1375"/>
      <c r="I1375" s="21" t="str">
        <f t="shared" si="43"/>
        <v/>
      </c>
      <c r="L1375" s="24"/>
      <c r="M1375" s="24"/>
    </row>
    <row r="1376" spans="1:13">
      <c r="A1376" s="10" t="str">
        <f t="shared" si="42"/>
        <v/>
      </c>
      <c r="C1376" s="120" t="s">
        <v>126</v>
      </c>
      <c r="D1376"/>
      <c r="E1376"/>
      <c r="F1376"/>
      <c r="G1376"/>
      <c r="H1376"/>
      <c r="I1376" s="21" t="str">
        <f t="shared" si="43"/>
        <v/>
      </c>
      <c r="L1376" s="24"/>
      <c r="M1376" s="24"/>
    </row>
    <row r="1377" spans="1:13">
      <c r="A1377" s="14" t="str">
        <f t="shared" si="42"/>
        <v/>
      </c>
      <c r="C1377" s="120" t="s">
        <v>128</v>
      </c>
      <c r="D1377"/>
      <c r="E1377"/>
      <c r="F1377"/>
      <c r="G1377"/>
      <c r="H1377"/>
      <c r="I1377" s="21" t="str">
        <f t="shared" si="43"/>
        <v/>
      </c>
      <c r="L1377" s="24"/>
      <c r="M1377" s="24"/>
    </row>
    <row r="1378" spans="1:13">
      <c r="A1378" s="10" t="str">
        <f t="shared" si="42"/>
        <v/>
      </c>
      <c r="C1378" s="120" t="s">
        <v>280</v>
      </c>
      <c r="D1378"/>
      <c r="E1378"/>
      <c r="F1378"/>
      <c r="G1378"/>
      <c r="H1378"/>
      <c r="I1378" s="21" t="str">
        <f t="shared" si="43"/>
        <v/>
      </c>
      <c r="L1378" s="24"/>
      <c r="M1378" s="24"/>
    </row>
    <row r="1379" spans="1:13">
      <c r="A1379" s="14" t="str">
        <f t="shared" si="42"/>
        <v/>
      </c>
      <c r="C1379" s="120" t="s">
        <v>282</v>
      </c>
      <c r="D1379"/>
      <c r="E1379"/>
      <c r="F1379"/>
      <c r="G1379"/>
      <c r="H1379"/>
      <c r="I1379" s="21" t="str">
        <f t="shared" si="43"/>
        <v/>
      </c>
      <c r="L1379" s="24"/>
      <c r="M1379" s="24"/>
    </row>
    <row r="1380" spans="1:13">
      <c r="A1380" s="10" t="str">
        <f t="shared" si="42"/>
        <v/>
      </c>
      <c r="C1380" s="120" t="s">
        <v>284</v>
      </c>
      <c r="D1380"/>
      <c r="E1380"/>
      <c r="F1380"/>
      <c r="G1380"/>
      <c r="H1380"/>
      <c r="I1380" s="21" t="str">
        <f t="shared" si="43"/>
        <v/>
      </c>
      <c r="L1380" s="24"/>
      <c r="M1380" s="24"/>
    </row>
    <row r="1381" spans="1:13">
      <c r="A1381" s="14" t="str">
        <f t="shared" si="42"/>
        <v/>
      </c>
      <c r="C1381" s="120" t="s">
        <v>286</v>
      </c>
      <c r="D1381"/>
      <c r="E1381"/>
      <c r="F1381"/>
      <c r="G1381"/>
      <c r="H1381"/>
      <c r="I1381" s="21" t="str">
        <f t="shared" si="43"/>
        <v/>
      </c>
      <c r="L1381" s="24"/>
      <c r="M1381" s="24"/>
    </row>
    <row r="1382" spans="1:13">
      <c r="A1382" s="10" t="str">
        <f t="shared" si="42"/>
        <v/>
      </c>
      <c r="C1382" s="120" t="s">
        <v>126</v>
      </c>
      <c r="D1382"/>
      <c r="E1382"/>
      <c r="F1382"/>
      <c r="G1382"/>
      <c r="H1382"/>
      <c r="I1382" s="21" t="str">
        <f t="shared" si="43"/>
        <v/>
      </c>
      <c r="L1382" s="24"/>
      <c r="M1382" s="24"/>
    </row>
    <row r="1383" spans="1:13">
      <c r="A1383" s="14" t="str">
        <f t="shared" si="42"/>
        <v/>
      </c>
      <c r="C1383" s="120" t="s">
        <v>128</v>
      </c>
      <c r="D1383"/>
      <c r="E1383"/>
      <c r="F1383"/>
      <c r="G1383"/>
      <c r="H1383"/>
      <c r="I1383" s="21" t="str">
        <f t="shared" si="43"/>
        <v/>
      </c>
      <c r="L1383" s="24"/>
      <c r="M1383" s="24"/>
    </row>
    <row r="1384" spans="1:13">
      <c r="A1384" s="10" t="str">
        <f t="shared" si="42"/>
        <v/>
      </c>
      <c r="C1384" s="120" t="s">
        <v>280</v>
      </c>
      <c r="D1384"/>
      <c r="E1384"/>
      <c r="F1384"/>
      <c r="G1384"/>
      <c r="H1384"/>
      <c r="I1384" s="21" t="str">
        <f t="shared" si="43"/>
        <v/>
      </c>
      <c r="L1384" s="24"/>
      <c r="M1384" s="24"/>
    </row>
    <row r="1385" spans="1:13">
      <c r="A1385" s="14" t="str">
        <f t="shared" si="42"/>
        <v/>
      </c>
      <c r="C1385" s="120" t="s">
        <v>282</v>
      </c>
      <c r="D1385"/>
      <c r="E1385"/>
      <c r="F1385"/>
      <c r="G1385"/>
      <c r="H1385"/>
      <c r="I1385" s="21" t="str">
        <f t="shared" si="43"/>
        <v/>
      </c>
      <c r="L1385" s="24"/>
      <c r="M1385" s="24"/>
    </row>
    <row r="1386" spans="1:13">
      <c r="A1386" s="10" t="str">
        <f t="shared" si="42"/>
        <v/>
      </c>
      <c r="C1386" s="120" t="s">
        <v>284</v>
      </c>
      <c r="D1386"/>
      <c r="E1386"/>
      <c r="F1386"/>
      <c r="G1386"/>
      <c r="H1386"/>
      <c r="I1386" s="21" t="str">
        <f t="shared" si="43"/>
        <v/>
      </c>
      <c r="L1386" s="24"/>
      <c r="M1386" s="24"/>
    </row>
    <row r="1387" spans="1:13">
      <c r="A1387" s="14" t="str">
        <f t="shared" si="42"/>
        <v/>
      </c>
      <c r="C1387" s="120" t="s">
        <v>286</v>
      </c>
      <c r="D1387"/>
      <c r="E1387"/>
      <c r="F1387"/>
      <c r="G1387"/>
      <c r="H1387"/>
      <c r="I1387" s="21" t="str">
        <f t="shared" si="43"/>
        <v/>
      </c>
      <c r="L1387" s="24"/>
      <c r="M1387" s="24"/>
    </row>
    <row r="1388" spans="1:13">
      <c r="A1388" s="10" t="str">
        <f t="shared" si="42"/>
        <v/>
      </c>
      <c r="C1388" s="120" t="s">
        <v>126</v>
      </c>
      <c r="D1388"/>
      <c r="E1388"/>
      <c r="F1388"/>
      <c r="G1388"/>
      <c r="H1388"/>
      <c r="I1388" s="21" t="str">
        <f t="shared" si="43"/>
        <v/>
      </c>
      <c r="L1388" s="24"/>
      <c r="M1388" s="24"/>
    </row>
    <row r="1389" spans="1:13">
      <c r="A1389" s="14" t="str">
        <f t="shared" si="42"/>
        <v/>
      </c>
      <c r="C1389" s="120" t="s">
        <v>128</v>
      </c>
      <c r="D1389"/>
      <c r="E1389"/>
      <c r="F1389"/>
      <c r="G1389"/>
      <c r="H1389"/>
      <c r="I1389" s="21" t="str">
        <f t="shared" si="43"/>
        <v/>
      </c>
      <c r="L1389" s="24"/>
      <c r="M1389" s="24"/>
    </row>
    <row r="1390" spans="1:13">
      <c r="A1390" s="10" t="str">
        <f t="shared" si="42"/>
        <v/>
      </c>
      <c r="C1390" s="120" t="s">
        <v>280</v>
      </c>
      <c r="D1390"/>
      <c r="E1390"/>
      <c r="F1390"/>
      <c r="G1390"/>
      <c r="H1390"/>
      <c r="I1390" s="21" t="str">
        <f t="shared" si="43"/>
        <v/>
      </c>
      <c r="L1390" s="24"/>
      <c r="M1390" s="24"/>
    </row>
    <row r="1391" spans="1:13">
      <c r="A1391" s="14" t="str">
        <f t="shared" si="42"/>
        <v/>
      </c>
      <c r="C1391" s="120" t="s">
        <v>282</v>
      </c>
      <c r="D1391"/>
      <c r="E1391"/>
      <c r="F1391"/>
      <c r="G1391"/>
      <c r="H1391"/>
      <c r="I1391" s="21" t="str">
        <f t="shared" si="43"/>
        <v/>
      </c>
      <c r="L1391" s="24"/>
      <c r="M1391" s="24"/>
    </row>
    <row r="1392" spans="1:13">
      <c r="A1392" s="10" t="str">
        <f t="shared" si="42"/>
        <v/>
      </c>
      <c r="C1392" s="120" t="s">
        <v>284</v>
      </c>
      <c r="D1392"/>
      <c r="E1392"/>
      <c r="F1392"/>
      <c r="G1392"/>
      <c r="H1392"/>
      <c r="I1392" s="21" t="str">
        <f t="shared" si="43"/>
        <v/>
      </c>
      <c r="L1392" s="24"/>
      <c r="M1392" s="24"/>
    </row>
    <row r="1393" spans="1:13">
      <c r="A1393" s="14" t="str">
        <f t="shared" si="42"/>
        <v/>
      </c>
      <c r="C1393" s="120" t="s">
        <v>286</v>
      </c>
      <c r="D1393"/>
      <c r="E1393"/>
      <c r="F1393"/>
      <c r="G1393"/>
      <c r="H1393"/>
      <c r="I1393" s="21" t="str">
        <f t="shared" si="43"/>
        <v/>
      </c>
      <c r="L1393" s="24"/>
      <c r="M1393" s="24"/>
    </row>
    <row r="1394" spans="1:13">
      <c r="A1394" s="10" t="str">
        <f t="shared" si="42"/>
        <v/>
      </c>
      <c r="C1394" s="120" t="s">
        <v>126</v>
      </c>
      <c r="D1394"/>
      <c r="E1394"/>
      <c r="F1394"/>
      <c r="G1394"/>
      <c r="H1394"/>
      <c r="I1394" s="21" t="str">
        <f t="shared" si="43"/>
        <v/>
      </c>
      <c r="L1394" s="24"/>
      <c r="M1394" s="24"/>
    </row>
    <row r="1395" spans="1:13">
      <c r="A1395" s="14" t="str">
        <f t="shared" si="42"/>
        <v/>
      </c>
      <c r="C1395" s="120" t="s">
        <v>128</v>
      </c>
      <c r="D1395"/>
      <c r="E1395"/>
      <c r="F1395"/>
      <c r="G1395"/>
      <c r="H1395"/>
      <c r="I1395" s="21" t="str">
        <f t="shared" si="43"/>
        <v/>
      </c>
      <c r="L1395" s="24"/>
      <c r="M1395" s="24"/>
    </row>
    <row r="1396" spans="1:13">
      <c r="A1396" s="10" t="str">
        <f t="shared" si="42"/>
        <v/>
      </c>
      <c r="C1396" s="120" t="s">
        <v>280</v>
      </c>
      <c r="D1396"/>
      <c r="E1396"/>
      <c r="F1396"/>
      <c r="G1396"/>
      <c r="H1396"/>
      <c r="I1396" s="21" t="str">
        <f t="shared" si="43"/>
        <v/>
      </c>
      <c r="L1396" s="24"/>
      <c r="M1396" s="24"/>
    </row>
    <row r="1397" spans="1:13">
      <c r="A1397" s="14" t="str">
        <f t="shared" si="42"/>
        <v/>
      </c>
      <c r="C1397" s="120" t="s">
        <v>282</v>
      </c>
      <c r="D1397"/>
      <c r="E1397"/>
      <c r="F1397"/>
      <c r="G1397"/>
      <c r="H1397"/>
      <c r="I1397" s="21" t="str">
        <f t="shared" si="43"/>
        <v/>
      </c>
      <c r="L1397" s="24"/>
      <c r="M1397" s="24"/>
    </row>
    <row r="1398" spans="1:13">
      <c r="A1398" s="10" t="str">
        <f t="shared" si="42"/>
        <v/>
      </c>
      <c r="C1398" s="120" t="s">
        <v>284</v>
      </c>
      <c r="D1398"/>
      <c r="E1398"/>
      <c r="F1398"/>
      <c r="G1398"/>
      <c r="H1398"/>
      <c r="I1398" s="21" t="str">
        <f t="shared" si="43"/>
        <v/>
      </c>
      <c r="L1398" s="24"/>
      <c r="M1398" s="24"/>
    </row>
    <row r="1399" spans="1:13">
      <c r="A1399" s="14" t="str">
        <f t="shared" si="42"/>
        <v/>
      </c>
      <c r="C1399" s="120" t="s">
        <v>286</v>
      </c>
      <c r="D1399"/>
      <c r="E1399"/>
      <c r="F1399"/>
      <c r="G1399"/>
      <c r="H1399"/>
      <c r="I1399" s="21" t="str">
        <f t="shared" si="43"/>
        <v/>
      </c>
      <c r="L1399" s="24"/>
      <c r="M1399" s="24"/>
    </row>
    <row r="1400" spans="1:13">
      <c r="A1400" s="10" t="str">
        <f t="shared" si="42"/>
        <v/>
      </c>
      <c r="C1400" s="120" t="s">
        <v>126</v>
      </c>
      <c r="D1400"/>
      <c r="E1400"/>
      <c r="F1400"/>
      <c r="G1400"/>
      <c r="H1400"/>
      <c r="I1400" s="21" t="str">
        <f t="shared" si="43"/>
        <v/>
      </c>
      <c r="L1400" s="24"/>
      <c r="M1400" s="24"/>
    </row>
    <row r="1401" spans="1:13">
      <c r="A1401" s="14" t="str">
        <f t="shared" si="42"/>
        <v/>
      </c>
      <c r="C1401" s="120" t="s">
        <v>128</v>
      </c>
      <c r="D1401"/>
      <c r="E1401"/>
      <c r="F1401"/>
      <c r="G1401"/>
      <c r="H1401"/>
      <c r="I1401" s="21" t="str">
        <f t="shared" si="43"/>
        <v/>
      </c>
      <c r="L1401" s="24"/>
      <c r="M1401" s="24"/>
    </row>
    <row r="1402" spans="1:13">
      <c r="A1402" s="10" t="str">
        <f t="shared" si="42"/>
        <v/>
      </c>
      <c r="C1402" s="120" t="s">
        <v>280</v>
      </c>
      <c r="D1402"/>
      <c r="E1402"/>
      <c r="F1402"/>
      <c r="G1402"/>
      <c r="H1402"/>
      <c r="I1402" s="21" t="str">
        <f t="shared" si="43"/>
        <v/>
      </c>
      <c r="L1402" s="24"/>
      <c r="M1402" s="24"/>
    </row>
    <row r="1403" spans="1:13">
      <c r="A1403" s="14" t="str">
        <f t="shared" si="42"/>
        <v/>
      </c>
      <c r="C1403" s="120" t="s">
        <v>282</v>
      </c>
      <c r="D1403"/>
      <c r="E1403"/>
      <c r="F1403"/>
      <c r="G1403"/>
      <c r="H1403"/>
      <c r="I1403" s="21" t="str">
        <f t="shared" si="43"/>
        <v/>
      </c>
      <c r="L1403" s="24"/>
      <c r="M1403" s="24"/>
    </row>
    <row r="1404" spans="1:13">
      <c r="A1404" s="10" t="str">
        <f t="shared" si="42"/>
        <v/>
      </c>
      <c r="C1404" s="120" t="s">
        <v>284</v>
      </c>
      <c r="D1404"/>
      <c r="E1404"/>
      <c r="F1404"/>
      <c r="G1404"/>
      <c r="H1404"/>
      <c r="I1404" s="21" t="str">
        <f t="shared" si="43"/>
        <v/>
      </c>
      <c r="L1404" s="24"/>
      <c r="M1404" s="24"/>
    </row>
    <row r="1405" spans="1:13">
      <c r="A1405" s="14" t="str">
        <f t="shared" si="42"/>
        <v/>
      </c>
      <c r="C1405" s="120" t="s">
        <v>286</v>
      </c>
      <c r="D1405"/>
      <c r="E1405"/>
      <c r="F1405"/>
      <c r="G1405"/>
      <c r="H1405"/>
      <c r="I1405" s="21" t="str">
        <f t="shared" si="43"/>
        <v/>
      </c>
      <c r="L1405" s="24"/>
      <c r="M1405" s="24"/>
    </row>
    <row r="1406" spans="1:13">
      <c r="A1406" s="10" t="str">
        <f t="shared" si="42"/>
        <v/>
      </c>
      <c r="C1406" s="120" t="s">
        <v>126</v>
      </c>
      <c r="D1406"/>
      <c r="E1406"/>
      <c r="F1406"/>
      <c r="G1406"/>
      <c r="H1406"/>
      <c r="I1406" s="21" t="str">
        <f t="shared" si="43"/>
        <v/>
      </c>
      <c r="L1406" s="24"/>
      <c r="M1406" s="24"/>
    </row>
    <row r="1407" spans="1:13">
      <c r="A1407" s="14" t="str">
        <f t="shared" si="42"/>
        <v/>
      </c>
      <c r="C1407" s="120" t="s">
        <v>128</v>
      </c>
      <c r="D1407"/>
      <c r="E1407"/>
      <c r="F1407"/>
      <c r="G1407"/>
      <c r="H1407"/>
      <c r="I1407" s="21" t="str">
        <f t="shared" si="43"/>
        <v/>
      </c>
      <c r="L1407" s="24"/>
      <c r="M1407" s="24"/>
    </row>
    <row r="1408" spans="1:13">
      <c r="A1408" s="10" t="str">
        <f t="shared" si="42"/>
        <v/>
      </c>
      <c r="C1408" s="120" t="s">
        <v>280</v>
      </c>
      <c r="D1408"/>
      <c r="E1408"/>
      <c r="F1408"/>
      <c r="G1408"/>
      <c r="H1408"/>
      <c r="I1408" s="21" t="str">
        <f t="shared" si="43"/>
        <v/>
      </c>
      <c r="L1408" s="24"/>
      <c r="M1408" s="24"/>
    </row>
    <row r="1409" spans="1:13">
      <c r="A1409" s="14" t="str">
        <f t="shared" si="42"/>
        <v/>
      </c>
      <c r="C1409" s="120" t="s">
        <v>282</v>
      </c>
      <c r="D1409"/>
      <c r="E1409"/>
      <c r="F1409"/>
      <c r="G1409"/>
      <c r="H1409"/>
      <c r="I1409" s="21" t="str">
        <f t="shared" si="43"/>
        <v/>
      </c>
      <c r="L1409" s="24"/>
      <c r="M1409" s="24"/>
    </row>
    <row r="1410" spans="1:13">
      <c r="A1410" s="10" t="str">
        <f t="shared" ref="A1410:A1473" si="44">IF(B1410&lt;&gt;"",ROW()-1,"")</f>
        <v/>
      </c>
      <c r="C1410" s="120" t="s">
        <v>284</v>
      </c>
      <c r="D1410"/>
      <c r="E1410"/>
      <c r="F1410"/>
      <c r="G1410"/>
      <c r="H1410"/>
      <c r="I1410" s="21" t="str">
        <f t="shared" ref="I1410:I1473" si="45">IF(AND(G1410&lt;&gt;"",H1410&lt;&gt;""),H1410-G1410,"")</f>
        <v/>
      </c>
      <c r="L1410" s="24"/>
      <c r="M1410" s="24"/>
    </row>
    <row r="1411" spans="1:13">
      <c r="A1411" s="14" t="str">
        <f t="shared" si="44"/>
        <v/>
      </c>
      <c r="C1411" s="120" t="s">
        <v>286</v>
      </c>
      <c r="D1411"/>
      <c r="E1411"/>
      <c r="F1411"/>
      <c r="G1411"/>
      <c r="H1411"/>
      <c r="I1411" s="21" t="str">
        <f t="shared" si="45"/>
        <v/>
      </c>
      <c r="L1411" s="24"/>
      <c r="M1411" s="24"/>
    </row>
    <row r="1412" spans="1:13">
      <c r="A1412" s="10" t="str">
        <f t="shared" si="44"/>
        <v/>
      </c>
      <c r="C1412" s="120" t="s">
        <v>126</v>
      </c>
      <c r="D1412"/>
      <c r="E1412"/>
      <c r="F1412"/>
      <c r="G1412"/>
      <c r="H1412"/>
      <c r="I1412" s="21" t="str">
        <f t="shared" si="45"/>
        <v/>
      </c>
      <c r="L1412" s="24"/>
      <c r="M1412" s="24"/>
    </row>
    <row r="1413" spans="1:13">
      <c r="A1413" s="14" t="str">
        <f t="shared" si="44"/>
        <v/>
      </c>
      <c r="C1413" s="120" t="s">
        <v>128</v>
      </c>
      <c r="D1413"/>
      <c r="E1413"/>
      <c r="F1413"/>
      <c r="G1413"/>
      <c r="H1413"/>
      <c r="I1413" s="21" t="str">
        <f t="shared" si="45"/>
        <v/>
      </c>
      <c r="L1413" s="24"/>
      <c r="M1413" s="24"/>
    </row>
    <row r="1414" spans="1:13">
      <c r="A1414" s="10" t="str">
        <f t="shared" si="44"/>
        <v/>
      </c>
      <c r="C1414" s="120" t="s">
        <v>280</v>
      </c>
      <c r="D1414"/>
      <c r="E1414"/>
      <c r="F1414"/>
      <c r="G1414"/>
      <c r="H1414"/>
      <c r="I1414" s="21" t="str">
        <f t="shared" si="45"/>
        <v/>
      </c>
      <c r="L1414" s="24"/>
      <c r="M1414" s="24"/>
    </row>
    <row r="1415" spans="1:13">
      <c r="A1415" s="14" t="str">
        <f t="shared" si="44"/>
        <v/>
      </c>
      <c r="C1415" s="120" t="s">
        <v>282</v>
      </c>
      <c r="D1415"/>
      <c r="E1415"/>
      <c r="F1415"/>
      <c r="G1415"/>
      <c r="H1415"/>
      <c r="I1415" s="21" t="str">
        <f t="shared" si="45"/>
        <v/>
      </c>
      <c r="L1415" s="24"/>
      <c r="M1415" s="24"/>
    </row>
    <row r="1416" spans="1:13">
      <c r="A1416" s="10" t="str">
        <f t="shared" si="44"/>
        <v/>
      </c>
      <c r="C1416" s="120" t="s">
        <v>284</v>
      </c>
      <c r="D1416"/>
      <c r="E1416"/>
      <c r="F1416"/>
      <c r="G1416"/>
      <c r="H1416"/>
      <c r="I1416" s="21" t="str">
        <f t="shared" si="45"/>
        <v/>
      </c>
      <c r="L1416" s="24"/>
      <c r="M1416" s="24"/>
    </row>
    <row r="1417" spans="1:13">
      <c r="A1417" s="14" t="str">
        <f t="shared" si="44"/>
        <v/>
      </c>
      <c r="C1417" s="120" t="s">
        <v>286</v>
      </c>
      <c r="D1417"/>
      <c r="E1417"/>
      <c r="F1417"/>
      <c r="G1417"/>
      <c r="H1417"/>
      <c r="I1417" s="21" t="str">
        <f t="shared" si="45"/>
        <v/>
      </c>
      <c r="L1417" s="24"/>
      <c r="M1417" s="24"/>
    </row>
    <row r="1418" spans="1:13">
      <c r="A1418" s="10" t="str">
        <f t="shared" si="44"/>
        <v/>
      </c>
      <c r="C1418" s="120" t="s">
        <v>126</v>
      </c>
      <c r="D1418"/>
      <c r="E1418"/>
      <c r="F1418"/>
      <c r="G1418"/>
      <c r="H1418"/>
      <c r="I1418" s="21" t="str">
        <f t="shared" si="45"/>
        <v/>
      </c>
      <c r="L1418" s="24"/>
      <c r="M1418" s="24"/>
    </row>
    <row r="1419" spans="1:13">
      <c r="A1419" s="14" t="str">
        <f t="shared" si="44"/>
        <v/>
      </c>
      <c r="C1419" s="120" t="s">
        <v>128</v>
      </c>
      <c r="D1419"/>
      <c r="E1419"/>
      <c r="F1419"/>
      <c r="G1419"/>
      <c r="H1419"/>
      <c r="I1419" s="21" t="str">
        <f t="shared" si="45"/>
        <v/>
      </c>
      <c r="L1419" s="24"/>
      <c r="M1419" s="24"/>
    </row>
    <row r="1420" spans="1:13">
      <c r="A1420" s="10" t="str">
        <f t="shared" si="44"/>
        <v/>
      </c>
      <c r="C1420" s="120" t="s">
        <v>280</v>
      </c>
      <c r="D1420"/>
      <c r="E1420"/>
      <c r="F1420"/>
      <c r="G1420"/>
      <c r="H1420"/>
      <c r="I1420" s="21" t="str">
        <f t="shared" si="45"/>
        <v/>
      </c>
      <c r="L1420" s="24"/>
      <c r="M1420" s="24"/>
    </row>
    <row r="1421" spans="1:13">
      <c r="A1421" s="14" t="str">
        <f t="shared" si="44"/>
        <v/>
      </c>
      <c r="C1421" s="120" t="s">
        <v>282</v>
      </c>
      <c r="D1421"/>
      <c r="E1421"/>
      <c r="F1421"/>
      <c r="G1421"/>
      <c r="H1421"/>
      <c r="I1421" s="21" t="str">
        <f t="shared" si="45"/>
        <v/>
      </c>
      <c r="L1421" s="24"/>
      <c r="M1421" s="24"/>
    </row>
    <row r="1422" spans="1:13">
      <c r="A1422" s="10" t="str">
        <f t="shared" si="44"/>
        <v/>
      </c>
      <c r="C1422" s="120" t="s">
        <v>284</v>
      </c>
      <c r="D1422"/>
      <c r="E1422"/>
      <c r="F1422"/>
      <c r="G1422"/>
      <c r="H1422"/>
      <c r="I1422" s="21" t="str">
        <f t="shared" si="45"/>
        <v/>
      </c>
      <c r="L1422" s="24"/>
      <c r="M1422" s="24"/>
    </row>
    <row r="1423" spans="1:13">
      <c r="A1423" s="14" t="str">
        <f t="shared" si="44"/>
        <v/>
      </c>
      <c r="C1423" s="120" t="s">
        <v>286</v>
      </c>
      <c r="D1423"/>
      <c r="E1423"/>
      <c r="F1423"/>
      <c r="G1423"/>
      <c r="H1423"/>
      <c r="I1423" s="21" t="str">
        <f t="shared" si="45"/>
        <v/>
      </c>
      <c r="L1423" s="24"/>
      <c r="M1423" s="24"/>
    </row>
    <row r="1424" spans="1:13">
      <c r="A1424" s="10" t="str">
        <f t="shared" si="44"/>
        <v/>
      </c>
      <c r="C1424" s="120" t="s">
        <v>126</v>
      </c>
      <c r="D1424"/>
      <c r="E1424"/>
      <c r="F1424"/>
      <c r="G1424"/>
      <c r="H1424"/>
      <c r="I1424" s="21" t="str">
        <f t="shared" si="45"/>
        <v/>
      </c>
      <c r="L1424" s="24"/>
      <c r="M1424" s="24"/>
    </row>
    <row r="1425" spans="1:13">
      <c r="A1425" s="14" t="str">
        <f t="shared" si="44"/>
        <v/>
      </c>
      <c r="C1425" s="120" t="s">
        <v>128</v>
      </c>
      <c r="D1425"/>
      <c r="E1425"/>
      <c r="F1425"/>
      <c r="G1425"/>
      <c r="H1425"/>
      <c r="I1425" s="21" t="str">
        <f t="shared" si="45"/>
        <v/>
      </c>
      <c r="L1425" s="24"/>
      <c r="M1425" s="24"/>
    </row>
    <row r="1426" spans="1:13">
      <c r="A1426" s="10" t="str">
        <f t="shared" si="44"/>
        <v/>
      </c>
      <c r="C1426" s="120" t="s">
        <v>280</v>
      </c>
      <c r="D1426"/>
      <c r="E1426"/>
      <c r="F1426"/>
      <c r="G1426"/>
      <c r="H1426"/>
      <c r="I1426" s="21" t="str">
        <f t="shared" si="45"/>
        <v/>
      </c>
      <c r="L1426" s="24"/>
      <c r="M1426" s="24"/>
    </row>
    <row r="1427" spans="1:13">
      <c r="A1427" s="14" t="str">
        <f t="shared" si="44"/>
        <v/>
      </c>
      <c r="C1427" s="120" t="s">
        <v>282</v>
      </c>
      <c r="D1427"/>
      <c r="E1427"/>
      <c r="F1427"/>
      <c r="G1427"/>
      <c r="H1427"/>
      <c r="I1427" s="21" t="str">
        <f t="shared" si="45"/>
        <v/>
      </c>
      <c r="L1427" s="24"/>
      <c r="M1427" s="24"/>
    </row>
    <row r="1428" spans="1:13">
      <c r="A1428" s="10" t="str">
        <f t="shared" si="44"/>
        <v/>
      </c>
      <c r="C1428" s="120" t="s">
        <v>284</v>
      </c>
      <c r="D1428"/>
      <c r="E1428"/>
      <c r="F1428"/>
      <c r="G1428"/>
      <c r="H1428"/>
      <c r="I1428" s="21" t="str">
        <f t="shared" si="45"/>
        <v/>
      </c>
      <c r="L1428" s="24"/>
      <c r="M1428" s="24"/>
    </row>
    <row r="1429" spans="1:13">
      <c r="A1429" s="14" t="str">
        <f t="shared" si="44"/>
        <v/>
      </c>
      <c r="C1429" s="120" t="s">
        <v>286</v>
      </c>
      <c r="D1429"/>
      <c r="E1429"/>
      <c r="F1429"/>
      <c r="G1429"/>
      <c r="H1429"/>
      <c r="I1429" s="21" t="str">
        <f t="shared" si="45"/>
        <v/>
      </c>
      <c r="L1429" s="24"/>
      <c r="M1429" s="24"/>
    </row>
    <row r="1430" spans="1:13">
      <c r="A1430" s="10" t="str">
        <f t="shared" si="44"/>
        <v/>
      </c>
      <c r="C1430" s="120" t="s">
        <v>126</v>
      </c>
      <c r="D1430"/>
      <c r="E1430"/>
      <c r="F1430"/>
      <c r="G1430"/>
      <c r="H1430"/>
      <c r="I1430" s="21" t="str">
        <f t="shared" si="45"/>
        <v/>
      </c>
      <c r="L1430" s="24"/>
      <c r="M1430" s="24"/>
    </row>
    <row r="1431" spans="1:13">
      <c r="A1431" s="14" t="str">
        <f t="shared" si="44"/>
        <v/>
      </c>
      <c r="C1431" s="120" t="s">
        <v>128</v>
      </c>
      <c r="D1431"/>
      <c r="E1431"/>
      <c r="F1431"/>
      <c r="G1431"/>
      <c r="H1431"/>
      <c r="I1431" s="21" t="str">
        <f t="shared" si="45"/>
        <v/>
      </c>
      <c r="L1431" s="24"/>
      <c r="M1431" s="24"/>
    </row>
    <row r="1432" spans="1:13">
      <c r="A1432" s="10" t="str">
        <f t="shared" si="44"/>
        <v/>
      </c>
      <c r="C1432" s="120" t="s">
        <v>280</v>
      </c>
      <c r="D1432"/>
      <c r="E1432"/>
      <c r="F1432"/>
      <c r="G1432"/>
      <c r="H1432"/>
      <c r="I1432" s="21" t="str">
        <f t="shared" si="45"/>
        <v/>
      </c>
      <c r="L1432" s="24"/>
      <c r="M1432" s="24"/>
    </row>
    <row r="1433" spans="1:13">
      <c r="A1433" s="14" t="str">
        <f t="shared" si="44"/>
        <v/>
      </c>
      <c r="C1433" s="120" t="s">
        <v>282</v>
      </c>
      <c r="D1433"/>
      <c r="E1433"/>
      <c r="F1433"/>
      <c r="G1433"/>
      <c r="H1433"/>
      <c r="I1433" s="21" t="str">
        <f t="shared" si="45"/>
        <v/>
      </c>
      <c r="L1433" s="24"/>
      <c r="M1433" s="24"/>
    </row>
    <row r="1434" spans="1:13">
      <c r="A1434" s="10" t="str">
        <f t="shared" si="44"/>
        <v/>
      </c>
      <c r="C1434" s="120" t="s">
        <v>284</v>
      </c>
      <c r="D1434"/>
      <c r="E1434"/>
      <c r="F1434"/>
      <c r="G1434"/>
      <c r="H1434"/>
      <c r="I1434" s="21" t="str">
        <f t="shared" si="45"/>
        <v/>
      </c>
      <c r="L1434" s="24"/>
      <c r="M1434" s="24"/>
    </row>
    <row r="1435" spans="1:13">
      <c r="A1435" s="14" t="str">
        <f t="shared" si="44"/>
        <v/>
      </c>
      <c r="C1435" s="120" t="s">
        <v>286</v>
      </c>
      <c r="D1435"/>
      <c r="E1435"/>
      <c r="F1435"/>
      <c r="G1435"/>
      <c r="H1435"/>
      <c r="I1435" s="21" t="str">
        <f t="shared" si="45"/>
        <v/>
      </c>
      <c r="L1435" s="24"/>
      <c r="M1435" s="24"/>
    </row>
    <row r="1436" spans="1:13">
      <c r="A1436" s="10" t="str">
        <f t="shared" si="44"/>
        <v/>
      </c>
      <c r="C1436" s="120" t="s">
        <v>126</v>
      </c>
      <c r="D1436"/>
      <c r="E1436"/>
      <c r="F1436"/>
      <c r="G1436"/>
      <c r="H1436"/>
      <c r="I1436" s="21" t="str">
        <f t="shared" si="45"/>
        <v/>
      </c>
      <c r="L1436" s="24"/>
      <c r="M1436" s="24"/>
    </row>
    <row r="1437" spans="1:13">
      <c r="A1437" s="14" t="str">
        <f t="shared" si="44"/>
        <v/>
      </c>
      <c r="C1437" s="120" t="s">
        <v>128</v>
      </c>
      <c r="D1437"/>
      <c r="E1437"/>
      <c r="F1437"/>
      <c r="G1437"/>
      <c r="H1437"/>
      <c r="I1437" s="21" t="str">
        <f t="shared" si="45"/>
        <v/>
      </c>
      <c r="L1437" s="24"/>
      <c r="M1437" s="24"/>
    </row>
    <row r="1438" spans="1:13">
      <c r="A1438" s="10" t="str">
        <f t="shared" si="44"/>
        <v/>
      </c>
      <c r="C1438" s="120" t="s">
        <v>280</v>
      </c>
      <c r="D1438"/>
      <c r="E1438"/>
      <c r="F1438"/>
      <c r="G1438"/>
      <c r="H1438"/>
      <c r="I1438" s="21" t="str">
        <f t="shared" si="45"/>
        <v/>
      </c>
      <c r="L1438" s="24"/>
      <c r="M1438" s="24"/>
    </row>
    <row r="1439" spans="1:13">
      <c r="A1439" s="14" t="str">
        <f t="shared" si="44"/>
        <v/>
      </c>
      <c r="C1439" s="120" t="s">
        <v>282</v>
      </c>
      <c r="D1439"/>
      <c r="E1439"/>
      <c r="F1439"/>
      <c r="G1439"/>
      <c r="H1439"/>
      <c r="I1439" s="21" t="str">
        <f t="shared" si="45"/>
        <v/>
      </c>
      <c r="L1439" s="24"/>
      <c r="M1439" s="24"/>
    </row>
    <row r="1440" spans="1:13">
      <c r="A1440" s="10" t="str">
        <f t="shared" si="44"/>
        <v/>
      </c>
      <c r="C1440" s="120" t="s">
        <v>284</v>
      </c>
      <c r="D1440"/>
      <c r="E1440"/>
      <c r="F1440"/>
      <c r="G1440"/>
      <c r="H1440"/>
      <c r="I1440" s="21" t="str">
        <f t="shared" si="45"/>
        <v/>
      </c>
      <c r="L1440" s="24"/>
      <c r="M1440" s="24"/>
    </row>
    <row r="1441" spans="1:13">
      <c r="A1441" s="14" t="str">
        <f t="shared" si="44"/>
        <v/>
      </c>
      <c r="C1441" s="120" t="s">
        <v>286</v>
      </c>
      <c r="D1441"/>
      <c r="E1441"/>
      <c r="F1441"/>
      <c r="G1441"/>
      <c r="H1441"/>
      <c r="I1441" s="21" t="str">
        <f t="shared" si="45"/>
        <v/>
      </c>
      <c r="L1441" s="24"/>
      <c r="M1441" s="24"/>
    </row>
    <row r="1442" spans="1:13">
      <c r="A1442" s="10" t="str">
        <f t="shared" si="44"/>
        <v/>
      </c>
      <c r="C1442" s="120" t="s">
        <v>126</v>
      </c>
      <c r="D1442"/>
      <c r="E1442"/>
      <c r="F1442"/>
      <c r="G1442"/>
      <c r="H1442"/>
      <c r="I1442" s="21" t="str">
        <f t="shared" si="45"/>
        <v/>
      </c>
      <c r="L1442" s="24"/>
      <c r="M1442" s="24"/>
    </row>
    <row r="1443" spans="1:13">
      <c r="A1443" s="14" t="str">
        <f t="shared" si="44"/>
        <v/>
      </c>
      <c r="C1443" s="120" t="s">
        <v>128</v>
      </c>
      <c r="D1443"/>
      <c r="E1443"/>
      <c r="F1443"/>
      <c r="G1443"/>
      <c r="H1443"/>
      <c r="I1443" s="21" t="str">
        <f t="shared" si="45"/>
        <v/>
      </c>
      <c r="L1443" s="24"/>
      <c r="M1443" s="24"/>
    </row>
    <row r="1444" spans="1:13">
      <c r="A1444" s="10" t="str">
        <f t="shared" si="44"/>
        <v/>
      </c>
      <c r="C1444" s="120" t="s">
        <v>280</v>
      </c>
      <c r="D1444"/>
      <c r="E1444"/>
      <c r="F1444"/>
      <c r="G1444"/>
      <c r="H1444"/>
      <c r="I1444" s="21" t="str">
        <f t="shared" si="45"/>
        <v/>
      </c>
      <c r="L1444" s="24"/>
      <c r="M1444" s="24"/>
    </row>
    <row r="1445" spans="1:13">
      <c r="A1445" s="14" t="str">
        <f t="shared" si="44"/>
        <v/>
      </c>
      <c r="C1445" s="120" t="s">
        <v>282</v>
      </c>
      <c r="D1445"/>
      <c r="E1445"/>
      <c r="F1445"/>
      <c r="G1445"/>
      <c r="H1445"/>
      <c r="I1445" s="21" t="str">
        <f t="shared" si="45"/>
        <v/>
      </c>
      <c r="L1445" s="24"/>
      <c r="M1445" s="24"/>
    </row>
    <row r="1446" spans="1:13">
      <c r="A1446" s="10" t="str">
        <f t="shared" si="44"/>
        <v/>
      </c>
      <c r="C1446" s="120" t="s">
        <v>284</v>
      </c>
      <c r="D1446"/>
      <c r="E1446"/>
      <c r="F1446"/>
      <c r="G1446"/>
      <c r="H1446"/>
      <c r="I1446" s="21" t="str">
        <f t="shared" si="45"/>
        <v/>
      </c>
      <c r="L1446" s="24"/>
      <c r="M1446" s="24"/>
    </row>
    <row r="1447" spans="1:13">
      <c r="A1447" s="14" t="str">
        <f t="shared" si="44"/>
        <v/>
      </c>
      <c r="C1447" s="120" t="s">
        <v>286</v>
      </c>
      <c r="D1447"/>
      <c r="E1447"/>
      <c r="F1447"/>
      <c r="G1447"/>
      <c r="H1447"/>
      <c r="I1447" s="21" t="str">
        <f t="shared" si="45"/>
        <v/>
      </c>
      <c r="L1447" s="24"/>
      <c r="M1447" s="24"/>
    </row>
    <row r="1448" spans="1:13">
      <c r="A1448" s="10" t="str">
        <f t="shared" si="44"/>
        <v/>
      </c>
      <c r="C1448" s="120" t="s">
        <v>126</v>
      </c>
      <c r="D1448"/>
      <c r="E1448"/>
      <c r="F1448"/>
      <c r="G1448"/>
      <c r="H1448"/>
      <c r="I1448" s="21" t="str">
        <f t="shared" si="45"/>
        <v/>
      </c>
      <c r="L1448" s="24"/>
      <c r="M1448" s="24"/>
    </row>
    <row r="1449" spans="1:13">
      <c r="A1449" s="14" t="str">
        <f t="shared" si="44"/>
        <v/>
      </c>
      <c r="C1449" s="120" t="s">
        <v>128</v>
      </c>
      <c r="D1449"/>
      <c r="E1449"/>
      <c r="F1449"/>
      <c r="G1449"/>
      <c r="H1449"/>
      <c r="I1449" s="21" t="str">
        <f t="shared" si="45"/>
        <v/>
      </c>
      <c r="L1449" s="24"/>
      <c r="M1449" s="24"/>
    </row>
    <row r="1450" spans="1:13">
      <c r="A1450" s="10" t="str">
        <f t="shared" si="44"/>
        <v/>
      </c>
      <c r="C1450" s="120" t="s">
        <v>280</v>
      </c>
      <c r="D1450"/>
      <c r="E1450"/>
      <c r="F1450"/>
      <c r="G1450"/>
      <c r="H1450"/>
      <c r="I1450" s="21" t="str">
        <f t="shared" si="45"/>
        <v/>
      </c>
      <c r="L1450" s="24"/>
      <c r="M1450" s="24"/>
    </row>
    <row r="1451" spans="1:13">
      <c r="A1451" s="14" t="str">
        <f t="shared" si="44"/>
        <v/>
      </c>
      <c r="C1451" s="120" t="s">
        <v>282</v>
      </c>
      <c r="D1451"/>
      <c r="E1451"/>
      <c r="F1451"/>
      <c r="G1451"/>
      <c r="H1451"/>
      <c r="I1451" s="21" t="str">
        <f t="shared" si="45"/>
        <v/>
      </c>
      <c r="L1451" s="24"/>
      <c r="M1451" s="24"/>
    </row>
    <row r="1452" spans="1:13">
      <c r="A1452" s="10" t="str">
        <f t="shared" si="44"/>
        <v/>
      </c>
      <c r="C1452" s="120" t="s">
        <v>284</v>
      </c>
      <c r="D1452"/>
      <c r="E1452"/>
      <c r="F1452"/>
      <c r="G1452"/>
      <c r="H1452"/>
      <c r="I1452" s="21" t="str">
        <f t="shared" si="45"/>
        <v/>
      </c>
      <c r="L1452" s="24"/>
      <c r="M1452" s="24"/>
    </row>
    <row r="1453" spans="1:13">
      <c r="A1453" s="14" t="str">
        <f t="shared" si="44"/>
        <v/>
      </c>
      <c r="C1453" s="120" t="s">
        <v>286</v>
      </c>
      <c r="D1453"/>
      <c r="E1453"/>
      <c r="F1453"/>
      <c r="G1453"/>
      <c r="H1453"/>
      <c r="I1453" s="21" t="str">
        <f t="shared" si="45"/>
        <v/>
      </c>
      <c r="L1453" s="24"/>
      <c r="M1453" s="24"/>
    </row>
    <row r="1454" spans="1:13">
      <c r="A1454" s="10" t="str">
        <f t="shared" si="44"/>
        <v/>
      </c>
      <c r="C1454" s="120" t="s">
        <v>126</v>
      </c>
      <c r="D1454"/>
      <c r="E1454"/>
      <c r="F1454"/>
      <c r="G1454"/>
      <c r="H1454"/>
      <c r="I1454" s="21" t="str">
        <f t="shared" si="45"/>
        <v/>
      </c>
      <c r="L1454" s="24"/>
      <c r="M1454" s="24"/>
    </row>
    <row r="1455" spans="1:13">
      <c r="A1455" s="14" t="str">
        <f t="shared" si="44"/>
        <v/>
      </c>
      <c r="C1455" s="120" t="s">
        <v>128</v>
      </c>
      <c r="D1455"/>
      <c r="E1455"/>
      <c r="F1455"/>
      <c r="G1455"/>
      <c r="H1455"/>
      <c r="I1455" s="21" t="str">
        <f t="shared" si="45"/>
        <v/>
      </c>
      <c r="L1455" s="24"/>
      <c r="M1455" s="24"/>
    </row>
    <row r="1456" spans="1:13">
      <c r="A1456" s="10" t="str">
        <f t="shared" si="44"/>
        <v/>
      </c>
      <c r="C1456" s="120" t="s">
        <v>280</v>
      </c>
      <c r="D1456"/>
      <c r="E1456"/>
      <c r="F1456"/>
      <c r="G1456"/>
      <c r="H1456"/>
      <c r="I1456" s="21" t="str">
        <f t="shared" si="45"/>
        <v/>
      </c>
      <c r="L1456" s="24"/>
      <c r="M1456" s="24"/>
    </row>
    <row r="1457" spans="1:13">
      <c r="A1457" s="14" t="str">
        <f t="shared" si="44"/>
        <v/>
      </c>
      <c r="C1457" s="120" t="s">
        <v>282</v>
      </c>
      <c r="D1457"/>
      <c r="E1457"/>
      <c r="F1457"/>
      <c r="G1457"/>
      <c r="H1457"/>
      <c r="I1457" s="21" t="str">
        <f t="shared" si="45"/>
        <v/>
      </c>
      <c r="L1457" s="24"/>
      <c r="M1457" s="24"/>
    </row>
    <row r="1458" spans="1:13">
      <c r="A1458" s="10" t="str">
        <f t="shared" si="44"/>
        <v/>
      </c>
      <c r="C1458" s="120" t="s">
        <v>284</v>
      </c>
      <c r="D1458"/>
      <c r="E1458"/>
      <c r="F1458"/>
      <c r="G1458"/>
      <c r="H1458"/>
      <c r="I1458" s="21" t="str">
        <f t="shared" si="45"/>
        <v/>
      </c>
      <c r="L1458" s="24"/>
      <c r="M1458" s="24"/>
    </row>
    <row r="1459" spans="1:13">
      <c r="A1459" s="14" t="str">
        <f t="shared" si="44"/>
        <v/>
      </c>
      <c r="C1459" s="120" t="s">
        <v>286</v>
      </c>
      <c r="D1459"/>
      <c r="E1459"/>
      <c r="F1459"/>
      <c r="G1459"/>
      <c r="H1459"/>
      <c r="I1459" s="21" t="str">
        <f t="shared" si="45"/>
        <v/>
      </c>
      <c r="L1459" s="24"/>
      <c r="M1459" s="24"/>
    </row>
    <row r="1460" spans="1:13">
      <c r="A1460" s="10" t="str">
        <f t="shared" si="44"/>
        <v/>
      </c>
      <c r="C1460" s="120" t="s">
        <v>126</v>
      </c>
      <c r="D1460"/>
      <c r="E1460"/>
      <c r="F1460"/>
      <c r="G1460"/>
      <c r="H1460"/>
      <c r="I1460" s="21" t="str">
        <f t="shared" si="45"/>
        <v/>
      </c>
      <c r="L1460" s="24"/>
      <c r="M1460" s="24"/>
    </row>
    <row r="1461" spans="1:13">
      <c r="A1461" s="14" t="str">
        <f t="shared" si="44"/>
        <v/>
      </c>
      <c r="C1461" s="120" t="s">
        <v>128</v>
      </c>
      <c r="D1461"/>
      <c r="E1461"/>
      <c r="F1461"/>
      <c r="G1461"/>
      <c r="H1461"/>
      <c r="I1461" s="21" t="str">
        <f t="shared" si="45"/>
        <v/>
      </c>
      <c r="L1461" s="24"/>
      <c r="M1461" s="24"/>
    </row>
    <row r="1462" spans="1:13">
      <c r="A1462" s="10" t="str">
        <f t="shared" si="44"/>
        <v/>
      </c>
      <c r="C1462" s="120" t="s">
        <v>280</v>
      </c>
      <c r="D1462"/>
      <c r="E1462"/>
      <c r="F1462"/>
      <c r="G1462"/>
      <c r="H1462"/>
      <c r="I1462" s="21" t="str">
        <f t="shared" si="45"/>
        <v/>
      </c>
      <c r="L1462" s="24"/>
      <c r="M1462" s="24"/>
    </row>
    <row r="1463" spans="1:13">
      <c r="A1463" s="14" t="str">
        <f t="shared" si="44"/>
        <v/>
      </c>
      <c r="C1463" s="120" t="s">
        <v>282</v>
      </c>
      <c r="D1463"/>
      <c r="E1463"/>
      <c r="F1463"/>
      <c r="G1463"/>
      <c r="H1463"/>
      <c r="I1463" s="21" t="str">
        <f t="shared" si="45"/>
        <v/>
      </c>
      <c r="L1463" s="24"/>
      <c r="M1463" s="24"/>
    </row>
    <row r="1464" spans="1:13">
      <c r="A1464" s="10" t="str">
        <f t="shared" si="44"/>
        <v/>
      </c>
      <c r="C1464" s="120" t="s">
        <v>284</v>
      </c>
      <c r="D1464"/>
      <c r="E1464"/>
      <c r="F1464"/>
      <c r="G1464"/>
      <c r="H1464"/>
      <c r="I1464" s="21" t="str">
        <f t="shared" si="45"/>
        <v/>
      </c>
      <c r="L1464" s="24"/>
      <c r="M1464" s="24"/>
    </row>
    <row r="1465" spans="1:13">
      <c r="A1465" s="14" t="str">
        <f t="shared" si="44"/>
        <v/>
      </c>
      <c r="C1465" s="120" t="s">
        <v>286</v>
      </c>
      <c r="D1465"/>
      <c r="E1465"/>
      <c r="F1465"/>
      <c r="G1465"/>
      <c r="H1465"/>
      <c r="I1465" s="21" t="str">
        <f t="shared" si="45"/>
        <v/>
      </c>
      <c r="L1465" s="24"/>
      <c r="M1465" s="24"/>
    </row>
    <row r="1466" spans="1:13">
      <c r="A1466" s="10" t="str">
        <f t="shared" si="44"/>
        <v/>
      </c>
      <c r="C1466" s="120" t="s">
        <v>126</v>
      </c>
      <c r="D1466"/>
      <c r="E1466"/>
      <c r="F1466"/>
      <c r="G1466"/>
      <c r="H1466"/>
      <c r="I1466" s="21" t="str">
        <f t="shared" si="45"/>
        <v/>
      </c>
      <c r="L1466" s="24"/>
      <c r="M1466" s="24"/>
    </row>
    <row r="1467" spans="1:13">
      <c r="A1467" s="14" t="str">
        <f t="shared" si="44"/>
        <v/>
      </c>
      <c r="C1467" s="120" t="s">
        <v>128</v>
      </c>
      <c r="D1467"/>
      <c r="E1467"/>
      <c r="F1467"/>
      <c r="G1467"/>
      <c r="H1467"/>
      <c r="I1467" s="21" t="str">
        <f t="shared" si="45"/>
        <v/>
      </c>
      <c r="L1467" s="24"/>
      <c r="M1467" s="24"/>
    </row>
    <row r="1468" spans="1:13">
      <c r="A1468" s="10" t="str">
        <f t="shared" si="44"/>
        <v/>
      </c>
      <c r="C1468" s="120" t="s">
        <v>280</v>
      </c>
      <c r="D1468"/>
      <c r="E1468"/>
      <c r="F1468"/>
      <c r="G1468"/>
      <c r="H1468"/>
      <c r="I1468" s="21" t="str">
        <f t="shared" si="45"/>
        <v/>
      </c>
      <c r="L1468" s="24"/>
      <c r="M1468" s="24"/>
    </row>
    <row r="1469" spans="1:13">
      <c r="A1469" s="14" t="str">
        <f t="shared" si="44"/>
        <v/>
      </c>
      <c r="C1469" s="120" t="s">
        <v>282</v>
      </c>
      <c r="D1469"/>
      <c r="E1469"/>
      <c r="F1469"/>
      <c r="G1469"/>
      <c r="H1469"/>
      <c r="I1469" s="21" t="str">
        <f t="shared" si="45"/>
        <v/>
      </c>
      <c r="L1469" s="24"/>
      <c r="M1469" s="24"/>
    </row>
    <row r="1470" spans="1:13">
      <c r="A1470" s="10" t="str">
        <f t="shared" si="44"/>
        <v/>
      </c>
      <c r="C1470" s="120" t="s">
        <v>284</v>
      </c>
      <c r="D1470"/>
      <c r="E1470"/>
      <c r="F1470"/>
      <c r="G1470"/>
      <c r="H1470"/>
      <c r="I1470" s="21" t="str">
        <f t="shared" si="45"/>
        <v/>
      </c>
      <c r="L1470" s="24"/>
      <c r="M1470" s="24"/>
    </row>
    <row r="1471" spans="1:13">
      <c r="A1471" s="14" t="str">
        <f t="shared" si="44"/>
        <v/>
      </c>
      <c r="C1471" s="120" t="s">
        <v>286</v>
      </c>
      <c r="D1471"/>
      <c r="E1471"/>
      <c r="F1471"/>
      <c r="G1471"/>
      <c r="H1471"/>
      <c r="I1471" s="21" t="str">
        <f t="shared" si="45"/>
        <v/>
      </c>
      <c r="L1471" s="24"/>
      <c r="M1471" s="24"/>
    </row>
    <row r="1472" spans="1:13">
      <c r="A1472" s="10" t="str">
        <f t="shared" si="44"/>
        <v/>
      </c>
      <c r="C1472" s="120" t="s">
        <v>126</v>
      </c>
      <c r="D1472"/>
      <c r="E1472"/>
      <c r="F1472"/>
      <c r="G1472"/>
      <c r="H1472"/>
      <c r="I1472" s="21" t="str">
        <f t="shared" si="45"/>
        <v/>
      </c>
      <c r="L1472" s="24"/>
      <c r="M1472" s="24"/>
    </row>
    <row r="1473" spans="1:13">
      <c r="A1473" s="14" t="str">
        <f t="shared" si="44"/>
        <v/>
      </c>
      <c r="C1473" s="120" t="s">
        <v>128</v>
      </c>
      <c r="D1473"/>
      <c r="E1473"/>
      <c r="F1473"/>
      <c r="G1473"/>
      <c r="H1473"/>
      <c r="I1473" s="21" t="str">
        <f t="shared" si="45"/>
        <v/>
      </c>
      <c r="L1473" s="24"/>
      <c r="M1473" s="24"/>
    </row>
    <row r="1474" spans="1:13">
      <c r="A1474" s="10" t="str">
        <f t="shared" ref="A1474:A1537" si="46">IF(B1474&lt;&gt;"",ROW()-1,"")</f>
        <v/>
      </c>
      <c r="C1474" s="120" t="s">
        <v>280</v>
      </c>
      <c r="D1474"/>
      <c r="E1474"/>
      <c r="F1474"/>
      <c r="G1474"/>
      <c r="H1474"/>
      <c r="I1474" s="21" t="str">
        <f t="shared" ref="I1474:I1537" si="47">IF(AND(G1474&lt;&gt;"",H1474&lt;&gt;""),H1474-G1474,"")</f>
        <v/>
      </c>
      <c r="L1474" s="24"/>
      <c r="M1474" s="24"/>
    </row>
    <row r="1475" spans="1:13">
      <c r="A1475" s="14" t="str">
        <f t="shared" si="46"/>
        <v/>
      </c>
      <c r="C1475" s="120" t="s">
        <v>282</v>
      </c>
      <c r="D1475"/>
      <c r="E1475"/>
      <c r="F1475"/>
      <c r="G1475"/>
      <c r="H1475"/>
      <c r="I1475" s="21" t="str">
        <f t="shared" si="47"/>
        <v/>
      </c>
      <c r="L1475" s="24"/>
      <c r="M1475" s="24"/>
    </row>
    <row r="1476" spans="1:13">
      <c r="A1476" s="10" t="str">
        <f t="shared" si="46"/>
        <v/>
      </c>
      <c r="C1476" s="120" t="s">
        <v>284</v>
      </c>
      <c r="D1476"/>
      <c r="E1476"/>
      <c r="F1476"/>
      <c r="G1476"/>
      <c r="H1476"/>
      <c r="I1476" s="21" t="str">
        <f t="shared" si="47"/>
        <v/>
      </c>
      <c r="L1476" s="24"/>
      <c r="M1476" s="24"/>
    </row>
    <row r="1477" spans="1:13">
      <c r="A1477" s="14" t="str">
        <f t="shared" si="46"/>
        <v/>
      </c>
      <c r="C1477" s="120" t="s">
        <v>286</v>
      </c>
      <c r="D1477"/>
      <c r="E1477"/>
      <c r="F1477"/>
      <c r="G1477"/>
      <c r="H1477"/>
      <c r="I1477" s="21" t="str">
        <f t="shared" si="47"/>
        <v/>
      </c>
      <c r="L1477" s="24"/>
      <c r="M1477" s="24"/>
    </row>
    <row r="1478" spans="1:13">
      <c r="A1478" s="10" t="str">
        <f t="shared" si="46"/>
        <v/>
      </c>
      <c r="C1478" s="120" t="s">
        <v>126</v>
      </c>
      <c r="D1478"/>
      <c r="E1478"/>
      <c r="F1478"/>
      <c r="G1478"/>
      <c r="H1478"/>
      <c r="I1478" s="21" t="str">
        <f t="shared" si="47"/>
        <v/>
      </c>
      <c r="L1478" s="24"/>
      <c r="M1478" s="24"/>
    </row>
    <row r="1479" spans="1:13">
      <c r="A1479" s="14" t="str">
        <f t="shared" si="46"/>
        <v/>
      </c>
      <c r="C1479" s="120" t="s">
        <v>128</v>
      </c>
      <c r="D1479"/>
      <c r="E1479"/>
      <c r="F1479"/>
      <c r="G1479"/>
      <c r="H1479"/>
      <c r="I1479" s="21" t="str">
        <f t="shared" si="47"/>
        <v/>
      </c>
      <c r="L1479" s="24"/>
      <c r="M1479" s="24"/>
    </row>
    <row r="1480" spans="1:13">
      <c r="A1480" s="10" t="str">
        <f t="shared" si="46"/>
        <v/>
      </c>
      <c r="C1480" s="120" t="s">
        <v>280</v>
      </c>
      <c r="D1480"/>
      <c r="E1480"/>
      <c r="F1480"/>
      <c r="G1480"/>
      <c r="H1480"/>
      <c r="I1480" s="21" t="str">
        <f t="shared" si="47"/>
        <v/>
      </c>
      <c r="L1480" s="24"/>
      <c r="M1480" s="24"/>
    </row>
    <row r="1481" spans="1:13">
      <c r="A1481" s="14" t="str">
        <f t="shared" si="46"/>
        <v/>
      </c>
      <c r="C1481" s="120" t="s">
        <v>282</v>
      </c>
      <c r="D1481"/>
      <c r="E1481"/>
      <c r="F1481"/>
      <c r="G1481"/>
      <c r="H1481"/>
      <c r="I1481" s="21" t="str">
        <f t="shared" si="47"/>
        <v/>
      </c>
      <c r="L1481" s="24"/>
      <c r="M1481" s="24"/>
    </row>
    <row r="1482" spans="1:13">
      <c r="A1482" s="10" t="str">
        <f t="shared" si="46"/>
        <v/>
      </c>
      <c r="C1482" s="120" t="s">
        <v>284</v>
      </c>
      <c r="D1482"/>
      <c r="E1482"/>
      <c r="F1482"/>
      <c r="G1482"/>
      <c r="H1482"/>
      <c r="I1482" s="21" t="str">
        <f t="shared" si="47"/>
        <v/>
      </c>
      <c r="L1482" s="24"/>
      <c r="M1482" s="24"/>
    </row>
    <row r="1483" spans="1:13">
      <c r="A1483" s="14" t="str">
        <f t="shared" si="46"/>
        <v/>
      </c>
      <c r="C1483" s="120" t="s">
        <v>286</v>
      </c>
      <c r="D1483"/>
      <c r="E1483"/>
      <c r="F1483"/>
      <c r="G1483"/>
      <c r="H1483"/>
      <c r="I1483" s="21" t="str">
        <f t="shared" si="47"/>
        <v/>
      </c>
      <c r="L1483" s="24"/>
      <c r="M1483" s="24"/>
    </row>
    <row r="1484" spans="1:13">
      <c r="A1484" s="10" t="str">
        <f t="shared" si="46"/>
        <v/>
      </c>
      <c r="C1484" s="120" t="s">
        <v>126</v>
      </c>
      <c r="D1484"/>
      <c r="E1484"/>
      <c r="F1484"/>
      <c r="G1484"/>
      <c r="H1484"/>
      <c r="I1484" s="21" t="str">
        <f t="shared" si="47"/>
        <v/>
      </c>
      <c r="L1484" s="24"/>
      <c r="M1484" s="24"/>
    </row>
    <row r="1485" spans="1:13">
      <c r="A1485" s="14" t="str">
        <f t="shared" si="46"/>
        <v/>
      </c>
      <c r="C1485" s="120" t="s">
        <v>128</v>
      </c>
      <c r="D1485"/>
      <c r="E1485"/>
      <c r="F1485"/>
      <c r="G1485"/>
      <c r="H1485"/>
      <c r="I1485" s="21" t="str">
        <f t="shared" si="47"/>
        <v/>
      </c>
      <c r="L1485" s="24"/>
      <c r="M1485" s="24"/>
    </row>
    <row r="1486" spans="1:13">
      <c r="A1486" s="10" t="str">
        <f t="shared" si="46"/>
        <v/>
      </c>
      <c r="C1486" s="120" t="s">
        <v>280</v>
      </c>
      <c r="D1486"/>
      <c r="E1486"/>
      <c r="F1486"/>
      <c r="G1486"/>
      <c r="H1486"/>
      <c r="I1486" s="21" t="str">
        <f t="shared" si="47"/>
        <v/>
      </c>
      <c r="L1486" s="24"/>
      <c r="M1486" s="24"/>
    </row>
    <row r="1487" spans="1:13">
      <c r="A1487" s="14" t="str">
        <f t="shared" si="46"/>
        <v/>
      </c>
      <c r="C1487" s="120" t="s">
        <v>282</v>
      </c>
      <c r="D1487"/>
      <c r="E1487"/>
      <c r="F1487"/>
      <c r="G1487"/>
      <c r="H1487"/>
      <c r="I1487" s="21" t="str">
        <f t="shared" si="47"/>
        <v/>
      </c>
      <c r="L1487" s="24"/>
      <c r="M1487" s="24"/>
    </row>
    <row r="1488" spans="1:13">
      <c r="A1488" s="10" t="str">
        <f t="shared" si="46"/>
        <v/>
      </c>
      <c r="C1488" s="120" t="s">
        <v>284</v>
      </c>
      <c r="D1488"/>
      <c r="E1488"/>
      <c r="F1488"/>
      <c r="G1488"/>
      <c r="H1488"/>
      <c r="I1488" s="21" t="str">
        <f t="shared" si="47"/>
        <v/>
      </c>
      <c r="L1488" s="24"/>
      <c r="M1488" s="24"/>
    </row>
    <row r="1489" spans="1:13">
      <c r="A1489" s="14" t="str">
        <f t="shared" si="46"/>
        <v/>
      </c>
      <c r="C1489" s="120" t="s">
        <v>286</v>
      </c>
      <c r="D1489"/>
      <c r="E1489"/>
      <c r="F1489"/>
      <c r="G1489"/>
      <c r="H1489"/>
      <c r="I1489" s="21" t="str">
        <f t="shared" si="47"/>
        <v/>
      </c>
      <c r="L1489" s="24"/>
      <c r="M1489" s="24"/>
    </row>
    <row r="1490" spans="1:13">
      <c r="A1490" s="10" t="str">
        <f t="shared" si="46"/>
        <v/>
      </c>
      <c r="C1490" s="120" t="s">
        <v>126</v>
      </c>
      <c r="D1490"/>
      <c r="E1490"/>
      <c r="F1490"/>
      <c r="G1490"/>
      <c r="H1490"/>
      <c r="I1490" s="21" t="str">
        <f t="shared" si="47"/>
        <v/>
      </c>
      <c r="L1490" s="24"/>
      <c r="M1490" s="24"/>
    </row>
    <row r="1491" spans="1:13">
      <c r="A1491" s="14" t="str">
        <f t="shared" si="46"/>
        <v/>
      </c>
      <c r="C1491" s="120" t="s">
        <v>128</v>
      </c>
      <c r="D1491"/>
      <c r="E1491"/>
      <c r="F1491"/>
      <c r="G1491"/>
      <c r="H1491"/>
      <c r="I1491" s="21" t="str">
        <f t="shared" si="47"/>
        <v/>
      </c>
      <c r="L1491" s="24"/>
      <c r="M1491" s="24"/>
    </row>
    <row r="1492" spans="1:13">
      <c r="A1492" s="10" t="str">
        <f t="shared" si="46"/>
        <v/>
      </c>
      <c r="C1492" s="120" t="s">
        <v>280</v>
      </c>
      <c r="D1492"/>
      <c r="E1492"/>
      <c r="F1492"/>
      <c r="G1492"/>
      <c r="H1492"/>
      <c r="I1492" s="21" t="str">
        <f t="shared" si="47"/>
        <v/>
      </c>
      <c r="L1492" s="24"/>
      <c r="M1492" s="24"/>
    </row>
    <row r="1493" spans="1:13">
      <c r="A1493" s="14" t="str">
        <f t="shared" si="46"/>
        <v/>
      </c>
      <c r="C1493" s="120" t="s">
        <v>282</v>
      </c>
      <c r="D1493"/>
      <c r="E1493"/>
      <c r="F1493"/>
      <c r="G1493"/>
      <c r="H1493"/>
      <c r="I1493" s="21" t="str">
        <f t="shared" si="47"/>
        <v/>
      </c>
      <c r="L1493" s="24"/>
      <c r="M1493" s="24"/>
    </row>
    <row r="1494" spans="1:13">
      <c r="A1494" s="10" t="str">
        <f t="shared" si="46"/>
        <v/>
      </c>
      <c r="C1494" s="120" t="s">
        <v>284</v>
      </c>
      <c r="D1494"/>
      <c r="E1494"/>
      <c r="F1494"/>
      <c r="G1494"/>
      <c r="H1494"/>
      <c r="I1494" s="21" t="str">
        <f t="shared" si="47"/>
        <v/>
      </c>
      <c r="L1494" s="24"/>
      <c r="M1494" s="24"/>
    </row>
    <row r="1495" spans="1:13">
      <c r="A1495" s="14" t="str">
        <f t="shared" si="46"/>
        <v/>
      </c>
      <c r="C1495" s="120" t="s">
        <v>286</v>
      </c>
      <c r="D1495"/>
      <c r="E1495"/>
      <c r="F1495"/>
      <c r="G1495"/>
      <c r="H1495"/>
      <c r="I1495" s="21" t="str">
        <f t="shared" si="47"/>
        <v/>
      </c>
      <c r="L1495" s="24"/>
      <c r="M1495" s="24"/>
    </row>
    <row r="1496" spans="1:13">
      <c r="A1496" s="10" t="str">
        <f t="shared" si="46"/>
        <v/>
      </c>
      <c r="C1496" s="120" t="s">
        <v>126</v>
      </c>
      <c r="D1496"/>
      <c r="E1496"/>
      <c r="F1496"/>
      <c r="G1496"/>
      <c r="H1496"/>
      <c r="I1496" s="21" t="str">
        <f t="shared" si="47"/>
        <v/>
      </c>
      <c r="L1496" s="24"/>
      <c r="M1496" s="24"/>
    </row>
    <row r="1497" spans="1:13">
      <c r="A1497" s="14" t="str">
        <f t="shared" si="46"/>
        <v/>
      </c>
      <c r="C1497" s="120" t="s">
        <v>128</v>
      </c>
      <c r="D1497"/>
      <c r="E1497"/>
      <c r="F1497"/>
      <c r="G1497"/>
      <c r="H1497"/>
      <c r="I1497" s="21" t="str">
        <f t="shared" si="47"/>
        <v/>
      </c>
      <c r="L1497" s="24"/>
      <c r="M1497" s="24"/>
    </row>
    <row r="1498" spans="1:13">
      <c r="A1498" s="10" t="str">
        <f t="shared" si="46"/>
        <v/>
      </c>
      <c r="C1498" s="120" t="s">
        <v>280</v>
      </c>
      <c r="D1498"/>
      <c r="E1498"/>
      <c r="F1498"/>
      <c r="G1498"/>
      <c r="H1498"/>
      <c r="I1498" s="21" t="str">
        <f t="shared" si="47"/>
        <v/>
      </c>
      <c r="L1498" s="24"/>
      <c r="M1498" s="24"/>
    </row>
    <row r="1499" spans="1:13">
      <c r="A1499" s="14" t="str">
        <f t="shared" si="46"/>
        <v/>
      </c>
      <c r="C1499" s="120" t="s">
        <v>282</v>
      </c>
      <c r="D1499"/>
      <c r="E1499"/>
      <c r="F1499"/>
      <c r="G1499"/>
      <c r="H1499"/>
      <c r="I1499" s="21" t="str">
        <f t="shared" si="47"/>
        <v/>
      </c>
      <c r="L1499" s="24"/>
      <c r="M1499" s="24"/>
    </row>
    <row r="1500" spans="1:13">
      <c r="A1500" s="10" t="str">
        <f t="shared" si="46"/>
        <v/>
      </c>
      <c r="C1500" s="120" t="s">
        <v>284</v>
      </c>
      <c r="D1500"/>
      <c r="E1500"/>
      <c r="F1500"/>
      <c r="G1500"/>
      <c r="H1500"/>
      <c r="I1500" s="21" t="str">
        <f t="shared" si="47"/>
        <v/>
      </c>
      <c r="L1500" s="24"/>
      <c r="M1500" s="24"/>
    </row>
    <row r="1501" spans="1:13">
      <c r="A1501" s="14" t="str">
        <f t="shared" si="46"/>
        <v/>
      </c>
      <c r="C1501" s="120" t="s">
        <v>286</v>
      </c>
      <c r="D1501"/>
      <c r="E1501"/>
      <c r="F1501"/>
      <c r="G1501"/>
      <c r="H1501"/>
      <c r="I1501" s="21" t="str">
        <f t="shared" si="47"/>
        <v/>
      </c>
      <c r="L1501" s="24"/>
      <c r="M1501" s="24"/>
    </row>
    <row r="1502" spans="1:13">
      <c r="A1502" s="10" t="str">
        <f t="shared" si="46"/>
        <v/>
      </c>
      <c r="C1502" s="120" t="s">
        <v>126</v>
      </c>
      <c r="D1502"/>
      <c r="E1502"/>
      <c r="F1502"/>
      <c r="G1502"/>
      <c r="H1502"/>
      <c r="I1502" s="21" t="str">
        <f t="shared" si="47"/>
        <v/>
      </c>
      <c r="L1502" s="24"/>
      <c r="M1502" s="24"/>
    </row>
    <row r="1503" spans="1:13">
      <c r="A1503" s="14" t="str">
        <f t="shared" si="46"/>
        <v/>
      </c>
      <c r="C1503" s="120" t="s">
        <v>128</v>
      </c>
      <c r="D1503"/>
      <c r="E1503"/>
      <c r="F1503"/>
      <c r="G1503"/>
      <c r="H1503"/>
      <c r="I1503" s="21" t="str">
        <f t="shared" si="47"/>
        <v/>
      </c>
      <c r="L1503" s="24"/>
      <c r="M1503" s="24"/>
    </row>
    <row r="1504" spans="1:13">
      <c r="A1504" s="10" t="str">
        <f t="shared" si="46"/>
        <v/>
      </c>
      <c r="C1504" s="120" t="s">
        <v>280</v>
      </c>
      <c r="D1504"/>
      <c r="E1504"/>
      <c r="F1504"/>
      <c r="G1504"/>
      <c r="H1504"/>
      <c r="I1504" s="21" t="str">
        <f t="shared" si="47"/>
        <v/>
      </c>
      <c r="L1504" s="24"/>
      <c r="M1504" s="24"/>
    </row>
    <row r="1505" spans="1:13">
      <c r="A1505" s="14" t="str">
        <f t="shared" si="46"/>
        <v/>
      </c>
      <c r="C1505" s="120" t="s">
        <v>282</v>
      </c>
      <c r="D1505"/>
      <c r="E1505"/>
      <c r="F1505"/>
      <c r="G1505"/>
      <c r="H1505"/>
      <c r="I1505" s="21" t="str">
        <f t="shared" si="47"/>
        <v/>
      </c>
      <c r="L1505" s="24"/>
      <c r="M1505" s="24"/>
    </row>
    <row r="1506" spans="1:13">
      <c r="A1506" s="10" t="str">
        <f t="shared" si="46"/>
        <v/>
      </c>
      <c r="C1506" s="120" t="s">
        <v>284</v>
      </c>
      <c r="D1506"/>
      <c r="E1506"/>
      <c r="F1506"/>
      <c r="G1506"/>
      <c r="H1506"/>
      <c r="I1506" s="21" t="str">
        <f t="shared" si="47"/>
        <v/>
      </c>
      <c r="L1506" s="24"/>
      <c r="M1506" s="24"/>
    </row>
    <row r="1507" spans="1:13">
      <c r="A1507" s="14" t="str">
        <f t="shared" si="46"/>
        <v/>
      </c>
      <c r="C1507" s="120" t="s">
        <v>286</v>
      </c>
      <c r="D1507"/>
      <c r="E1507"/>
      <c r="F1507"/>
      <c r="G1507"/>
      <c r="H1507"/>
      <c r="I1507" s="21" t="str">
        <f t="shared" si="47"/>
        <v/>
      </c>
      <c r="L1507" s="24"/>
      <c r="M1507" s="24"/>
    </row>
    <row r="1508" spans="1:13">
      <c r="A1508" s="10" t="str">
        <f t="shared" si="46"/>
        <v/>
      </c>
      <c r="C1508" s="120" t="s">
        <v>126</v>
      </c>
      <c r="D1508"/>
      <c r="E1508"/>
      <c r="F1508"/>
      <c r="G1508"/>
      <c r="H1508"/>
      <c r="I1508" s="21" t="str">
        <f t="shared" si="47"/>
        <v/>
      </c>
      <c r="L1508" s="24"/>
      <c r="M1508" s="24"/>
    </row>
    <row r="1509" spans="1:13">
      <c r="A1509" s="14" t="str">
        <f t="shared" si="46"/>
        <v/>
      </c>
      <c r="C1509" s="120" t="s">
        <v>128</v>
      </c>
      <c r="D1509"/>
      <c r="E1509"/>
      <c r="F1509"/>
      <c r="G1509"/>
      <c r="H1509"/>
      <c r="I1509" s="21" t="str">
        <f t="shared" si="47"/>
        <v/>
      </c>
      <c r="L1509" s="24"/>
      <c r="M1509" s="24"/>
    </row>
    <row r="1510" spans="1:13">
      <c r="A1510" s="10" t="str">
        <f t="shared" si="46"/>
        <v/>
      </c>
      <c r="C1510" s="120" t="s">
        <v>280</v>
      </c>
      <c r="D1510"/>
      <c r="E1510"/>
      <c r="F1510"/>
      <c r="G1510"/>
      <c r="H1510"/>
      <c r="I1510" s="21" t="str">
        <f t="shared" si="47"/>
        <v/>
      </c>
      <c r="L1510" s="24"/>
      <c r="M1510" s="24"/>
    </row>
    <row r="1511" spans="1:13">
      <c r="A1511" s="14" t="str">
        <f t="shared" si="46"/>
        <v/>
      </c>
      <c r="C1511" s="120" t="s">
        <v>282</v>
      </c>
      <c r="D1511"/>
      <c r="E1511"/>
      <c r="F1511"/>
      <c r="G1511"/>
      <c r="H1511"/>
      <c r="I1511" s="21" t="str">
        <f t="shared" si="47"/>
        <v/>
      </c>
      <c r="L1511" s="24"/>
      <c r="M1511" s="24"/>
    </row>
    <row r="1512" spans="1:13">
      <c r="A1512" s="10" t="str">
        <f t="shared" si="46"/>
        <v/>
      </c>
      <c r="C1512" s="120" t="s">
        <v>284</v>
      </c>
      <c r="D1512"/>
      <c r="E1512"/>
      <c r="F1512"/>
      <c r="G1512"/>
      <c r="H1512"/>
      <c r="I1512" s="21" t="str">
        <f t="shared" si="47"/>
        <v/>
      </c>
      <c r="L1512" s="24"/>
      <c r="M1512" s="24"/>
    </row>
    <row r="1513" spans="1:13">
      <c r="A1513" s="14" t="str">
        <f t="shared" si="46"/>
        <v/>
      </c>
      <c r="C1513" s="120" t="s">
        <v>286</v>
      </c>
      <c r="D1513"/>
      <c r="E1513"/>
      <c r="F1513"/>
      <c r="G1513"/>
      <c r="H1513"/>
      <c r="I1513" s="21" t="str">
        <f t="shared" si="47"/>
        <v/>
      </c>
      <c r="L1513" s="24"/>
      <c r="M1513" s="24"/>
    </row>
    <row r="1514" spans="1:13">
      <c r="A1514" s="10" t="str">
        <f t="shared" si="46"/>
        <v/>
      </c>
      <c r="C1514" s="120" t="s">
        <v>126</v>
      </c>
      <c r="D1514"/>
      <c r="E1514"/>
      <c r="F1514"/>
      <c r="G1514"/>
      <c r="H1514"/>
      <c r="I1514" s="21" t="str">
        <f t="shared" si="47"/>
        <v/>
      </c>
      <c r="L1514" s="24"/>
      <c r="M1514" s="24"/>
    </row>
    <row r="1515" spans="1:13">
      <c r="A1515" s="14" t="str">
        <f t="shared" si="46"/>
        <v/>
      </c>
      <c r="C1515" s="120" t="s">
        <v>128</v>
      </c>
      <c r="D1515"/>
      <c r="E1515"/>
      <c r="F1515"/>
      <c r="G1515"/>
      <c r="H1515"/>
      <c r="I1515" s="21" t="str">
        <f t="shared" si="47"/>
        <v/>
      </c>
      <c r="L1515" s="24"/>
      <c r="M1515" s="24"/>
    </row>
    <row r="1516" spans="1:13">
      <c r="A1516" s="10" t="str">
        <f t="shared" si="46"/>
        <v/>
      </c>
      <c r="C1516" s="120" t="s">
        <v>280</v>
      </c>
      <c r="D1516"/>
      <c r="E1516"/>
      <c r="F1516"/>
      <c r="G1516"/>
      <c r="H1516"/>
      <c r="I1516" s="21" t="str">
        <f t="shared" si="47"/>
        <v/>
      </c>
      <c r="L1516" s="24"/>
      <c r="M1516" s="24"/>
    </row>
    <row r="1517" spans="1:13">
      <c r="A1517" s="14" t="str">
        <f t="shared" si="46"/>
        <v/>
      </c>
      <c r="C1517" s="120" t="s">
        <v>282</v>
      </c>
      <c r="D1517"/>
      <c r="E1517"/>
      <c r="F1517"/>
      <c r="G1517"/>
      <c r="H1517"/>
      <c r="I1517" s="21" t="str">
        <f t="shared" si="47"/>
        <v/>
      </c>
      <c r="L1517" s="24"/>
      <c r="M1517" s="24"/>
    </row>
    <row r="1518" spans="1:13">
      <c r="A1518" s="10" t="str">
        <f t="shared" si="46"/>
        <v/>
      </c>
      <c r="C1518" s="120" t="s">
        <v>284</v>
      </c>
      <c r="D1518"/>
      <c r="E1518"/>
      <c r="F1518"/>
      <c r="G1518"/>
      <c r="H1518"/>
      <c r="I1518" s="21" t="str">
        <f t="shared" si="47"/>
        <v/>
      </c>
      <c r="L1518" s="24"/>
      <c r="M1518" s="24"/>
    </row>
    <row r="1519" spans="1:13">
      <c r="A1519" s="14" t="str">
        <f t="shared" si="46"/>
        <v/>
      </c>
      <c r="C1519" s="120" t="s">
        <v>286</v>
      </c>
      <c r="D1519"/>
      <c r="E1519"/>
      <c r="F1519"/>
      <c r="G1519"/>
      <c r="H1519"/>
      <c r="I1519" s="21" t="str">
        <f t="shared" si="47"/>
        <v/>
      </c>
      <c r="L1519" s="24"/>
      <c r="M1519" s="24"/>
    </row>
    <row r="1520" spans="1:13">
      <c r="A1520" s="10" t="str">
        <f t="shared" si="46"/>
        <v/>
      </c>
      <c r="C1520" s="120" t="s">
        <v>126</v>
      </c>
      <c r="D1520"/>
      <c r="E1520"/>
      <c r="F1520"/>
      <c r="G1520"/>
      <c r="H1520"/>
      <c r="I1520" s="21" t="str">
        <f t="shared" si="47"/>
        <v/>
      </c>
      <c r="L1520" s="24"/>
      <c r="M1520" s="24"/>
    </row>
    <row r="1521" spans="1:13">
      <c r="A1521" s="14" t="str">
        <f t="shared" si="46"/>
        <v/>
      </c>
      <c r="C1521" s="120" t="s">
        <v>128</v>
      </c>
      <c r="D1521"/>
      <c r="E1521"/>
      <c r="F1521"/>
      <c r="G1521"/>
      <c r="H1521"/>
      <c r="I1521" s="21" t="str">
        <f t="shared" si="47"/>
        <v/>
      </c>
      <c r="L1521" s="24"/>
      <c r="M1521" s="24"/>
    </row>
    <row r="1522" spans="1:13">
      <c r="A1522" s="10" t="str">
        <f t="shared" si="46"/>
        <v/>
      </c>
      <c r="C1522" s="120" t="s">
        <v>280</v>
      </c>
      <c r="D1522"/>
      <c r="E1522"/>
      <c r="F1522"/>
      <c r="G1522"/>
      <c r="H1522"/>
      <c r="I1522" s="21" t="str">
        <f t="shared" si="47"/>
        <v/>
      </c>
      <c r="L1522" s="24"/>
      <c r="M1522" s="24"/>
    </row>
    <row r="1523" spans="1:13">
      <c r="A1523" s="14" t="str">
        <f t="shared" si="46"/>
        <v/>
      </c>
      <c r="C1523" s="120" t="s">
        <v>282</v>
      </c>
      <c r="D1523"/>
      <c r="E1523"/>
      <c r="F1523"/>
      <c r="G1523"/>
      <c r="H1523"/>
      <c r="I1523" s="21" t="str">
        <f t="shared" si="47"/>
        <v/>
      </c>
      <c r="L1523" s="24"/>
      <c r="M1523" s="24"/>
    </row>
    <row r="1524" spans="1:13">
      <c r="A1524" s="10" t="str">
        <f t="shared" si="46"/>
        <v/>
      </c>
      <c r="C1524" s="120" t="s">
        <v>284</v>
      </c>
      <c r="D1524"/>
      <c r="E1524"/>
      <c r="F1524"/>
      <c r="G1524"/>
      <c r="H1524"/>
      <c r="I1524" s="21" t="str">
        <f t="shared" si="47"/>
        <v/>
      </c>
      <c r="L1524" s="24"/>
      <c r="M1524" s="24"/>
    </row>
    <row r="1525" spans="1:13">
      <c r="A1525" s="14" t="str">
        <f t="shared" si="46"/>
        <v/>
      </c>
      <c r="C1525" s="120" t="s">
        <v>286</v>
      </c>
      <c r="D1525"/>
      <c r="E1525"/>
      <c r="F1525"/>
      <c r="G1525"/>
      <c r="H1525"/>
      <c r="I1525" s="21" t="str">
        <f t="shared" si="47"/>
        <v/>
      </c>
      <c r="L1525" s="24"/>
      <c r="M1525" s="24"/>
    </row>
    <row r="1526" spans="1:13">
      <c r="A1526" s="10" t="str">
        <f t="shared" si="46"/>
        <v/>
      </c>
      <c r="C1526" s="120" t="s">
        <v>126</v>
      </c>
      <c r="D1526"/>
      <c r="E1526"/>
      <c r="F1526"/>
      <c r="G1526"/>
      <c r="H1526"/>
      <c r="I1526" s="21" t="str">
        <f t="shared" si="47"/>
        <v/>
      </c>
      <c r="L1526" s="24"/>
      <c r="M1526" s="24"/>
    </row>
    <row r="1527" spans="1:13">
      <c r="A1527" s="14" t="str">
        <f t="shared" si="46"/>
        <v/>
      </c>
      <c r="C1527" s="120" t="s">
        <v>128</v>
      </c>
      <c r="D1527"/>
      <c r="E1527"/>
      <c r="F1527"/>
      <c r="G1527"/>
      <c r="H1527"/>
      <c r="I1527" s="21" t="str">
        <f t="shared" si="47"/>
        <v/>
      </c>
      <c r="L1527" s="24"/>
      <c r="M1527" s="24"/>
    </row>
    <row r="1528" spans="1:13">
      <c r="A1528" s="10" t="str">
        <f t="shared" si="46"/>
        <v/>
      </c>
      <c r="C1528" s="120" t="s">
        <v>280</v>
      </c>
      <c r="D1528"/>
      <c r="E1528"/>
      <c r="F1528"/>
      <c r="G1528"/>
      <c r="H1528"/>
      <c r="I1528" s="21" t="str">
        <f t="shared" si="47"/>
        <v/>
      </c>
      <c r="L1528" s="24"/>
      <c r="M1528" s="24"/>
    </row>
    <row r="1529" spans="1:13">
      <c r="A1529" s="14" t="str">
        <f t="shared" si="46"/>
        <v/>
      </c>
      <c r="C1529" s="120" t="s">
        <v>282</v>
      </c>
      <c r="D1529"/>
      <c r="E1529"/>
      <c r="F1529"/>
      <c r="G1529"/>
      <c r="H1529"/>
      <c r="I1529" s="21" t="str">
        <f t="shared" si="47"/>
        <v/>
      </c>
      <c r="L1529" s="24"/>
      <c r="M1529" s="24"/>
    </row>
    <row r="1530" spans="1:13">
      <c r="A1530" s="10" t="str">
        <f t="shared" si="46"/>
        <v/>
      </c>
      <c r="C1530" s="120" t="s">
        <v>284</v>
      </c>
      <c r="D1530"/>
      <c r="E1530"/>
      <c r="F1530"/>
      <c r="G1530"/>
      <c r="H1530"/>
      <c r="I1530" s="21" t="str">
        <f t="shared" si="47"/>
        <v/>
      </c>
      <c r="L1530" s="24"/>
      <c r="M1530" s="24"/>
    </row>
    <row r="1531" spans="1:13">
      <c r="A1531" s="14" t="str">
        <f t="shared" si="46"/>
        <v/>
      </c>
      <c r="C1531" s="120" t="s">
        <v>286</v>
      </c>
      <c r="D1531"/>
      <c r="E1531"/>
      <c r="F1531"/>
      <c r="G1531"/>
      <c r="H1531"/>
      <c r="I1531" s="21" t="str">
        <f t="shared" si="47"/>
        <v/>
      </c>
      <c r="L1531" s="24"/>
      <c r="M1531" s="24"/>
    </row>
    <row r="1532" spans="1:13">
      <c r="A1532" s="10" t="str">
        <f t="shared" si="46"/>
        <v/>
      </c>
      <c r="C1532" s="120" t="s">
        <v>126</v>
      </c>
      <c r="D1532"/>
      <c r="E1532"/>
      <c r="F1532"/>
      <c r="G1532"/>
      <c r="H1532"/>
      <c r="I1532" s="21" t="str">
        <f t="shared" si="47"/>
        <v/>
      </c>
      <c r="L1532" s="24"/>
      <c r="M1532" s="24"/>
    </row>
    <row r="1533" spans="1:13">
      <c r="A1533" s="14" t="str">
        <f t="shared" si="46"/>
        <v/>
      </c>
      <c r="C1533" s="120" t="s">
        <v>128</v>
      </c>
      <c r="D1533"/>
      <c r="E1533"/>
      <c r="F1533"/>
      <c r="G1533"/>
      <c r="H1533"/>
      <c r="I1533" s="21" t="str">
        <f t="shared" si="47"/>
        <v/>
      </c>
      <c r="L1533" s="24"/>
      <c r="M1533" s="24"/>
    </row>
    <row r="1534" spans="1:13">
      <c r="A1534" s="10" t="str">
        <f t="shared" si="46"/>
        <v/>
      </c>
      <c r="C1534" s="120" t="s">
        <v>280</v>
      </c>
      <c r="D1534"/>
      <c r="E1534"/>
      <c r="F1534"/>
      <c r="G1534"/>
      <c r="H1534"/>
      <c r="I1534" s="21" t="str">
        <f t="shared" si="47"/>
        <v/>
      </c>
      <c r="L1534" s="24"/>
      <c r="M1534" s="24"/>
    </row>
    <row r="1535" spans="1:13">
      <c r="A1535" s="14" t="str">
        <f t="shared" si="46"/>
        <v/>
      </c>
      <c r="C1535" s="120" t="s">
        <v>282</v>
      </c>
      <c r="D1535"/>
      <c r="E1535"/>
      <c r="F1535"/>
      <c r="G1535"/>
      <c r="H1535"/>
      <c r="I1535" s="21" t="str">
        <f t="shared" si="47"/>
        <v/>
      </c>
      <c r="L1535" s="24"/>
      <c r="M1535" s="24"/>
    </row>
    <row r="1536" spans="1:13">
      <c r="A1536" s="10" t="str">
        <f t="shared" si="46"/>
        <v/>
      </c>
      <c r="C1536" s="120" t="s">
        <v>284</v>
      </c>
      <c r="D1536"/>
      <c r="E1536"/>
      <c r="F1536"/>
      <c r="G1536"/>
      <c r="H1536"/>
      <c r="I1536" s="21" t="str">
        <f t="shared" si="47"/>
        <v/>
      </c>
      <c r="L1536" s="24"/>
      <c r="M1536" s="24"/>
    </row>
    <row r="1537" spans="1:13">
      <c r="A1537" s="14" t="str">
        <f t="shared" si="46"/>
        <v/>
      </c>
      <c r="C1537" s="120" t="s">
        <v>286</v>
      </c>
      <c r="D1537"/>
      <c r="E1537"/>
      <c r="F1537"/>
      <c r="G1537"/>
      <c r="H1537"/>
      <c r="I1537" s="21" t="str">
        <f t="shared" si="47"/>
        <v/>
      </c>
      <c r="L1537" s="24"/>
      <c r="M1537" s="24"/>
    </row>
    <row r="1538" spans="1:13">
      <c r="A1538" s="10" t="str">
        <f t="shared" ref="A1538:A1601" si="48">IF(B1538&lt;&gt;"",ROW()-1,"")</f>
        <v/>
      </c>
      <c r="C1538" s="120" t="s">
        <v>126</v>
      </c>
      <c r="D1538"/>
      <c r="E1538"/>
      <c r="F1538"/>
      <c r="G1538"/>
      <c r="H1538"/>
      <c r="I1538" s="21" t="str">
        <f t="shared" ref="I1538:I1601" si="49">IF(AND(G1538&lt;&gt;"",H1538&lt;&gt;""),H1538-G1538,"")</f>
        <v/>
      </c>
      <c r="L1538" s="24"/>
      <c r="M1538" s="24"/>
    </row>
    <row r="1539" spans="1:13">
      <c r="A1539" s="14" t="str">
        <f t="shared" si="48"/>
        <v/>
      </c>
      <c r="C1539" s="120" t="s">
        <v>128</v>
      </c>
      <c r="D1539"/>
      <c r="E1539"/>
      <c r="F1539"/>
      <c r="G1539"/>
      <c r="H1539"/>
      <c r="I1539" s="21" t="str">
        <f t="shared" si="49"/>
        <v/>
      </c>
      <c r="L1539" s="24"/>
      <c r="M1539" s="24"/>
    </row>
    <row r="1540" spans="1:13">
      <c r="A1540" s="10" t="str">
        <f t="shared" si="48"/>
        <v/>
      </c>
      <c r="C1540" s="120" t="s">
        <v>280</v>
      </c>
      <c r="D1540"/>
      <c r="E1540"/>
      <c r="F1540"/>
      <c r="G1540"/>
      <c r="H1540"/>
      <c r="I1540" s="21" t="str">
        <f t="shared" si="49"/>
        <v/>
      </c>
      <c r="L1540" s="24"/>
      <c r="M1540" s="24"/>
    </row>
    <row r="1541" spans="1:13">
      <c r="A1541" s="14" t="str">
        <f t="shared" si="48"/>
        <v/>
      </c>
      <c r="C1541" s="120" t="s">
        <v>282</v>
      </c>
      <c r="D1541"/>
      <c r="E1541"/>
      <c r="F1541"/>
      <c r="G1541"/>
      <c r="H1541"/>
      <c r="I1541" s="21" t="str">
        <f t="shared" si="49"/>
        <v/>
      </c>
      <c r="L1541" s="24"/>
      <c r="M1541" s="24"/>
    </row>
    <row r="1542" spans="1:13">
      <c r="A1542" s="10" t="str">
        <f t="shared" si="48"/>
        <v/>
      </c>
      <c r="C1542" s="120" t="s">
        <v>284</v>
      </c>
      <c r="D1542"/>
      <c r="E1542"/>
      <c r="F1542"/>
      <c r="G1542"/>
      <c r="H1542"/>
      <c r="I1542" s="21" t="str">
        <f t="shared" si="49"/>
        <v/>
      </c>
      <c r="L1542" s="24"/>
      <c r="M1542" s="24"/>
    </row>
    <row r="1543" spans="1:13">
      <c r="A1543" s="14" t="str">
        <f t="shared" si="48"/>
        <v/>
      </c>
      <c r="C1543" s="120" t="s">
        <v>286</v>
      </c>
      <c r="D1543"/>
      <c r="E1543"/>
      <c r="F1543"/>
      <c r="G1543"/>
      <c r="H1543"/>
      <c r="I1543" s="21" t="str">
        <f t="shared" si="49"/>
        <v/>
      </c>
      <c r="L1543" s="24"/>
      <c r="M1543" s="24"/>
    </row>
    <row r="1544" spans="1:13">
      <c r="A1544" s="10" t="str">
        <f t="shared" si="48"/>
        <v/>
      </c>
      <c r="C1544" s="120" t="s">
        <v>126</v>
      </c>
      <c r="D1544"/>
      <c r="E1544"/>
      <c r="F1544"/>
      <c r="G1544"/>
      <c r="H1544"/>
      <c r="I1544" s="21" t="str">
        <f t="shared" si="49"/>
        <v/>
      </c>
      <c r="L1544" s="24"/>
      <c r="M1544" s="24"/>
    </row>
    <row r="1545" spans="1:13">
      <c r="A1545" s="14" t="str">
        <f t="shared" si="48"/>
        <v/>
      </c>
      <c r="C1545" s="120" t="s">
        <v>128</v>
      </c>
      <c r="D1545"/>
      <c r="E1545"/>
      <c r="F1545"/>
      <c r="G1545"/>
      <c r="H1545"/>
      <c r="I1545" s="21" t="str">
        <f t="shared" si="49"/>
        <v/>
      </c>
      <c r="L1545" s="24"/>
      <c r="M1545" s="24"/>
    </row>
    <row r="1546" spans="1:13">
      <c r="A1546" s="10" t="str">
        <f t="shared" si="48"/>
        <v/>
      </c>
      <c r="C1546" s="120" t="s">
        <v>280</v>
      </c>
      <c r="D1546"/>
      <c r="E1546"/>
      <c r="F1546"/>
      <c r="G1546"/>
      <c r="H1546"/>
      <c r="I1546" s="21" t="str">
        <f t="shared" si="49"/>
        <v/>
      </c>
      <c r="L1546" s="24"/>
      <c r="M1546" s="24"/>
    </row>
    <row r="1547" spans="1:13">
      <c r="A1547" s="14" t="str">
        <f t="shared" si="48"/>
        <v/>
      </c>
      <c r="C1547" s="120" t="s">
        <v>282</v>
      </c>
      <c r="D1547"/>
      <c r="E1547"/>
      <c r="F1547"/>
      <c r="G1547"/>
      <c r="H1547"/>
      <c r="I1547" s="21" t="str">
        <f t="shared" si="49"/>
        <v/>
      </c>
      <c r="L1547" s="24"/>
      <c r="M1547" s="24"/>
    </row>
    <row r="1548" spans="1:13">
      <c r="A1548" s="10" t="str">
        <f t="shared" si="48"/>
        <v/>
      </c>
      <c r="C1548" s="120" t="s">
        <v>284</v>
      </c>
      <c r="D1548"/>
      <c r="E1548"/>
      <c r="F1548"/>
      <c r="G1548"/>
      <c r="H1548"/>
      <c r="I1548" s="21" t="str">
        <f t="shared" si="49"/>
        <v/>
      </c>
      <c r="L1548" s="24"/>
      <c r="M1548" s="24"/>
    </row>
    <row r="1549" spans="1:13">
      <c r="A1549" s="14" t="str">
        <f t="shared" si="48"/>
        <v/>
      </c>
      <c r="C1549" s="120" t="s">
        <v>286</v>
      </c>
      <c r="D1549"/>
      <c r="E1549"/>
      <c r="F1549"/>
      <c r="G1549"/>
      <c r="H1549"/>
      <c r="I1549" s="21" t="str">
        <f t="shared" si="49"/>
        <v/>
      </c>
      <c r="L1549" s="24"/>
      <c r="M1549" s="24"/>
    </row>
    <row r="1550" spans="1:13">
      <c r="A1550" s="10" t="str">
        <f t="shared" si="48"/>
        <v/>
      </c>
      <c r="C1550" s="120" t="s">
        <v>126</v>
      </c>
      <c r="D1550"/>
      <c r="E1550"/>
      <c r="F1550"/>
      <c r="G1550"/>
      <c r="H1550"/>
      <c r="I1550" s="21" t="str">
        <f t="shared" si="49"/>
        <v/>
      </c>
      <c r="L1550" s="24"/>
      <c r="M1550" s="24"/>
    </row>
    <row r="1551" spans="1:13">
      <c r="A1551" s="14" t="str">
        <f t="shared" si="48"/>
        <v/>
      </c>
      <c r="C1551" s="120" t="s">
        <v>128</v>
      </c>
      <c r="D1551"/>
      <c r="E1551"/>
      <c r="F1551"/>
      <c r="G1551"/>
      <c r="H1551"/>
      <c r="I1551" s="21" t="str">
        <f t="shared" si="49"/>
        <v/>
      </c>
      <c r="L1551" s="24"/>
      <c r="M1551" s="24"/>
    </row>
    <row r="1552" spans="1:13">
      <c r="A1552" s="10" t="str">
        <f t="shared" si="48"/>
        <v/>
      </c>
      <c r="C1552" s="120" t="s">
        <v>280</v>
      </c>
      <c r="D1552"/>
      <c r="E1552"/>
      <c r="F1552"/>
      <c r="G1552"/>
      <c r="H1552"/>
      <c r="I1552" s="21" t="str">
        <f t="shared" si="49"/>
        <v/>
      </c>
      <c r="L1552" s="24"/>
      <c r="M1552" s="24"/>
    </row>
    <row r="1553" spans="1:13">
      <c r="A1553" s="14" t="str">
        <f t="shared" si="48"/>
        <v/>
      </c>
      <c r="C1553" s="120" t="s">
        <v>282</v>
      </c>
      <c r="D1553"/>
      <c r="E1553"/>
      <c r="F1553"/>
      <c r="G1553"/>
      <c r="H1553"/>
      <c r="I1553" s="21" t="str">
        <f t="shared" si="49"/>
        <v/>
      </c>
      <c r="L1553" s="24"/>
      <c r="M1553" s="24"/>
    </row>
    <row r="1554" spans="1:13">
      <c r="A1554" s="10" t="str">
        <f t="shared" si="48"/>
        <v/>
      </c>
      <c r="C1554" s="120" t="s">
        <v>284</v>
      </c>
      <c r="D1554"/>
      <c r="E1554"/>
      <c r="F1554"/>
      <c r="G1554"/>
      <c r="H1554"/>
      <c r="I1554" s="21" t="str">
        <f t="shared" si="49"/>
        <v/>
      </c>
      <c r="L1554" s="24"/>
      <c r="M1554" s="24"/>
    </row>
    <row r="1555" spans="1:13">
      <c r="A1555" s="14" t="str">
        <f t="shared" si="48"/>
        <v/>
      </c>
      <c r="C1555" s="120" t="s">
        <v>286</v>
      </c>
      <c r="D1555"/>
      <c r="E1555"/>
      <c r="F1555"/>
      <c r="G1555"/>
      <c r="H1555"/>
      <c r="I1555" s="21" t="str">
        <f t="shared" si="49"/>
        <v/>
      </c>
      <c r="L1555" s="24"/>
      <c r="M1555" s="24"/>
    </row>
    <row r="1556" spans="1:13">
      <c r="A1556" s="10" t="str">
        <f t="shared" si="48"/>
        <v/>
      </c>
      <c r="C1556" s="120" t="s">
        <v>126</v>
      </c>
      <c r="D1556"/>
      <c r="E1556"/>
      <c r="F1556"/>
      <c r="G1556"/>
      <c r="H1556"/>
      <c r="I1556" s="21" t="str">
        <f t="shared" si="49"/>
        <v/>
      </c>
      <c r="L1556" s="24"/>
      <c r="M1556" s="24"/>
    </row>
    <row r="1557" spans="1:13">
      <c r="A1557" s="14" t="str">
        <f t="shared" si="48"/>
        <v/>
      </c>
      <c r="C1557" s="120" t="s">
        <v>128</v>
      </c>
      <c r="D1557"/>
      <c r="E1557"/>
      <c r="F1557"/>
      <c r="G1557"/>
      <c r="H1557"/>
      <c r="I1557" s="21" t="str">
        <f t="shared" si="49"/>
        <v/>
      </c>
      <c r="L1557" s="24"/>
      <c r="M1557" s="24"/>
    </row>
    <row r="1558" spans="1:13">
      <c r="A1558" s="10" t="str">
        <f t="shared" si="48"/>
        <v/>
      </c>
      <c r="C1558" s="120" t="s">
        <v>280</v>
      </c>
      <c r="D1558"/>
      <c r="E1558"/>
      <c r="F1558"/>
      <c r="G1558"/>
      <c r="H1558"/>
      <c r="I1558" s="21" t="str">
        <f t="shared" si="49"/>
        <v/>
      </c>
      <c r="L1558" s="24"/>
      <c r="M1558" s="24"/>
    </row>
    <row r="1559" spans="1:13">
      <c r="A1559" s="14" t="str">
        <f t="shared" si="48"/>
        <v/>
      </c>
      <c r="C1559" s="120" t="s">
        <v>282</v>
      </c>
      <c r="D1559"/>
      <c r="E1559"/>
      <c r="F1559"/>
      <c r="G1559"/>
      <c r="H1559"/>
      <c r="I1559" s="21" t="str">
        <f t="shared" si="49"/>
        <v/>
      </c>
      <c r="L1559" s="24"/>
      <c r="M1559" s="24"/>
    </row>
    <row r="1560" spans="1:13">
      <c r="A1560" s="10" t="str">
        <f t="shared" si="48"/>
        <v/>
      </c>
      <c r="C1560" s="120" t="s">
        <v>284</v>
      </c>
      <c r="D1560"/>
      <c r="E1560"/>
      <c r="F1560"/>
      <c r="G1560"/>
      <c r="H1560"/>
      <c r="I1560" s="21" t="str">
        <f t="shared" si="49"/>
        <v/>
      </c>
      <c r="L1560" s="24"/>
      <c r="M1560" s="24"/>
    </row>
    <row r="1561" spans="1:13">
      <c r="A1561" s="14" t="str">
        <f t="shared" si="48"/>
        <v/>
      </c>
      <c r="C1561" s="120" t="s">
        <v>286</v>
      </c>
      <c r="D1561"/>
      <c r="E1561"/>
      <c r="F1561"/>
      <c r="G1561"/>
      <c r="H1561"/>
      <c r="I1561" s="21" t="str">
        <f t="shared" si="49"/>
        <v/>
      </c>
      <c r="L1561" s="24"/>
      <c r="M1561" s="24"/>
    </row>
    <row r="1562" spans="1:13">
      <c r="A1562" s="10" t="str">
        <f t="shared" si="48"/>
        <v/>
      </c>
      <c r="C1562" s="120" t="s">
        <v>126</v>
      </c>
      <c r="D1562"/>
      <c r="E1562"/>
      <c r="F1562"/>
      <c r="G1562"/>
      <c r="H1562"/>
      <c r="I1562" s="21" t="str">
        <f t="shared" si="49"/>
        <v/>
      </c>
      <c r="L1562" s="24"/>
      <c r="M1562" s="24"/>
    </row>
    <row r="1563" spans="1:13">
      <c r="A1563" s="14" t="str">
        <f t="shared" si="48"/>
        <v/>
      </c>
      <c r="C1563" s="120" t="s">
        <v>128</v>
      </c>
      <c r="D1563"/>
      <c r="E1563"/>
      <c r="F1563"/>
      <c r="G1563"/>
      <c r="H1563"/>
      <c r="I1563" s="21" t="str">
        <f t="shared" si="49"/>
        <v/>
      </c>
      <c r="L1563" s="24"/>
      <c r="M1563" s="24"/>
    </row>
    <row r="1564" spans="1:13">
      <c r="A1564" s="10" t="str">
        <f t="shared" si="48"/>
        <v/>
      </c>
      <c r="C1564" s="120" t="s">
        <v>280</v>
      </c>
      <c r="D1564"/>
      <c r="E1564"/>
      <c r="F1564"/>
      <c r="G1564"/>
      <c r="H1564"/>
      <c r="I1564" s="21" t="str">
        <f t="shared" si="49"/>
        <v/>
      </c>
      <c r="L1564" s="24"/>
      <c r="M1564" s="24"/>
    </row>
    <row r="1565" spans="1:13">
      <c r="A1565" s="14" t="str">
        <f t="shared" si="48"/>
        <v/>
      </c>
      <c r="C1565" s="120" t="s">
        <v>282</v>
      </c>
      <c r="D1565"/>
      <c r="E1565"/>
      <c r="F1565"/>
      <c r="G1565"/>
      <c r="H1565"/>
      <c r="I1565" s="21" t="str">
        <f t="shared" si="49"/>
        <v/>
      </c>
      <c r="L1565" s="24"/>
      <c r="M1565" s="24"/>
    </row>
    <row r="1566" spans="1:13">
      <c r="A1566" s="10" t="str">
        <f t="shared" si="48"/>
        <v/>
      </c>
      <c r="C1566" s="120" t="s">
        <v>284</v>
      </c>
      <c r="D1566"/>
      <c r="E1566"/>
      <c r="F1566"/>
      <c r="G1566"/>
      <c r="H1566"/>
      <c r="I1566" s="21" t="str">
        <f t="shared" si="49"/>
        <v/>
      </c>
      <c r="L1566" s="24"/>
      <c r="M1566" s="24"/>
    </row>
    <row r="1567" spans="1:13">
      <c r="A1567" s="14" t="str">
        <f t="shared" si="48"/>
        <v/>
      </c>
      <c r="C1567" s="120" t="s">
        <v>286</v>
      </c>
      <c r="D1567"/>
      <c r="E1567"/>
      <c r="F1567"/>
      <c r="G1567"/>
      <c r="H1567"/>
      <c r="I1567" s="21" t="str">
        <f t="shared" si="49"/>
        <v/>
      </c>
      <c r="L1567" s="24"/>
      <c r="M1567" s="24"/>
    </row>
    <row r="1568" spans="1:13">
      <c r="A1568" s="10" t="str">
        <f t="shared" si="48"/>
        <v/>
      </c>
      <c r="C1568" s="120" t="s">
        <v>126</v>
      </c>
      <c r="D1568"/>
      <c r="E1568"/>
      <c r="F1568"/>
      <c r="G1568"/>
      <c r="H1568"/>
      <c r="I1568" s="21" t="str">
        <f t="shared" si="49"/>
        <v/>
      </c>
      <c r="L1568" s="24"/>
      <c r="M1568" s="24"/>
    </row>
    <row r="1569" spans="1:13">
      <c r="A1569" s="14" t="str">
        <f t="shared" si="48"/>
        <v/>
      </c>
      <c r="C1569" s="120" t="s">
        <v>128</v>
      </c>
      <c r="D1569"/>
      <c r="E1569"/>
      <c r="F1569"/>
      <c r="G1569"/>
      <c r="H1569"/>
      <c r="I1569" s="21" t="str">
        <f t="shared" si="49"/>
        <v/>
      </c>
      <c r="L1569" s="24"/>
      <c r="M1569" s="24"/>
    </row>
    <row r="1570" spans="1:13">
      <c r="A1570" s="10" t="str">
        <f t="shared" si="48"/>
        <v/>
      </c>
      <c r="C1570" s="120" t="s">
        <v>280</v>
      </c>
      <c r="D1570"/>
      <c r="E1570"/>
      <c r="F1570"/>
      <c r="G1570"/>
      <c r="H1570"/>
      <c r="I1570" s="21" t="str">
        <f t="shared" si="49"/>
        <v/>
      </c>
      <c r="L1570" s="24"/>
      <c r="M1570" s="24"/>
    </row>
    <row r="1571" spans="1:13">
      <c r="A1571" s="14" t="str">
        <f t="shared" si="48"/>
        <v/>
      </c>
      <c r="C1571" s="120" t="s">
        <v>282</v>
      </c>
      <c r="D1571"/>
      <c r="E1571"/>
      <c r="F1571"/>
      <c r="G1571"/>
      <c r="H1571"/>
      <c r="I1571" s="21" t="str">
        <f t="shared" si="49"/>
        <v/>
      </c>
      <c r="L1571" s="24"/>
      <c r="M1571" s="24"/>
    </row>
    <row r="1572" spans="1:13">
      <c r="A1572" s="10" t="str">
        <f t="shared" si="48"/>
        <v/>
      </c>
      <c r="C1572" s="120" t="s">
        <v>284</v>
      </c>
      <c r="D1572"/>
      <c r="E1572"/>
      <c r="F1572"/>
      <c r="G1572"/>
      <c r="H1572"/>
      <c r="I1572" s="21" t="str">
        <f t="shared" si="49"/>
        <v/>
      </c>
      <c r="L1572" s="24"/>
      <c r="M1572" s="24"/>
    </row>
    <row r="1573" spans="1:13">
      <c r="A1573" s="14" t="str">
        <f t="shared" si="48"/>
        <v/>
      </c>
      <c r="C1573" s="120" t="s">
        <v>286</v>
      </c>
      <c r="D1573"/>
      <c r="E1573"/>
      <c r="F1573"/>
      <c r="G1573"/>
      <c r="H1573"/>
      <c r="I1573" s="21" t="str">
        <f t="shared" si="49"/>
        <v/>
      </c>
      <c r="L1573" s="24"/>
      <c r="M1573" s="24"/>
    </row>
    <row r="1574" spans="1:13">
      <c r="A1574" s="10" t="str">
        <f t="shared" si="48"/>
        <v/>
      </c>
      <c r="C1574" s="120" t="s">
        <v>126</v>
      </c>
      <c r="D1574"/>
      <c r="E1574"/>
      <c r="F1574"/>
      <c r="G1574"/>
      <c r="H1574"/>
      <c r="I1574" s="21" t="str">
        <f t="shared" si="49"/>
        <v/>
      </c>
      <c r="L1574" s="24"/>
      <c r="M1574" s="24"/>
    </row>
    <row r="1575" spans="1:13">
      <c r="A1575" s="14" t="str">
        <f t="shared" si="48"/>
        <v/>
      </c>
      <c r="C1575" s="120" t="s">
        <v>128</v>
      </c>
      <c r="D1575"/>
      <c r="E1575"/>
      <c r="F1575"/>
      <c r="G1575"/>
      <c r="H1575"/>
      <c r="I1575" s="21" t="str">
        <f t="shared" si="49"/>
        <v/>
      </c>
      <c r="L1575" s="24"/>
      <c r="M1575" s="24"/>
    </row>
    <row r="1576" spans="1:13">
      <c r="A1576" s="10" t="str">
        <f t="shared" si="48"/>
        <v/>
      </c>
      <c r="C1576" s="120" t="s">
        <v>280</v>
      </c>
      <c r="D1576"/>
      <c r="E1576"/>
      <c r="F1576"/>
      <c r="G1576"/>
      <c r="H1576"/>
      <c r="I1576" s="21" t="str">
        <f t="shared" si="49"/>
        <v/>
      </c>
      <c r="L1576" s="24"/>
      <c r="M1576" s="24"/>
    </row>
    <row r="1577" spans="1:13">
      <c r="A1577" s="14" t="str">
        <f t="shared" si="48"/>
        <v/>
      </c>
      <c r="C1577" s="120" t="s">
        <v>282</v>
      </c>
      <c r="D1577"/>
      <c r="E1577"/>
      <c r="F1577"/>
      <c r="G1577"/>
      <c r="H1577"/>
      <c r="I1577" s="21" t="str">
        <f t="shared" si="49"/>
        <v/>
      </c>
      <c r="L1577" s="24"/>
      <c r="M1577" s="24"/>
    </row>
    <row r="1578" spans="1:13">
      <c r="A1578" s="10" t="str">
        <f t="shared" si="48"/>
        <v/>
      </c>
      <c r="C1578" s="120" t="s">
        <v>284</v>
      </c>
      <c r="D1578"/>
      <c r="E1578"/>
      <c r="F1578"/>
      <c r="G1578"/>
      <c r="H1578"/>
      <c r="I1578" s="21" t="str">
        <f t="shared" si="49"/>
        <v/>
      </c>
      <c r="L1578" s="24"/>
      <c r="M1578" s="24"/>
    </row>
    <row r="1579" spans="1:13">
      <c r="A1579" s="14" t="str">
        <f t="shared" si="48"/>
        <v/>
      </c>
      <c r="C1579" s="120" t="s">
        <v>286</v>
      </c>
      <c r="D1579"/>
      <c r="E1579"/>
      <c r="F1579"/>
      <c r="G1579"/>
      <c r="H1579"/>
      <c r="I1579" s="21" t="str">
        <f t="shared" si="49"/>
        <v/>
      </c>
      <c r="L1579" s="24"/>
      <c r="M1579" s="24"/>
    </row>
    <row r="1580" spans="1:13">
      <c r="A1580" s="10" t="str">
        <f t="shared" si="48"/>
        <v/>
      </c>
      <c r="C1580" s="120" t="s">
        <v>126</v>
      </c>
      <c r="D1580"/>
      <c r="E1580"/>
      <c r="F1580"/>
      <c r="G1580"/>
      <c r="H1580"/>
      <c r="I1580" s="21" t="str">
        <f t="shared" si="49"/>
        <v/>
      </c>
      <c r="L1580" s="24"/>
      <c r="M1580" s="24"/>
    </row>
    <row r="1581" spans="1:13">
      <c r="A1581" s="14" t="str">
        <f t="shared" si="48"/>
        <v/>
      </c>
      <c r="C1581" s="120" t="s">
        <v>128</v>
      </c>
      <c r="D1581"/>
      <c r="E1581"/>
      <c r="F1581"/>
      <c r="G1581"/>
      <c r="H1581"/>
      <c r="I1581" s="21" t="str">
        <f t="shared" si="49"/>
        <v/>
      </c>
      <c r="L1581" s="24"/>
      <c r="M1581" s="24"/>
    </row>
    <row r="1582" spans="1:13">
      <c r="A1582" s="10" t="str">
        <f t="shared" si="48"/>
        <v/>
      </c>
      <c r="C1582" s="120" t="s">
        <v>280</v>
      </c>
      <c r="D1582"/>
      <c r="E1582"/>
      <c r="F1582"/>
      <c r="G1582"/>
      <c r="H1582"/>
      <c r="I1582" s="21" t="str">
        <f t="shared" si="49"/>
        <v/>
      </c>
      <c r="L1582" s="24"/>
      <c r="M1582" s="24"/>
    </row>
    <row r="1583" spans="1:13">
      <c r="A1583" s="14" t="str">
        <f t="shared" si="48"/>
        <v/>
      </c>
      <c r="C1583" s="120" t="s">
        <v>282</v>
      </c>
      <c r="D1583"/>
      <c r="E1583"/>
      <c r="F1583"/>
      <c r="G1583"/>
      <c r="H1583"/>
      <c r="I1583" s="21" t="str">
        <f t="shared" si="49"/>
        <v/>
      </c>
      <c r="L1583" s="24"/>
      <c r="M1583" s="24"/>
    </row>
    <row r="1584" spans="1:13">
      <c r="A1584" s="10" t="str">
        <f t="shared" si="48"/>
        <v/>
      </c>
      <c r="C1584" s="120" t="s">
        <v>284</v>
      </c>
      <c r="D1584"/>
      <c r="E1584"/>
      <c r="F1584"/>
      <c r="G1584"/>
      <c r="H1584"/>
      <c r="I1584" s="21" t="str">
        <f t="shared" si="49"/>
        <v/>
      </c>
      <c r="L1584" s="24"/>
      <c r="M1584" s="24"/>
    </row>
    <row r="1585" spans="1:13">
      <c r="A1585" s="14" t="str">
        <f t="shared" si="48"/>
        <v/>
      </c>
      <c r="C1585" s="120" t="s">
        <v>286</v>
      </c>
      <c r="D1585"/>
      <c r="E1585"/>
      <c r="F1585"/>
      <c r="G1585"/>
      <c r="H1585"/>
      <c r="I1585" s="21" t="str">
        <f t="shared" si="49"/>
        <v/>
      </c>
      <c r="L1585" s="24"/>
      <c r="M1585" s="24"/>
    </row>
    <row r="1586" spans="1:13">
      <c r="A1586" s="10" t="str">
        <f t="shared" si="48"/>
        <v/>
      </c>
      <c r="C1586" s="120" t="s">
        <v>126</v>
      </c>
      <c r="D1586"/>
      <c r="E1586"/>
      <c r="F1586"/>
      <c r="G1586"/>
      <c r="H1586"/>
      <c r="I1586" s="21" t="str">
        <f t="shared" si="49"/>
        <v/>
      </c>
      <c r="L1586" s="24"/>
      <c r="M1586" s="24"/>
    </row>
    <row r="1587" spans="1:13">
      <c r="A1587" s="14" t="str">
        <f t="shared" si="48"/>
        <v/>
      </c>
      <c r="C1587" s="120" t="s">
        <v>128</v>
      </c>
      <c r="D1587"/>
      <c r="E1587"/>
      <c r="F1587"/>
      <c r="G1587"/>
      <c r="H1587"/>
      <c r="I1587" s="21" t="str">
        <f t="shared" si="49"/>
        <v/>
      </c>
      <c r="L1587" s="24"/>
      <c r="M1587" s="24"/>
    </row>
    <row r="1588" spans="1:13">
      <c r="A1588" s="10" t="str">
        <f t="shared" si="48"/>
        <v/>
      </c>
      <c r="C1588" s="120" t="s">
        <v>280</v>
      </c>
      <c r="D1588"/>
      <c r="E1588"/>
      <c r="F1588"/>
      <c r="G1588"/>
      <c r="H1588"/>
      <c r="I1588" s="21" t="str">
        <f t="shared" si="49"/>
        <v/>
      </c>
      <c r="L1588" s="24"/>
      <c r="M1588" s="24"/>
    </row>
    <row r="1589" spans="1:13">
      <c r="A1589" s="14" t="str">
        <f t="shared" si="48"/>
        <v/>
      </c>
      <c r="C1589" s="120" t="s">
        <v>282</v>
      </c>
      <c r="D1589"/>
      <c r="E1589"/>
      <c r="F1589"/>
      <c r="G1589"/>
      <c r="H1589"/>
      <c r="I1589" s="21" t="str">
        <f t="shared" si="49"/>
        <v/>
      </c>
      <c r="L1589" s="24"/>
      <c r="M1589" s="24"/>
    </row>
    <row r="1590" spans="1:13">
      <c r="A1590" s="10" t="str">
        <f t="shared" si="48"/>
        <v/>
      </c>
      <c r="C1590" s="120" t="s">
        <v>284</v>
      </c>
      <c r="D1590"/>
      <c r="E1590"/>
      <c r="F1590"/>
      <c r="G1590"/>
      <c r="H1590"/>
      <c r="I1590" s="21" t="str">
        <f t="shared" si="49"/>
        <v/>
      </c>
      <c r="L1590" s="24"/>
      <c r="M1590" s="24"/>
    </row>
    <row r="1591" spans="1:13">
      <c r="A1591" s="14" t="str">
        <f t="shared" si="48"/>
        <v/>
      </c>
      <c r="C1591" s="120" t="s">
        <v>286</v>
      </c>
      <c r="D1591"/>
      <c r="E1591"/>
      <c r="F1591"/>
      <c r="G1591"/>
      <c r="H1591"/>
      <c r="I1591" s="21" t="str">
        <f t="shared" si="49"/>
        <v/>
      </c>
      <c r="L1591" s="24"/>
      <c r="M1591" s="24"/>
    </row>
    <row r="1592" spans="1:13">
      <c r="A1592" s="10" t="str">
        <f t="shared" si="48"/>
        <v/>
      </c>
      <c r="C1592" s="120" t="s">
        <v>126</v>
      </c>
      <c r="D1592"/>
      <c r="E1592"/>
      <c r="F1592"/>
      <c r="G1592"/>
      <c r="H1592"/>
      <c r="I1592" s="21" t="str">
        <f t="shared" si="49"/>
        <v/>
      </c>
      <c r="L1592" s="24"/>
      <c r="M1592" s="24"/>
    </row>
    <row r="1593" spans="1:13">
      <c r="A1593" s="14" t="str">
        <f t="shared" si="48"/>
        <v/>
      </c>
      <c r="C1593" s="120" t="s">
        <v>128</v>
      </c>
      <c r="D1593"/>
      <c r="E1593"/>
      <c r="F1593"/>
      <c r="G1593"/>
      <c r="H1593"/>
      <c r="I1593" s="21" t="str">
        <f t="shared" si="49"/>
        <v/>
      </c>
      <c r="L1593" s="24"/>
      <c r="M1593" s="24"/>
    </row>
    <row r="1594" spans="1:13">
      <c r="A1594" s="10" t="str">
        <f t="shared" si="48"/>
        <v/>
      </c>
      <c r="C1594" s="120" t="s">
        <v>280</v>
      </c>
      <c r="D1594"/>
      <c r="E1594"/>
      <c r="F1594"/>
      <c r="G1594"/>
      <c r="H1594"/>
      <c r="I1594" s="21" t="str">
        <f t="shared" si="49"/>
        <v/>
      </c>
      <c r="L1594" s="24"/>
      <c r="M1594" s="24"/>
    </row>
    <row r="1595" spans="1:13">
      <c r="A1595" s="14" t="str">
        <f t="shared" si="48"/>
        <v/>
      </c>
      <c r="C1595" s="120" t="s">
        <v>282</v>
      </c>
      <c r="D1595"/>
      <c r="E1595"/>
      <c r="F1595"/>
      <c r="G1595"/>
      <c r="H1595"/>
      <c r="I1595" s="21" t="str">
        <f t="shared" si="49"/>
        <v/>
      </c>
      <c r="L1595" s="24"/>
      <c r="M1595" s="24"/>
    </row>
    <row r="1596" spans="1:13">
      <c r="A1596" s="10" t="str">
        <f t="shared" si="48"/>
        <v/>
      </c>
      <c r="C1596" s="120" t="s">
        <v>284</v>
      </c>
      <c r="D1596"/>
      <c r="E1596"/>
      <c r="F1596"/>
      <c r="G1596"/>
      <c r="H1596"/>
      <c r="I1596" s="21" t="str">
        <f t="shared" si="49"/>
        <v/>
      </c>
      <c r="L1596" s="24"/>
      <c r="M1596" s="24"/>
    </row>
    <row r="1597" spans="1:13">
      <c r="A1597" s="14" t="str">
        <f t="shared" si="48"/>
        <v/>
      </c>
      <c r="C1597" s="120" t="s">
        <v>286</v>
      </c>
      <c r="D1597"/>
      <c r="E1597"/>
      <c r="F1597"/>
      <c r="G1597"/>
      <c r="H1597"/>
      <c r="I1597" s="21" t="str">
        <f t="shared" si="49"/>
        <v/>
      </c>
      <c r="L1597" s="24"/>
      <c r="M1597" s="24"/>
    </row>
    <row r="1598" spans="1:13">
      <c r="A1598" s="10" t="str">
        <f t="shared" si="48"/>
        <v/>
      </c>
      <c r="C1598" s="120" t="s">
        <v>126</v>
      </c>
      <c r="D1598"/>
      <c r="E1598"/>
      <c r="F1598"/>
      <c r="G1598"/>
      <c r="H1598"/>
      <c r="I1598" s="21" t="str">
        <f t="shared" si="49"/>
        <v/>
      </c>
      <c r="L1598" s="24"/>
      <c r="M1598" s="24"/>
    </row>
    <row r="1599" spans="1:13">
      <c r="A1599" s="14" t="str">
        <f t="shared" si="48"/>
        <v/>
      </c>
      <c r="C1599" s="120" t="s">
        <v>128</v>
      </c>
      <c r="D1599"/>
      <c r="E1599"/>
      <c r="F1599"/>
      <c r="G1599"/>
      <c r="H1599"/>
      <c r="I1599" s="21" t="str">
        <f t="shared" si="49"/>
        <v/>
      </c>
      <c r="L1599" s="24"/>
      <c r="M1599" s="24"/>
    </row>
    <row r="1600" spans="1:13">
      <c r="A1600" s="10" t="str">
        <f t="shared" si="48"/>
        <v/>
      </c>
      <c r="C1600" s="120" t="s">
        <v>280</v>
      </c>
      <c r="D1600"/>
      <c r="E1600"/>
      <c r="F1600"/>
      <c r="G1600"/>
      <c r="H1600"/>
      <c r="I1600" s="21" t="str">
        <f t="shared" si="49"/>
        <v/>
      </c>
      <c r="L1600" s="24"/>
      <c r="M1600" s="24"/>
    </row>
    <row r="1601" spans="1:13">
      <c r="A1601" s="14" t="str">
        <f t="shared" si="48"/>
        <v/>
      </c>
      <c r="C1601" s="120" t="s">
        <v>282</v>
      </c>
      <c r="D1601"/>
      <c r="E1601"/>
      <c r="F1601"/>
      <c r="G1601"/>
      <c r="H1601"/>
      <c r="I1601" s="21" t="str">
        <f t="shared" si="49"/>
        <v/>
      </c>
      <c r="L1601" s="24"/>
      <c r="M1601" s="24"/>
    </row>
    <row r="1602" spans="1:13">
      <c r="A1602" s="10" t="str">
        <f t="shared" ref="A1602:A1665" si="50">IF(B1602&lt;&gt;"",ROW()-1,"")</f>
        <v/>
      </c>
      <c r="C1602" s="120" t="s">
        <v>284</v>
      </c>
      <c r="D1602"/>
      <c r="E1602"/>
      <c r="F1602"/>
      <c r="G1602"/>
      <c r="H1602"/>
      <c r="I1602" s="21" t="str">
        <f t="shared" ref="I1602:I1665" si="51">IF(AND(G1602&lt;&gt;"",H1602&lt;&gt;""),H1602-G1602,"")</f>
        <v/>
      </c>
      <c r="L1602" s="24"/>
      <c r="M1602" s="24"/>
    </row>
    <row r="1603" spans="1:13">
      <c r="A1603" s="14" t="str">
        <f t="shared" si="50"/>
        <v/>
      </c>
      <c r="C1603" s="120" t="s">
        <v>286</v>
      </c>
      <c r="D1603"/>
      <c r="E1603"/>
      <c r="F1603"/>
      <c r="G1603"/>
      <c r="H1603"/>
      <c r="I1603" s="21" t="str">
        <f t="shared" si="51"/>
        <v/>
      </c>
      <c r="L1603" s="24"/>
      <c r="M1603" s="24"/>
    </row>
    <row r="1604" spans="1:13">
      <c r="A1604" s="10" t="str">
        <f t="shared" si="50"/>
        <v/>
      </c>
      <c r="C1604" s="120" t="s">
        <v>126</v>
      </c>
      <c r="D1604"/>
      <c r="E1604"/>
      <c r="F1604"/>
      <c r="G1604"/>
      <c r="H1604"/>
      <c r="I1604" s="21" t="str">
        <f t="shared" si="51"/>
        <v/>
      </c>
      <c r="L1604" s="24"/>
      <c r="M1604" s="24"/>
    </row>
    <row r="1605" spans="1:13">
      <c r="A1605" s="14" t="str">
        <f t="shared" si="50"/>
        <v/>
      </c>
      <c r="C1605" s="120" t="s">
        <v>128</v>
      </c>
      <c r="D1605"/>
      <c r="E1605"/>
      <c r="F1605"/>
      <c r="G1605"/>
      <c r="H1605"/>
      <c r="I1605" s="21" t="str">
        <f t="shared" si="51"/>
        <v/>
      </c>
      <c r="L1605" s="24"/>
      <c r="M1605" s="24"/>
    </row>
    <row r="1606" spans="1:13">
      <c r="A1606" s="10" t="str">
        <f t="shared" si="50"/>
        <v/>
      </c>
      <c r="C1606" s="120" t="s">
        <v>280</v>
      </c>
      <c r="D1606"/>
      <c r="E1606"/>
      <c r="F1606"/>
      <c r="G1606"/>
      <c r="H1606"/>
      <c r="I1606" s="21" t="str">
        <f t="shared" si="51"/>
        <v/>
      </c>
      <c r="L1606" s="24"/>
      <c r="M1606" s="24"/>
    </row>
    <row r="1607" spans="1:13">
      <c r="A1607" s="14" t="str">
        <f t="shared" si="50"/>
        <v/>
      </c>
      <c r="C1607" s="120" t="s">
        <v>282</v>
      </c>
      <c r="D1607"/>
      <c r="E1607"/>
      <c r="F1607"/>
      <c r="G1607"/>
      <c r="H1607"/>
      <c r="I1607" s="21" t="str">
        <f t="shared" si="51"/>
        <v/>
      </c>
      <c r="L1607" s="24"/>
      <c r="M1607" s="24"/>
    </row>
    <row r="1608" spans="1:13">
      <c r="A1608" s="10" t="str">
        <f t="shared" si="50"/>
        <v/>
      </c>
      <c r="C1608" s="120" t="s">
        <v>284</v>
      </c>
      <c r="D1608"/>
      <c r="E1608"/>
      <c r="F1608"/>
      <c r="G1608"/>
      <c r="H1608"/>
      <c r="I1608" s="21" t="str">
        <f t="shared" si="51"/>
        <v/>
      </c>
      <c r="L1608" s="24"/>
      <c r="M1608" s="24"/>
    </row>
    <row r="1609" spans="1:13">
      <c r="A1609" s="14" t="str">
        <f t="shared" si="50"/>
        <v/>
      </c>
      <c r="C1609" s="120" t="s">
        <v>286</v>
      </c>
      <c r="D1609"/>
      <c r="E1609"/>
      <c r="F1609"/>
      <c r="G1609"/>
      <c r="H1609"/>
      <c r="I1609" s="21" t="str">
        <f t="shared" si="51"/>
        <v/>
      </c>
      <c r="L1609" s="24"/>
      <c r="M1609" s="24"/>
    </row>
    <row r="1610" spans="1:13">
      <c r="A1610" s="10" t="str">
        <f t="shared" si="50"/>
        <v/>
      </c>
      <c r="C1610" s="120" t="s">
        <v>126</v>
      </c>
      <c r="D1610"/>
      <c r="E1610"/>
      <c r="F1610"/>
      <c r="G1610"/>
      <c r="H1610"/>
      <c r="I1610" s="21" t="str">
        <f t="shared" si="51"/>
        <v/>
      </c>
      <c r="L1610" s="24"/>
      <c r="M1610" s="24"/>
    </row>
    <row r="1611" spans="1:13">
      <c r="A1611" s="14" t="str">
        <f t="shared" si="50"/>
        <v/>
      </c>
      <c r="C1611" s="120" t="s">
        <v>128</v>
      </c>
      <c r="D1611"/>
      <c r="E1611"/>
      <c r="F1611"/>
      <c r="G1611"/>
      <c r="H1611"/>
      <c r="I1611" s="21" t="str">
        <f t="shared" si="51"/>
        <v/>
      </c>
      <c r="L1611" s="24"/>
      <c r="M1611" s="24"/>
    </row>
    <row r="1612" spans="1:13">
      <c r="A1612" s="10" t="str">
        <f t="shared" si="50"/>
        <v/>
      </c>
      <c r="C1612" s="120" t="s">
        <v>280</v>
      </c>
      <c r="D1612"/>
      <c r="E1612"/>
      <c r="F1612"/>
      <c r="G1612"/>
      <c r="H1612"/>
      <c r="I1612" s="21" t="str">
        <f t="shared" si="51"/>
        <v/>
      </c>
      <c r="L1612" s="24"/>
      <c r="M1612" s="24"/>
    </row>
    <row r="1613" spans="1:13">
      <c r="A1613" s="14" t="str">
        <f t="shared" si="50"/>
        <v/>
      </c>
      <c r="C1613" s="120" t="s">
        <v>282</v>
      </c>
      <c r="D1613"/>
      <c r="E1613"/>
      <c r="F1613"/>
      <c r="G1613"/>
      <c r="H1613"/>
      <c r="I1613" s="21" t="str">
        <f t="shared" si="51"/>
        <v/>
      </c>
      <c r="L1613" s="24"/>
      <c r="M1613" s="24"/>
    </row>
    <row r="1614" spans="1:13">
      <c r="A1614" s="10" t="str">
        <f t="shared" si="50"/>
        <v/>
      </c>
      <c r="C1614" s="120" t="s">
        <v>284</v>
      </c>
      <c r="D1614"/>
      <c r="E1614"/>
      <c r="F1614"/>
      <c r="G1614"/>
      <c r="H1614"/>
      <c r="I1614" s="21" t="str">
        <f t="shared" si="51"/>
        <v/>
      </c>
      <c r="L1614" s="24"/>
      <c r="M1614" s="24"/>
    </row>
    <row r="1615" spans="1:13">
      <c r="A1615" s="14" t="str">
        <f t="shared" si="50"/>
        <v/>
      </c>
      <c r="C1615" s="120" t="s">
        <v>286</v>
      </c>
      <c r="D1615"/>
      <c r="E1615"/>
      <c r="F1615"/>
      <c r="G1615"/>
      <c r="H1615"/>
      <c r="I1615" s="21" t="str">
        <f t="shared" si="51"/>
        <v/>
      </c>
      <c r="L1615" s="24"/>
      <c r="M1615" s="24"/>
    </row>
    <row r="1616" spans="1:13">
      <c r="A1616" s="10" t="str">
        <f t="shared" si="50"/>
        <v/>
      </c>
      <c r="C1616" s="120" t="s">
        <v>126</v>
      </c>
      <c r="D1616"/>
      <c r="E1616"/>
      <c r="F1616"/>
      <c r="G1616"/>
      <c r="H1616"/>
      <c r="I1616" s="21" t="str">
        <f t="shared" si="51"/>
        <v/>
      </c>
      <c r="L1616" s="24"/>
      <c r="M1616" s="24"/>
    </row>
    <row r="1617" spans="1:13">
      <c r="A1617" s="14" t="str">
        <f t="shared" si="50"/>
        <v/>
      </c>
      <c r="C1617" s="120" t="s">
        <v>128</v>
      </c>
      <c r="D1617"/>
      <c r="E1617"/>
      <c r="F1617"/>
      <c r="G1617"/>
      <c r="H1617"/>
      <c r="I1617" s="21" t="str">
        <f t="shared" si="51"/>
        <v/>
      </c>
      <c r="L1617" s="24"/>
      <c r="M1617" s="24"/>
    </row>
    <row r="1618" spans="1:13">
      <c r="A1618" s="10" t="str">
        <f t="shared" si="50"/>
        <v/>
      </c>
      <c r="C1618" s="120" t="s">
        <v>280</v>
      </c>
      <c r="D1618"/>
      <c r="E1618"/>
      <c r="F1618"/>
      <c r="G1618"/>
      <c r="H1618"/>
      <c r="I1618" s="21" t="str">
        <f t="shared" si="51"/>
        <v/>
      </c>
      <c r="L1618" s="24"/>
      <c r="M1618" s="24"/>
    </row>
    <row r="1619" spans="1:13">
      <c r="A1619" s="14" t="str">
        <f t="shared" si="50"/>
        <v/>
      </c>
      <c r="C1619" s="120" t="s">
        <v>282</v>
      </c>
      <c r="D1619"/>
      <c r="E1619"/>
      <c r="F1619"/>
      <c r="G1619"/>
      <c r="H1619"/>
      <c r="I1619" s="21" t="str">
        <f t="shared" si="51"/>
        <v/>
      </c>
      <c r="L1619" s="24"/>
      <c r="M1619" s="24"/>
    </row>
    <row r="1620" spans="1:13">
      <c r="A1620" s="10" t="str">
        <f t="shared" si="50"/>
        <v/>
      </c>
      <c r="C1620" s="120" t="s">
        <v>284</v>
      </c>
      <c r="D1620"/>
      <c r="E1620"/>
      <c r="F1620"/>
      <c r="G1620"/>
      <c r="H1620"/>
      <c r="I1620" s="21" t="str">
        <f t="shared" si="51"/>
        <v/>
      </c>
      <c r="L1620" s="24"/>
      <c r="M1620" s="24"/>
    </row>
    <row r="1621" spans="1:13">
      <c r="A1621" s="14" t="str">
        <f t="shared" si="50"/>
        <v/>
      </c>
      <c r="C1621" s="120" t="s">
        <v>286</v>
      </c>
      <c r="D1621"/>
      <c r="E1621"/>
      <c r="F1621"/>
      <c r="G1621"/>
      <c r="H1621"/>
      <c r="I1621" s="21" t="str">
        <f t="shared" si="51"/>
        <v/>
      </c>
      <c r="L1621" s="24"/>
      <c r="M1621" s="24"/>
    </row>
    <row r="1622" spans="1:13">
      <c r="A1622" s="10" t="str">
        <f t="shared" si="50"/>
        <v/>
      </c>
      <c r="C1622" s="120" t="s">
        <v>126</v>
      </c>
      <c r="D1622"/>
      <c r="E1622"/>
      <c r="F1622"/>
      <c r="G1622"/>
      <c r="H1622"/>
      <c r="I1622" s="21" t="str">
        <f t="shared" si="51"/>
        <v/>
      </c>
      <c r="L1622" s="24"/>
      <c r="M1622" s="24"/>
    </row>
    <row r="1623" spans="1:13">
      <c r="A1623" s="14" t="str">
        <f t="shared" si="50"/>
        <v/>
      </c>
      <c r="C1623" s="120" t="s">
        <v>128</v>
      </c>
      <c r="D1623"/>
      <c r="E1623"/>
      <c r="F1623"/>
      <c r="G1623"/>
      <c r="H1623"/>
      <c r="I1623" s="21" t="str">
        <f t="shared" si="51"/>
        <v/>
      </c>
      <c r="L1623" s="24"/>
      <c r="M1623" s="24"/>
    </row>
    <row r="1624" spans="1:13">
      <c r="A1624" s="10" t="str">
        <f t="shared" si="50"/>
        <v/>
      </c>
      <c r="C1624" s="120" t="s">
        <v>280</v>
      </c>
      <c r="D1624"/>
      <c r="E1624"/>
      <c r="F1624"/>
      <c r="G1624"/>
      <c r="H1624"/>
      <c r="I1624" s="21" t="str">
        <f t="shared" si="51"/>
        <v/>
      </c>
      <c r="L1624" s="24"/>
      <c r="M1624" s="24"/>
    </row>
    <row r="1625" spans="1:13">
      <c r="A1625" s="14" t="str">
        <f t="shared" si="50"/>
        <v/>
      </c>
      <c r="C1625" s="120" t="s">
        <v>282</v>
      </c>
      <c r="D1625"/>
      <c r="E1625"/>
      <c r="F1625"/>
      <c r="G1625"/>
      <c r="H1625"/>
      <c r="I1625" s="21" t="str">
        <f t="shared" si="51"/>
        <v/>
      </c>
      <c r="L1625" s="24"/>
      <c r="M1625" s="24"/>
    </row>
    <row r="1626" spans="1:13">
      <c r="A1626" s="10" t="str">
        <f t="shared" si="50"/>
        <v/>
      </c>
      <c r="C1626" s="120" t="s">
        <v>284</v>
      </c>
      <c r="D1626"/>
      <c r="E1626"/>
      <c r="F1626"/>
      <c r="G1626"/>
      <c r="H1626"/>
      <c r="I1626" s="21" t="str">
        <f t="shared" si="51"/>
        <v/>
      </c>
      <c r="L1626" s="24"/>
      <c r="M1626" s="24"/>
    </row>
    <row r="1627" spans="1:13">
      <c r="A1627" s="14" t="str">
        <f t="shared" si="50"/>
        <v/>
      </c>
      <c r="C1627" s="120" t="s">
        <v>286</v>
      </c>
      <c r="D1627"/>
      <c r="E1627"/>
      <c r="F1627"/>
      <c r="G1627"/>
      <c r="H1627"/>
      <c r="I1627" s="21" t="str">
        <f t="shared" si="51"/>
        <v/>
      </c>
      <c r="L1627" s="24"/>
      <c r="M1627" s="24"/>
    </row>
    <row r="1628" spans="1:13">
      <c r="A1628" s="10" t="str">
        <f t="shared" si="50"/>
        <v/>
      </c>
      <c r="C1628" s="120" t="s">
        <v>126</v>
      </c>
      <c r="D1628"/>
      <c r="E1628"/>
      <c r="F1628"/>
      <c r="G1628"/>
      <c r="H1628"/>
      <c r="I1628" s="21" t="str">
        <f t="shared" si="51"/>
        <v/>
      </c>
      <c r="L1628" s="24"/>
      <c r="M1628" s="24"/>
    </row>
    <row r="1629" spans="1:13">
      <c r="A1629" s="14" t="str">
        <f t="shared" si="50"/>
        <v/>
      </c>
      <c r="C1629" s="120" t="s">
        <v>128</v>
      </c>
      <c r="D1629"/>
      <c r="E1629"/>
      <c r="F1629"/>
      <c r="G1629"/>
      <c r="H1629"/>
      <c r="I1629" s="21" t="str">
        <f t="shared" si="51"/>
        <v/>
      </c>
      <c r="L1629" s="24"/>
      <c r="M1629" s="24"/>
    </row>
    <row r="1630" spans="1:13">
      <c r="A1630" s="10" t="str">
        <f t="shared" si="50"/>
        <v/>
      </c>
      <c r="C1630" s="120" t="s">
        <v>280</v>
      </c>
      <c r="D1630"/>
      <c r="E1630"/>
      <c r="F1630"/>
      <c r="G1630"/>
      <c r="H1630"/>
      <c r="I1630" s="21" t="str">
        <f t="shared" si="51"/>
        <v/>
      </c>
      <c r="L1630" s="24"/>
      <c r="M1630" s="24"/>
    </row>
    <row r="1631" spans="1:13">
      <c r="A1631" s="14" t="str">
        <f t="shared" si="50"/>
        <v/>
      </c>
      <c r="C1631" s="120" t="s">
        <v>282</v>
      </c>
      <c r="D1631"/>
      <c r="E1631"/>
      <c r="F1631"/>
      <c r="G1631"/>
      <c r="H1631"/>
      <c r="I1631" s="21" t="str">
        <f t="shared" si="51"/>
        <v/>
      </c>
      <c r="L1631" s="24"/>
      <c r="M1631" s="24"/>
    </row>
    <row r="1632" spans="1:13">
      <c r="A1632" s="10" t="str">
        <f t="shared" si="50"/>
        <v/>
      </c>
      <c r="C1632" s="120" t="s">
        <v>284</v>
      </c>
      <c r="D1632"/>
      <c r="E1632"/>
      <c r="F1632"/>
      <c r="G1632"/>
      <c r="H1632"/>
      <c r="I1632" s="21" t="str">
        <f t="shared" si="51"/>
        <v/>
      </c>
      <c r="L1632" s="24"/>
      <c r="M1632" s="24"/>
    </row>
    <row r="1633" spans="1:13">
      <c r="A1633" s="14" t="str">
        <f t="shared" si="50"/>
        <v/>
      </c>
      <c r="C1633" s="120" t="s">
        <v>286</v>
      </c>
      <c r="D1633"/>
      <c r="E1633"/>
      <c r="F1633"/>
      <c r="G1633"/>
      <c r="H1633"/>
      <c r="I1633" s="21" t="str">
        <f t="shared" si="51"/>
        <v/>
      </c>
      <c r="L1633" s="24"/>
      <c r="M1633" s="24"/>
    </row>
    <row r="1634" spans="1:13">
      <c r="A1634" s="10" t="str">
        <f t="shared" si="50"/>
        <v/>
      </c>
      <c r="C1634" s="120" t="s">
        <v>126</v>
      </c>
      <c r="D1634"/>
      <c r="E1634"/>
      <c r="F1634"/>
      <c r="G1634"/>
      <c r="H1634"/>
      <c r="I1634" s="21" t="str">
        <f t="shared" si="51"/>
        <v/>
      </c>
      <c r="L1634" s="24"/>
      <c r="M1634" s="24"/>
    </row>
    <row r="1635" spans="1:13">
      <c r="A1635" s="14" t="str">
        <f t="shared" si="50"/>
        <v/>
      </c>
      <c r="C1635" s="120" t="s">
        <v>128</v>
      </c>
      <c r="D1635"/>
      <c r="E1635"/>
      <c r="F1635"/>
      <c r="G1635"/>
      <c r="H1635"/>
      <c r="I1635" s="21" t="str">
        <f t="shared" si="51"/>
        <v/>
      </c>
      <c r="L1635" s="24"/>
      <c r="M1635" s="24"/>
    </row>
    <row r="1636" spans="1:13">
      <c r="A1636" s="10" t="str">
        <f t="shared" si="50"/>
        <v/>
      </c>
      <c r="C1636" s="120" t="s">
        <v>280</v>
      </c>
      <c r="D1636"/>
      <c r="E1636"/>
      <c r="F1636"/>
      <c r="G1636"/>
      <c r="H1636"/>
      <c r="I1636" s="21" t="str">
        <f t="shared" si="51"/>
        <v/>
      </c>
      <c r="L1636" s="24"/>
      <c r="M1636" s="24"/>
    </row>
    <row r="1637" spans="1:13">
      <c r="A1637" s="14" t="str">
        <f t="shared" si="50"/>
        <v/>
      </c>
      <c r="C1637" s="120" t="s">
        <v>282</v>
      </c>
      <c r="D1637"/>
      <c r="E1637"/>
      <c r="F1637"/>
      <c r="G1637"/>
      <c r="H1637"/>
      <c r="I1637" s="21" t="str">
        <f t="shared" si="51"/>
        <v/>
      </c>
      <c r="L1637" s="24"/>
      <c r="M1637" s="24"/>
    </row>
    <row r="1638" spans="1:13">
      <c r="A1638" s="10" t="str">
        <f t="shared" si="50"/>
        <v/>
      </c>
      <c r="C1638" s="120" t="s">
        <v>284</v>
      </c>
      <c r="D1638"/>
      <c r="E1638"/>
      <c r="F1638"/>
      <c r="G1638"/>
      <c r="H1638"/>
      <c r="I1638" s="21" t="str">
        <f t="shared" si="51"/>
        <v/>
      </c>
      <c r="L1638" s="24"/>
      <c r="M1638" s="24"/>
    </row>
    <row r="1639" spans="1:13">
      <c r="A1639" s="14" t="str">
        <f t="shared" si="50"/>
        <v/>
      </c>
      <c r="C1639" s="120" t="s">
        <v>286</v>
      </c>
      <c r="D1639"/>
      <c r="E1639"/>
      <c r="F1639"/>
      <c r="G1639"/>
      <c r="H1639"/>
      <c r="I1639" s="21" t="str">
        <f t="shared" si="51"/>
        <v/>
      </c>
      <c r="L1639" s="24"/>
      <c r="M1639" s="24"/>
    </row>
    <row r="1640" spans="1:13">
      <c r="A1640" s="10" t="str">
        <f t="shared" si="50"/>
        <v/>
      </c>
      <c r="C1640" s="120" t="s">
        <v>126</v>
      </c>
      <c r="D1640"/>
      <c r="E1640"/>
      <c r="F1640"/>
      <c r="G1640"/>
      <c r="H1640"/>
      <c r="I1640" s="21" t="str">
        <f t="shared" si="51"/>
        <v/>
      </c>
      <c r="L1640" s="24"/>
      <c r="M1640" s="24"/>
    </row>
    <row r="1641" spans="1:13">
      <c r="A1641" s="14" t="str">
        <f t="shared" si="50"/>
        <v/>
      </c>
      <c r="C1641" s="120" t="s">
        <v>128</v>
      </c>
      <c r="D1641"/>
      <c r="E1641"/>
      <c r="F1641"/>
      <c r="G1641"/>
      <c r="H1641"/>
      <c r="I1641" s="21" t="str">
        <f t="shared" si="51"/>
        <v/>
      </c>
      <c r="L1641" s="24"/>
      <c r="M1641" s="24"/>
    </row>
    <row r="1642" spans="1:13">
      <c r="A1642" s="10" t="str">
        <f t="shared" si="50"/>
        <v/>
      </c>
      <c r="C1642" s="120" t="s">
        <v>280</v>
      </c>
      <c r="D1642"/>
      <c r="E1642"/>
      <c r="F1642"/>
      <c r="G1642"/>
      <c r="H1642"/>
      <c r="I1642" s="21" t="str">
        <f t="shared" si="51"/>
        <v/>
      </c>
      <c r="L1642" s="24"/>
      <c r="M1642" s="24"/>
    </row>
    <row r="1643" spans="1:13">
      <c r="A1643" s="14" t="str">
        <f t="shared" si="50"/>
        <v/>
      </c>
      <c r="C1643" s="120" t="s">
        <v>282</v>
      </c>
      <c r="D1643"/>
      <c r="E1643"/>
      <c r="F1643"/>
      <c r="G1643"/>
      <c r="H1643"/>
      <c r="I1643" s="21" t="str">
        <f t="shared" si="51"/>
        <v/>
      </c>
      <c r="L1643" s="24"/>
      <c r="M1643" s="24"/>
    </row>
    <row r="1644" spans="1:13">
      <c r="A1644" s="10" t="str">
        <f t="shared" si="50"/>
        <v/>
      </c>
      <c r="C1644" s="120" t="s">
        <v>284</v>
      </c>
      <c r="D1644"/>
      <c r="E1644"/>
      <c r="F1644"/>
      <c r="G1644"/>
      <c r="H1644"/>
      <c r="I1644" s="21" t="str">
        <f t="shared" si="51"/>
        <v/>
      </c>
      <c r="L1644" s="24"/>
      <c r="M1644" s="24"/>
    </row>
    <row r="1645" spans="1:13">
      <c r="A1645" s="14" t="str">
        <f t="shared" si="50"/>
        <v/>
      </c>
      <c r="C1645" s="120" t="s">
        <v>286</v>
      </c>
      <c r="D1645"/>
      <c r="E1645"/>
      <c r="F1645"/>
      <c r="G1645"/>
      <c r="H1645"/>
      <c r="I1645" s="21" t="str">
        <f t="shared" si="51"/>
        <v/>
      </c>
      <c r="L1645" s="24"/>
      <c r="M1645" s="24"/>
    </row>
    <row r="1646" spans="1:13">
      <c r="A1646" s="10" t="str">
        <f t="shared" si="50"/>
        <v/>
      </c>
      <c r="C1646" s="120" t="s">
        <v>126</v>
      </c>
      <c r="D1646"/>
      <c r="E1646"/>
      <c r="F1646"/>
      <c r="G1646"/>
      <c r="H1646"/>
      <c r="I1646" s="21" t="str">
        <f t="shared" si="51"/>
        <v/>
      </c>
      <c r="L1646" s="24"/>
      <c r="M1646" s="24"/>
    </row>
    <row r="1647" spans="1:13">
      <c r="A1647" s="14" t="str">
        <f t="shared" si="50"/>
        <v/>
      </c>
      <c r="C1647" s="120" t="s">
        <v>128</v>
      </c>
      <c r="D1647"/>
      <c r="E1647"/>
      <c r="F1647"/>
      <c r="G1647"/>
      <c r="H1647"/>
      <c r="I1647" s="21" t="str">
        <f t="shared" si="51"/>
        <v/>
      </c>
      <c r="L1647" s="24"/>
      <c r="M1647" s="24"/>
    </row>
    <row r="1648" spans="1:13">
      <c r="A1648" s="10" t="str">
        <f t="shared" si="50"/>
        <v/>
      </c>
      <c r="C1648" s="120" t="s">
        <v>280</v>
      </c>
      <c r="D1648"/>
      <c r="E1648"/>
      <c r="F1648"/>
      <c r="G1648"/>
      <c r="H1648"/>
      <c r="I1648" s="21" t="str">
        <f t="shared" si="51"/>
        <v/>
      </c>
      <c r="L1648" s="24"/>
      <c r="M1648" s="24"/>
    </row>
    <row r="1649" spans="1:13">
      <c r="A1649" s="14" t="str">
        <f t="shared" si="50"/>
        <v/>
      </c>
      <c r="C1649" s="120" t="s">
        <v>282</v>
      </c>
      <c r="D1649"/>
      <c r="E1649"/>
      <c r="F1649"/>
      <c r="G1649"/>
      <c r="H1649"/>
      <c r="I1649" s="21" t="str">
        <f t="shared" si="51"/>
        <v/>
      </c>
      <c r="L1649" s="24"/>
      <c r="M1649" s="24"/>
    </row>
    <row r="1650" spans="1:13">
      <c r="A1650" s="10" t="str">
        <f t="shared" si="50"/>
        <v/>
      </c>
      <c r="C1650" s="120" t="s">
        <v>284</v>
      </c>
      <c r="D1650"/>
      <c r="E1650"/>
      <c r="F1650"/>
      <c r="G1650"/>
      <c r="H1650"/>
      <c r="I1650" s="21" t="str">
        <f t="shared" si="51"/>
        <v/>
      </c>
      <c r="L1650" s="24"/>
      <c r="M1650" s="24"/>
    </row>
    <row r="1651" spans="1:13">
      <c r="A1651" s="14" t="str">
        <f t="shared" si="50"/>
        <v/>
      </c>
      <c r="C1651" s="120" t="s">
        <v>286</v>
      </c>
      <c r="D1651"/>
      <c r="E1651"/>
      <c r="F1651"/>
      <c r="G1651"/>
      <c r="H1651"/>
      <c r="I1651" s="21" t="str">
        <f t="shared" si="51"/>
        <v/>
      </c>
      <c r="L1651" s="24"/>
      <c r="M1651" s="24"/>
    </row>
    <row r="1652" spans="1:13">
      <c r="A1652" s="10" t="str">
        <f t="shared" si="50"/>
        <v/>
      </c>
      <c r="C1652" s="120" t="s">
        <v>126</v>
      </c>
      <c r="D1652"/>
      <c r="E1652"/>
      <c r="F1652"/>
      <c r="G1652"/>
      <c r="H1652"/>
      <c r="I1652" s="21" t="str">
        <f t="shared" si="51"/>
        <v/>
      </c>
      <c r="L1652" s="24"/>
      <c r="M1652" s="24"/>
    </row>
    <row r="1653" spans="1:13">
      <c r="A1653" s="14" t="str">
        <f t="shared" si="50"/>
        <v/>
      </c>
      <c r="C1653" s="120" t="s">
        <v>128</v>
      </c>
      <c r="D1653"/>
      <c r="E1653"/>
      <c r="F1653"/>
      <c r="G1653"/>
      <c r="H1653"/>
      <c r="I1653" s="21" t="str">
        <f t="shared" si="51"/>
        <v/>
      </c>
      <c r="L1653" s="24"/>
      <c r="M1653" s="24"/>
    </row>
    <row r="1654" spans="1:13">
      <c r="A1654" s="10" t="str">
        <f t="shared" si="50"/>
        <v/>
      </c>
      <c r="C1654" s="120" t="s">
        <v>280</v>
      </c>
      <c r="D1654"/>
      <c r="E1654"/>
      <c r="F1654"/>
      <c r="G1654"/>
      <c r="H1654"/>
      <c r="I1654" s="21" t="str">
        <f t="shared" si="51"/>
        <v/>
      </c>
      <c r="L1654" s="24"/>
      <c r="M1654" s="24"/>
    </row>
    <row r="1655" spans="1:13">
      <c r="A1655" s="14" t="str">
        <f t="shared" si="50"/>
        <v/>
      </c>
      <c r="C1655" s="120" t="s">
        <v>282</v>
      </c>
      <c r="D1655"/>
      <c r="E1655"/>
      <c r="F1655"/>
      <c r="G1655"/>
      <c r="H1655"/>
      <c r="I1655" s="21" t="str">
        <f t="shared" si="51"/>
        <v/>
      </c>
      <c r="L1655" s="24"/>
      <c r="M1655" s="24"/>
    </row>
    <row r="1656" spans="1:13">
      <c r="A1656" s="10" t="str">
        <f t="shared" si="50"/>
        <v/>
      </c>
      <c r="C1656" s="120" t="s">
        <v>284</v>
      </c>
      <c r="D1656"/>
      <c r="E1656"/>
      <c r="F1656"/>
      <c r="G1656"/>
      <c r="H1656"/>
      <c r="I1656" s="21" t="str">
        <f t="shared" si="51"/>
        <v/>
      </c>
      <c r="L1656" s="24"/>
      <c r="M1656" s="24"/>
    </row>
    <row r="1657" spans="1:13">
      <c r="A1657" s="14" t="str">
        <f t="shared" si="50"/>
        <v/>
      </c>
      <c r="C1657" s="120" t="s">
        <v>286</v>
      </c>
      <c r="D1657"/>
      <c r="E1657"/>
      <c r="F1657"/>
      <c r="G1657"/>
      <c r="H1657"/>
      <c r="I1657" s="21" t="str">
        <f t="shared" si="51"/>
        <v/>
      </c>
      <c r="L1657" s="24"/>
      <c r="M1657" s="24"/>
    </row>
    <row r="1658" spans="1:13">
      <c r="A1658" s="10" t="str">
        <f t="shared" si="50"/>
        <v/>
      </c>
      <c r="C1658" s="120" t="s">
        <v>126</v>
      </c>
      <c r="D1658"/>
      <c r="E1658"/>
      <c r="F1658"/>
      <c r="G1658"/>
      <c r="H1658"/>
      <c r="I1658" s="21" t="str">
        <f t="shared" si="51"/>
        <v/>
      </c>
      <c r="L1658" s="24"/>
      <c r="M1658" s="24"/>
    </row>
    <row r="1659" spans="1:13">
      <c r="A1659" s="14" t="str">
        <f t="shared" si="50"/>
        <v/>
      </c>
      <c r="C1659" s="120" t="s">
        <v>128</v>
      </c>
      <c r="D1659"/>
      <c r="E1659"/>
      <c r="F1659"/>
      <c r="G1659"/>
      <c r="H1659"/>
      <c r="I1659" s="21" t="str">
        <f t="shared" si="51"/>
        <v/>
      </c>
      <c r="L1659" s="24"/>
      <c r="M1659" s="24"/>
    </row>
    <row r="1660" spans="1:13">
      <c r="A1660" s="10" t="str">
        <f t="shared" si="50"/>
        <v/>
      </c>
      <c r="C1660" s="120" t="s">
        <v>280</v>
      </c>
      <c r="D1660"/>
      <c r="E1660"/>
      <c r="F1660"/>
      <c r="G1660"/>
      <c r="H1660"/>
      <c r="I1660" s="21" t="str">
        <f t="shared" si="51"/>
        <v/>
      </c>
      <c r="L1660" s="24"/>
      <c r="M1660" s="24"/>
    </row>
    <row r="1661" spans="1:13">
      <c r="A1661" s="14" t="str">
        <f t="shared" si="50"/>
        <v/>
      </c>
      <c r="C1661" s="120" t="s">
        <v>282</v>
      </c>
      <c r="D1661"/>
      <c r="E1661"/>
      <c r="F1661"/>
      <c r="G1661"/>
      <c r="H1661"/>
      <c r="I1661" s="21" t="str">
        <f t="shared" si="51"/>
        <v/>
      </c>
      <c r="L1661" s="24"/>
      <c r="M1661" s="24"/>
    </row>
    <row r="1662" spans="1:13">
      <c r="A1662" s="10" t="str">
        <f t="shared" si="50"/>
        <v/>
      </c>
      <c r="C1662" s="120" t="s">
        <v>284</v>
      </c>
      <c r="D1662"/>
      <c r="E1662"/>
      <c r="F1662"/>
      <c r="G1662"/>
      <c r="H1662"/>
      <c r="I1662" s="21" t="str">
        <f t="shared" si="51"/>
        <v/>
      </c>
      <c r="L1662" s="24"/>
      <c r="M1662" s="24"/>
    </row>
    <row r="1663" spans="1:13">
      <c r="A1663" s="14" t="str">
        <f t="shared" si="50"/>
        <v/>
      </c>
      <c r="C1663" s="120" t="s">
        <v>286</v>
      </c>
      <c r="D1663"/>
      <c r="E1663"/>
      <c r="F1663"/>
      <c r="G1663"/>
      <c r="H1663"/>
      <c r="I1663" s="21" t="str">
        <f t="shared" si="51"/>
        <v/>
      </c>
      <c r="L1663" s="24"/>
      <c r="M1663" s="24"/>
    </row>
    <row r="1664" spans="1:13">
      <c r="A1664" s="10" t="str">
        <f t="shared" si="50"/>
        <v/>
      </c>
      <c r="C1664" s="120" t="s">
        <v>126</v>
      </c>
      <c r="D1664"/>
      <c r="E1664"/>
      <c r="F1664"/>
      <c r="G1664"/>
      <c r="H1664"/>
      <c r="I1664" s="21" t="str">
        <f t="shared" si="51"/>
        <v/>
      </c>
      <c r="L1664" s="24"/>
      <c r="M1664" s="24"/>
    </row>
    <row r="1665" spans="1:13">
      <c r="A1665" s="14" t="str">
        <f t="shared" si="50"/>
        <v/>
      </c>
      <c r="C1665" s="120" t="s">
        <v>128</v>
      </c>
      <c r="D1665"/>
      <c r="E1665"/>
      <c r="F1665"/>
      <c r="G1665"/>
      <c r="H1665"/>
      <c r="I1665" s="21" t="str">
        <f t="shared" si="51"/>
        <v/>
      </c>
      <c r="L1665" s="24"/>
      <c r="M1665" s="24"/>
    </row>
    <row r="1666" spans="1:13">
      <c r="A1666" s="10" t="str">
        <f t="shared" ref="A1666:A1729" si="52">IF(B1666&lt;&gt;"",ROW()-1,"")</f>
        <v/>
      </c>
      <c r="C1666" s="120" t="s">
        <v>280</v>
      </c>
      <c r="D1666"/>
      <c r="E1666"/>
      <c r="F1666"/>
      <c r="G1666"/>
      <c r="H1666"/>
      <c r="I1666" s="21" t="str">
        <f t="shared" ref="I1666:I1729" si="53">IF(AND(G1666&lt;&gt;"",H1666&lt;&gt;""),H1666-G1666,"")</f>
        <v/>
      </c>
      <c r="L1666" s="24"/>
      <c r="M1666" s="24"/>
    </row>
    <row r="1667" spans="1:13">
      <c r="A1667" s="14" t="str">
        <f t="shared" si="52"/>
        <v/>
      </c>
      <c r="C1667" s="120" t="s">
        <v>282</v>
      </c>
      <c r="D1667"/>
      <c r="E1667"/>
      <c r="F1667"/>
      <c r="G1667"/>
      <c r="H1667"/>
      <c r="I1667" s="21" t="str">
        <f t="shared" si="53"/>
        <v/>
      </c>
      <c r="L1667" s="24"/>
      <c r="M1667" s="24"/>
    </row>
    <row r="1668" spans="1:13">
      <c r="A1668" s="10" t="str">
        <f t="shared" si="52"/>
        <v/>
      </c>
      <c r="C1668" s="120" t="s">
        <v>284</v>
      </c>
      <c r="D1668"/>
      <c r="E1668"/>
      <c r="F1668"/>
      <c r="G1668"/>
      <c r="H1668"/>
      <c r="I1668" s="21" t="str">
        <f t="shared" si="53"/>
        <v/>
      </c>
      <c r="L1668" s="24"/>
      <c r="M1668" s="24"/>
    </row>
    <row r="1669" spans="1:13">
      <c r="A1669" s="14" t="str">
        <f t="shared" si="52"/>
        <v/>
      </c>
      <c r="C1669" s="120" t="s">
        <v>286</v>
      </c>
      <c r="D1669"/>
      <c r="E1669"/>
      <c r="F1669"/>
      <c r="G1669"/>
      <c r="H1669"/>
      <c r="I1669" s="21" t="str">
        <f t="shared" si="53"/>
        <v/>
      </c>
      <c r="L1669" s="24"/>
      <c r="M1669" s="24"/>
    </row>
    <row r="1670" spans="1:13">
      <c r="A1670" s="10" t="str">
        <f t="shared" si="52"/>
        <v/>
      </c>
      <c r="C1670" s="120" t="s">
        <v>126</v>
      </c>
      <c r="D1670"/>
      <c r="E1670"/>
      <c r="F1670"/>
      <c r="G1670"/>
      <c r="H1670"/>
      <c r="I1670" s="21" t="str">
        <f t="shared" si="53"/>
        <v/>
      </c>
      <c r="L1670" s="24"/>
      <c r="M1670" s="24"/>
    </row>
    <row r="1671" spans="1:13">
      <c r="A1671" s="14" t="str">
        <f t="shared" si="52"/>
        <v/>
      </c>
      <c r="C1671" s="120" t="s">
        <v>128</v>
      </c>
      <c r="D1671"/>
      <c r="E1671"/>
      <c r="F1671"/>
      <c r="G1671"/>
      <c r="H1671"/>
      <c r="I1671" s="21" t="str">
        <f t="shared" si="53"/>
        <v/>
      </c>
      <c r="L1671" s="24"/>
      <c r="M1671" s="24"/>
    </row>
    <row r="1672" spans="1:13">
      <c r="A1672" s="10" t="str">
        <f t="shared" si="52"/>
        <v/>
      </c>
      <c r="C1672" s="120" t="s">
        <v>280</v>
      </c>
      <c r="D1672"/>
      <c r="E1672"/>
      <c r="F1672"/>
      <c r="G1672"/>
      <c r="H1672"/>
      <c r="I1672" s="21" t="str">
        <f t="shared" si="53"/>
        <v/>
      </c>
      <c r="L1672" s="24"/>
      <c r="M1672" s="24"/>
    </row>
    <row r="1673" spans="1:13">
      <c r="A1673" s="14" t="str">
        <f t="shared" si="52"/>
        <v/>
      </c>
      <c r="C1673" s="120" t="s">
        <v>282</v>
      </c>
      <c r="D1673"/>
      <c r="E1673"/>
      <c r="F1673"/>
      <c r="G1673"/>
      <c r="H1673"/>
      <c r="I1673" s="21" t="str">
        <f t="shared" si="53"/>
        <v/>
      </c>
      <c r="L1673" s="24"/>
      <c r="M1673" s="24"/>
    </row>
    <row r="1674" spans="1:13">
      <c r="A1674" s="10" t="str">
        <f t="shared" si="52"/>
        <v/>
      </c>
      <c r="C1674" s="120" t="s">
        <v>284</v>
      </c>
      <c r="D1674"/>
      <c r="E1674"/>
      <c r="F1674"/>
      <c r="G1674"/>
      <c r="H1674"/>
      <c r="I1674" s="21" t="str">
        <f t="shared" si="53"/>
        <v/>
      </c>
      <c r="L1674" s="24"/>
      <c r="M1674" s="24"/>
    </row>
    <row r="1675" spans="1:13">
      <c r="A1675" s="14" t="str">
        <f t="shared" si="52"/>
        <v/>
      </c>
      <c r="C1675" s="120" t="s">
        <v>286</v>
      </c>
      <c r="D1675"/>
      <c r="E1675"/>
      <c r="F1675"/>
      <c r="G1675"/>
      <c r="H1675"/>
      <c r="I1675" s="21" t="str">
        <f t="shared" si="53"/>
        <v/>
      </c>
      <c r="L1675" s="24"/>
      <c r="M1675" s="24"/>
    </row>
    <row r="1676" spans="1:13">
      <c r="A1676" s="10" t="str">
        <f t="shared" si="52"/>
        <v/>
      </c>
      <c r="C1676" s="120" t="s">
        <v>126</v>
      </c>
      <c r="D1676"/>
      <c r="E1676"/>
      <c r="F1676"/>
      <c r="G1676"/>
      <c r="H1676"/>
      <c r="I1676" s="21" t="str">
        <f t="shared" si="53"/>
        <v/>
      </c>
      <c r="L1676" s="24"/>
      <c r="M1676" s="24"/>
    </row>
    <row r="1677" spans="1:13">
      <c r="A1677" s="14" t="str">
        <f t="shared" si="52"/>
        <v/>
      </c>
      <c r="C1677" s="120" t="s">
        <v>128</v>
      </c>
      <c r="D1677"/>
      <c r="E1677"/>
      <c r="F1677"/>
      <c r="G1677"/>
      <c r="H1677"/>
      <c r="I1677" s="21" t="str">
        <f t="shared" si="53"/>
        <v/>
      </c>
      <c r="L1677" s="24"/>
      <c r="M1677" s="24"/>
    </row>
    <row r="1678" spans="1:13">
      <c r="A1678" s="10" t="str">
        <f t="shared" si="52"/>
        <v/>
      </c>
      <c r="C1678" s="120" t="s">
        <v>280</v>
      </c>
      <c r="D1678"/>
      <c r="E1678"/>
      <c r="F1678"/>
      <c r="G1678"/>
      <c r="H1678"/>
      <c r="I1678" s="21" t="str">
        <f t="shared" si="53"/>
        <v/>
      </c>
      <c r="L1678" s="24"/>
      <c r="M1678" s="24"/>
    </row>
    <row r="1679" spans="1:13">
      <c r="A1679" s="14" t="str">
        <f t="shared" si="52"/>
        <v/>
      </c>
      <c r="C1679" s="120" t="s">
        <v>282</v>
      </c>
      <c r="D1679"/>
      <c r="E1679"/>
      <c r="F1679"/>
      <c r="G1679"/>
      <c r="H1679"/>
      <c r="I1679" s="21" t="str">
        <f t="shared" si="53"/>
        <v/>
      </c>
      <c r="L1679" s="24"/>
      <c r="M1679" s="24"/>
    </row>
    <row r="1680" spans="1:13">
      <c r="A1680" s="10" t="str">
        <f t="shared" si="52"/>
        <v/>
      </c>
      <c r="C1680" s="120" t="s">
        <v>284</v>
      </c>
      <c r="D1680"/>
      <c r="E1680"/>
      <c r="F1680"/>
      <c r="G1680"/>
      <c r="H1680"/>
      <c r="I1680" s="21" t="str">
        <f t="shared" si="53"/>
        <v/>
      </c>
      <c r="L1680" s="24"/>
      <c r="M1680" s="24"/>
    </row>
    <row r="1681" spans="1:13">
      <c r="A1681" s="14" t="str">
        <f t="shared" si="52"/>
        <v/>
      </c>
      <c r="C1681" s="120" t="s">
        <v>286</v>
      </c>
      <c r="D1681"/>
      <c r="E1681"/>
      <c r="F1681"/>
      <c r="G1681"/>
      <c r="H1681"/>
      <c r="I1681" s="21" t="str">
        <f t="shared" si="53"/>
        <v/>
      </c>
      <c r="L1681" s="24"/>
      <c r="M1681" s="24"/>
    </row>
    <row r="1682" spans="1:13">
      <c r="A1682" s="10" t="str">
        <f t="shared" si="52"/>
        <v/>
      </c>
      <c r="C1682" s="120" t="s">
        <v>126</v>
      </c>
      <c r="D1682"/>
      <c r="E1682"/>
      <c r="F1682"/>
      <c r="G1682"/>
      <c r="H1682"/>
      <c r="I1682" s="21" t="str">
        <f t="shared" si="53"/>
        <v/>
      </c>
      <c r="L1682" s="24"/>
      <c r="M1682" s="24"/>
    </row>
    <row r="1683" spans="1:13">
      <c r="A1683" s="14" t="str">
        <f t="shared" si="52"/>
        <v/>
      </c>
      <c r="C1683" s="120" t="s">
        <v>128</v>
      </c>
      <c r="D1683"/>
      <c r="E1683"/>
      <c r="F1683"/>
      <c r="G1683"/>
      <c r="H1683"/>
      <c r="I1683" s="21" t="str">
        <f t="shared" si="53"/>
        <v/>
      </c>
      <c r="L1683" s="24"/>
      <c r="M1683" s="24"/>
    </row>
    <row r="1684" spans="1:13">
      <c r="A1684" s="10" t="str">
        <f t="shared" si="52"/>
        <v/>
      </c>
      <c r="C1684" s="120" t="s">
        <v>280</v>
      </c>
      <c r="D1684"/>
      <c r="E1684"/>
      <c r="F1684"/>
      <c r="G1684"/>
      <c r="H1684"/>
      <c r="I1684" s="21" t="str">
        <f t="shared" si="53"/>
        <v/>
      </c>
      <c r="L1684" s="24"/>
      <c r="M1684" s="24"/>
    </row>
    <row r="1685" spans="1:13">
      <c r="A1685" s="14" t="str">
        <f t="shared" si="52"/>
        <v/>
      </c>
      <c r="C1685" s="120" t="s">
        <v>282</v>
      </c>
      <c r="D1685"/>
      <c r="E1685"/>
      <c r="F1685"/>
      <c r="G1685"/>
      <c r="H1685"/>
      <c r="I1685" s="21" t="str">
        <f t="shared" si="53"/>
        <v/>
      </c>
      <c r="L1685" s="24"/>
      <c r="M1685" s="24"/>
    </row>
    <row r="1686" spans="1:13">
      <c r="A1686" s="10" t="str">
        <f t="shared" si="52"/>
        <v/>
      </c>
      <c r="C1686" s="120" t="s">
        <v>284</v>
      </c>
      <c r="D1686"/>
      <c r="E1686"/>
      <c r="F1686"/>
      <c r="G1686"/>
      <c r="H1686"/>
      <c r="I1686" s="21" t="str">
        <f t="shared" si="53"/>
        <v/>
      </c>
      <c r="L1686" s="24"/>
      <c r="M1686" s="24"/>
    </row>
    <row r="1687" spans="1:13">
      <c r="A1687" s="14" t="str">
        <f t="shared" si="52"/>
        <v/>
      </c>
      <c r="C1687" s="120" t="s">
        <v>286</v>
      </c>
      <c r="D1687"/>
      <c r="E1687"/>
      <c r="F1687"/>
      <c r="G1687"/>
      <c r="H1687"/>
      <c r="I1687" s="21" t="str">
        <f t="shared" si="53"/>
        <v/>
      </c>
      <c r="L1687" s="24"/>
      <c r="M1687" s="24"/>
    </row>
    <row r="1688" spans="1:13">
      <c r="A1688" s="10" t="str">
        <f t="shared" si="52"/>
        <v/>
      </c>
      <c r="C1688" s="120" t="s">
        <v>126</v>
      </c>
      <c r="D1688"/>
      <c r="E1688"/>
      <c r="F1688"/>
      <c r="G1688"/>
      <c r="H1688"/>
      <c r="I1688" s="21" t="str">
        <f t="shared" si="53"/>
        <v/>
      </c>
      <c r="L1688" s="24"/>
      <c r="M1688" s="24"/>
    </row>
    <row r="1689" spans="1:13">
      <c r="A1689" s="14" t="str">
        <f t="shared" si="52"/>
        <v/>
      </c>
      <c r="C1689" s="120" t="s">
        <v>128</v>
      </c>
      <c r="D1689"/>
      <c r="E1689"/>
      <c r="F1689"/>
      <c r="G1689"/>
      <c r="H1689"/>
      <c r="I1689" s="21" t="str">
        <f t="shared" si="53"/>
        <v/>
      </c>
      <c r="L1689" s="24"/>
      <c r="M1689" s="24"/>
    </row>
    <row r="1690" spans="1:13">
      <c r="A1690" s="10" t="str">
        <f t="shared" si="52"/>
        <v/>
      </c>
      <c r="C1690" s="120" t="s">
        <v>280</v>
      </c>
      <c r="D1690"/>
      <c r="E1690"/>
      <c r="F1690"/>
      <c r="G1690"/>
      <c r="H1690"/>
      <c r="I1690" s="21" t="str">
        <f t="shared" si="53"/>
        <v/>
      </c>
      <c r="L1690" s="24"/>
      <c r="M1690" s="24"/>
    </row>
    <row r="1691" spans="1:13">
      <c r="A1691" s="14" t="str">
        <f t="shared" si="52"/>
        <v/>
      </c>
      <c r="C1691" s="120" t="s">
        <v>282</v>
      </c>
      <c r="D1691"/>
      <c r="E1691"/>
      <c r="F1691"/>
      <c r="G1691"/>
      <c r="H1691"/>
      <c r="I1691" s="21" t="str">
        <f t="shared" si="53"/>
        <v/>
      </c>
      <c r="L1691" s="24"/>
      <c r="M1691" s="24"/>
    </row>
    <row r="1692" spans="1:13">
      <c r="A1692" s="10" t="str">
        <f t="shared" si="52"/>
        <v/>
      </c>
      <c r="C1692" s="120" t="s">
        <v>284</v>
      </c>
      <c r="D1692"/>
      <c r="E1692"/>
      <c r="F1692"/>
      <c r="G1692"/>
      <c r="H1692"/>
      <c r="I1692" s="21" t="str">
        <f t="shared" si="53"/>
        <v/>
      </c>
      <c r="L1692" s="24"/>
      <c r="M1692" s="24"/>
    </row>
    <row r="1693" spans="1:13">
      <c r="A1693" s="14" t="str">
        <f t="shared" si="52"/>
        <v/>
      </c>
      <c r="C1693" s="120" t="s">
        <v>286</v>
      </c>
      <c r="D1693"/>
      <c r="E1693"/>
      <c r="F1693"/>
      <c r="G1693"/>
      <c r="H1693"/>
      <c r="I1693" s="21" t="str">
        <f t="shared" si="53"/>
        <v/>
      </c>
      <c r="L1693" s="24"/>
      <c r="M1693" s="24"/>
    </row>
    <row r="1694" spans="1:13">
      <c r="A1694" s="10" t="str">
        <f t="shared" si="52"/>
        <v/>
      </c>
      <c r="C1694" s="120" t="s">
        <v>126</v>
      </c>
      <c r="D1694"/>
      <c r="E1694"/>
      <c r="F1694"/>
      <c r="G1694"/>
      <c r="H1694"/>
      <c r="I1694" s="21" t="str">
        <f t="shared" si="53"/>
        <v/>
      </c>
      <c r="L1694" s="24"/>
      <c r="M1694" s="24"/>
    </row>
    <row r="1695" spans="1:13">
      <c r="A1695" s="14" t="str">
        <f t="shared" si="52"/>
        <v/>
      </c>
      <c r="C1695" s="120" t="s">
        <v>128</v>
      </c>
      <c r="D1695"/>
      <c r="E1695"/>
      <c r="F1695"/>
      <c r="G1695"/>
      <c r="H1695"/>
      <c r="I1695" s="21" t="str">
        <f t="shared" si="53"/>
        <v/>
      </c>
      <c r="L1695" s="24"/>
      <c r="M1695" s="24"/>
    </row>
    <row r="1696" spans="1:13">
      <c r="A1696" s="10" t="str">
        <f t="shared" si="52"/>
        <v/>
      </c>
      <c r="C1696" s="120" t="s">
        <v>280</v>
      </c>
      <c r="D1696"/>
      <c r="E1696"/>
      <c r="F1696"/>
      <c r="G1696"/>
      <c r="H1696"/>
      <c r="I1696" s="21" t="str">
        <f t="shared" si="53"/>
        <v/>
      </c>
      <c r="L1696" s="24"/>
      <c r="M1696" s="24"/>
    </row>
    <row r="1697" spans="1:13">
      <c r="A1697" s="14" t="str">
        <f t="shared" si="52"/>
        <v/>
      </c>
      <c r="C1697" s="120" t="s">
        <v>282</v>
      </c>
      <c r="D1697"/>
      <c r="E1697"/>
      <c r="F1697"/>
      <c r="G1697"/>
      <c r="H1697"/>
      <c r="I1697" s="21" t="str">
        <f t="shared" si="53"/>
        <v/>
      </c>
      <c r="L1697" s="24"/>
      <c r="M1697" s="24"/>
    </row>
    <row r="1698" spans="1:13">
      <c r="A1698" s="10" t="str">
        <f t="shared" si="52"/>
        <v/>
      </c>
      <c r="C1698" s="120" t="s">
        <v>284</v>
      </c>
      <c r="D1698"/>
      <c r="E1698"/>
      <c r="F1698"/>
      <c r="G1698"/>
      <c r="H1698"/>
      <c r="I1698" s="21" t="str">
        <f t="shared" si="53"/>
        <v/>
      </c>
      <c r="L1698" s="24"/>
      <c r="M1698" s="24"/>
    </row>
    <row r="1699" spans="1:13">
      <c r="A1699" s="14" t="str">
        <f t="shared" si="52"/>
        <v/>
      </c>
      <c r="C1699" s="120" t="s">
        <v>286</v>
      </c>
      <c r="D1699"/>
      <c r="E1699"/>
      <c r="F1699"/>
      <c r="G1699"/>
      <c r="H1699"/>
      <c r="I1699" s="21" t="str">
        <f t="shared" si="53"/>
        <v/>
      </c>
      <c r="L1699" s="24"/>
      <c r="M1699" s="24"/>
    </row>
    <row r="1700" spans="1:13">
      <c r="A1700" s="10" t="str">
        <f t="shared" si="52"/>
        <v/>
      </c>
      <c r="C1700" s="120" t="s">
        <v>126</v>
      </c>
      <c r="D1700"/>
      <c r="E1700"/>
      <c r="F1700"/>
      <c r="G1700"/>
      <c r="H1700"/>
      <c r="I1700" s="21" t="str">
        <f t="shared" si="53"/>
        <v/>
      </c>
      <c r="L1700" s="24"/>
      <c r="M1700" s="24"/>
    </row>
    <row r="1701" spans="1:13">
      <c r="A1701" s="14" t="str">
        <f t="shared" si="52"/>
        <v/>
      </c>
      <c r="C1701" s="120" t="s">
        <v>128</v>
      </c>
      <c r="D1701"/>
      <c r="E1701"/>
      <c r="F1701"/>
      <c r="G1701"/>
      <c r="H1701"/>
      <c r="I1701" s="21" t="str">
        <f t="shared" si="53"/>
        <v/>
      </c>
      <c r="L1701" s="24"/>
      <c r="M1701" s="24"/>
    </row>
    <row r="1702" spans="1:13">
      <c r="A1702" s="10" t="str">
        <f t="shared" si="52"/>
        <v/>
      </c>
      <c r="C1702" s="120" t="s">
        <v>280</v>
      </c>
      <c r="D1702"/>
      <c r="E1702"/>
      <c r="F1702"/>
      <c r="G1702"/>
      <c r="H1702"/>
      <c r="I1702" s="21" t="str">
        <f t="shared" si="53"/>
        <v/>
      </c>
      <c r="L1702" s="24"/>
      <c r="M1702" s="24"/>
    </row>
    <row r="1703" spans="1:13">
      <c r="A1703" s="14" t="str">
        <f t="shared" si="52"/>
        <v/>
      </c>
      <c r="C1703" s="120" t="s">
        <v>282</v>
      </c>
      <c r="D1703"/>
      <c r="E1703"/>
      <c r="F1703"/>
      <c r="G1703"/>
      <c r="H1703"/>
      <c r="I1703" s="21" t="str">
        <f t="shared" si="53"/>
        <v/>
      </c>
      <c r="L1703" s="24"/>
      <c r="M1703" s="24"/>
    </row>
    <row r="1704" spans="1:13">
      <c r="A1704" s="10" t="str">
        <f t="shared" si="52"/>
        <v/>
      </c>
      <c r="C1704" s="120" t="s">
        <v>284</v>
      </c>
      <c r="D1704"/>
      <c r="E1704"/>
      <c r="F1704"/>
      <c r="G1704"/>
      <c r="H1704"/>
      <c r="I1704" s="21" t="str">
        <f t="shared" si="53"/>
        <v/>
      </c>
      <c r="L1704" s="24"/>
      <c r="M1704" s="24"/>
    </row>
    <row r="1705" spans="1:13">
      <c r="A1705" s="14" t="str">
        <f t="shared" si="52"/>
        <v/>
      </c>
      <c r="C1705" s="120" t="s">
        <v>286</v>
      </c>
      <c r="D1705"/>
      <c r="E1705"/>
      <c r="F1705"/>
      <c r="G1705"/>
      <c r="H1705"/>
      <c r="I1705" s="21" t="str">
        <f t="shared" si="53"/>
        <v/>
      </c>
      <c r="L1705" s="24"/>
      <c r="M1705" s="24"/>
    </row>
    <row r="1706" spans="1:13">
      <c r="A1706" s="10" t="str">
        <f t="shared" si="52"/>
        <v/>
      </c>
      <c r="C1706" s="120" t="s">
        <v>126</v>
      </c>
      <c r="D1706"/>
      <c r="E1706"/>
      <c r="F1706"/>
      <c r="G1706"/>
      <c r="H1706"/>
      <c r="I1706" s="21" t="str">
        <f t="shared" si="53"/>
        <v/>
      </c>
      <c r="L1706" s="24"/>
      <c r="M1706" s="24"/>
    </row>
    <row r="1707" spans="1:13">
      <c r="A1707" s="14" t="str">
        <f t="shared" si="52"/>
        <v/>
      </c>
      <c r="C1707" s="120" t="s">
        <v>128</v>
      </c>
      <c r="D1707"/>
      <c r="E1707"/>
      <c r="F1707"/>
      <c r="G1707"/>
      <c r="H1707"/>
      <c r="I1707" s="21" t="str">
        <f t="shared" si="53"/>
        <v/>
      </c>
      <c r="L1707" s="24"/>
      <c r="M1707" s="24"/>
    </row>
    <row r="1708" spans="1:13">
      <c r="A1708" s="10" t="str">
        <f t="shared" si="52"/>
        <v/>
      </c>
      <c r="C1708" s="120" t="s">
        <v>280</v>
      </c>
      <c r="D1708"/>
      <c r="E1708"/>
      <c r="F1708"/>
      <c r="G1708"/>
      <c r="H1708"/>
      <c r="I1708" s="21" t="str">
        <f t="shared" si="53"/>
        <v/>
      </c>
      <c r="L1708" s="24"/>
      <c r="M1708" s="24"/>
    </row>
    <row r="1709" spans="1:13">
      <c r="A1709" s="14" t="str">
        <f t="shared" si="52"/>
        <v/>
      </c>
      <c r="C1709" s="120" t="s">
        <v>282</v>
      </c>
      <c r="D1709"/>
      <c r="E1709"/>
      <c r="F1709"/>
      <c r="G1709"/>
      <c r="H1709"/>
      <c r="I1709" s="21" t="str">
        <f t="shared" si="53"/>
        <v/>
      </c>
      <c r="L1709" s="24"/>
      <c r="M1709" s="24"/>
    </row>
    <row r="1710" spans="1:13">
      <c r="A1710" s="10" t="str">
        <f t="shared" si="52"/>
        <v/>
      </c>
      <c r="C1710" s="120" t="s">
        <v>284</v>
      </c>
      <c r="D1710"/>
      <c r="E1710"/>
      <c r="F1710"/>
      <c r="G1710"/>
      <c r="H1710"/>
      <c r="I1710" s="21" t="str">
        <f t="shared" si="53"/>
        <v/>
      </c>
      <c r="L1710" s="24"/>
      <c r="M1710" s="24"/>
    </row>
    <row r="1711" spans="1:13">
      <c r="A1711" s="14" t="str">
        <f t="shared" si="52"/>
        <v/>
      </c>
      <c r="C1711" s="120" t="s">
        <v>286</v>
      </c>
      <c r="D1711"/>
      <c r="E1711"/>
      <c r="F1711"/>
      <c r="G1711"/>
      <c r="H1711"/>
      <c r="I1711" s="21" t="str">
        <f t="shared" si="53"/>
        <v/>
      </c>
      <c r="L1711" s="24"/>
      <c r="M1711" s="24"/>
    </row>
    <row r="1712" spans="1:13">
      <c r="A1712" s="10" t="str">
        <f t="shared" si="52"/>
        <v/>
      </c>
      <c r="C1712" s="120" t="s">
        <v>126</v>
      </c>
      <c r="D1712"/>
      <c r="E1712"/>
      <c r="F1712"/>
      <c r="G1712"/>
      <c r="H1712"/>
      <c r="I1712" s="21" t="str">
        <f t="shared" si="53"/>
        <v/>
      </c>
      <c r="L1712" s="24"/>
      <c r="M1712" s="24"/>
    </row>
    <row r="1713" spans="1:13">
      <c r="A1713" s="14" t="str">
        <f t="shared" si="52"/>
        <v/>
      </c>
      <c r="C1713" s="120" t="s">
        <v>128</v>
      </c>
      <c r="D1713"/>
      <c r="E1713"/>
      <c r="F1713"/>
      <c r="G1713"/>
      <c r="H1713"/>
      <c r="I1713" s="21" t="str">
        <f t="shared" si="53"/>
        <v/>
      </c>
      <c r="L1713" s="24"/>
      <c r="M1713" s="24"/>
    </row>
    <row r="1714" spans="1:13">
      <c r="A1714" s="10" t="str">
        <f t="shared" si="52"/>
        <v/>
      </c>
      <c r="C1714" s="120" t="s">
        <v>280</v>
      </c>
      <c r="D1714"/>
      <c r="E1714"/>
      <c r="F1714"/>
      <c r="G1714"/>
      <c r="H1714"/>
      <c r="I1714" s="21" t="str">
        <f t="shared" si="53"/>
        <v/>
      </c>
      <c r="L1714" s="24"/>
      <c r="M1714" s="24"/>
    </row>
    <row r="1715" spans="1:13">
      <c r="A1715" s="14" t="str">
        <f t="shared" si="52"/>
        <v/>
      </c>
      <c r="C1715" s="120" t="s">
        <v>282</v>
      </c>
      <c r="D1715"/>
      <c r="E1715"/>
      <c r="F1715"/>
      <c r="G1715"/>
      <c r="H1715"/>
      <c r="I1715" s="21" t="str">
        <f t="shared" si="53"/>
        <v/>
      </c>
      <c r="L1715" s="24"/>
      <c r="M1715" s="24"/>
    </row>
    <row r="1716" spans="1:13">
      <c r="A1716" s="10" t="str">
        <f t="shared" si="52"/>
        <v/>
      </c>
      <c r="C1716" s="120" t="s">
        <v>284</v>
      </c>
      <c r="D1716"/>
      <c r="E1716"/>
      <c r="F1716"/>
      <c r="G1716"/>
      <c r="H1716"/>
      <c r="I1716" s="21" t="str">
        <f t="shared" si="53"/>
        <v/>
      </c>
      <c r="L1716" s="24"/>
      <c r="M1716" s="24"/>
    </row>
    <row r="1717" spans="1:13">
      <c r="A1717" s="14" t="str">
        <f t="shared" si="52"/>
        <v/>
      </c>
      <c r="C1717" s="120" t="s">
        <v>286</v>
      </c>
      <c r="D1717"/>
      <c r="E1717"/>
      <c r="F1717"/>
      <c r="G1717"/>
      <c r="H1717"/>
      <c r="I1717" s="21" t="str">
        <f t="shared" si="53"/>
        <v/>
      </c>
      <c r="L1717" s="24"/>
      <c r="M1717" s="24"/>
    </row>
    <row r="1718" spans="1:13">
      <c r="A1718" s="10" t="str">
        <f t="shared" si="52"/>
        <v/>
      </c>
      <c r="C1718" s="120" t="s">
        <v>126</v>
      </c>
      <c r="D1718"/>
      <c r="E1718"/>
      <c r="F1718"/>
      <c r="G1718"/>
      <c r="H1718"/>
      <c r="I1718" s="21" t="str">
        <f t="shared" si="53"/>
        <v/>
      </c>
      <c r="L1718" s="24"/>
      <c r="M1718" s="24"/>
    </row>
    <row r="1719" spans="1:13">
      <c r="A1719" s="14" t="str">
        <f t="shared" si="52"/>
        <v/>
      </c>
      <c r="C1719" s="120" t="s">
        <v>128</v>
      </c>
      <c r="D1719"/>
      <c r="E1719"/>
      <c r="F1719"/>
      <c r="G1719"/>
      <c r="H1719"/>
      <c r="I1719" s="21" t="str">
        <f t="shared" si="53"/>
        <v/>
      </c>
      <c r="L1719" s="24"/>
      <c r="M1719" s="24"/>
    </row>
    <row r="1720" spans="1:13">
      <c r="A1720" s="10" t="str">
        <f t="shared" si="52"/>
        <v/>
      </c>
      <c r="C1720" s="120" t="s">
        <v>280</v>
      </c>
      <c r="D1720"/>
      <c r="E1720"/>
      <c r="F1720"/>
      <c r="G1720"/>
      <c r="H1720"/>
      <c r="I1720" s="21" t="str">
        <f t="shared" si="53"/>
        <v/>
      </c>
      <c r="L1720" s="24"/>
      <c r="M1720" s="24"/>
    </row>
    <row r="1721" spans="1:13">
      <c r="A1721" s="14" t="str">
        <f t="shared" si="52"/>
        <v/>
      </c>
      <c r="C1721" s="120" t="s">
        <v>282</v>
      </c>
      <c r="D1721"/>
      <c r="E1721"/>
      <c r="F1721"/>
      <c r="G1721"/>
      <c r="H1721"/>
      <c r="I1721" s="21" t="str">
        <f t="shared" si="53"/>
        <v/>
      </c>
      <c r="L1721" s="24"/>
      <c r="M1721" s="24"/>
    </row>
    <row r="1722" spans="1:13">
      <c r="A1722" s="10" t="str">
        <f t="shared" si="52"/>
        <v/>
      </c>
      <c r="C1722" s="120" t="s">
        <v>284</v>
      </c>
      <c r="D1722"/>
      <c r="E1722"/>
      <c r="F1722"/>
      <c r="G1722"/>
      <c r="H1722"/>
      <c r="I1722" s="21" t="str">
        <f t="shared" si="53"/>
        <v/>
      </c>
      <c r="L1722" s="24"/>
      <c r="M1722" s="24"/>
    </row>
    <row r="1723" spans="1:13">
      <c r="A1723" s="14" t="str">
        <f t="shared" si="52"/>
        <v/>
      </c>
      <c r="C1723" s="120" t="s">
        <v>286</v>
      </c>
      <c r="D1723"/>
      <c r="E1723"/>
      <c r="F1723"/>
      <c r="G1723"/>
      <c r="H1723"/>
      <c r="I1723" s="21" t="str">
        <f t="shared" si="53"/>
        <v/>
      </c>
      <c r="L1723" s="24"/>
      <c r="M1723" s="24"/>
    </row>
    <row r="1724" spans="1:13">
      <c r="A1724" s="10" t="str">
        <f t="shared" si="52"/>
        <v/>
      </c>
      <c r="C1724" s="120" t="s">
        <v>126</v>
      </c>
      <c r="D1724"/>
      <c r="E1724"/>
      <c r="F1724"/>
      <c r="G1724"/>
      <c r="H1724"/>
      <c r="I1724" s="21" t="str">
        <f t="shared" si="53"/>
        <v/>
      </c>
      <c r="L1724" s="24"/>
      <c r="M1724" s="24"/>
    </row>
    <row r="1725" spans="1:13">
      <c r="A1725" s="14" t="str">
        <f t="shared" si="52"/>
        <v/>
      </c>
      <c r="C1725" s="120" t="s">
        <v>128</v>
      </c>
      <c r="D1725"/>
      <c r="E1725"/>
      <c r="F1725"/>
      <c r="G1725"/>
      <c r="H1725"/>
      <c r="I1725" s="21" t="str">
        <f t="shared" si="53"/>
        <v/>
      </c>
      <c r="L1725" s="24"/>
      <c r="M1725" s="24"/>
    </row>
    <row r="1726" spans="1:13">
      <c r="A1726" s="10" t="str">
        <f t="shared" si="52"/>
        <v/>
      </c>
      <c r="C1726" s="120" t="s">
        <v>280</v>
      </c>
      <c r="D1726"/>
      <c r="E1726"/>
      <c r="F1726"/>
      <c r="G1726"/>
      <c r="H1726"/>
      <c r="I1726" s="21" t="str">
        <f t="shared" si="53"/>
        <v/>
      </c>
      <c r="L1726" s="24"/>
      <c r="M1726" s="24"/>
    </row>
    <row r="1727" spans="1:13">
      <c r="A1727" s="14" t="str">
        <f t="shared" si="52"/>
        <v/>
      </c>
      <c r="C1727" s="120" t="s">
        <v>282</v>
      </c>
      <c r="D1727"/>
      <c r="E1727"/>
      <c r="F1727"/>
      <c r="G1727"/>
      <c r="H1727"/>
      <c r="I1727" s="21" t="str">
        <f t="shared" si="53"/>
        <v/>
      </c>
      <c r="L1727" s="24"/>
      <c r="M1727" s="24"/>
    </row>
    <row r="1728" spans="1:13">
      <c r="A1728" s="10" t="str">
        <f t="shared" si="52"/>
        <v/>
      </c>
      <c r="C1728" s="120" t="s">
        <v>284</v>
      </c>
      <c r="D1728"/>
      <c r="E1728"/>
      <c r="F1728"/>
      <c r="G1728"/>
      <c r="H1728"/>
      <c r="I1728" s="21" t="str">
        <f t="shared" si="53"/>
        <v/>
      </c>
      <c r="L1728" s="24"/>
      <c r="M1728" s="24"/>
    </row>
    <row r="1729" spans="1:13">
      <c r="A1729" s="14" t="str">
        <f t="shared" si="52"/>
        <v/>
      </c>
      <c r="C1729" s="120" t="s">
        <v>286</v>
      </c>
      <c r="D1729"/>
      <c r="E1729"/>
      <c r="F1729"/>
      <c r="G1729"/>
      <c r="H1729"/>
      <c r="I1729" s="21" t="str">
        <f t="shared" si="53"/>
        <v/>
      </c>
      <c r="L1729" s="24"/>
      <c r="M1729" s="24"/>
    </row>
    <row r="1730" spans="1:13">
      <c r="A1730" s="10" t="str">
        <f t="shared" ref="A1730:A1793" si="54">IF(B1730&lt;&gt;"",ROW()-1,"")</f>
        <v/>
      </c>
      <c r="C1730" s="120" t="s">
        <v>126</v>
      </c>
      <c r="D1730"/>
      <c r="E1730"/>
      <c r="F1730"/>
      <c r="G1730"/>
      <c r="H1730"/>
      <c r="I1730" s="21" t="str">
        <f t="shared" ref="I1730:I1793" si="55">IF(AND(G1730&lt;&gt;"",H1730&lt;&gt;""),H1730-G1730,"")</f>
        <v/>
      </c>
      <c r="L1730" s="24"/>
      <c r="M1730" s="24"/>
    </row>
    <row r="1731" spans="1:13">
      <c r="A1731" s="14" t="str">
        <f t="shared" si="54"/>
        <v/>
      </c>
      <c r="C1731" s="120" t="s">
        <v>128</v>
      </c>
      <c r="D1731"/>
      <c r="E1731"/>
      <c r="F1731"/>
      <c r="G1731"/>
      <c r="H1731"/>
      <c r="I1731" s="21" t="str">
        <f t="shared" si="55"/>
        <v/>
      </c>
      <c r="L1731" s="24"/>
      <c r="M1731" s="24"/>
    </row>
    <row r="1732" spans="1:13">
      <c r="A1732" s="10" t="str">
        <f t="shared" si="54"/>
        <v/>
      </c>
      <c r="C1732" s="120" t="s">
        <v>280</v>
      </c>
      <c r="D1732"/>
      <c r="E1732"/>
      <c r="F1732"/>
      <c r="G1732"/>
      <c r="H1732"/>
      <c r="I1732" s="21" t="str">
        <f t="shared" si="55"/>
        <v/>
      </c>
      <c r="L1732" s="24"/>
      <c r="M1732" s="24"/>
    </row>
    <row r="1733" spans="1:13">
      <c r="A1733" s="14" t="str">
        <f t="shared" si="54"/>
        <v/>
      </c>
      <c r="C1733" s="120" t="s">
        <v>282</v>
      </c>
      <c r="D1733"/>
      <c r="E1733"/>
      <c r="F1733"/>
      <c r="G1733"/>
      <c r="H1733"/>
      <c r="I1733" s="21" t="str">
        <f t="shared" si="55"/>
        <v/>
      </c>
      <c r="L1733" s="24"/>
      <c r="M1733" s="24"/>
    </row>
    <row r="1734" spans="1:13">
      <c r="A1734" s="10" t="str">
        <f t="shared" si="54"/>
        <v/>
      </c>
      <c r="C1734" s="120" t="s">
        <v>284</v>
      </c>
      <c r="D1734"/>
      <c r="E1734"/>
      <c r="F1734"/>
      <c r="G1734"/>
      <c r="H1734"/>
      <c r="I1734" s="21" t="str">
        <f t="shared" si="55"/>
        <v/>
      </c>
      <c r="L1734" s="24"/>
      <c r="M1734" s="24"/>
    </row>
    <row r="1735" spans="1:13">
      <c r="A1735" s="14" t="str">
        <f t="shared" si="54"/>
        <v/>
      </c>
      <c r="C1735" s="120" t="s">
        <v>286</v>
      </c>
      <c r="D1735"/>
      <c r="E1735"/>
      <c r="F1735"/>
      <c r="G1735"/>
      <c r="H1735"/>
      <c r="I1735" s="21" t="str">
        <f t="shared" si="55"/>
        <v/>
      </c>
      <c r="L1735" s="24"/>
      <c r="M1735" s="24"/>
    </row>
    <row r="1736" spans="1:13">
      <c r="A1736" s="10" t="str">
        <f t="shared" si="54"/>
        <v/>
      </c>
      <c r="C1736" s="120" t="s">
        <v>126</v>
      </c>
      <c r="D1736"/>
      <c r="E1736"/>
      <c r="F1736"/>
      <c r="G1736"/>
      <c r="H1736"/>
      <c r="I1736" s="21" t="str">
        <f t="shared" si="55"/>
        <v/>
      </c>
      <c r="L1736" s="24"/>
      <c r="M1736" s="24"/>
    </row>
    <row r="1737" spans="1:13">
      <c r="A1737" s="14" t="str">
        <f t="shared" si="54"/>
        <v/>
      </c>
      <c r="C1737" s="120" t="s">
        <v>128</v>
      </c>
      <c r="D1737"/>
      <c r="E1737"/>
      <c r="F1737"/>
      <c r="G1737"/>
      <c r="H1737"/>
      <c r="I1737" s="21" t="str">
        <f t="shared" si="55"/>
        <v/>
      </c>
      <c r="L1737" s="24"/>
      <c r="M1737" s="24"/>
    </row>
    <row r="1738" spans="1:13">
      <c r="A1738" s="10" t="str">
        <f t="shared" si="54"/>
        <v/>
      </c>
      <c r="C1738" s="120" t="s">
        <v>280</v>
      </c>
      <c r="D1738"/>
      <c r="E1738"/>
      <c r="F1738"/>
      <c r="G1738"/>
      <c r="H1738"/>
      <c r="I1738" s="21" t="str">
        <f t="shared" si="55"/>
        <v/>
      </c>
      <c r="L1738" s="24"/>
      <c r="M1738" s="24"/>
    </row>
    <row r="1739" spans="1:13">
      <c r="A1739" s="14" t="str">
        <f t="shared" si="54"/>
        <v/>
      </c>
      <c r="C1739" s="120" t="s">
        <v>282</v>
      </c>
      <c r="D1739"/>
      <c r="E1739"/>
      <c r="F1739"/>
      <c r="G1739"/>
      <c r="H1739"/>
      <c r="I1739" s="21" t="str">
        <f t="shared" si="55"/>
        <v/>
      </c>
      <c r="L1739" s="24"/>
      <c r="M1739" s="24"/>
    </row>
    <row r="1740" spans="1:13">
      <c r="A1740" s="10" t="str">
        <f t="shared" si="54"/>
        <v/>
      </c>
      <c r="C1740" s="120" t="s">
        <v>284</v>
      </c>
      <c r="D1740"/>
      <c r="E1740"/>
      <c r="F1740"/>
      <c r="G1740"/>
      <c r="H1740"/>
      <c r="I1740" s="21" t="str">
        <f t="shared" si="55"/>
        <v/>
      </c>
      <c r="L1740" s="24"/>
      <c r="M1740" s="24"/>
    </row>
    <row r="1741" spans="1:13">
      <c r="A1741" s="14" t="str">
        <f t="shared" si="54"/>
        <v/>
      </c>
      <c r="C1741" s="120" t="s">
        <v>286</v>
      </c>
      <c r="D1741"/>
      <c r="E1741"/>
      <c r="F1741"/>
      <c r="G1741"/>
      <c r="H1741"/>
      <c r="I1741" s="21" t="str">
        <f t="shared" si="55"/>
        <v/>
      </c>
      <c r="L1741" s="24"/>
      <c r="M1741" s="24"/>
    </row>
    <row r="1742" spans="1:13">
      <c r="A1742" s="10" t="str">
        <f t="shared" si="54"/>
        <v/>
      </c>
      <c r="C1742" s="120" t="s">
        <v>126</v>
      </c>
      <c r="D1742"/>
      <c r="E1742"/>
      <c r="F1742"/>
      <c r="G1742"/>
      <c r="H1742"/>
      <c r="I1742" s="21" t="str">
        <f t="shared" si="55"/>
        <v/>
      </c>
      <c r="L1742" s="24"/>
      <c r="M1742" s="24"/>
    </row>
    <row r="1743" spans="1:13">
      <c r="A1743" s="14" t="str">
        <f t="shared" si="54"/>
        <v/>
      </c>
      <c r="C1743" s="120" t="s">
        <v>128</v>
      </c>
      <c r="D1743"/>
      <c r="E1743"/>
      <c r="F1743"/>
      <c r="G1743"/>
      <c r="H1743"/>
      <c r="I1743" s="21" t="str">
        <f t="shared" si="55"/>
        <v/>
      </c>
      <c r="L1743" s="24"/>
      <c r="M1743" s="24"/>
    </row>
    <row r="1744" spans="1:13">
      <c r="A1744" s="10" t="str">
        <f t="shared" si="54"/>
        <v/>
      </c>
      <c r="C1744" s="120" t="s">
        <v>280</v>
      </c>
      <c r="D1744"/>
      <c r="E1744"/>
      <c r="F1744"/>
      <c r="G1744"/>
      <c r="H1744"/>
      <c r="I1744" s="21" t="str">
        <f t="shared" si="55"/>
        <v/>
      </c>
      <c r="L1744" s="24"/>
      <c r="M1744" s="24"/>
    </row>
    <row r="1745" spans="1:13">
      <c r="A1745" s="14" t="str">
        <f t="shared" si="54"/>
        <v/>
      </c>
      <c r="C1745" s="120" t="s">
        <v>282</v>
      </c>
      <c r="D1745"/>
      <c r="E1745"/>
      <c r="F1745"/>
      <c r="G1745"/>
      <c r="H1745"/>
      <c r="I1745" s="21" t="str">
        <f t="shared" si="55"/>
        <v/>
      </c>
      <c r="L1745" s="24"/>
      <c r="M1745" s="24"/>
    </row>
    <row r="1746" spans="1:13">
      <c r="A1746" s="10" t="str">
        <f t="shared" si="54"/>
        <v/>
      </c>
      <c r="C1746" s="120" t="s">
        <v>284</v>
      </c>
      <c r="D1746"/>
      <c r="E1746"/>
      <c r="F1746"/>
      <c r="G1746"/>
      <c r="H1746"/>
      <c r="I1746" s="21" t="str">
        <f t="shared" si="55"/>
        <v/>
      </c>
      <c r="L1746" s="24"/>
      <c r="M1746" s="24"/>
    </row>
    <row r="1747" spans="1:13">
      <c r="A1747" s="14" t="str">
        <f t="shared" si="54"/>
        <v/>
      </c>
      <c r="C1747" s="120" t="s">
        <v>286</v>
      </c>
      <c r="D1747"/>
      <c r="E1747"/>
      <c r="F1747"/>
      <c r="G1747"/>
      <c r="H1747"/>
      <c r="I1747" s="21" t="str">
        <f t="shared" si="55"/>
        <v/>
      </c>
      <c r="L1747" s="24"/>
      <c r="M1747" s="24"/>
    </row>
    <row r="1748" spans="1:13">
      <c r="A1748" s="10" t="str">
        <f t="shared" si="54"/>
        <v/>
      </c>
      <c r="C1748" s="120" t="s">
        <v>126</v>
      </c>
      <c r="D1748"/>
      <c r="E1748"/>
      <c r="F1748"/>
      <c r="G1748"/>
      <c r="H1748"/>
      <c r="I1748" s="21" t="str">
        <f t="shared" si="55"/>
        <v/>
      </c>
      <c r="L1748" s="24"/>
      <c r="M1748" s="24"/>
    </row>
    <row r="1749" spans="1:13">
      <c r="A1749" s="14" t="str">
        <f t="shared" si="54"/>
        <v/>
      </c>
      <c r="C1749" s="120" t="s">
        <v>128</v>
      </c>
      <c r="D1749"/>
      <c r="E1749"/>
      <c r="F1749"/>
      <c r="G1749"/>
      <c r="H1749"/>
      <c r="I1749" s="21" t="str">
        <f t="shared" si="55"/>
        <v/>
      </c>
      <c r="L1749" s="24"/>
      <c r="M1749" s="24"/>
    </row>
    <row r="1750" spans="1:13">
      <c r="A1750" s="10" t="str">
        <f t="shared" si="54"/>
        <v/>
      </c>
      <c r="C1750" s="120" t="s">
        <v>280</v>
      </c>
      <c r="D1750"/>
      <c r="E1750"/>
      <c r="F1750"/>
      <c r="G1750"/>
      <c r="H1750"/>
      <c r="I1750" s="21" t="str">
        <f t="shared" si="55"/>
        <v/>
      </c>
      <c r="L1750" s="24"/>
      <c r="M1750" s="24"/>
    </row>
    <row r="1751" spans="1:13">
      <c r="A1751" s="14" t="str">
        <f t="shared" si="54"/>
        <v/>
      </c>
      <c r="C1751" s="120" t="s">
        <v>282</v>
      </c>
      <c r="D1751"/>
      <c r="E1751"/>
      <c r="F1751"/>
      <c r="G1751"/>
      <c r="H1751"/>
      <c r="I1751" s="21" t="str">
        <f t="shared" si="55"/>
        <v/>
      </c>
      <c r="L1751" s="24"/>
      <c r="M1751" s="24"/>
    </row>
    <row r="1752" spans="1:13">
      <c r="A1752" s="10" t="str">
        <f t="shared" si="54"/>
        <v/>
      </c>
      <c r="C1752" s="120" t="s">
        <v>284</v>
      </c>
      <c r="D1752"/>
      <c r="E1752"/>
      <c r="F1752"/>
      <c r="G1752"/>
      <c r="H1752"/>
      <c r="I1752" s="21" t="str">
        <f t="shared" si="55"/>
        <v/>
      </c>
      <c r="L1752" s="24"/>
      <c r="M1752" s="24"/>
    </row>
    <row r="1753" spans="1:13">
      <c r="A1753" s="14" t="str">
        <f t="shared" si="54"/>
        <v/>
      </c>
      <c r="C1753" s="120" t="s">
        <v>286</v>
      </c>
      <c r="D1753"/>
      <c r="E1753"/>
      <c r="F1753"/>
      <c r="G1753"/>
      <c r="H1753"/>
      <c r="I1753" s="21" t="str">
        <f t="shared" si="55"/>
        <v/>
      </c>
      <c r="L1753" s="24"/>
      <c r="M1753" s="24"/>
    </row>
    <row r="1754" spans="1:13">
      <c r="A1754" s="10" t="str">
        <f t="shared" si="54"/>
        <v/>
      </c>
      <c r="C1754" s="120" t="s">
        <v>126</v>
      </c>
      <c r="D1754"/>
      <c r="E1754"/>
      <c r="F1754"/>
      <c r="G1754"/>
      <c r="H1754"/>
      <c r="I1754" s="21" t="str">
        <f t="shared" si="55"/>
        <v/>
      </c>
      <c r="L1754" s="24"/>
      <c r="M1754" s="24"/>
    </row>
    <row r="1755" spans="1:13">
      <c r="A1755" s="14" t="str">
        <f t="shared" si="54"/>
        <v/>
      </c>
      <c r="C1755" s="120" t="s">
        <v>128</v>
      </c>
      <c r="D1755"/>
      <c r="E1755"/>
      <c r="F1755"/>
      <c r="G1755"/>
      <c r="H1755"/>
      <c r="I1755" s="21" t="str">
        <f t="shared" si="55"/>
        <v/>
      </c>
      <c r="L1755" s="24"/>
      <c r="M1755" s="24"/>
    </row>
    <row r="1756" spans="1:13">
      <c r="A1756" s="10" t="str">
        <f t="shared" si="54"/>
        <v/>
      </c>
      <c r="C1756" s="120" t="s">
        <v>280</v>
      </c>
      <c r="D1756"/>
      <c r="E1756"/>
      <c r="F1756"/>
      <c r="G1756"/>
      <c r="H1756"/>
      <c r="I1756" s="21" t="str">
        <f t="shared" si="55"/>
        <v/>
      </c>
      <c r="L1756" s="24"/>
      <c r="M1756" s="24"/>
    </row>
    <row r="1757" spans="1:13">
      <c r="A1757" s="14" t="str">
        <f t="shared" si="54"/>
        <v/>
      </c>
      <c r="C1757" s="120" t="s">
        <v>282</v>
      </c>
      <c r="D1757"/>
      <c r="E1757"/>
      <c r="F1757"/>
      <c r="G1757"/>
      <c r="H1757"/>
      <c r="I1757" s="21" t="str">
        <f t="shared" si="55"/>
        <v/>
      </c>
      <c r="L1757" s="24"/>
      <c r="M1757" s="24"/>
    </row>
    <row r="1758" spans="1:13">
      <c r="A1758" s="10" t="str">
        <f t="shared" si="54"/>
        <v/>
      </c>
      <c r="C1758" s="120" t="s">
        <v>284</v>
      </c>
      <c r="D1758"/>
      <c r="E1758"/>
      <c r="F1758"/>
      <c r="G1758"/>
      <c r="H1758"/>
      <c r="I1758" s="21" t="str">
        <f t="shared" si="55"/>
        <v/>
      </c>
      <c r="L1758" s="24"/>
      <c r="M1758" s="24"/>
    </row>
    <row r="1759" spans="1:13">
      <c r="A1759" s="14" t="str">
        <f t="shared" si="54"/>
        <v/>
      </c>
      <c r="C1759" s="120" t="s">
        <v>286</v>
      </c>
      <c r="D1759"/>
      <c r="E1759"/>
      <c r="F1759"/>
      <c r="G1759"/>
      <c r="H1759"/>
      <c r="I1759" s="21" t="str">
        <f t="shared" si="55"/>
        <v/>
      </c>
      <c r="L1759" s="24"/>
      <c r="M1759" s="24"/>
    </row>
    <row r="1760" spans="1:13">
      <c r="A1760" s="10" t="str">
        <f t="shared" si="54"/>
        <v/>
      </c>
      <c r="C1760" s="120" t="s">
        <v>126</v>
      </c>
      <c r="D1760"/>
      <c r="E1760"/>
      <c r="F1760"/>
      <c r="G1760"/>
      <c r="H1760"/>
      <c r="I1760" s="21" t="str">
        <f t="shared" si="55"/>
        <v/>
      </c>
      <c r="L1760" s="24"/>
      <c r="M1760" s="24"/>
    </row>
    <row r="1761" spans="1:13">
      <c r="A1761" s="14" t="str">
        <f t="shared" si="54"/>
        <v/>
      </c>
      <c r="C1761" s="120" t="s">
        <v>128</v>
      </c>
      <c r="D1761"/>
      <c r="E1761"/>
      <c r="F1761"/>
      <c r="G1761"/>
      <c r="H1761"/>
      <c r="I1761" s="21" t="str">
        <f t="shared" si="55"/>
        <v/>
      </c>
      <c r="L1761" s="24"/>
      <c r="M1761" s="24"/>
    </row>
    <row r="1762" spans="1:13">
      <c r="A1762" s="10" t="str">
        <f t="shared" si="54"/>
        <v/>
      </c>
      <c r="C1762" s="120" t="s">
        <v>280</v>
      </c>
      <c r="D1762"/>
      <c r="E1762"/>
      <c r="F1762"/>
      <c r="G1762"/>
      <c r="H1762"/>
      <c r="I1762" s="21" t="str">
        <f t="shared" si="55"/>
        <v/>
      </c>
      <c r="L1762" s="24"/>
      <c r="M1762" s="24"/>
    </row>
    <row r="1763" spans="1:13">
      <c r="A1763" s="14" t="str">
        <f t="shared" si="54"/>
        <v/>
      </c>
      <c r="C1763" s="120" t="s">
        <v>282</v>
      </c>
      <c r="D1763"/>
      <c r="E1763"/>
      <c r="F1763"/>
      <c r="G1763"/>
      <c r="H1763"/>
      <c r="I1763" s="21" t="str">
        <f t="shared" si="55"/>
        <v/>
      </c>
      <c r="L1763" s="24"/>
      <c r="M1763" s="24"/>
    </row>
    <row r="1764" spans="1:13">
      <c r="A1764" s="10" t="str">
        <f t="shared" si="54"/>
        <v/>
      </c>
      <c r="C1764" s="120" t="s">
        <v>284</v>
      </c>
      <c r="D1764"/>
      <c r="E1764"/>
      <c r="F1764"/>
      <c r="G1764"/>
      <c r="H1764"/>
      <c r="I1764" s="21" t="str">
        <f t="shared" si="55"/>
        <v/>
      </c>
      <c r="L1764" s="24"/>
      <c r="M1764" s="24"/>
    </row>
    <row r="1765" spans="1:13">
      <c r="A1765" s="14" t="str">
        <f t="shared" si="54"/>
        <v/>
      </c>
      <c r="C1765" s="120" t="s">
        <v>286</v>
      </c>
      <c r="D1765"/>
      <c r="E1765"/>
      <c r="F1765"/>
      <c r="G1765"/>
      <c r="H1765"/>
      <c r="I1765" s="21" t="str">
        <f t="shared" si="55"/>
        <v/>
      </c>
      <c r="L1765" s="24"/>
      <c r="M1765" s="24"/>
    </row>
    <row r="1766" spans="1:13">
      <c r="A1766" s="10" t="str">
        <f t="shared" si="54"/>
        <v/>
      </c>
      <c r="C1766" s="120" t="s">
        <v>126</v>
      </c>
      <c r="D1766"/>
      <c r="E1766"/>
      <c r="F1766"/>
      <c r="G1766"/>
      <c r="H1766"/>
      <c r="I1766" s="21" t="str">
        <f t="shared" si="55"/>
        <v/>
      </c>
      <c r="L1766" s="24"/>
      <c r="M1766" s="24"/>
    </row>
    <row r="1767" spans="1:13">
      <c r="A1767" s="14" t="str">
        <f t="shared" si="54"/>
        <v/>
      </c>
      <c r="C1767" s="120" t="s">
        <v>128</v>
      </c>
      <c r="D1767"/>
      <c r="E1767"/>
      <c r="F1767"/>
      <c r="G1767"/>
      <c r="H1767"/>
      <c r="I1767" s="21" t="str">
        <f t="shared" si="55"/>
        <v/>
      </c>
      <c r="L1767" s="24"/>
      <c r="M1767" s="24"/>
    </row>
    <row r="1768" spans="1:13">
      <c r="A1768" s="10" t="str">
        <f t="shared" si="54"/>
        <v/>
      </c>
      <c r="C1768" s="120" t="s">
        <v>280</v>
      </c>
      <c r="D1768"/>
      <c r="E1768"/>
      <c r="F1768"/>
      <c r="G1768"/>
      <c r="H1768"/>
      <c r="I1768" s="21" t="str">
        <f t="shared" si="55"/>
        <v/>
      </c>
      <c r="L1768" s="24"/>
      <c r="M1768" s="24"/>
    </row>
    <row r="1769" spans="1:13">
      <c r="A1769" s="14" t="str">
        <f t="shared" si="54"/>
        <v/>
      </c>
      <c r="C1769" s="120" t="s">
        <v>282</v>
      </c>
      <c r="D1769"/>
      <c r="E1769"/>
      <c r="F1769"/>
      <c r="G1769"/>
      <c r="H1769"/>
      <c r="I1769" s="21" t="str">
        <f t="shared" si="55"/>
        <v/>
      </c>
      <c r="L1769" s="24"/>
      <c r="M1769" s="24"/>
    </row>
    <row r="1770" spans="1:13">
      <c r="A1770" s="10" t="str">
        <f t="shared" si="54"/>
        <v/>
      </c>
      <c r="C1770" s="120" t="s">
        <v>284</v>
      </c>
      <c r="D1770"/>
      <c r="E1770"/>
      <c r="F1770"/>
      <c r="G1770"/>
      <c r="H1770"/>
      <c r="I1770" s="21" t="str">
        <f t="shared" si="55"/>
        <v/>
      </c>
      <c r="L1770" s="24"/>
      <c r="M1770" s="24"/>
    </row>
    <row r="1771" spans="1:13">
      <c r="A1771" s="14" t="str">
        <f t="shared" si="54"/>
        <v/>
      </c>
      <c r="C1771" s="120" t="s">
        <v>286</v>
      </c>
      <c r="D1771"/>
      <c r="E1771"/>
      <c r="F1771"/>
      <c r="G1771"/>
      <c r="H1771"/>
      <c r="I1771" s="21" t="str">
        <f t="shared" si="55"/>
        <v/>
      </c>
      <c r="L1771" s="24"/>
      <c r="M1771" s="24"/>
    </row>
    <row r="1772" spans="1:13">
      <c r="A1772" s="10" t="str">
        <f t="shared" si="54"/>
        <v/>
      </c>
      <c r="C1772" s="120" t="s">
        <v>126</v>
      </c>
      <c r="D1772"/>
      <c r="E1772"/>
      <c r="F1772"/>
      <c r="G1772"/>
      <c r="H1772"/>
      <c r="I1772" s="21" t="str">
        <f t="shared" si="55"/>
        <v/>
      </c>
      <c r="L1772" s="24"/>
      <c r="M1772" s="24"/>
    </row>
    <row r="1773" spans="1:13">
      <c r="A1773" s="14" t="str">
        <f t="shared" si="54"/>
        <v/>
      </c>
      <c r="C1773" s="120" t="s">
        <v>128</v>
      </c>
      <c r="D1773"/>
      <c r="E1773"/>
      <c r="F1773"/>
      <c r="G1773"/>
      <c r="H1773"/>
      <c r="I1773" s="21" t="str">
        <f t="shared" si="55"/>
        <v/>
      </c>
      <c r="L1773" s="24"/>
      <c r="M1773" s="24"/>
    </row>
    <row r="1774" spans="1:13">
      <c r="A1774" s="10" t="str">
        <f t="shared" si="54"/>
        <v/>
      </c>
      <c r="C1774" s="120" t="s">
        <v>280</v>
      </c>
      <c r="D1774"/>
      <c r="E1774"/>
      <c r="F1774"/>
      <c r="G1774"/>
      <c r="H1774"/>
      <c r="I1774" s="21" t="str">
        <f t="shared" si="55"/>
        <v/>
      </c>
      <c r="L1774" s="24"/>
      <c r="M1774" s="24"/>
    </row>
    <row r="1775" spans="1:13">
      <c r="A1775" s="14" t="str">
        <f t="shared" si="54"/>
        <v/>
      </c>
      <c r="C1775" s="120" t="s">
        <v>282</v>
      </c>
      <c r="D1775"/>
      <c r="E1775"/>
      <c r="F1775"/>
      <c r="G1775"/>
      <c r="H1775"/>
      <c r="I1775" s="21" t="str">
        <f t="shared" si="55"/>
        <v/>
      </c>
      <c r="L1775" s="24"/>
      <c r="M1775" s="24"/>
    </row>
    <row r="1776" spans="1:13">
      <c r="A1776" s="10" t="str">
        <f t="shared" si="54"/>
        <v/>
      </c>
      <c r="C1776" s="120" t="s">
        <v>284</v>
      </c>
      <c r="D1776"/>
      <c r="E1776"/>
      <c r="F1776"/>
      <c r="G1776"/>
      <c r="H1776"/>
      <c r="I1776" s="21" t="str">
        <f t="shared" si="55"/>
        <v/>
      </c>
      <c r="L1776" s="24"/>
      <c r="M1776" s="24"/>
    </row>
    <row r="1777" spans="1:13">
      <c r="A1777" s="14" t="str">
        <f t="shared" si="54"/>
        <v/>
      </c>
      <c r="C1777" s="120" t="s">
        <v>286</v>
      </c>
      <c r="D1777"/>
      <c r="E1777"/>
      <c r="F1777"/>
      <c r="G1777"/>
      <c r="H1777"/>
      <c r="I1777" s="21" t="str">
        <f t="shared" si="55"/>
        <v/>
      </c>
      <c r="L1777" s="24"/>
      <c r="M1777" s="24"/>
    </row>
    <row r="1778" spans="1:13">
      <c r="A1778" s="10" t="str">
        <f t="shared" si="54"/>
        <v/>
      </c>
      <c r="C1778" s="120" t="s">
        <v>126</v>
      </c>
      <c r="D1778"/>
      <c r="E1778"/>
      <c r="F1778"/>
      <c r="G1778"/>
      <c r="H1778"/>
      <c r="I1778" s="21" t="str">
        <f t="shared" si="55"/>
        <v/>
      </c>
      <c r="L1778" s="24"/>
      <c r="M1778" s="24"/>
    </row>
    <row r="1779" spans="1:13">
      <c r="A1779" s="14" t="str">
        <f t="shared" si="54"/>
        <v/>
      </c>
      <c r="C1779" s="120" t="s">
        <v>128</v>
      </c>
      <c r="D1779"/>
      <c r="E1779"/>
      <c r="F1779"/>
      <c r="G1779"/>
      <c r="H1779"/>
      <c r="I1779" s="21" t="str">
        <f t="shared" si="55"/>
        <v/>
      </c>
      <c r="L1779" s="24"/>
      <c r="M1779" s="24"/>
    </row>
    <row r="1780" spans="1:13">
      <c r="A1780" s="10" t="str">
        <f t="shared" si="54"/>
        <v/>
      </c>
      <c r="C1780" s="120" t="s">
        <v>280</v>
      </c>
      <c r="D1780"/>
      <c r="E1780"/>
      <c r="F1780"/>
      <c r="G1780"/>
      <c r="H1780"/>
      <c r="I1780" s="21" t="str">
        <f t="shared" si="55"/>
        <v/>
      </c>
      <c r="L1780" s="24"/>
      <c r="M1780" s="24"/>
    </row>
    <row r="1781" spans="1:13">
      <c r="A1781" s="14" t="str">
        <f t="shared" si="54"/>
        <v/>
      </c>
      <c r="C1781" s="120" t="s">
        <v>282</v>
      </c>
      <c r="D1781"/>
      <c r="E1781"/>
      <c r="F1781"/>
      <c r="G1781"/>
      <c r="H1781"/>
      <c r="I1781" s="21" t="str">
        <f t="shared" si="55"/>
        <v/>
      </c>
      <c r="L1781" s="24"/>
      <c r="M1781" s="24"/>
    </row>
    <row r="1782" spans="1:13">
      <c r="A1782" s="10" t="str">
        <f t="shared" si="54"/>
        <v/>
      </c>
      <c r="C1782" s="120" t="s">
        <v>284</v>
      </c>
      <c r="D1782"/>
      <c r="E1782"/>
      <c r="F1782"/>
      <c r="G1782"/>
      <c r="H1782"/>
      <c r="I1782" s="21" t="str">
        <f t="shared" si="55"/>
        <v/>
      </c>
      <c r="L1782" s="24"/>
      <c r="M1782" s="24"/>
    </row>
    <row r="1783" spans="1:13">
      <c r="A1783" s="14" t="str">
        <f t="shared" si="54"/>
        <v/>
      </c>
      <c r="C1783" s="120" t="s">
        <v>286</v>
      </c>
      <c r="D1783"/>
      <c r="E1783"/>
      <c r="F1783"/>
      <c r="G1783"/>
      <c r="H1783"/>
      <c r="I1783" s="21" t="str">
        <f t="shared" si="55"/>
        <v/>
      </c>
      <c r="L1783" s="24"/>
      <c r="M1783" s="24"/>
    </row>
    <row r="1784" spans="1:13">
      <c r="A1784" s="10" t="str">
        <f t="shared" si="54"/>
        <v/>
      </c>
      <c r="C1784" s="120" t="s">
        <v>126</v>
      </c>
      <c r="D1784"/>
      <c r="E1784"/>
      <c r="F1784"/>
      <c r="G1784"/>
      <c r="H1784"/>
      <c r="I1784" s="21" t="str">
        <f t="shared" si="55"/>
        <v/>
      </c>
      <c r="L1784" s="24"/>
      <c r="M1784" s="24"/>
    </row>
    <row r="1785" spans="1:13">
      <c r="A1785" s="14" t="str">
        <f t="shared" si="54"/>
        <v/>
      </c>
      <c r="C1785" s="120" t="s">
        <v>128</v>
      </c>
      <c r="D1785"/>
      <c r="E1785"/>
      <c r="F1785"/>
      <c r="G1785"/>
      <c r="H1785"/>
      <c r="I1785" s="21" t="str">
        <f t="shared" si="55"/>
        <v/>
      </c>
      <c r="L1785" s="24"/>
      <c r="M1785" s="24"/>
    </row>
    <row r="1786" spans="1:13">
      <c r="A1786" s="10" t="str">
        <f t="shared" si="54"/>
        <v/>
      </c>
      <c r="C1786" s="120" t="s">
        <v>280</v>
      </c>
      <c r="D1786"/>
      <c r="E1786"/>
      <c r="F1786"/>
      <c r="G1786"/>
      <c r="H1786"/>
      <c r="I1786" s="21" t="str">
        <f t="shared" si="55"/>
        <v/>
      </c>
      <c r="L1786" s="24"/>
      <c r="M1786" s="24"/>
    </row>
    <row r="1787" spans="1:13">
      <c r="A1787" s="14" t="str">
        <f t="shared" si="54"/>
        <v/>
      </c>
      <c r="C1787" s="120" t="s">
        <v>282</v>
      </c>
      <c r="D1787"/>
      <c r="E1787"/>
      <c r="F1787"/>
      <c r="G1787"/>
      <c r="H1787"/>
      <c r="I1787" s="21" t="str">
        <f t="shared" si="55"/>
        <v/>
      </c>
      <c r="L1787" s="24"/>
      <c r="M1787" s="24"/>
    </row>
    <row r="1788" spans="1:13">
      <c r="A1788" s="10" t="str">
        <f t="shared" si="54"/>
        <v/>
      </c>
      <c r="C1788" s="120" t="s">
        <v>284</v>
      </c>
      <c r="D1788"/>
      <c r="E1788"/>
      <c r="F1788"/>
      <c r="G1788"/>
      <c r="H1788"/>
      <c r="I1788" s="21" t="str">
        <f t="shared" si="55"/>
        <v/>
      </c>
      <c r="L1788" s="24"/>
      <c r="M1788" s="24"/>
    </row>
    <row r="1789" spans="1:13">
      <c r="A1789" s="14" t="str">
        <f t="shared" si="54"/>
        <v/>
      </c>
      <c r="C1789" s="120" t="s">
        <v>286</v>
      </c>
      <c r="D1789"/>
      <c r="E1789"/>
      <c r="F1789"/>
      <c r="G1789"/>
      <c r="H1789"/>
      <c r="I1789" s="21" t="str">
        <f t="shared" si="55"/>
        <v/>
      </c>
      <c r="L1789" s="24"/>
      <c r="M1789" s="24"/>
    </row>
    <row r="1790" spans="1:13">
      <c r="A1790" s="10" t="str">
        <f t="shared" si="54"/>
        <v/>
      </c>
      <c r="C1790" s="120" t="s">
        <v>126</v>
      </c>
      <c r="D1790"/>
      <c r="E1790"/>
      <c r="F1790"/>
      <c r="G1790"/>
      <c r="H1790"/>
      <c r="I1790" s="21" t="str">
        <f t="shared" si="55"/>
        <v/>
      </c>
      <c r="L1790" s="24"/>
      <c r="M1790" s="24"/>
    </row>
    <row r="1791" spans="1:13">
      <c r="A1791" s="14" t="str">
        <f t="shared" si="54"/>
        <v/>
      </c>
      <c r="C1791" s="120" t="s">
        <v>128</v>
      </c>
      <c r="D1791"/>
      <c r="E1791"/>
      <c r="F1791"/>
      <c r="G1791"/>
      <c r="H1791"/>
      <c r="I1791" s="21" t="str">
        <f t="shared" si="55"/>
        <v/>
      </c>
      <c r="L1791" s="24"/>
      <c r="M1791" s="24"/>
    </row>
    <row r="1792" spans="1:13">
      <c r="A1792" s="10" t="str">
        <f t="shared" si="54"/>
        <v/>
      </c>
      <c r="C1792" s="120" t="s">
        <v>280</v>
      </c>
      <c r="D1792"/>
      <c r="E1792"/>
      <c r="F1792"/>
      <c r="G1792"/>
      <c r="H1792"/>
      <c r="I1792" s="21" t="str">
        <f t="shared" si="55"/>
        <v/>
      </c>
      <c r="L1792" s="24"/>
      <c r="M1792" s="24"/>
    </row>
    <row r="1793" spans="1:13">
      <c r="A1793" s="14" t="str">
        <f t="shared" si="54"/>
        <v/>
      </c>
      <c r="C1793" s="120" t="s">
        <v>282</v>
      </c>
      <c r="D1793"/>
      <c r="E1793"/>
      <c r="F1793"/>
      <c r="G1793"/>
      <c r="H1793"/>
      <c r="I1793" s="21" t="str">
        <f t="shared" si="55"/>
        <v/>
      </c>
      <c r="L1793" s="24"/>
      <c r="M1793" s="24"/>
    </row>
    <row r="1794" spans="1:13">
      <c r="A1794" s="10" t="str">
        <f t="shared" ref="A1794:A1857" si="56">IF(B1794&lt;&gt;"",ROW()-1,"")</f>
        <v/>
      </c>
      <c r="C1794" s="120" t="s">
        <v>284</v>
      </c>
      <c r="D1794"/>
      <c r="E1794"/>
      <c r="F1794"/>
      <c r="G1794"/>
      <c r="H1794"/>
      <c r="I1794" s="21" t="str">
        <f t="shared" ref="I1794:I1857" si="57">IF(AND(G1794&lt;&gt;"",H1794&lt;&gt;""),H1794-G1794,"")</f>
        <v/>
      </c>
      <c r="L1794" s="24"/>
      <c r="M1794" s="24"/>
    </row>
    <row r="1795" spans="1:13">
      <c r="A1795" s="14" t="str">
        <f t="shared" si="56"/>
        <v/>
      </c>
      <c r="C1795" s="120" t="s">
        <v>286</v>
      </c>
      <c r="D1795"/>
      <c r="E1795"/>
      <c r="F1795"/>
      <c r="G1795"/>
      <c r="H1795"/>
      <c r="I1795" s="21" t="str">
        <f t="shared" si="57"/>
        <v/>
      </c>
      <c r="L1795" s="24"/>
      <c r="M1795" s="24"/>
    </row>
    <row r="1796" spans="1:13">
      <c r="A1796" s="10" t="str">
        <f t="shared" si="56"/>
        <v/>
      </c>
      <c r="C1796" s="120" t="s">
        <v>126</v>
      </c>
      <c r="D1796"/>
      <c r="E1796"/>
      <c r="F1796"/>
      <c r="G1796"/>
      <c r="H1796"/>
      <c r="I1796" s="21" t="str">
        <f t="shared" si="57"/>
        <v/>
      </c>
      <c r="L1796" s="24"/>
      <c r="M1796" s="24"/>
    </row>
    <row r="1797" spans="1:13">
      <c r="A1797" s="14" t="str">
        <f t="shared" si="56"/>
        <v/>
      </c>
      <c r="C1797" s="120" t="s">
        <v>128</v>
      </c>
      <c r="D1797"/>
      <c r="E1797"/>
      <c r="F1797"/>
      <c r="G1797"/>
      <c r="H1797"/>
      <c r="I1797" s="21" t="str">
        <f t="shared" si="57"/>
        <v/>
      </c>
      <c r="L1797" s="24"/>
      <c r="M1797" s="24"/>
    </row>
    <row r="1798" spans="1:13">
      <c r="A1798" s="10" t="str">
        <f t="shared" si="56"/>
        <v/>
      </c>
      <c r="C1798" s="120" t="s">
        <v>280</v>
      </c>
      <c r="D1798"/>
      <c r="E1798"/>
      <c r="F1798"/>
      <c r="G1798"/>
      <c r="H1798"/>
      <c r="I1798" s="21" t="str">
        <f t="shared" si="57"/>
        <v/>
      </c>
      <c r="L1798" s="24"/>
      <c r="M1798" s="24"/>
    </row>
    <row r="1799" spans="1:13">
      <c r="A1799" s="14" t="str">
        <f t="shared" si="56"/>
        <v/>
      </c>
      <c r="C1799" s="120" t="s">
        <v>282</v>
      </c>
      <c r="D1799"/>
      <c r="E1799"/>
      <c r="F1799"/>
      <c r="G1799"/>
      <c r="H1799"/>
      <c r="I1799" s="21" t="str">
        <f t="shared" si="57"/>
        <v/>
      </c>
      <c r="L1799" s="24"/>
      <c r="M1799" s="24"/>
    </row>
    <row r="1800" spans="1:13">
      <c r="A1800" s="10" t="str">
        <f t="shared" si="56"/>
        <v/>
      </c>
      <c r="C1800" s="120" t="s">
        <v>284</v>
      </c>
      <c r="D1800"/>
      <c r="E1800"/>
      <c r="F1800"/>
      <c r="G1800"/>
      <c r="H1800"/>
      <c r="I1800" s="21" t="str">
        <f t="shared" si="57"/>
        <v/>
      </c>
      <c r="L1800" s="24"/>
      <c r="M1800" s="24"/>
    </row>
    <row r="1801" spans="1:13">
      <c r="A1801" s="14" t="str">
        <f t="shared" si="56"/>
        <v/>
      </c>
      <c r="C1801" s="120" t="s">
        <v>286</v>
      </c>
      <c r="D1801"/>
      <c r="E1801"/>
      <c r="F1801"/>
      <c r="G1801"/>
      <c r="H1801"/>
      <c r="I1801" s="21" t="str">
        <f t="shared" si="57"/>
        <v/>
      </c>
      <c r="L1801" s="24"/>
      <c r="M1801" s="24"/>
    </row>
    <row r="1802" spans="1:13">
      <c r="A1802" s="10" t="str">
        <f t="shared" si="56"/>
        <v/>
      </c>
      <c r="C1802" s="120" t="s">
        <v>126</v>
      </c>
      <c r="D1802"/>
      <c r="E1802"/>
      <c r="F1802"/>
      <c r="G1802"/>
      <c r="H1802"/>
      <c r="I1802" s="21" t="str">
        <f t="shared" si="57"/>
        <v/>
      </c>
      <c r="L1802" s="24"/>
      <c r="M1802" s="24"/>
    </row>
    <row r="1803" spans="1:13">
      <c r="A1803" s="14" t="str">
        <f t="shared" si="56"/>
        <v/>
      </c>
      <c r="C1803" s="120" t="s">
        <v>128</v>
      </c>
      <c r="D1803"/>
      <c r="E1803"/>
      <c r="F1803"/>
      <c r="G1803"/>
      <c r="H1803"/>
      <c r="I1803" s="21" t="str">
        <f t="shared" si="57"/>
        <v/>
      </c>
      <c r="L1803" s="24"/>
      <c r="M1803" s="24"/>
    </row>
    <row r="1804" spans="1:13">
      <c r="A1804" s="10" t="str">
        <f t="shared" si="56"/>
        <v/>
      </c>
      <c r="C1804" s="120" t="s">
        <v>280</v>
      </c>
      <c r="D1804"/>
      <c r="E1804"/>
      <c r="F1804"/>
      <c r="G1804"/>
      <c r="H1804"/>
      <c r="I1804" s="21" t="str">
        <f t="shared" si="57"/>
        <v/>
      </c>
      <c r="L1804" s="24"/>
      <c r="M1804" s="24"/>
    </row>
    <row r="1805" spans="1:13">
      <c r="A1805" s="14" t="str">
        <f t="shared" si="56"/>
        <v/>
      </c>
      <c r="C1805" s="120" t="s">
        <v>282</v>
      </c>
      <c r="D1805"/>
      <c r="E1805"/>
      <c r="F1805"/>
      <c r="G1805"/>
      <c r="H1805"/>
      <c r="I1805" s="21" t="str">
        <f t="shared" si="57"/>
        <v/>
      </c>
      <c r="L1805" s="24"/>
      <c r="M1805" s="24"/>
    </row>
    <row r="1806" spans="1:13">
      <c r="A1806" s="10" t="str">
        <f t="shared" si="56"/>
        <v/>
      </c>
      <c r="C1806" s="120" t="s">
        <v>284</v>
      </c>
      <c r="D1806"/>
      <c r="E1806"/>
      <c r="F1806"/>
      <c r="G1806"/>
      <c r="H1806"/>
      <c r="I1806" s="21" t="str">
        <f t="shared" si="57"/>
        <v/>
      </c>
      <c r="L1806" s="24"/>
      <c r="M1806" s="24"/>
    </row>
    <row r="1807" spans="1:13">
      <c r="A1807" s="14" t="str">
        <f t="shared" si="56"/>
        <v/>
      </c>
      <c r="C1807" s="120" t="s">
        <v>286</v>
      </c>
      <c r="D1807"/>
      <c r="E1807"/>
      <c r="F1807"/>
      <c r="G1807"/>
      <c r="H1807"/>
      <c r="I1807" s="21" t="str">
        <f t="shared" si="57"/>
        <v/>
      </c>
      <c r="L1807" s="24"/>
      <c r="M1807" s="24"/>
    </row>
    <row r="1808" spans="1:13">
      <c r="A1808" s="10" t="str">
        <f t="shared" si="56"/>
        <v/>
      </c>
      <c r="C1808" s="120" t="s">
        <v>126</v>
      </c>
      <c r="D1808"/>
      <c r="E1808"/>
      <c r="F1808"/>
      <c r="G1808"/>
      <c r="H1808"/>
      <c r="I1808" s="21" t="str">
        <f t="shared" si="57"/>
        <v/>
      </c>
      <c r="L1808" s="24"/>
      <c r="M1808" s="24"/>
    </row>
    <row r="1809" spans="1:13">
      <c r="A1809" s="14" t="str">
        <f t="shared" si="56"/>
        <v/>
      </c>
      <c r="C1809" s="120" t="s">
        <v>128</v>
      </c>
      <c r="D1809"/>
      <c r="E1809"/>
      <c r="F1809"/>
      <c r="G1809"/>
      <c r="H1809"/>
      <c r="I1809" s="21" t="str">
        <f t="shared" si="57"/>
        <v/>
      </c>
      <c r="L1809" s="24"/>
      <c r="M1809" s="24"/>
    </row>
    <row r="1810" spans="1:13">
      <c r="A1810" s="10" t="str">
        <f t="shared" si="56"/>
        <v/>
      </c>
      <c r="C1810" s="120" t="s">
        <v>280</v>
      </c>
      <c r="D1810"/>
      <c r="E1810"/>
      <c r="F1810"/>
      <c r="G1810"/>
      <c r="H1810"/>
      <c r="I1810" s="21" t="str">
        <f t="shared" si="57"/>
        <v/>
      </c>
      <c r="L1810" s="24"/>
      <c r="M1810" s="24"/>
    </row>
    <row r="1811" spans="1:13">
      <c r="A1811" s="14" t="str">
        <f t="shared" si="56"/>
        <v/>
      </c>
      <c r="C1811" s="120" t="s">
        <v>282</v>
      </c>
      <c r="D1811"/>
      <c r="E1811"/>
      <c r="F1811"/>
      <c r="G1811"/>
      <c r="H1811"/>
      <c r="I1811" s="21" t="str">
        <f t="shared" si="57"/>
        <v/>
      </c>
      <c r="L1811" s="24"/>
      <c r="M1811" s="24"/>
    </row>
    <row r="1812" spans="1:13">
      <c r="A1812" s="10" t="str">
        <f t="shared" si="56"/>
        <v/>
      </c>
      <c r="C1812" s="120" t="s">
        <v>284</v>
      </c>
      <c r="D1812"/>
      <c r="E1812"/>
      <c r="F1812"/>
      <c r="G1812"/>
      <c r="H1812"/>
      <c r="I1812" s="21" t="str">
        <f t="shared" si="57"/>
        <v/>
      </c>
      <c r="L1812" s="24"/>
      <c r="M1812" s="24"/>
    </row>
    <row r="1813" spans="1:13">
      <c r="A1813" s="14" t="str">
        <f t="shared" si="56"/>
        <v/>
      </c>
      <c r="C1813" s="120" t="s">
        <v>286</v>
      </c>
      <c r="D1813"/>
      <c r="E1813"/>
      <c r="F1813"/>
      <c r="G1813"/>
      <c r="H1813"/>
      <c r="I1813" s="21" t="str">
        <f t="shared" si="57"/>
        <v/>
      </c>
      <c r="L1813" s="24"/>
      <c r="M1813" s="24"/>
    </row>
    <row r="1814" spans="1:13">
      <c r="A1814" s="10" t="str">
        <f t="shared" si="56"/>
        <v/>
      </c>
      <c r="C1814" s="120" t="s">
        <v>126</v>
      </c>
      <c r="D1814"/>
      <c r="E1814"/>
      <c r="F1814"/>
      <c r="G1814"/>
      <c r="H1814"/>
      <c r="I1814" s="21" t="str">
        <f t="shared" si="57"/>
        <v/>
      </c>
      <c r="L1814" s="24"/>
      <c r="M1814" s="24"/>
    </row>
    <row r="1815" spans="1:13">
      <c r="A1815" s="14" t="str">
        <f t="shared" si="56"/>
        <v/>
      </c>
      <c r="C1815" s="120" t="s">
        <v>128</v>
      </c>
      <c r="D1815"/>
      <c r="E1815"/>
      <c r="F1815"/>
      <c r="G1815"/>
      <c r="H1815"/>
      <c r="I1815" s="21" t="str">
        <f t="shared" si="57"/>
        <v/>
      </c>
      <c r="L1815" s="24"/>
      <c r="M1815" s="24"/>
    </row>
    <row r="1816" spans="1:13">
      <c r="A1816" s="10" t="str">
        <f t="shared" si="56"/>
        <v/>
      </c>
      <c r="C1816" s="120" t="s">
        <v>280</v>
      </c>
      <c r="D1816"/>
      <c r="E1816"/>
      <c r="F1816"/>
      <c r="G1816"/>
      <c r="H1816"/>
      <c r="I1816" s="21" t="str">
        <f t="shared" si="57"/>
        <v/>
      </c>
      <c r="L1816" s="24"/>
      <c r="M1816" s="24"/>
    </row>
    <row r="1817" spans="1:13">
      <c r="A1817" s="14" t="str">
        <f t="shared" si="56"/>
        <v/>
      </c>
      <c r="C1817" s="120" t="s">
        <v>282</v>
      </c>
      <c r="D1817"/>
      <c r="E1817"/>
      <c r="F1817"/>
      <c r="G1817"/>
      <c r="H1817"/>
      <c r="I1817" s="21" t="str">
        <f t="shared" si="57"/>
        <v/>
      </c>
      <c r="L1817" s="24"/>
      <c r="M1817" s="24"/>
    </row>
    <row r="1818" spans="1:13">
      <c r="A1818" s="10" t="str">
        <f t="shared" si="56"/>
        <v/>
      </c>
      <c r="C1818" s="120" t="s">
        <v>284</v>
      </c>
      <c r="D1818"/>
      <c r="E1818"/>
      <c r="F1818"/>
      <c r="G1818"/>
      <c r="H1818"/>
      <c r="I1818" s="21" t="str">
        <f t="shared" si="57"/>
        <v/>
      </c>
      <c r="L1818" s="24"/>
      <c r="M1818" s="24"/>
    </row>
    <row r="1819" spans="1:13">
      <c r="A1819" s="14" t="str">
        <f t="shared" si="56"/>
        <v/>
      </c>
      <c r="C1819" s="120" t="s">
        <v>286</v>
      </c>
      <c r="D1819"/>
      <c r="E1819"/>
      <c r="F1819"/>
      <c r="G1819"/>
      <c r="H1819"/>
      <c r="I1819" s="21" t="str">
        <f t="shared" si="57"/>
        <v/>
      </c>
      <c r="L1819" s="24"/>
      <c r="M1819" s="24"/>
    </row>
    <row r="1820" spans="1:13">
      <c r="A1820" s="10" t="str">
        <f t="shared" si="56"/>
        <v/>
      </c>
      <c r="C1820" s="120" t="s">
        <v>126</v>
      </c>
      <c r="D1820"/>
      <c r="E1820"/>
      <c r="F1820"/>
      <c r="G1820"/>
      <c r="H1820"/>
      <c r="I1820" s="21" t="str">
        <f t="shared" si="57"/>
        <v/>
      </c>
      <c r="L1820" s="24"/>
      <c r="M1820" s="24"/>
    </row>
    <row r="1821" spans="1:13">
      <c r="A1821" s="14" t="str">
        <f t="shared" si="56"/>
        <v/>
      </c>
      <c r="C1821" s="120" t="s">
        <v>128</v>
      </c>
      <c r="D1821"/>
      <c r="E1821"/>
      <c r="F1821"/>
      <c r="G1821"/>
      <c r="H1821"/>
      <c r="I1821" s="21" t="str">
        <f t="shared" si="57"/>
        <v/>
      </c>
      <c r="L1821" s="24"/>
      <c r="M1821" s="24"/>
    </row>
    <row r="1822" spans="1:13">
      <c r="A1822" s="10" t="str">
        <f t="shared" si="56"/>
        <v/>
      </c>
      <c r="C1822" s="120" t="s">
        <v>280</v>
      </c>
      <c r="D1822"/>
      <c r="E1822"/>
      <c r="F1822"/>
      <c r="G1822"/>
      <c r="H1822"/>
      <c r="I1822" s="21" t="str">
        <f t="shared" si="57"/>
        <v/>
      </c>
      <c r="L1822" s="24"/>
      <c r="M1822" s="24"/>
    </row>
    <row r="1823" spans="1:13">
      <c r="A1823" s="14" t="str">
        <f t="shared" si="56"/>
        <v/>
      </c>
      <c r="C1823" s="120" t="s">
        <v>282</v>
      </c>
      <c r="D1823"/>
      <c r="E1823"/>
      <c r="F1823"/>
      <c r="G1823"/>
      <c r="H1823"/>
      <c r="I1823" s="21" t="str">
        <f t="shared" si="57"/>
        <v/>
      </c>
      <c r="L1823" s="24"/>
      <c r="M1823" s="24"/>
    </row>
    <row r="1824" spans="1:13">
      <c r="A1824" s="10" t="str">
        <f t="shared" si="56"/>
        <v/>
      </c>
      <c r="C1824" s="120" t="s">
        <v>284</v>
      </c>
      <c r="D1824"/>
      <c r="E1824"/>
      <c r="F1824"/>
      <c r="G1824"/>
      <c r="H1824"/>
      <c r="I1824" s="21" t="str">
        <f t="shared" si="57"/>
        <v/>
      </c>
      <c r="L1824" s="24"/>
      <c r="M1824" s="24"/>
    </row>
    <row r="1825" spans="1:13">
      <c r="A1825" s="14" t="str">
        <f t="shared" si="56"/>
        <v/>
      </c>
      <c r="C1825" s="120" t="s">
        <v>286</v>
      </c>
      <c r="D1825"/>
      <c r="E1825"/>
      <c r="F1825"/>
      <c r="G1825"/>
      <c r="H1825"/>
      <c r="I1825" s="21" t="str">
        <f t="shared" si="57"/>
        <v/>
      </c>
      <c r="L1825" s="24"/>
      <c r="M1825" s="24"/>
    </row>
    <row r="1826" spans="1:13">
      <c r="A1826" s="10" t="str">
        <f t="shared" si="56"/>
        <v/>
      </c>
      <c r="C1826" s="120" t="s">
        <v>126</v>
      </c>
      <c r="D1826"/>
      <c r="E1826"/>
      <c r="F1826"/>
      <c r="G1826"/>
      <c r="H1826"/>
      <c r="I1826" s="21" t="str">
        <f t="shared" si="57"/>
        <v/>
      </c>
      <c r="L1826" s="24"/>
      <c r="M1826" s="24"/>
    </row>
    <row r="1827" spans="1:13">
      <c r="A1827" s="14" t="str">
        <f t="shared" si="56"/>
        <v/>
      </c>
      <c r="C1827" s="120" t="s">
        <v>128</v>
      </c>
      <c r="D1827"/>
      <c r="E1827"/>
      <c r="F1827"/>
      <c r="G1827"/>
      <c r="H1827"/>
      <c r="I1827" s="21" t="str">
        <f t="shared" si="57"/>
        <v/>
      </c>
      <c r="L1827" s="24"/>
      <c r="M1827" s="24"/>
    </row>
    <row r="1828" spans="1:13">
      <c r="A1828" s="10" t="str">
        <f t="shared" si="56"/>
        <v/>
      </c>
      <c r="C1828" s="120" t="s">
        <v>280</v>
      </c>
      <c r="D1828"/>
      <c r="E1828"/>
      <c r="F1828"/>
      <c r="G1828"/>
      <c r="H1828"/>
      <c r="I1828" s="21" t="str">
        <f t="shared" si="57"/>
        <v/>
      </c>
      <c r="L1828" s="24"/>
      <c r="M1828" s="24"/>
    </row>
    <row r="1829" spans="1:13">
      <c r="A1829" s="14" t="str">
        <f t="shared" si="56"/>
        <v/>
      </c>
      <c r="C1829" s="120" t="s">
        <v>282</v>
      </c>
      <c r="D1829"/>
      <c r="E1829"/>
      <c r="F1829"/>
      <c r="G1829"/>
      <c r="H1829"/>
      <c r="I1829" s="21" t="str">
        <f t="shared" si="57"/>
        <v/>
      </c>
      <c r="L1829" s="24"/>
      <c r="M1829" s="24"/>
    </row>
    <row r="1830" spans="1:13">
      <c r="A1830" s="10" t="str">
        <f t="shared" si="56"/>
        <v/>
      </c>
      <c r="C1830" s="120" t="s">
        <v>284</v>
      </c>
      <c r="D1830"/>
      <c r="E1830"/>
      <c r="F1830"/>
      <c r="G1830"/>
      <c r="H1830"/>
      <c r="I1830" s="21" t="str">
        <f t="shared" si="57"/>
        <v/>
      </c>
      <c r="L1830" s="24"/>
      <c r="M1830" s="24"/>
    </row>
    <row r="1831" spans="1:13">
      <c r="A1831" s="14" t="str">
        <f t="shared" si="56"/>
        <v/>
      </c>
      <c r="C1831" s="120" t="s">
        <v>286</v>
      </c>
      <c r="D1831"/>
      <c r="E1831"/>
      <c r="F1831"/>
      <c r="G1831"/>
      <c r="H1831"/>
      <c r="I1831" s="21" t="str">
        <f t="shared" si="57"/>
        <v/>
      </c>
      <c r="L1831" s="24"/>
      <c r="M1831" s="24"/>
    </row>
    <row r="1832" spans="1:13">
      <c r="A1832" s="10" t="str">
        <f t="shared" si="56"/>
        <v/>
      </c>
      <c r="C1832" s="120" t="s">
        <v>126</v>
      </c>
      <c r="D1832"/>
      <c r="E1832"/>
      <c r="F1832"/>
      <c r="G1832"/>
      <c r="H1832"/>
      <c r="I1832" s="21" t="str">
        <f t="shared" si="57"/>
        <v/>
      </c>
      <c r="L1832" s="24"/>
      <c r="M1832" s="24"/>
    </row>
    <row r="1833" spans="1:13">
      <c r="A1833" s="14" t="str">
        <f t="shared" si="56"/>
        <v/>
      </c>
      <c r="C1833" s="120" t="s">
        <v>128</v>
      </c>
      <c r="D1833"/>
      <c r="E1833"/>
      <c r="F1833"/>
      <c r="G1833"/>
      <c r="H1833"/>
      <c r="I1833" s="21" t="str">
        <f t="shared" si="57"/>
        <v/>
      </c>
      <c r="L1833" s="24"/>
      <c r="M1833" s="24"/>
    </row>
    <row r="1834" spans="1:13">
      <c r="A1834" s="10" t="str">
        <f t="shared" si="56"/>
        <v/>
      </c>
      <c r="C1834" s="120" t="s">
        <v>280</v>
      </c>
      <c r="D1834"/>
      <c r="E1834"/>
      <c r="F1834"/>
      <c r="G1834"/>
      <c r="H1834"/>
      <c r="I1834" s="21" t="str">
        <f t="shared" si="57"/>
        <v/>
      </c>
      <c r="L1834" s="24"/>
      <c r="M1834" s="24"/>
    </row>
    <row r="1835" spans="1:13">
      <c r="A1835" s="14" t="str">
        <f t="shared" si="56"/>
        <v/>
      </c>
      <c r="C1835" s="120" t="s">
        <v>282</v>
      </c>
      <c r="D1835"/>
      <c r="E1835"/>
      <c r="F1835"/>
      <c r="G1835"/>
      <c r="H1835"/>
      <c r="I1835" s="21" t="str">
        <f t="shared" si="57"/>
        <v/>
      </c>
      <c r="L1835" s="24"/>
      <c r="M1835" s="24"/>
    </row>
    <row r="1836" spans="1:13">
      <c r="A1836" s="10" t="str">
        <f t="shared" si="56"/>
        <v/>
      </c>
      <c r="C1836" s="120" t="s">
        <v>284</v>
      </c>
      <c r="D1836"/>
      <c r="E1836"/>
      <c r="F1836"/>
      <c r="G1836"/>
      <c r="H1836"/>
      <c r="I1836" s="21" t="str">
        <f t="shared" si="57"/>
        <v/>
      </c>
      <c r="L1836" s="24"/>
      <c r="M1836" s="24"/>
    </row>
    <row r="1837" spans="1:13">
      <c r="A1837" s="14" t="str">
        <f t="shared" si="56"/>
        <v/>
      </c>
      <c r="C1837" s="120" t="s">
        <v>286</v>
      </c>
      <c r="D1837"/>
      <c r="E1837"/>
      <c r="F1837"/>
      <c r="G1837"/>
      <c r="H1837"/>
      <c r="I1837" s="21" t="str">
        <f t="shared" si="57"/>
        <v/>
      </c>
      <c r="L1837" s="24"/>
      <c r="M1837" s="24"/>
    </row>
    <row r="1838" spans="1:13">
      <c r="A1838" s="10" t="str">
        <f t="shared" si="56"/>
        <v/>
      </c>
      <c r="C1838" s="120" t="s">
        <v>126</v>
      </c>
      <c r="D1838"/>
      <c r="E1838"/>
      <c r="F1838"/>
      <c r="G1838"/>
      <c r="H1838"/>
      <c r="I1838" s="21" t="str">
        <f t="shared" si="57"/>
        <v/>
      </c>
      <c r="L1838" s="24"/>
      <c r="M1838" s="24"/>
    </row>
    <row r="1839" spans="1:13">
      <c r="A1839" s="14" t="str">
        <f t="shared" si="56"/>
        <v/>
      </c>
      <c r="C1839" s="120" t="s">
        <v>128</v>
      </c>
      <c r="D1839"/>
      <c r="E1839"/>
      <c r="F1839"/>
      <c r="G1839"/>
      <c r="H1839"/>
      <c r="I1839" s="21" t="str">
        <f t="shared" si="57"/>
        <v/>
      </c>
      <c r="L1839" s="24"/>
      <c r="M1839" s="24"/>
    </row>
    <row r="1840" spans="1:13">
      <c r="A1840" s="10" t="str">
        <f t="shared" si="56"/>
        <v/>
      </c>
      <c r="C1840" s="120" t="s">
        <v>280</v>
      </c>
      <c r="D1840"/>
      <c r="E1840"/>
      <c r="F1840"/>
      <c r="G1840"/>
      <c r="H1840"/>
      <c r="I1840" s="21" t="str">
        <f t="shared" si="57"/>
        <v/>
      </c>
      <c r="L1840" s="24"/>
      <c r="M1840" s="24"/>
    </row>
    <row r="1841" spans="1:13">
      <c r="A1841" s="14" t="str">
        <f t="shared" si="56"/>
        <v/>
      </c>
      <c r="C1841" s="120" t="s">
        <v>282</v>
      </c>
      <c r="D1841"/>
      <c r="E1841"/>
      <c r="F1841"/>
      <c r="G1841"/>
      <c r="H1841"/>
      <c r="I1841" s="21" t="str">
        <f t="shared" si="57"/>
        <v/>
      </c>
      <c r="L1841" s="24"/>
      <c r="M1841" s="24"/>
    </row>
    <row r="1842" spans="1:13">
      <c r="A1842" s="10" t="str">
        <f t="shared" si="56"/>
        <v/>
      </c>
      <c r="C1842" s="120" t="s">
        <v>284</v>
      </c>
      <c r="D1842"/>
      <c r="E1842"/>
      <c r="F1842"/>
      <c r="G1842"/>
      <c r="H1842"/>
      <c r="I1842" s="21" t="str">
        <f t="shared" si="57"/>
        <v/>
      </c>
      <c r="L1842" s="24"/>
      <c r="M1842" s="24"/>
    </row>
    <row r="1843" spans="1:13">
      <c r="A1843" s="14" t="str">
        <f t="shared" si="56"/>
        <v/>
      </c>
      <c r="C1843" s="120" t="s">
        <v>286</v>
      </c>
      <c r="D1843"/>
      <c r="E1843"/>
      <c r="F1843"/>
      <c r="G1843"/>
      <c r="H1843"/>
      <c r="I1843" s="21" t="str">
        <f t="shared" si="57"/>
        <v/>
      </c>
      <c r="L1843" s="24"/>
      <c r="M1843" s="24"/>
    </row>
    <row r="1844" spans="1:13">
      <c r="A1844" s="10" t="str">
        <f t="shared" si="56"/>
        <v/>
      </c>
      <c r="C1844" s="120" t="s">
        <v>126</v>
      </c>
      <c r="D1844"/>
      <c r="E1844"/>
      <c r="F1844"/>
      <c r="G1844"/>
      <c r="H1844"/>
      <c r="I1844" s="21" t="str">
        <f t="shared" si="57"/>
        <v/>
      </c>
      <c r="L1844" s="24"/>
      <c r="M1844" s="24"/>
    </row>
    <row r="1845" spans="1:13">
      <c r="A1845" s="14" t="str">
        <f t="shared" si="56"/>
        <v/>
      </c>
      <c r="C1845" s="120" t="s">
        <v>128</v>
      </c>
      <c r="D1845"/>
      <c r="E1845"/>
      <c r="F1845"/>
      <c r="G1845"/>
      <c r="H1845"/>
      <c r="I1845" s="21" t="str">
        <f t="shared" si="57"/>
        <v/>
      </c>
      <c r="L1845" s="24"/>
      <c r="M1845" s="24"/>
    </row>
    <row r="1846" spans="1:13">
      <c r="A1846" s="10" t="str">
        <f t="shared" si="56"/>
        <v/>
      </c>
      <c r="C1846" s="120" t="s">
        <v>280</v>
      </c>
      <c r="D1846"/>
      <c r="E1846"/>
      <c r="F1846"/>
      <c r="G1846"/>
      <c r="H1846"/>
      <c r="I1846" s="21" t="str">
        <f t="shared" si="57"/>
        <v/>
      </c>
      <c r="L1846" s="24"/>
      <c r="M1846" s="24"/>
    </row>
    <row r="1847" spans="1:13">
      <c r="A1847" s="14" t="str">
        <f t="shared" si="56"/>
        <v/>
      </c>
      <c r="C1847" s="120" t="s">
        <v>282</v>
      </c>
      <c r="D1847"/>
      <c r="E1847"/>
      <c r="F1847"/>
      <c r="G1847"/>
      <c r="H1847"/>
      <c r="I1847" s="21" t="str">
        <f t="shared" si="57"/>
        <v/>
      </c>
      <c r="L1847" s="24"/>
      <c r="M1847" s="24"/>
    </row>
    <row r="1848" spans="1:13">
      <c r="A1848" s="10" t="str">
        <f t="shared" si="56"/>
        <v/>
      </c>
      <c r="C1848" s="120" t="s">
        <v>284</v>
      </c>
      <c r="D1848"/>
      <c r="E1848"/>
      <c r="F1848"/>
      <c r="G1848"/>
      <c r="H1848"/>
      <c r="I1848" s="21" t="str">
        <f t="shared" si="57"/>
        <v/>
      </c>
      <c r="L1848" s="24"/>
      <c r="M1848" s="24"/>
    </row>
    <row r="1849" spans="1:13">
      <c r="A1849" s="14" t="str">
        <f t="shared" si="56"/>
        <v/>
      </c>
      <c r="C1849" s="120" t="s">
        <v>286</v>
      </c>
      <c r="D1849"/>
      <c r="E1849"/>
      <c r="F1849"/>
      <c r="G1849"/>
      <c r="H1849"/>
      <c r="I1849" s="21" t="str">
        <f t="shared" si="57"/>
        <v/>
      </c>
      <c r="L1849" s="24"/>
      <c r="M1849" s="24"/>
    </row>
    <row r="1850" spans="1:13">
      <c r="A1850" s="10" t="str">
        <f t="shared" si="56"/>
        <v/>
      </c>
      <c r="C1850" s="120" t="s">
        <v>126</v>
      </c>
      <c r="D1850"/>
      <c r="E1850"/>
      <c r="F1850"/>
      <c r="G1850"/>
      <c r="H1850"/>
      <c r="I1850" s="21" t="str">
        <f t="shared" si="57"/>
        <v/>
      </c>
      <c r="L1850" s="24"/>
      <c r="M1850" s="24"/>
    </row>
    <row r="1851" spans="1:13">
      <c r="A1851" s="14" t="str">
        <f t="shared" si="56"/>
        <v/>
      </c>
      <c r="C1851" s="120" t="s">
        <v>128</v>
      </c>
      <c r="D1851"/>
      <c r="E1851"/>
      <c r="F1851"/>
      <c r="G1851"/>
      <c r="H1851"/>
      <c r="I1851" s="21" t="str">
        <f t="shared" si="57"/>
        <v/>
      </c>
      <c r="L1851" s="24"/>
      <c r="M1851" s="24"/>
    </row>
    <row r="1852" spans="1:13">
      <c r="A1852" s="10" t="str">
        <f t="shared" si="56"/>
        <v/>
      </c>
      <c r="C1852" s="120" t="s">
        <v>280</v>
      </c>
      <c r="D1852"/>
      <c r="E1852"/>
      <c r="F1852"/>
      <c r="G1852"/>
      <c r="H1852"/>
      <c r="I1852" s="21" t="str">
        <f t="shared" si="57"/>
        <v/>
      </c>
      <c r="L1852" s="24"/>
      <c r="M1852" s="24"/>
    </row>
    <row r="1853" spans="1:13">
      <c r="A1853" s="14" t="str">
        <f t="shared" si="56"/>
        <v/>
      </c>
      <c r="C1853" s="120" t="s">
        <v>282</v>
      </c>
      <c r="D1853"/>
      <c r="E1853"/>
      <c r="F1853"/>
      <c r="G1853"/>
      <c r="H1853"/>
      <c r="I1853" s="21" t="str">
        <f t="shared" si="57"/>
        <v/>
      </c>
      <c r="L1853" s="24"/>
      <c r="M1853" s="24"/>
    </row>
    <row r="1854" spans="1:13">
      <c r="A1854" s="10" t="str">
        <f t="shared" si="56"/>
        <v/>
      </c>
      <c r="C1854" s="120" t="s">
        <v>284</v>
      </c>
      <c r="D1854"/>
      <c r="E1854"/>
      <c r="F1854"/>
      <c r="G1854"/>
      <c r="H1854"/>
      <c r="I1854" s="21" t="str">
        <f t="shared" si="57"/>
        <v/>
      </c>
      <c r="L1854" s="24"/>
      <c r="M1854" s="24"/>
    </row>
    <row r="1855" spans="1:13">
      <c r="A1855" s="14" t="str">
        <f t="shared" si="56"/>
        <v/>
      </c>
      <c r="C1855" s="120" t="s">
        <v>286</v>
      </c>
      <c r="D1855"/>
      <c r="E1855"/>
      <c r="F1855"/>
      <c r="G1855"/>
      <c r="H1855"/>
      <c r="I1855" s="21" t="str">
        <f t="shared" si="57"/>
        <v/>
      </c>
      <c r="L1855" s="24"/>
      <c r="M1855" s="24"/>
    </row>
    <row r="1856" spans="1:13">
      <c r="A1856" s="10" t="str">
        <f t="shared" si="56"/>
        <v/>
      </c>
      <c r="C1856" s="120" t="s">
        <v>126</v>
      </c>
      <c r="D1856"/>
      <c r="E1856"/>
      <c r="F1856"/>
      <c r="G1856"/>
      <c r="H1856"/>
      <c r="I1856" s="21" t="str">
        <f t="shared" si="57"/>
        <v/>
      </c>
      <c r="L1856" s="24"/>
      <c r="M1856" s="24"/>
    </row>
    <row r="1857" spans="1:13">
      <c r="A1857" s="14" t="str">
        <f t="shared" si="56"/>
        <v/>
      </c>
      <c r="C1857" s="120" t="s">
        <v>128</v>
      </c>
      <c r="D1857"/>
      <c r="E1857"/>
      <c r="F1857"/>
      <c r="G1857"/>
      <c r="H1857"/>
      <c r="I1857" s="21" t="str">
        <f t="shared" si="57"/>
        <v/>
      </c>
      <c r="L1857" s="24"/>
      <c r="M1857" s="24"/>
    </row>
    <row r="1858" spans="1:13">
      <c r="A1858" s="10" t="str">
        <f t="shared" ref="A1858:A1921" si="58">IF(B1858&lt;&gt;"",ROW()-1,"")</f>
        <v/>
      </c>
      <c r="C1858" s="120" t="s">
        <v>280</v>
      </c>
      <c r="D1858"/>
      <c r="E1858"/>
      <c r="F1858"/>
      <c r="G1858"/>
      <c r="H1858"/>
      <c r="I1858" s="21" t="str">
        <f t="shared" ref="I1858:I1921" si="59">IF(AND(G1858&lt;&gt;"",H1858&lt;&gt;""),H1858-G1858,"")</f>
        <v/>
      </c>
      <c r="L1858" s="24"/>
      <c r="M1858" s="24"/>
    </row>
    <row r="1859" spans="1:13">
      <c r="A1859" s="14" t="str">
        <f t="shared" si="58"/>
        <v/>
      </c>
      <c r="C1859" s="120" t="s">
        <v>282</v>
      </c>
      <c r="D1859"/>
      <c r="E1859"/>
      <c r="F1859"/>
      <c r="G1859"/>
      <c r="H1859"/>
      <c r="I1859" s="21" t="str">
        <f t="shared" si="59"/>
        <v/>
      </c>
      <c r="L1859" s="24"/>
      <c r="M1859" s="24"/>
    </row>
    <row r="1860" spans="1:13">
      <c r="A1860" s="10" t="str">
        <f t="shared" si="58"/>
        <v/>
      </c>
      <c r="C1860" s="120" t="s">
        <v>284</v>
      </c>
      <c r="D1860"/>
      <c r="E1860"/>
      <c r="F1860"/>
      <c r="G1860"/>
      <c r="H1860"/>
      <c r="I1860" s="21" t="str">
        <f t="shared" si="59"/>
        <v/>
      </c>
      <c r="L1860" s="24"/>
      <c r="M1860" s="24"/>
    </row>
    <row r="1861" spans="1:13">
      <c r="A1861" s="14" t="str">
        <f t="shared" si="58"/>
        <v/>
      </c>
      <c r="C1861" s="120" t="s">
        <v>286</v>
      </c>
      <c r="D1861"/>
      <c r="E1861"/>
      <c r="F1861"/>
      <c r="G1861"/>
      <c r="H1861"/>
      <c r="I1861" s="21" t="str">
        <f t="shared" si="59"/>
        <v/>
      </c>
      <c r="L1861" s="24"/>
      <c r="M1861" s="24"/>
    </row>
    <row r="1862" spans="1:13">
      <c r="A1862" s="10" t="str">
        <f t="shared" si="58"/>
        <v/>
      </c>
      <c r="C1862" s="120" t="s">
        <v>126</v>
      </c>
      <c r="D1862"/>
      <c r="E1862"/>
      <c r="F1862"/>
      <c r="G1862"/>
      <c r="H1862"/>
      <c r="I1862" s="21" t="str">
        <f t="shared" si="59"/>
        <v/>
      </c>
      <c r="L1862" s="24"/>
      <c r="M1862" s="24"/>
    </row>
    <row r="1863" spans="1:13">
      <c r="A1863" s="14" t="str">
        <f t="shared" si="58"/>
        <v/>
      </c>
      <c r="C1863" s="120" t="s">
        <v>128</v>
      </c>
      <c r="D1863"/>
      <c r="E1863"/>
      <c r="F1863"/>
      <c r="G1863"/>
      <c r="H1863"/>
      <c r="I1863" s="21" t="str">
        <f t="shared" si="59"/>
        <v/>
      </c>
      <c r="L1863" s="24"/>
      <c r="M1863" s="24"/>
    </row>
    <row r="1864" spans="1:13">
      <c r="A1864" s="10" t="str">
        <f t="shared" si="58"/>
        <v/>
      </c>
      <c r="C1864" s="120" t="s">
        <v>280</v>
      </c>
      <c r="D1864"/>
      <c r="E1864"/>
      <c r="F1864"/>
      <c r="G1864"/>
      <c r="H1864"/>
      <c r="I1864" s="21" t="str">
        <f t="shared" si="59"/>
        <v/>
      </c>
      <c r="L1864" s="24"/>
      <c r="M1864" s="24"/>
    </row>
    <row r="1865" spans="1:13">
      <c r="A1865" s="14" t="str">
        <f t="shared" si="58"/>
        <v/>
      </c>
      <c r="C1865" s="120" t="s">
        <v>282</v>
      </c>
      <c r="D1865"/>
      <c r="E1865"/>
      <c r="F1865"/>
      <c r="G1865"/>
      <c r="H1865"/>
      <c r="I1865" s="21" t="str">
        <f t="shared" si="59"/>
        <v/>
      </c>
      <c r="L1865" s="24"/>
      <c r="M1865" s="24"/>
    </row>
    <row r="1866" spans="1:13">
      <c r="A1866" s="10" t="str">
        <f t="shared" si="58"/>
        <v/>
      </c>
      <c r="C1866" s="120" t="s">
        <v>284</v>
      </c>
      <c r="D1866"/>
      <c r="E1866"/>
      <c r="F1866"/>
      <c r="G1866"/>
      <c r="H1866"/>
      <c r="I1866" s="21" t="str">
        <f t="shared" si="59"/>
        <v/>
      </c>
      <c r="L1866" s="24"/>
      <c r="M1866" s="24"/>
    </row>
    <row r="1867" spans="1:13">
      <c r="A1867" s="14" t="str">
        <f t="shared" si="58"/>
        <v/>
      </c>
      <c r="C1867" s="120" t="s">
        <v>286</v>
      </c>
      <c r="D1867"/>
      <c r="E1867"/>
      <c r="F1867"/>
      <c r="G1867"/>
      <c r="H1867"/>
      <c r="I1867" s="21" t="str">
        <f t="shared" si="59"/>
        <v/>
      </c>
      <c r="L1867" s="24"/>
      <c r="M1867" s="24"/>
    </row>
    <row r="1868" spans="1:13">
      <c r="A1868" s="10" t="str">
        <f t="shared" si="58"/>
        <v/>
      </c>
      <c r="C1868" s="120" t="s">
        <v>126</v>
      </c>
      <c r="D1868"/>
      <c r="E1868"/>
      <c r="F1868"/>
      <c r="G1868"/>
      <c r="H1868"/>
      <c r="I1868" s="21" t="str">
        <f t="shared" si="59"/>
        <v/>
      </c>
      <c r="L1868" s="24"/>
      <c r="M1868" s="24"/>
    </row>
    <row r="1869" spans="1:13">
      <c r="A1869" s="14" t="str">
        <f t="shared" si="58"/>
        <v/>
      </c>
      <c r="C1869" s="120" t="s">
        <v>128</v>
      </c>
      <c r="D1869"/>
      <c r="E1869"/>
      <c r="F1869"/>
      <c r="G1869"/>
      <c r="H1869"/>
      <c r="I1869" s="21" t="str">
        <f t="shared" si="59"/>
        <v/>
      </c>
      <c r="L1869" s="24"/>
      <c r="M1869" s="24"/>
    </row>
    <row r="1870" spans="1:13">
      <c r="A1870" s="10" t="str">
        <f t="shared" si="58"/>
        <v/>
      </c>
      <c r="C1870" s="120" t="s">
        <v>280</v>
      </c>
      <c r="D1870"/>
      <c r="E1870"/>
      <c r="F1870"/>
      <c r="G1870"/>
      <c r="H1870"/>
      <c r="I1870" s="21" t="str">
        <f t="shared" si="59"/>
        <v/>
      </c>
      <c r="L1870" s="24"/>
      <c r="M1870" s="24"/>
    </row>
    <row r="1871" spans="1:13">
      <c r="A1871" s="14" t="str">
        <f t="shared" si="58"/>
        <v/>
      </c>
      <c r="C1871" s="120" t="s">
        <v>282</v>
      </c>
      <c r="D1871"/>
      <c r="E1871"/>
      <c r="F1871"/>
      <c r="G1871"/>
      <c r="H1871"/>
      <c r="I1871" s="21" t="str">
        <f t="shared" si="59"/>
        <v/>
      </c>
      <c r="L1871" s="24"/>
      <c r="M1871" s="24"/>
    </row>
    <row r="1872" spans="1:13">
      <c r="A1872" s="10" t="str">
        <f t="shared" si="58"/>
        <v/>
      </c>
      <c r="C1872" s="120" t="s">
        <v>284</v>
      </c>
      <c r="D1872"/>
      <c r="E1872"/>
      <c r="F1872"/>
      <c r="G1872"/>
      <c r="H1872"/>
      <c r="I1872" s="21" t="str">
        <f t="shared" si="59"/>
        <v/>
      </c>
      <c r="L1872" s="24"/>
      <c r="M1872" s="24"/>
    </row>
    <row r="1873" spans="1:13">
      <c r="A1873" s="14" t="str">
        <f t="shared" si="58"/>
        <v/>
      </c>
      <c r="C1873" s="120" t="s">
        <v>286</v>
      </c>
      <c r="D1873"/>
      <c r="E1873"/>
      <c r="F1873"/>
      <c r="G1873"/>
      <c r="H1873"/>
      <c r="I1873" s="21" t="str">
        <f t="shared" si="59"/>
        <v/>
      </c>
      <c r="L1873" s="24"/>
      <c r="M1873" s="24"/>
    </row>
    <row r="1874" spans="1:13">
      <c r="A1874" s="10" t="str">
        <f t="shared" si="58"/>
        <v/>
      </c>
      <c r="C1874" s="120" t="s">
        <v>126</v>
      </c>
      <c r="D1874"/>
      <c r="E1874"/>
      <c r="F1874"/>
      <c r="G1874"/>
      <c r="H1874"/>
      <c r="I1874" s="21" t="str">
        <f t="shared" si="59"/>
        <v/>
      </c>
      <c r="L1874" s="24"/>
      <c r="M1874" s="24"/>
    </row>
    <row r="1875" spans="1:13">
      <c r="A1875" s="14" t="str">
        <f t="shared" si="58"/>
        <v/>
      </c>
      <c r="C1875" s="120" t="s">
        <v>128</v>
      </c>
      <c r="D1875"/>
      <c r="E1875"/>
      <c r="F1875"/>
      <c r="G1875"/>
      <c r="H1875"/>
      <c r="I1875" s="21" t="str">
        <f t="shared" si="59"/>
        <v/>
      </c>
      <c r="L1875" s="24"/>
      <c r="M1875" s="24"/>
    </row>
    <row r="1876" spans="1:13">
      <c r="A1876" s="10" t="str">
        <f t="shared" si="58"/>
        <v/>
      </c>
      <c r="C1876" s="120" t="s">
        <v>280</v>
      </c>
      <c r="D1876"/>
      <c r="E1876"/>
      <c r="F1876"/>
      <c r="G1876"/>
      <c r="H1876"/>
      <c r="I1876" s="21" t="str">
        <f t="shared" si="59"/>
        <v/>
      </c>
      <c r="L1876" s="24"/>
      <c r="M1876" s="24"/>
    </row>
    <row r="1877" spans="1:13">
      <c r="A1877" s="14" t="str">
        <f t="shared" si="58"/>
        <v/>
      </c>
      <c r="C1877" s="120" t="s">
        <v>282</v>
      </c>
      <c r="D1877"/>
      <c r="E1877"/>
      <c r="F1877"/>
      <c r="G1877"/>
      <c r="H1877"/>
      <c r="I1877" s="21" t="str">
        <f t="shared" si="59"/>
        <v/>
      </c>
      <c r="L1877" s="24"/>
      <c r="M1877" s="24"/>
    </row>
    <row r="1878" spans="1:13">
      <c r="A1878" s="10" t="str">
        <f t="shared" si="58"/>
        <v/>
      </c>
      <c r="C1878" s="120" t="s">
        <v>284</v>
      </c>
      <c r="D1878"/>
      <c r="E1878"/>
      <c r="F1878"/>
      <c r="G1878"/>
      <c r="H1878"/>
      <c r="I1878" s="21" t="str">
        <f t="shared" si="59"/>
        <v/>
      </c>
      <c r="L1878" s="24"/>
      <c r="M1878" s="24"/>
    </row>
    <row r="1879" spans="1:13">
      <c r="A1879" s="14" t="str">
        <f t="shared" si="58"/>
        <v/>
      </c>
      <c r="C1879" s="120" t="s">
        <v>286</v>
      </c>
      <c r="D1879"/>
      <c r="E1879"/>
      <c r="F1879"/>
      <c r="G1879"/>
      <c r="H1879"/>
      <c r="I1879" s="21" t="str">
        <f t="shared" si="59"/>
        <v/>
      </c>
      <c r="L1879" s="24"/>
      <c r="M1879" s="24"/>
    </row>
    <row r="1880" spans="1:13">
      <c r="A1880" s="10" t="str">
        <f t="shared" si="58"/>
        <v/>
      </c>
      <c r="C1880" s="120" t="s">
        <v>126</v>
      </c>
      <c r="D1880"/>
      <c r="E1880"/>
      <c r="F1880"/>
      <c r="G1880"/>
      <c r="H1880"/>
      <c r="I1880" s="21" t="str">
        <f t="shared" si="59"/>
        <v/>
      </c>
      <c r="L1880" s="24"/>
      <c r="M1880" s="24"/>
    </row>
    <row r="1881" spans="1:13">
      <c r="A1881" s="14" t="str">
        <f t="shared" si="58"/>
        <v/>
      </c>
      <c r="C1881" s="120" t="s">
        <v>128</v>
      </c>
      <c r="D1881"/>
      <c r="E1881"/>
      <c r="F1881"/>
      <c r="G1881"/>
      <c r="H1881"/>
      <c r="I1881" s="21" t="str">
        <f t="shared" si="59"/>
        <v/>
      </c>
      <c r="L1881" s="24"/>
      <c r="M1881" s="24"/>
    </row>
    <row r="1882" spans="1:13">
      <c r="A1882" s="10" t="str">
        <f t="shared" si="58"/>
        <v/>
      </c>
      <c r="C1882" s="120" t="s">
        <v>280</v>
      </c>
      <c r="D1882"/>
      <c r="E1882"/>
      <c r="F1882"/>
      <c r="G1882"/>
      <c r="H1882"/>
      <c r="I1882" s="21" t="str">
        <f t="shared" si="59"/>
        <v/>
      </c>
      <c r="L1882" s="24"/>
      <c r="M1882" s="24"/>
    </row>
    <row r="1883" spans="1:13">
      <c r="A1883" s="14" t="str">
        <f t="shared" si="58"/>
        <v/>
      </c>
      <c r="C1883" s="120" t="s">
        <v>282</v>
      </c>
      <c r="D1883"/>
      <c r="E1883"/>
      <c r="F1883"/>
      <c r="G1883"/>
      <c r="H1883"/>
      <c r="I1883" s="21" t="str">
        <f t="shared" si="59"/>
        <v/>
      </c>
      <c r="L1883" s="24"/>
      <c r="M1883" s="24"/>
    </row>
    <row r="1884" spans="1:13">
      <c r="A1884" s="10" t="str">
        <f t="shared" si="58"/>
        <v/>
      </c>
      <c r="C1884" s="120" t="s">
        <v>284</v>
      </c>
      <c r="D1884"/>
      <c r="E1884"/>
      <c r="F1884"/>
      <c r="G1884"/>
      <c r="H1884"/>
      <c r="I1884" s="21" t="str">
        <f t="shared" si="59"/>
        <v/>
      </c>
      <c r="L1884" s="24"/>
      <c r="M1884" s="24"/>
    </row>
    <row r="1885" spans="1:13">
      <c r="A1885" s="14" t="str">
        <f t="shared" si="58"/>
        <v/>
      </c>
      <c r="C1885" s="120" t="s">
        <v>286</v>
      </c>
      <c r="D1885"/>
      <c r="E1885"/>
      <c r="F1885"/>
      <c r="G1885"/>
      <c r="H1885"/>
      <c r="I1885" s="21" t="str">
        <f t="shared" si="59"/>
        <v/>
      </c>
      <c r="L1885" s="24"/>
      <c r="M1885" s="24"/>
    </row>
    <row r="1886" spans="1:13">
      <c r="A1886" s="10" t="str">
        <f t="shared" si="58"/>
        <v/>
      </c>
      <c r="C1886" s="120" t="s">
        <v>126</v>
      </c>
      <c r="D1886"/>
      <c r="E1886"/>
      <c r="F1886"/>
      <c r="G1886"/>
      <c r="H1886"/>
      <c r="I1886" s="21" t="str">
        <f t="shared" si="59"/>
        <v/>
      </c>
      <c r="L1886" s="24"/>
      <c r="M1886" s="24"/>
    </row>
    <row r="1887" spans="1:13">
      <c r="A1887" s="14" t="str">
        <f t="shared" si="58"/>
        <v/>
      </c>
      <c r="C1887" s="120" t="s">
        <v>128</v>
      </c>
      <c r="D1887"/>
      <c r="E1887"/>
      <c r="F1887"/>
      <c r="G1887"/>
      <c r="H1887"/>
      <c r="I1887" s="21" t="str">
        <f t="shared" si="59"/>
        <v/>
      </c>
      <c r="L1887" s="24"/>
      <c r="M1887" s="24"/>
    </row>
    <row r="1888" spans="1:13">
      <c r="A1888" s="10" t="str">
        <f t="shared" si="58"/>
        <v/>
      </c>
      <c r="C1888" s="120" t="s">
        <v>280</v>
      </c>
      <c r="D1888"/>
      <c r="E1888"/>
      <c r="F1888"/>
      <c r="G1888"/>
      <c r="H1888"/>
      <c r="I1888" s="21" t="str">
        <f t="shared" si="59"/>
        <v/>
      </c>
      <c r="L1888" s="24"/>
      <c r="M1888" s="24"/>
    </row>
    <row r="1889" spans="1:13">
      <c r="A1889" s="14" t="str">
        <f t="shared" si="58"/>
        <v/>
      </c>
      <c r="C1889" s="120" t="s">
        <v>282</v>
      </c>
      <c r="D1889"/>
      <c r="E1889"/>
      <c r="F1889"/>
      <c r="G1889"/>
      <c r="H1889"/>
      <c r="I1889" s="21" t="str">
        <f t="shared" si="59"/>
        <v/>
      </c>
      <c r="L1889" s="24"/>
      <c r="M1889" s="24"/>
    </row>
    <row r="1890" spans="1:13">
      <c r="A1890" s="10" t="str">
        <f t="shared" si="58"/>
        <v/>
      </c>
      <c r="C1890" s="120" t="s">
        <v>284</v>
      </c>
      <c r="D1890"/>
      <c r="E1890"/>
      <c r="F1890"/>
      <c r="G1890"/>
      <c r="H1890"/>
      <c r="I1890" s="21" t="str">
        <f t="shared" si="59"/>
        <v/>
      </c>
      <c r="L1890" s="24"/>
      <c r="M1890" s="24"/>
    </row>
    <row r="1891" spans="1:13">
      <c r="A1891" s="14" t="str">
        <f t="shared" si="58"/>
        <v/>
      </c>
      <c r="C1891" s="120" t="s">
        <v>286</v>
      </c>
      <c r="D1891"/>
      <c r="E1891"/>
      <c r="F1891"/>
      <c r="G1891"/>
      <c r="H1891"/>
      <c r="I1891" s="21" t="str">
        <f t="shared" si="59"/>
        <v/>
      </c>
      <c r="L1891" s="24"/>
      <c r="M1891" s="24"/>
    </row>
    <row r="1892" spans="1:13">
      <c r="A1892" s="10" t="str">
        <f t="shared" si="58"/>
        <v/>
      </c>
      <c r="C1892" s="120" t="s">
        <v>126</v>
      </c>
      <c r="D1892"/>
      <c r="E1892"/>
      <c r="F1892"/>
      <c r="G1892"/>
      <c r="H1892"/>
      <c r="I1892" s="21" t="str">
        <f t="shared" si="59"/>
        <v/>
      </c>
      <c r="L1892" s="24"/>
      <c r="M1892" s="24"/>
    </row>
    <row r="1893" spans="1:13">
      <c r="A1893" s="14" t="str">
        <f t="shared" si="58"/>
        <v/>
      </c>
      <c r="C1893" s="120" t="s">
        <v>128</v>
      </c>
      <c r="D1893"/>
      <c r="E1893"/>
      <c r="F1893"/>
      <c r="G1893"/>
      <c r="H1893"/>
      <c r="I1893" s="21" t="str">
        <f t="shared" si="59"/>
        <v/>
      </c>
      <c r="L1893" s="24"/>
      <c r="M1893" s="24"/>
    </row>
    <row r="1894" spans="1:13">
      <c r="A1894" s="10" t="str">
        <f t="shared" si="58"/>
        <v/>
      </c>
      <c r="C1894" s="120" t="s">
        <v>280</v>
      </c>
      <c r="D1894"/>
      <c r="E1894"/>
      <c r="F1894"/>
      <c r="G1894"/>
      <c r="H1894"/>
      <c r="I1894" s="21" t="str">
        <f t="shared" si="59"/>
        <v/>
      </c>
      <c r="L1894" s="24"/>
      <c r="M1894" s="24"/>
    </row>
    <row r="1895" spans="1:13">
      <c r="A1895" s="14" t="str">
        <f t="shared" si="58"/>
        <v/>
      </c>
      <c r="C1895" s="120" t="s">
        <v>282</v>
      </c>
      <c r="D1895"/>
      <c r="E1895"/>
      <c r="F1895"/>
      <c r="G1895"/>
      <c r="H1895"/>
      <c r="I1895" s="21" t="str">
        <f t="shared" si="59"/>
        <v/>
      </c>
      <c r="L1895" s="24"/>
      <c r="M1895" s="24"/>
    </row>
    <row r="1896" spans="1:13">
      <c r="A1896" s="10" t="str">
        <f t="shared" si="58"/>
        <v/>
      </c>
      <c r="C1896" s="120" t="s">
        <v>284</v>
      </c>
      <c r="D1896"/>
      <c r="E1896"/>
      <c r="F1896"/>
      <c r="G1896"/>
      <c r="H1896"/>
      <c r="I1896" s="21" t="str">
        <f t="shared" si="59"/>
        <v/>
      </c>
      <c r="L1896" s="24"/>
      <c r="M1896" s="24"/>
    </row>
    <row r="1897" spans="1:13">
      <c r="A1897" s="14" t="str">
        <f t="shared" si="58"/>
        <v/>
      </c>
      <c r="C1897" s="120" t="s">
        <v>286</v>
      </c>
      <c r="D1897"/>
      <c r="E1897"/>
      <c r="F1897"/>
      <c r="G1897"/>
      <c r="H1897"/>
      <c r="I1897" s="21" t="str">
        <f t="shared" si="59"/>
        <v/>
      </c>
      <c r="L1897" s="24"/>
      <c r="M1897" s="24"/>
    </row>
    <row r="1898" spans="1:13">
      <c r="A1898" s="10" t="str">
        <f t="shared" si="58"/>
        <v/>
      </c>
      <c r="C1898" s="120" t="s">
        <v>126</v>
      </c>
      <c r="D1898"/>
      <c r="E1898"/>
      <c r="F1898"/>
      <c r="G1898"/>
      <c r="H1898"/>
      <c r="I1898" s="21" t="str">
        <f t="shared" si="59"/>
        <v/>
      </c>
      <c r="L1898" s="24"/>
      <c r="M1898" s="24"/>
    </row>
    <row r="1899" spans="1:13">
      <c r="A1899" s="14" t="str">
        <f t="shared" si="58"/>
        <v/>
      </c>
      <c r="C1899" s="120" t="s">
        <v>128</v>
      </c>
      <c r="D1899"/>
      <c r="E1899"/>
      <c r="F1899"/>
      <c r="G1899"/>
      <c r="H1899"/>
      <c r="I1899" s="21" t="str">
        <f t="shared" si="59"/>
        <v/>
      </c>
      <c r="L1899" s="24"/>
      <c r="M1899" s="24"/>
    </row>
    <row r="1900" spans="1:13">
      <c r="A1900" s="10" t="str">
        <f t="shared" si="58"/>
        <v/>
      </c>
      <c r="C1900" s="120" t="s">
        <v>280</v>
      </c>
      <c r="D1900"/>
      <c r="E1900"/>
      <c r="F1900"/>
      <c r="G1900"/>
      <c r="H1900"/>
      <c r="I1900" s="21" t="str">
        <f t="shared" si="59"/>
        <v/>
      </c>
      <c r="L1900" s="24"/>
      <c r="M1900" s="24"/>
    </row>
    <row r="1901" spans="1:13">
      <c r="A1901" s="14" t="str">
        <f t="shared" si="58"/>
        <v/>
      </c>
      <c r="C1901" s="120" t="s">
        <v>282</v>
      </c>
      <c r="D1901"/>
      <c r="E1901"/>
      <c r="F1901"/>
      <c r="G1901"/>
      <c r="H1901"/>
      <c r="I1901" s="21" t="str">
        <f t="shared" si="59"/>
        <v/>
      </c>
      <c r="L1901" s="24"/>
      <c r="M1901" s="24"/>
    </row>
    <row r="1902" spans="1:13">
      <c r="A1902" s="10" t="str">
        <f t="shared" si="58"/>
        <v/>
      </c>
      <c r="C1902" s="120" t="s">
        <v>284</v>
      </c>
      <c r="D1902"/>
      <c r="E1902"/>
      <c r="F1902"/>
      <c r="G1902"/>
      <c r="H1902"/>
      <c r="I1902" s="21" t="str">
        <f t="shared" si="59"/>
        <v/>
      </c>
      <c r="L1902" s="24"/>
      <c r="M1902" s="24"/>
    </row>
    <row r="1903" spans="1:13">
      <c r="A1903" s="14" t="str">
        <f t="shared" si="58"/>
        <v/>
      </c>
      <c r="C1903" s="120" t="s">
        <v>286</v>
      </c>
      <c r="D1903"/>
      <c r="E1903"/>
      <c r="F1903"/>
      <c r="G1903"/>
      <c r="H1903"/>
      <c r="I1903" s="21" t="str">
        <f t="shared" si="59"/>
        <v/>
      </c>
      <c r="L1903" s="24"/>
      <c r="M1903" s="24"/>
    </row>
    <row r="1904" spans="1:13">
      <c r="A1904" s="10" t="str">
        <f t="shared" si="58"/>
        <v/>
      </c>
      <c r="C1904" s="120" t="s">
        <v>126</v>
      </c>
      <c r="D1904"/>
      <c r="E1904"/>
      <c r="F1904"/>
      <c r="G1904"/>
      <c r="H1904"/>
      <c r="I1904" s="21" t="str">
        <f t="shared" si="59"/>
        <v/>
      </c>
      <c r="L1904" s="24"/>
      <c r="M1904" s="24"/>
    </row>
    <row r="1905" spans="1:13">
      <c r="A1905" s="14" t="str">
        <f t="shared" si="58"/>
        <v/>
      </c>
      <c r="C1905" s="120" t="s">
        <v>128</v>
      </c>
      <c r="D1905"/>
      <c r="E1905"/>
      <c r="F1905"/>
      <c r="G1905"/>
      <c r="H1905"/>
      <c r="I1905" s="21" t="str">
        <f t="shared" si="59"/>
        <v/>
      </c>
      <c r="L1905" s="24"/>
      <c r="M1905" s="24"/>
    </row>
    <row r="1906" spans="1:13">
      <c r="A1906" s="10" t="str">
        <f t="shared" si="58"/>
        <v/>
      </c>
      <c r="C1906" s="120" t="s">
        <v>280</v>
      </c>
      <c r="D1906"/>
      <c r="E1906"/>
      <c r="F1906"/>
      <c r="G1906"/>
      <c r="H1906"/>
      <c r="I1906" s="21" t="str">
        <f t="shared" si="59"/>
        <v/>
      </c>
      <c r="L1906" s="24"/>
      <c r="M1906" s="24"/>
    </row>
    <row r="1907" spans="1:13">
      <c r="A1907" s="14" t="str">
        <f t="shared" si="58"/>
        <v/>
      </c>
      <c r="C1907" s="120" t="s">
        <v>282</v>
      </c>
      <c r="D1907"/>
      <c r="E1907"/>
      <c r="F1907"/>
      <c r="G1907"/>
      <c r="H1907"/>
      <c r="I1907" s="21" t="str">
        <f t="shared" si="59"/>
        <v/>
      </c>
      <c r="L1907" s="24"/>
      <c r="M1907" s="24"/>
    </row>
    <row r="1908" spans="1:13">
      <c r="A1908" s="10" t="str">
        <f t="shared" si="58"/>
        <v/>
      </c>
      <c r="C1908" s="120" t="s">
        <v>284</v>
      </c>
      <c r="D1908"/>
      <c r="E1908"/>
      <c r="F1908"/>
      <c r="G1908"/>
      <c r="H1908"/>
      <c r="I1908" s="21" t="str">
        <f t="shared" si="59"/>
        <v/>
      </c>
      <c r="L1908" s="24"/>
      <c r="M1908" s="24"/>
    </row>
    <row r="1909" spans="1:13">
      <c r="A1909" s="14" t="str">
        <f t="shared" si="58"/>
        <v/>
      </c>
      <c r="C1909" s="120" t="s">
        <v>286</v>
      </c>
      <c r="D1909"/>
      <c r="E1909"/>
      <c r="F1909"/>
      <c r="G1909"/>
      <c r="H1909"/>
      <c r="I1909" s="21" t="str">
        <f t="shared" si="59"/>
        <v/>
      </c>
      <c r="L1909" s="24"/>
      <c r="M1909" s="24"/>
    </row>
    <row r="1910" spans="1:13">
      <c r="A1910" s="10" t="str">
        <f t="shared" si="58"/>
        <v/>
      </c>
      <c r="C1910" s="120" t="s">
        <v>126</v>
      </c>
      <c r="D1910"/>
      <c r="E1910"/>
      <c r="F1910"/>
      <c r="G1910"/>
      <c r="H1910"/>
      <c r="I1910" s="21" t="str">
        <f t="shared" si="59"/>
        <v/>
      </c>
      <c r="L1910" s="24"/>
      <c r="M1910" s="24"/>
    </row>
    <row r="1911" spans="1:13">
      <c r="A1911" s="14" t="str">
        <f t="shared" si="58"/>
        <v/>
      </c>
      <c r="C1911" s="120" t="s">
        <v>128</v>
      </c>
      <c r="D1911"/>
      <c r="E1911"/>
      <c r="F1911"/>
      <c r="G1911"/>
      <c r="H1911"/>
      <c r="I1911" s="21" t="str">
        <f t="shared" si="59"/>
        <v/>
      </c>
      <c r="L1911" s="24"/>
      <c r="M1911" s="24"/>
    </row>
    <row r="1912" spans="1:13">
      <c r="A1912" s="10" t="str">
        <f t="shared" si="58"/>
        <v/>
      </c>
      <c r="C1912" s="120" t="s">
        <v>280</v>
      </c>
      <c r="D1912"/>
      <c r="E1912"/>
      <c r="F1912"/>
      <c r="G1912"/>
      <c r="H1912"/>
      <c r="I1912" s="21" t="str">
        <f t="shared" si="59"/>
        <v/>
      </c>
      <c r="L1912" s="24"/>
      <c r="M1912" s="24"/>
    </row>
    <row r="1913" spans="1:13">
      <c r="A1913" s="14" t="str">
        <f t="shared" si="58"/>
        <v/>
      </c>
      <c r="C1913" s="120" t="s">
        <v>282</v>
      </c>
      <c r="D1913"/>
      <c r="E1913"/>
      <c r="F1913"/>
      <c r="G1913"/>
      <c r="H1913"/>
      <c r="I1913" s="21" t="str">
        <f t="shared" si="59"/>
        <v/>
      </c>
      <c r="L1913" s="24"/>
      <c r="M1913" s="24"/>
    </row>
    <row r="1914" spans="1:13">
      <c r="A1914" s="10" t="str">
        <f t="shared" si="58"/>
        <v/>
      </c>
      <c r="C1914" s="120" t="s">
        <v>284</v>
      </c>
      <c r="D1914"/>
      <c r="E1914"/>
      <c r="F1914"/>
      <c r="G1914"/>
      <c r="H1914"/>
      <c r="I1914" s="21" t="str">
        <f t="shared" si="59"/>
        <v/>
      </c>
      <c r="L1914" s="24"/>
      <c r="M1914" s="24"/>
    </row>
    <row r="1915" spans="1:13">
      <c r="A1915" s="14" t="str">
        <f t="shared" si="58"/>
        <v/>
      </c>
      <c r="C1915" s="120" t="s">
        <v>286</v>
      </c>
      <c r="D1915"/>
      <c r="E1915"/>
      <c r="F1915"/>
      <c r="G1915"/>
      <c r="H1915"/>
      <c r="I1915" s="21" t="str">
        <f t="shared" si="59"/>
        <v/>
      </c>
      <c r="L1915" s="24"/>
      <c r="M1915" s="24"/>
    </row>
    <row r="1916" spans="1:13">
      <c r="A1916" s="10" t="str">
        <f t="shared" si="58"/>
        <v/>
      </c>
      <c r="C1916" s="120" t="s">
        <v>126</v>
      </c>
      <c r="D1916"/>
      <c r="E1916"/>
      <c r="F1916"/>
      <c r="G1916"/>
      <c r="H1916"/>
      <c r="I1916" s="21" t="str">
        <f t="shared" si="59"/>
        <v/>
      </c>
      <c r="L1916" s="24"/>
      <c r="M1916" s="24"/>
    </row>
    <row r="1917" spans="1:13">
      <c r="A1917" s="14" t="str">
        <f t="shared" si="58"/>
        <v/>
      </c>
      <c r="C1917" s="120" t="s">
        <v>128</v>
      </c>
      <c r="D1917"/>
      <c r="E1917"/>
      <c r="F1917"/>
      <c r="G1917"/>
      <c r="H1917"/>
      <c r="I1917" s="21" t="str">
        <f t="shared" si="59"/>
        <v/>
      </c>
      <c r="L1917" s="24"/>
      <c r="M1917" s="24"/>
    </row>
    <row r="1918" spans="1:13">
      <c r="A1918" s="10" t="str">
        <f t="shared" si="58"/>
        <v/>
      </c>
      <c r="C1918" s="120" t="s">
        <v>280</v>
      </c>
      <c r="D1918"/>
      <c r="E1918"/>
      <c r="F1918"/>
      <c r="G1918"/>
      <c r="H1918"/>
      <c r="I1918" s="21" t="str">
        <f t="shared" si="59"/>
        <v/>
      </c>
      <c r="L1918" s="24"/>
      <c r="M1918" s="24"/>
    </row>
    <row r="1919" spans="1:13">
      <c r="A1919" s="14" t="str">
        <f t="shared" si="58"/>
        <v/>
      </c>
      <c r="C1919" s="120" t="s">
        <v>282</v>
      </c>
      <c r="D1919"/>
      <c r="E1919"/>
      <c r="F1919"/>
      <c r="G1919"/>
      <c r="H1919"/>
      <c r="I1919" s="21" t="str">
        <f t="shared" si="59"/>
        <v/>
      </c>
      <c r="L1919" s="24"/>
      <c r="M1919" s="24"/>
    </row>
    <row r="1920" spans="1:13">
      <c r="A1920" s="10" t="str">
        <f t="shared" si="58"/>
        <v/>
      </c>
      <c r="C1920" s="120" t="s">
        <v>284</v>
      </c>
      <c r="D1920"/>
      <c r="E1920"/>
      <c r="F1920"/>
      <c r="G1920"/>
      <c r="H1920"/>
      <c r="I1920" s="21" t="str">
        <f t="shared" si="59"/>
        <v/>
      </c>
      <c r="L1920" s="24"/>
      <c r="M1920" s="24"/>
    </row>
    <row r="1921" spans="1:13">
      <c r="A1921" s="14" t="str">
        <f t="shared" si="58"/>
        <v/>
      </c>
      <c r="C1921" s="120" t="s">
        <v>286</v>
      </c>
      <c r="D1921"/>
      <c r="E1921"/>
      <c r="F1921"/>
      <c r="G1921"/>
      <c r="H1921"/>
      <c r="I1921" s="21" t="str">
        <f t="shared" si="59"/>
        <v/>
      </c>
      <c r="L1921" s="24"/>
      <c r="M1921" s="24"/>
    </row>
    <row r="1922" spans="1:13">
      <c r="A1922" s="10" t="str">
        <f t="shared" ref="A1922:A1985" si="60">IF(B1922&lt;&gt;"",ROW()-1,"")</f>
        <v/>
      </c>
      <c r="C1922" s="120" t="s">
        <v>126</v>
      </c>
      <c r="D1922"/>
      <c r="E1922"/>
      <c r="F1922"/>
      <c r="G1922"/>
      <c r="H1922"/>
      <c r="I1922" s="21" t="str">
        <f t="shared" ref="I1922:I1985" si="61">IF(AND(G1922&lt;&gt;"",H1922&lt;&gt;""),H1922-G1922,"")</f>
        <v/>
      </c>
      <c r="L1922" s="24"/>
      <c r="M1922" s="24"/>
    </row>
    <row r="1923" spans="1:13">
      <c r="A1923" s="14" t="str">
        <f t="shared" si="60"/>
        <v/>
      </c>
      <c r="C1923" s="120" t="s">
        <v>128</v>
      </c>
      <c r="D1923"/>
      <c r="E1923"/>
      <c r="F1923"/>
      <c r="G1923"/>
      <c r="H1923"/>
      <c r="I1923" s="21" t="str">
        <f t="shared" si="61"/>
        <v/>
      </c>
      <c r="L1923" s="24"/>
      <c r="M1923" s="24"/>
    </row>
    <row r="1924" spans="1:13">
      <c r="A1924" s="10" t="str">
        <f t="shared" si="60"/>
        <v/>
      </c>
      <c r="C1924" s="120" t="s">
        <v>280</v>
      </c>
      <c r="D1924"/>
      <c r="E1924"/>
      <c r="F1924"/>
      <c r="G1924"/>
      <c r="H1924"/>
      <c r="I1924" s="21" t="str">
        <f t="shared" si="61"/>
        <v/>
      </c>
      <c r="L1924" s="24"/>
      <c r="M1924" s="24"/>
    </row>
    <row r="1925" spans="1:13">
      <c r="A1925" s="14" t="str">
        <f t="shared" si="60"/>
        <v/>
      </c>
      <c r="C1925" s="120" t="s">
        <v>282</v>
      </c>
      <c r="D1925"/>
      <c r="E1925"/>
      <c r="F1925"/>
      <c r="G1925"/>
      <c r="H1925"/>
      <c r="I1925" s="21" t="str">
        <f t="shared" si="61"/>
        <v/>
      </c>
      <c r="L1925" s="24"/>
      <c r="M1925" s="24"/>
    </row>
    <row r="1926" spans="1:13">
      <c r="A1926" s="10" t="str">
        <f t="shared" si="60"/>
        <v/>
      </c>
      <c r="C1926" s="120" t="s">
        <v>284</v>
      </c>
      <c r="D1926"/>
      <c r="E1926"/>
      <c r="F1926"/>
      <c r="G1926"/>
      <c r="H1926"/>
      <c r="I1926" s="21" t="str">
        <f t="shared" si="61"/>
        <v/>
      </c>
      <c r="L1926" s="24"/>
      <c r="M1926" s="24"/>
    </row>
    <row r="1927" spans="1:13">
      <c r="A1927" s="14" t="str">
        <f t="shared" si="60"/>
        <v/>
      </c>
      <c r="C1927" s="120" t="s">
        <v>286</v>
      </c>
      <c r="D1927"/>
      <c r="E1927"/>
      <c r="F1927"/>
      <c r="G1927"/>
      <c r="H1927"/>
      <c r="I1927" s="21" t="str">
        <f t="shared" si="61"/>
        <v/>
      </c>
      <c r="L1927" s="24"/>
      <c r="M1927" s="24"/>
    </row>
    <row r="1928" spans="1:13">
      <c r="A1928" s="10" t="str">
        <f t="shared" si="60"/>
        <v/>
      </c>
      <c r="C1928" s="120" t="s">
        <v>126</v>
      </c>
      <c r="D1928"/>
      <c r="E1928"/>
      <c r="F1928"/>
      <c r="G1928"/>
      <c r="H1928"/>
      <c r="I1928" s="21" t="str">
        <f t="shared" si="61"/>
        <v/>
      </c>
      <c r="L1928" s="24"/>
      <c r="M1928" s="24"/>
    </row>
    <row r="1929" spans="1:13">
      <c r="A1929" s="14" t="str">
        <f t="shared" si="60"/>
        <v/>
      </c>
      <c r="C1929" s="120" t="s">
        <v>128</v>
      </c>
      <c r="D1929"/>
      <c r="E1929"/>
      <c r="F1929"/>
      <c r="G1929"/>
      <c r="H1929"/>
      <c r="I1929" s="21" t="str">
        <f t="shared" si="61"/>
        <v/>
      </c>
      <c r="L1929" s="24"/>
      <c r="M1929" s="24"/>
    </row>
    <row r="1930" spans="1:13">
      <c r="A1930" s="10" t="str">
        <f t="shared" si="60"/>
        <v/>
      </c>
      <c r="C1930" s="120" t="s">
        <v>280</v>
      </c>
      <c r="D1930"/>
      <c r="E1930"/>
      <c r="F1930"/>
      <c r="G1930"/>
      <c r="H1930"/>
      <c r="I1930" s="21" t="str">
        <f t="shared" si="61"/>
        <v/>
      </c>
      <c r="L1930" s="24"/>
      <c r="M1930" s="24"/>
    </row>
    <row r="1931" spans="1:13">
      <c r="A1931" s="14" t="str">
        <f t="shared" si="60"/>
        <v/>
      </c>
      <c r="C1931" s="120" t="s">
        <v>282</v>
      </c>
      <c r="D1931"/>
      <c r="E1931"/>
      <c r="F1931"/>
      <c r="G1931"/>
      <c r="H1931"/>
      <c r="I1931" s="21" t="str">
        <f t="shared" si="61"/>
        <v/>
      </c>
      <c r="L1931" s="24"/>
      <c r="M1931" s="24"/>
    </row>
    <row r="1932" spans="1:13">
      <c r="A1932" s="10" t="str">
        <f t="shared" si="60"/>
        <v/>
      </c>
      <c r="C1932" s="120" t="s">
        <v>284</v>
      </c>
      <c r="D1932"/>
      <c r="E1932"/>
      <c r="F1932"/>
      <c r="G1932"/>
      <c r="H1932"/>
      <c r="I1932" s="21" t="str">
        <f t="shared" si="61"/>
        <v/>
      </c>
      <c r="L1932" s="24"/>
      <c r="M1932" s="24"/>
    </row>
    <row r="1933" spans="1:13">
      <c r="A1933" s="14" t="str">
        <f t="shared" si="60"/>
        <v/>
      </c>
      <c r="C1933" s="120" t="s">
        <v>286</v>
      </c>
      <c r="D1933"/>
      <c r="E1933"/>
      <c r="F1933"/>
      <c r="G1933"/>
      <c r="H1933"/>
      <c r="I1933" s="21" t="str">
        <f t="shared" si="61"/>
        <v/>
      </c>
      <c r="L1933" s="24"/>
      <c r="M1933" s="24"/>
    </row>
    <row r="1934" spans="1:13">
      <c r="A1934" s="10" t="str">
        <f t="shared" si="60"/>
        <v/>
      </c>
      <c r="C1934" s="120" t="s">
        <v>126</v>
      </c>
      <c r="D1934"/>
      <c r="E1934"/>
      <c r="F1934"/>
      <c r="G1934"/>
      <c r="H1934"/>
      <c r="I1934" s="21" t="str">
        <f t="shared" si="61"/>
        <v/>
      </c>
      <c r="L1934" s="24"/>
      <c r="M1934" s="24"/>
    </row>
    <row r="1935" spans="1:13">
      <c r="A1935" s="14" t="str">
        <f t="shared" si="60"/>
        <v/>
      </c>
      <c r="C1935" s="120" t="s">
        <v>128</v>
      </c>
      <c r="D1935"/>
      <c r="E1935"/>
      <c r="F1935"/>
      <c r="G1935"/>
      <c r="H1935"/>
      <c r="I1935" s="21" t="str">
        <f t="shared" si="61"/>
        <v/>
      </c>
      <c r="L1935" s="24"/>
      <c r="M1935" s="24"/>
    </row>
    <row r="1936" spans="1:13">
      <c r="A1936" s="10" t="str">
        <f t="shared" si="60"/>
        <v/>
      </c>
      <c r="C1936" s="120" t="s">
        <v>280</v>
      </c>
      <c r="D1936"/>
      <c r="E1936"/>
      <c r="F1936"/>
      <c r="G1936"/>
      <c r="H1936"/>
      <c r="I1936" s="21" t="str">
        <f t="shared" si="61"/>
        <v/>
      </c>
      <c r="L1936" s="24"/>
      <c r="M1936" s="24"/>
    </row>
    <row r="1937" spans="1:13">
      <c r="A1937" s="14" t="str">
        <f t="shared" si="60"/>
        <v/>
      </c>
      <c r="C1937" s="120" t="s">
        <v>282</v>
      </c>
      <c r="D1937"/>
      <c r="E1937"/>
      <c r="F1937"/>
      <c r="G1937"/>
      <c r="H1937"/>
      <c r="I1937" s="21" t="str">
        <f t="shared" si="61"/>
        <v/>
      </c>
      <c r="L1937" s="24"/>
      <c r="M1937" s="24"/>
    </row>
    <row r="1938" spans="1:13">
      <c r="A1938" s="10" t="str">
        <f t="shared" si="60"/>
        <v/>
      </c>
      <c r="C1938" s="120" t="s">
        <v>284</v>
      </c>
      <c r="D1938"/>
      <c r="E1938"/>
      <c r="F1938"/>
      <c r="G1938"/>
      <c r="H1938"/>
      <c r="I1938" s="21" t="str">
        <f t="shared" si="61"/>
        <v/>
      </c>
      <c r="L1938" s="24"/>
      <c r="M1938" s="24"/>
    </row>
    <row r="1939" spans="1:13">
      <c r="A1939" s="14" t="str">
        <f t="shared" si="60"/>
        <v/>
      </c>
      <c r="C1939" s="120" t="s">
        <v>286</v>
      </c>
      <c r="D1939"/>
      <c r="E1939"/>
      <c r="F1939"/>
      <c r="G1939"/>
      <c r="H1939"/>
      <c r="I1939" s="21" t="str">
        <f t="shared" si="61"/>
        <v/>
      </c>
      <c r="L1939" s="24"/>
      <c r="M1939" s="24"/>
    </row>
    <row r="1940" spans="1:13">
      <c r="A1940" s="10" t="str">
        <f t="shared" si="60"/>
        <v/>
      </c>
      <c r="C1940" s="120" t="s">
        <v>126</v>
      </c>
      <c r="D1940"/>
      <c r="E1940"/>
      <c r="F1940"/>
      <c r="G1940"/>
      <c r="H1940"/>
      <c r="I1940" s="21" t="str">
        <f t="shared" si="61"/>
        <v/>
      </c>
      <c r="L1940" s="24"/>
      <c r="M1940" s="24"/>
    </row>
    <row r="1941" spans="1:13">
      <c r="A1941" s="14" t="str">
        <f t="shared" si="60"/>
        <v/>
      </c>
      <c r="C1941" s="120" t="s">
        <v>128</v>
      </c>
      <c r="D1941"/>
      <c r="E1941"/>
      <c r="F1941"/>
      <c r="G1941"/>
      <c r="H1941"/>
      <c r="I1941" s="21" t="str">
        <f t="shared" si="61"/>
        <v/>
      </c>
      <c r="L1941" s="24"/>
      <c r="M1941" s="24"/>
    </row>
    <row r="1942" spans="1:13">
      <c r="A1942" s="10" t="str">
        <f t="shared" si="60"/>
        <v/>
      </c>
      <c r="C1942" s="120" t="s">
        <v>280</v>
      </c>
      <c r="D1942"/>
      <c r="E1942"/>
      <c r="F1942"/>
      <c r="G1942"/>
      <c r="H1942"/>
      <c r="I1942" s="21" t="str">
        <f t="shared" si="61"/>
        <v/>
      </c>
      <c r="L1942" s="24"/>
      <c r="M1942" s="24"/>
    </row>
    <row r="1943" spans="1:13">
      <c r="A1943" s="14" t="str">
        <f t="shared" si="60"/>
        <v/>
      </c>
      <c r="C1943" s="120" t="s">
        <v>282</v>
      </c>
      <c r="D1943"/>
      <c r="E1943"/>
      <c r="F1943"/>
      <c r="G1943"/>
      <c r="H1943"/>
      <c r="I1943" s="21" t="str">
        <f t="shared" si="61"/>
        <v/>
      </c>
      <c r="L1943" s="24"/>
      <c r="M1943" s="24"/>
    </row>
    <row r="1944" spans="1:13">
      <c r="A1944" s="10" t="str">
        <f t="shared" si="60"/>
        <v/>
      </c>
      <c r="C1944" s="120" t="s">
        <v>284</v>
      </c>
      <c r="D1944"/>
      <c r="E1944"/>
      <c r="F1944"/>
      <c r="G1944"/>
      <c r="H1944"/>
      <c r="I1944" s="21" t="str">
        <f t="shared" si="61"/>
        <v/>
      </c>
      <c r="L1944" s="24"/>
      <c r="M1944" s="24"/>
    </row>
    <row r="1945" spans="1:13">
      <c r="A1945" s="14" t="str">
        <f t="shared" si="60"/>
        <v/>
      </c>
      <c r="C1945" s="120" t="s">
        <v>286</v>
      </c>
      <c r="D1945"/>
      <c r="E1945"/>
      <c r="F1945"/>
      <c r="G1945"/>
      <c r="H1945"/>
      <c r="I1945" s="21" t="str">
        <f t="shared" si="61"/>
        <v/>
      </c>
      <c r="L1945" s="24"/>
      <c r="M1945" s="24"/>
    </row>
    <row r="1946" spans="1:13">
      <c r="A1946" s="10" t="str">
        <f t="shared" si="60"/>
        <v/>
      </c>
      <c r="C1946" s="120" t="s">
        <v>126</v>
      </c>
      <c r="D1946"/>
      <c r="E1946"/>
      <c r="F1946"/>
      <c r="G1946"/>
      <c r="H1946"/>
      <c r="I1946" s="21" t="str">
        <f t="shared" si="61"/>
        <v/>
      </c>
      <c r="L1946" s="24"/>
      <c r="M1946" s="24"/>
    </row>
    <row r="1947" spans="1:13">
      <c r="A1947" s="14" t="str">
        <f t="shared" si="60"/>
        <v/>
      </c>
      <c r="C1947" s="120" t="s">
        <v>128</v>
      </c>
      <c r="D1947"/>
      <c r="E1947"/>
      <c r="F1947"/>
      <c r="G1947"/>
      <c r="H1947"/>
      <c r="I1947" s="21" t="str">
        <f t="shared" si="61"/>
        <v/>
      </c>
      <c r="L1947" s="24"/>
      <c r="M1947" s="24"/>
    </row>
    <row r="1948" spans="1:13">
      <c r="A1948" s="10" t="str">
        <f t="shared" si="60"/>
        <v/>
      </c>
      <c r="C1948" s="120" t="s">
        <v>280</v>
      </c>
      <c r="D1948"/>
      <c r="E1948"/>
      <c r="F1948"/>
      <c r="G1948"/>
      <c r="H1948"/>
      <c r="I1948" s="21" t="str">
        <f t="shared" si="61"/>
        <v/>
      </c>
      <c r="L1948" s="24"/>
      <c r="M1948" s="24"/>
    </row>
    <row r="1949" spans="1:13">
      <c r="A1949" s="14" t="str">
        <f t="shared" si="60"/>
        <v/>
      </c>
      <c r="C1949" s="120" t="s">
        <v>282</v>
      </c>
      <c r="D1949"/>
      <c r="E1949"/>
      <c r="F1949"/>
      <c r="G1949"/>
      <c r="H1949"/>
      <c r="I1949" s="21" t="str">
        <f t="shared" si="61"/>
        <v/>
      </c>
      <c r="L1949" s="24"/>
      <c r="M1949" s="24"/>
    </row>
    <row r="1950" spans="1:13">
      <c r="A1950" s="10" t="str">
        <f t="shared" si="60"/>
        <v/>
      </c>
      <c r="C1950" s="120" t="s">
        <v>284</v>
      </c>
      <c r="D1950"/>
      <c r="E1950"/>
      <c r="F1950"/>
      <c r="G1950"/>
      <c r="H1950"/>
      <c r="I1950" s="21" t="str">
        <f t="shared" si="61"/>
        <v/>
      </c>
      <c r="L1950" s="24"/>
      <c r="M1950" s="24"/>
    </row>
    <row r="1951" spans="1:13">
      <c r="A1951" s="14" t="str">
        <f t="shared" si="60"/>
        <v/>
      </c>
      <c r="C1951" s="120" t="s">
        <v>286</v>
      </c>
      <c r="D1951"/>
      <c r="E1951"/>
      <c r="F1951"/>
      <c r="G1951"/>
      <c r="H1951"/>
      <c r="I1951" s="21" t="str">
        <f t="shared" si="61"/>
        <v/>
      </c>
      <c r="L1951" s="24"/>
      <c r="M1951" s="24"/>
    </row>
    <row r="1952" spans="1:13">
      <c r="A1952" s="10" t="str">
        <f t="shared" si="60"/>
        <v/>
      </c>
      <c r="C1952" s="120" t="s">
        <v>126</v>
      </c>
      <c r="D1952"/>
      <c r="E1952"/>
      <c r="F1952"/>
      <c r="G1952"/>
      <c r="H1952"/>
      <c r="I1952" s="21" t="str">
        <f t="shared" si="61"/>
        <v/>
      </c>
      <c r="L1952" s="24"/>
      <c r="M1952" s="24"/>
    </row>
    <row r="1953" spans="1:13">
      <c r="A1953" s="14" t="str">
        <f t="shared" si="60"/>
        <v/>
      </c>
      <c r="C1953" s="120" t="s">
        <v>128</v>
      </c>
      <c r="D1953"/>
      <c r="E1953"/>
      <c r="F1953"/>
      <c r="G1953"/>
      <c r="H1953"/>
      <c r="I1953" s="21" t="str">
        <f t="shared" si="61"/>
        <v/>
      </c>
      <c r="L1953" s="24"/>
      <c r="M1953" s="24"/>
    </row>
    <row r="1954" spans="1:13">
      <c r="A1954" s="10" t="str">
        <f t="shared" si="60"/>
        <v/>
      </c>
      <c r="C1954" s="120" t="s">
        <v>280</v>
      </c>
      <c r="D1954"/>
      <c r="E1954"/>
      <c r="F1954"/>
      <c r="G1954"/>
      <c r="H1954"/>
      <c r="I1954" s="21" t="str">
        <f t="shared" si="61"/>
        <v/>
      </c>
      <c r="L1954" s="24"/>
      <c r="M1954" s="24"/>
    </row>
    <row r="1955" spans="1:13">
      <c r="A1955" s="14" t="str">
        <f t="shared" si="60"/>
        <v/>
      </c>
      <c r="C1955" s="120" t="s">
        <v>282</v>
      </c>
      <c r="D1955"/>
      <c r="E1955"/>
      <c r="F1955"/>
      <c r="G1955"/>
      <c r="H1955"/>
      <c r="I1955" s="21" t="str">
        <f t="shared" si="61"/>
        <v/>
      </c>
      <c r="L1955" s="24"/>
      <c r="M1955" s="24"/>
    </row>
    <row r="1956" spans="1:13">
      <c r="A1956" s="10" t="str">
        <f t="shared" si="60"/>
        <v/>
      </c>
      <c r="C1956" s="120" t="s">
        <v>284</v>
      </c>
      <c r="D1956"/>
      <c r="E1956"/>
      <c r="F1956"/>
      <c r="G1956"/>
      <c r="H1956"/>
      <c r="I1956" s="21" t="str">
        <f t="shared" si="61"/>
        <v/>
      </c>
      <c r="L1956" s="24"/>
      <c r="M1956" s="24"/>
    </row>
    <row r="1957" spans="1:13">
      <c r="A1957" s="14" t="str">
        <f t="shared" si="60"/>
        <v/>
      </c>
      <c r="C1957" s="120" t="s">
        <v>286</v>
      </c>
      <c r="D1957"/>
      <c r="E1957"/>
      <c r="F1957"/>
      <c r="G1957"/>
      <c r="H1957"/>
      <c r="I1957" s="21" t="str">
        <f t="shared" si="61"/>
        <v/>
      </c>
      <c r="L1957" s="24"/>
      <c r="M1957" s="24"/>
    </row>
    <row r="1958" spans="1:13">
      <c r="A1958" s="10" t="str">
        <f t="shared" si="60"/>
        <v/>
      </c>
      <c r="C1958" s="120" t="s">
        <v>126</v>
      </c>
      <c r="D1958"/>
      <c r="E1958"/>
      <c r="F1958"/>
      <c r="G1958"/>
      <c r="H1958"/>
      <c r="I1958" s="21" t="str">
        <f t="shared" si="61"/>
        <v/>
      </c>
      <c r="L1958" s="24"/>
      <c r="M1958" s="24"/>
    </row>
    <row r="1959" spans="1:13">
      <c r="A1959" s="14" t="str">
        <f t="shared" si="60"/>
        <v/>
      </c>
      <c r="C1959" s="120" t="s">
        <v>128</v>
      </c>
      <c r="D1959"/>
      <c r="E1959"/>
      <c r="F1959"/>
      <c r="G1959"/>
      <c r="H1959"/>
      <c r="I1959" s="21" t="str">
        <f t="shared" si="61"/>
        <v/>
      </c>
      <c r="L1959" s="24"/>
      <c r="M1959" s="24"/>
    </row>
    <row r="1960" spans="1:13">
      <c r="A1960" s="10" t="str">
        <f t="shared" si="60"/>
        <v/>
      </c>
      <c r="C1960" s="120" t="s">
        <v>280</v>
      </c>
      <c r="D1960"/>
      <c r="E1960"/>
      <c r="F1960"/>
      <c r="G1960"/>
      <c r="H1960"/>
      <c r="I1960" s="21" t="str">
        <f t="shared" si="61"/>
        <v/>
      </c>
      <c r="L1960" s="24"/>
      <c r="M1960" s="24"/>
    </row>
    <row r="1961" spans="1:13">
      <c r="A1961" s="14" t="str">
        <f t="shared" si="60"/>
        <v/>
      </c>
      <c r="C1961" s="120" t="s">
        <v>282</v>
      </c>
      <c r="D1961"/>
      <c r="E1961"/>
      <c r="F1961"/>
      <c r="G1961"/>
      <c r="H1961"/>
      <c r="I1961" s="21" t="str">
        <f t="shared" si="61"/>
        <v/>
      </c>
      <c r="L1961" s="24"/>
      <c r="M1961" s="24"/>
    </row>
    <row r="1962" spans="1:13">
      <c r="A1962" s="10" t="str">
        <f t="shared" si="60"/>
        <v/>
      </c>
      <c r="C1962" s="120" t="s">
        <v>284</v>
      </c>
      <c r="D1962"/>
      <c r="E1962"/>
      <c r="F1962"/>
      <c r="G1962"/>
      <c r="H1962"/>
      <c r="I1962" s="21" t="str">
        <f t="shared" si="61"/>
        <v/>
      </c>
      <c r="L1962" s="24"/>
      <c r="M1962" s="24"/>
    </row>
    <row r="1963" spans="1:13">
      <c r="A1963" s="14" t="str">
        <f t="shared" si="60"/>
        <v/>
      </c>
      <c r="C1963" s="120" t="s">
        <v>286</v>
      </c>
      <c r="D1963"/>
      <c r="E1963"/>
      <c r="F1963"/>
      <c r="G1963"/>
      <c r="H1963"/>
      <c r="I1963" s="21" t="str">
        <f t="shared" si="61"/>
        <v/>
      </c>
      <c r="L1963" s="24"/>
      <c r="M1963" s="24"/>
    </row>
    <row r="1964" spans="1:13">
      <c r="A1964" s="10" t="str">
        <f t="shared" si="60"/>
        <v/>
      </c>
      <c r="C1964" s="120" t="s">
        <v>126</v>
      </c>
      <c r="D1964"/>
      <c r="E1964"/>
      <c r="F1964"/>
      <c r="G1964"/>
      <c r="H1964"/>
      <c r="I1964" s="21" t="str">
        <f t="shared" si="61"/>
        <v/>
      </c>
      <c r="L1964" s="24"/>
      <c r="M1964" s="24"/>
    </row>
    <row r="1965" spans="1:13">
      <c r="A1965" s="14" t="str">
        <f t="shared" si="60"/>
        <v/>
      </c>
      <c r="C1965" s="120" t="s">
        <v>128</v>
      </c>
      <c r="D1965"/>
      <c r="E1965"/>
      <c r="F1965"/>
      <c r="G1965"/>
      <c r="H1965"/>
      <c r="I1965" s="21" t="str">
        <f t="shared" si="61"/>
        <v/>
      </c>
      <c r="L1965" s="24"/>
      <c r="M1965" s="24"/>
    </row>
    <row r="1966" spans="1:13">
      <c r="A1966" s="10" t="str">
        <f t="shared" si="60"/>
        <v/>
      </c>
      <c r="C1966" s="120" t="s">
        <v>280</v>
      </c>
      <c r="D1966"/>
      <c r="E1966"/>
      <c r="F1966"/>
      <c r="G1966"/>
      <c r="H1966"/>
      <c r="I1966" s="21" t="str">
        <f t="shared" si="61"/>
        <v/>
      </c>
      <c r="L1966" s="24"/>
      <c r="M1966" s="24"/>
    </row>
    <row r="1967" spans="1:13">
      <c r="A1967" s="14" t="str">
        <f t="shared" si="60"/>
        <v/>
      </c>
      <c r="C1967" s="120" t="s">
        <v>282</v>
      </c>
      <c r="D1967"/>
      <c r="E1967"/>
      <c r="F1967"/>
      <c r="G1967"/>
      <c r="H1967"/>
      <c r="I1967" s="21" t="str">
        <f t="shared" si="61"/>
        <v/>
      </c>
      <c r="L1967" s="24"/>
      <c r="M1967" s="24"/>
    </row>
    <row r="1968" spans="1:13">
      <c r="A1968" s="10" t="str">
        <f t="shared" si="60"/>
        <v/>
      </c>
      <c r="C1968" s="120" t="s">
        <v>284</v>
      </c>
      <c r="D1968"/>
      <c r="E1968"/>
      <c r="F1968"/>
      <c r="G1968"/>
      <c r="H1968"/>
      <c r="I1968" s="21" t="str">
        <f t="shared" si="61"/>
        <v/>
      </c>
      <c r="L1968" s="24"/>
      <c r="M1968" s="24"/>
    </row>
    <row r="1969" spans="1:13">
      <c r="A1969" s="14" t="str">
        <f t="shared" si="60"/>
        <v/>
      </c>
      <c r="C1969" s="120" t="s">
        <v>286</v>
      </c>
      <c r="D1969"/>
      <c r="E1969"/>
      <c r="F1969"/>
      <c r="G1969"/>
      <c r="H1969"/>
      <c r="I1969" s="21" t="str">
        <f t="shared" si="61"/>
        <v/>
      </c>
      <c r="L1969" s="24"/>
      <c r="M1969" s="24"/>
    </row>
    <row r="1970" spans="1:13">
      <c r="A1970" s="10" t="str">
        <f t="shared" si="60"/>
        <v/>
      </c>
      <c r="C1970" s="120" t="s">
        <v>126</v>
      </c>
      <c r="D1970"/>
      <c r="E1970"/>
      <c r="F1970"/>
      <c r="G1970"/>
      <c r="H1970"/>
      <c r="I1970" s="21" t="str">
        <f t="shared" si="61"/>
        <v/>
      </c>
      <c r="L1970" s="24"/>
      <c r="M1970" s="24"/>
    </row>
    <row r="1971" spans="1:13">
      <c r="A1971" s="14" t="str">
        <f t="shared" si="60"/>
        <v/>
      </c>
      <c r="C1971" s="120" t="s">
        <v>128</v>
      </c>
      <c r="D1971"/>
      <c r="E1971"/>
      <c r="F1971"/>
      <c r="G1971"/>
      <c r="H1971"/>
      <c r="I1971" s="21" t="str">
        <f t="shared" si="61"/>
        <v/>
      </c>
      <c r="L1971" s="24"/>
      <c r="M1971" s="24"/>
    </row>
    <row r="1972" spans="1:13">
      <c r="A1972" s="10" t="str">
        <f t="shared" si="60"/>
        <v/>
      </c>
      <c r="C1972" s="120" t="s">
        <v>280</v>
      </c>
      <c r="D1972"/>
      <c r="E1972"/>
      <c r="F1972"/>
      <c r="G1972"/>
      <c r="H1972"/>
      <c r="I1972" s="21" t="str">
        <f t="shared" si="61"/>
        <v/>
      </c>
      <c r="L1972" s="24"/>
      <c r="M1972" s="24"/>
    </row>
    <row r="1973" spans="1:13">
      <c r="A1973" s="14" t="str">
        <f t="shared" si="60"/>
        <v/>
      </c>
      <c r="C1973" s="120" t="s">
        <v>282</v>
      </c>
      <c r="D1973"/>
      <c r="E1973"/>
      <c r="F1973"/>
      <c r="G1973"/>
      <c r="H1973"/>
      <c r="I1973" s="21" t="str">
        <f t="shared" si="61"/>
        <v/>
      </c>
      <c r="L1973" s="24"/>
      <c r="M1973" s="24"/>
    </row>
    <row r="1974" spans="1:13">
      <c r="A1974" s="10" t="str">
        <f t="shared" si="60"/>
        <v/>
      </c>
      <c r="C1974" s="120" t="s">
        <v>284</v>
      </c>
      <c r="D1974"/>
      <c r="E1974"/>
      <c r="F1974"/>
      <c r="G1974"/>
      <c r="H1974"/>
      <c r="I1974" s="21" t="str">
        <f t="shared" si="61"/>
        <v/>
      </c>
      <c r="L1974" s="24"/>
      <c r="M1974" s="24"/>
    </row>
    <row r="1975" spans="1:13">
      <c r="A1975" s="14" t="str">
        <f t="shared" si="60"/>
        <v/>
      </c>
      <c r="C1975" s="120" t="s">
        <v>286</v>
      </c>
      <c r="D1975"/>
      <c r="E1975"/>
      <c r="F1975"/>
      <c r="G1975"/>
      <c r="H1975"/>
      <c r="I1975" s="21" t="str">
        <f t="shared" si="61"/>
        <v/>
      </c>
      <c r="L1975" s="24"/>
      <c r="M1975" s="24"/>
    </row>
    <row r="1976" spans="1:13">
      <c r="A1976" s="10" t="str">
        <f t="shared" si="60"/>
        <v/>
      </c>
      <c r="C1976" s="120" t="s">
        <v>126</v>
      </c>
      <c r="D1976"/>
      <c r="E1976"/>
      <c r="F1976"/>
      <c r="G1976"/>
      <c r="H1976"/>
      <c r="I1976" s="21" t="str">
        <f t="shared" si="61"/>
        <v/>
      </c>
      <c r="L1976" s="24"/>
      <c r="M1976" s="24"/>
    </row>
    <row r="1977" spans="1:13">
      <c r="A1977" s="14" t="str">
        <f t="shared" si="60"/>
        <v/>
      </c>
      <c r="C1977" s="120" t="s">
        <v>128</v>
      </c>
      <c r="D1977"/>
      <c r="E1977"/>
      <c r="F1977"/>
      <c r="G1977"/>
      <c r="H1977"/>
      <c r="I1977" s="21" t="str">
        <f t="shared" si="61"/>
        <v/>
      </c>
      <c r="L1977" s="24"/>
      <c r="M1977" s="24"/>
    </row>
    <row r="1978" spans="1:13">
      <c r="A1978" s="10" t="str">
        <f t="shared" si="60"/>
        <v/>
      </c>
      <c r="C1978" s="120" t="s">
        <v>280</v>
      </c>
      <c r="D1978"/>
      <c r="E1978"/>
      <c r="F1978"/>
      <c r="G1978"/>
      <c r="H1978"/>
      <c r="I1978" s="21" t="str">
        <f t="shared" si="61"/>
        <v/>
      </c>
      <c r="L1978" s="24"/>
      <c r="M1978" s="24"/>
    </row>
    <row r="1979" spans="1:13">
      <c r="A1979" s="14" t="str">
        <f t="shared" si="60"/>
        <v/>
      </c>
      <c r="C1979" s="120" t="s">
        <v>282</v>
      </c>
      <c r="D1979"/>
      <c r="E1979"/>
      <c r="F1979"/>
      <c r="G1979"/>
      <c r="H1979"/>
      <c r="I1979" s="21" t="str">
        <f t="shared" si="61"/>
        <v/>
      </c>
      <c r="L1979" s="24"/>
      <c r="M1979" s="24"/>
    </row>
    <row r="1980" spans="1:13">
      <c r="A1980" s="10" t="str">
        <f t="shared" si="60"/>
        <v/>
      </c>
      <c r="C1980" s="120" t="s">
        <v>284</v>
      </c>
      <c r="D1980"/>
      <c r="E1980"/>
      <c r="F1980"/>
      <c r="G1980"/>
      <c r="H1980"/>
      <c r="I1980" s="21" t="str">
        <f t="shared" si="61"/>
        <v/>
      </c>
      <c r="L1980" s="24"/>
      <c r="M1980" s="24"/>
    </row>
    <row r="1981" spans="1:13">
      <c r="A1981" s="14" t="str">
        <f t="shared" si="60"/>
        <v/>
      </c>
      <c r="C1981" s="120" t="s">
        <v>286</v>
      </c>
      <c r="D1981"/>
      <c r="E1981"/>
      <c r="F1981"/>
      <c r="G1981"/>
      <c r="H1981"/>
      <c r="I1981" s="21" t="str">
        <f t="shared" si="61"/>
        <v/>
      </c>
      <c r="L1981" s="24"/>
      <c r="M1981" s="24"/>
    </row>
    <row r="1982" spans="1:13">
      <c r="A1982" s="10" t="str">
        <f t="shared" si="60"/>
        <v/>
      </c>
      <c r="C1982" s="120" t="s">
        <v>126</v>
      </c>
      <c r="D1982"/>
      <c r="E1982"/>
      <c r="F1982"/>
      <c r="G1982"/>
      <c r="H1982"/>
      <c r="I1982" s="21" t="str">
        <f t="shared" si="61"/>
        <v/>
      </c>
      <c r="L1982" s="24"/>
      <c r="M1982" s="24"/>
    </row>
    <row r="1983" spans="1:13">
      <c r="A1983" s="14" t="str">
        <f t="shared" si="60"/>
        <v/>
      </c>
      <c r="C1983" s="120" t="s">
        <v>128</v>
      </c>
      <c r="D1983"/>
      <c r="E1983"/>
      <c r="F1983"/>
      <c r="G1983"/>
      <c r="H1983"/>
      <c r="I1983" s="21" t="str">
        <f t="shared" si="61"/>
        <v/>
      </c>
      <c r="L1983" s="24"/>
      <c r="M1983" s="24"/>
    </row>
    <row r="1984" spans="1:13">
      <c r="A1984" s="10" t="str">
        <f t="shared" si="60"/>
        <v/>
      </c>
      <c r="C1984" s="120" t="s">
        <v>280</v>
      </c>
      <c r="D1984"/>
      <c r="E1984"/>
      <c r="F1984"/>
      <c r="G1984"/>
      <c r="H1984"/>
      <c r="I1984" s="21" t="str">
        <f t="shared" si="61"/>
        <v/>
      </c>
      <c r="L1984" s="24"/>
      <c r="M1984" s="24"/>
    </row>
    <row r="1985" spans="1:13">
      <c r="A1985" s="14" t="str">
        <f t="shared" si="60"/>
        <v/>
      </c>
      <c r="C1985" s="120" t="s">
        <v>282</v>
      </c>
      <c r="D1985"/>
      <c r="E1985"/>
      <c r="F1985"/>
      <c r="G1985"/>
      <c r="H1985"/>
      <c r="I1985" s="21" t="str">
        <f t="shared" si="61"/>
        <v/>
      </c>
      <c r="L1985" s="24"/>
      <c r="M1985" s="24"/>
    </row>
    <row r="1986" spans="1:13">
      <c r="A1986" s="10" t="str">
        <f t="shared" ref="A1986:A2049" si="62">IF(B1986&lt;&gt;"",ROW()-1,"")</f>
        <v/>
      </c>
      <c r="C1986" s="120" t="s">
        <v>284</v>
      </c>
      <c r="D1986"/>
      <c r="E1986"/>
      <c r="F1986"/>
      <c r="G1986"/>
      <c r="H1986"/>
      <c r="I1986" s="21" t="str">
        <f t="shared" ref="I1986:I2049" si="63">IF(AND(G1986&lt;&gt;"",H1986&lt;&gt;""),H1986-G1986,"")</f>
        <v/>
      </c>
      <c r="L1986" s="24"/>
      <c r="M1986" s="24"/>
    </row>
    <row r="1987" spans="1:13">
      <c r="A1987" s="14" t="str">
        <f t="shared" si="62"/>
        <v/>
      </c>
      <c r="C1987" s="120" t="s">
        <v>286</v>
      </c>
      <c r="D1987"/>
      <c r="E1987"/>
      <c r="F1987"/>
      <c r="G1987"/>
      <c r="H1987"/>
      <c r="I1987" s="21" t="str">
        <f t="shared" si="63"/>
        <v/>
      </c>
      <c r="L1987" s="24"/>
      <c r="M1987" s="24"/>
    </row>
    <row r="1988" spans="1:13">
      <c r="A1988" s="10" t="str">
        <f t="shared" si="62"/>
        <v/>
      </c>
      <c r="C1988" s="120" t="s">
        <v>126</v>
      </c>
      <c r="D1988"/>
      <c r="E1988"/>
      <c r="F1988"/>
      <c r="G1988"/>
      <c r="H1988"/>
      <c r="I1988" s="21" t="str">
        <f t="shared" si="63"/>
        <v/>
      </c>
      <c r="L1988" s="24"/>
      <c r="M1988" s="24"/>
    </row>
    <row r="1989" spans="1:13">
      <c r="A1989" s="14" t="str">
        <f t="shared" si="62"/>
        <v/>
      </c>
      <c r="C1989" s="120" t="s">
        <v>128</v>
      </c>
      <c r="D1989"/>
      <c r="E1989"/>
      <c r="F1989"/>
      <c r="G1989"/>
      <c r="H1989"/>
      <c r="I1989" s="21" t="str">
        <f t="shared" si="63"/>
        <v/>
      </c>
      <c r="L1989" s="24"/>
      <c r="M1989" s="24"/>
    </row>
    <row r="1990" spans="1:13">
      <c r="A1990" s="10" t="str">
        <f t="shared" si="62"/>
        <v/>
      </c>
      <c r="C1990" s="120" t="s">
        <v>280</v>
      </c>
      <c r="D1990"/>
      <c r="E1990"/>
      <c r="F1990"/>
      <c r="G1990"/>
      <c r="H1990"/>
      <c r="I1990" s="21" t="str">
        <f t="shared" si="63"/>
        <v/>
      </c>
      <c r="L1990" s="24"/>
      <c r="M1990" s="24"/>
    </row>
    <row r="1991" spans="1:13">
      <c r="A1991" s="14" t="str">
        <f t="shared" si="62"/>
        <v/>
      </c>
      <c r="C1991" s="120" t="s">
        <v>282</v>
      </c>
      <c r="D1991"/>
      <c r="E1991"/>
      <c r="F1991"/>
      <c r="G1991"/>
      <c r="H1991"/>
      <c r="I1991" s="21" t="str">
        <f t="shared" si="63"/>
        <v/>
      </c>
      <c r="L1991" s="24"/>
      <c r="M1991" s="24"/>
    </row>
    <row r="1992" spans="1:13">
      <c r="A1992" s="10" t="str">
        <f t="shared" si="62"/>
        <v/>
      </c>
      <c r="C1992" s="120" t="s">
        <v>284</v>
      </c>
      <c r="D1992"/>
      <c r="E1992"/>
      <c r="F1992"/>
      <c r="G1992"/>
      <c r="H1992"/>
      <c r="I1992" s="21" t="str">
        <f t="shared" si="63"/>
        <v/>
      </c>
      <c r="L1992" s="24"/>
      <c r="M1992" s="24"/>
    </row>
    <row r="1993" spans="1:13">
      <c r="A1993" s="14" t="str">
        <f t="shared" si="62"/>
        <v/>
      </c>
      <c r="C1993" s="120" t="s">
        <v>286</v>
      </c>
      <c r="D1993"/>
      <c r="E1993"/>
      <c r="F1993"/>
      <c r="G1993"/>
      <c r="H1993"/>
      <c r="I1993" s="21" t="str">
        <f t="shared" si="63"/>
        <v/>
      </c>
      <c r="L1993" s="24"/>
      <c r="M1993" s="24"/>
    </row>
    <row r="1994" spans="1:13">
      <c r="A1994" s="10" t="str">
        <f t="shared" si="62"/>
        <v/>
      </c>
      <c r="C1994" s="120" t="s">
        <v>126</v>
      </c>
      <c r="D1994"/>
      <c r="E1994"/>
      <c r="F1994"/>
      <c r="G1994"/>
      <c r="H1994"/>
      <c r="I1994" s="21" t="str">
        <f t="shared" si="63"/>
        <v/>
      </c>
      <c r="L1994" s="24"/>
      <c r="M1994" s="24"/>
    </row>
    <row r="1995" spans="1:13">
      <c r="A1995" s="14" t="str">
        <f t="shared" si="62"/>
        <v/>
      </c>
      <c r="C1995" s="120" t="s">
        <v>128</v>
      </c>
      <c r="D1995"/>
      <c r="E1995"/>
      <c r="F1995"/>
      <c r="G1995"/>
      <c r="H1995"/>
      <c r="I1995" s="21" t="str">
        <f t="shared" si="63"/>
        <v/>
      </c>
      <c r="L1995" s="24"/>
      <c r="M1995" s="24"/>
    </row>
    <row r="1996" spans="1:13">
      <c r="A1996" s="10" t="str">
        <f t="shared" si="62"/>
        <v/>
      </c>
      <c r="C1996" s="120" t="s">
        <v>280</v>
      </c>
      <c r="D1996"/>
      <c r="E1996"/>
      <c r="F1996"/>
      <c r="G1996"/>
      <c r="H1996"/>
      <c r="I1996" s="21" t="str">
        <f t="shared" si="63"/>
        <v/>
      </c>
      <c r="L1996" s="24"/>
      <c r="M1996" s="24"/>
    </row>
    <row r="1997" spans="1:13">
      <c r="A1997" s="14" t="str">
        <f t="shared" si="62"/>
        <v/>
      </c>
      <c r="C1997" s="120" t="s">
        <v>282</v>
      </c>
      <c r="D1997"/>
      <c r="E1997"/>
      <c r="F1997"/>
      <c r="G1997"/>
      <c r="H1997"/>
      <c r="I1997" s="21" t="str">
        <f t="shared" si="63"/>
        <v/>
      </c>
      <c r="L1997" s="24"/>
      <c r="M1997" s="24"/>
    </row>
    <row r="1998" spans="1:13">
      <c r="A1998" s="10" t="str">
        <f t="shared" si="62"/>
        <v/>
      </c>
      <c r="C1998" s="120" t="s">
        <v>284</v>
      </c>
      <c r="D1998"/>
      <c r="E1998"/>
      <c r="F1998"/>
      <c r="G1998"/>
      <c r="H1998"/>
      <c r="I1998" s="21" t="str">
        <f t="shared" si="63"/>
        <v/>
      </c>
      <c r="L1998" s="24"/>
      <c r="M1998" s="24"/>
    </row>
    <row r="1999" spans="1:13">
      <c r="A1999" s="14" t="str">
        <f t="shared" si="62"/>
        <v/>
      </c>
      <c r="C1999" s="120" t="s">
        <v>286</v>
      </c>
      <c r="D1999"/>
      <c r="E1999"/>
      <c r="F1999"/>
      <c r="G1999"/>
      <c r="H1999"/>
      <c r="I1999" s="21" t="str">
        <f t="shared" si="63"/>
        <v/>
      </c>
      <c r="L1999" s="24"/>
      <c r="M1999" s="24"/>
    </row>
    <row r="2000" spans="1:13">
      <c r="A2000" s="10" t="str">
        <f t="shared" si="62"/>
        <v/>
      </c>
      <c r="C2000" s="120" t="s">
        <v>126</v>
      </c>
      <c r="D2000"/>
      <c r="E2000"/>
      <c r="F2000"/>
      <c r="G2000"/>
      <c r="H2000"/>
      <c r="I2000" s="21" t="str">
        <f t="shared" si="63"/>
        <v/>
      </c>
      <c r="L2000" s="24"/>
      <c r="M2000" s="24"/>
    </row>
    <row r="2001" spans="1:13">
      <c r="A2001" s="14" t="str">
        <f t="shared" si="62"/>
        <v/>
      </c>
      <c r="C2001" s="120" t="s">
        <v>128</v>
      </c>
      <c r="D2001"/>
      <c r="E2001"/>
      <c r="F2001"/>
      <c r="G2001"/>
      <c r="H2001"/>
      <c r="I2001" s="21" t="str">
        <f t="shared" si="63"/>
        <v/>
      </c>
      <c r="L2001" s="24"/>
      <c r="M2001" s="24"/>
    </row>
    <row r="2002" spans="1:13">
      <c r="A2002" s="10" t="str">
        <f t="shared" si="62"/>
        <v/>
      </c>
      <c r="C2002" s="120" t="s">
        <v>280</v>
      </c>
      <c r="D2002"/>
      <c r="E2002"/>
      <c r="F2002"/>
      <c r="G2002"/>
      <c r="H2002"/>
      <c r="I2002" s="21" t="str">
        <f t="shared" si="63"/>
        <v/>
      </c>
      <c r="L2002" s="24"/>
      <c r="M2002" s="24"/>
    </row>
    <row r="2003" spans="1:13">
      <c r="A2003" s="14" t="str">
        <f t="shared" si="62"/>
        <v/>
      </c>
      <c r="C2003" s="120" t="s">
        <v>282</v>
      </c>
      <c r="D2003"/>
      <c r="E2003"/>
      <c r="F2003"/>
      <c r="G2003"/>
      <c r="H2003"/>
      <c r="I2003" s="21" t="str">
        <f t="shared" si="63"/>
        <v/>
      </c>
      <c r="L2003" s="24"/>
      <c r="M2003" s="24"/>
    </row>
    <row r="2004" spans="1:13">
      <c r="A2004" s="10" t="str">
        <f t="shared" si="62"/>
        <v/>
      </c>
      <c r="C2004" s="120" t="s">
        <v>284</v>
      </c>
      <c r="D2004"/>
      <c r="E2004"/>
      <c r="F2004"/>
      <c r="G2004"/>
      <c r="H2004"/>
      <c r="I2004" s="21" t="str">
        <f t="shared" si="63"/>
        <v/>
      </c>
      <c r="L2004" s="24"/>
      <c r="M2004" s="24"/>
    </row>
    <row r="2005" spans="1:13">
      <c r="A2005" s="14" t="str">
        <f t="shared" si="62"/>
        <v/>
      </c>
      <c r="C2005" s="120" t="s">
        <v>286</v>
      </c>
      <c r="D2005"/>
      <c r="E2005"/>
      <c r="F2005"/>
      <c r="G2005"/>
      <c r="H2005"/>
      <c r="I2005" s="21" t="str">
        <f t="shared" si="63"/>
        <v/>
      </c>
      <c r="L2005" s="24"/>
      <c r="M2005" s="24"/>
    </row>
    <row r="2006" spans="1:13">
      <c r="A2006" s="10" t="str">
        <f t="shared" si="62"/>
        <v/>
      </c>
      <c r="C2006" s="120" t="s">
        <v>126</v>
      </c>
      <c r="D2006"/>
      <c r="E2006"/>
      <c r="F2006"/>
      <c r="G2006"/>
      <c r="H2006"/>
      <c r="I2006" s="21" t="str">
        <f t="shared" si="63"/>
        <v/>
      </c>
      <c r="L2006" s="24"/>
      <c r="M2006" s="24"/>
    </row>
    <row r="2007" spans="1:13">
      <c r="A2007" s="14" t="str">
        <f t="shared" si="62"/>
        <v/>
      </c>
      <c r="C2007" s="120" t="s">
        <v>128</v>
      </c>
      <c r="D2007"/>
      <c r="E2007"/>
      <c r="F2007"/>
      <c r="G2007"/>
      <c r="H2007"/>
      <c r="I2007" s="21" t="str">
        <f t="shared" si="63"/>
        <v/>
      </c>
      <c r="L2007" s="24"/>
      <c r="M2007" s="24"/>
    </row>
    <row r="2008" spans="1:13">
      <c r="A2008" s="10" t="str">
        <f t="shared" si="62"/>
        <v/>
      </c>
      <c r="C2008" s="120" t="s">
        <v>280</v>
      </c>
      <c r="D2008"/>
      <c r="E2008"/>
      <c r="F2008"/>
      <c r="G2008"/>
      <c r="H2008"/>
      <c r="I2008" s="21" t="str">
        <f t="shared" si="63"/>
        <v/>
      </c>
      <c r="L2008" s="24"/>
      <c r="M2008" s="24"/>
    </row>
    <row r="2009" spans="1:13">
      <c r="A2009" s="14" t="str">
        <f t="shared" si="62"/>
        <v/>
      </c>
      <c r="C2009" s="120" t="s">
        <v>282</v>
      </c>
      <c r="D2009"/>
      <c r="E2009"/>
      <c r="F2009"/>
      <c r="G2009"/>
      <c r="H2009"/>
      <c r="I2009" s="21" t="str">
        <f t="shared" si="63"/>
        <v/>
      </c>
      <c r="L2009" s="24"/>
      <c r="M2009" s="24"/>
    </row>
    <row r="2010" spans="1:13">
      <c r="A2010" s="10" t="str">
        <f t="shared" si="62"/>
        <v/>
      </c>
      <c r="C2010" s="120" t="s">
        <v>284</v>
      </c>
      <c r="D2010"/>
      <c r="E2010"/>
      <c r="F2010"/>
      <c r="G2010"/>
      <c r="H2010"/>
      <c r="I2010" s="21" t="str">
        <f t="shared" si="63"/>
        <v/>
      </c>
      <c r="L2010" s="24"/>
      <c r="M2010" s="24"/>
    </row>
    <row r="2011" spans="1:13">
      <c r="A2011" s="14" t="str">
        <f t="shared" si="62"/>
        <v/>
      </c>
      <c r="C2011" s="120" t="s">
        <v>286</v>
      </c>
      <c r="D2011"/>
      <c r="E2011"/>
      <c r="F2011"/>
      <c r="G2011"/>
      <c r="H2011"/>
      <c r="I2011" s="21" t="str">
        <f t="shared" si="63"/>
        <v/>
      </c>
      <c r="L2011" s="24"/>
      <c r="M2011" s="24"/>
    </row>
    <row r="2012" spans="1:13">
      <c r="A2012" s="10" t="str">
        <f t="shared" si="62"/>
        <v/>
      </c>
      <c r="C2012" s="120" t="s">
        <v>126</v>
      </c>
      <c r="D2012"/>
      <c r="E2012"/>
      <c r="F2012"/>
      <c r="G2012"/>
      <c r="H2012"/>
      <c r="I2012" s="21" t="str">
        <f t="shared" si="63"/>
        <v/>
      </c>
      <c r="L2012" s="24"/>
      <c r="M2012" s="24"/>
    </row>
    <row r="2013" spans="1:13">
      <c r="A2013" s="14" t="str">
        <f t="shared" si="62"/>
        <v/>
      </c>
      <c r="C2013" s="120" t="s">
        <v>128</v>
      </c>
      <c r="D2013"/>
      <c r="E2013"/>
      <c r="F2013"/>
      <c r="G2013"/>
      <c r="H2013"/>
      <c r="I2013" s="21" t="str">
        <f t="shared" si="63"/>
        <v/>
      </c>
      <c r="L2013" s="24"/>
      <c r="M2013" s="24"/>
    </row>
    <row r="2014" spans="1:13">
      <c r="A2014" s="10" t="str">
        <f t="shared" si="62"/>
        <v/>
      </c>
      <c r="C2014" s="120" t="s">
        <v>280</v>
      </c>
      <c r="D2014"/>
      <c r="E2014"/>
      <c r="F2014"/>
      <c r="G2014"/>
      <c r="H2014"/>
      <c r="I2014" s="21" t="str">
        <f t="shared" si="63"/>
        <v/>
      </c>
      <c r="L2014" s="24"/>
      <c r="M2014" s="24"/>
    </row>
    <row r="2015" spans="1:13">
      <c r="A2015" s="14" t="str">
        <f t="shared" si="62"/>
        <v/>
      </c>
      <c r="C2015" s="120" t="s">
        <v>282</v>
      </c>
      <c r="D2015"/>
      <c r="E2015"/>
      <c r="F2015"/>
      <c r="G2015"/>
      <c r="H2015"/>
      <c r="I2015" s="21" t="str">
        <f t="shared" si="63"/>
        <v/>
      </c>
      <c r="L2015" s="24"/>
      <c r="M2015" s="24"/>
    </row>
    <row r="2016" spans="1:13">
      <c r="A2016" s="10" t="str">
        <f t="shared" si="62"/>
        <v/>
      </c>
      <c r="C2016" s="120" t="s">
        <v>284</v>
      </c>
      <c r="D2016"/>
      <c r="E2016"/>
      <c r="F2016"/>
      <c r="G2016"/>
      <c r="H2016"/>
      <c r="I2016" s="21" t="str">
        <f t="shared" si="63"/>
        <v/>
      </c>
      <c r="L2016" s="24"/>
      <c r="M2016" s="24"/>
    </row>
    <row r="2017" spans="1:13">
      <c r="A2017" s="14" t="str">
        <f t="shared" si="62"/>
        <v/>
      </c>
      <c r="C2017" s="120" t="s">
        <v>286</v>
      </c>
      <c r="D2017"/>
      <c r="E2017"/>
      <c r="F2017"/>
      <c r="G2017"/>
      <c r="H2017"/>
      <c r="I2017" s="21" t="str">
        <f t="shared" si="63"/>
        <v/>
      </c>
      <c r="L2017" s="24"/>
      <c r="M2017" s="24"/>
    </row>
    <row r="2018" spans="1:13">
      <c r="A2018" s="10" t="str">
        <f t="shared" si="62"/>
        <v/>
      </c>
      <c r="C2018" s="120" t="s">
        <v>126</v>
      </c>
      <c r="D2018"/>
      <c r="E2018"/>
      <c r="F2018"/>
      <c r="G2018"/>
      <c r="H2018"/>
      <c r="I2018" s="21" t="str">
        <f t="shared" si="63"/>
        <v/>
      </c>
      <c r="L2018" s="24"/>
      <c r="M2018" s="24"/>
    </row>
    <row r="2019" spans="1:13">
      <c r="A2019" s="14" t="str">
        <f t="shared" si="62"/>
        <v/>
      </c>
      <c r="C2019" s="120" t="s">
        <v>128</v>
      </c>
      <c r="D2019"/>
      <c r="E2019"/>
      <c r="F2019"/>
      <c r="G2019"/>
      <c r="H2019"/>
      <c r="I2019" s="21" t="str">
        <f t="shared" si="63"/>
        <v/>
      </c>
      <c r="L2019" s="24"/>
      <c r="M2019" s="24"/>
    </row>
    <row r="2020" spans="1:13">
      <c r="A2020" s="10" t="str">
        <f t="shared" si="62"/>
        <v/>
      </c>
      <c r="C2020" s="120" t="s">
        <v>280</v>
      </c>
      <c r="D2020"/>
      <c r="E2020"/>
      <c r="F2020"/>
      <c r="G2020"/>
      <c r="H2020"/>
      <c r="I2020" s="21" t="str">
        <f t="shared" si="63"/>
        <v/>
      </c>
      <c r="L2020" s="24"/>
      <c r="M2020" s="24"/>
    </row>
    <row r="2021" spans="1:13">
      <c r="A2021" s="14" t="str">
        <f t="shared" si="62"/>
        <v/>
      </c>
      <c r="C2021" s="120" t="s">
        <v>282</v>
      </c>
      <c r="D2021"/>
      <c r="E2021"/>
      <c r="F2021"/>
      <c r="G2021"/>
      <c r="H2021"/>
      <c r="I2021" s="21" t="str">
        <f t="shared" si="63"/>
        <v/>
      </c>
      <c r="L2021" s="24"/>
      <c r="M2021" s="24"/>
    </row>
    <row r="2022" spans="1:13">
      <c r="A2022" s="10" t="str">
        <f t="shared" si="62"/>
        <v/>
      </c>
      <c r="C2022" s="120" t="s">
        <v>284</v>
      </c>
      <c r="D2022"/>
      <c r="E2022"/>
      <c r="F2022"/>
      <c r="G2022"/>
      <c r="H2022"/>
      <c r="I2022" s="21" t="str">
        <f t="shared" si="63"/>
        <v/>
      </c>
      <c r="L2022" s="24"/>
      <c r="M2022" s="24"/>
    </row>
    <row r="2023" spans="1:13">
      <c r="A2023" s="14" t="str">
        <f t="shared" si="62"/>
        <v/>
      </c>
      <c r="C2023" s="120" t="s">
        <v>286</v>
      </c>
      <c r="D2023"/>
      <c r="E2023"/>
      <c r="F2023"/>
      <c r="G2023"/>
      <c r="H2023"/>
      <c r="I2023" s="21" t="str">
        <f t="shared" si="63"/>
        <v/>
      </c>
      <c r="L2023" s="24"/>
      <c r="M2023" s="24"/>
    </row>
    <row r="2024" spans="1:13">
      <c r="A2024" s="10" t="str">
        <f t="shared" si="62"/>
        <v/>
      </c>
      <c r="C2024" s="120" t="s">
        <v>126</v>
      </c>
      <c r="D2024"/>
      <c r="E2024"/>
      <c r="F2024"/>
      <c r="G2024"/>
      <c r="H2024"/>
      <c r="I2024" s="21" t="str">
        <f t="shared" si="63"/>
        <v/>
      </c>
      <c r="L2024" s="24"/>
      <c r="M2024" s="24"/>
    </row>
    <row r="2025" spans="1:13">
      <c r="A2025" s="14" t="str">
        <f t="shared" si="62"/>
        <v/>
      </c>
      <c r="C2025" s="120" t="s">
        <v>128</v>
      </c>
      <c r="D2025"/>
      <c r="E2025"/>
      <c r="F2025"/>
      <c r="G2025"/>
      <c r="H2025"/>
      <c r="I2025" s="21" t="str">
        <f t="shared" si="63"/>
        <v/>
      </c>
      <c r="L2025" s="24"/>
      <c r="M2025" s="24"/>
    </row>
    <row r="2026" spans="1:13">
      <c r="A2026" s="10" t="str">
        <f t="shared" si="62"/>
        <v/>
      </c>
      <c r="C2026" s="120" t="s">
        <v>280</v>
      </c>
      <c r="D2026"/>
      <c r="E2026"/>
      <c r="F2026"/>
      <c r="G2026"/>
      <c r="H2026"/>
      <c r="I2026" s="21" t="str">
        <f t="shared" si="63"/>
        <v/>
      </c>
      <c r="L2026" s="24"/>
      <c r="M2026" s="24"/>
    </row>
    <row r="2027" spans="1:13">
      <c r="A2027" s="14" t="str">
        <f t="shared" si="62"/>
        <v/>
      </c>
      <c r="C2027" s="120" t="s">
        <v>282</v>
      </c>
      <c r="D2027"/>
      <c r="E2027"/>
      <c r="F2027"/>
      <c r="G2027"/>
      <c r="H2027"/>
      <c r="I2027" s="21" t="str">
        <f t="shared" si="63"/>
        <v/>
      </c>
      <c r="L2027" s="24"/>
      <c r="M2027" s="24"/>
    </row>
    <row r="2028" spans="1:13">
      <c r="A2028" s="10" t="str">
        <f t="shared" si="62"/>
        <v/>
      </c>
      <c r="C2028" s="120" t="s">
        <v>284</v>
      </c>
      <c r="D2028"/>
      <c r="E2028"/>
      <c r="F2028"/>
      <c r="G2028"/>
      <c r="H2028"/>
      <c r="I2028" s="21" t="str">
        <f t="shared" si="63"/>
        <v/>
      </c>
      <c r="L2028" s="24"/>
      <c r="M2028" s="24"/>
    </row>
    <row r="2029" spans="1:13">
      <c r="A2029" s="14" t="str">
        <f t="shared" si="62"/>
        <v/>
      </c>
      <c r="C2029" s="120" t="s">
        <v>286</v>
      </c>
      <c r="D2029"/>
      <c r="E2029"/>
      <c r="F2029"/>
      <c r="G2029"/>
      <c r="H2029"/>
      <c r="I2029" s="21" t="str">
        <f t="shared" si="63"/>
        <v/>
      </c>
      <c r="L2029" s="24"/>
      <c r="M2029" s="24"/>
    </row>
    <row r="2030" spans="1:13">
      <c r="A2030" s="10" t="str">
        <f t="shared" si="62"/>
        <v/>
      </c>
      <c r="C2030" s="120" t="s">
        <v>126</v>
      </c>
      <c r="D2030"/>
      <c r="E2030"/>
      <c r="F2030"/>
      <c r="G2030"/>
      <c r="H2030"/>
      <c r="I2030" s="21" t="str">
        <f t="shared" si="63"/>
        <v/>
      </c>
      <c r="L2030" s="24"/>
      <c r="M2030" s="24"/>
    </row>
    <row r="2031" spans="1:13">
      <c r="A2031" s="14" t="str">
        <f t="shared" si="62"/>
        <v/>
      </c>
      <c r="C2031" s="120" t="s">
        <v>128</v>
      </c>
      <c r="D2031"/>
      <c r="E2031"/>
      <c r="F2031"/>
      <c r="G2031"/>
      <c r="H2031"/>
      <c r="I2031" s="21" t="str">
        <f t="shared" si="63"/>
        <v/>
      </c>
      <c r="L2031" s="24"/>
      <c r="M2031" s="24"/>
    </row>
    <row r="2032" spans="1:13">
      <c r="A2032" s="10" t="str">
        <f t="shared" si="62"/>
        <v/>
      </c>
      <c r="C2032" s="120" t="s">
        <v>280</v>
      </c>
      <c r="D2032"/>
      <c r="E2032"/>
      <c r="F2032"/>
      <c r="G2032"/>
      <c r="H2032"/>
      <c r="I2032" s="21" t="str">
        <f t="shared" si="63"/>
        <v/>
      </c>
      <c r="L2032" s="24"/>
      <c r="M2032" s="24"/>
    </row>
    <row r="2033" spans="1:13">
      <c r="A2033" s="14" t="str">
        <f t="shared" si="62"/>
        <v/>
      </c>
      <c r="C2033" s="120" t="s">
        <v>282</v>
      </c>
      <c r="D2033"/>
      <c r="E2033"/>
      <c r="F2033"/>
      <c r="G2033"/>
      <c r="H2033"/>
      <c r="I2033" s="21" t="str">
        <f t="shared" si="63"/>
        <v/>
      </c>
      <c r="L2033" s="24"/>
      <c r="M2033" s="24"/>
    </row>
    <row r="2034" spans="1:13">
      <c r="A2034" s="10" t="str">
        <f t="shared" si="62"/>
        <v/>
      </c>
      <c r="C2034" s="120" t="s">
        <v>284</v>
      </c>
      <c r="D2034"/>
      <c r="E2034"/>
      <c r="F2034"/>
      <c r="G2034"/>
      <c r="H2034"/>
      <c r="I2034" s="21" t="str">
        <f t="shared" si="63"/>
        <v/>
      </c>
      <c r="L2034" s="24"/>
      <c r="M2034" s="24"/>
    </row>
    <row r="2035" spans="1:13">
      <c r="A2035" s="14" t="str">
        <f t="shared" si="62"/>
        <v/>
      </c>
      <c r="C2035" s="120" t="s">
        <v>286</v>
      </c>
      <c r="D2035"/>
      <c r="E2035"/>
      <c r="F2035"/>
      <c r="G2035"/>
      <c r="H2035"/>
      <c r="I2035" s="21" t="str">
        <f t="shared" si="63"/>
        <v/>
      </c>
      <c r="L2035" s="24"/>
      <c r="M2035" s="24"/>
    </row>
    <row r="2036" spans="1:13">
      <c r="A2036" s="10" t="str">
        <f t="shared" si="62"/>
        <v/>
      </c>
      <c r="C2036" s="120" t="s">
        <v>126</v>
      </c>
      <c r="D2036"/>
      <c r="E2036"/>
      <c r="F2036"/>
      <c r="G2036"/>
      <c r="H2036"/>
      <c r="I2036" s="21" t="str">
        <f t="shared" si="63"/>
        <v/>
      </c>
      <c r="L2036" s="24"/>
      <c r="M2036" s="24"/>
    </row>
    <row r="2037" spans="1:13">
      <c r="A2037" s="14" t="str">
        <f t="shared" si="62"/>
        <v/>
      </c>
      <c r="C2037" s="120" t="s">
        <v>128</v>
      </c>
      <c r="D2037"/>
      <c r="E2037"/>
      <c r="F2037"/>
      <c r="G2037"/>
      <c r="H2037"/>
      <c r="I2037" s="21" t="str">
        <f t="shared" si="63"/>
        <v/>
      </c>
      <c r="L2037" s="24"/>
      <c r="M2037" s="24"/>
    </row>
    <row r="2038" spans="1:13">
      <c r="A2038" s="10" t="str">
        <f t="shared" si="62"/>
        <v/>
      </c>
      <c r="C2038" s="120" t="s">
        <v>280</v>
      </c>
      <c r="D2038"/>
      <c r="E2038"/>
      <c r="F2038"/>
      <c r="G2038"/>
      <c r="H2038"/>
      <c r="I2038" s="21" t="str">
        <f t="shared" si="63"/>
        <v/>
      </c>
      <c r="L2038" s="24"/>
      <c r="M2038" s="24"/>
    </row>
    <row r="2039" spans="1:13">
      <c r="A2039" s="14" t="str">
        <f t="shared" si="62"/>
        <v/>
      </c>
      <c r="C2039" s="120" t="s">
        <v>282</v>
      </c>
      <c r="D2039"/>
      <c r="E2039"/>
      <c r="F2039"/>
      <c r="G2039"/>
      <c r="H2039"/>
      <c r="I2039" s="21" t="str">
        <f t="shared" si="63"/>
        <v/>
      </c>
      <c r="L2039" s="24"/>
      <c r="M2039" s="24"/>
    </row>
    <row r="2040" spans="1:13">
      <c r="A2040" s="10" t="str">
        <f t="shared" si="62"/>
        <v/>
      </c>
      <c r="C2040" s="120" t="s">
        <v>284</v>
      </c>
      <c r="D2040"/>
      <c r="E2040"/>
      <c r="F2040"/>
      <c r="G2040"/>
      <c r="H2040"/>
      <c r="I2040" s="21" t="str">
        <f t="shared" si="63"/>
        <v/>
      </c>
      <c r="L2040" s="24"/>
      <c r="M2040" s="24"/>
    </row>
    <row r="2041" spans="1:13">
      <c r="A2041" s="14" t="str">
        <f t="shared" si="62"/>
        <v/>
      </c>
      <c r="C2041" s="120" t="s">
        <v>286</v>
      </c>
      <c r="D2041"/>
      <c r="E2041"/>
      <c r="F2041"/>
      <c r="G2041"/>
      <c r="H2041"/>
      <c r="I2041" s="21" t="str">
        <f t="shared" si="63"/>
        <v/>
      </c>
      <c r="L2041" s="24"/>
      <c r="M2041" s="24"/>
    </row>
    <row r="2042" spans="1:13">
      <c r="A2042" s="10" t="str">
        <f t="shared" si="62"/>
        <v/>
      </c>
      <c r="C2042" s="120" t="s">
        <v>126</v>
      </c>
      <c r="D2042"/>
      <c r="E2042"/>
      <c r="F2042"/>
      <c r="G2042"/>
      <c r="H2042"/>
      <c r="I2042" s="21" t="str">
        <f t="shared" si="63"/>
        <v/>
      </c>
      <c r="L2042" s="24"/>
      <c r="M2042" s="24"/>
    </row>
    <row r="2043" spans="1:13">
      <c r="A2043" s="14" t="str">
        <f t="shared" si="62"/>
        <v/>
      </c>
      <c r="C2043" s="120" t="s">
        <v>128</v>
      </c>
      <c r="D2043"/>
      <c r="E2043"/>
      <c r="F2043"/>
      <c r="G2043"/>
      <c r="H2043"/>
      <c r="I2043" s="21" t="str">
        <f t="shared" si="63"/>
        <v/>
      </c>
      <c r="L2043" s="24"/>
      <c r="M2043" s="24"/>
    </row>
    <row r="2044" spans="1:13">
      <c r="A2044" s="10" t="str">
        <f t="shared" si="62"/>
        <v/>
      </c>
      <c r="C2044" s="120" t="s">
        <v>280</v>
      </c>
      <c r="D2044"/>
      <c r="E2044"/>
      <c r="F2044"/>
      <c r="G2044"/>
      <c r="H2044"/>
      <c r="I2044" s="21" t="str">
        <f t="shared" si="63"/>
        <v/>
      </c>
      <c r="L2044" s="24"/>
      <c r="M2044" s="24"/>
    </row>
    <row r="2045" spans="1:13">
      <c r="A2045" s="14" t="str">
        <f t="shared" si="62"/>
        <v/>
      </c>
      <c r="C2045" s="120" t="s">
        <v>282</v>
      </c>
      <c r="D2045"/>
      <c r="E2045"/>
      <c r="F2045"/>
      <c r="G2045"/>
      <c r="H2045"/>
      <c r="I2045" s="21" t="str">
        <f t="shared" si="63"/>
        <v/>
      </c>
      <c r="L2045" s="24"/>
      <c r="M2045" s="24"/>
    </row>
    <row r="2046" spans="1:13">
      <c r="A2046" s="10" t="str">
        <f t="shared" si="62"/>
        <v/>
      </c>
      <c r="C2046" s="120" t="s">
        <v>284</v>
      </c>
      <c r="D2046"/>
      <c r="E2046"/>
      <c r="F2046"/>
      <c r="G2046"/>
      <c r="H2046"/>
      <c r="I2046" s="21" t="str">
        <f t="shared" si="63"/>
        <v/>
      </c>
      <c r="L2046" s="24"/>
      <c r="M2046" s="24"/>
    </row>
    <row r="2047" spans="1:13">
      <c r="A2047" s="14" t="str">
        <f t="shared" si="62"/>
        <v/>
      </c>
      <c r="C2047" s="120" t="s">
        <v>286</v>
      </c>
      <c r="D2047"/>
      <c r="E2047"/>
      <c r="F2047"/>
      <c r="G2047"/>
      <c r="H2047"/>
      <c r="I2047" s="21" t="str">
        <f t="shared" si="63"/>
        <v/>
      </c>
      <c r="L2047" s="24"/>
      <c r="M2047" s="24"/>
    </row>
    <row r="2048" spans="1:13">
      <c r="A2048" s="10" t="str">
        <f t="shared" si="62"/>
        <v/>
      </c>
      <c r="C2048" s="120" t="s">
        <v>126</v>
      </c>
      <c r="D2048"/>
      <c r="E2048"/>
      <c r="F2048"/>
      <c r="G2048"/>
      <c r="H2048"/>
      <c r="I2048" s="21" t="str">
        <f t="shared" si="63"/>
        <v/>
      </c>
      <c r="L2048" s="24"/>
      <c r="M2048" s="24"/>
    </row>
    <row r="2049" spans="1:13">
      <c r="A2049" s="14" t="str">
        <f t="shared" si="62"/>
        <v/>
      </c>
      <c r="C2049" s="120" t="s">
        <v>128</v>
      </c>
      <c r="D2049"/>
      <c r="E2049"/>
      <c r="F2049"/>
      <c r="G2049"/>
      <c r="H2049"/>
      <c r="I2049" s="21" t="str">
        <f t="shared" si="63"/>
        <v/>
      </c>
      <c r="L2049" s="24"/>
      <c r="M2049" s="24"/>
    </row>
    <row r="2050" spans="1:13">
      <c r="A2050" s="10" t="str">
        <f t="shared" ref="A2050:A2113" si="64">IF(B2050&lt;&gt;"",ROW()-1,"")</f>
        <v/>
      </c>
      <c r="C2050" s="120" t="s">
        <v>280</v>
      </c>
      <c r="D2050"/>
      <c r="E2050"/>
      <c r="F2050"/>
      <c r="G2050"/>
      <c r="H2050"/>
      <c r="I2050" s="21" t="str">
        <f t="shared" ref="I2050:I2113" si="65">IF(AND(G2050&lt;&gt;"",H2050&lt;&gt;""),H2050-G2050,"")</f>
        <v/>
      </c>
      <c r="L2050" s="24"/>
      <c r="M2050" s="24"/>
    </row>
    <row r="2051" spans="1:13">
      <c r="A2051" s="14" t="str">
        <f t="shared" si="64"/>
        <v/>
      </c>
      <c r="C2051" s="120" t="s">
        <v>282</v>
      </c>
      <c r="D2051"/>
      <c r="E2051"/>
      <c r="F2051"/>
      <c r="G2051"/>
      <c r="H2051"/>
      <c r="I2051" s="21" t="str">
        <f t="shared" si="65"/>
        <v/>
      </c>
      <c r="L2051" s="24"/>
      <c r="M2051" s="24"/>
    </row>
    <row r="2052" spans="1:13">
      <c r="A2052" s="10" t="str">
        <f t="shared" si="64"/>
        <v/>
      </c>
      <c r="C2052" s="120" t="s">
        <v>284</v>
      </c>
      <c r="D2052"/>
      <c r="E2052"/>
      <c r="F2052"/>
      <c r="G2052"/>
      <c r="H2052"/>
      <c r="I2052" s="21" t="str">
        <f t="shared" si="65"/>
        <v/>
      </c>
      <c r="L2052" s="24"/>
      <c r="M2052" s="24"/>
    </row>
    <row r="2053" spans="1:13">
      <c r="A2053" s="14" t="str">
        <f t="shared" si="64"/>
        <v/>
      </c>
      <c r="C2053" s="120" t="s">
        <v>286</v>
      </c>
      <c r="D2053"/>
      <c r="E2053"/>
      <c r="F2053"/>
      <c r="G2053"/>
      <c r="H2053"/>
      <c r="I2053" s="21" t="str">
        <f t="shared" si="65"/>
        <v/>
      </c>
      <c r="L2053" s="24"/>
      <c r="M2053" s="24"/>
    </row>
    <row r="2054" spans="1:13">
      <c r="A2054" s="10" t="str">
        <f t="shared" si="64"/>
        <v/>
      </c>
      <c r="C2054" s="120" t="s">
        <v>126</v>
      </c>
      <c r="D2054"/>
      <c r="E2054"/>
      <c r="F2054"/>
      <c r="G2054"/>
      <c r="H2054"/>
      <c r="I2054" s="21" t="str">
        <f t="shared" si="65"/>
        <v/>
      </c>
      <c r="L2054" s="24"/>
      <c r="M2054" s="24"/>
    </row>
    <row r="2055" spans="1:13">
      <c r="A2055" s="14" t="str">
        <f t="shared" si="64"/>
        <v/>
      </c>
      <c r="C2055" s="120" t="s">
        <v>128</v>
      </c>
      <c r="D2055"/>
      <c r="E2055"/>
      <c r="F2055"/>
      <c r="G2055"/>
      <c r="H2055"/>
      <c r="I2055" s="21" t="str">
        <f t="shared" si="65"/>
        <v/>
      </c>
      <c r="L2055" s="24"/>
      <c r="M2055" s="24"/>
    </row>
    <row r="2056" spans="1:13">
      <c r="A2056" s="10" t="str">
        <f t="shared" si="64"/>
        <v/>
      </c>
      <c r="C2056" s="120" t="s">
        <v>280</v>
      </c>
      <c r="D2056"/>
      <c r="E2056"/>
      <c r="F2056"/>
      <c r="G2056"/>
      <c r="H2056"/>
      <c r="I2056" s="21" t="str">
        <f t="shared" si="65"/>
        <v/>
      </c>
      <c r="L2056" s="24"/>
      <c r="M2056" s="24"/>
    </row>
    <row r="2057" spans="1:13">
      <c r="A2057" s="14" t="str">
        <f t="shared" si="64"/>
        <v/>
      </c>
      <c r="C2057" s="120" t="s">
        <v>282</v>
      </c>
      <c r="D2057"/>
      <c r="E2057"/>
      <c r="F2057"/>
      <c r="G2057"/>
      <c r="H2057"/>
      <c r="I2057" s="21" t="str">
        <f t="shared" si="65"/>
        <v/>
      </c>
      <c r="L2057" s="24"/>
      <c r="M2057" s="24"/>
    </row>
    <row r="2058" spans="1:13">
      <c r="A2058" s="10" t="str">
        <f t="shared" si="64"/>
        <v/>
      </c>
      <c r="C2058" s="120" t="s">
        <v>284</v>
      </c>
      <c r="D2058"/>
      <c r="E2058"/>
      <c r="F2058"/>
      <c r="G2058"/>
      <c r="H2058"/>
      <c r="I2058" s="21" t="str">
        <f t="shared" si="65"/>
        <v/>
      </c>
      <c r="L2058" s="24"/>
      <c r="M2058" s="24"/>
    </row>
    <row r="2059" spans="1:13">
      <c r="A2059" s="14" t="str">
        <f t="shared" si="64"/>
        <v/>
      </c>
      <c r="C2059" s="120" t="s">
        <v>286</v>
      </c>
      <c r="D2059"/>
      <c r="E2059"/>
      <c r="F2059"/>
      <c r="G2059"/>
      <c r="H2059"/>
      <c r="I2059" s="21" t="str">
        <f t="shared" si="65"/>
        <v/>
      </c>
      <c r="L2059" s="24"/>
      <c r="M2059" s="24"/>
    </row>
    <row r="2060" spans="1:13">
      <c r="A2060" s="10" t="str">
        <f t="shared" si="64"/>
        <v/>
      </c>
      <c r="C2060" s="120" t="s">
        <v>126</v>
      </c>
      <c r="D2060"/>
      <c r="E2060"/>
      <c r="F2060"/>
      <c r="G2060"/>
      <c r="H2060"/>
      <c r="I2060" s="21" t="str">
        <f t="shared" si="65"/>
        <v/>
      </c>
      <c r="L2060" s="24"/>
      <c r="M2060" s="24"/>
    </row>
    <row r="2061" spans="1:13">
      <c r="A2061" s="14" t="str">
        <f t="shared" si="64"/>
        <v/>
      </c>
      <c r="C2061" s="120" t="s">
        <v>128</v>
      </c>
      <c r="D2061"/>
      <c r="E2061"/>
      <c r="F2061"/>
      <c r="G2061"/>
      <c r="H2061"/>
      <c r="I2061" s="21" t="str">
        <f t="shared" si="65"/>
        <v/>
      </c>
      <c r="L2061" s="24"/>
      <c r="M2061" s="24"/>
    </row>
    <row r="2062" spans="1:13">
      <c r="A2062" s="10" t="str">
        <f t="shared" si="64"/>
        <v/>
      </c>
      <c r="C2062" s="120" t="s">
        <v>280</v>
      </c>
      <c r="D2062"/>
      <c r="E2062"/>
      <c r="F2062"/>
      <c r="G2062"/>
      <c r="H2062"/>
      <c r="I2062" s="21" t="str">
        <f t="shared" si="65"/>
        <v/>
      </c>
      <c r="L2062" s="24"/>
      <c r="M2062" s="24"/>
    </row>
    <row r="2063" spans="1:13">
      <c r="A2063" s="14" t="str">
        <f t="shared" si="64"/>
        <v/>
      </c>
      <c r="C2063" s="120" t="s">
        <v>282</v>
      </c>
      <c r="D2063"/>
      <c r="E2063"/>
      <c r="F2063"/>
      <c r="G2063"/>
      <c r="H2063"/>
      <c r="I2063" s="21" t="str">
        <f t="shared" si="65"/>
        <v/>
      </c>
      <c r="L2063" s="24"/>
      <c r="M2063" s="24"/>
    </row>
    <row r="2064" spans="1:13">
      <c r="A2064" s="10" t="str">
        <f t="shared" si="64"/>
        <v/>
      </c>
      <c r="C2064" s="120" t="s">
        <v>284</v>
      </c>
      <c r="D2064"/>
      <c r="E2064"/>
      <c r="F2064"/>
      <c r="G2064"/>
      <c r="H2064"/>
      <c r="I2064" s="21" t="str">
        <f t="shared" si="65"/>
        <v/>
      </c>
      <c r="L2064" s="24"/>
      <c r="M2064" s="24"/>
    </row>
    <row r="2065" spans="1:13">
      <c r="A2065" s="14" t="str">
        <f t="shared" si="64"/>
        <v/>
      </c>
      <c r="C2065" s="120" t="s">
        <v>286</v>
      </c>
      <c r="D2065"/>
      <c r="E2065"/>
      <c r="F2065"/>
      <c r="G2065"/>
      <c r="H2065"/>
      <c r="I2065" s="21" t="str">
        <f t="shared" si="65"/>
        <v/>
      </c>
      <c r="L2065" s="24"/>
      <c r="M2065" s="24"/>
    </row>
    <row r="2066" spans="1:13">
      <c r="A2066" s="10" t="str">
        <f t="shared" si="64"/>
        <v/>
      </c>
      <c r="C2066" s="120" t="s">
        <v>126</v>
      </c>
      <c r="D2066"/>
      <c r="E2066"/>
      <c r="F2066"/>
      <c r="G2066"/>
      <c r="H2066"/>
      <c r="I2066" s="21" t="str">
        <f t="shared" si="65"/>
        <v/>
      </c>
      <c r="L2066" s="24"/>
      <c r="M2066" s="24"/>
    </row>
    <row r="2067" spans="1:13">
      <c r="A2067" s="14" t="str">
        <f t="shared" si="64"/>
        <v/>
      </c>
      <c r="C2067" s="120" t="s">
        <v>128</v>
      </c>
      <c r="D2067"/>
      <c r="E2067"/>
      <c r="F2067"/>
      <c r="G2067"/>
      <c r="H2067"/>
      <c r="I2067" s="21" t="str">
        <f t="shared" si="65"/>
        <v/>
      </c>
      <c r="L2067" s="24"/>
      <c r="M2067" s="24"/>
    </row>
    <row r="2068" spans="1:13">
      <c r="A2068" s="10" t="str">
        <f t="shared" si="64"/>
        <v/>
      </c>
      <c r="C2068" s="120" t="s">
        <v>280</v>
      </c>
      <c r="D2068"/>
      <c r="E2068"/>
      <c r="F2068"/>
      <c r="G2068"/>
      <c r="H2068"/>
      <c r="I2068" s="21" t="str">
        <f t="shared" si="65"/>
        <v/>
      </c>
      <c r="L2068" s="24"/>
      <c r="M2068" s="24"/>
    </row>
    <row r="2069" spans="1:13">
      <c r="A2069" s="14" t="str">
        <f t="shared" si="64"/>
        <v/>
      </c>
      <c r="C2069" s="120" t="s">
        <v>282</v>
      </c>
      <c r="D2069"/>
      <c r="E2069"/>
      <c r="F2069"/>
      <c r="G2069"/>
      <c r="H2069"/>
      <c r="I2069" s="21" t="str">
        <f t="shared" si="65"/>
        <v/>
      </c>
      <c r="L2069" s="24"/>
      <c r="M2069" s="24"/>
    </row>
    <row r="2070" spans="1:13">
      <c r="A2070" s="10" t="str">
        <f t="shared" si="64"/>
        <v/>
      </c>
      <c r="C2070" s="120" t="s">
        <v>284</v>
      </c>
      <c r="D2070"/>
      <c r="E2070"/>
      <c r="F2070"/>
      <c r="G2070"/>
      <c r="H2070"/>
      <c r="I2070" s="21" t="str">
        <f t="shared" si="65"/>
        <v/>
      </c>
      <c r="L2070" s="24"/>
      <c r="M2070" s="24"/>
    </row>
    <row r="2071" spans="1:13">
      <c r="A2071" s="14" t="str">
        <f t="shared" si="64"/>
        <v/>
      </c>
      <c r="C2071" s="120" t="s">
        <v>286</v>
      </c>
      <c r="D2071"/>
      <c r="E2071"/>
      <c r="F2071"/>
      <c r="G2071"/>
      <c r="H2071"/>
      <c r="I2071" s="21" t="str">
        <f t="shared" si="65"/>
        <v/>
      </c>
      <c r="L2071" s="24"/>
      <c r="M2071" s="24"/>
    </row>
    <row r="2072" spans="1:13">
      <c r="A2072" s="10" t="str">
        <f t="shared" si="64"/>
        <v/>
      </c>
      <c r="C2072" s="120" t="s">
        <v>126</v>
      </c>
      <c r="D2072"/>
      <c r="E2072"/>
      <c r="F2072"/>
      <c r="G2072"/>
      <c r="H2072"/>
      <c r="I2072" s="21" t="str">
        <f t="shared" si="65"/>
        <v/>
      </c>
      <c r="L2072" s="24"/>
      <c r="M2072" s="24"/>
    </row>
    <row r="2073" spans="1:13">
      <c r="A2073" s="14" t="str">
        <f t="shared" si="64"/>
        <v/>
      </c>
      <c r="C2073" s="120" t="s">
        <v>128</v>
      </c>
      <c r="D2073"/>
      <c r="E2073"/>
      <c r="F2073"/>
      <c r="G2073"/>
      <c r="H2073"/>
      <c r="I2073" s="21" t="str">
        <f t="shared" si="65"/>
        <v/>
      </c>
      <c r="L2073" s="24"/>
      <c r="M2073" s="24"/>
    </row>
    <row r="2074" spans="1:13">
      <c r="A2074" s="10" t="str">
        <f t="shared" si="64"/>
        <v/>
      </c>
      <c r="C2074" s="120" t="s">
        <v>280</v>
      </c>
      <c r="D2074"/>
      <c r="E2074"/>
      <c r="F2074"/>
      <c r="G2074"/>
      <c r="H2074"/>
      <c r="I2074" s="21" t="str">
        <f t="shared" si="65"/>
        <v/>
      </c>
      <c r="L2074" s="24"/>
      <c r="M2074" s="24"/>
    </row>
    <row r="2075" spans="1:13">
      <c r="A2075" s="14" t="str">
        <f t="shared" si="64"/>
        <v/>
      </c>
      <c r="C2075" s="120" t="s">
        <v>282</v>
      </c>
      <c r="D2075"/>
      <c r="E2075"/>
      <c r="F2075"/>
      <c r="G2075"/>
      <c r="H2075"/>
      <c r="I2075" s="21" t="str">
        <f t="shared" si="65"/>
        <v/>
      </c>
      <c r="L2075" s="24"/>
      <c r="M2075" s="24"/>
    </row>
    <row r="2076" spans="1:13">
      <c r="A2076" s="10" t="str">
        <f t="shared" si="64"/>
        <v/>
      </c>
      <c r="C2076" s="120" t="s">
        <v>284</v>
      </c>
      <c r="D2076"/>
      <c r="E2076"/>
      <c r="F2076"/>
      <c r="G2076"/>
      <c r="H2076"/>
      <c r="I2076" s="21" t="str">
        <f t="shared" si="65"/>
        <v/>
      </c>
      <c r="L2076" s="24"/>
      <c r="M2076" s="24"/>
    </row>
    <row r="2077" spans="1:13">
      <c r="A2077" s="14" t="str">
        <f t="shared" si="64"/>
        <v/>
      </c>
      <c r="C2077" s="120" t="s">
        <v>286</v>
      </c>
      <c r="D2077"/>
      <c r="E2077"/>
      <c r="F2077"/>
      <c r="G2077"/>
      <c r="H2077"/>
      <c r="I2077" s="21" t="str">
        <f t="shared" si="65"/>
        <v/>
      </c>
      <c r="L2077" s="24"/>
      <c r="M2077" s="24"/>
    </row>
    <row r="2078" spans="1:13">
      <c r="A2078" s="10" t="str">
        <f t="shared" si="64"/>
        <v/>
      </c>
      <c r="C2078" s="120" t="s">
        <v>126</v>
      </c>
      <c r="D2078"/>
      <c r="E2078"/>
      <c r="F2078"/>
      <c r="G2078"/>
      <c r="H2078"/>
      <c r="I2078" s="21" t="str">
        <f t="shared" si="65"/>
        <v/>
      </c>
      <c r="L2078" s="24"/>
      <c r="M2078" s="24"/>
    </row>
    <row r="2079" spans="1:13">
      <c r="A2079" s="14" t="str">
        <f t="shared" si="64"/>
        <v/>
      </c>
      <c r="C2079" s="120" t="s">
        <v>128</v>
      </c>
      <c r="D2079"/>
      <c r="E2079"/>
      <c r="F2079"/>
      <c r="G2079"/>
      <c r="H2079"/>
      <c r="I2079" s="21" t="str">
        <f t="shared" si="65"/>
        <v/>
      </c>
      <c r="L2079" s="24"/>
      <c r="M2079" s="24"/>
    </row>
    <row r="2080" spans="1:13">
      <c r="A2080" s="10" t="str">
        <f t="shared" si="64"/>
        <v/>
      </c>
      <c r="C2080" s="120" t="s">
        <v>280</v>
      </c>
      <c r="D2080"/>
      <c r="E2080"/>
      <c r="F2080"/>
      <c r="G2080"/>
      <c r="H2080"/>
      <c r="I2080" s="21" t="str">
        <f t="shared" si="65"/>
        <v/>
      </c>
      <c r="L2080" s="24"/>
      <c r="M2080" s="24"/>
    </row>
    <row r="2081" spans="1:13">
      <c r="A2081" s="14" t="str">
        <f t="shared" si="64"/>
        <v/>
      </c>
      <c r="C2081" s="120" t="s">
        <v>282</v>
      </c>
      <c r="D2081"/>
      <c r="E2081"/>
      <c r="F2081"/>
      <c r="G2081"/>
      <c r="H2081"/>
      <c r="I2081" s="21" t="str">
        <f t="shared" si="65"/>
        <v/>
      </c>
      <c r="L2081" s="24"/>
      <c r="M2081" s="24"/>
    </row>
    <row r="2082" spans="1:13">
      <c r="A2082" s="10" t="str">
        <f t="shared" si="64"/>
        <v/>
      </c>
      <c r="C2082" s="120" t="s">
        <v>284</v>
      </c>
      <c r="D2082"/>
      <c r="E2082"/>
      <c r="F2082"/>
      <c r="G2082"/>
      <c r="H2082"/>
      <c r="I2082" s="21" t="str">
        <f t="shared" si="65"/>
        <v/>
      </c>
      <c r="L2082" s="24"/>
      <c r="M2082" s="24"/>
    </row>
    <row r="2083" spans="1:13">
      <c r="A2083" s="14" t="str">
        <f t="shared" si="64"/>
        <v/>
      </c>
      <c r="C2083" s="120" t="s">
        <v>286</v>
      </c>
      <c r="D2083"/>
      <c r="E2083"/>
      <c r="F2083"/>
      <c r="G2083"/>
      <c r="H2083"/>
      <c r="I2083" s="21" t="str">
        <f t="shared" si="65"/>
        <v/>
      </c>
      <c r="L2083" s="24"/>
      <c r="M2083" s="24"/>
    </row>
    <row r="2084" spans="1:13">
      <c r="A2084" s="10" t="str">
        <f t="shared" si="64"/>
        <v/>
      </c>
      <c r="C2084" s="120" t="s">
        <v>126</v>
      </c>
      <c r="D2084"/>
      <c r="E2084"/>
      <c r="F2084"/>
      <c r="G2084"/>
      <c r="H2084"/>
      <c r="I2084" s="21" t="str">
        <f t="shared" si="65"/>
        <v/>
      </c>
      <c r="L2084" s="24"/>
      <c r="M2084" s="24"/>
    </row>
    <row r="2085" spans="1:13">
      <c r="A2085" s="14" t="str">
        <f t="shared" si="64"/>
        <v/>
      </c>
      <c r="C2085" s="120" t="s">
        <v>128</v>
      </c>
      <c r="D2085"/>
      <c r="E2085"/>
      <c r="F2085"/>
      <c r="G2085"/>
      <c r="H2085"/>
      <c r="I2085" s="21" t="str">
        <f t="shared" si="65"/>
        <v/>
      </c>
      <c r="L2085" s="24"/>
      <c r="M2085" s="24"/>
    </row>
    <row r="2086" spans="1:13">
      <c r="A2086" s="10" t="str">
        <f t="shared" si="64"/>
        <v/>
      </c>
      <c r="C2086" s="120" t="s">
        <v>280</v>
      </c>
      <c r="D2086"/>
      <c r="E2086"/>
      <c r="F2086"/>
      <c r="G2086"/>
      <c r="H2086"/>
      <c r="I2086" s="21" t="str">
        <f t="shared" si="65"/>
        <v/>
      </c>
      <c r="L2086" s="24"/>
      <c r="M2086" s="24"/>
    </row>
    <row r="2087" spans="1:13">
      <c r="A2087" s="14" t="str">
        <f t="shared" si="64"/>
        <v/>
      </c>
      <c r="C2087" s="120" t="s">
        <v>282</v>
      </c>
      <c r="D2087"/>
      <c r="E2087"/>
      <c r="F2087"/>
      <c r="G2087"/>
      <c r="H2087"/>
      <c r="I2087" s="21" t="str">
        <f t="shared" si="65"/>
        <v/>
      </c>
      <c r="L2087" s="24"/>
      <c r="M2087" s="24"/>
    </row>
    <row r="2088" spans="1:13">
      <c r="A2088" s="10" t="str">
        <f t="shared" si="64"/>
        <v/>
      </c>
      <c r="C2088" s="120" t="s">
        <v>284</v>
      </c>
      <c r="D2088"/>
      <c r="E2088"/>
      <c r="F2088"/>
      <c r="G2088"/>
      <c r="H2088"/>
      <c r="I2088" s="21" t="str">
        <f t="shared" si="65"/>
        <v/>
      </c>
      <c r="L2088" s="24"/>
      <c r="M2088" s="24"/>
    </row>
    <row r="2089" spans="1:13">
      <c r="A2089" s="14" t="str">
        <f t="shared" si="64"/>
        <v/>
      </c>
      <c r="C2089" s="120" t="s">
        <v>286</v>
      </c>
      <c r="D2089"/>
      <c r="E2089"/>
      <c r="F2089"/>
      <c r="G2089"/>
      <c r="H2089"/>
      <c r="I2089" s="21" t="str">
        <f t="shared" si="65"/>
        <v/>
      </c>
      <c r="L2089" s="24"/>
      <c r="M2089" s="24"/>
    </row>
    <row r="2090" spans="1:13">
      <c r="A2090" s="10" t="str">
        <f t="shared" si="64"/>
        <v/>
      </c>
      <c r="C2090" s="120" t="s">
        <v>126</v>
      </c>
      <c r="D2090"/>
      <c r="E2090"/>
      <c r="F2090"/>
      <c r="G2090"/>
      <c r="H2090"/>
      <c r="I2090" s="21" t="str">
        <f t="shared" si="65"/>
        <v/>
      </c>
      <c r="L2090" s="24"/>
      <c r="M2090" s="24"/>
    </row>
    <row r="2091" spans="1:13">
      <c r="A2091" s="14" t="str">
        <f t="shared" si="64"/>
        <v/>
      </c>
      <c r="C2091" s="120" t="s">
        <v>128</v>
      </c>
      <c r="D2091"/>
      <c r="E2091"/>
      <c r="F2091"/>
      <c r="G2091"/>
      <c r="H2091"/>
      <c r="I2091" s="21" t="str">
        <f t="shared" si="65"/>
        <v/>
      </c>
      <c r="L2091" s="24"/>
      <c r="M2091" s="24"/>
    </row>
    <row r="2092" spans="1:13">
      <c r="A2092" s="10" t="str">
        <f t="shared" si="64"/>
        <v/>
      </c>
      <c r="C2092" s="120" t="s">
        <v>280</v>
      </c>
      <c r="D2092"/>
      <c r="E2092"/>
      <c r="F2092"/>
      <c r="G2092"/>
      <c r="H2092"/>
      <c r="I2092" s="21" t="str">
        <f t="shared" si="65"/>
        <v/>
      </c>
      <c r="L2092" s="24"/>
      <c r="M2092" s="24"/>
    </row>
    <row r="2093" spans="1:13">
      <c r="A2093" s="14" t="str">
        <f t="shared" si="64"/>
        <v/>
      </c>
      <c r="C2093" s="120" t="s">
        <v>282</v>
      </c>
      <c r="D2093"/>
      <c r="E2093"/>
      <c r="F2093"/>
      <c r="G2093"/>
      <c r="H2093"/>
      <c r="I2093" s="21" t="str">
        <f t="shared" si="65"/>
        <v/>
      </c>
      <c r="L2093" s="24"/>
      <c r="M2093" s="24"/>
    </row>
    <row r="2094" spans="1:13">
      <c r="A2094" s="10" t="str">
        <f t="shared" si="64"/>
        <v/>
      </c>
      <c r="C2094" s="120" t="s">
        <v>284</v>
      </c>
      <c r="D2094"/>
      <c r="E2094"/>
      <c r="F2094"/>
      <c r="G2094"/>
      <c r="H2094"/>
      <c r="I2094" s="21" t="str">
        <f t="shared" si="65"/>
        <v/>
      </c>
      <c r="L2094" s="24"/>
      <c r="M2094" s="24"/>
    </row>
    <row r="2095" spans="1:13">
      <c r="A2095" s="14" t="str">
        <f t="shared" si="64"/>
        <v/>
      </c>
      <c r="C2095" s="120" t="s">
        <v>286</v>
      </c>
      <c r="D2095"/>
      <c r="E2095"/>
      <c r="F2095"/>
      <c r="G2095"/>
      <c r="H2095"/>
      <c r="I2095" s="21" t="str">
        <f t="shared" si="65"/>
        <v/>
      </c>
      <c r="L2095" s="24"/>
      <c r="M2095" s="24"/>
    </row>
    <row r="2096" spans="1:13">
      <c r="A2096" s="10" t="str">
        <f t="shared" si="64"/>
        <v/>
      </c>
      <c r="C2096" s="120" t="s">
        <v>126</v>
      </c>
      <c r="D2096"/>
      <c r="E2096"/>
      <c r="F2096"/>
      <c r="G2096"/>
      <c r="H2096"/>
      <c r="I2096" s="21" t="str">
        <f t="shared" si="65"/>
        <v/>
      </c>
      <c r="L2096" s="24"/>
      <c r="M2096" s="24"/>
    </row>
    <row r="2097" spans="1:13">
      <c r="A2097" s="14" t="str">
        <f t="shared" si="64"/>
        <v/>
      </c>
      <c r="C2097" s="120" t="s">
        <v>128</v>
      </c>
      <c r="D2097"/>
      <c r="E2097"/>
      <c r="F2097"/>
      <c r="G2097"/>
      <c r="H2097"/>
      <c r="I2097" s="21" t="str">
        <f t="shared" si="65"/>
        <v/>
      </c>
      <c r="L2097" s="24"/>
      <c r="M2097" s="24"/>
    </row>
    <row r="2098" spans="1:13">
      <c r="A2098" s="10" t="str">
        <f t="shared" si="64"/>
        <v/>
      </c>
      <c r="C2098" s="120" t="s">
        <v>280</v>
      </c>
      <c r="D2098"/>
      <c r="E2098"/>
      <c r="F2098"/>
      <c r="G2098"/>
      <c r="H2098"/>
      <c r="I2098" s="21" t="str">
        <f t="shared" si="65"/>
        <v/>
      </c>
      <c r="L2098" s="24"/>
      <c r="M2098" s="24"/>
    </row>
    <row r="2099" spans="1:13">
      <c r="A2099" s="14" t="str">
        <f t="shared" si="64"/>
        <v/>
      </c>
      <c r="C2099" s="120" t="s">
        <v>282</v>
      </c>
      <c r="D2099"/>
      <c r="E2099"/>
      <c r="F2099"/>
      <c r="G2099"/>
      <c r="H2099"/>
      <c r="I2099" s="21" t="str">
        <f t="shared" si="65"/>
        <v/>
      </c>
      <c r="L2099" s="24"/>
      <c r="M2099" s="24"/>
    </row>
    <row r="2100" spans="1:13">
      <c r="A2100" s="10" t="str">
        <f t="shared" si="64"/>
        <v/>
      </c>
      <c r="C2100" s="120" t="s">
        <v>284</v>
      </c>
      <c r="D2100"/>
      <c r="E2100"/>
      <c r="F2100"/>
      <c r="G2100"/>
      <c r="H2100"/>
      <c r="I2100" s="21" t="str">
        <f t="shared" si="65"/>
        <v/>
      </c>
      <c r="L2100" s="24"/>
      <c r="M2100" s="24"/>
    </row>
    <row r="2101" spans="1:13">
      <c r="A2101" s="14" t="str">
        <f t="shared" si="64"/>
        <v/>
      </c>
      <c r="C2101" s="120" t="s">
        <v>286</v>
      </c>
      <c r="D2101"/>
      <c r="E2101"/>
      <c r="F2101"/>
      <c r="G2101"/>
      <c r="H2101"/>
      <c r="I2101" s="21" t="str">
        <f t="shared" si="65"/>
        <v/>
      </c>
      <c r="L2101" s="24"/>
      <c r="M2101" s="24"/>
    </row>
    <row r="2102" spans="1:13">
      <c r="A2102" s="10" t="str">
        <f t="shared" si="64"/>
        <v/>
      </c>
      <c r="C2102" s="120" t="s">
        <v>126</v>
      </c>
      <c r="D2102"/>
      <c r="E2102"/>
      <c r="F2102"/>
      <c r="G2102"/>
      <c r="H2102"/>
      <c r="I2102" s="21" t="str">
        <f t="shared" si="65"/>
        <v/>
      </c>
      <c r="L2102" s="24"/>
      <c r="M2102" s="24"/>
    </row>
    <row r="2103" spans="1:13">
      <c r="A2103" s="14" t="str">
        <f t="shared" si="64"/>
        <v/>
      </c>
      <c r="C2103" s="120" t="s">
        <v>128</v>
      </c>
      <c r="D2103"/>
      <c r="E2103"/>
      <c r="F2103"/>
      <c r="G2103"/>
      <c r="H2103"/>
      <c r="I2103" s="21" t="str">
        <f t="shared" si="65"/>
        <v/>
      </c>
      <c r="L2103" s="24"/>
      <c r="M2103" s="24"/>
    </row>
    <row r="2104" spans="1:13">
      <c r="A2104" s="10" t="str">
        <f t="shared" si="64"/>
        <v/>
      </c>
      <c r="C2104" s="120" t="s">
        <v>280</v>
      </c>
      <c r="D2104"/>
      <c r="E2104"/>
      <c r="F2104"/>
      <c r="G2104"/>
      <c r="H2104"/>
      <c r="I2104" s="21" t="str">
        <f t="shared" si="65"/>
        <v/>
      </c>
      <c r="L2104" s="24"/>
      <c r="M2104" s="24"/>
    </row>
    <row r="2105" spans="1:13">
      <c r="A2105" s="14" t="str">
        <f t="shared" si="64"/>
        <v/>
      </c>
      <c r="C2105" s="120" t="s">
        <v>282</v>
      </c>
      <c r="D2105"/>
      <c r="E2105"/>
      <c r="F2105"/>
      <c r="G2105"/>
      <c r="H2105"/>
      <c r="I2105" s="21" t="str">
        <f t="shared" si="65"/>
        <v/>
      </c>
      <c r="L2105" s="24"/>
      <c r="M2105" s="24"/>
    </row>
    <row r="2106" spans="1:13">
      <c r="A2106" s="10" t="str">
        <f t="shared" si="64"/>
        <v/>
      </c>
      <c r="C2106" s="120" t="s">
        <v>284</v>
      </c>
      <c r="D2106"/>
      <c r="E2106"/>
      <c r="F2106"/>
      <c r="G2106"/>
      <c r="H2106"/>
      <c r="I2106" s="21" t="str">
        <f t="shared" si="65"/>
        <v/>
      </c>
      <c r="L2106" s="24"/>
      <c r="M2106" s="24"/>
    </row>
    <row r="2107" spans="1:13">
      <c r="A2107" s="14" t="str">
        <f t="shared" si="64"/>
        <v/>
      </c>
      <c r="C2107" s="120" t="s">
        <v>286</v>
      </c>
      <c r="D2107"/>
      <c r="E2107"/>
      <c r="F2107"/>
      <c r="G2107"/>
      <c r="H2107"/>
      <c r="I2107" s="21" t="str">
        <f t="shared" si="65"/>
        <v/>
      </c>
      <c r="L2107" s="24"/>
      <c r="M2107" s="24"/>
    </row>
    <row r="2108" spans="1:13">
      <c r="A2108" s="10" t="str">
        <f t="shared" si="64"/>
        <v/>
      </c>
      <c r="C2108" s="120" t="s">
        <v>126</v>
      </c>
      <c r="D2108"/>
      <c r="E2108"/>
      <c r="F2108"/>
      <c r="G2108"/>
      <c r="H2108"/>
      <c r="I2108" s="21" t="str">
        <f t="shared" si="65"/>
        <v/>
      </c>
      <c r="L2108" s="24"/>
      <c r="M2108" s="24"/>
    </row>
    <row r="2109" spans="1:13">
      <c r="A2109" s="14" t="str">
        <f t="shared" si="64"/>
        <v/>
      </c>
      <c r="C2109" s="120" t="s">
        <v>128</v>
      </c>
      <c r="D2109"/>
      <c r="E2109"/>
      <c r="F2109"/>
      <c r="G2109"/>
      <c r="H2109"/>
      <c r="I2109" s="21" t="str">
        <f t="shared" si="65"/>
        <v/>
      </c>
      <c r="L2109" s="24"/>
      <c r="M2109" s="24"/>
    </row>
    <row r="2110" spans="1:13">
      <c r="A2110" s="10" t="str">
        <f t="shared" si="64"/>
        <v/>
      </c>
      <c r="C2110" s="120" t="s">
        <v>280</v>
      </c>
      <c r="D2110"/>
      <c r="E2110"/>
      <c r="F2110"/>
      <c r="G2110"/>
      <c r="H2110"/>
      <c r="I2110" s="21" t="str">
        <f t="shared" si="65"/>
        <v/>
      </c>
      <c r="L2110" s="24"/>
      <c r="M2110" s="24"/>
    </row>
    <row r="2111" spans="1:13">
      <c r="A2111" s="14" t="str">
        <f t="shared" si="64"/>
        <v/>
      </c>
      <c r="C2111" s="120" t="s">
        <v>282</v>
      </c>
      <c r="D2111"/>
      <c r="E2111"/>
      <c r="F2111"/>
      <c r="G2111"/>
      <c r="H2111"/>
      <c r="I2111" s="21" t="str">
        <f t="shared" si="65"/>
        <v/>
      </c>
      <c r="L2111" s="24"/>
      <c r="M2111" s="24"/>
    </row>
    <row r="2112" spans="1:13">
      <c r="A2112" s="10" t="str">
        <f t="shared" si="64"/>
        <v/>
      </c>
      <c r="C2112" s="120" t="s">
        <v>284</v>
      </c>
      <c r="D2112"/>
      <c r="E2112"/>
      <c r="F2112"/>
      <c r="G2112"/>
      <c r="H2112"/>
      <c r="I2112" s="21" t="str">
        <f t="shared" si="65"/>
        <v/>
      </c>
      <c r="L2112" s="24"/>
      <c r="M2112" s="24"/>
    </row>
    <row r="2113" spans="1:13">
      <c r="A2113" s="14" t="str">
        <f t="shared" si="64"/>
        <v/>
      </c>
      <c r="C2113" s="120" t="s">
        <v>286</v>
      </c>
      <c r="D2113"/>
      <c r="E2113"/>
      <c r="F2113"/>
      <c r="G2113"/>
      <c r="H2113"/>
      <c r="I2113" s="21" t="str">
        <f t="shared" si="65"/>
        <v/>
      </c>
      <c r="L2113" s="24"/>
      <c r="M2113" s="24"/>
    </row>
    <row r="2114" spans="1:13">
      <c r="A2114" s="10" t="str">
        <f t="shared" ref="A2114:A2177" si="66">IF(B2114&lt;&gt;"",ROW()-1,"")</f>
        <v/>
      </c>
      <c r="C2114" s="120" t="s">
        <v>126</v>
      </c>
      <c r="D2114"/>
      <c r="E2114"/>
      <c r="F2114"/>
      <c r="G2114"/>
      <c r="H2114"/>
      <c r="I2114" s="21" t="str">
        <f t="shared" ref="I2114:I2177" si="67">IF(AND(G2114&lt;&gt;"",H2114&lt;&gt;""),H2114-G2114,"")</f>
        <v/>
      </c>
      <c r="L2114" s="24"/>
      <c r="M2114" s="24"/>
    </row>
    <row r="2115" spans="1:13">
      <c r="A2115" s="14" t="str">
        <f t="shared" si="66"/>
        <v/>
      </c>
      <c r="C2115" s="120" t="s">
        <v>128</v>
      </c>
      <c r="D2115"/>
      <c r="E2115"/>
      <c r="F2115"/>
      <c r="G2115"/>
      <c r="H2115"/>
      <c r="I2115" s="21" t="str">
        <f t="shared" si="67"/>
        <v/>
      </c>
      <c r="L2115" s="24"/>
      <c r="M2115" s="24"/>
    </row>
    <row r="2116" spans="1:13">
      <c r="A2116" s="10" t="str">
        <f t="shared" si="66"/>
        <v/>
      </c>
      <c r="C2116" s="120" t="s">
        <v>280</v>
      </c>
      <c r="D2116"/>
      <c r="E2116"/>
      <c r="F2116"/>
      <c r="G2116"/>
      <c r="H2116"/>
      <c r="I2116" s="21" t="str">
        <f t="shared" si="67"/>
        <v/>
      </c>
      <c r="L2116" s="24"/>
      <c r="M2116" s="24"/>
    </row>
    <row r="2117" spans="1:13">
      <c r="A2117" s="14" t="str">
        <f t="shared" si="66"/>
        <v/>
      </c>
      <c r="C2117" s="120" t="s">
        <v>282</v>
      </c>
      <c r="D2117"/>
      <c r="E2117"/>
      <c r="F2117"/>
      <c r="G2117"/>
      <c r="H2117"/>
      <c r="I2117" s="21" t="str">
        <f t="shared" si="67"/>
        <v/>
      </c>
      <c r="L2117" s="24"/>
      <c r="M2117" s="24"/>
    </row>
    <row r="2118" spans="1:13">
      <c r="A2118" s="10" t="str">
        <f t="shared" si="66"/>
        <v/>
      </c>
      <c r="C2118" s="120" t="s">
        <v>284</v>
      </c>
      <c r="D2118"/>
      <c r="E2118"/>
      <c r="F2118"/>
      <c r="G2118"/>
      <c r="H2118"/>
      <c r="I2118" s="21" t="str">
        <f t="shared" si="67"/>
        <v/>
      </c>
      <c r="L2118" s="24"/>
      <c r="M2118" s="24"/>
    </row>
    <row r="2119" spans="1:13">
      <c r="A2119" s="14" t="str">
        <f t="shared" si="66"/>
        <v/>
      </c>
      <c r="C2119" s="120" t="s">
        <v>286</v>
      </c>
      <c r="D2119"/>
      <c r="E2119"/>
      <c r="F2119"/>
      <c r="G2119"/>
      <c r="H2119"/>
      <c r="I2119" s="21" t="str">
        <f t="shared" si="67"/>
        <v/>
      </c>
      <c r="L2119" s="24"/>
      <c r="M2119" s="24"/>
    </row>
    <row r="2120" spans="1:13">
      <c r="A2120" s="10" t="str">
        <f t="shared" si="66"/>
        <v/>
      </c>
      <c r="C2120" s="120" t="s">
        <v>126</v>
      </c>
      <c r="D2120"/>
      <c r="E2120"/>
      <c r="F2120"/>
      <c r="G2120"/>
      <c r="H2120"/>
      <c r="I2120" s="21" t="str">
        <f t="shared" si="67"/>
        <v/>
      </c>
      <c r="L2120" s="24"/>
      <c r="M2120" s="24"/>
    </row>
    <row r="2121" spans="1:13">
      <c r="A2121" s="14" t="str">
        <f t="shared" si="66"/>
        <v/>
      </c>
      <c r="C2121" s="120" t="s">
        <v>128</v>
      </c>
      <c r="D2121"/>
      <c r="E2121"/>
      <c r="F2121"/>
      <c r="G2121"/>
      <c r="H2121"/>
      <c r="I2121" s="21" t="str">
        <f t="shared" si="67"/>
        <v/>
      </c>
      <c r="L2121" s="24"/>
      <c r="M2121" s="24"/>
    </row>
    <row r="2122" spans="1:13">
      <c r="A2122" s="10" t="str">
        <f t="shared" si="66"/>
        <v/>
      </c>
      <c r="C2122" s="120" t="s">
        <v>280</v>
      </c>
      <c r="D2122"/>
      <c r="E2122"/>
      <c r="F2122"/>
      <c r="G2122"/>
      <c r="H2122"/>
      <c r="I2122" s="21" t="str">
        <f t="shared" si="67"/>
        <v/>
      </c>
      <c r="L2122" s="24"/>
      <c r="M2122" s="24"/>
    </row>
    <row r="2123" spans="1:13">
      <c r="A2123" s="14" t="str">
        <f t="shared" si="66"/>
        <v/>
      </c>
      <c r="C2123" s="120" t="s">
        <v>282</v>
      </c>
      <c r="D2123"/>
      <c r="E2123"/>
      <c r="F2123"/>
      <c r="G2123"/>
      <c r="H2123"/>
      <c r="I2123" s="21" t="str">
        <f t="shared" si="67"/>
        <v/>
      </c>
      <c r="L2123" s="24"/>
      <c r="M2123" s="24"/>
    </row>
    <row r="2124" spans="1:13">
      <c r="A2124" s="10" t="str">
        <f t="shared" si="66"/>
        <v/>
      </c>
      <c r="C2124" s="120" t="s">
        <v>284</v>
      </c>
      <c r="D2124"/>
      <c r="E2124"/>
      <c r="F2124"/>
      <c r="G2124"/>
      <c r="H2124"/>
      <c r="I2124" s="21" t="str">
        <f t="shared" si="67"/>
        <v/>
      </c>
      <c r="L2124" s="24"/>
      <c r="M2124" s="24"/>
    </row>
    <row r="2125" spans="1:13">
      <c r="A2125" s="14" t="str">
        <f t="shared" si="66"/>
        <v/>
      </c>
      <c r="C2125" s="120" t="s">
        <v>286</v>
      </c>
      <c r="D2125"/>
      <c r="E2125"/>
      <c r="F2125"/>
      <c r="G2125"/>
      <c r="H2125"/>
      <c r="I2125" s="21" t="str">
        <f t="shared" si="67"/>
        <v/>
      </c>
      <c r="L2125" s="24"/>
      <c r="M2125" s="24"/>
    </row>
    <row r="2126" spans="1:13">
      <c r="A2126" s="10" t="str">
        <f t="shared" si="66"/>
        <v/>
      </c>
      <c r="C2126" s="120" t="s">
        <v>126</v>
      </c>
      <c r="D2126"/>
      <c r="E2126"/>
      <c r="F2126"/>
      <c r="G2126"/>
      <c r="H2126"/>
      <c r="I2126" s="21" t="str">
        <f t="shared" si="67"/>
        <v/>
      </c>
      <c r="L2126" s="24"/>
      <c r="M2126" s="24"/>
    </row>
    <row r="2127" spans="1:13">
      <c r="A2127" s="14" t="str">
        <f t="shared" si="66"/>
        <v/>
      </c>
      <c r="C2127" s="120" t="s">
        <v>128</v>
      </c>
      <c r="D2127"/>
      <c r="E2127"/>
      <c r="F2127"/>
      <c r="G2127"/>
      <c r="H2127"/>
      <c r="I2127" s="21" t="str">
        <f t="shared" si="67"/>
        <v/>
      </c>
      <c r="L2127" s="24"/>
      <c r="M2127" s="24"/>
    </row>
    <row r="2128" spans="1:13">
      <c r="A2128" s="10" t="str">
        <f t="shared" si="66"/>
        <v/>
      </c>
      <c r="C2128" s="120" t="s">
        <v>280</v>
      </c>
      <c r="D2128"/>
      <c r="E2128"/>
      <c r="F2128"/>
      <c r="G2128"/>
      <c r="H2128"/>
      <c r="I2128" s="21" t="str">
        <f t="shared" si="67"/>
        <v/>
      </c>
      <c r="L2128" s="24"/>
      <c r="M2128" s="24"/>
    </row>
    <row r="2129" spans="1:13">
      <c r="A2129" s="14" t="str">
        <f t="shared" si="66"/>
        <v/>
      </c>
      <c r="C2129" s="120" t="s">
        <v>282</v>
      </c>
      <c r="D2129"/>
      <c r="E2129"/>
      <c r="F2129"/>
      <c r="G2129"/>
      <c r="H2129"/>
      <c r="I2129" s="21" t="str">
        <f t="shared" si="67"/>
        <v/>
      </c>
      <c r="L2129" s="24"/>
      <c r="M2129" s="24"/>
    </row>
    <row r="2130" spans="1:13">
      <c r="A2130" s="10" t="str">
        <f t="shared" si="66"/>
        <v/>
      </c>
      <c r="C2130" s="120" t="s">
        <v>284</v>
      </c>
      <c r="D2130"/>
      <c r="E2130"/>
      <c r="F2130"/>
      <c r="G2130"/>
      <c r="H2130"/>
      <c r="I2130" s="21" t="str">
        <f t="shared" si="67"/>
        <v/>
      </c>
      <c r="L2130" s="24"/>
      <c r="M2130" s="24"/>
    </row>
    <row r="2131" spans="1:13">
      <c r="A2131" s="14" t="str">
        <f t="shared" si="66"/>
        <v/>
      </c>
      <c r="C2131" s="120" t="s">
        <v>286</v>
      </c>
      <c r="D2131"/>
      <c r="E2131"/>
      <c r="F2131"/>
      <c r="G2131"/>
      <c r="H2131"/>
      <c r="I2131" s="21" t="str">
        <f t="shared" si="67"/>
        <v/>
      </c>
      <c r="L2131" s="24"/>
      <c r="M2131" s="24"/>
    </row>
    <row r="2132" spans="1:13">
      <c r="A2132" s="10" t="str">
        <f t="shared" si="66"/>
        <v/>
      </c>
      <c r="C2132" s="120" t="s">
        <v>126</v>
      </c>
      <c r="D2132"/>
      <c r="E2132"/>
      <c r="F2132"/>
      <c r="G2132"/>
      <c r="H2132"/>
      <c r="I2132" s="21" t="str">
        <f t="shared" si="67"/>
        <v/>
      </c>
      <c r="L2132" s="24"/>
      <c r="M2132" s="24"/>
    </row>
    <row r="2133" spans="1:13">
      <c r="A2133" s="14" t="str">
        <f t="shared" si="66"/>
        <v/>
      </c>
      <c r="C2133" s="120" t="s">
        <v>128</v>
      </c>
      <c r="D2133"/>
      <c r="E2133"/>
      <c r="F2133"/>
      <c r="G2133"/>
      <c r="H2133"/>
      <c r="I2133" s="21" t="str">
        <f t="shared" si="67"/>
        <v/>
      </c>
      <c r="L2133" s="24"/>
      <c r="M2133" s="24"/>
    </row>
    <row r="2134" spans="1:13">
      <c r="A2134" s="10" t="str">
        <f t="shared" si="66"/>
        <v/>
      </c>
      <c r="C2134" s="120" t="s">
        <v>280</v>
      </c>
      <c r="D2134"/>
      <c r="E2134"/>
      <c r="F2134"/>
      <c r="G2134"/>
      <c r="H2134"/>
      <c r="I2134" s="21" t="str">
        <f t="shared" si="67"/>
        <v/>
      </c>
      <c r="L2134" s="24"/>
      <c r="M2134" s="24"/>
    </row>
    <row r="2135" spans="1:13">
      <c r="A2135" s="14" t="str">
        <f t="shared" si="66"/>
        <v/>
      </c>
      <c r="C2135" s="120" t="s">
        <v>282</v>
      </c>
      <c r="D2135"/>
      <c r="E2135"/>
      <c r="F2135"/>
      <c r="G2135"/>
      <c r="H2135"/>
      <c r="I2135" s="21" t="str">
        <f t="shared" si="67"/>
        <v/>
      </c>
      <c r="L2135" s="24"/>
      <c r="M2135" s="24"/>
    </row>
    <row r="2136" spans="1:13">
      <c r="A2136" s="10" t="str">
        <f t="shared" si="66"/>
        <v/>
      </c>
      <c r="C2136" s="120" t="s">
        <v>284</v>
      </c>
      <c r="D2136"/>
      <c r="E2136"/>
      <c r="F2136"/>
      <c r="G2136"/>
      <c r="H2136"/>
      <c r="I2136" s="21" t="str">
        <f t="shared" si="67"/>
        <v/>
      </c>
      <c r="L2136" s="24"/>
      <c r="M2136" s="24"/>
    </row>
    <row r="2137" spans="1:13">
      <c r="A2137" s="14" t="str">
        <f t="shared" si="66"/>
        <v/>
      </c>
      <c r="C2137" s="120" t="s">
        <v>286</v>
      </c>
      <c r="D2137"/>
      <c r="E2137"/>
      <c r="F2137"/>
      <c r="G2137"/>
      <c r="H2137"/>
      <c r="I2137" s="21" t="str">
        <f t="shared" si="67"/>
        <v/>
      </c>
      <c r="L2137" s="24"/>
      <c r="M2137" s="24"/>
    </row>
    <row r="2138" spans="1:13">
      <c r="A2138" s="10" t="str">
        <f t="shared" si="66"/>
        <v/>
      </c>
      <c r="C2138" s="120" t="s">
        <v>126</v>
      </c>
      <c r="D2138"/>
      <c r="E2138"/>
      <c r="F2138"/>
      <c r="G2138"/>
      <c r="H2138"/>
      <c r="I2138" s="21" t="str">
        <f t="shared" si="67"/>
        <v/>
      </c>
      <c r="L2138" s="24"/>
      <c r="M2138" s="24"/>
    </row>
    <row r="2139" spans="1:13">
      <c r="A2139" s="14" t="str">
        <f t="shared" si="66"/>
        <v/>
      </c>
      <c r="C2139" s="120" t="s">
        <v>128</v>
      </c>
      <c r="D2139"/>
      <c r="E2139"/>
      <c r="F2139"/>
      <c r="G2139"/>
      <c r="H2139"/>
      <c r="I2139" s="21" t="str">
        <f t="shared" si="67"/>
        <v/>
      </c>
      <c r="L2139" s="24"/>
      <c r="M2139" s="24"/>
    </row>
    <row r="2140" spans="1:13">
      <c r="A2140" s="10" t="str">
        <f t="shared" si="66"/>
        <v/>
      </c>
      <c r="C2140" s="120" t="s">
        <v>280</v>
      </c>
      <c r="D2140"/>
      <c r="E2140"/>
      <c r="F2140"/>
      <c r="G2140"/>
      <c r="H2140"/>
      <c r="I2140" s="21" t="str">
        <f t="shared" si="67"/>
        <v/>
      </c>
      <c r="L2140" s="24"/>
      <c r="M2140" s="24"/>
    </row>
    <row r="2141" spans="1:13">
      <c r="A2141" s="14" t="str">
        <f t="shared" si="66"/>
        <v/>
      </c>
      <c r="C2141" s="120" t="s">
        <v>282</v>
      </c>
      <c r="D2141"/>
      <c r="E2141"/>
      <c r="F2141"/>
      <c r="G2141"/>
      <c r="H2141"/>
      <c r="I2141" s="21" t="str">
        <f t="shared" si="67"/>
        <v/>
      </c>
      <c r="L2141" s="24"/>
      <c r="M2141" s="24"/>
    </row>
    <row r="2142" spans="1:13">
      <c r="A2142" s="10" t="str">
        <f t="shared" si="66"/>
        <v/>
      </c>
      <c r="C2142" s="120" t="s">
        <v>284</v>
      </c>
      <c r="D2142"/>
      <c r="E2142"/>
      <c r="F2142"/>
      <c r="G2142"/>
      <c r="H2142"/>
      <c r="I2142" s="21" t="str">
        <f t="shared" si="67"/>
        <v/>
      </c>
      <c r="L2142" s="24"/>
      <c r="M2142" s="24"/>
    </row>
    <row r="2143" spans="1:13">
      <c r="A2143" s="14" t="str">
        <f t="shared" si="66"/>
        <v/>
      </c>
      <c r="C2143" s="120" t="s">
        <v>286</v>
      </c>
      <c r="D2143"/>
      <c r="E2143"/>
      <c r="F2143"/>
      <c r="G2143"/>
      <c r="H2143"/>
      <c r="I2143" s="21" t="str">
        <f t="shared" si="67"/>
        <v/>
      </c>
      <c r="L2143" s="24"/>
      <c r="M2143" s="24"/>
    </row>
    <row r="2144" spans="1:13">
      <c r="A2144" s="10" t="str">
        <f t="shared" si="66"/>
        <v/>
      </c>
      <c r="C2144" s="120" t="s">
        <v>126</v>
      </c>
      <c r="D2144"/>
      <c r="E2144"/>
      <c r="F2144"/>
      <c r="G2144"/>
      <c r="H2144"/>
      <c r="I2144" s="21" t="str">
        <f t="shared" si="67"/>
        <v/>
      </c>
      <c r="L2144" s="24"/>
      <c r="M2144" s="24"/>
    </row>
    <row r="2145" spans="1:13">
      <c r="A2145" s="14" t="str">
        <f t="shared" si="66"/>
        <v/>
      </c>
      <c r="C2145" s="120" t="s">
        <v>128</v>
      </c>
      <c r="D2145"/>
      <c r="E2145"/>
      <c r="F2145"/>
      <c r="G2145"/>
      <c r="H2145"/>
      <c r="I2145" s="21" t="str">
        <f t="shared" si="67"/>
        <v/>
      </c>
      <c r="L2145" s="24"/>
      <c r="M2145" s="24"/>
    </row>
    <row r="2146" spans="1:13">
      <c r="A2146" s="10" t="str">
        <f t="shared" si="66"/>
        <v/>
      </c>
      <c r="C2146" s="120" t="s">
        <v>280</v>
      </c>
      <c r="D2146"/>
      <c r="E2146"/>
      <c r="F2146"/>
      <c r="G2146"/>
      <c r="H2146"/>
      <c r="I2146" s="21" t="str">
        <f t="shared" si="67"/>
        <v/>
      </c>
      <c r="L2146" s="24"/>
      <c r="M2146" s="24"/>
    </row>
    <row r="2147" spans="1:13">
      <c r="A2147" s="14" t="str">
        <f t="shared" si="66"/>
        <v/>
      </c>
      <c r="C2147" s="120" t="s">
        <v>282</v>
      </c>
      <c r="D2147"/>
      <c r="E2147"/>
      <c r="F2147"/>
      <c r="G2147"/>
      <c r="H2147"/>
      <c r="I2147" s="21" t="str">
        <f t="shared" si="67"/>
        <v/>
      </c>
      <c r="L2147" s="24"/>
      <c r="M2147" s="24"/>
    </row>
    <row r="2148" spans="1:13">
      <c r="A2148" s="10" t="str">
        <f t="shared" si="66"/>
        <v/>
      </c>
      <c r="C2148" s="120" t="s">
        <v>284</v>
      </c>
      <c r="D2148"/>
      <c r="E2148"/>
      <c r="F2148"/>
      <c r="G2148"/>
      <c r="H2148"/>
      <c r="I2148" s="21" t="str">
        <f t="shared" si="67"/>
        <v/>
      </c>
      <c r="L2148" s="24"/>
      <c r="M2148" s="24"/>
    </row>
    <row r="2149" spans="1:13">
      <c r="A2149" s="14" t="str">
        <f t="shared" si="66"/>
        <v/>
      </c>
      <c r="C2149" s="120" t="s">
        <v>286</v>
      </c>
      <c r="D2149"/>
      <c r="E2149"/>
      <c r="F2149"/>
      <c r="G2149"/>
      <c r="H2149"/>
      <c r="I2149" s="21" t="str">
        <f t="shared" si="67"/>
        <v/>
      </c>
      <c r="L2149" s="24"/>
      <c r="M2149" s="24"/>
    </row>
    <row r="2150" spans="1:13">
      <c r="A2150" s="10" t="str">
        <f t="shared" si="66"/>
        <v/>
      </c>
      <c r="C2150" s="120" t="s">
        <v>126</v>
      </c>
      <c r="D2150"/>
      <c r="E2150"/>
      <c r="F2150"/>
      <c r="G2150"/>
      <c r="H2150"/>
      <c r="I2150" s="21" t="str">
        <f t="shared" si="67"/>
        <v/>
      </c>
      <c r="L2150" s="24"/>
      <c r="M2150" s="24"/>
    </row>
    <row r="2151" spans="1:13">
      <c r="A2151" s="14" t="str">
        <f t="shared" si="66"/>
        <v/>
      </c>
      <c r="C2151" s="120" t="s">
        <v>128</v>
      </c>
      <c r="D2151"/>
      <c r="E2151"/>
      <c r="F2151"/>
      <c r="G2151"/>
      <c r="H2151"/>
      <c r="I2151" s="21" t="str">
        <f t="shared" si="67"/>
        <v/>
      </c>
      <c r="L2151" s="24"/>
      <c r="M2151" s="24"/>
    </row>
    <row r="2152" spans="1:13">
      <c r="A2152" s="10" t="str">
        <f t="shared" si="66"/>
        <v/>
      </c>
      <c r="C2152" s="120" t="s">
        <v>280</v>
      </c>
      <c r="D2152"/>
      <c r="E2152"/>
      <c r="F2152"/>
      <c r="G2152"/>
      <c r="H2152"/>
      <c r="I2152" s="21" t="str">
        <f t="shared" si="67"/>
        <v/>
      </c>
      <c r="L2152" s="24"/>
      <c r="M2152" s="24"/>
    </row>
    <row r="2153" spans="1:13">
      <c r="A2153" s="14" t="str">
        <f t="shared" si="66"/>
        <v/>
      </c>
      <c r="C2153" s="120" t="s">
        <v>282</v>
      </c>
      <c r="D2153"/>
      <c r="E2153"/>
      <c r="F2153"/>
      <c r="G2153"/>
      <c r="H2153"/>
      <c r="I2153" s="21" t="str">
        <f t="shared" si="67"/>
        <v/>
      </c>
      <c r="L2153" s="24"/>
      <c r="M2153" s="24"/>
    </row>
    <row r="2154" spans="1:13">
      <c r="A2154" s="10" t="str">
        <f t="shared" si="66"/>
        <v/>
      </c>
      <c r="C2154" s="120" t="s">
        <v>284</v>
      </c>
      <c r="D2154"/>
      <c r="E2154"/>
      <c r="F2154"/>
      <c r="G2154"/>
      <c r="H2154"/>
      <c r="I2154" s="21" t="str">
        <f t="shared" si="67"/>
        <v/>
      </c>
      <c r="L2154" s="24"/>
      <c r="M2154" s="24"/>
    </row>
    <row r="2155" spans="1:13">
      <c r="A2155" s="14" t="str">
        <f t="shared" si="66"/>
        <v/>
      </c>
      <c r="C2155" s="120" t="s">
        <v>286</v>
      </c>
      <c r="D2155"/>
      <c r="E2155"/>
      <c r="F2155"/>
      <c r="G2155"/>
      <c r="H2155"/>
      <c r="I2155" s="21" t="str">
        <f t="shared" si="67"/>
        <v/>
      </c>
      <c r="L2155" s="24"/>
      <c r="M2155" s="24"/>
    </row>
    <row r="2156" spans="1:13">
      <c r="A2156" s="10" t="str">
        <f t="shared" si="66"/>
        <v/>
      </c>
      <c r="C2156" s="120" t="s">
        <v>126</v>
      </c>
      <c r="D2156"/>
      <c r="E2156"/>
      <c r="F2156"/>
      <c r="G2156"/>
      <c r="H2156"/>
      <c r="I2156" s="21" t="str">
        <f t="shared" si="67"/>
        <v/>
      </c>
      <c r="L2156" s="24"/>
      <c r="M2156" s="24"/>
    </row>
    <row r="2157" spans="1:13">
      <c r="A2157" s="14" t="str">
        <f t="shared" si="66"/>
        <v/>
      </c>
      <c r="C2157" s="120" t="s">
        <v>128</v>
      </c>
      <c r="D2157"/>
      <c r="E2157"/>
      <c r="F2157"/>
      <c r="G2157"/>
      <c r="H2157"/>
      <c r="I2157" s="21" t="str">
        <f t="shared" si="67"/>
        <v/>
      </c>
      <c r="L2157" s="24"/>
      <c r="M2157" s="24"/>
    </row>
    <row r="2158" spans="1:13">
      <c r="A2158" s="10" t="str">
        <f t="shared" si="66"/>
        <v/>
      </c>
      <c r="C2158" s="120" t="s">
        <v>280</v>
      </c>
      <c r="D2158"/>
      <c r="E2158"/>
      <c r="F2158"/>
      <c r="G2158"/>
      <c r="H2158"/>
      <c r="I2158" s="21" t="str">
        <f t="shared" si="67"/>
        <v/>
      </c>
      <c r="L2158" s="24"/>
      <c r="M2158" s="24"/>
    </row>
    <row r="2159" spans="1:13">
      <c r="A2159" s="14" t="str">
        <f t="shared" si="66"/>
        <v/>
      </c>
      <c r="C2159" s="120" t="s">
        <v>282</v>
      </c>
      <c r="D2159"/>
      <c r="E2159"/>
      <c r="F2159"/>
      <c r="G2159"/>
      <c r="H2159"/>
      <c r="I2159" s="21" t="str">
        <f t="shared" si="67"/>
        <v/>
      </c>
      <c r="L2159" s="24"/>
      <c r="M2159" s="24"/>
    </row>
    <row r="2160" spans="1:13">
      <c r="A2160" s="10" t="str">
        <f t="shared" si="66"/>
        <v/>
      </c>
      <c r="C2160" s="120" t="s">
        <v>284</v>
      </c>
      <c r="D2160"/>
      <c r="E2160"/>
      <c r="F2160"/>
      <c r="G2160"/>
      <c r="H2160"/>
      <c r="I2160" s="21" t="str">
        <f t="shared" si="67"/>
        <v/>
      </c>
      <c r="L2160" s="24"/>
      <c r="M2160" s="24"/>
    </row>
    <row r="2161" spans="1:13">
      <c r="A2161" s="14" t="str">
        <f t="shared" si="66"/>
        <v/>
      </c>
      <c r="C2161" s="120" t="s">
        <v>286</v>
      </c>
      <c r="D2161"/>
      <c r="E2161"/>
      <c r="F2161"/>
      <c r="G2161"/>
      <c r="H2161"/>
      <c r="I2161" s="21" t="str">
        <f t="shared" si="67"/>
        <v/>
      </c>
      <c r="L2161" s="24"/>
      <c r="M2161" s="24"/>
    </row>
    <row r="2162" spans="1:13">
      <c r="A2162" s="10" t="str">
        <f t="shared" si="66"/>
        <v/>
      </c>
      <c r="C2162" s="120" t="s">
        <v>126</v>
      </c>
      <c r="D2162"/>
      <c r="E2162"/>
      <c r="F2162"/>
      <c r="G2162"/>
      <c r="H2162"/>
      <c r="I2162" s="21" t="str">
        <f t="shared" si="67"/>
        <v/>
      </c>
      <c r="L2162" s="24"/>
      <c r="M2162" s="24"/>
    </row>
    <row r="2163" spans="1:13">
      <c r="A2163" s="14" t="str">
        <f t="shared" si="66"/>
        <v/>
      </c>
      <c r="C2163" s="120" t="s">
        <v>128</v>
      </c>
      <c r="D2163"/>
      <c r="E2163"/>
      <c r="F2163"/>
      <c r="G2163"/>
      <c r="H2163"/>
      <c r="I2163" s="21" t="str">
        <f t="shared" si="67"/>
        <v/>
      </c>
      <c r="L2163" s="24"/>
      <c r="M2163" s="24"/>
    </row>
    <row r="2164" spans="1:13">
      <c r="A2164" s="10" t="str">
        <f t="shared" si="66"/>
        <v/>
      </c>
      <c r="C2164" s="120" t="s">
        <v>280</v>
      </c>
      <c r="D2164"/>
      <c r="E2164"/>
      <c r="F2164"/>
      <c r="G2164"/>
      <c r="H2164"/>
      <c r="I2164" s="21" t="str">
        <f t="shared" si="67"/>
        <v/>
      </c>
      <c r="L2164" s="24"/>
      <c r="M2164" s="24"/>
    </row>
    <row r="2165" spans="1:13">
      <c r="A2165" s="14" t="str">
        <f t="shared" si="66"/>
        <v/>
      </c>
      <c r="C2165" s="120" t="s">
        <v>282</v>
      </c>
      <c r="D2165"/>
      <c r="E2165"/>
      <c r="F2165"/>
      <c r="G2165"/>
      <c r="H2165"/>
      <c r="I2165" s="21" t="str">
        <f t="shared" si="67"/>
        <v/>
      </c>
      <c r="L2165" s="24"/>
      <c r="M2165" s="24"/>
    </row>
    <row r="2166" spans="1:13">
      <c r="A2166" s="10" t="str">
        <f t="shared" si="66"/>
        <v/>
      </c>
      <c r="C2166" s="120" t="s">
        <v>284</v>
      </c>
      <c r="D2166"/>
      <c r="E2166"/>
      <c r="F2166"/>
      <c r="G2166"/>
      <c r="H2166"/>
      <c r="I2166" s="21" t="str">
        <f t="shared" si="67"/>
        <v/>
      </c>
      <c r="L2166" s="24"/>
      <c r="M2166" s="24"/>
    </row>
    <row r="2167" spans="1:13">
      <c r="A2167" s="14" t="str">
        <f t="shared" si="66"/>
        <v/>
      </c>
      <c r="C2167" s="120" t="s">
        <v>286</v>
      </c>
      <c r="D2167"/>
      <c r="E2167"/>
      <c r="F2167"/>
      <c r="G2167"/>
      <c r="H2167"/>
      <c r="I2167" s="21" t="str">
        <f t="shared" si="67"/>
        <v/>
      </c>
      <c r="L2167" s="24"/>
      <c r="M2167" s="24"/>
    </row>
    <row r="2168" spans="1:13">
      <c r="A2168" s="10" t="str">
        <f t="shared" si="66"/>
        <v/>
      </c>
      <c r="C2168" s="120" t="s">
        <v>126</v>
      </c>
      <c r="D2168"/>
      <c r="E2168"/>
      <c r="F2168"/>
      <c r="G2168"/>
      <c r="H2168"/>
      <c r="I2168" s="21" t="str">
        <f t="shared" si="67"/>
        <v/>
      </c>
      <c r="L2168" s="24"/>
      <c r="M2168" s="24"/>
    </row>
    <row r="2169" spans="1:13">
      <c r="A2169" s="14" t="str">
        <f t="shared" si="66"/>
        <v/>
      </c>
      <c r="C2169" s="120" t="s">
        <v>128</v>
      </c>
      <c r="D2169"/>
      <c r="E2169"/>
      <c r="F2169"/>
      <c r="G2169"/>
      <c r="H2169"/>
      <c r="I2169" s="21" t="str">
        <f t="shared" si="67"/>
        <v/>
      </c>
      <c r="L2169" s="24"/>
      <c r="M2169" s="24"/>
    </row>
    <row r="2170" spans="1:13">
      <c r="A2170" s="10" t="str">
        <f t="shared" si="66"/>
        <v/>
      </c>
      <c r="C2170" s="120" t="s">
        <v>280</v>
      </c>
      <c r="D2170"/>
      <c r="E2170"/>
      <c r="F2170"/>
      <c r="G2170"/>
      <c r="H2170"/>
      <c r="I2170" s="21" t="str">
        <f t="shared" si="67"/>
        <v/>
      </c>
      <c r="L2170" s="24"/>
      <c r="M2170" s="24"/>
    </row>
    <row r="2171" spans="1:13">
      <c r="A2171" s="14" t="str">
        <f t="shared" si="66"/>
        <v/>
      </c>
      <c r="C2171" s="120" t="s">
        <v>282</v>
      </c>
      <c r="D2171"/>
      <c r="E2171"/>
      <c r="F2171"/>
      <c r="G2171"/>
      <c r="H2171"/>
      <c r="I2171" s="21" t="str">
        <f t="shared" si="67"/>
        <v/>
      </c>
      <c r="L2171" s="24"/>
      <c r="M2171" s="24"/>
    </row>
    <row r="2172" spans="1:13">
      <c r="A2172" s="10" t="str">
        <f t="shared" si="66"/>
        <v/>
      </c>
      <c r="C2172" s="120" t="s">
        <v>284</v>
      </c>
      <c r="D2172"/>
      <c r="E2172"/>
      <c r="F2172"/>
      <c r="G2172"/>
      <c r="H2172"/>
      <c r="I2172" s="21" t="str">
        <f t="shared" si="67"/>
        <v/>
      </c>
      <c r="L2172" s="24"/>
      <c r="M2172" s="24"/>
    </row>
    <row r="2173" spans="1:13">
      <c r="A2173" s="14" t="str">
        <f t="shared" si="66"/>
        <v/>
      </c>
      <c r="C2173" s="120" t="s">
        <v>286</v>
      </c>
      <c r="D2173"/>
      <c r="E2173"/>
      <c r="F2173"/>
      <c r="G2173"/>
      <c r="H2173"/>
      <c r="I2173" s="21" t="str">
        <f t="shared" si="67"/>
        <v/>
      </c>
      <c r="L2173" s="24"/>
      <c r="M2173" s="24"/>
    </row>
    <row r="2174" spans="1:13">
      <c r="A2174" s="10" t="str">
        <f t="shared" si="66"/>
        <v/>
      </c>
      <c r="C2174" s="120" t="s">
        <v>126</v>
      </c>
      <c r="D2174"/>
      <c r="E2174"/>
      <c r="F2174"/>
      <c r="G2174"/>
      <c r="H2174"/>
      <c r="I2174" s="21" t="str">
        <f t="shared" si="67"/>
        <v/>
      </c>
      <c r="L2174" s="24"/>
      <c r="M2174" s="24"/>
    </row>
    <row r="2175" spans="1:13">
      <c r="A2175" s="14" t="str">
        <f t="shared" si="66"/>
        <v/>
      </c>
      <c r="C2175" s="120" t="s">
        <v>128</v>
      </c>
      <c r="D2175"/>
      <c r="E2175"/>
      <c r="F2175"/>
      <c r="G2175"/>
      <c r="H2175"/>
      <c r="I2175" s="21" t="str">
        <f t="shared" si="67"/>
        <v/>
      </c>
      <c r="L2175" s="24"/>
      <c r="M2175" s="24"/>
    </row>
    <row r="2176" spans="1:13">
      <c r="A2176" s="10" t="str">
        <f t="shared" si="66"/>
        <v/>
      </c>
      <c r="C2176" s="120" t="s">
        <v>280</v>
      </c>
      <c r="D2176"/>
      <c r="E2176"/>
      <c r="F2176"/>
      <c r="G2176"/>
      <c r="H2176"/>
      <c r="I2176" s="21" t="str">
        <f t="shared" si="67"/>
        <v/>
      </c>
      <c r="L2176" s="24"/>
      <c r="M2176" s="24"/>
    </row>
    <row r="2177" spans="1:13">
      <c r="A2177" s="14" t="str">
        <f t="shared" si="66"/>
        <v/>
      </c>
      <c r="C2177" s="120" t="s">
        <v>282</v>
      </c>
      <c r="D2177"/>
      <c r="E2177"/>
      <c r="F2177"/>
      <c r="G2177"/>
      <c r="H2177"/>
      <c r="I2177" s="21" t="str">
        <f t="shared" si="67"/>
        <v/>
      </c>
      <c r="L2177" s="24"/>
      <c r="M2177" s="24"/>
    </row>
    <row r="2178" spans="1:13">
      <c r="A2178" s="10" t="str">
        <f t="shared" ref="A2178:A2241" si="68">IF(B2178&lt;&gt;"",ROW()-1,"")</f>
        <v/>
      </c>
      <c r="C2178" s="120" t="s">
        <v>284</v>
      </c>
      <c r="D2178"/>
      <c r="E2178"/>
      <c r="F2178"/>
      <c r="G2178"/>
      <c r="H2178"/>
      <c r="I2178" s="21" t="str">
        <f t="shared" ref="I2178:I2241" si="69">IF(AND(G2178&lt;&gt;"",H2178&lt;&gt;""),H2178-G2178,"")</f>
        <v/>
      </c>
      <c r="L2178" s="24"/>
      <c r="M2178" s="24"/>
    </row>
    <row r="2179" spans="1:13">
      <c r="A2179" s="14" t="str">
        <f t="shared" si="68"/>
        <v/>
      </c>
      <c r="C2179" s="120" t="s">
        <v>286</v>
      </c>
      <c r="D2179"/>
      <c r="E2179"/>
      <c r="F2179"/>
      <c r="G2179"/>
      <c r="H2179"/>
      <c r="I2179" s="21" t="str">
        <f t="shared" si="69"/>
        <v/>
      </c>
      <c r="L2179" s="24"/>
      <c r="M2179" s="24"/>
    </row>
    <row r="2180" spans="1:13">
      <c r="A2180" s="10" t="str">
        <f t="shared" si="68"/>
        <v/>
      </c>
      <c r="C2180" s="120" t="s">
        <v>126</v>
      </c>
      <c r="D2180"/>
      <c r="E2180"/>
      <c r="F2180"/>
      <c r="G2180"/>
      <c r="H2180"/>
      <c r="I2180" s="21" t="str">
        <f t="shared" si="69"/>
        <v/>
      </c>
      <c r="L2180" s="24"/>
      <c r="M2180" s="24"/>
    </row>
    <row r="2181" spans="1:13">
      <c r="A2181" s="14" t="str">
        <f t="shared" si="68"/>
        <v/>
      </c>
      <c r="C2181" s="120" t="s">
        <v>128</v>
      </c>
      <c r="D2181"/>
      <c r="E2181"/>
      <c r="F2181"/>
      <c r="G2181"/>
      <c r="H2181"/>
      <c r="I2181" s="21" t="str">
        <f t="shared" si="69"/>
        <v/>
      </c>
      <c r="L2181" s="24"/>
      <c r="M2181" s="24"/>
    </row>
    <row r="2182" spans="1:13">
      <c r="A2182" s="10" t="str">
        <f t="shared" si="68"/>
        <v/>
      </c>
      <c r="C2182" s="120" t="s">
        <v>280</v>
      </c>
      <c r="D2182"/>
      <c r="E2182"/>
      <c r="F2182"/>
      <c r="G2182"/>
      <c r="H2182"/>
      <c r="I2182" s="21" t="str">
        <f t="shared" si="69"/>
        <v/>
      </c>
      <c r="L2182" s="24"/>
      <c r="M2182" s="24"/>
    </row>
    <row r="2183" spans="1:13">
      <c r="A2183" s="14" t="str">
        <f t="shared" si="68"/>
        <v/>
      </c>
      <c r="C2183" s="120" t="s">
        <v>282</v>
      </c>
      <c r="D2183"/>
      <c r="E2183"/>
      <c r="F2183"/>
      <c r="G2183"/>
      <c r="H2183"/>
      <c r="I2183" s="21" t="str">
        <f t="shared" si="69"/>
        <v/>
      </c>
      <c r="L2183" s="24"/>
      <c r="M2183" s="24"/>
    </row>
    <row r="2184" spans="1:13">
      <c r="A2184" s="10" t="str">
        <f t="shared" si="68"/>
        <v/>
      </c>
      <c r="C2184" s="120" t="s">
        <v>284</v>
      </c>
      <c r="D2184"/>
      <c r="E2184"/>
      <c r="F2184"/>
      <c r="G2184"/>
      <c r="H2184"/>
      <c r="I2184" s="21" t="str">
        <f t="shared" si="69"/>
        <v/>
      </c>
      <c r="L2184" s="24"/>
      <c r="M2184" s="24"/>
    </row>
    <row r="2185" spans="1:13">
      <c r="A2185" s="14" t="str">
        <f t="shared" si="68"/>
        <v/>
      </c>
      <c r="C2185" s="120" t="s">
        <v>286</v>
      </c>
      <c r="D2185"/>
      <c r="E2185"/>
      <c r="F2185"/>
      <c r="G2185"/>
      <c r="H2185"/>
      <c r="I2185" s="21" t="str">
        <f t="shared" si="69"/>
        <v/>
      </c>
      <c r="L2185" s="24"/>
      <c r="M2185" s="24"/>
    </row>
    <row r="2186" spans="1:13">
      <c r="A2186" s="10" t="str">
        <f t="shared" si="68"/>
        <v/>
      </c>
      <c r="C2186" s="120" t="s">
        <v>126</v>
      </c>
      <c r="D2186"/>
      <c r="E2186"/>
      <c r="F2186"/>
      <c r="G2186"/>
      <c r="H2186"/>
      <c r="I2186" s="21" t="str">
        <f t="shared" si="69"/>
        <v/>
      </c>
      <c r="L2186" s="24"/>
      <c r="M2186" s="24"/>
    </row>
    <row r="2187" spans="1:13">
      <c r="A2187" s="14" t="str">
        <f t="shared" si="68"/>
        <v/>
      </c>
      <c r="C2187" s="120" t="s">
        <v>128</v>
      </c>
      <c r="D2187"/>
      <c r="E2187"/>
      <c r="F2187"/>
      <c r="G2187"/>
      <c r="H2187"/>
      <c r="I2187" s="21" t="str">
        <f t="shared" si="69"/>
        <v/>
      </c>
      <c r="L2187" s="24"/>
      <c r="M2187" s="24"/>
    </row>
    <row r="2188" spans="1:13">
      <c r="A2188" s="10" t="str">
        <f t="shared" si="68"/>
        <v/>
      </c>
      <c r="C2188" s="120" t="s">
        <v>280</v>
      </c>
      <c r="D2188"/>
      <c r="E2188"/>
      <c r="F2188"/>
      <c r="G2188"/>
      <c r="H2188"/>
      <c r="I2188" s="21" t="str">
        <f t="shared" si="69"/>
        <v/>
      </c>
      <c r="L2188" s="24"/>
      <c r="M2188" s="24"/>
    </row>
    <row r="2189" spans="1:13">
      <c r="A2189" s="14" t="str">
        <f t="shared" si="68"/>
        <v/>
      </c>
      <c r="C2189" s="120" t="s">
        <v>282</v>
      </c>
      <c r="D2189"/>
      <c r="E2189"/>
      <c r="F2189"/>
      <c r="G2189"/>
      <c r="H2189"/>
      <c r="I2189" s="21" t="str">
        <f t="shared" si="69"/>
        <v/>
      </c>
      <c r="L2189" s="24"/>
      <c r="M2189" s="24"/>
    </row>
    <row r="2190" spans="1:13">
      <c r="A2190" s="10" t="str">
        <f t="shared" si="68"/>
        <v/>
      </c>
      <c r="C2190" s="120" t="s">
        <v>284</v>
      </c>
      <c r="D2190"/>
      <c r="E2190"/>
      <c r="F2190"/>
      <c r="G2190"/>
      <c r="H2190"/>
      <c r="I2190" s="21" t="str">
        <f t="shared" si="69"/>
        <v/>
      </c>
      <c r="L2190" s="24"/>
      <c r="M2190" s="24"/>
    </row>
    <row r="2191" spans="1:13">
      <c r="A2191" s="14" t="str">
        <f t="shared" si="68"/>
        <v/>
      </c>
      <c r="C2191" s="120" t="s">
        <v>286</v>
      </c>
      <c r="D2191"/>
      <c r="E2191"/>
      <c r="F2191"/>
      <c r="G2191"/>
      <c r="H2191"/>
      <c r="I2191" s="21" t="str">
        <f t="shared" si="69"/>
        <v/>
      </c>
      <c r="L2191" s="24"/>
      <c r="M2191" s="24"/>
    </row>
    <row r="2192" spans="1:13">
      <c r="A2192" s="10" t="str">
        <f t="shared" si="68"/>
        <v/>
      </c>
      <c r="C2192" s="120" t="s">
        <v>126</v>
      </c>
      <c r="D2192"/>
      <c r="E2192"/>
      <c r="F2192"/>
      <c r="G2192"/>
      <c r="H2192"/>
      <c r="I2192" s="21" t="str">
        <f t="shared" si="69"/>
        <v/>
      </c>
      <c r="L2192" s="24"/>
      <c r="M2192" s="24"/>
    </row>
    <row r="2193" spans="1:13">
      <c r="A2193" s="14" t="str">
        <f t="shared" si="68"/>
        <v/>
      </c>
      <c r="C2193" s="120" t="s">
        <v>128</v>
      </c>
      <c r="D2193"/>
      <c r="E2193"/>
      <c r="F2193"/>
      <c r="G2193"/>
      <c r="H2193"/>
      <c r="I2193" s="21" t="str">
        <f t="shared" si="69"/>
        <v/>
      </c>
      <c r="L2193" s="24"/>
      <c r="M2193" s="24"/>
    </row>
    <row r="2194" spans="1:13">
      <c r="A2194" s="10" t="str">
        <f t="shared" si="68"/>
        <v/>
      </c>
      <c r="C2194" s="120" t="s">
        <v>280</v>
      </c>
      <c r="D2194"/>
      <c r="E2194"/>
      <c r="F2194"/>
      <c r="G2194"/>
      <c r="H2194"/>
      <c r="I2194" s="21" t="str">
        <f t="shared" si="69"/>
        <v/>
      </c>
      <c r="L2194" s="24"/>
      <c r="M2194" s="24"/>
    </row>
    <row r="2195" spans="1:13">
      <c r="A2195" s="14" t="str">
        <f t="shared" si="68"/>
        <v/>
      </c>
      <c r="C2195" s="120" t="s">
        <v>282</v>
      </c>
      <c r="D2195"/>
      <c r="E2195"/>
      <c r="F2195"/>
      <c r="G2195"/>
      <c r="H2195"/>
      <c r="I2195" s="21" t="str">
        <f t="shared" si="69"/>
        <v/>
      </c>
      <c r="L2195" s="24"/>
      <c r="M2195" s="24"/>
    </row>
    <row r="2196" spans="1:13">
      <c r="A2196" s="10" t="str">
        <f t="shared" si="68"/>
        <v/>
      </c>
      <c r="C2196" s="120" t="s">
        <v>284</v>
      </c>
      <c r="D2196"/>
      <c r="E2196"/>
      <c r="F2196"/>
      <c r="G2196"/>
      <c r="H2196"/>
      <c r="I2196" s="21" t="str">
        <f t="shared" si="69"/>
        <v/>
      </c>
      <c r="L2196" s="24"/>
      <c r="M2196" s="24"/>
    </row>
    <row r="2197" spans="1:13">
      <c r="A2197" s="14" t="str">
        <f t="shared" si="68"/>
        <v/>
      </c>
      <c r="C2197" s="120" t="s">
        <v>286</v>
      </c>
      <c r="D2197"/>
      <c r="E2197"/>
      <c r="F2197"/>
      <c r="G2197"/>
      <c r="H2197"/>
      <c r="I2197" s="21" t="str">
        <f t="shared" si="69"/>
        <v/>
      </c>
      <c r="L2197" s="24"/>
      <c r="M2197" s="24"/>
    </row>
    <row r="2198" spans="1:13">
      <c r="A2198" s="10" t="str">
        <f t="shared" si="68"/>
        <v/>
      </c>
      <c r="C2198" s="120" t="s">
        <v>126</v>
      </c>
      <c r="D2198"/>
      <c r="E2198"/>
      <c r="F2198"/>
      <c r="G2198"/>
      <c r="H2198"/>
      <c r="I2198" s="21" t="str">
        <f t="shared" si="69"/>
        <v/>
      </c>
      <c r="L2198" s="24"/>
      <c r="M2198" s="24"/>
    </row>
    <row r="2199" spans="1:13">
      <c r="A2199" s="14" t="str">
        <f t="shared" si="68"/>
        <v/>
      </c>
      <c r="C2199" s="120" t="s">
        <v>128</v>
      </c>
      <c r="D2199"/>
      <c r="E2199"/>
      <c r="F2199"/>
      <c r="G2199"/>
      <c r="H2199"/>
      <c r="I2199" s="21" t="str">
        <f t="shared" si="69"/>
        <v/>
      </c>
      <c r="L2199" s="24"/>
      <c r="M2199" s="24"/>
    </row>
    <row r="2200" spans="1:13">
      <c r="A2200" s="10" t="str">
        <f t="shared" si="68"/>
        <v/>
      </c>
      <c r="C2200" s="120" t="s">
        <v>280</v>
      </c>
      <c r="D2200"/>
      <c r="E2200"/>
      <c r="F2200"/>
      <c r="G2200"/>
      <c r="H2200"/>
      <c r="I2200" s="21" t="str">
        <f t="shared" si="69"/>
        <v/>
      </c>
      <c r="L2200" s="24"/>
      <c r="M2200" s="24"/>
    </row>
    <row r="2201" spans="1:13">
      <c r="A2201" s="14" t="str">
        <f t="shared" si="68"/>
        <v/>
      </c>
      <c r="C2201" s="120" t="s">
        <v>282</v>
      </c>
      <c r="D2201"/>
      <c r="E2201"/>
      <c r="F2201"/>
      <c r="G2201"/>
      <c r="H2201"/>
      <c r="I2201" s="21" t="str">
        <f t="shared" si="69"/>
        <v/>
      </c>
      <c r="L2201" s="24"/>
      <c r="M2201" s="24"/>
    </row>
    <row r="2202" spans="1:13">
      <c r="A2202" s="10" t="str">
        <f t="shared" si="68"/>
        <v/>
      </c>
      <c r="C2202" s="120" t="s">
        <v>284</v>
      </c>
      <c r="D2202"/>
      <c r="E2202"/>
      <c r="F2202"/>
      <c r="G2202"/>
      <c r="H2202"/>
      <c r="I2202" s="21" t="str">
        <f t="shared" si="69"/>
        <v/>
      </c>
      <c r="L2202" s="24"/>
      <c r="M2202" s="24"/>
    </row>
    <row r="2203" spans="1:13">
      <c r="A2203" s="14" t="str">
        <f t="shared" si="68"/>
        <v/>
      </c>
      <c r="C2203" s="120" t="s">
        <v>286</v>
      </c>
      <c r="D2203"/>
      <c r="E2203"/>
      <c r="F2203"/>
      <c r="G2203"/>
      <c r="H2203"/>
      <c r="I2203" s="21" t="str">
        <f t="shared" si="69"/>
        <v/>
      </c>
      <c r="L2203" s="24"/>
      <c r="M2203" s="24"/>
    </row>
    <row r="2204" spans="1:13">
      <c r="A2204" s="10" t="str">
        <f t="shared" si="68"/>
        <v/>
      </c>
      <c r="C2204" s="120" t="s">
        <v>126</v>
      </c>
      <c r="D2204"/>
      <c r="E2204"/>
      <c r="F2204"/>
      <c r="G2204"/>
      <c r="H2204"/>
      <c r="I2204" s="21" t="str">
        <f t="shared" si="69"/>
        <v/>
      </c>
      <c r="L2204" s="24"/>
      <c r="M2204" s="24"/>
    </row>
    <row r="2205" spans="1:13">
      <c r="A2205" s="14" t="str">
        <f t="shared" si="68"/>
        <v/>
      </c>
      <c r="C2205" s="120" t="s">
        <v>128</v>
      </c>
      <c r="D2205"/>
      <c r="E2205"/>
      <c r="F2205"/>
      <c r="G2205"/>
      <c r="H2205"/>
      <c r="I2205" s="21" t="str">
        <f t="shared" si="69"/>
        <v/>
      </c>
      <c r="L2205" s="24"/>
      <c r="M2205" s="24"/>
    </row>
    <row r="2206" spans="1:13">
      <c r="A2206" s="10" t="str">
        <f t="shared" si="68"/>
        <v/>
      </c>
      <c r="C2206" s="120" t="s">
        <v>280</v>
      </c>
      <c r="D2206"/>
      <c r="E2206"/>
      <c r="F2206"/>
      <c r="G2206"/>
      <c r="H2206"/>
      <c r="I2206" s="21" t="str">
        <f t="shared" si="69"/>
        <v/>
      </c>
      <c r="L2206" s="24"/>
      <c r="M2206" s="24"/>
    </row>
    <row r="2207" spans="1:13">
      <c r="A2207" s="14" t="str">
        <f t="shared" si="68"/>
        <v/>
      </c>
      <c r="C2207" s="120" t="s">
        <v>282</v>
      </c>
      <c r="D2207"/>
      <c r="E2207"/>
      <c r="F2207"/>
      <c r="G2207"/>
      <c r="H2207"/>
      <c r="I2207" s="21" t="str">
        <f t="shared" si="69"/>
        <v/>
      </c>
      <c r="L2207" s="24"/>
      <c r="M2207" s="24"/>
    </row>
    <row r="2208" spans="1:13">
      <c r="A2208" s="10" t="str">
        <f t="shared" si="68"/>
        <v/>
      </c>
      <c r="C2208" s="120" t="s">
        <v>284</v>
      </c>
      <c r="D2208"/>
      <c r="E2208"/>
      <c r="F2208"/>
      <c r="G2208"/>
      <c r="H2208"/>
      <c r="I2208" s="21" t="str">
        <f t="shared" si="69"/>
        <v/>
      </c>
      <c r="L2208" s="24"/>
      <c r="M2208" s="24"/>
    </row>
    <row r="2209" spans="1:13">
      <c r="A2209" s="14" t="str">
        <f t="shared" si="68"/>
        <v/>
      </c>
      <c r="C2209" s="120" t="s">
        <v>286</v>
      </c>
      <c r="D2209"/>
      <c r="E2209"/>
      <c r="F2209"/>
      <c r="G2209"/>
      <c r="H2209"/>
      <c r="I2209" s="21" t="str">
        <f t="shared" si="69"/>
        <v/>
      </c>
      <c r="L2209" s="24"/>
      <c r="M2209" s="24"/>
    </row>
    <row r="2210" spans="1:13">
      <c r="A2210" s="10" t="str">
        <f t="shared" si="68"/>
        <v/>
      </c>
      <c r="C2210" s="120" t="s">
        <v>126</v>
      </c>
      <c r="D2210"/>
      <c r="E2210"/>
      <c r="F2210"/>
      <c r="G2210"/>
      <c r="H2210"/>
      <c r="I2210" s="21" t="str">
        <f t="shared" si="69"/>
        <v/>
      </c>
      <c r="L2210" s="24"/>
      <c r="M2210" s="24"/>
    </row>
    <row r="2211" spans="1:13">
      <c r="A2211" s="14" t="str">
        <f t="shared" si="68"/>
        <v/>
      </c>
      <c r="C2211" s="120" t="s">
        <v>128</v>
      </c>
      <c r="D2211"/>
      <c r="E2211"/>
      <c r="F2211"/>
      <c r="G2211"/>
      <c r="H2211"/>
      <c r="I2211" s="21" t="str">
        <f t="shared" si="69"/>
        <v/>
      </c>
      <c r="L2211" s="24"/>
      <c r="M2211" s="24"/>
    </row>
    <row r="2212" spans="1:13">
      <c r="A2212" s="10" t="str">
        <f t="shared" si="68"/>
        <v/>
      </c>
      <c r="C2212" s="120" t="s">
        <v>280</v>
      </c>
      <c r="D2212"/>
      <c r="E2212"/>
      <c r="F2212"/>
      <c r="G2212"/>
      <c r="H2212"/>
      <c r="I2212" s="21" t="str">
        <f t="shared" si="69"/>
        <v/>
      </c>
      <c r="L2212" s="24"/>
      <c r="M2212" s="24"/>
    </row>
    <row r="2213" spans="1:13">
      <c r="A2213" s="14" t="str">
        <f t="shared" si="68"/>
        <v/>
      </c>
      <c r="C2213" s="120" t="s">
        <v>282</v>
      </c>
      <c r="D2213"/>
      <c r="E2213"/>
      <c r="F2213"/>
      <c r="G2213"/>
      <c r="H2213"/>
      <c r="I2213" s="21" t="str">
        <f t="shared" si="69"/>
        <v/>
      </c>
      <c r="L2213" s="24"/>
      <c r="M2213" s="24"/>
    </row>
    <row r="2214" spans="1:13">
      <c r="A2214" s="10" t="str">
        <f t="shared" si="68"/>
        <v/>
      </c>
      <c r="C2214" s="120" t="s">
        <v>284</v>
      </c>
      <c r="D2214"/>
      <c r="E2214"/>
      <c r="F2214"/>
      <c r="G2214"/>
      <c r="H2214"/>
      <c r="I2214" s="21" t="str">
        <f t="shared" si="69"/>
        <v/>
      </c>
      <c r="L2214" s="24"/>
      <c r="M2214" s="24"/>
    </row>
    <row r="2215" spans="1:13">
      <c r="A2215" s="14" t="str">
        <f t="shared" si="68"/>
        <v/>
      </c>
      <c r="C2215" s="120" t="s">
        <v>286</v>
      </c>
      <c r="D2215"/>
      <c r="E2215"/>
      <c r="F2215"/>
      <c r="G2215"/>
      <c r="H2215"/>
      <c r="I2215" s="21" t="str">
        <f t="shared" si="69"/>
        <v/>
      </c>
      <c r="L2215" s="24"/>
      <c r="M2215" s="24"/>
    </row>
    <row r="2216" spans="1:13">
      <c r="A2216" s="10" t="str">
        <f t="shared" si="68"/>
        <v/>
      </c>
      <c r="C2216" s="120" t="s">
        <v>126</v>
      </c>
      <c r="D2216"/>
      <c r="E2216"/>
      <c r="F2216"/>
      <c r="G2216"/>
      <c r="H2216"/>
      <c r="I2216" s="21" t="str">
        <f t="shared" si="69"/>
        <v/>
      </c>
      <c r="L2216" s="24"/>
      <c r="M2216" s="24"/>
    </row>
    <row r="2217" spans="1:13">
      <c r="A2217" s="14" t="str">
        <f t="shared" si="68"/>
        <v/>
      </c>
      <c r="C2217" s="120" t="s">
        <v>128</v>
      </c>
      <c r="D2217"/>
      <c r="E2217"/>
      <c r="F2217"/>
      <c r="G2217"/>
      <c r="H2217"/>
      <c r="I2217" s="21" t="str">
        <f t="shared" si="69"/>
        <v/>
      </c>
      <c r="L2217" s="24"/>
      <c r="M2217" s="24"/>
    </row>
    <row r="2218" spans="1:13">
      <c r="A2218" s="10" t="str">
        <f t="shared" si="68"/>
        <v/>
      </c>
      <c r="C2218" s="120" t="s">
        <v>280</v>
      </c>
      <c r="D2218"/>
      <c r="E2218"/>
      <c r="F2218"/>
      <c r="G2218"/>
      <c r="H2218"/>
      <c r="I2218" s="21" t="str">
        <f t="shared" si="69"/>
        <v/>
      </c>
      <c r="L2218" s="24"/>
      <c r="M2218" s="24"/>
    </row>
    <row r="2219" spans="1:13">
      <c r="A2219" s="14" t="str">
        <f t="shared" si="68"/>
        <v/>
      </c>
      <c r="C2219" s="120" t="s">
        <v>282</v>
      </c>
      <c r="D2219"/>
      <c r="E2219"/>
      <c r="F2219"/>
      <c r="G2219"/>
      <c r="H2219"/>
      <c r="I2219" s="21" t="str">
        <f t="shared" si="69"/>
        <v/>
      </c>
      <c r="L2219" s="24"/>
      <c r="M2219" s="24"/>
    </row>
    <row r="2220" spans="1:13">
      <c r="A2220" s="10" t="str">
        <f t="shared" si="68"/>
        <v/>
      </c>
      <c r="C2220" s="120" t="s">
        <v>284</v>
      </c>
      <c r="D2220"/>
      <c r="E2220"/>
      <c r="F2220"/>
      <c r="G2220"/>
      <c r="H2220"/>
      <c r="I2220" s="21" t="str">
        <f t="shared" si="69"/>
        <v/>
      </c>
      <c r="L2220" s="24"/>
      <c r="M2220" s="24"/>
    </row>
    <row r="2221" spans="1:13">
      <c r="A2221" s="14" t="str">
        <f t="shared" si="68"/>
        <v/>
      </c>
      <c r="C2221" s="120" t="s">
        <v>286</v>
      </c>
      <c r="D2221"/>
      <c r="E2221"/>
      <c r="F2221"/>
      <c r="G2221"/>
      <c r="H2221"/>
      <c r="I2221" s="21" t="str">
        <f t="shared" si="69"/>
        <v/>
      </c>
      <c r="L2221" s="24"/>
      <c r="M2221" s="24"/>
    </row>
    <row r="2222" spans="1:13">
      <c r="A2222" s="10" t="str">
        <f t="shared" si="68"/>
        <v/>
      </c>
      <c r="C2222" s="120" t="s">
        <v>126</v>
      </c>
      <c r="D2222"/>
      <c r="E2222"/>
      <c r="F2222"/>
      <c r="G2222"/>
      <c r="H2222"/>
      <c r="I2222" s="21" t="str">
        <f t="shared" si="69"/>
        <v/>
      </c>
      <c r="L2222" s="24"/>
      <c r="M2222" s="24"/>
    </row>
    <row r="2223" spans="1:13">
      <c r="A2223" s="14" t="str">
        <f t="shared" si="68"/>
        <v/>
      </c>
      <c r="C2223" s="120" t="s">
        <v>128</v>
      </c>
      <c r="D2223"/>
      <c r="E2223"/>
      <c r="F2223"/>
      <c r="G2223"/>
      <c r="H2223"/>
      <c r="I2223" s="21" t="str">
        <f t="shared" si="69"/>
        <v/>
      </c>
      <c r="L2223" s="24"/>
      <c r="M2223" s="24"/>
    </row>
    <row r="2224" spans="1:13">
      <c r="A2224" s="10" t="str">
        <f t="shared" si="68"/>
        <v/>
      </c>
      <c r="C2224" s="120" t="s">
        <v>280</v>
      </c>
      <c r="D2224"/>
      <c r="E2224"/>
      <c r="F2224"/>
      <c r="G2224"/>
      <c r="H2224"/>
      <c r="I2224" s="21" t="str">
        <f t="shared" si="69"/>
        <v/>
      </c>
      <c r="L2224" s="24"/>
      <c r="M2224" s="24"/>
    </row>
    <row r="2225" spans="1:13">
      <c r="A2225" s="14" t="str">
        <f t="shared" si="68"/>
        <v/>
      </c>
      <c r="C2225" s="120" t="s">
        <v>282</v>
      </c>
      <c r="D2225"/>
      <c r="E2225"/>
      <c r="F2225"/>
      <c r="G2225"/>
      <c r="H2225"/>
      <c r="I2225" s="21" t="str">
        <f t="shared" si="69"/>
        <v/>
      </c>
      <c r="L2225" s="24"/>
      <c r="M2225" s="24"/>
    </row>
    <row r="2226" spans="1:13">
      <c r="A2226" s="10" t="str">
        <f t="shared" si="68"/>
        <v/>
      </c>
      <c r="C2226" s="120" t="s">
        <v>284</v>
      </c>
      <c r="D2226"/>
      <c r="E2226"/>
      <c r="F2226"/>
      <c r="G2226"/>
      <c r="H2226"/>
      <c r="I2226" s="21" t="str">
        <f t="shared" si="69"/>
        <v/>
      </c>
      <c r="L2226" s="24"/>
      <c r="M2226" s="24"/>
    </row>
    <row r="2227" spans="1:13">
      <c r="A2227" s="14" t="str">
        <f t="shared" si="68"/>
        <v/>
      </c>
      <c r="C2227" s="120" t="s">
        <v>286</v>
      </c>
      <c r="D2227"/>
      <c r="E2227"/>
      <c r="F2227"/>
      <c r="G2227"/>
      <c r="H2227"/>
      <c r="I2227" s="21" t="str">
        <f t="shared" si="69"/>
        <v/>
      </c>
      <c r="L2227" s="24"/>
      <c r="M2227" s="24"/>
    </row>
    <row r="2228" spans="1:13">
      <c r="A2228" s="10" t="str">
        <f t="shared" si="68"/>
        <v/>
      </c>
      <c r="C2228" s="120" t="s">
        <v>126</v>
      </c>
      <c r="D2228"/>
      <c r="E2228"/>
      <c r="F2228"/>
      <c r="G2228"/>
      <c r="H2228"/>
      <c r="I2228" s="21" t="str">
        <f t="shared" si="69"/>
        <v/>
      </c>
      <c r="L2228" s="24"/>
      <c r="M2228" s="24"/>
    </row>
    <row r="2229" spans="1:13">
      <c r="A2229" s="14" t="str">
        <f t="shared" si="68"/>
        <v/>
      </c>
      <c r="C2229" s="120" t="s">
        <v>128</v>
      </c>
      <c r="D2229"/>
      <c r="E2229"/>
      <c r="F2229"/>
      <c r="G2229"/>
      <c r="H2229"/>
      <c r="I2229" s="21" t="str">
        <f t="shared" si="69"/>
        <v/>
      </c>
      <c r="L2229" s="24"/>
      <c r="M2229" s="24"/>
    </row>
    <row r="2230" spans="1:13">
      <c r="A2230" s="10" t="str">
        <f t="shared" si="68"/>
        <v/>
      </c>
      <c r="C2230" s="120" t="s">
        <v>280</v>
      </c>
      <c r="D2230"/>
      <c r="E2230"/>
      <c r="F2230"/>
      <c r="G2230"/>
      <c r="H2230"/>
      <c r="I2230" s="21" t="str">
        <f t="shared" si="69"/>
        <v/>
      </c>
      <c r="L2230" s="24"/>
      <c r="M2230" s="24"/>
    </row>
    <row r="2231" spans="1:13">
      <c r="A2231" s="14" t="str">
        <f t="shared" si="68"/>
        <v/>
      </c>
      <c r="C2231" s="120" t="s">
        <v>282</v>
      </c>
      <c r="D2231"/>
      <c r="E2231"/>
      <c r="F2231"/>
      <c r="G2231"/>
      <c r="H2231"/>
      <c r="I2231" s="21" t="str">
        <f t="shared" si="69"/>
        <v/>
      </c>
      <c r="L2231" s="24"/>
      <c r="M2231" s="24"/>
    </row>
    <row r="2232" spans="1:13">
      <c r="A2232" s="10" t="str">
        <f t="shared" si="68"/>
        <v/>
      </c>
      <c r="C2232" s="120" t="s">
        <v>284</v>
      </c>
      <c r="D2232"/>
      <c r="E2232"/>
      <c r="F2232"/>
      <c r="G2232"/>
      <c r="H2232"/>
      <c r="I2232" s="21" t="str">
        <f t="shared" si="69"/>
        <v/>
      </c>
      <c r="L2232" s="24"/>
      <c r="M2232" s="24"/>
    </row>
    <row r="2233" spans="1:13">
      <c r="A2233" s="14" t="str">
        <f t="shared" si="68"/>
        <v/>
      </c>
      <c r="C2233" s="120" t="s">
        <v>286</v>
      </c>
      <c r="D2233"/>
      <c r="E2233"/>
      <c r="F2233"/>
      <c r="G2233"/>
      <c r="H2233"/>
      <c r="I2233" s="21" t="str">
        <f t="shared" si="69"/>
        <v/>
      </c>
      <c r="L2233" s="24"/>
      <c r="M2233" s="24"/>
    </row>
    <row r="2234" spans="1:13">
      <c r="A2234" s="10" t="str">
        <f t="shared" si="68"/>
        <v/>
      </c>
      <c r="C2234" s="120" t="s">
        <v>126</v>
      </c>
      <c r="D2234"/>
      <c r="E2234"/>
      <c r="F2234"/>
      <c r="G2234"/>
      <c r="H2234"/>
      <c r="I2234" s="21" t="str">
        <f t="shared" si="69"/>
        <v/>
      </c>
      <c r="L2234" s="24"/>
      <c r="M2234" s="24"/>
    </row>
    <row r="2235" spans="1:13">
      <c r="A2235" s="14" t="str">
        <f t="shared" si="68"/>
        <v/>
      </c>
      <c r="C2235" s="120" t="s">
        <v>128</v>
      </c>
      <c r="D2235"/>
      <c r="E2235"/>
      <c r="F2235"/>
      <c r="G2235"/>
      <c r="H2235"/>
      <c r="I2235" s="21" t="str">
        <f t="shared" si="69"/>
        <v/>
      </c>
      <c r="L2235" s="24"/>
      <c r="M2235" s="24"/>
    </row>
    <row r="2236" spans="1:13">
      <c r="A2236" s="10" t="str">
        <f t="shared" si="68"/>
        <v/>
      </c>
      <c r="C2236" s="120" t="s">
        <v>280</v>
      </c>
      <c r="D2236"/>
      <c r="E2236"/>
      <c r="F2236"/>
      <c r="G2236"/>
      <c r="H2236"/>
      <c r="I2236" s="21" t="str">
        <f t="shared" si="69"/>
        <v/>
      </c>
      <c r="L2236" s="24"/>
      <c r="M2236" s="24"/>
    </row>
    <row r="2237" spans="1:13">
      <c r="A2237" s="14" t="str">
        <f t="shared" si="68"/>
        <v/>
      </c>
      <c r="C2237" s="120" t="s">
        <v>282</v>
      </c>
      <c r="D2237"/>
      <c r="E2237"/>
      <c r="F2237"/>
      <c r="G2237"/>
      <c r="H2237"/>
      <c r="I2237" s="21" t="str">
        <f t="shared" si="69"/>
        <v/>
      </c>
      <c r="L2237" s="24"/>
      <c r="M2237" s="24"/>
    </row>
    <row r="2238" spans="1:13">
      <c r="A2238" s="10" t="str">
        <f t="shared" si="68"/>
        <v/>
      </c>
      <c r="C2238" s="120" t="s">
        <v>284</v>
      </c>
      <c r="D2238"/>
      <c r="E2238"/>
      <c r="F2238"/>
      <c r="G2238"/>
      <c r="H2238"/>
      <c r="I2238" s="21" t="str">
        <f t="shared" si="69"/>
        <v/>
      </c>
      <c r="L2238" s="24"/>
      <c r="M2238" s="24"/>
    </row>
    <row r="2239" spans="1:13">
      <c r="A2239" s="14" t="str">
        <f t="shared" si="68"/>
        <v/>
      </c>
      <c r="C2239" s="120" t="s">
        <v>286</v>
      </c>
      <c r="D2239"/>
      <c r="E2239"/>
      <c r="F2239"/>
      <c r="G2239"/>
      <c r="H2239"/>
      <c r="I2239" s="21" t="str">
        <f t="shared" si="69"/>
        <v/>
      </c>
      <c r="L2239" s="24"/>
      <c r="M2239" s="24"/>
    </row>
    <row r="2240" spans="1:13">
      <c r="A2240" s="10" t="str">
        <f t="shared" si="68"/>
        <v/>
      </c>
      <c r="C2240" s="120" t="s">
        <v>126</v>
      </c>
      <c r="D2240"/>
      <c r="E2240"/>
      <c r="F2240"/>
      <c r="G2240"/>
      <c r="H2240"/>
      <c r="I2240" s="21" t="str">
        <f t="shared" si="69"/>
        <v/>
      </c>
      <c r="L2240" s="24"/>
      <c r="M2240" s="24"/>
    </row>
    <row r="2241" spans="1:13">
      <c r="A2241" s="14" t="str">
        <f t="shared" si="68"/>
        <v/>
      </c>
      <c r="C2241" s="120" t="s">
        <v>128</v>
      </c>
      <c r="D2241"/>
      <c r="E2241"/>
      <c r="F2241"/>
      <c r="G2241"/>
      <c r="H2241"/>
      <c r="I2241" s="21" t="str">
        <f t="shared" si="69"/>
        <v/>
      </c>
      <c r="L2241" s="24"/>
      <c r="M2241" s="24"/>
    </row>
    <row r="2242" spans="1:13">
      <c r="A2242" s="10" t="str">
        <f t="shared" ref="A2242:A2305" si="70">IF(B2242&lt;&gt;"",ROW()-1,"")</f>
        <v/>
      </c>
      <c r="C2242" s="120" t="s">
        <v>280</v>
      </c>
      <c r="D2242"/>
      <c r="E2242"/>
      <c r="F2242"/>
      <c r="G2242"/>
      <c r="H2242"/>
      <c r="I2242" s="21" t="str">
        <f t="shared" ref="I2242:I2305" si="71">IF(AND(G2242&lt;&gt;"",H2242&lt;&gt;""),H2242-G2242,"")</f>
        <v/>
      </c>
      <c r="L2242" s="24"/>
      <c r="M2242" s="24"/>
    </row>
    <row r="2243" spans="1:13">
      <c r="A2243" s="14" t="str">
        <f t="shared" si="70"/>
        <v/>
      </c>
      <c r="C2243" s="120" t="s">
        <v>282</v>
      </c>
      <c r="D2243"/>
      <c r="E2243"/>
      <c r="F2243"/>
      <c r="G2243"/>
      <c r="H2243"/>
      <c r="I2243" s="21" t="str">
        <f t="shared" si="71"/>
        <v/>
      </c>
      <c r="L2243" s="24"/>
      <c r="M2243" s="24"/>
    </row>
    <row r="2244" spans="1:13">
      <c r="A2244" s="10" t="str">
        <f t="shared" si="70"/>
        <v/>
      </c>
      <c r="C2244" s="120" t="s">
        <v>284</v>
      </c>
      <c r="D2244"/>
      <c r="E2244"/>
      <c r="F2244"/>
      <c r="G2244"/>
      <c r="H2244"/>
      <c r="I2244" s="21" t="str">
        <f t="shared" si="71"/>
        <v/>
      </c>
      <c r="L2244" s="24"/>
      <c r="M2244" s="24"/>
    </row>
    <row r="2245" spans="1:13">
      <c r="A2245" s="14" t="str">
        <f t="shared" si="70"/>
        <v/>
      </c>
      <c r="C2245" s="120" t="s">
        <v>286</v>
      </c>
      <c r="D2245"/>
      <c r="E2245"/>
      <c r="F2245"/>
      <c r="G2245"/>
      <c r="H2245"/>
      <c r="I2245" s="21" t="str">
        <f t="shared" si="71"/>
        <v/>
      </c>
      <c r="L2245" s="24"/>
      <c r="M2245" s="24"/>
    </row>
    <row r="2246" spans="1:13">
      <c r="A2246" s="10" t="str">
        <f t="shared" si="70"/>
        <v/>
      </c>
      <c r="C2246" s="120" t="s">
        <v>126</v>
      </c>
      <c r="D2246"/>
      <c r="E2246"/>
      <c r="F2246"/>
      <c r="G2246"/>
      <c r="H2246"/>
      <c r="I2246" s="21" t="str">
        <f t="shared" si="71"/>
        <v/>
      </c>
      <c r="L2246" s="24"/>
      <c r="M2246" s="24"/>
    </row>
    <row r="2247" spans="1:13">
      <c r="A2247" s="14" t="str">
        <f t="shared" si="70"/>
        <v/>
      </c>
      <c r="C2247" s="120" t="s">
        <v>128</v>
      </c>
      <c r="D2247"/>
      <c r="E2247"/>
      <c r="F2247"/>
      <c r="G2247"/>
      <c r="H2247"/>
      <c r="I2247" s="21" t="str">
        <f t="shared" si="71"/>
        <v/>
      </c>
      <c r="L2247" s="24"/>
      <c r="M2247" s="24"/>
    </row>
    <row r="2248" spans="1:13">
      <c r="A2248" s="10" t="str">
        <f t="shared" si="70"/>
        <v/>
      </c>
      <c r="C2248" s="120" t="s">
        <v>280</v>
      </c>
      <c r="D2248"/>
      <c r="E2248"/>
      <c r="F2248"/>
      <c r="G2248"/>
      <c r="H2248"/>
      <c r="I2248" s="21" t="str">
        <f t="shared" si="71"/>
        <v/>
      </c>
      <c r="L2248" s="24"/>
      <c r="M2248" s="24"/>
    </row>
    <row r="2249" spans="1:13">
      <c r="A2249" s="14" t="str">
        <f t="shared" si="70"/>
        <v/>
      </c>
      <c r="C2249" s="120" t="s">
        <v>282</v>
      </c>
      <c r="D2249"/>
      <c r="E2249"/>
      <c r="F2249"/>
      <c r="G2249"/>
      <c r="H2249"/>
      <c r="I2249" s="21" t="str">
        <f t="shared" si="71"/>
        <v/>
      </c>
      <c r="L2249" s="24"/>
      <c r="M2249" s="24"/>
    </row>
    <row r="2250" spans="1:13">
      <c r="A2250" s="10" t="str">
        <f t="shared" si="70"/>
        <v/>
      </c>
      <c r="C2250" s="120" t="s">
        <v>284</v>
      </c>
      <c r="D2250"/>
      <c r="E2250"/>
      <c r="F2250"/>
      <c r="G2250"/>
      <c r="H2250"/>
      <c r="I2250" s="21" t="str">
        <f t="shared" si="71"/>
        <v/>
      </c>
      <c r="L2250" s="24"/>
      <c r="M2250" s="24"/>
    </row>
    <row r="2251" spans="1:13">
      <c r="A2251" s="14" t="str">
        <f t="shared" si="70"/>
        <v/>
      </c>
      <c r="C2251" s="120" t="s">
        <v>286</v>
      </c>
      <c r="D2251"/>
      <c r="E2251"/>
      <c r="F2251"/>
      <c r="G2251"/>
      <c r="H2251"/>
      <c r="I2251" s="21" t="str">
        <f t="shared" si="71"/>
        <v/>
      </c>
      <c r="L2251" s="24"/>
      <c r="M2251" s="24"/>
    </row>
    <row r="2252" spans="1:13">
      <c r="A2252" s="10" t="str">
        <f t="shared" si="70"/>
        <v/>
      </c>
      <c r="C2252" s="120" t="s">
        <v>126</v>
      </c>
      <c r="D2252"/>
      <c r="E2252"/>
      <c r="F2252"/>
      <c r="G2252"/>
      <c r="H2252"/>
      <c r="I2252" s="21" t="str">
        <f t="shared" si="71"/>
        <v/>
      </c>
      <c r="L2252" s="24"/>
      <c r="M2252" s="24"/>
    </row>
    <row r="2253" spans="1:13">
      <c r="A2253" s="14" t="str">
        <f t="shared" si="70"/>
        <v/>
      </c>
      <c r="C2253" s="120" t="s">
        <v>128</v>
      </c>
      <c r="D2253"/>
      <c r="E2253"/>
      <c r="F2253"/>
      <c r="G2253"/>
      <c r="H2253"/>
      <c r="I2253" s="21" t="str">
        <f t="shared" si="71"/>
        <v/>
      </c>
      <c r="L2253" s="24"/>
      <c r="M2253" s="24"/>
    </row>
    <row r="2254" spans="1:13">
      <c r="A2254" s="10" t="str">
        <f t="shared" si="70"/>
        <v/>
      </c>
      <c r="C2254" s="120" t="s">
        <v>280</v>
      </c>
      <c r="D2254"/>
      <c r="E2254"/>
      <c r="F2254"/>
      <c r="G2254"/>
      <c r="H2254"/>
      <c r="I2254" s="21" t="str">
        <f t="shared" si="71"/>
        <v/>
      </c>
      <c r="L2254" s="24"/>
      <c r="M2254" s="24"/>
    </row>
    <row r="2255" spans="1:13">
      <c r="A2255" s="14" t="str">
        <f t="shared" si="70"/>
        <v/>
      </c>
      <c r="C2255" s="120" t="s">
        <v>282</v>
      </c>
      <c r="D2255"/>
      <c r="E2255"/>
      <c r="F2255"/>
      <c r="G2255"/>
      <c r="H2255"/>
      <c r="I2255" s="21" t="str">
        <f t="shared" si="71"/>
        <v/>
      </c>
      <c r="L2255" s="24"/>
      <c r="M2255" s="24"/>
    </row>
    <row r="2256" spans="1:13">
      <c r="A2256" s="10" t="str">
        <f t="shared" si="70"/>
        <v/>
      </c>
      <c r="C2256" s="120" t="s">
        <v>284</v>
      </c>
      <c r="D2256"/>
      <c r="E2256"/>
      <c r="F2256"/>
      <c r="G2256"/>
      <c r="H2256"/>
      <c r="I2256" s="21" t="str">
        <f t="shared" si="71"/>
        <v/>
      </c>
      <c r="L2256" s="24"/>
      <c r="M2256" s="24"/>
    </row>
    <row r="2257" spans="1:13">
      <c r="A2257" s="14" t="str">
        <f t="shared" si="70"/>
        <v/>
      </c>
      <c r="C2257" s="120" t="s">
        <v>286</v>
      </c>
      <c r="D2257"/>
      <c r="E2257"/>
      <c r="F2257"/>
      <c r="G2257"/>
      <c r="H2257"/>
      <c r="I2257" s="21" t="str">
        <f t="shared" si="71"/>
        <v/>
      </c>
      <c r="L2257" s="24"/>
      <c r="M2257" s="24"/>
    </row>
    <row r="2258" spans="1:13">
      <c r="A2258" s="10" t="str">
        <f t="shared" si="70"/>
        <v/>
      </c>
      <c r="C2258" s="120" t="s">
        <v>126</v>
      </c>
      <c r="D2258"/>
      <c r="E2258"/>
      <c r="F2258"/>
      <c r="G2258"/>
      <c r="H2258"/>
      <c r="I2258" s="21" t="str">
        <f t="shared" si="71"/>
        <v/>
      </c>
      <c r="L2258" s="24"/>
      <c r="M2258" s="24"/>
    </row>
    <row r="2259" spans="1:13">
      <c r="A2259" s="14" t="str">
        <f t="shared" si="70"/>
        <v/>
      </c>
      <c r="C2259" s="120" t="s">
        <v>128</v>
      </c>
      <c r="D2259"/>
      <c r="E2259"/>
      <c r="F2259"/>
      <c r="G2259"/>
      <c r="H2259"/>
      <c r="I2259" s="21" t="str">
        <f t="shared" si="71"/>
        <v/>
      </c>
      <c r="L2259" s="24"/>
      <c r="M2259" s="24"/>
    </row>
    <row r="2260" spans="1:13">
      <c r="A2260" s="10" t="str">
        <f t="shared" si="70"/>
        <v/>
      </c>
      <c r="C2260" s="120" t="s">
        <v>280</v>
      </c>
      <c r="D2260"/>
      <c r="E2260"/>
      <c r="F2260"/>
      <c r="G2260"/>
      <c r="H2260"/>
      <c r="I2260" s="21" t="str">
        <f t="shared" si="71"/>
        <v/>
      </c>
      <c r="L2260" s="24"/>
      <c r="M2260" s="24"/>
    </row>
    <row r="2261" spans="1:13">
      <c r="A2261" s="14" t="str">
        <f t="shared" si="70"/>
        <v/>
      </c>
      <c r="C2261" s="120" t="s">
        <v>282</v>
      </c>
      <c r="D2261"/>
      <c r="E2261"/>
      <c r="F2261"/>
      <c r="G2261"/>
      <c r="H2261"/>
      <c r="I2261" s="21" t="str">
        <f t="shared" si="71"/>
        <v/>
      </c>
      <c r="L2261" s="24"/>
      <c r="M2261" s="24"/>
    </row>
    <row r="2262" spans="1:13">
      <c r="A2262" s="10" t="str">
        <f t="shared" si="70"/>
        <v/>
      </c>
      <c r="C2262" s="120" t="s">
        <v>284</v>
      </c>
      <c r="D2262"/>
      <c r="E2262"/>
      <c r="F2262"/>
      <c r="G2262"/>
      <c r="H2262"/>
      <c r="I2262" s="21" t="str">
        <f t="shared" si="71"/>
        <v/>
      </c>
      <c r="L2262" s="24"/>
      <c r="M2262" s="24"/>
    </row>
    <row r="2263" spans="1:13">
      <c r="A2263" s="14" t="str">
        <f t="shared" si="70"/>
        <v/>
      </c>
      <c r="C2263" s="120" t="s">
        <v>286</v>
      </c>
      <c r="D2263"/>
      <c r="E2263"/>
      <c r="F2263"/>
      <c r="G2263"/>
      <c r="H2263"/>
      <c r="I2263" s="21" t="str">
        <f t="shared" si="71"/>
        <v/>
      </c>
      <c r="L2263" s="24"/>
      <c r="M2263" s="24"/>
    </row>
    <row r="2264" spans="1:13">
      <c r="A2264" s="10" t="str">
        <f t="shared" si="70"/>
        <v/>
      </c>
      <c r="C2264" s="120" t="s">
        <v>126</v>
      </c>
      <c r="D2264"/>
      <c r="E2264"/>
      <c r="F2264"/>
      <c r="G2264"/>
      <c r="H2264"/>
      <c r="I2264" s="21" t="str">
        <f t="shared" si="71"/>
        <v/>
      </c>
      <c r="L2264" s="24"/>
      <c r="M2264" s="24"/>
    </row>
    <row r="2265" spans="1:13">
      <c r="A2265" s="14" t="str">
        <f t="shared" si="70"/>
        <v/>
      </c>
      <c r="C2265" s="120" t="s">
        <v>128</v>
      </c>
      <c r="D2265"/>
      <c r="E2265"/>
      <c r="F2265"/>
      <c r="G2265"/>
      <c r="H2265"/>
      <c r="I2265" s="21" t="str">
        <f t="shared" si="71"/>
        <v/>
      </c>
      <c r="L2265" s="24"/>
      <c r="M2265" s="24"/>
    </row>
    <row r="2266" spans="1:13">
      <c r="A2266" s="10" t="str">
        <f t="shared" si="70"/>
        <v/>
      </c>
      <c r="C2266" s="120" t="s">
        <v>280</v>
      </c>
      <c r="D2266"/>
      <c r="E2266"/>
      <c r="F2266"/>
      <c r="G2266"/>
      <c r="H2266"/>
      <c r="I2266" s="21" t="str">
        <f t="shared" si="71"/>
        <v/>
      </c>
      <c r="L2266" s="24"/>
      <c r="M2266" s="24"/>
    </row>
    <row r="2267" spans="1:13">
      <c r="A2267" s="14" t="str">
        <f t="shared" si="70"/>
        <v/>
      </c>
      <c r="C2267" s="120" t="s">
        <v>282</v>
      </c>
      <c r="D2267"/>
      <c r="E2267"/>
      <c r="F2267"/>
      <c r="G2267"/>
      <c r="H2267"/>
      <c r="I2267" s="21" t="str">
        <f t="shared" si="71"/>
        <v/>
      </c>
      <c r="L2267" s="24"/>
      <c r="M2267" s="24"/>
    </row>
    <row r="2268" spans="1:13">
      <c r="A2268" s="10" t="str">
        <f t="shared" si="70"/>
        <v/>
      </c>
      <c r="C2268" s="120" t="s">
        <v>284</v>
      </c>
      <c r="D2268"/>
      <c r="E2268"/>
      <c r="F2268"/>
      <c r="G2268"/>
      <c r="H2268"/>
      <c r="I2268" s="21" t="str">
        <f t="shared" si="71"/>
        <v/>
      </c>
      <c r="L2268" s="24"/>
      <c r="M2268" s="24"/>
    </row>
    <row r="2269" spans="1:13">
      <c r="A2269" s="14" t="str">
        <f t="shared" si="70"/>
        <v/>
      </c>
      <c r="C2269" s="120" t="s">
        <v>286</v>
      </c>
      <c r="D2269"/>
      <c r="E2269"/>
      <c r="F2269"/>
      <c r="G2269"/>
      <c r="H2269"/>
      <c r="I2269" s="21" t="str">
        <f t="shared" si="71"/>
        <v/>
      </c>
      <c r="L2269" s="24"/>
      <c r="M2269" s="24"/>
    </row>
    <row r="2270" spans="1:13">
      <c r="A2270" s="10" t="str">
        <f t="shared" si="70"/>
        <v/>
      </c>
      <c r="C2270" s="120" t="s">
        <v>126</v>
      </c>
      <c r="D2270"/>
      <c r="E2270"/>
      <c r="F2270"/>
      <c r="G2270"/>
      <c r="H2270"/>
      <c r="I2270" s="21" t="str">
        <f t="shared" si="71"/>
        <v/>
      </c>
      <c r="L2270" s="24"/>
      <c r="M2270" s="24"/>
    </row>
    <row r="2271" spans="1:13">
      <c r="A2271" s="14" t="str">
        <f t="shared" si="70"/>
        <v/>
      </c>
      <c r="C2271" s="120" t="s">
        <v>128</v>
      </c>
      <c r="D2271"/>
      <c r="E2271"/>
      <c r="F2271"/>
      <c r="G2271"/>
      <c r="H2271"/>
      <c r="I2271" s="21" t="str">
        <f t="shared" si="71"/>
        <v/>
      </c>
      <c r="L2271" s="24"/>
      <c r="M2271" s="24"/>
    </row>
    <row r="2272" spans="1:13">
      <c r="A2272" s="10" t="str">
        <f t="shared" si="70"/>
        <v/>
      </c>
      <c r="C2272" s="120" t="s">
        <v>280</v>
      </c>
      <c r="D2272"/>
      <c r="E2272"/>
      <c r="F2272"/>
      <c r="G2272"/>
      <c r="H2272"/>
      <c r="I2272" s="21" t="str">
        <f t="shared" si="71"/>
        <v/>
      </c>
      <c r="L2272" s="24"/>
      <c r="M2272" s="24"/>
    </row>
    <row r="2273" spans="1:13">
      <c r="A2273" s="14" t="str">
        <f t="shared" si="70"/>
        <v/>
      </c>
      <c r="C2273" s="120" t="s">
        <v>282</v>
      </c>
      <c r="D2273"/>
      <c r="E2273"/>
      <c r="F2273"/>
      <c r="G2273"/>
      <c r="H2273"/>
      <c r="I2273" s="21" t="str">
        <f t="shared" si="71"/>
        <v/>
      </c>
      <c r="L2273" s="24"/>
      <c r="M2273" s="24"/>
    </row>
    <row r="2274" spans="1:13">
      <c r="A2274" s="10" t="str">
        <f t="shared" si="70"/>
        <v/>
      </c>
      <c r="C2274" s="120" t="s">
        <v>284</v>
      </c>
      <c r="D2274"/>
      <c r="E2274"/>
      <c r="F2274"/>
      <c r="G2274"/>
      <c r="H2274"/>
      <c r="I2274" s="21" t="str">
        <f t="shared" si="71"/>
        <v/>
      </c>
      <c r="L2274" s="24"/>
      <c r="M2274" s="24"/>
    </row>
    <row r="2275" spans="1:13">
      <c r="A2275" s="14" t="str">
        <f t="shared" si="70"/>
        <v/>
      </c>
      <c r="C2275" s="120" t="s">
        <v>286</v>
      </c>
      <c r="D2275"/>
      <c r="E2275"/>
      <c r="F2275"/>
      <c r="G2275"/>
      <c r="H2275"/>
      <c r="I2275" s="21" t="str">
        <f t="shared" si="71"/>
        <v/>
      </c>
      <c r="L2275" s="24"/>
      <c r="M2275" s="24"/>
    </row>
    <row r="2276" spans="1:13">
      <c r="A2276" s="10" t="str">
        <f t="shared" si="70"/>
        <v/>
      </c>
      <c r="C2276" s="120" t="s">
        <v>126</v>
      </c>
      <c r="D2276"/>
      <c r="E2276"/>
      <c r="F2276"/>
      <c r="G2276"/>
      <c r="H2276"/>
      <c r="I2276" s="21" t="str">
        <f t="shared" si="71"/>
        <v/>
      </c>
      <c r="L2276" s="24"/>
      <c r="M2276" s="24"/>
    </row>
    <row r="2277" spans="1:13">
      <c r="A2277" s="14" t="str">
        <f t="shared" si="70"/>
        <v/>
      </c>
      <c r="C2277" s="120" t="s">
        <v>128</v>
      </c>
      <c r="D2277"/>
      <c r="E2277"/>
      <c r="F2277"/>
      <c r="G2277"/>
      <c r="H2277"/>
      <c r="I2277" s="21" t="str">
        <f t="shared" si="71"/>
        <v/>
      </c>
      <c r="L2277" s="24"/>
      <c r="M2277" s="24"/>
    </row>
    <row r="2278" spans="1:13">
      <c r="A2278" s="10" t="str">
        <f t="shared" si="70"/>
        <v/>
      </c>
      <c r="C2278" s="120" t="s">
        <v>280</v>
      </c>
      <c r="D2278"/>
      <c r="E2278"/>
      <c r="F2278"/>
      <c r="G2278"/>
      <c r="H2278"/>
      <c r="I2278" s="21" t="str">
        <f t="shared" si="71"/>
        <v/>
      </c>
      <c r="L2278" s="24"/>
      <c r="M2278" s="24"/>
    </row>
    <row r="2279" spans="1:13">
      <c r="A2279" s="14" t="str">
        <f t="shared" si="70"/>
        <v/>
      </c>
      <c r="C2279" s="120" t="s">
        <v>282</v>
      </c>
      <c r="D2279"/>
      <c r="E2279"/>
      <c r="F2279"/>
      <c r="G2279"/>
      <c r="H2279"/>
      <c r="I2279" s="21" t="str">
        <f t="shared" si="71"/>
        <v/>
      </c>
      <c r="L2279" s="24"/>
      <c r="M2279" s="24"/>
    </row>
    <row r="2280" spans="1:13">
      <c r="A2280" s="10" t="str">
        <f t="shared" si="70"/>
        <v/>
      </c>
      <c r="C2280" s="120" t="s">
        <v>284</v>
      </c>
      <c r="D2280"/>
      <c r="E2280"/>
      <c r="F2280"/>
      <c r="G2280"/>
      <c r="H2280"/>
      <c r="I2280" s="21" t="str">
        <f t="shared" si="71"/>
        <v/>
      </c>
      <c r="L2280" s="24"/>
      <c r="M2280" s="24"/>
    </row>
    <row r="2281" spans="1:13">
      <c r="A2281" s="14" t="str">
        <f t="shared" si="70"/>
        <v/>
      </c>
      <c r="C2281" s="120" t="s">
        <v>286</v>
      </c>
      <c r="D2281"/>
      <c r="E2281"/>
      <c r="F2281"/>
      <c r="G2281"/>
      <c r="H2281"/>
      <c r="I2281" s="21" t="str">
        <f t="shared" si="71"/>
        <v/>
      </c>
      <c r="L2281" s="24"/>
      <c r="M2281" s="24"/>
    </row>
    <row r="2282" spans="1:13">
      <c r="A2282" s="10" t="str">
        <f t="shared" si="70"/>
        <v/>
      </c>
      <c r="C2282" s="120" t="s">
        <v>126</v>
      </c>
      <c r="D2282"/>
      <c r="E2282"/>
      <c r="F2282"/>
      <c r="G2282"/>
      <c r="H2282"/>
      <c r="I2282" s="21" t="str">
        <f t="shared" si="71"/>
        <v/>
      </c>
      <c r="L2282" s="24"/>
      <c r="M2282" s="24"/>
    </row>
    <row r="2283" spans="1:13">
      <c r="A2283" s="14" t="str">
        <f t="shared" si="70"/>
        <v/>
      </c>
      <c r="C2283" s="120" t="s">
        <v>128</v>
      </c>
      <c r="D2283"/>
      <c r="E2283"/>
      <c r="F2283"/>
      <c r="G2283"/>
      <c r="H2283"/>
      <c r="I2283" s="21" t="str">
        <f t="shared" si="71"/>
        <v/>
      </c>
      <c r="L2283" s="24"/>
      <c r="M2283" s="24"/>
    </row>
    <row r="2284" spans="1:13">
      <c r="A2284" s="10" t="str">
        <f t="shared" si="70"/>
        <v/>
      </c>
      <c r="C2284" s="120" t="s">
        <v>280</v>
      </c>
      <c r="D2284"/>
      <c r="E2284"/>
      <c r="F2284"/>
      <c r="G2284"/>
      <c r="H2284"/>
      <c r="I2284" s="21" t="str">
        <f t="shared" si="71"/>
        <v/>
      </c>
      <c r="L2284" s="24"/>
      <c r="M2284" s="24"/>
    </row>
    <row r="2285" spans="1:13">
      <c r="A2285" s="14" t="str">
        <f t="shared" si="70"/>
        <v/>
      </c>
      <c r="C2285" s="120" t="s">
        <v>282</v>
      </c>
      <c r="D2285"/>
      <c r="E2285"/>
      <c r="F2285"/>
      <c r="G2285"/>
      <c r="H2285"/>
      <c r="I2285" s="21" t="str">
        <f t="shared" si="71"/>
        <v/>
      </c>
      <c r="L2285" s="24"/>
      <c r="M2285" s="24"/>
    </row>
    <row r="2286" spans="1:13">
      <c r="A2286" s="10" t="str">
        <f t="shared" si="70"/>
        <v/>
      </c>
      <c r="C2286" s="120" t="s">
        <v>284</v>
      </c>
      <c r="D2286"/>
      <c r="E2286"/>
      <c r="F2286"/>
      <c r="G2286"/>
      <c r="H2286"/>
      <c r="I2286" s="21" t="str">
        <f t="shared" si="71"/>
        <v/>
      </c>
      <c r="L2286" s="24"/>
      <c r="M2286" s="24"/>
    </row>
    <row r="2287" spans="1:13">
      <c r="A2287" s="14" t="str">
        <f t="shared" si="70"/>
        <v/>
      </c>
      <c r="C2287" s="120" t="s">
        <v>286</v>
      </c>
      <c r="D2287"/>
      <c r="E2287"/>
      <c r="F2287"/>
      <c r="G2287"/>
      <c r="H2287"/>
      <c r="I2287" s="21" t="str">
        <f t="shared" si="71"/>
        <v/>
      </c>
      <c r="L2287" s="24"/>
      <c r="M2287" s="24"/>
    </row>
    <row r="2288" spans="1:13">
      <c r="A2288" s="10" t="str">
        <f t="shared" si="70"/>
        <v/>
      </c>
      <c r="C2288" s="120" t="s">
        <v>126</v>
      </c>
      <c r="D2288"/>
      <c r="E2288"/>
      <c r="F2288"/>
      <c r="G2288"/>
      <c r="H2288"/>
      <c r="I2288" s="21" t="str">
        <f t="shared" si="71"/>
        <v/>
      </c>
      <c r="L2288" s="24"/>
      <c r="M2288" s="24"/>
    </row>
    <row r="2289" spans="1:13">
      <c r="A2289" s="14" t="str">
        <f t="shared" si="70"/>
        <v/>
      </c>
      <c r="C2289" s="120" t="s">
        <v>128</v>
      </c>
      <c r="D2289"/>
      <c r="E2289"/>
      <c r="F2289"/>
      <c r="G2289"/>
      <c r="H2289"/>
      <c r="I2289" s="21" t="str">
        <f t="shared" si="71"/>
        <v/>
      </c>
      <c r="L2289" s="24"/>
      <c r="M2289" s="24"/>
    </row>
    <row r="2290" spans="1:13">
      <c r="A2290" s="10" t="str">
        <f t="shared" si="70"/>
        <v/>
      </c>
      <c r="C2290" s="120" t="s">
        <v>280</v>
      </c>
      <c r="D2290"/>
      <c r="E2290"/>
      <c r="F2290"/>
      <c r="G2290"/>
      <c r="H2290"/>
      <c r="I2290" s="21" t="str">
        <f t="shared" si="71"/>
        <v/>
      </c>
      <c r="L2290" s="24"/>
      <c r="M2290" s="24"/>
    </row>
    <row r="2291" spans="1:13">
      <c r="A2291" s="14" t="str">
        <f t="shared" si="70"/>
        <v/>
      </c>
      <c r="C2291" s="120" t="s">
        <v>282</v>
      </c>
      <c r="D2291"/>
      <c r="E2291"/>
      <c r="F2291"/>
      <c r="G2291"/>
      <c r="H2291"/>
      <c r="I2291" s="21" t="str">
        <f t="shared" si="71"/>
        <v/>
      </c>
      <c r="L2291" s="24"/>
      <c r="M2291" s="24"/>
    </row>
    <row r="2292" spans="1:13">
      <c r="A2292" s="10" t="str">
        <f t="shared" si="70"/>
        <v/>
      </c>
      <c r="C2292" s="120" t="s">
        <v>284</v>
      </c>
      <c r="D2292"/>
      <c r="E2292"/>
      <c r="F2292"/>
      <c r="G2292"/>
      <c r="H2292"/>
      <c r="I2292" s="21" t="str">
        <f t="shared" si="71"/>
        <v/>
      </c>
      <c r="L2292" s="24"/>
      <c r="M2292" s="24"/>
    </row>
    <row r="2293" spans="1:13">
      <c r="A2293" s="14" t="str">
        <f t="shared" si="70"/>
        <v/>
      </c>
      <c r="C2293" s="120" t="s">
        <v>286</v>
      </c>
      <c r="D2293"/>
      <c r="E2293"/>
      <c r="F2293"/>
      <c r="G2293"/>
      <c r="H2293"/>
      <c r="I2293" s="21" t="str">
        <f t="shared" si="71"/>
        <v/>
      </c>
      <c r="L2293" s="24"/>
      <c r="M2293" s="24"/>
    </row>
    <row r="2294" spans="1:13">
      <c r="A2294" s="10" t="str">
        <f t="shared" si="70"/>
        <v/>
      </c>
      <c r="C2294" s="120" t="s">
        <v>126</v>
      </c>
      <c r="D2294"/>
      <c r="E2294"/>
      <c r="F2294"/>
      <c r="G2294"/>
      <c r="H2294"/>
      <c r="I2294" s="21" t="str">
        <f t="shared" si="71"/>
        <v/>
      </c>
      <c r="L2294" s="24"/>
      <c r="M2294" s="24"/>
    </row>
    <row r="2295" spans="1:13">
      <c r="A2295" s="14" t="str">
        <f t="shared" si="70"/>
        <v/>
      </c>
      <c r="C2295" s="120" t="s">
        <v>128</v>
      </c>
      <c r="D2295"/>
      <c r="E2295"/>
      <c r="F2295"/>
      <c r="G2295"/>
      <c r="H2295"/>
      <c r="I2295" s="21" t="str">
        <f t="shared" si="71"/>
        <v/>
      </c>
      <c r="L2295" s="24"/>
      <c r="M2295" s="24"/>
    </row>
    <row r="2296" spans="1:13">
      <c r="A2296" s="10" t="str">
        <f t="shared" si="70"/>
        <v/>
      </c>
      <c r="C2296" s="120" t="s">
        <v>280</v>
      </c>
      <c r="D2296"/>
      <c r="E2296"/>
      <c r="F2296"/>
      <c r="G2296"/>
      <c r="H2296"/>
      <c r="I2296" s="21" t="str">
        <f t="shared" si="71"/>
        <v/>
      </c>
      <c r="L2296" s="24"/>
      <c r="M2296" s="24"/>
    </row>
    <row r="2297" spans="1:13">
      <c r="A2297" s="14" t="str">
        <f t="shared" si="70"/>
        <v/>
      </c>
      <c r="C2297" s="120" t="s">
        <v>282</v>
      </c>
      <c r="D2297"/>
      <c r="E2297"/>
      <c r="F2297"/>
      <c r="G2297"/>
      <c r="H2297"/>
      <c r="I2297" s="21" t="str">
        <f t="shared" si="71"/>
        <v/>
      </c>
      <c r="L2297" s="24"/>
      <c r="M2297" s="24"/>
    </row>
    <row r="2298" spans="1:13">
      <c r="A2298" s="10" t="str">
        <f t="shared" si="70"/>
        <v/>
      </c>
      <c r="C2298" s="120" t="s">
        <v>284</v>
      </c>
      <c r="D2298"/>
      <c r="E2298"/>
      <c r="F2298"/>
      <c r="G2298"/>
      <c r="H2298"/>
      <c r="I2298" s="21" t="str">
        <f t="shared" si="71"/>
        <v/>
      </c>
      <c r="L2298" s="24"/>
      <c r="M2298" s="24"/>
    </row>
    <row r="2299" spans="1:13">
      <c r="A2299" s="14" t="str">
        <f t="shared" si="70"/>
        <v/>
      </c>
      <c r="C2299" s="120" t="s">
        <v>286</v>
      </c>
      <c r="D2299"/>
      <c r="E2299"/>
      <c r="F2299"/>
      <c r="G2299"/>
      <c r="H2299"/>
      <c r="I2299" s="21" t="str">
        <f t="shared" si="71"/>
        <v/>
      </c>
      <c r="L2299" s="24"/>
      <c r="M2299" s="24"/>
    </row>
    <row r="2300" spans="1:13">
      <c r="A2300" s="10" t="str">
        <f t="shared" si="70"/>
        <v/>
      </c>
      <c r="C2300" s="120" t="s">
        <v>126</v>
      </c>
      <c r="D2300"/>
      <c r="E2300"/>
      <c r="F2300"/>
      <c r="G2300"/>
      <c r="H2300"/>
      <c r="I2300" s="21" t="str">
        <f t="shared" si="71"/>
        <v/>
      </c>
      <c r="L2300" s="24"/>
      <c r="M2300" s="24"/>
    </row>
    <row r="2301" spans="1:13">
      <c r="A2301" s="14" t="str">
        <f t="shared" si="70"/>
        <v/>
      </c>
      <c r="C2301" s="120" t="s">
        <v>128</v>
      </c>
      <c r="D2301"/>
      <c r="E2301"/>
      <c r="F2301"/>
      <c r="G2301"/>
      <c r="H2301"/>
      <c r="I2301" s="21" t="str">
        <f t="shared" si="71"/>
        <v/>
      </c>
      <c r="L2301" s="24"/>
      <c r="M2301" s="24"/>
    </row>
    <row r="2302" spans="1:13">
      <c r="A2302" s="10" t="str">
        <f t="shared" si="70"/>
        <v/>
      </c>
      <c r="C2302" s="120" t="s">
        <v>280</v>
      </c>
      <c r="D2302"/>
      <c r="E2302"/>
      <c r="F2302"/>
      <c r="G2302"/>
      <c r="H2302"/>
      <c r="I2302" s="21" t="str">
        <f t="shared" si="71"/>
        <v/>
      </c>
      <c r="L2302" s="24"/>
      <c r="M2302" s="24"/>
    </row>
    <row r="2303" spans="1:13">
      <c r="A2303" s="14" t="str">
        <f t="shared" si="70"/>
        <v/>
      </c>
      <c r="C2303" s="120" t="s">
        <v>282</v>
      </c>
      <c r="D2303"/>
      <c r="E2303"/>
      <c r="F2303"/>
      <c r="G2303"/>
      <c r="H2303"/>
      <c r="I2303" s="21" t="str">
        <f t="shared" si="71"/>
        <v/>
      </c>
      <c r="L2303" s="24"/>
      <c r="M2303" s="24"/>
    </row>
    <row r="2304" spans="1:13">
      <c r="A2304" s="10" t="str">
        <f t="shared" si="70"/>
        <v/>
      </c>
      <c r="C2304" s="120" t="s">
        <v>284</v>
      </c>
      <c r="D2304"/>
      <c r="E2304"/>
      <c r="F2304"/>
      <c r="G2304"/>
      <c r="H2304"/>
      <c r="I2304" s="21" t="str">
        <f t="shared" si="71"/>
        <v/>
      </c>
      <c r="L2304" s="24"/>
      <c r="M2304" s="24"/>
    </row>
    <row r="2305" spans="1:13">
      <c r="A2305" s="14" t="str">
        <f t="shared" si="70"/>
        <v/>
      </c>
      <c r="C2305" s="120" t="s">
        <v>286</v>
      </c>
      <c r="D2305"/>
      <c r="E2305"/>
      <c r="F2305"/>
      <c r="G2305"/>
      <c r="H2305"/>
      <c r="I2305" s="21" t="str">
        <f t="shared" si="71"/>
        <v/>
      </c>
      <c r="L2305" s="24"/>
      <c r="M2305" s="24"/>
    </row>
    <row r="2306" spans="1:13">
      <c r="A2306" s="10" t="str">
        <f t="shared" ref="A2306:A2369" si="72">IF(B2306&lt;&gt;"",ROW()-1,"")</f>
        <v/>
      </c>
      <c r="C2306" s="120" t="s">
        <v>126</v>
      </c>
      <c r="D2306"/>
      <c r="E2306"/>
      <c r="F2306"/>
      <c r="G2306"/>
      <c r="H2306"/>
      <c r="I2306" s="21" t="str">
        <f t="shared" ref="I2306:I2369" si="73">IF(AND(G2306&lt;&gt;"",H2306&lt;&gt;""),H2306-G2306,"")</f>
        <v/>
      </c>
      <c r="L2306" s="24"/>
      <c r="M2306" s="24"/>
    </row>
    <row r="2307" spans="1:13">
      <c r="A2307" s="14" t="str">
        <f t="shared" si="72"/>
        <v/>
      </c>
      <c r="C2307" s="120" t="s">
        <v>128</v>
      </c>
      <c r="D2307"/>
      <c r="E2307"/>
      <c r="F2307"/>
      <c r="G2307"/>
      <c r="H2307"/>
      <c r="I2307" s="21" t="str">
        <f t="shared" si="73"/>
        <v/>
      </c>
      <c r="L2307" s="24"/>
      <c r="M2307" s="24"/>
    </row>
    <row r="2308" spans="1:13">
      <c r="A2308" s="10" t="str">
        <f t="shared" si="72"/>
        <v/>
      </c>
      <c r="C2308" s="120" t="s">
        <v>280</v>
      </c>
      <c r="D2308"/>
      <c r="E2308"/>
      <c r="F2308"/>
      <c r="G2308"/>
      <c r="H2308"/>
      <c r="I2308" s="21" t="str">
        <f t="shared" si="73"/>
        <v/>
      </c>
      <c r="L2308" s="24"/>
      <c r="M2308" s="24"/>
    </row>
    <row r="2309" spans="1:13">
      <c r="A2309" s="14" t="str">
        <f t="shared" si="72"/>
        <v/>
      </c>
      <c r="C2309" s="120" t="s">
        <v>282</v>
      </c>
      <c r="D2309"/>
      <c r="E2309"/>
      <c r="F2309"/>
      <c r="G2309"/>
      <c r="H2309"/>
      <c r="I2309" s="21" t="str">
        <f t="shared" si="73"/>
        <v/>
      </c>
      <c r="L2309" s="24"/>
      <c r="M2309" s="24"/>
    </row>
    <row r="2310" spans="1:13">
      <c r="A2310" s="10" t="str">
        <f t="shared" si="72"/>
        <v/>
      </c>
      <c r="C2310" s="120" t="s">
        <v>284</v>
      </c>
      <c r="D2310"/>
      <c r="E2310"/>
      <c r="F2310"/>
      <c r="G2310"/>
      <c r="H2310"/>
      <c r="I2310" s="21" t="str">
        <f t="shared" si="73"/>
        <v/>
      </c>
      <c r="L2310" s="24"/>
      <c r="M2310" s="24"/>
    </row>
    <row r="2311" spans="1:13">
      <c r="A2311" s="14" t="str">
        <f t="shared" si="72"/>
        <v/>
      </c>
      <c r="C2311" s="120" t="s">
        <v>286</v>
      </c>
      <c r="D2311"/>
      <c r="E2311"/>
      <c r="F2311"/>
      <c r="G2311"/>
      <c r="H2311"/>
      <c r="I2311" s="21" t="str">
        <f t="shared" si="73"/>
        <v/>
      </c>
      <c r="L2311" s="24"/>
      <c r="M2311" s="24"/>
    </row>
    <row r="2312" spans="1:13">
      <c r="A2312" s="10" t="str">
        <f t="shared" si="72"/>
        <v/>
      </c>
      <c r="C2312" s="120" t="s">
        <v>126</v>
      </c>
      <c r="D2312"/>
      <c r="E2312"/>
      <c r="F2312"/>
      <c r="G2312"/>
      <c r="H2312"/>
      <c r="I2312" s="21" t="str">
        <f t="shared" si="73"/>
        <v/>
      </c>
      <c r="L2312" s="24"/>
      <c r="M2312" s="24"/>
    </row>
    <row r="2313" spans="1:13">
      <c r="A2313" s="14" t="str">
        <f t="shared" si="72"/>
        <v/>
      </c>
      <c r="C2313" s="120" t="s">
        <v>128</v>
      </c>
      <c r="D2313"/>
      <c r="E2313"/>
      <c r="F2313"/>
      <c r="G2313"/>
      <c r="H2313"/>
      <c r="I2313" s="21" t="str">
        <f t="shared" si="73"/>
        <v/>
      </c>
      <c r="L2313" s="24"/>
      <c r="M2313" s="24"/>
    </row>
    <row r="2314" spans="1:13">
      <c r="A2314" s="10" t="str">
        <f t="shared" si="72"/>
        <v/>
      </c>
      <c r="C2314" s="120" t="s">
        <v>280</v>
      </c>
      <c r="D2314"/>
      <c r="E2314"/>
      <c r="F2314"/>
      <c r="G2314"/>
      <c r="H2314"/>
      <c r="I2314" s="21" t="str">
        <f t="shared" si="73"/>
        <v/>
      </c>
      <c r="L2314" s="24"/>
      <c r="M2314" s="24"/>
    </row>
    <row r="2315" spans="1:13">
      <c r="A2315" s="14" t="str">
        <f t="shared" si="72"/>
        <v/>
      </c>
      <c r="C2315" s="120" t="s">
        <v>282</v>
      </c>
      <c r="D2315"/>
      <c r="E2315"/>
      <c r="F2315"/>
      <c r="G2315"/>
      <c r="H2315"/>
      <c r="I2315" s="21" t="str">
        <f t="shared" si="73"/>
        <v/>
      </c>
      <c r="L2315" s="24"/>
      <c r="M2315" s="24"/>
    </row>
    <row r="2316" spans="1:13">
      <c r="A2316" s="10" t="str">
        <f t="shared" si="72"/>
        <v/>
      </c>
      <c r="C2316" s="120" t="s">
        <v>284</v>
      </c>
      <c r="D2316"/>
      <c r="E2316"/>
      <c r="F2316"/>
      <c r="G2316"/>
      <c r="H2316"/>
      <c r="I2316" s="21" t="str">
        <f t="shared" si="73"/>
        <v/>
      </c>
      <c r="L2316" s="24"/>
      <c r="M2316" s="24"/>
    </row>
    <row r="2317" spans="1:13">
      <c r="A2317" s="14" t="str">
        <f t="shared" si="72"/>
        <v/>
      </c>
      <c r="C2317" s="120" t="s">
        <v>286</v>
      </c>
      <c r="D2317"/>
      <c r="E2317"/>
      <c r="F2317"/>
      <c r="G2317"/>
      <c r="H2317"/>
      <c r="I2317" s="21" t="str">
        <f t="shared" si="73"/>
        <v/>
      </c>
      <c r="L2317" s="24"/>
      <c r="M2317" s="24"/>
    </row>
    <row r="2318" spans="1:13">
      <c r="A2318" s="10" t="str">
        <f t="shared" si="72"/>
        <v/>
      </c>
      <c r="C2318" s="120" t="s">
        <v>126</v>
      </c>
      <c r="D2318"/>
      <c r="E2318"/>
      <c r="F2318"/>
      <c r="G2318"/>
      <c r="H2318"/>
      <c r="I2318" s="21" t="str">
        <f t="shared" si="73"/>
        <v/>
      </c>
      <c r="L2318" s="24"/>
      <c r="M2318" s="24"/>
    </row>
    <row r="2319" spans="1:13">
      <c r="A2319" s="14" t="str">
        <f t="shared" si="72"/>
        <v/>
      </c>
      <c r="C2319" s="120" t="s">
        <v>128</v>
      </c>
      <c r="D2319"/>
      <c r="E2319"/>
      <c r="F2319"/>
      <c r="G2319"/>
      <c r="H2319"/>
      <c r="I2319" s="21" t="str">
        <f t="shared" si="73"/>
        <v/>
      </c>
      <c r="L2319" s="24"/>
      <c r="M2319" s="24"/>
    </row>
    <row r="2320" spans="1:13">
      <c r="A2320" s="10" t="str">
        <f t="shared" si="72"/>
        <v/>
      </c>
      <c r="C2320" s="120" t="s">
        <v>280</v>
      </c>
      <c r="D2320"/>
      <c r="E2320"/>
      <c r="F2320"/>
      <c r="G2320"/>
      <c r="H2320"/>
      <c r="I2320" s="21" t="str">
        <f t="shared" si="73"/>
        <v/>
      </c>
      <c r="L2320" s="24"/>
      <c r="M2320" s="24"/>
    </row>
    <row r="2321" spans="1:13">
      <c r="A2321" s="14" t="str">
        <f t="shared" si="72"/>
        <v/>
      </c>
      <c r="C2321" s="120" t="s">
        <v>282</v>
      </c>
      <c r="D2321"/>
      <c r="E2321"/>
      <c r="F2321"/>
      <c r="G2321"/>
      <c r="H2321"/>
      <c r="I2321" s="21" t="str">
        <f t="shared" si="73"/>
        <v/>
      </c>
      <c r="L2321" s="24"/>
      <c r="M2321" s="24"/>
    </row>
    <row r="2322" spans="1:13">
      <c r="A2322" s="10" t="str">
        <f t="shared" si="72"/>
        <v/>
      </c>
      <c r="C2322" s="120" t="s">
        <v>284</v>
      </c>
      <c r="D2322"/>
      <c r="E2322"/>
      <c r="F2322"/>
      <c r="G2322"/>
      <c r="H2322"/>
      <c r="I2322" s="21" t="str">
        <f t="shared" si="73"/>
        <v/>
      </c>
      <c r="L2322" s="24"/>
      <c r="M2322" s="24"/>
    </row>
    <row r="2323" spans="1:13">
      <c r="A2323" s="14" t="str">
        <f t="shared" si="72"/>
        <v/>
      </c>
      <c r="C2323" s="120" t="s">
        <v>286</v>
      </c>
      <c r="D2323"/>
      <c r="E2323"/>
      <c r="F2323"/>
      <c r="G2323"/>
      <c r="H2323"/>
      <c r="I2323" s="21" t="str">
        <f t="shared" si="73"/>
        <v/>
      </c>
      <c r="L2323" s="24"/>
      <c r="M2323" s="24"/>
    </row>
    <row r="2324" spans="1:13">
      <c r="A2324" s="10" t="str">
        <f t="shared" si="72"/>
        <v/>
      </c>
      <c r="C2324" s="120" t="s">
        <v>126</v>
      </c>
      <c r="D2324"/>
      <c r="E2324"/>
      <c r="F2324"/>
      <c r="G2324"/>
      <c r="H2324"/>
      <c r="I2324" s="21" t="str">
        <f t="shared" si="73"/>
        <v/>
      </c>
      <c r="L2324" s="24"/>
      <c r="M2324" s="24"/>
    </row>
    <row r="2325" spans="1:13">
      <c r="A2325" s="14" t="str">
        <f t="shared" si="72"/>
        <v/>
      </c>
      <c r="C2325" s="120" t="s">
        <v>128</v>
      </c>
      <c r="D2325"/>
      <c r="E2325"/>
      <c r="F2325"/>
      <c r="G2325"/>
      <c r="H2325"/>
      <c r="I2325" s="21" t="str">
        <f t="shared" si="73"/>
        <v/>
      </c>
      <c r="L2325" s="24"/>
      <c r="M2325" s="24"/>
    </row>
    <row r="2326" spans="1:13">
      <c r="A2326" s="10" t="str">
        <f t="shared" si="72"/>
        <v/>
      </c>
      <c r="C2326" s="120" t="s">
        <v>280</v>
      </c>
      <c r="D2326"/>
      <c r="E2326"/>
      <c r="F2326"/>
      <c r="G2326"/>
      <c r="H2326"/>
      <c r="I2326" s="21" t="str">
        <f t="shared" si="73"/>
        <v/>
      </c>
      <c r="L2326" s="24"/>
      <c r="M2326" s="24"/>
    </row>
    <row r="2327" spans="1:13">
      <c r="A2327" s="14" t="str">
        <f t="shared" si="72"/>
        <v/>
      </c>
      <c r="C2327" s="120" t="s">
        <v>282</v>
      </c>
      <c r="D2327"/>
      <c r="E2327"/>
      <c r="F2327"/>
      <c r="G2327"/>
      <c r="H2327"/>
      <c r="I2327" s="21" t="str">
        <f t="shared" si="73"/>
        <v/>
      </c>
      <c r="L2327" s="24"/>
      <c r="M2327" s="24"/>
    </row>
    <row r="2328" spans="1:13">
      <c r="A2328" s="10" t="str">
        <f t="shared" si="72"/>
        <v/>
      </c>
      <c r="C2328" s="120" t="s">
        <v>284</v>
      </c>
      <c r="D2328"/>
      <c r="E2328"/>
      <c r="F2328"/>
      <c r="G2328"/>
      <c r="H2328"/>
      <c r="I2328" s="21" t="str">
        <f t="shared" si="73"/>
        <v/>
      </c>
      <c r="L2328" s="24"/>
      <c r="M2328" s="24"/>
    </row>
    <row r="2329" spans="1:13">
      <c r="A2329" s="14" t="str">
        <f t="shared" si="72"/>
        <v/>
      </c>
      <c r="C2329" s="120" t="s">
        <v>286</v>
      </c>
      <c r="D2329"/>
      <c r="E2329"/>
      <c r="F2329"/>
      <c r="G2329"/>
      <c r="H2329"/>
      <c r="I2329" s="21" t="str">
        <f t="shared" si="73"/>
        <v/>
      </c>
      <c r="L2329" s="24"/>
      <c r="M2329" s="24"/>
    </row>
    <row r="2330" spans="1:13">
      <c r="A2330" s="10" t="str">
        <f t="shared" si="72"/>
        <v/>
      </c>
      <c r="C2330" s="120" t="s">
        <v>126</v>
      </c>
      <c r="D2330"/>
      <c r="E2330"/>
      <c r="F2330"/>
      <c r="G2330"/>
      <c r="H2330"/>
      <c r="I2330" s="21" t="str">
        <f t="shared" si="73"/>
        <v/>
      </c>
      <c r="L2330" s="24"/>
      <c r="M2330" s="24"/>
    </row>
    <row r="2331" spans="1:13">
      <c r="A2331" s="14" t="str">
        <f t="shared" si="72"/>
        <v/>
      </c>
      <c r="C2331" s="120" t="s">
        <v>128</v>
      </c>
      <c r="D2331"/>
      <c r="E2331"/>
      <c r="F2331"/>
      <c r="G2331"/>
      <c r="H2331"/>
      <c r="I2331" s="21" t="str">
        <f t="shared" si="73"/>
        <v/>
      </c>
      <c r="L2331" s="24"/>
      <c r="M2331" s="24"/>
    </row>
    <row r="2332" spans="1:13">
      <c r="A2332" s="10" t="str">
        <f t="shared" si="72"/>
        <v/>
      </c>
      <c r="C2332" s="120" t="s">
        <v>280</v>
      </c>
      <c r="D2332"/>
      <c r="E2332"/>
      <c r="F2332"/>
      <c r="G2332"/>
      <c r="H2332"/>
      <c r="I2332" s="21" t="str">
        <f t="shared" si="73"/>
        <v/>
      </c>
      <c r="L2332" s="24"/>
      <c r="M2332" s="24"/>
    </row>
    <row r="2333" spans="1:13">
      <c r="A2333" s="14" t="str">
        <f t="shared" si="72"/>
        <v/>
      </c>
      <c r="C2333" s="120" t="s">
        <v>282</v>
      </c>
      <c r="D2333"/>
      <c r="E2333"/>
      <c r="F2333"/>
      <c r="G2333"/>
      <c r="H2333"/>
      <c r="I2333" s="21" t="str">
        <f t="shared" si="73"/>
        <v/>
      </c>
      <c r="L2333" s="24"/>
      <c r="M2333" s="24"/>
    </row>
    <row r="2334" spans="1:13">
      <c r="A2334" s="10" t="str">
        <f t="shared" si="72"/>
        <v/>
      </c>
      <c r="C2334" s="120" t="s">
        <v>284</v>
      </c>
      <c r="D2334"/>
      <c r="E2334"/>
      <c r="F2334"/>
      <c r="G2334"/>
      <c r="H2334"/>
      <c r="I2334" s="21" t="str">
        <f t="shared" si="73"/>
        <v/>
      </c>
      <c r="L2334" s="24"/>
      <c r="M2334" s="24"/>
    </row>
    <row r="2335" spans="1:13">
      <c r="A2335" s="14" t="str">
        <f t="shared" si="72"/>
        <v/>
      </c>
      <c r="C2335" s="120" t="s">
        <v>286</v>
      </c>
      <c r="D2335"/>
      <c r="E2335"/>
      <c r="F2335"/>
      <c r="G2335"/>
      <c r="H2335"/>
      <c r="I2335" s="21" t="str">
        <f t="shared" si="73"/>
        <v/>
      </c>
      <c r="L2335" s="24"/>
      <c r="M2335" s="24"/>
    </row>
    <row r="2336" spans="1:13">
      <c r="A2336" s="10" t="str">
        <f t="shared" si="72"/>
        <v/>
      </c>
      <c r="C2336" s="120" t="s">
        <v>126</v>
      </c>
      <c r="D2336"/>
      <c r="E2336"/>
      <c r="F2336"/>
      <c r="G2336"/>
      <c r="H2336"/>
      <c r="I2336" s="21" t="str">
        <f t="shared" si="73"/>
        <v/>
      </c>
      <c r="L2336" s="24"/>
      <c r="M2336" s="24"/>
    </row>
    <row r="2337" spans="1:13">
      <c r="A2337" s="14" t="str">
        <f t="shared" si="72"/>
        <v/>
      </c>
      <c r="C2337" s="120" t="s">
        <v>128</v>
      </c>
      <c r="D2337"/>
      <c r="E2337"/>
      <c r="F2337"/>
      <c r="G2337"/>
      <c r="H2337"/>
      <c r="I2337" s="21" t="str">
        <f t="shared" si="73"/>
        <v/>
      </c>
      <c r="L2337" s="24"/>
      <c r="M2337" s="24"/>
    </row>
    <row r="2338" spans="1:13">
      <c r="A2338" s="10" t="str">
        <f t="shared" si="72"/>
        <v/>
      </c>
      <c r="C2338" s="120" t="s">
        <v>280</v>
      </c>
      <c r="D2338"/>
      <c r="E2338"/>
      <c r="F2338"/>
      <c r="G2338"/>
      <c r="H2338"/>
      <c r="I2338" s="21" t="str">
        <f t="shared" si="73"/>
        <v/>
      </c>
      <c r="L2338" s="24"/>
      <c r="M2338" s="24"/>
    </row>
    <row r="2339" spans="1:13">
      <c r="A2339" s="14" t="str">
        <f t="shared" si="72"/>
        <v/>
      </c>
      <c r="C2339" s="120" t="s">
        <v>282</v>
      </c>
      <c r="D2339"/>
      <c r="E2339"/>
      <c r="F2339"/>
      <c r="G2339"/>
      <c r="H2339"/>
      <c r="I2339" s="21" t="str">
        <f t="shared" si="73"/>
        <v/>
      </c>
      <c r="L2339" s="24"/>
      <c r="M2339" s="24"/>
    </row>
    <row r="2340" spans="1:13">
      <c r="A2340" s="10" t="str">
        <f t="shared" si="72"/>
        <v/>
      </c>
      <c r="C2340" s="120" t="s">
        <v>284</v>
      </c>
      <c r="D2340"/>
      <c r="E2340"/>
      <c r="F2340"/>
      <c r="G2340"/>
      <c r="H2340"/>
      <c r="I2340" s="21" t="str">
        <f t="shared" si="73"/>
        <v/>
      </c>
      <c r="L2340" s="24"/>
      <c r="M2340" s="24"/>
    </row>
    <row r="2341" spans="1:13">
      <c r="A2341" s="14" t="str">
        <f t="shared" si="72"/>
        <v/>
      </c>
      <c r="C2341" s="120" t="s">
        <v>286</v>
      </c>
      <c r="D2341"/>
      <c r="E2341"/>
      <c r="F2341"/>
      <c r="G2341"/>
      <c r="H2341"/>
      <c r="I2341" s="21" t="str">
        <f t="shared" si="73"/>
        <v/>
      </c>
      <c r="L2341" s="24"/>
      <c r="M2341" s="24"/>
    </row>
    <row r="2342" spans="1:13">
      <c r="A2342" s="10" t="str">
        <f t="shared" si="72"/>
        <v/>
      </c>
      <c r="C2342" s="120" t="s">
        <v>126</v>
      </c>
      <c r="D2342"/>
      <c r="E2342"/>
      <c r="F2342"/>
      <c r="G2342"/>
      <c r="H2342"/>
      <c r="I2342" s="21" t="str">
        <f t="shared" si="73"/>
        <v/>
      </c>
      <c r="L2342" s="24"/>
      <c r="M2342" s="24"/>
    </row>
    <row r="2343" spans="1:13">
      <c r="A2343" s="14" t="str">
        <f t="shared" si="72"/>
        <v/>
      </c>
      <c r="C2343" s="120" t="s">
        <v>128</v>
      </c>
      <c r="D2343"/>
      <c r="E2343"/>
      <c r="F2343"/>
      <c r="G2343"/>
      <c r="H2343"/>
      <c r="I2343" s="21" t="str">
        <f t="shared" si="73"/>
        <v/>
      </c>
      <c r="L2343" s="24"/>
      <c r="M2343" s="24"/>
    </row>
    <row r="2344" spans="1:13">
      <c r="A2344" s="10" t="str">
        <f t="shared" si="72"/>
        <v/>
      </c>
      <c r="C2344" s="120" t="s">
        <v>280</v>
      </c>
      <c r="D2344"/>
      <c r="E2344"/>
      <c r="F2344"/>
      <c r="G2344"/>
      <c r="H2344"/>
      <c r="I2344" s="21" t="str">
        <f t="shared" si="73"/>
        <v/>
      </c>
      <c r="L2344" s="24"/>
      <c r="M2344" s="24"/>
    </row>
    <row r="2345" spans="1:13">
      <c r="A2345" s="14" t="str">
        <f t="shared" si="72"/>
        <v/>
      </c>
      <c r="C2345" s="120" t="s">
        <v>282</v>
      </c>
      <c r="D2345"/>
      <c r="E2345"/>
      <c r="F2345"/>
      <c r="G2345"/>
      <c r="H2345"/>
      <c r="I2345" s="21" t="str">
        <f t="shared" si="73"/>
        <v/>
      </c>
      <c r="L2345" s="24"/>
      <c r="M2345" s="24"/>
    </row>
    <row r="2346" spans="1:13">
      <c r="A2346" s="10" t="str">
        <f t="shared" si="72"/>
        <v/>
      </c>
      <c r="C2346" s="120" t="s">
        <v>284</v>
      </c>
      <c r="D2346"/>
      <c r="E2346"/>
      <c r="F2346"/>
      <c r="G2346"/>
      <c r="H2346"/>
      <c r="I2346" s="21" t="str">
        <f t="shared" si="73"/>
        <v/>
      </c>
      <c r="L2346" s="24"/>
      <c r="M2346" s="24"/>
    </row>
    <row r="2347" spans="1:13">
      <c r="A2347" s="14" t="str">
        <f t="shared" si="72"/>
        <v/>
      </c>
      <c r="C2347" s="120" t="s">
        <v>286</v>
      </c>
      <c r="D2347"/>
      <c r="E2347"/>
      <c r="F2347"/>
      <c r="G2347"/>
      <c r="H2347"/>
      <c r="I2347" s="21" t="str">
        <f t="shared" si="73"/>
        <v/>
      </c>
      <c r="L2347" s="24"/>
      <c r="M2347" s="24"/>
    </row>
    <row r="2348" spans="1:13">
      <c r="A2348" s="10" t="str">
        <f t="shared" si="72"/>
        <v/>
      </c>
      <c r="C2348" s="120" t="s">
        <v>126</v>
      </c>
      <c r="D2348"/>
      <c r="E2348"/>
      <c r="F2348"/>
      <c r="G2348"/>
      <c r="H2348"/>
      <c r="I2348" s="21" t="str">
        <f t="shared" si="73"/>
        <v/>
      </c>
      <c r="L2348" s="24"/>
      <c r="M2348" s="24"/>
    </row>
    <row r="2349" spans="1:13">
      <c r="A2349" s="14" t="str">
        <f t="shared" si="72"/>
        <v/>
      </c>
      <c r="C2349" s="120" t="s">
        <v>128</v>
      </c>
      <c r="D2349"/>
      <c r="E2349"/>
      <c r="F2349"/>
      <c r="G2349"/>
      <c r="H2349"/>
      <c r="I2349" s="21" t="str">
        <f t="shared" si="73"/>
        <v/>
      </c>
      <c r="L2349" s="24"/>
      <c r="M2349" s="24"/>
    </row>
    <row r="2350" spans="1:13">
      <c r="A2350" s="10" t="str">
        <f t="shared" si="72"/>
        <v/>
      </c>
      <c r="C2350" s="120" t="s">
        <v>280</v>
      </c>
      <c r="D2350"/>
      <c r="E2350"/>
      <c r="F2350"/>
      <c r="G2350"/>
      <c r="H2350"/>
      <c r="I2350" s="21" t="str">
        <f t="shared" si="73"/>
        <v/>
      </c>
      <c r="L2350" s="24"/>
      <c r="M2350" s="24"/>
    </row>
    <row r="2351" spans="1:13">
      <c r="A2351" s="14" t="str">
        <f t="shared" si="72"/>
        <v/>
      </c>
      <c r="C2351" s="120" t="s">
        <v>282</v>
      </c>
      <c r="D2351"/>
      <c r="E2351"/>
      <c r="F2351"/>
      <c r="G2351"/>
      <c r="H2351"/>
      <c r="I2351" s="21" t="str">
        <f t="shared" si="73"/>
        <v/>
      </c>
      <c r="L2351" s="24"/>
      <c r="M2351" s="24"/>
    </row>
    <row r="2352" spans="1:13">
      <c r="A2352" s="10" t="str">
        <f t="shared" si="72"/>
        <v/>
      </c>
      <c r="C2352" s="120" t="s">
        <v>284</v>
      </c>
      <c r="D2352"/>
      <c r="E2352"/>
      <c r="F2352"/>
      <c r="G2352"/>
      <c r="H2352"/>
      <c r="I2352" s="21" t="str">
        <f t="shared" si="73"/>
        <v/>
      </c>
      <c r="L2352" s="24"/>
      <c r="M2352" s="24"/>
    </row>
    <row r="2353" spans="1:13">
      <c r="A2353" s="14" t="str">
        <f t="shared" si="72"/>
        <v/>
      </c>
      <c r="C2353" s="120" t="s">
        <v>286</v>
      </c>
      <c r="D2353"/>
      <c r="E2353"/>
      <c r="F2353"/>
      <c r="G2353"/>
      <c r="H2353"/>
      <c r="I2353" s="21" t="str">
        <f t="shared" si="73"/>
        <v/>
      </c>
      <c r="L2353" s="24"/>
      <c r="M2353" s="24"/>
    </row>
    <row r="2354" spans="1:13">
      <c r="A2354" s="10" t="str">
        <f t="shared" si="72"/>
        <v/>
      </c>
      <c r="C2354" s="120" t="s">
        <v>126</v>
      </c>
      <c r="D2354"/>
      <c r="E2354"/>
      <c r="F2354"/>
      <c r="G2354"/>
      <c r="H2354"/>
      <c r="I2354" s="21" t="str">
        <f t="shared" si="73"/>
        <v/>
      </c>
      <c r="L2354" s="24"/>
      <c r="M2354" s="24"/>
    </row>
    <row r="2355" spans="1:13">
      <c r="A2355" s="14" t="str">
        <f t="shared" si="72"/>
        <v/>
      </c>
      <c r="C2355" s="120" t="s">
        <v>128</v>
      </c>
      <c r="D2355"/>
      <c r="E2355"/>
      <c r="F2355"/>
      <c r="G2355"/>
      <c r="H2355"/>
      <c r="I2355" s="21" t="str">
        <f t="shared" si="73"/>
        <v/>
      </c>
      <c r="L2355" s="24"/>
      <c r="M2355" s="24"/>
    </row>
    <row r="2356" spans="1:13">
      <c r="A2356" s="10" t="str">
        <f t="shared" si="72"/>
        <v/>
      </c>
      <c r="C2356" s="120" t="s">
        <v>280</v>
      </c>
      <c r="D2356"/>
      <c r="E2356"/>
      <c r="F2356"/>
      <c r="G2356"/>
      <c r="H2356"/>
      <c r="I2356" s="21" t="str">
        <f t="shared" si="73"/>
        <v/>
      </c>
      <c r="L2356" s="24"/>
      <c r="M2356" s="24"/>
    </row>
    <row r="2357" spans="1:13">
      <c r="A2357" s="14" t="str">
        <f t="shared" si="72"/>
        <v/>
      </c>
      <c r="C2357" s="120" t="s">
        <v>282</v>
      </c>
      <c r="D2357"/>
      <c r="E2357"/>
      <c r="F2357"/>
      <c r="G2357"/>
      <c r="H2357"/>
      <c r="I2357" s="21" t="str">
        <f t="shared" si="73"/>
        <v/>
      </c>
      <c r="L2357" s="24"/>
      <c r="M2357" s="24"/>
    </row>
    <row r="2358" spans="1:13">
      <c r="A2358" s="10" t="str">
        <f t="shared" si="72"/>
        <v/>
      </c>
      <c r="C2358" s="120" t="s">
        <v>284</v>
      </c>
      <c r="D2358"/>
      <c r="E2358"/>
      <c r="F2358"/>
      <c r="G2358"/>
      <c r="H2358"/>
      <c r="I2358" s="21" t="str">
        <f t="shared" si="73"/>
        <v/>
      </c>
      <c r="L2358" s="24"/>
      <c r="M2358" s="24"/>
    </row>
    <row r="2359" spans="1:13">
      <c r="A2359" s="14" t="str">
        <f t="shared" si="72"/>
        <v/>
      </c>
      <c r="C2359" s="120" t="s">
        <v>286</v>
      </c>
      <c r="D2359"/>
      <c r="E2359"/>
      <c r="F2359"/>
      <c r="G2359"/>
      <c r="H2359"/>
      <c r="I2359" s="21" t="str">
        <f t="shared" si="73"/>
        <v/>
      </c>
      <c r="L2359" s="24"/>
      <c r="M2359" s="24"/>
    </row>
    <row r="2360" spans="1:13">
      <c r="A2360" s="10" t="str">
        <f t="shared" si="72"/>
        <v/>
      </c>
      <c r="C2360" s="120" t="s">
        <v>126</v>
      </c>
      <c r="D2360"/>
      <c r="E2360"/>
      <c r="F2360"/>
      <c r="G2360"/>
      <c r="H2360"/>
      <c r="I2360" s="21" t="str">
        <f t="shared" si="73"/>
        <v/>
      </c>
      <c r="L2360" s="24"/>
      <c r="M2360" s="24"/>
    </row>
    <row r="2361" spans="1:13">
      <c r="A2361" s="14" t="str">
        <f t="shared" si="72"/>
        <v/>
      </c>
      <c r="C2361" s="120" t="s">
        <v>128</v>
      </c>
      <c r="D2361"/>
      <c r="E2361"/>
      <c r="F2361"/>
      <c r="G2361"/>
      <c r="H2361"/>
      <c r="I2361" s="21" t="str">
        <f t="shared" si="73"/>
        <v/>
      </c>
      <c r="L2361" s="24"/>
      <c r="M2361" s="24"/>
    </row>
    <row r="2362" spans="1:13">
      <c r="A2362" s="10" t="str">
        <f t="shared" si="72"/>
        <v/>
      </c>
      <c r="C2362" s="120" t="s">
        <v>280</v>
      </c>
      <c r="D2362"/>
      <c r="E2362"/>
      <c r="F2362"/>
      <c r="G2362"/>
      <c r="H2362"/>
      <c r="I2362" s="21" t="str">
        <f t="shared" si="73"/>
        <v/>
      </c>
      <c r="L2362" s="24"/>
      <c r="M2362" s="24"/>
    </row>
    <row r="2363" spans="1:13">
      <c r="A2363" s="14" t="str">
        <f t="shared" si="72"/>
        <v/>
      </c>
      <c r="C2363" s="120" t="s">
        <v>282</v>
      </c>
      <c r="D2363"/>
      <c r="E2363"/>
      <c r="F2363"/>
      <c r="G2363"/>
      <c r="H2363"/>
      <c r="I2363" s="21" t="str">
        <f t="shared" si="73"/>
        <v/>
      </c>
      <c r="L2363" s="24"/>
      <c r="M2363" s="24"/>
    </row>
    <row r="2364" spans="1:13">
      <c r="A2364" s="10" t="str">
        <f t="shared" si="72"/>
        <v/>
      </c>
      <c r="C2364" s="120" t="s">
        <v>284</v>
      </c>
      <c r="D2364"/>
      <c r="E2364"/>
      <c r="F2364"/>
      <c r="G2364"/>
      <c r="H2364"/>
      <c r="I2364" s="21" t="str">
        <f t="shared" si="73"/>
        <v/>
      </c>
      <c r="L2364" s="24"/>
      <c r="M2364" s="24"/>
    </row>
    <row r="2365" spans="1:13">
      <c r="A2365" s="14" t="str">
        <f t="shared" si="72"/>
        <v/>
      </c>
      <c r="C2365" s="120" t="s">
        <v>286</v>
      </c>
      <c r="D2365"/>
      <c r="E2365"/>
      <c r="F2365"/>
      <c r="G2365"/>
      <c r="H2365"/>
      <c r="I2365" s="21" t="str">
        <f t="shared" si="73"/>
        <v/>
      </c>
      <c r="L2365" s="24"/>
      <c r="M2365" s="24"/>
    </row>
    <row r="2366" spans="1:13">
      <c r="A2366" s="10" t="str">
        <f t="shared" si="72"/>
        <v/>
      </c>
      <c r="C2366" s="120" t="s">
        <v>126</v>
      </c>
      <c r="D2366"/>
      <c r="E2366"/>
      <c r="F2366"/>
      <c r="G2366"/>
      <c r="H2366"/>
      <c r="I2366" s="21" t="str">
        <f t="shared" si="73"/>
        <v/>
      </c>
      <c r="L2366" s="24"/>
      <c r="M2366" s="24"/>
    </row>
    <row r="2367" spans="1:13">
      <c r="A2367" s="14" t="str">
        <f t="shared" si="72"/>
        <v/>
      </c>
      <c r="C2367" s="120" t="s">
        <v>128</v>
      </c>
      <c r="D2367"/>
      <c r="E2367"/>
      <c r="F2367"/>
      <c r="G2367"/>
      <c r="H2367"/>
      <c r="I2367" s="21" t="str">
        <f t="shared" si="73"/>
        <v/>
      </c>
      <c r="L2367" s="24"/>
      <c r="M2367" s="24"/>
    </row>
    <row r="2368" spans="1:13">
      <c r="A2368" s="10" t="str">
        <f t="shared" si="72"/>
        <v/>
      </c>
      <c r="C2368" s="120" t="s">
        <v>280</v>
      </c>
      <c r="D2368"/>
      <c r="E2368"/>
      <c r="F2368"/>
      <c r="G2368"/>
      <c r="H2368"/>
      <c r="I2368" s="21" t="str">
        <f t="shared" si="73"/>
        <v/>
      </c>
      <c r="L2368" s="24"/>
      <c r="M2368" s="24"/>
    </row>
    <row r="2369" spans="1:13">
      <c r="A2369" s="14" t="str">
        <f t="shared" si="72"/>
        <v/>
      </c>
      <c r="C2369" s="120" t="s">
        <v>282</v>
      </c>
      <c r="D2369"/>
      <c r="E2369"/>
      <c r="F2369"/>
      <c r="G2369"/>
      <c r="H2369"/>
      <c r="I2369" s="21" t="str">
        <f t="shared" si="73"/>
        <v/>
      </c>
      <c r="L2369" s="24"/>
      <c r="M2369" s="24"/>
    </row>
    <row r="2370" spans="1:13">
      <c r="A2370" s="10" t="str">
        <f t="shared" ref="A2370:A2433" si="74">IF(B2370&lt;&gt;"",ROW()-1,"")</f>
        <v/>
      </c>
      <c r="C2370" s="120" t="s">
        <v>284</v>
      </c>
      <c r="D2370"/>
      <c r="E2370"/>
      <c r="F2370"/>
      <c r="G2370"/>
      <c r="H2370"/>
      <c r="I2370" s="21" t="str">
        <f t="shared" ref="I2370:I2433" si="75">IF(AND(G2370&lt;&gt;"",H2370&lt;&gt;""),H2370-G2370,"")</f>
        <v/>
      </c>
      <c r="L2370" s="24"/>
      <c r="M2370" s="24"/>
    </row>
    <row r="2371" spans="1:13">
      <c r="A2371" s="14" t="str">
        <f t="shared" si="74"/>
        <v/>
      </c>
      <c r="C2371" s="120" t="s">
        <v>286</v>
      </c>
      <c r="D2371"/>
      <c r="E2371"/>
      <c r="F2371"/>
      <c r="G2371"/>
      <c r="H2371"/>
      <c r="I2371" s="21" t="str">
        <f t="shared" si="75"/>
        <v/>
      </c>
      <c r="L2371" s="24"/>
      <c r="M2371" s="24"/>
    </row>
    <row r="2372" spans="1:13">
      <c r="A2372" s="10" t="str">
        <f t="shared" si="74"/>
        <v/>
      </c>
      <c r="C2372" s="120" t="s">
        <v>126</v>
      </c>
      <c r="D2372"/>
      <c r="E2372"/>
      <c r="F2372"/>
      <c r="G2372"/>
      <c r="H2372"/>
      <c r="I2372" s="21" t="str">
        <f t="shared" si="75"/>
        <v/>
      </c>
      <c r="L2372" s="24"/>
      <c r="M2372" s="24"/>
    </row>
    <row r="2373" spans="1:13">
      <c r="A2373" s="14" t="str">
        <f t="shared" si="74"/>
        <v/>
      </c>
      <c r="C2373" s="120" t="s">
        <v>128</v>
      </c>
      <c r="D2373"/>
      <c r="E2373"/>
      <c r="F2373"/>
      <c r="G2373"/>
      <c r="H2373"/>
      <c r="I2373" s="21" t="str">
        <f t="shared" si="75"/>
        <v/>
      </c>
      <c r="L2373" s="24"/>
      <c r="M2373" s="24"/>
    </row>
    <row r="2374" spans="1:13">
      <c r="A2374" s="10" t="str">
        <f t="shared" si="74"/>
        <v/>
      </c>
      <c r="C2374" s="120" t="s">
        <v>280</v>
      </c>
      <c r="D2374"/>
      <c r="E2374"/>
      <c r="F2374"/>
      <c r="G2374"/>
      <c r="H2374"/>
      <c r="I2374" s="21" t="str">
        <f t="shared" si="75"/>
        <v/>
      </c>
      <c r="L2374" s="24"/>
      <c r="M2374" s="24"/>
    </row>
    <row r="2375" spans="1:13">
      <c r="A2375" s="14" t="str">
        <f t="shared" si="74"/>
        <v/>
      </c>
      <c r="C2375" s="120" t="s">
        <v>282</v>
      </c>
      <c r="D2375"/>
      <c r="E2375"/>
      <c r="F2375"/>
      <c r="G2375"/>
      <c r="H2375"/>
      <c r="I2375" s="21" t="str">
        <f t="shared" si="75"/>
        <v/>
      </c>
      <c r="L2375" s="24"/>
      <c r="M2375" s="24"/>
    </row>
    <row r="2376" spans="1:13">
      <c r="A2376" s="10" t="str">
        <f t="shared" si="74"/>
        <v/>
      </c>
      <c r="C2376" s="120" t="s">
        <v>284</v>
      </c>
      <c r="D2376"/>
      <c r="E2376"/>
      <c r="F2376"/>
      <c r="G2376"/>
      <c r="H2376"/>
      <c r="I2376" s="21" t="str">
        <f t="shared" si="75"/>
        <v/>
      </c>
      <c r="L2376" s="24"/>
      <c r="M2376" s="24"/>
    </row>
    <row r="2377" spans="1:13">
      <c r="A2377" s="14" t="str">
        <f t="shared" si="74"/>
        <v/>
      </c>
      <c r="C2377" s="120" t="s">
        <v>286</v>
      </c>
      <c r="D2377"/>
      <c r="E2377"/>
      <c r="F2377"/>
      <c r="G2377"/>
      <c r="H2377"/>
      <c r="I2377" s="21" t="str">
        <f t="shared" si="75"/>
        <v/>
      </c>
      <c r="L2377" s="24"/>
      <c r="M2377" s="24"/>
    </row>
    <row r="2378" spans="1:13">
      <c r="A2378" s="10" t="str">
        <f t="shared" si="74"/>
        <v/>
      </c>
      <c r="C2378" s="120" t="s">
        <v>126</v>
      </c>
      <c r="D2378"/>
      <c r="E2378"/>
      <c r="F2378"/>
      <c r="G2378"/>
      <c r="H2378"/>
      <c r="I2378" s="21" t="str">
        <f t="shared" si="75"/>
        <v/>
      </c>
      <c r="L2378" s="24"/>
      <c r="M2378" s="24"/>
    </row>
    <row r="2379" spans="1:13">
      <c r="A2379" s="14" t="str">
        <f t="shared" si="74"/>
        <v/>
      </c>
      <c r="C2379" s="120" t="s">
        <v>128</v>
      </c>
      <c r="D2379"/>
      <c r="E2379"/>
      <c r="F2379"/>
      <c r="G2379"/>
      <c r="H2379"/>
      <c r="I2379" s="21" t="str">
        <f t="shared" si="75"/>
        <v/>
      </c>
      <c r="L2379" s="24"/>
      <c r="M2379" s="24"/>
    </row>
    <row r="2380" spans="1:13">
      <c r="A2380" s="10" t="str">
        <f t="shared" si="74"/>
        <v/>
      </c>
      <c r="C2380" s="120" t="s">
        <v>280</v>
      </c>
      <c r="D2380"/>
      <c r="E2380"/>
      <c r="F2380"/>
      <c r="G2380"/>
      <c r="H2380"/>
      <c r="I2380" s="21" t="str">
        <f t="shared" si="75"/>
        <v/>
      </c>
      <c r="L2380" s="24"/>
      <c r="M2380" s="24"/>
    </row>
    <row r="2381" spans="1:13">
      <c r="A2381" s="14" t="str">
        <f t="shared" si="74"/>
        <v/>
      </c>
      <c r="C2381" s="120" t="s">
        <v>282</v>
      </c>
      <c r="D2381"/>
      <c r="E2381"/>
      <c r="F2381"/>
      <c r="G2381"/>
      <c r="H2381"/>
      <c r="I2381" s="21" t="str">
        <f t="shared" si="75"/>
        <v/>
      </c>
      <c r="L2381" s="24"/>
      <c r="M2381" s="24"/>
    </row>
    <row r="2382" spans="1:13">
      <c r="A2382" s="10" t="str">
        <f t="shared" si="74"/>
        <v/>
      </c>
      <c r="C2382" s="120" t="s">
        <v>284</v>
      </c>
      <c r="D2382"/>
      <c r="E2382"/>
      <c r="F2382"/>
      <c r="G2382"/>
      <c r="H2382"/>
      <c r="I2382" s="21" t="str">
        <f t="shared" si="75"/>
        <v/>
      </c>
      <c r="L2382" s="24"/>
      <c r="M2382" s="24"/>
    </row>
    <row r="2383" spans="1:13">
      <c r="A2383" s="14" t="str">
        <f t="shared" si="74"/>
        <v/>
      </c>
      <c r="C2383" s="120" t="s">
        <v>286</v>
      </c>
      <c r="D2383"/>
      <c r="E2383"/>
      <c r="F2383"/>
      <c r="G2383"/>
      <c r="H2383"/>
      <c r="I2383" s="21" t="str">
        <f t="shared" si="75"/>
        <v/>
      </c>
      <c r="L2383" s="24"/>
      <c r="M2383" s="24"/>
    </row>
    <row r="2384" spans="1:13">
      <c r="A2384" s="10" t="str">
        <f t="shared" si="74"/>
        <v/>
      </c>
      <c r="C2384" s="120" t="s">
        <v>126</v>
      </c>
      <c r="D2384"/>
      <c r="E2384"/>
      <c r="F2384"/>
      <c r="G2384"/>
      <c r="H2384"/>
      <c r="I2384" s="21" t="str">
        <f t="shared" si="75"/>
        <v/>
      </c>
      <c r="L2384" s="24"/>
      <c r="M2384" s="24"/>
    </row>
    <row r="2385" spans="1:13">
      <c r="A2385" s="14" t="str">
        <f t="shared" si="74"/>
        <v/>
      </c>
      <c r="C2385" s="120" t="s">
        <v>128</v>
      </c>
      <c r="D2385"/>
      <c r="E2385"/>
      <c r="F2385"/>
      <c r="G2385"/>
      <c r="H2385"/>
      <c r="I2385" s="21" t="str">
        <f t="shared" si="75"/>
        <v/>
      </c>
      <c r="L2385" s="24"/>
      <c r="M2385" s="24"/>
    </row>
    <row r="2386" spans="1:13">
      <c r="A2386" s="10" t="str">
        <f t="shared" si="74"/>
        <v/>
      </c>
      <c r="C2386" s="120" t="s">
        <v>280</v>
      </c>
      <c r="D2386"/>
      <c r="E2386"/>
      <c r="F2386"/>
      <c r="G2386"/>
      <c r="H2386"/>
      <c r="I2386" s="21" t="str">
        <f t="shared" si="75"/>
        <v/>
      </c>
      <c r="L2386" s="24"/>
      <c r="M2386" s="24"/>
    </row>
    <row r="2387" spans="1:13">
      <c r="A2387" s="14" t="str">
        <f t="shared" si="74"/>
        <v/>
      </c>
      <c r="C2387" s="120" t="s">
        <v>282</v>
      </c>
      <c r="D2387"/>
      <c r="E2387"/>
      <c r="F2387"/>
      <c r="G2387"/>
      <c r="H2387"/>
      <c r="I2387" s="21" t="str">
        <f t="shared" si="75"/>
        <v/>
      </c>
      <c r="L2387" s="24"/>
      <c r="M2387" s="24"/>
    </row>
    <row r="2388" spans="1:13">
      <c r="A2388" s="10" t="str">
        <f t="shared" si="74"/>
        <v/>
      </c>
      <c r="C2388" s="120" t="s">
        <v>284</v>
      </c>
      <c r="D2388"/>
      <c r="E2388"/>
      <c r="F2388"/>
      <c r="G2388"/>
      <c r="H2388"/>
      <c r="I2388" s="21" t="str">
        <f t="shared" si="75"/>
        <v/>
      </c>
      <c r="L2388" s="24"/>
      <c r="M2388" s="24"/>
    </row>
    <row r="2389" spans="1:13">
      <c r="A2389" s="14" t="str">
        <f t="shared" si="74"/>
        <v/>
      </c>
      <c r="C2389" s="120" t="s">
        <v>286</v>
      </c>
      <c r="D2389"/>
      <c r="E2389"/>
      <c r="F2389"/>
      <c r="G2389"/>
      <c r="H2389"/>
      <c r="I2389" s="21" t="str">
        <f t="shared" si="75"/>
        <v/>
      </c>
      <c r="L2389" s="24"/>
      <c r="M2389" s="24"/>
    </row>
    <row r="2390" spans="1:13">
      <c r="A2390" s="10" t="str">
        <f t="shared" si="74"/>
        <v/>
      </c>
      <c r="C2390" s="120" t="s">
        <v>126</v>
      </c>
      <c r="D2390"/>
      <c r="E2390"/>
      <c r="F2390"/>
      <c r="G2390"/>
      <c r="H2390"/>
      <c r="I2390" s="21" t="str">
        <f t="shared" si="75"/>
        <v/>
      </c>
      <c r="L2390" s="24"/>
      <c r="M2390" s="24"/>
    </row>
    <row r="2391" spans="1:13">
      <c r="A2391" s="14" t="str">
        <f t="shared" si="74"/>
        <v/>
      </c>
      <c r="C2391" s="120" t="s">
        <v>128</v>
      </c>
      <c r="D2391"/>
      <c r="E2391"/>
      <c r="F2391"/>
      <c r="G2391"/>
      <c r="H2391"/>
      <c r="I2391" s="21" t="str">
        <f t="shared" si="75"/>
        <v/>
      </c>
      <c r="L2391" s="24"/>
      <c r="M2391" s="24"/>
    </row>
    <row r="2392" spans="1:13">
      <c r="A2392" s="10" t="str">
        <f t="shared" si="74"/>
        <v/>
      </c>
      <c r="C2392" s="120" t="s">
        <v>280</v>
      </c>
      <c r="D2392"/>
      <c r="E2392"/>
      <c r="F2392"/>
      <c r="G2392"/>
      <c r="H2392"/>
      <c r="I2392" s="21" t="str">
        <f t="shared" si="75"/>
        <v/>
      </c>
      <c r="L2392" s="24"/>
      <c r="M2392" s="24"/>
    </row>
    <row r="2393" spans="1:13">
      <c r="A2393" s="14" t="str">
        <f t="shared" si="74"/>
        <v/>
      </c>
      <c r="C2393" s="120" t="s">
        <v>282</v>
      </c>
      <c r="D2393"/>
      <c r="E2393"/>
      <c r="F2393"/>
      <c r="G2393"/>
      <c r="H2393"/>
      <c r="I2393" s="21" t="str">
        <f t="shared" si="75"/>
        <v/>
      </c>
      <c r="L2393" s="24"/>
      <c r="M2393" s="24"/>
    </row>
    <row r="2394" spans="1:13">
      <c r="A2394" s="10" t="str">
        <f t="shared" si="74"/>
        <v/>
      </c>
      <c r="C2394" s="120" t="s">
        <v>284</v>
      </c>
      <c r="D2394"/>
      <c r="E2394"/>
      <c r="F2394"/>
      <c r="G2394"/>
      <c r="H2394"/>
      <c r="I2394" s="21" t="str">
        <f t="shared" si="75"/>
        <v/>
      </c>
      <c r="L2394" s="24"/>
      <c r="M2394" s="24"/>
    </row>
    <row r="2395" spans="1:13">
      <c r="A2395" s="14" t="str">
        <f t="shared" si="74"/>
        <v/>
      </c>
      <c r="C2395" s="120" t="s">
        <v>286</v>
      </c>
      <c r="D2395"/>
      <c r="E2395"/>
      <c r="F2395"/>
      <c r="G2395"/>
      <c r="H2395"/>
      <c r="I2395" s="21" t="str">
        <f t="shared" si="75"/>
        <v/>
      </c>
      <c r="L2395" s="24"/>
      <c r="M2395" s="24"/>
    </row>
    <row r="2396" spans="1:13">
      <c r="A2396" s="10" t="str">
        <f t="shared" si="74"/>
        <v/>
      </c>
      <c r="C2396" s="120" t="s">
        <v>126</v>
      </c>
      <c r="D2396"/>
      <c r="E2396"/>
      <c r="F2396"/>
      <c r="G2396"/>
      <c r="H2396"/>
      <c r="I2396" s="21" t="str">
        <f t="shared" si="75"/>
        <v/>
      </c>
      <c r="L2396" s="24"/>
      <c r="M2396" s="24"/>
    </row>
    <row r="2397" spans="1:13">
      <c r="A2397" s="14" t="str">
        <f t="shared" si="74"/>
        <v/>
      </c>
      <c r="C2397" s="120" t="s">
        <v>128</v>
      </c>
      <c r="D2397"/>
      <c r="E2397"/>
      <c r="F2397"/>
      <c r="G2397"/>
      <c r="H2397"/>
      <c r="I2397" s="21" t="str">
        <f t="shared" si="75"/>
        <v/>
      </c>
      <c r="L2397" s="24"/>
      <c r="M2397" s="24"/>
    </row>
    <row r="2398" spans="1:13">
      <c r="A2398" s="10" t="str">
        <f t="shared" si="74"/>
        <v/>
      </c>
      <c r="C2398" s="120" t="s">
        <v>280</v>
      </c>
      <c r="D2398"/>
      <c r="E2398"/>
      <c r="F2398"/>
      <c r="G2398"/>
      <c r="H2398"/>
      <c r="I2398" s="21" t="str">
        <f t="shared" si="75"/>
        <v/>
      </c>
      <c r="L2398" s="24"/>
      <c r="M2398" s="24"/>
    </row>
    <row r="2399" spans="1:13">
      <c r="A2399" s="14" t="str">
        <f t="shared" si="74"/>
        <v/>
      </c>
      <c r="C2399" s="120" t="s">
        <v>282</v>
      </c>
      <c r="D2399"/>
      <c r="E2399"/>
      <c r="F2399"/>
      <c r="G2399"/>
      <c r="H2399"/>
      <c r="I2399" s="21" t="str">
        <f t="shared" si="75"/>
        <v/>
      </c>
      <c r="L2399" s="24"/>
      <c r="M2399" s="24"/>
    </row>
    <row r="2400" spans="1:13">
      <c r="A2400" s="10" t="str">
        <f t="shared" si="74"/>
        <v/>
      </c>
      <c r="C2400" s="120" t="s">
        <v>284</v>
      </c>
      <c r="D2400"/>
      <c r="E2400"/>
      <c r="F2400"/>
      <c r="G2400"/>
      <c r="H2400"/>
      <c r="I2400" s="21" t="str">
        <f t="shared" si="75"/>
        <v/>
      </c>
      <c r="L2400" s="24"/>
      <c r="M2400" s="24"/>
    </row>
    <row r="2401" spans="1:13">
      <c r="A2401" s="14" t="str">
        <f t="shared" si="74"/>
        <v/>
      </c>
      <c r="C2401" s="120" t="s">
        <v>286</v>
      </c>
      <c r="D2401"/>
      <c r="E2401"/>
      <c r="F2401"/>
      <c r="G2401"/>
      <c r="H2401"/>
      <c r="I2401" s="21" t="str">
        <f t="shared" si="75"/>
        <v/>
      </c>
      <c r="L2401" s="24"/>
      <c r="M2401" s="24"/>
    </row>
    <row r="2402" spans="1:13">
      <c r="A2402" s="10" t="str">
        <f t="shared" si="74"/>
        <v/>
      </c>
      <c r="C2402" s="120" t="s">
        <v>126</v>
      </c>
      <c r="D2402"/>
      <c r="E2402"/>
      <c r="F2402"/>
      <c r="G2402"/>
      <c r="H2402"/>
      <c r="I2402" s="21" t="str">
        <f t="shared" si="75"/>
        <v/>
      </c>
      <c r="L2402" s="24"/>
      <c r="M2402" s="24"/>
    </row>
    <row r="2403" spans="1:13">
      <c r="A2403" s="14" t="str">
        <f t="shared" si="74"/>
        <v/>
      </c>
      <c r="C2403" s="120" t="s">
        <v>128</v>
      </c>
      <c r="D2403"/>
      <c r="E2403"/>
      <c r="F2403"/>
      <c r="G2403"/>
      <c r="H2403"/>
      <c r="I2403" s="21" t="str">
        <f t="shared" si="75"/>
        <v/>
      </c>
      <c r="L2403" s="24"/>
      <c r="M2403" s="24"/>
    </row>
    <row r="2404" spans="1:13">
      <c r="A2404" s="10" t="str">
        <f t="shared" si="74"/>
        <v/>
      </c>
      <c r="C2404" s="120" t="s">
        <v>280</v>
      </c>
      <c r="D2404"/>
      <c r="E2404"/>
      <c r="F2404"/>
      <c r="G2404"/>
      <c r="H2404"/>
      <c r="I2404" s="21" t="str">
        <f t="shared" si="75"/>
        <v/>
      </c>
      <c r="L2404" s="24"/>
      <c r="M2404" s="24"/>
    </row>
    <row r="2405" spans="1:13">
      <c r="A2405" s="14" t="str">
        <f t="shared" si="74"/>
        <v/>
      </c>
      <c r="C2405" s="120" t="s">
        <v>282</v>
      </c>
      <c r="D2405"/>
      <c r="E2405"/>
      <c r="F2405"/>
      <c r="G2405"/>
      <c r="H2405"/>
      <c r="I2405" s="21" t="str">
        <f t="shared" si="75"/>
        <v/>
      </c>
      <c r="L2405" s="24"/>
      <c r="M2405" s="24"/>
    </row>
    <row r="2406" spans="1:13">
      <c r="A2406" s="10" t="str">
        <f t="shared" si="74"/>
        <v/>
      </c>
      <c r="C2406" s="120" t="s">
        <v>284</v>
      </c>
      <c r="D2406"/>
      <c r="E2406"/>
      <c r="F2406"/>
      <c r="G2406"/>
      <c r="H2406"/>
      <c r="I2406" s="21" t="str">
        <f t="shared" si="75"/>
        <v/>
      </c>
      <c r="L2406" s="24"/>
      <c r="M2406" s="24"/>
    </row>
    <row r="2407" spans="1:13">
      <c r="A2407" s="14" t="str">
        <f t="shared" si="74"/>
        <v/>
      </c>
      <c r="C2407" s="120" t="s">
        <v>286</v>
      </c>
      <c r="D2407"/>
      <c r="E2407"/>
      <c r="F2407"/>
      <c r="G2407"/>
      <c r="H2407"/>
      <c r="I2407" s="21" t="str">
        <f t="shared" si="75"/>
        <v/>
      </c>
      <c r="L2407" s="24"/>
      <c r="M2407" s="24"/>
    </row>
    <row r="2408" spans="1:13">
      <c r="A2408" s="10" t="str">
        <f t="shared" si="74"/>
        <v/>
      </c>
      <c r="C2408" s="120" t="s">
        <v>126</v>
      </c>
      <c r="D2408"/>
      <c r="E2408"/>
      <c r="F2408"/>
      <c r="G2408"/>
      <c r="H2408"/>
      <c r="I2408" s="21" t="str">
        <f t="shared" si="75"/>
        <v/>
      </c>
      <c r="L2408" s="24"/>
      <c r="M2408" s="24"/>
    </row>
    <row r="2409" spans="1:13">
      <c r="A2409" s="14" t="str">
        <f t="shared" si="74"/>
        <v/>
      </c>
      <c r="C2409" s="120" t="s">
        <v>128</v>
      </c>
      <c r="D2409"/>
      <c r="E2409"/>
      <c r="F2409"/>
      <c r="G2409"/>
      <c r="H2409"/>
      <c r="I2409" s="21" t="str">
        <f t="shared" si="75"/>
        <v/>
      </c>
      <c r="L2409" s="24"/>
      <c r="M2409" s="24"/>
    </row>
    <row r="2410" spans="1:13">
      <c r="A2410" s="10" t="str">
        <f t="shared" si="74"/>
        <v/>
      </c>
      <c r="C2410" s="120" t="s">
        <v>280</v>
      </c>
      <c r="D2410"/>
      <c r="E2410"/>
      <c r="F2410"/>
      <c r="G2410"/>
      <c r="H2410"/>
      <c r="I2410" s="21" t="str">
        <f t="shared" si="75"/>
        <v/>
      </c>
      <c r="L2410" s="24"/>
      <c r="M2410" s="24"/>
    </row>
    <row r="2411" spans="1:13">
      <c r="A2411" s="14" t="str">
        <f t="shared" si="74"/>
        <v/>
      </c>
      <c r="C2411" s="120" t="s">
        <v>282</v>
      </c>
      <c r="D2411"/>
      <c r="E2411"/>
      <c r="F2411"/>
      <c r="G2411"/>
      <c r="H2411"/>
      <c r="I2411" s="21" t="str">
        <f t="shared" si="75"/>
        <v/>
      </c>
      <c r="L2411" s="24"/>
      <c r="M2411" s="24"/>
    </row>
    <row r="2412" spans="1:13">
      <c r="A2412" s="10" t="str">
        <f t="shared" si="74"/>
        <v/>
      </c>
      <c r="C2412" s="120" t="s">
        <v>284</v>
      </c>
      <c r="D2412"/>
      <c r="E2412"/>
      <c r="F2412"/>
      <c r="G2412"/>
      <c r="H2412"/>
      <c r="I2412" s="21" t="str">
        <f t="shared" si="75"/>
        <v/>
      </c>
      <c r="L2412" s="24"/>
      <c r="M2412" s="24"/>
    </row>
    <row r="2413" spans="1:13">
      <c r="A2413" s="14" t="str">
        <f t="shared" si="74"/>
        <v/>
      </c>
      <c r="C2413" s="120" t="s">
        <v>286</v>
      </c>
      <c r="D2413"/>
      <c r="E2413"/>
      <c r="F2413"/>
      <c r="G2413"/>
      <c r="H2413"/>
      <c r="I2413" s="21" t="str">
        <f t="shared" si="75"/>
        <v/>
      </c>
      <c r="L2413" s="24"/>
      <c r="M2413" s="24"/>
    </row>
    <row r="2414" spans="1:13">
      <c r="A2414" s="10" t="str">
        <f t="shared" si="74"/>
        <v/>
      </c>
      <c r="C2414" s="120" t="s">
        <v>126</v>
      </c>
      <c r="D2414"/>
      <c r="E2414"/>
      <c r="F2414"/>
      <c r="G2414"/>
      <c r="H2414"/>
      <c r="I2414" s="21" t="str">
        <f t="shared" si="75"/>
        <v/>
      </c>
      <c r="L2414" s="24"/>
      <c r="M2414" s="24"/>
    </row>
    <row r="2415" spans="1:13">
      <c r="A2415" s="14" t="str">
        <f t="shared" si="74"/>
        <v/>
      </c>
      <c r="C2415" s="120" t="s">
        <v>128</v>
      </c>
      <c r="D2415"/>
      <c r="E2415"/>
      <c r="F2415"/>
      <c r="G2415"/>
      <c r="H2415"/>
      <c r="I2415" s="21" t="str">
        <f t="shared" si="75"/>
        <v/>
      </c>
      <c r="L2415" s="24"/>
      <c r="M2415" s="24"/>
    </row>
    <row r="2416" spans="1:13">
      <c r="A2416" s="10" t="str">
        <f t="shared" si="74"/>
        <v/>
      </c>
      <c r="C2416" s="120" t="s">
        <v>280</v>
      </c>
      <c r="D2416"/>
      <c r="E2416"/>
      <c r="F2416"/>
      <c r="G2416"/>
      <c r="H2416"/>
      <c r="I2416" s="21" t="str">
        <f t="shared" si="75"/>
        <v/>
      </c>
      <c r="L2416" s="24"/>
      <c r="M2416" s="24"/>
    </row>
    <row r="2417" spans="1:13">
      <c r="A2417" s="14" t="str">
        <f t="shared" si="74"/>
        <v/>
      </c>
      <c r="C2417" s="120" t="s">
        <v>282</v>
      </c>
      <c r="D2417"/>
      <c r="E2417"/>
      <c r="F2417"/>
      <c r="G2417"/>
      <c r="H2417"/>
      <c r="I2417" s="21" t="str">
        <f t="shared" si="75"/>
        <v/>
      </c>
      <c r="L2417" s="24"/>
      <c r="M2417" s="24"/>
    </row>
    <row r="2418" spans="1:13">
      <c r="A2418" s="10" t="str">
        <f t="shared" si="74"/>
        <v/>
      </c>
      <c r="C2418" s="120" t="s">
        <v>284</v>
      </c>
      <c r="D2418"/>
      <c r="E2418"/>
      <c r="F2418"/>
      <c r="G2418"/>
      <c r="H2418"/>
      <c r="I2418" s="21" t="str">
        <f t="shared" si="75"/>
        <v/>
      </c>
      <c r="L2418" s="24"/>
      <c r="M2418" s="24"/>
    </row>
    <row r="2419" spans="1:13">
      <c r="A2419" s="14" t="str">
        <f t="shared" si="74"/>
        <v/>
      </c>
      <c r="C2419" s="120" t="s">
        <v>286</v>
      </c>
      <c r="D2419"/>
      <c r="E2419"/>
      <c r="F2419"/>
      <c r="G2419"/>
      <c r="H2419"/>
      <c r="I2419" s="21" t="str">
        <f t="shared" si="75"/>
        <v/>
      </c>
      <c r="L2419" s="24"/>
      <c r="M2419" s="24"/>
    </row>
    <row r="2420" spans="1:13">
      <c r="A2420" s="10" t="str">
        <f t="shared" si="74"/>
        <v/>
      </c>
      <c r="C2420" s="120" t="s">
        <v>126</v>
      </c>
      <c r="D2420"/>
      <c r="E2420"/>
      <c r="F2420"/>
      <c r="G2420"/>
      <c r="H2420"/>
      <c r="I2420" s="21" t="str">
        <f t="shared" si="75"/>
        <v/>
      </c>
      <c r="L2420" s="24"/>
      <c r="M2420" s="24"/>
    </row>
    <row r="2421" spans="1:13">
      <c r="A2421" s="14" t="str">
        <f t="shared" si="74"/>
        <v/>
      </c>
      <c r="C2421" s="120" t="s">
        <v>128</v>
      </c>
      <c r="D2421"/>
      <c r="E2421"/>
      <c r="F2421"/>
      <c r="G2421"/>
      <c r="H2421"/>
      <c r="I2421" s="21" t="str">
        <f t="shared" si="75"/>
        <v/>
      </c>
      <c r="L2421" s="24"/>
      <c r="M2421" s="24"/>
    </row>
    <row r="2422" spans="1:13">
      <c r="A2422" s="10" t="str">
        <f t="shared" si="74"/>
        <v/>
      </c>
      <c r="C2422" s="120" t="s">
        <v>280</v>
      </c>
      <c r="D2422"/>
      <c r="E2422"/>
      <c r="F2422"/>
      <c r="G2422"/>
      <c r="H2422"/>
      <c r="I2422" s="21" t="str">
        <f t="shared" si="75"/>
        <v/>
      </c>
      <c r="L2422" s="24"/>
      <c r="M2422" s="24"/>
    </row>
    <row r="2423" spans="1:13">
      <c r="A2423" s="14" t="str">
        <f t="shared" si="74"/>
        <v/>
      </c>
      <c r="C2423" s="120" t="s">
        <v>282</v>
      </c>
      <c r="D2423"/>
      <c r="E2423"/>
      <c r="F2423"/>
      <c r="G2423"/>
      <c r="H2423"/>
      <c r="I2423" s="21" t="str">
        <f t="shared" si="75"/>
        <v/>
      </c>
      <c r="L2423" s="24"/>
      <c r="M2423" s="24"/>
    </row>
    <row r="2424" spans="1:13">
      <c r="A2424" s="10" t="str">
        <f t="shared" si="74"/>
        <v/>
      </c>
      <c r="C2424" s="120" t="s">
        <v>284</v>
      </c>
      <c r="D2424"/>
      <c r="E2424"/>
      <c r="F2424"/>
      <c r="G2424"/>
      <c r="H2424"/>
      <c r="I2424" s="21" t="str">
        <f t="shared" si="75"/>
        <v/>
      </c>
      <c r="L2424" s="24"/>
      <c r="M2424" s="24"/>
    </row>
    <row r="2425" spans="1:13">
      <c r="A2425" s="14" t="str">
        <f t="shared" si="74"/>
        <v/>
      </c>
      <c r="C2425" s="120" t="s">
        <v>286</v>
      </c>
      <c r="D2425"/>
      <c r="E2425"/>
      <c r="F2425"/>
      <c r="G2425"/>
      <c r="H2425"/>
      <c r="I2425" s="21" t="str">
        <f t="shared" si="75"/>
        <v/>
      </c>
      <c r="L2425" s="24"/>
      <c r="M2425" s="24"/>
    </row>
    <row r="2426" spans="1:13">
      <c r="A2426" s="10" t="str">
        <f t="shared" si="74"/>
        <v/>
      </c>
      <c r="C2426" s="120" t="s">
        <v>126</v>
      </c>
      <c r="D2426"/>
      <c r="E2426"/>
      <c r="F2426"/>
      <c r="G2426"/>
      <c r="H2426"/>
      <c r="I2426" s="21" t="str">
        <f t="shared" si="75"/>
        <v/>
      </c>
      <c r="L2426" s="24"/>
      <c r="M2426" s="24"/>
    </row>
    <row r="2427" spans="1:13">
      <c r="A2427" s="14" t="str">
        <f t="shared" si="74"/>
        <v/>
      </c>
      <c r="C2427" s="120" t="s">
        <v>128</v>
      </c>
      <c r="D2427"/>
      <c r="E2427"/>
      <c r="F2427"/>
      <c r="G2427"/>
      <c r="H2427"/>
      <c r="I2427" s="21" t="str">
        <f t="shared" si="75"/>
        <v/>
      </c>
      <c r="L2427" s="24"/>
      <c r="M2427" s="24"/>
    </row>
    <row r="2428" spans="1:13">
      <c r="A2428" s="10" t="str">
        <f t="shared" si="74"/>
        <v/>
      </c>
      <c r="C2428" s="120" t="s">
        <v>280</v>
      </c>
      <c r="D2428"/>
      <c r="E2428"/>
      <c r="F2428"/>
      <c r="G2428"/>
      <c r="H2428"/>
      <c r="I2428" s="21" t="str">
        <f t="shared" si="75"/>
        <v/>
      </c>
      <c r="L2428" s="24"/>
      <c r="M2428" s="24"/>
    </row>
    <row r="2429" spans="1:13">
      <c r="A2429" s="14" t="str">
        <f t="shared" si="74"/>
        <v/>
      </c>
      <c r="C2429" s="120" t="s">
        <v>282</v>
      </c>
      <c r="D2429"/>
      <c r="E2429"/>
      <c r="F2429"/>
      <c r="G2429"/>
      <c r="H2429"/>
      <c r="I2429" s="21" t="str">
        <f t="shared" si="75"/>
        <v/>
      </c>
      <c r="L2429" s="24"/>
      <c r="M2429" s="24"/>
    </row>
    <row r="2430" spans="1:13">
      <c r="A2430" s="10" t="str">
        <f t="shared" si="74"/>
        <v/>
      </c>
      <c r="C2430" s="120" t="s">
        <v>284</v>
      </c>
      <c r="D2430"/>
      <c r="E2430"/>
      <c r="F2430"/>
      <c r="G2430"/>
      <c r="H2430"/>
      <c r="I2430" s="21" t="str">
        <f t="shared" si="75"/>
        <v/>
      </c>
      <c r="L2430" s="24"/>
      <c r="M2430" s="24"/>
    </row>
    <row r="2431" spans="1:13">
      <c r="A2431" s="14" t="str">
        <f t="shared" si="74"/>
        <v/>
      </c>
      <c r="C2431" s="120" t="s">
        <v>286</v>
      </c>
      <c r="D2431"/>
      <c r="E2431"/>
      <c r="F2431"/>
      <c r="G2431"/>
      <c r="H2431"/>
      <c r="I2431" s="21" t="str">
        <f t="shared" si="75"/>
        <v/>
      </c>
      <c r="L2431" s="24"/>
      <c r="M2431" s="24"/>
    </row>
    <row r="2432" spans="1:13">
      <c r="A2432" s="10" t="str">
        <f t="shared" si="74"/>
        <v/>
      </c>
      <c r="C2432" s="120" t="s">
        <v>126</v>
      </c>
      <c r="D2432"/>
      <c r="E2432"/>
      <c r="F2432"/>
      <c r="G2432"/>
      <c r="H2432"/>
      <c r="I2432" s="21" t="str">
        <f t="shared" si="75"/>
        <v/>
      </c>
      <c r="L2432" s="24"/>
      <c r="M2432" s="24"/>
    </row>
    <row r="2433" spans="1:13">
      <c r="A2433" s="14" t="str">
        <f t="shared" si="74"/>
        <v/>
      </c>
      <c r="C2433" s="120" t="s">
        <v>128</v>
      </c>
      <c r="D2433"/>
      <c r="E2433"/>
      <c r="F2433"/>
      <c r="G2433"/>
      <c r="H2433"/>
      <c r="I2433" s="21" t="str">
        <f t="shared" si="75"/>
        <v/>
      </c>
      <c r="L2433" s="24"/>
      <c r="M2433" s="24"/>
    </row>
    <row r="2434" spans="1:13">
      <c r="A2434" s="10" t="str">
        <f t="shared" ref="A2434:A2497" si="76">IF(B2434&lt;&gt;"",ROW()-1,"")</f>
        <v/>
      </c>
      <c r="C2434" s="120" t="s">
        <v>280</v>
      </c>
      <c r="D2434"/>
      <c r="E2434"/>
      <c r="F2434"/>
      <c r="G2434"/>
      <c r="H2434"/>
      <c r="I2434" s="21" t="str">
        <f t="shared" ref="I2434:I2497" si="77">IF(AND(G2434&lt;&gt;"",H2434&lt;&gt;""),H2434-G2434,"")</f>
        <v/>
      </c>
      <c r="L2434" s="24"/>
      <c r="M2434" s="24"/>
    </row>
    <row r="2435" spans="1:13">
      <c r="A2435" s="14" t="str">
        <f t="shared" si="76"/>
        <v/>
      </c>
      <c r="C2435" s="120" t="s">
        <v>282</v>
      </c>
      <c r="D2435"/>
      <c r="E2435"/>
      <c r="F2435"/>
      <c r="G2435"/>
      <c r="H2435"/>
      <c r="I2435" s="21" t="str">
        <f t="shared" si="77"/>
        <v/>
      </c>
      <c r="L2435" s="24"/>
      <c r="M2435" s="24"/>
    </row>
    <row r="2436" spans="1:13">
      <c r="A2436" s="10" t="str">
        <f t="shared" si="76"/>
        <v/>
      </c>
      <c r="C2436" s="120" t="s">
        <v>284</v>
      </c>
      <c r="D2436"/>
      <c r="E2436"/>
      <c r="F2436"/>
      <c r="G2436"/>
      <c r="H2436"/>
      <c r="I2436" s="21" t="str">
        <f t="shared" si="77"/>
        <v/>
      </c>
      <c r="L2436" s="24"/>
      <c r="M2436" s="24"/>
    </row>
    <row r="2437" spans="1:13">
      <c r="A2437" s="14" t="str">
        <f t="shared" si="76"/>
        <v/>
      </c>
      <c r="C2437" s="120" t="s">
        <v>286</v>
      </c>
      <c r="D2437"/>
      <c r="E2437"/>
      <c r="F2437"/>
      <c r="G2437"/>
      <c r="H2437"/>
      <c r="I2437" s="21" t="str">
        <f t="shared" si="77"/>
        <v/>
      </c>
      <c r="L2437" s="24"/>
      <c r="M2437" s="24"/>
    </row>
    <row r="2438" spans="1:13">
      <c r="A2438" s="10" t="str">
        <f t="shared" si="76"/>
        <v/>
      </c>
      <c r="C2438" s="120" t="s">
        <v>126</v>
      </c>
      <c r="D2438"/>
      <c r="E2438"/>
      <c r="F2438"/>
      <c r="G2438"/>
      <c r="H2438"/>
      <c r="I2438" s="21" t="str">
        <f t="shared" si="77"/>
        <v/>
      </c>
      <c r="L2438" s="24"/>
      <c r="M2438" s="24"/>
    </row>
    <row r="2439" spans="1:13">
      <c r="A2439" s="14" t="str">
        <f t="shared" si="76"/>
        <v/>
      </c>
      <c r="C2439" s="120" t="s">
        <v>128</v>
      </c>
      <c r="D2439"/>
      <c r="E2439"/>
      <c r="F2439"/>
      <c r="G2439"/>
      <c r="H2439"/>
      <c r="I2439" s="21" t="str">
        <f t="shared" si="77"/>
        <v/>
      </c>
      <c r="L2439" s="24"/>
      <c r="M2439" s="24"/>
    </row>
    <row r="2440" spans="1:13">
      <c r="A2440" s="10" t="str">
        <f t="shared" si="76"/>
        <v/>
      </c>
      <c r="C2440" s="120" t="s">
        <v>280</v>
      </c>
      <c r="D2440"/>
      <c r="E2440"/>
      <c r="F2440"/>
      <c r="G2440"/>
      <c r="H2440"/>
      <c r="I2440" s="21" t="str">
        <f t="shared" si="77"/>
        <v/>
      </c>
      <c r="L2440" s="24"/>
      <c r="M2440" s="24"/>
    </row>
    <row r="2441" spans="1:13">
      <c r="A2441" s="14" t="str">
        <f t="shared" si="76"/>
        <v/>
      </c>
      <c r="C2441" s="120" t="s">
        <v>282</v>
      </c>
      <c r="D2441"/>
      <c r="E2441"/>
      <c r="F2441"/>
      <c r="G2441"/>
      <c r="H2441"/>
      <c r="I2441" s="21" t="str">
        <f t="shared" si="77"/>
        <v/>
      </c>
      <c r="L2441" s="24"/>
      <c r="M2441" s="24"/>
    </row>
    <row r="2442" spans="1:13">
      <c r="A2442" s="10" t="str">
        <f t="shared" si="76"/>
        <v/>
      </c>
      <c r="C2442" s="120" t="s">
        <v>284</v>
      </c>
      <c r="D2442"/>
      <c r="E2442"/>
      <c r="F2442"/>
      <c r="G2442"/>
      <c r="H2442"/>
      <c r="I2442" s="21" t="str">
        <f t="shared" si="77"/>
        <v/>
      </c>
      <c r="L2442" s="24"/>
      <c r="M2442" s="24"/>
    </row>
    <row r="2443" spans="1:13">
      <c r="A2443" s="14" t="str">
        <f t="shared" si="76"/>
        <v/>
      </c>
      <c r="C2443" s="120" t="s">
        <v>286</v>
      </c>
      <c r="D2443"/>
      <c r="E2443"/>
      <c r="F2443"/>
      <c r="G2443"/>
      <c r="H2443"/>
      <c r="I2443" s="21" t="str">
        <f t="shared" si="77"/>
        <v/>
      </c>
      <c r="L2443" s="24"/>
      <c r="M2443" s="24"/>
    </row>
    <row r="2444" spans="1:13">
      <c r="A2444" s="10" t="str">
        <f t="shared" si="76"/>
        <v/>
      </c>
      <c r="C2444" s="120" t="s">
        <v>126</v>
      </c>
      <c r="D2444"/>
      <c r="E2444"/>
      <c r="F2444"/>
      <c r="G2444"/>
      <c r="H2444"/>
      <c r="I2444" s="21" t="str">
        <f t="shared" si="77"/>
        <v/>
      </c>
      <c r="L2444" s="24"/>
      <c r="M2444" s="24"/>
    </row>
    <row r="2445" spans="1:13">
      <c r="A2445" s="14" t="str">
        <f t="shared" si="76"/>
        <v/>
      </c>
      <c r="C2445" s="120" t="s">
        <v>128</v>
      </c>
      <c r="D2445"/>
      <c r="E2445"/>
      <c r="F2445"/>
      <c r="G2445"/>
      <c r="H2445"/>
      <c r="I2445" s="21" t="str">
        <f t="shared" si="77"/>
        <v/>
      </c>
      <c r="L2445" s="24"/>
      <c r="M2445" s="24"/>
    </row>
    <row r="2446" spans="1:13">
      <c r="A2446" s="10" t="str">
        <f t="shared" si="76"/>
        <v/>
      </c>
      <c r="C2446" s="120" t="s">
        <v>280</v>
      </c>
      <c r="D2446"/>
      <c r="E2446"/>
      <c r="F2446"/>
      <c r="G2446"/>
      <c r="H2446"/>
      <c r="I2446" s="21" t="str">
        <f t="shared" si="77"/>
        <v/>
      </c>
      <c r="L2446" s="24"/>
      <c r="M2446" s="24"/>
    </row>
    <row r="2447" spans="1:13">
      <c r="A2447" s="14" t="str">
        <f t="shared" si="76"/>
        <v/>
      </c>
      <c r="C2447" s="120" t="s">
        <v>282</v>
      </c>
      <c r="D2447"/>
      <c r="E2447"/>
      <c r="F2447"/>
      <c r="G2447"/>
      <c r="H2447"/>
      <c r="I2447" s="21" t="str">
        <f t="shared" si="77"/>
        <v/>
      </c>
      <c r="L2447" s="24"/>
      <c r="M2447" s="24"/>
    </row>
    <row r="2448" spans="1:13">
      <c r="A2448" s="10" t="str">
        <f t="shared" si="76"/>
        <v/>
      </c>
      <c r="C2448" s="120" t="s">
        <v>284</v>
      </c>
      <c r="D2448"/>
      <c r="E2448"/>
      <c r="F2448"/>
      <c r="G2448"/>
      <c r="H2448"/>
      <c r="I2448" s="21" t="str">
        <f t="shared" si="77"/>
        <v/>
      </c>
      <c r="L2448" s="24"/>
      <c r="M2448" s="24"/>
    </row>
    <row r="2449" spans="1:13">
      <c r="A2449" s="14" t="str">
        <f t="shared" si="76"/>
        <v/>
      </c>
      <c r="C2449" s="120" t="s">
        <v>286</v>
      </c>
      <c r="D2449"/>
      <c r="E2449"/>
      <c r="F2449"/>
      <c r="G2449"/>
      <c r="H2449"/>
      <c r="I2449" s="21" t="str">
        <f t="shared" si="77"/>
        <v/>
      </c>
      <c r="L2449" s="24"/>
      <c r="M2449" s="24"/>
    </row>
    <row r="2450" spans="1:13">
      <c r="A2450" s="10" t="str">
        <f t="shared" si="76"/>
        <v/>
      </c>
      <c r="C2450" s="120" t="s">
        <v>126</v>
      </c>
      <c r="D2450"/>
      <c r="E2450"/>
      <c r="F2450"/>
      <c r="G2450"/>
      <c r="H2450"/>
      <c r="I2450" s="21" t="str">
        <f t="shared" si="77"/>
        <v/>
      </c>
      <c r="L2450" s="24"/>
      <c r="M2450" s="24"/>
    </row>
    <row r="2451" spans="1:13">
      <c r="A2451" s="14" t="str">
        <f t="shared" si="76"/>
        <v/>
      </c>
      <c r="C2451" s="120" t="s">
        <v>128</v>
      </c>
      <c r="D2451"/>
      <c r="E2451"/>
      <c r="F2451"/>
      <c r="G2451"/>
      <c r="H2451"/>
      <c r="I2451" s="21" t="str">
        <f t="shared" si="77"/>
        <v/>
      </c>
      <c r="L2451" s="24"/>
      <c r="M2451" s="24"/>
    </row>
    <row r="2452" spans="1:13">
      <c r="A2452" s="10" t="str">
        <f t="shared" si="76"/>
        <v/>
      </c>
      <c r="C2452" s="120" t="s">
        <v>280</v>
      </c>
      <c r="D2452"/>
      <c r="E2452"/>
      <c r="F2452"/>
      <c r="G2452"/>
      <c r="H2452"/>
      <c r="I2452" s="21" t="str">
        <f t="shared" si="77"/>
        <v/>
      </c>
      <c r="L2452" s="24"/>
      <c r="M2452" s="24"/>
    </row>
    <row r="2453" spans="1:13">
      <c r="A2453" s="14" t="str">
        <f t="shared" si="76"/>
        <v/>
      </c>
      <c r="C2453" s="120" t="s">
        <v>282</v>
      </c>
      <c r="D2453"/>
      <c r="E2453"/>
      <c r="F2453"/>
      <c r="G2453"/>
      <c r="H2453"/>
      <c r="I2453" s="21" t="str">
        <f t="shared" si="77"/>
        <v/>
      </c>
      <c r="L2453" s="24"/>
      <c r="M2453" s="24"/>
    </row>
    <row r="2454" spans="1:13">
      <c r="A2454" s="10" t="str">
        <f t="shared" si="76"/>
        <v/>
      </c>
      <c r="C2454" s="120" t="s">
        <v>284</v>
      </c>
      <c r="D2454"/>
      <c r="E2454"/>
      <c r="F2454"/>
      <c r="G2454"/>
      <c r="H2454"/>
      <c r="I2454" s="21" t="str">
        <f t="shared" si="77"/>
        <v/>
      </c>
      <c r="L2454" s="24"/>
      <c r="M2454" s="24"/>
    </row>
    <row r="2455" spans="1:13">
      <c r="A2455" s="14" t="str">
        <f t="shared" si="76"/>
        <v/>
      </c>
      <c r="C2455" s="120" t="s">
        <v>286</v>
      </c>
      <c r="D2455"/>
      <c r="E2455"/>
      <c r="F2455"/>
      <c r="G2455"/>
      <c r="H2455"/>
      <c r="I2455" s="21" t="str">
        <f t="shared" si="77"/>
        <v/>
      </c>
      <c r="L2455" s="24"/>
      <c r="M2455" s="24"/>
    </row>
    <row r="2456" spans="1:13">
      <c r="A2456" s="10" t="str">
        <f t="shared" si="76"/>
        <v/>
      </c>
      <c r="C2456" s="120" t="s">
        <v>126</v>
      </c>
      <c r="D2456"/>
      <c r="E2456"/>
      <c r="F2456"/>
      <c r="G2456"/>
      <c r="H2456"/>
      <c r="I2456" s="21" t="str">
        <f t="shared" si="77"/>
        <v/>
      </c>
      <c r="L2456" s="24"/>
      <c r="M2456" s="24"/>
    </row>
    <row r="2457" spans="1:13">
      <c r="A2457" s="14" t="str">
        <f t="shared" si="76"/>
        <v/>
      </c>
      <c r="C2457" s="120" t="s">
        <v>128</v>
      </c>
      <c r="D2457"/>
      <c r="E2457"/>
      <c r="F2457"/>
      <c r="G2457"/>
      <c r="H2457"/>
      <c r="I2457" s="21" t="str">
        <f t="shared" si="77"/>
        <v/>
      </c>
      <c r="L2457" s="24"/>
      <c r="M2457" s="24"/>
    </row>
    <row r="2458" spans="1:13">
      <c r="A2458" s="10" t="str">
        <f t="shared" si="76"/>
        <v/>
      </c>
      <c r="C2458" s="120" t="s">
        <v>280</v>
      </c>
      <c r="D2458"/>
      <c r="E2458"/>
      <c r="F2458"/>
      <c r="G2458"/>
      <c r="H2458"/>
      <c r="I2458" s="21" t="str">
        <f t="shared" si="77"/>
        <v/>
      </c>
      <c r="L2458" s="24"/>
      <c r="M2458" s="24"/>
    </row>
    <row r="2459" spans="1:13">
      <c r="A2459" s="14" t="str">
        <f t="shared" si="76"/>
        <v/>
      </c>
      <c r="C2459" s="120" t="s">
        <v>282</v>
      </c>
      <c r="D2459"/>
      <c r="E2459"/>
      <c r="F2459"/>
      <c r="G2459"/>
      <c r="H2459"/>
      <c r="I2459" s="21" t="str">
        <f t="shared" si="77"/>
        <v/>
      </c>
      <c r="L2459" s="24"/>
      <c r="M2459" s="24"/>
    </row>
    <row r="2460" spans="1:13">
      <c r="A2460" s="10" t="str">
        <f t="shared" si="76"/>
        <v/>
      </c>
      <c r="C2460" s="120" t="s">
        <v>284</v>
      </c>
      <c r="D2460"/>
      <c r="E2460"/>
      <c r="F2460"/>
      <c r="G2460"/>
      <c r="H2460"/>
      <c r="I2460" s="21" t="str">
        <f t="shared" si="77"/>
        <v/>
      </c>
      <c r="L2460" s="24"/>
      <c r="M2460" s="24"/>
    </row>
    <row r="2461" spans="1:13">
      <c r="A2461" s="14" t="str">
        <f t="shared" si="76"/>
        <v/>
      </c>
      <c r="C2461" s="120" t="s">
        <v>286</v>
      </c>
      <c r="D2461"/>
      <c r="E2461"/>
      <c r="F2461"/>
      <c r="G2461"/>
      <c r="H2461"/>
      <c r="I2461" s="21" t="str">
        <f t="shared" si="77"/>
        <v/>
      </c>
      <c r="L2461" s="24"/>
      <c r="M2461" s="24"/>
    </row>
    <row r="2462" spans="1:13">
      <c r="A2462" s="10" t="str">
        <f t="shared" si="76"/>
        <v/>
      </c>
      <c r="C2462" s="120" t="s">
        <v>126</v>
      </c>
      <c r="D2462"/>
      <c r="E2462"/>
      <c r="F2462"/>
      <c r="G2462"/>
      <c r="H2462"/>
      <c r="I2462" s="21" t="str">
        <f t="shared" si="77"/>
        <v/>
      </c>
      <c r="L2462" s="24"/>
      <c r="M2462" s="24"/>
    </row>
    <row r="2463" spans="1:13">
      <c r="A2463" s="14" t="str">
        <f t="shared" si="76"/>
        <v/>
      </c>
      <c r="C2463" s="120" t="s">
        <v>128</v>
      </c>
      <c r="D2463"/>
      <c r="E2463"/>
      <c r="F2463"/>
      <c r="G2463"/>
      <c r="H2463"/>
      <c r="I2463" s="21" t="str">
        <f t="shared" si="77"/>
        <v/>
      </c>
      <c r="L2463" s="24"/>
      <c r="M2463" s="24"/>
    </row>
    <row r="2464" spans="1:13">
      <c r="A2464" s="10" t="str">
        <f t="shared" si="76"/>
        <v/>
      </c>
      <c r="C2464" s="120" t="s">
        <v>280</v>
      </c>
      <c r="D2464"/>
      <c r="E2464"/>
      <c r="F2464"/>
      <c r="G2464"/>
      <c r="H2464"/>
      <c r="I2464" s="21" t="str">
        <f t="shared" si="77"/>
        <v/>
      </c>
      <c r="L2464" s="24"/>
      <c r="M2464" s="24"/>
    </row>
    <row r="2465" spans="1:13">
      <c r="A2465" s="14" t="str">
        <f t="shared" si="76"/>
        <v/>
      </c>
      <c r="C2465" s="120" t="s">
        <v>282</v>
      </c>
      <c r="D2465"/>
      <c r="E2465"/>
      <c r="F2465"/>
      <c r="G2465"/>
      <c r="H2465"/>
      <c r="I2465" s="21" t="str">
        <f t="shared" si="77"/>
        <v/>
      </c>
      <c r="L2465" s="24"/>
      <c r="M2465" s="24"/>
    </row>
    <row r="2466" spans="1:13">
      <c r="A2466" s="10" t="str">
        <f t="shared" si="76"/>
        <v/>
      </c>
      <c r="C2466" s="120" t="s">
        <v>284</v>
      </c>
      <c r="D2466"/>
      <c r="E2466"/>
      <c r="F2466"/>
      <c r="G2466"/>
      <c r="H2466"/>
      <c r="I2466" s="21" t="str">
        <f t="shared" si="77"/>
        <v/>
      </c>
      <c r="L2466" s="24"/>
      <c r="M2466" s="24"/>
    </row>
    <row r="2467" spans="1:13">
      <c r="A2467" s="14" t="str">
        <f t="shared" si="76"/>
        <v/>
      </c>
      <c r="C2467" s="120" t="s">
        <v>286</v>
      </c>
      <c r="D2467"/>
      <c r="E2467"/>
      <c r="F2467"/>
      <c r="G2467"/>
      <c r="H2467"/>
      <c r="I2467" s="21" t="str">
        <f t="shared" si="77"/>
        <v/>
      </c>
      <c r="L2467" s="24"/>
      <c r="M2467" s="24"/>
    </row>
    <row r="2468" spans="1:13">
      <c r="A2468" s="10" t="str">
        <f t="shared" si="76"/>
        <v/>
      </c>
      <c r="C2468" s="120" t="s">
        <v>126</v>
      </c>
      <c r="D2468"/>
      <c r="E2468"/>
      <c r="F2468"/>
      <c r="G2468"/>
      <c r="H2468"/>
      <c r="I2468" s="21" t="str">
        <f t="shared" si="77"/>
        <v/>
      </c>
      <c r="L2468" s="24"/>
      <c r="M2468" s="24"/>
    </row>
    <row r="2469" spans="1:13">
      <c r="A2469" s="14" t="str">
        <f t="shared" si="76"/>
        <v/>
      </c>
      <c r="C2469" s="120" t="s">
        <v>128</v>
      </c>
      <c r="D2469"/>
      <c r="E2469"/>
      <c r="F2469"/>
      <c r="G2469"/>
      <c r="H2469"/>
      <c r="I2469" s="21" t="str">
        <f t="shared" si="77"/>
        <v/>
      </c>
      <c r="L2469" s="24"/>
      <c r="M2469" s="24"/>
    </row>
    <row r="2470" spans="1:13">
      <c r="A2470" s="10" t="str">
        <f t="shared" si="76"/>
        <v/>
      </c>
      <c r="C2470" s="120" t="s">
        <v>280</v>
      </c>
      <c r="D2470"/>
      <c r="E2470"/>
      <c r="F2470"/>
      <c r="G2470"/>
      <c r="H2470"/>
      <c r="I2470" s="21" t="str">
        <f t="shared" si="77"/>
        <v/>
      </c>
      <c r="L2470" s="24"/>
      <c r="M2470" s="24"/>
    </row>
    <row r="2471" spans="1:13">
      <c r="A2471" s="14" t="str">
        <f t="shared" si="76"/>
        <v/>
      </c>
      <c r="C2471" s="120" t="s">
        <v>282</v>
      </c>
      <c r="D2471"/>
      <c r="E2471"/>
      <c r="F2471"/>
      <c r="G2471"/>
      <c r="H2471"/>
      <c r="I2471" s="21" t="str">
        <f t="shared" si="77"/>
        <v/>
      </c>
      <c r="L2471" s="24"/>
      <c r="M2471" s="24"/>
    </row>
    <row r="2472" spans="1:13">
      <c r="A2472" s="10" t="str">
        <f t="shared" si="76"/>
        <v/>
      </c>
      <c r="C2472" s="120" t="s">
        <v>284</v>
      </c>
      <c r="D2472"/>
      <c r="E2472"/>
      <c r="F2472"/>
      <c r="G2472"/>
      <c r="H2472"/>
      <c r="I2472" s="21" t="str">
        <f t="shared" si="77"/>
        <v/>
      </c>
      <c r="L2472" s="24"/>
      <c r="M2472" s="24"/>
    </row>
    <row r="2473" spans="1:13">
      <c r="A2473" s="14" t="str">
        <f t="shared" si="76"/>
        <v/>
      </c>
      <c r="C2473" s="120" t="s">
        <v>286</v>
      </c>
      <c r="D2473"/>
      <c r="E2473"/>
      <c r="F2473"/>
      <c r="G2473"/>
      <c r="H2473"/>
      <c r="I2473" s="21" t="str">
        <f t="shared" si="77"/>
        <v/>
      </c>
      <c r="L2473" s="24"/>
      <c r="M2473" s="24"/>
    </row>
    <row r="2474" spans="1:13">
      <c r="A2474" s="10" t="str">
        <f t="shared" si="76"/>
        <v/>
      </c>
      <c r="C2474" s="120" t="s">
        <v>126</v>
      </c>
      <c r="D2474"/>
      <c r="E2474"/>
      <c r="F2474"/>
      <c r="G2474"/>
      <c r="H2474"/>
      <c r="I2474" s="21" t="str">
        <f t="shared" si="77"/>
        <v/>
      </c>
      <c r="L2474" s="24"/>
      <c r="M2474" s="24"/>
    </row>
    <row r="2475" spans="1:13">
      <c r="A2475" s="14" t="str">
        <f t="shared" si="76"/>
        <v/>
      </c>
      <c r="C2475" s="120" t="s">
        <v>128</v>
      </c>
      <c r="D2475"/>
      <c r="E2475"/>
      <c r="F2475"/>
      <c r="G2475"/>
      <c r="H2475"/>
      <c r="I2475" s="21" t="str">
        <f t="shared" si="77"/>
        <v/>
      </c>
      <c r="L2475" s="24"/>
      <c r="M2475" s="24"/>
    </row>
    <row r="2476" spans="1:13">
      <c r="A2476" s="10" t="str">
        <f t="shared" si="76"/>
        <v/>
      </c>
      <c r="C2476" s="120" t="s">
        <v>280</v>
      </c>
      <c r="D2476"/>
      <c r="E2476"/>
      <c r="F2476"/>
      <c r="G2476"/>
      <c r="H2476"/>
      <c r="I2476" s="21" t="str">
        <f t="shared" si="77"/>
        <v/>
      </c>
      <c r="L2476" s="24"/>
      <c r="M2476" s="24"/>
    </row>
    <row r="2477" spans="1:13">
      <c r="A2477" s="14" t="str">
        <f t="shared" si="76"/>
        <v/>
      </c>
      <c r="C2477" s="120" t="s">
        <v>282</v>
      </c>
      <c r="D2477"/>
      <c r="E2477"/>
      <c r="F2477"/>
      <c r="G2477"/>
      <c r="H2477"/>
      <c r="I2477" s="21" t="str">
        <f t="shared" si="77"/>
        <v/>
      </c>
      <c r="L2477" s="24"/>
      <c r="M2477" s="24"/>
    </row>
    <row r="2478" spans="1:13">
      <c r="A2478" s="10" t="str">
        <f t="shared" si="76"/>
        <v/>
      </c>
      <c r="C2478" s="120" t="s">
        <v>284</v>
      </c>
      <c r="D2478"/>
      <c r="E2478"/>
      <c r="F2478"/>
      <c r="G2478"/>
      <c r="H2478"/>
      <c r="I2478" s="21" t="str">
        <f t="shared" si="77"/>
        <v/>
      </c>
      <c r="L2478" s="24"/>
      <c r="M2478" s="24"/>
    </row>
    <row r="2479" spans="1:13">
      <c r="A2479" s="14" t="str">
        <f t="shared" si="76"/>
        <v/>
      </c>
      <c r="C2479" s="120" t="s">
        <v>286</v>
      </c>
      <c r="D2479"/>
      <c r="E2479"/>
      <c r="F2479"/>
      <c r="G2479"/>
      <c r="H2479"/>
      <c r="I2479" s="21" t="str">
        <f t="shared" si="77"/>
        <v/>
      </c>
      <c r="L2479" s="24"/>
      <c r="M2479" s="24"/>
    </row>
    <row r="2480" spans="1:13">
      <c r="A2480" s="10" t="str">
        <f t="shared" si="76"/>
        <v/>
      </c>
      <c r="C2480" s="120" t="s">
        <v>126</v>
      </c>
      <c r="D2480"/>
      <c r="E2480"/>
      <c r="F2480"/>
      <c r="G2480"/>
      <c r="H2480"/>
      <c r="I2480" s="21" t="str">
        <f t="shared" si="77"/>
        <v/>
      </c>
      <c r="L2480" s="24"/>
      <c r="M2480" s="24"/>
    </row>
    <row r="2481" spans="1:13">
      <c r="A2481" s="14" t="str">
        <f t="shared" si="76"/>
        <v/>
      </c>
      <c r="C2481" s="120" t="s">
        <v>128</v>
      </c>
      <c r="D2481"/>
      <c r="E2481"/>
      <c r="F2481"/>
      <c r="G2481"/>
      <c r="H2481"/>
      <c r="I2481" s="21" t="str">
        <f t="shared" si="77"/>
        <v/>
      </c>
      <c r="L2481" s="24"/>
      <c r="M2481" s="24"/>
    </row>
    <row r="2482" spans="1:13">
      <c r="A2482" s="10" t="str">
        <f t="shared" si="76"/>
        <v/>
      </c>
      <c r="C2482" s="120" t="s">
        <v>280</v>
      </c>
      <c r="D2482"/>
      <c r="E2482"/>
      <c r="F2482"/>
      <c r="G2482"/>
      <c r="H2482"/>
      <c r="I2482" s="21" t="str">
        <f t="shared" si="77"/>
        <v/>
      </c>
      <c r="L2482" s="24"/>
      <c r="M2482" s="24"/>
    </row>
    <row r="2483" spans="1:13">
      <c r="A2483" s="14" t="str">
        <f t="shared" si="76"/>
        <v/>
      </c>
      <c r="C2483" s="120" t="s">
        <v>282</v>
      </c>
      <c r="D2483"/>
      <c r="E2483"/>
      <c r="F2483"/>
      <c r="G2483"/>
      <c r="H2483"/>
      <c r="I2483" s="21" t="str">
        <f t="shared" si="77"/>
        <v/>
      </c>
      <c r="L2483" s="24"/>
      <c r="M2483" s="24"/>
    </row>
    <row r="2484" spans="1:13">
      <c r="A2484" s="10" t="str">
        <f t="shared" si="76"/>
        <v/>
      </c>
      <c r="C2484" s="120" t="s">
        <v>284</v>
      </c>
      <c r="D2484"/>
      <c r="E2484"/>
      <c r="F2484"/>
      <c r="G2484"/>
      <c r="H2484"/>
      <c r="I2484" s="21" t="str">
        <f t="shared" si="77"/>
        <v/>
      </c>
      <c r="L2484" s="24"/>
      <c r="M2484" s="24"/>
    </row>
    <row r="2485" spans="1:13">
      <c r="A2485" s="14" t="str">
        <f t="shared" si="76"/>
        <v/>
      </c>
      <c r="C2485" s="120" t="s">
        <v>286</v>
      </c>
      <c r="D2485"/>
      <c r="E2485"/>
      <c r="F2485"/>
      <c r="G2485"/>
      <c r="H2485"/>
      <c r="I2485" s="21" t="str">
        <f t="shared" si="77"/>
        <v/>
      </c>
      <c r="L2485" s="24"/>
      <c r="M2485" s="24"/>
    </row>
    <row r="2486" spans="1:13">
      <c r="A2486" s="10" t="str">
        <f t="shared" si="76"/>
        <v/>
      </c>
      <c r="C2486" s="120" t="s">
        <v>126</v>
      </c>
      <c r="D2486"/>
      <c r="E2486"/>
      <c r="F2486"/>
      <c r="G2486"/>
      <c r="H2486"/>
      <c r="I2486" s="21" t="str">
        <f t="shared" si="77"/>
        <v/>
      </c>
      <c r="L2486" s="24"/>
      <c r="M2486" s="24"/>
    </row>
    <row r="2487" spans="1:13">
      <c r="A2487" s="14" t="str">
        <f t="shared" si="76"/>
        <v/>
      </c>
      <c r="C2487" s="120" t="s">
        <v>128</v>
      </c>
      <c r="D2487"/>
      <c r="E2487"/>
      <c r="F2487"/>
      <c r="G2487"/>
      <c r="H2487"/>
      <c r="I2487" s="21" t="str">
        <f t="shared" si="77"/>
        <v/>
      </c>
      <c r="L2487" s="24"/>
      <c r="M2487" s="24"/>
    </row>
    <row r="2488" spans="1:13">
      <c r="A2488" s="10" t="str">
        <f t="shared" si="76"/>
        <v/>
      </c>
      <c r="C2488" s="120" t="s">
        <v>280</v>
      </c>
      <c r="D2488"/>
      <c r="E2488"/>
      <c r="F2488"/>
      <c r="G2488"/>
      <c r="H2488"/>
      <c r="I2488" s="21" t="str">
        <f t="shared" si="77"/>
        <v/>
      </c>
      <c r="L2488" s="24"/>
      <c r="M2488" s="24"/>
    </row>
    <row r="2489" spans="1:13">
      <c r="A2489" s="14" t="str">
        <f t="shared" si="76"/>
        <v/>
      </c>
      <c r="C2489" s="120" t="s">
        <v>282</v>
      </c>
      <c r="D2489"/>
      <c r="E2489"/>
      <c r="F2489"/>
      <c r="G2489"/>
      <c r="H2489"/>
      <c r="I2489" s="21" t="str">
        <f t="shared" si="77"/>
        <v/>
      </c>
      <c r="L2489" s="24"/>
      <c r="M2489" s="24"/>
    </row>
    <row r="2490" spans="1:13">
      <c r="A2490" s="10" t="str">
        <f t="shared" si="76"/>
        <v/>
      </c>
      <c r="C2490" s="120" t="s">
        <v>284</v>
      </c>
      <c r="D2490"/>
      <c r="E2490"/>
      <c r="F2490"/>
      <c r="G2490"/>
      <c r="H2490"/>
      <c r="I2490" s="21" t="str">
        <f t="shared" si="77"/>
        <v/>
      </c>
      <c r="L2490" s="24"/>
      <c r="M2490" s="24"/>
    </row>
    <row r="2491" spans="1:13">
      <c r="A2491" s="14" t="str">
        <f t="shared" si="76"/>
        <v/>
      </c>
      <c r="C2491" s="120" t="s">
        <v>286</v>
      </c>
      <c r="D2491"/>
      <c r="E2491"/>
      <c r="F2491"/>
      <c r="G2491"/>
      <c r="H2491"/>
      <c r="I2491" s="21" t="str">
        <f t="shared" si="77"/>
        <v/>
      </c>
      <c r="L2491" s="24"/>
      <c r="M2491" s="24"/>
    </row>
    <row r="2492" spans="1:13">
      <c r="A2492" s="10" t="str">
        <f t="shared" si="76"/>
        <v/>
      </c>
      <c r="C2492" s="120" t="s">
        <v>126</v>
      </c>
      <c r="D2492"/>
      <c r="E2492"/>
      <c r="F2492"/>
      <c r="G2492"/>
      <c r="H2492"/>
      <c r="I2492" s="21" t="str">
        <f t="shared" si="77"/>
        <v/>
      </c>
      <c r="L2492" s="24"/>
      <c r="M2492" s="24"/>
    </row>
    <row r="2493" spans="1:13">
      <c r="A2493" s="14" t="str">
        <f t="shared" si="76"/>
        <v/>
      </c>
      <c r="C2493" s="120" t="s">
        <v>128</v>
      </c>
      <c r="D2493"/>
      <c r="E2493"/>
      <c r="F2493"/>
      <c r="G2493"/>
      <c r="H2493"/>
      <c r="I2493" s="21" t="str">
        <f t="shared" si="77"/>
        <v/>
      </c>
      <c r="L2493" s="24"/>
      <c r="M2493" s="24"/>
    </row>
    <row r="2494" spans="1:13">
      <c r="A2494" s="10" t="str">
        <f t="shared" si="76"/>
        <v/>
      </c>
      <c r="C2494" s="120" t="s">
        <v>280</v>
      </c>
      <c r="D2494"/>
      <c r="E2494"/>
      <c r="F2494"/>
      <c r="G2494"/>
      <c r="H2494"/>
      <c r="I2494" s="21" t="str">
        <f t="shared" si="77"/>
        <v/>
      </c>
      <c r="L2494" s="24"/>
      <c r="M2494" s="24"/>
    </row>
    <row r="2495" spans="1:13">
      <c r="A2495" s="14" t="str">
        <f t="shared" si="76"/>
        <v/>
      </c>
      <c r="C2495" s="120" t="s">
        <v>282</v>
      </c>
      <c r="D2495"/>
      <c r="E2495"/>
      <c r="F2495"/>
      <c r="G2495"/>
      <c r="H2495"/>
      <c r="I2495" s="21" t="str">
        <f t="shared" si="77"/>
        <v/>
      </c>
      <c r="L2495" s="24"/>
      <c r="M2495" s="24"/>
    </row>
    <row r="2496" spans="1:13">
      <c r="A2496" s="10" t="str">
        <f t="shared" si="76"/>
        <v/>
      </c>
      <c r="C2496" s="120" t="s">
        <v>284</v>
      </c>
      <c r="D2496"/>
      <c r="E2496"/>
      <c r="F2496"/>
      <c r="G2496"/>
      <c r="H2496"/>
      <c r="I2496" s="21" t="str">
        <f t="shared" si="77"/>
        <v/>
      </c>
      <c r="L2496" s="24"/>
      <c r="M2496" s="24"/>
    </row>
    <row r="2497" spans="1:13">
      <c r="A2497" s="14" t="str">
        <f t="shared" si="76"/>
        <v/>
      </c>
      <c r="C2497" s="120" t="s">
        <v>286</v>
      </c>
      <c r="D2497"/>
      <c r="E2497"/>
      <c r="F2497"/>
      <c r="G2497"/>
      <c r="H2497"/>
      <c r="I2497" s="21" t="str">
        <f t="shared" si="77"/>
        <v/>
      </c>
      <c r="L2497" s="24"/>
      <c r="M2497" s="24"/>
    </row>
    <row r="2498" spans="1:13">
      <c r="A2498" s="10" t="str">
        <f t="shared" ref="A2498:A2561" si="78">IF(B2498&lt;&gt;"",ROW()-1,"")</f>
        <v/>
      </c>
      <c r="C2498" s="120" t="s">
        <v>126</v>
      </c>
      <c r="D2498"/>
      <c r="E2498"/>
      <c r="F2498"/>
      <c r="G2498"/>
      <c r="H2498"/>
      <c r="I2498" s="21" t="str">
        <f t="shared" ref="I2498:I2561" si="79">IF(AND(G2498&lt;&gt;"",H2498&lt;&gt;""),H2498-G2498,"")</f>
        <v/>
      </c>
      <c r="L2498" s="24"/>
      <c r="M2498" s="24"/>
    </row>
    <row r="2499" spans="1:13">
      <c r="A2499" s="14" t="str">
        <f t="shared" si="78"/>
        <v/>
      </c>
      <c r="C2499" s="120" t="s">
        <v>128</v>
      </c>
      <c r="D2499"/>
      <c r="E2499"/>
      <c r="F2499"/>
      <c r="G2499"/>
      <c r="H2499"/>
      <c r="I2499" s="21" t="str">
        <f t="shared" si="79"/>
        <v/>
      </c>
      <c r="L2499" s="24"/>
      <c r="M2499" s="24"/>
    </row>
    <row r="2500" spans="1:13">
      <c r="A2500" s="10" t="str">
        <f t="shared" si="78"/>
        <v/>
      </c>
      <c r="C2500" s="120" t="s">
        <v>280</v>
      </c>
      <c r="D2500"/>
      <c r="E2500"/>
      <c r="F2500"/>
      <c r="G2500"/>
      <c r="H2500"/>
      <c r="I2500" s="21" t="str">
        <f t="shared" si="79"/>
        <v/>
      </c>
      <c r="L2500" s="24"/>
      <c r="M2500" s="24"/>
    </row>
    <row r="2501" spans="1:13">
      <c r="A2501" s="14" t="str">
        <f t="shared" si="78"/>
        <v/>
      </c>
      <c r="C2501" s="120" t="s">
        <v>282</v>
      </c>
      <c r="D2501"/>
      <c r="E2501"/>
      <c r="F2501"/>
      <c r="G2501"/>
      <c r="H2501"/>
      <c r="I2501" s="21" t="str">
        <f t="shared" si="79"/>
        <v/>
      </c>
      <c r="L2501" s="24"/>
      <c r="M2501" s="24"/>
    </row>
    <row r="2502" spans="1:13">
      <c r="A2502" s="10" t="str">
        <f t="shared" si="78"/>
        <v/>
      </c>
      <c r="C2502" s="120" t="s">
        <v>284</v>
      </c>
      <c r="D2502"/>
      <c r="E2502"/>
      <c r="F2502"/>
      <c r="G2502"/>
      <c r="H2502"/>
      <c r="I2502" s="21" t="str">
        <f t="shared" si="79"/>
        <v/>
      </c>
      <c r="L2502" s="24"/>
      <c r="M2502" s="24"/>
    </row>
    <row r="2503" spans="1:13">
      <c r="A2503" s="14" t="str">
        <f t="shared" si="78"/>
        <v/>
      </c>
      <c r="C2503" s="120" t="s">
        <v>286</v>
      </c>
      <c r="D2503"/>
      <c r="E2503"/>
      <c r="F2503"/>
      <c r="G2503"/>
      <c r="H2503"/>
      <c r="I2503" s="21" t="str">
        <f t="shared" si="79"/>
        <v/>
      </c>
      <c r="L2503" s="24"/>
      <c r="M2503" s="24"/>
    </row>
    <row r="2504" spans="1:13">
      <c r="A2504" s="10" t="str">
        <f t="shared" si="78"/>
        <v/>
      </c>
      <c r="C2504" s="120" t="s">
        <v>126</v>
      </c>
      <c r="D2504"/>
      <c r="E2504"/>
      <c r="F2504"/>
      <c r="G2504"/>
      <c r="H2504"/>
      <c r="I2504" s="21" t="str">
        <f t="shared" si="79"/>
        <v/>
      </c>
      <c r="L2504" s="24"/>
      <c r="M2504" s="24"/>
    </row>
    <row r="2505" spans="1:13">
      <c r="A2505" s="14" t="str">
        <f t="shared" si="78"/>
        <v/>
      </c>
      <c r="C2505" s="120" t="s">
        <v>128</v>
      </c>
      <c r="D2505"/>
      <c r="E2505"/>
      <c r="F2505"/>
      <c r="G2505"/>
      <c r="H2505"/>
      <c r="I2505" s="21" t="str">
        <f t="shared" si="79"/>
        <v/>
      </c>
      <c r="L2505" s="24"/>
      <c r="M2505" s="24"/>
    </row>
    <row r="2506" spans="1:13">
      <c r="A2506" s="10" t="str">
        <f t="shared" si="78"/>
        <v/>
      </c>
      <c r="C2506" s="120" t="s">
        <v>280</v>
      </c>
      <c r="D2506"/>
      <c r="E2506"/>
      <c r="F2506"/>
      <c r="G2506"/>
      <c r="H2506"/>
      <c r="I2506" s="21" t="str">
        <f t="shared" si="79"/>
        <v/>
      </c>
      <c r="L2506" s="24"/>
      <c r="M2506" s="24"/>
    </row>
    <row r="2507" spans="1:13">
      <c r="A2507" s="14" t="str">
        <f t="shared" si="78"/>
        <v/>
      </c>
      <c r="C2507" s="120" t="s">
        <v>282</v>
      </c>
      <c r="D2507"/>
      <c r="E2507"/>
      <c r="F2507"/>
      <c r="G2507"/>
      <c r="H2507"/>
      <c r="I2507" s="21" t="str">
        <f t="shared" si="79"/>
        <v/>
      </c>
      <c r="L2507" s="24"/>
      <c r="M2507" s="24"/>
    </row>
    <row r="2508" spans="1:13">
      <c r="A2508" s="10" t="str">
        <f t="shared" si="78"/>
        <v/>
      </c>
      <c r="C2508" s="120" t="s">
        <v>284</v>
      </c>
      <c r="D2508"/>
      <c r="E2508"/>
      <c r="F2508"/>
      <c r="G2508"/>
      <c r="H2508"/>
      <c r="I2508" s="21" t="str">
        <f t="shared" si="79"/>
        <v/>
      </c>
      <c r="L2508" s="24"/>
      <c r="M2508" s="24"/>
    </row>
    <row r="2509" spans="1:13">
      <c r="A2509" s="14" t="str">
        <f t="shared" si="78"/>
        <v/>
      </c>
      <c r="C2509" s="120" t="s">
        <v>286</v>
      </c>
      <c r="D2509"/>
      <c r="E2509"/>
      <c r="F2509"/>
      <c r="G2509"/>
      <c r="H2509"/>
      <c r="I2509" s="21" t="str">
        <f t="shared" si="79"/>
        <v/>
      </c>
      <c r="L2509" s="24"/>
      <c r="M2509" s="24"/>
    </row>
    <row r="2510" spans="1:13">
      <c r="A2510" s="10" t="str">
        <f t="shared" si="78"/>
        <v/>
      </c>
      <c r="C2510" s="120" t="s">
        <v>126</v>
      </c>
      <c r="D2510"/>
      <c r="E2510"/>
      <c r="F2510"/>
      <c r="G2510"/>
      <c r="H2510"/>
      <c r="I2510" s="21" t="str">
        <f t="shared" si="79"/>
        <v/>
      </c>
      <c r="L2510" s="24"/>
      <c r="M2510" s="24"/>
    </row>
    <row r="2511" spans="1:13">
      <c r="A2511" s="14" t="str">
        <f t="shared" si="78"/>
        <v/>
      </c>
      <c r="C2511" s="120" t="s">
        <v>128</v>
      </c>
      <c r="D2511"/>
      <c r="E2511"/>
      <c r="F2511"/>
      <c r="G2511"/>
      <c r="H2511"/>
      <c r="I2511" s="21" t="str">
        <f t="shared" si="79"/>
        <v/>
      </c>
      <c r="L2511" s="24"/>
      <c r="M2511" s="24"/>
    </row>
    <row r="2512" spans="1:13">
      <c r="A2512" s="10" t="str">
        <f t="shared" si="78"/>
        <v/>
      </c>
      <c r="C2512" s="120" t="s">
        <v>280</v>
      </c>
      <c r="D2512"/>
      <c r="E2512"/>
      <c r="F2512"/>
      <c r="G2512"/>
      <c r="H2512"/>
      <c r="I2512" s="21" t="str">
        <f t="shared" si="79"/>
        <v/>
      </c>
      <c r="L2512" s="24"/>
      <c r="M2512" s="24"/>
    </row>
    <row r="2513" spans="1:13">
      <c r="A2513" s="14" t="str">
        <f t="shared" si="78"/>
        <v/>
      </c>
      <c r="C2513" s="120" t="s">
        <v>282</v>
      </c>
      <c r="D2513"/>
      <c r="E2513"/>
      <c r="F2513"/>
      <c r="G2513"/>
      <c r="H2513"/>
      <c r="I2513" s="21" t="str">
        <f t="shared" si="79"/>
        <v/>
      </c>
      <c r="L2513" s="24"/>
      <c r="M2513" s="24"/>
    </row>
    <row r="2514" spans="1:13">
      <c r="A2514" s="10" t="str">
        <f t="shared" si="78"/>
        <v/>
      </c>
      <c r="C2514" s="120" t="s">
        <v>284</v>
      </c>
      <c r="D2514"/>
      <c r="E2514"/>
      <c r="F2514"/>
      <c r="G2514"/>
      <c r="H2514"/>
      <c r="I2514" s="21" t="str">
        <f t="shared" si="79"/>
        <v/>
      </c>
      <c r="L2514" s="24"/>
      <c r="M2514" s="24"/>
    </row>
    <row r="2515" spans="1:13">
      <c r="A2515" s="14" t="str">
        <f t="shared" si="78"/>
        <v/>
      </c>
      <c r="C2515" s="120" t="s">
        <v>286</v>
      </c>
      <c r="D2515"/>
      <c r="E2515"/>
      <c r="F2515"/>
      <c r="G2515"/>
      <c r="H2515"/>
      <c r="I2515" s="21" t="str">
        <f t="shared" si="79"/>
        <v/>
      </c>
      <c r="L2515" s="24"/>
      <c r="M2515" s="24"/>
    </row>
    <row r="2516" spans="1:13">
      <c r="A2516" s="10" t="str">
        <f t="shared" si="78"/>
        <v/>
      </c>
      <c r="C2516" s="120" t="s">
        <v>126</v>
      </c>
      <c r="D2516"/>
      <c r="E2516"/>
      <c r="F2516"/>
      <c r="G2516"/>
      <c r="H2516"/>
      <c r="I2516" s="21" t="str">
        <f t="shared" si="79"/>
        <v/>
      </c>
      <c r="L2516" s="24"/>
      <c r="M2516" s="24"/>
    </row>
    <row r="2517" spans="1:13">
      <c r="A2517" s="14" t="str">
        <f t="shared" si="78"/>
        <v/>
      </c>
      <c r="C2517" s="120" t="s">
        <v>128</v>
      </c>
      <c r="D2517"/>
      <c r="E2517"/>
      <c r="F2517"/>
      <c r="G2517"/>
      <c r="H2517"/>
      <c r="I2517" s="21" t="str">
        <f t="shared" si="79"/>
        <v/>
      </c>
      <c r="L2517" s="24"/>
      <c r="M2517" s="24"/>
    </row>
    <row r="2518" spans="1:13">
      <c r="A2518" s="10" t="str">
        <f t="shared" si="78"/>
        <v/>
      </c>
      <c r="C2518" s="120" t="s">
        <v>280</v>
      </c>
      <c r="D2518"/>
      <c r="E2518"/>
      <c r="F2518"/>
      <c r="G2518"/>
      <c r="H2518"/>
      <c r="I2518" s="21" t="str">
        <f t="shared" si="79"/>
        <v/>
      </c>
      <c r="L2518" s="24"/>
      <c r="M2518" s="24"/>
    </row>
    <row r="2519" spans="1:13">
      <c r="A2519" s="14" t="str">
        <f t="shared" si="78"/>
        <v/>
      </c>
      <c r="C2519" s="120" t="s">
        <v>282</v>
      </c>
      <c r="D2519"/>
      <c r="E2519"/>
      <c r="F2519"/>
      <c r="G2519"/>
      <c r="H2519"/>
      <c r="I2519" s="21" t="str">
        <f t="shared" si="79"/>
        <v/>
      </c>
      <c r="L2519" s="24"/>
      <c r="M2519" s="24"/>
    </row>
    <row r="2520" spans="1:13">
      <c r="A2520" s="10" t="str">
        <f t="shared" si="78"/>
        <v/>
      </c>
      <c r="C2520" s="120" t="s">
        <v>284</v>
      </c>
      <c r="D2520"/>
      <c r="E2520"/>
      <c r="F2520"/>
      <c r="G2520"/>
      <c r="H2520"/>
      <c r="I2520" s="21" t="str">
        <f t="shared" si="79"/>
        <v/>
      </c>
      <c r="L2520" s="24"/>
      <c r="M2520" s="24"/>
    </row>
    <row r="2521" spans="1:13">
      <c r="A2521" s="14" t="str">
        <f t="shared" si="78"/>
        <v/>
      </c>
      <c r="C2521" s="120" t="s">
        <v>286</v>
      </c>
      <c r="D2521"/>
      <c r="E2521"/>
      <c r="F2521"/>
      <c r="G2521"/>
      <c r="H2521"/>
      <c r="I2521" s="21" t="str">
        <f t="shared" si="79"/>
        <v/>
      </c>
      <c r="L2521" s="24"/>
      <c r="M2521" s="24"/>
    </row>
    <row r="2522" spans="1:13">
      <c r="A2522" s="10" t="str">
        <f t="shared" si="78"/>
        <v/>
      </c>
      <c r="C2522" s="120" t="s">
        <v>126</v>
      </c>
      <c r="D2522"/>
      <c r="E2522"/>
      <c r="F2522"/>
      <c r="G2522"/>
      <c r="H2522"/>
      <c r="I2522" s="21" t="str">
        <f t="shared" si="79"/>
        <v/>
      </c>
      <c r="L2522" s="24"/>
      <c r="M2522" s="24"/>
    </row>
    <row r="2523" spans="1:13">
      <c r="A2523" s="14" t="str">
        <f t="shared" si="78"/>
        <v/>
      </c>
      <c r="C2523" s="120" t="s">
        <v>128</v>
      </c>
      <c r="D2523"/>
      <c r="E2523"/>
      <c r="F2523"/>
      <c r="G2523"/>
      <c r="H2523"/>
      <c r="I2523" s="21" t="str">
        <f t="shared" si="79"/>
        <v/>
      </c>
      <c r="L2523" s="24"/>
      <c r="M2523" s="24"/>
    </row>
    <row r="2524" spans="1:13">
      <c r="A2524" s="10" t="str">
        <f t="shared" si="78"/>
        <v/>
      </c>
      <c r="C2524" s="120" t="s">
        <v>280</v>
      </c>
      <c r="D2524"/>
      <c r="E2524"/>
      <c r="F2524"/>
      <c r="G2524"/>
      <c r="H2524"/>
      <c r="I2524" s="21" t="str">
        <f t="shared" si="79"/>
        <v/>
      </c>
      <c r="L2524" s="24"/>
      <c r="M2524" s="24"/>
    </row>
    <row r="2525" spans="1:13">
      <c r="A2525" s="14" t="str">
        <f t="shared" si="78"/>
        <v/>
      </c>
      <c r="C2525" s="120" t="s">
        <v>282</v>
      </c>
      <c r="D2525"/>
      <c r="E2525"/>
      <c r="F2525"/>
      <c r="G2525"/>
      <c r="H2525"/>
      <c r="I2525" s="21" t="str">
        <f t="shared" si="79"/>
        <v/>
      </c>
      <c r="L2525" s="24"/>
      <c r="M2525" s="24"/>
    </row>
    <row r="2526" spans="1:13">
      <c r="A2526" s="10" t="str">
        <f t="shared" si="78"/>
        <v/>
      </c>
      <c r="C2526" s="120" t="s">
        <v>284</v>
      </c>
      <c r="D2526"/>
      <c r="E2526"/>
      <c r="F2526"/>
      <c r="G2526"/>
      <c r="H2526"/>
      <c r="I2526" s="21" t="str">
        <f t="shared" si="79"/>
        <v/>
      </c>
      <c r="L2526" s="24"/>
      <c r="M2526" s="24"/>
    </row>
    <row r="2527" spans="1:13">
      <c r="A2527" s="14" t="str">
        <f t="shared" si="78"/>
        <v/>
      </c>
      <c r="C2527" s="120" t="s">
        <v>286</v>
      </c>
      <c r="D2527"/>
      <c r="E2527"/>
      <c r="F2527"/>
      <c r="G2527"/>
      <c r="H2527"/>
      <c r="I2527" s="21" t="str">
        <f t="shared" si="79"/>
        <v/>
      </c>
      <c r="L2527" s="24"/>
      <c r="M2527" s="24"/>
    </row>
    <row r="2528" spans="1:13">
      <c r="A2528" s="10" t="str">
        <f t="shared" si="78"/>
        <v/>
      </c>
      <c r="C2528" s="120" t="s">
        <v>126</v>
      </c>
      <c r="D2528"/>
      <c r="E2528"/>
      <c r="F2528"/>
      <c r="G2528"/>
      <c r="H2528"/>
      <c r="I2528" s="21" t="str">
        <f t="shared" si="79"/>
        <v/>
      </c>
      <c r="L2528" s="24"/>
      <c r="M2528" s="24"/>
    </row>
    <row r="2529" spans="1:13">
      <c r="A2529" s="14" t="str">
        <f t="shared" si="78"/>
        <v/>
      </c>
      <c r="C2529" s="120" t="s">
        <v>128</v>
      </c>
      <c r="D2529"/>
      <c r="E2529"/>
      <c r="F2529"/>
      <c r="G2529"/>
      <c r="H2529"/>
      <c r="I2529" s="21" t="str">
        <f t="shared" si="79"/>
        <v/>
      </c>
      <c r="L2529" s="24"/>
      <c r="M2529" s="24"/>
    </row>
    <row r="2530" spans="1:13">
      <c r="A2530" s="10" t="str">
        <f t="shared" si="78"/>
        <v/>
      </c>
      <c r="C2530" s="120" t="s">
        <v>280</v>
      </c>
      <c r="D2530"/>
      <c r="E2530"/>
      <c r="F2530"/>
      <c r="G2530"/>
      <c r="H2530"/>
      <c r="I2530" s="21" t="str">
        <f t="shared" si="79"/>
        <v/>
      </c>
      <c r="L2530" s="24"/>
      <c r="M2530" s="24"/>
    </row>
    <row r="2531" spans="1:13">
      <c r="A2531" s="14" t="str">
        <f t="shared" si="78"/>
        <v/>
      </c>
      <c r="C2531" s="120" t="s">
        <v>282</v>
      </c>
      <c r="D2531"/>
      <c r="E2531"/>
      <c r="F2531"/>
      <c r="G2531"/>
      <c r="H2531"/>
      <c r="I2531" s="21" t="str">
        <f t="shared" si="79"/>
        <v/>
      </c>
      <c r="L2531" s="24"/>
      <c r="M2531" s="24"/>
    </row>
    <row r="2532" spans="1:13">
      <c r="A2532" s="10" t="str">
        <f t="shared" si="78"/>
        <v/>
      </c>
      <c r="C2532" s="120" t="s">
        <v>284</v>
      </c>
      <c r="D2532"/>
      <c r="E2532"/>
      <c r="F2532"/>
      <c r="G2532"/>
      <c r="H2532"/>
      <c r="I2532" s="21" t="str">
        <f t="shared" si="79"/>
        <v/>
      </c>
      <c r="L2532" s="24"/>
      <c r="M2532" s="24"/>
    </row>
    <row r="2533" spans="1:13">
      <c r="A2533" s="14" t="str">
        <f t="shared" si="78"/>
        <v/>
      </c>
      <c r="C2533" s="120" t="s">
        <v>286</v>
      </c>
      <c r="D2533"/>
      <c r="E2533"/>
      <c r="F2533"/>
      <c r="G2533"/>
      <c r="H2533"/>
      <c r="I2533" s="21" t="str">
        <f t="shared" si="79"/>
        <v/>
      </c>
      <c r="L2533" s="24"/>
      <c r="M2533" s="24"/>
    </row>
    <row r="2534" spans="1:13">
      <c r="A2534" s="10" t="str">
        <f t="shared" si="78"/>
        <v/>
      </c>
      <c r="C2534" s="120" t="s">
        <v>126</v>
      </c>
      <c r="D2534"/>
      <c r="E2534"/>
      <c r="F2534"/>
      <c r="G2534"/>
      <c r="H2534"/>
      <c r="I2534" s="21" t="str">
        <f t="shared" si="79"/>
        <v/>
      </c>
      <c r="L2534" s="24"/>
      <c r="M2534" s="24"/>
    </row>
    <row r="2535" spans="1:13">
      <c r="A2535" s="14" t="str">
        <f t="shared" si="78"/>
        <v/>
      </c>
      <c r="C2535" s="120" t="s">
        <v>128</v>
      </c>
      <c r="D2535"/>
      <c r="E2535"/>
      <c r="F2535"/>
      <c r="G2535"/>
      <c r="H2535"/>
      <c r="I2535" s="21" t="str">
        <f t="shared" si="79"/>
        <v/>
      </c>
      <c r="L2535" s="24"/>
      <c r="M2535" s="24"/>
    </row>
    <row r="2536" spans="1:13">
      <c r="A2536" s="10" t="str">
        <f t="shared" si="78"/>
        <v/>
      </c>
      <c r="C2536" s="120" t="s">
        <v>280</v>
      </c>
      <c r="D2536"/>
      <c r="E2536"/>
      <c r="F2536"/>
      <c r="G2536"/>
      <c r="H2536"/>
      <c r="I2536" s="21" t="str">
        <f t="shared" si="79"/>
        <v/>
      </c>
      <c r="L2536" s="24"/>
      <c r="M2536" s="24"/>
    </row>
    <row r="2537" spans="1:13">
      <c r="A2537" s="14" t="str">
        <f t="shared" si="78"/>
        <v/>
      </c>
      <c r="C2537" s="120" t="s">
        <v>282</v>
      </c>
      <c r="D2537"/>
      <c r="E2537"/>
      <c r="F2537"/>
      <c r="G2537"/>
      <c r="H2537"/>
      <c r="I2537" s="21" t="str">
        <f t="shared" si="79"/>
        <v/>
      </c>
      <c r="L2537" s="24"/>
      <c r="M2537" s="24"/>
    </row>
    <row r="2538" spans="1:13">
      <c r="A2538" s="10" t="str">
        <f t="shared" si="78"/>
        <v/>
      </c>
      <c r="C2538" s="120" t="s">
        <v>284</v>
      </c>
      <c r="D2538"/>
      <c r="E2538"/>
      <c r="F2538"/>
      <c r="G2538"/>
      <c r="H2538"/>
      <c r="I2538" s="21" t="str">
        <f t="shared" si="79"/>
        <v/>
      </c>
      <c r="L2538" s="24"/>
      <c r="M2538" s="24"/>
    </row>
    <row r="2539" spans="1:13">
      <c r="A2539" s="14" t="str">
        <f t="shared" si="78"/>
        <v/>
      </c>
      <c r="C2539" s="120" t="s">
        <v>286</v>
      </c>
      <c r="D2539"/>
      <c r="E2539"/>
      <c r="F2539"/>
      <c r="G2539"/>
      <c r="H2539"/>
      <c r="I2539" s="21" t="str">
        <f t="shared" si="79"/>
        <v/>
      </c>
      <c r="L2539" s="24"/>
      <c r="M2539" s="24"/>
    </row>
    <row r="2540" spans="1:13">
      <c r="A2540" s="10" t="str">
        <f t="shared" si="78"/>
        <v/>
      </c>
      <c r="C2540" s="120" t="s">
        <v>126</v>
      </c>
      <c r="D2540"/>
      <c r="E2540"/>
      <c r="F2540"/>
      <c r="G2540"/>
      <c r="H2540"/>
      <c r="I2540" s="21" t="str">
        <f t="shared" si="79"/>
        <v/>
      </c>
      <c r="L2540" s="24"/>
      <c r="M2540" s="24"/>
    </row>
    <row r="2541" spans="1:13">
      <c r="A2541" s="14" t="str">
        <f t="shared" si="78"/>
        <v/>
      </c>
      <c r="C2541" s="120" t="s">
        <v>128</v>
      </c>
      <c r="D2541"/>
      <c r="E2541"/>
      <c r="F2541"/>
      <c r="G2541"/>
      <c r="H2541"/>
      <c r="I2541" s="21" t="str">
        <f t="shared" si="79"/>
        <v/>
      </c>
      <c r="L2541" s="24"/>
      <c r="M2541" s="24"/>
    </row>
    <row r="2542" spans="1:13">
      <c r="A2542" s="10" t="str">
        <f t="shared" si="78"/>
        <v/>
      </c>
      <c r="C2542" s="120" t="s">
        <v>280</v>
      </c>
      <c r="D2542"/>
      <c r="E2542"/>
      <c r="F2542"/>
      <c r="G2542"/>
      <c r="H2542"/>
      <c r="I2542" s="21" t="str">
        <f t="shared" si="79"/>
        <v/>
      </c>
      <c r="L2542" s="24"/>
      <c r="M2542" s="24"/>
    </row>
    <row r="2543" spans="1:13">
      <c r="A2543" s="14" t="str">
        <f t="shared" si="78"/>
        <v/>
      </c>
      <c r="C2543" s="120" t="s">
        <v>282</v>
      </c>
      <c r="D2543"/>
      <c r="E2543"/>
      <c r="F2543"/>
      <c r="G2543"/>
      <c r="H2543"/>
      <c r="I2543" s="21" t="str">
        <f t="shared" si="79"/>
        <v/>
      </c>
      <c r="L2543" s="24"/>
      <c r="M2543" s="24"/>
    </row>
    <row r="2544" spans="1:13">
      <c r="A2544" s="10" t="str">
        <f t="shared" si="78"/>
        <v/>
      </c>
      <c r="C2544" s="120" t="s">
        <v>284</v>
      </c>
      <c r="D2544"/>
      <c r="E2544"/>
      <c r="F2544"/>
      <c r="G2544"/>
      <c r="H2544"/>
      <c r="I2544" s="21" t="str">
        <f t="shared" si="79"/>
        <v/>
      </c>
      <c r="L2544" s="24"/>
      <c r="M2544" s="24"/>
    </row>
    <row r="2545" spans="1:13">
      <c r="A2545" s="14" t="str">
        <f t="shared" si="78"/>
        <v/>
      </c>
      <c r="C2545" s="120" t="s">
        <v>286</v>
      </c>
      <c r="D2545"/>
      <c r="E2545"/>
      <c r="F2545"/>
      <c r="G2545"/>
      <c r="H2545"/>
      <c r="I2545" s="21" t="str">
        <f t="shared" si="79"/>
        <v/>
      </c>
      <c r="L2545" s="24"/>
      <c r="M2545" s="24"/>
    </row>
    <row r="2546" spans="1:13">
      <c r="A2546" s="10" t="str">
        <f t="shared" si="78"/>
        <v/>
      </c>
      <c r="C2546" s="120" t="s">
        <v>126</v>
      </c>
      <c r="D2546"/>
      <c r="E2546"/>
      <c r="F2546"/>
      <c r="G2546"/>
      <c r="H2546"/>
      <c r="I2546" s="21" t="str">
        <f t="shared" si="79"/>
        <v/>
      </c>
      <c r="L2546" s="24"/>
      <c r="M2546" s="24"/>
    </row>
    <row r="2547" spans="1:13">
      <c r="A2547" s="14" t="str">
        <f t="shared" si="78"/>
        <v/>
      </c>
      <c r="C2547" s="120" t="s">
        <v>128</v>
      </c>
      <c r="D2547"/>
      <c r="E2547"/>
      <c r="F2547"/>
      <c r="G2547"/>
      <c r="H2547"/>
      <c r="I2547" s="21" t="str">
        <f t="shared" si="79"/>
        <v/>
      </c>
      <c r="L2547" s="24"/>
      <c r="M2547" s="24"/>
    </row>
    <row r="2548" spans="1:13">
      <c r="A2548" s="10" t="str">
        <f t="shared" si="78"/>
        <v/>
      </c>
      <c r="C2548" s="120" t="s">
        <v>280</v>
      </c>
      <c r="D2548"/>
      <c r="E2548"/>
      <c r="F2548"/>
      <c r="G2548"/>
      <c r="H2548"/>
      <c r="I2548" s="21" t="str">
        <f t="shared" si="79"/>
        <v/>
      </c>
      <c r="L2548" s="24"/>
      <c r="M2548" s="24"/>
    </row>
    <row r="2549" spans="1:13">
      <c r="A2549" s="14" t="str">
        <f t="shared" si="78"/>
        <v/>
      </c>
      <c r="C2549" s="120" t="s">
        <v>282</v>
      </c>
      <c r="D2549"/>
      <c r="E2549"/>
      <c r="F2549"/>
      <c r="G2549"/>
      <c r="H2549"/>
      <c r="I2549" s="21" t="str">
        <f t="shared" si="79"/>
        <v/>
      </c>
      <c r="L2549" s="24"/>
      <c r="M2549" s="24"/>
    </row>
    <row r="2550" spans="1:13">
      <c r="A2550" s="10" t="str">
        <f t="shared" si="78"/>
        <v/>
      </c>
      <c r="C2550" s="120" t="s">
        <v>284</v>
      </c>
      <c r="D2550"/>
      <c r="E2550"/>
      <c r="F2550"/>
      <c r="G2550"/>
      <c r="H2550"/>
      <c r="I2550" s="21" t="str">
        <f t="shared" si="79"/>
        <v/>
      </c>
      <c r="L2550" s="24"/>
      <c r="M2550" s="24"/>
    </row>
    <row r="2551" spans="1:13">
      <c r="A2551" s="14" t="str">
        <f t="shared" si="78"/>
        <v/>
      </c>
      <c r="C2551" s="120" t="s">
        <v>286</v>
      </c>
      <c r="D2551"/>
      <c r="E2551"/>
      <c r="F2551"/>
      <c r="G2551"/>
      <c r="H2551"/>
      <c r="I2551" s="21" t="str">
        <f t="shared" si="79"/>
        <v/>
      </c>
      <c r="L2551" s="24"/>
      <c r="M2551" s="24"/>
    </row>
    <row r="2552" spans="1:13">
      <c r="A2552" s="10" t="str">
        <f t="shared" si="78"/>
        <v/>
      </c>
      <c r="C2552" s="120" t="s">
        <v>126</v>
      </c>
      <c r="D2552"/>
      <c r="E2552"/>
      <c r="F2552"/>
      <c r="G2552"/>
      <c r="H2552"/>
      <c r="I2552" s="21" t="str">
        <f t="shared" si="79"/>
        <v/>
      </c>
      <c r="L2552" s="24"/>
      <c r="M2552" s="24"/>
    </row>
    <row r="2553" spans="1:13">
      <c r="A2553" s="14" t="str">
        <f t="shared" si="78"/>
        <v/>
      </c>
      <c r="C2553" s="120" t="s">
        <v>128</v>
      </c>
      <c r="D2553"/>
      <c r="E2553"/>
      <c r="F2553"/>
      <c r="G2553"/>
      <c r="H2553"/>
      <c r="I2553" s="21" t="str">
        <f t="shared" si="79"/>
        <v/>
      </c>
      <c r="L2553" s="24"/>
      <c r="M2553" s="24"/>
    </row>
    <row r="2554" spans="1:13">
      <c r="A2554" s="10" t="str">
        <f t="shared" si="78"/>
        <v/>
      </c>
      <c r="C2554" s="120" t="s">
        <v>280</v>
      </c>
      <c r="D2554"/>
      <c r="E2554"/>
      <c r="F2554"/>
      <c r="G2554"/>
      <c r="H2554"/>
      <c r="I2554" s="21" t="str">
        <f t="shared" si="79"/>
        <v/>
      </c>
      <c r="L2554" s="24"/>
      <c r="M2554" s="24"/>
    </row>
    <row r="2555" spans="1:13">
      <c r="A2555" s="14" t="str">
        <f t="shared" si="78"/>
        <v/>
      </c>
      <c r="C2555" s="120" t="s">
        <v>282</v>
      </c>
      <c r="D2555"/>
      <c r="E2555"/>
      <c r="F2555"/>
      <c r="G2555"/>
      <c r="H2555"/>
      <c r="I2555" s="21" t="str">
        <f t="shared" si="79"/>
        <v/>
      </c>
      <c r="L2555" s="24"/>
      <c r="M2555" s="24"/>
    </row>
    <row r="2556" spans="1:13">
      <c r="A2556" s="10" t="str">
        <f t="shared" si="78"/>
        <v/>
      </c>
      <c r="C2556" s="120" t="s">
        <v>284</v>
      </c>
      <c r="D2556"/>
      <c r="E2556"/>
      <c r="F2556"/>
      <c r="G2556"/>
      <c r="H2556"/>
      <c r="I2556" s="21" t="str">
        <f t="shared" si="79"/>
        <v/>
      </c>
      <c r="L2556" s="24"/>
      <c r="M2556" s="24"/>
    </row>
    <row r="2557" spans="1:13">
      <c r="A2557" s="14" t="str">
        <f t="shared" si="78"/>
        <v/>
      </c>
      <c r="C2557" s="120" t="s">
        <v>286</v>
      </c>
      <c r="D2557"/>
      <c r="E2557"/>
      <c r="F2557"/>
      <c r="G2557"/>
      <c r="H2557"/>
      <c r="I2557" s="21" t="str">
        <f t="shared" si="79"/>
        <v/>
      </c>
      <c r="L2557" s="24"/>
      <c r="M2557" s="24"/>
    </row>
    <row r="2558" spans="1:13">
      <c r="A2558" s="10" t="str">
        <f t="shared" si="78"/>
        <v/>
      </c>
      <c r="C2558" s="120" t="s">
        <v>126</v>
      </c>
      <c r="D2558"/>
      <c r="E2558"/>
      <c r="F2558"/>
      <c r="G2558"/>
      <c r="H2558"/>
      <c r="I2558" s="21" t="str">
        <f t="shared" si="79"/>
        <v/>
      </c>
      <c r="L2558" s="24"/>
      <c r="M2558" s="24"/>
    </row>
    <row r="2559" spans="1:13">
      <c r="A2559" s="14" t="str">
        <f t="shared" si="78"/>
        <v/>
      </c>
      <c r="C2559" s="120" t="s">
        <v>128</v>
      </c>
      <c r="D2559"/>
      <c r="E2559"/>
      <c r="F2559"/>
      <c r="G2559"/>
      <c r="H2559"/>
      <c r="I2559" s="21" t="str">
        <f t="shared" si="79"/>
        <v/>
      </c>
      <c r="L2559" s="24"/>
      <c r="M2559" s="24"/>
    </row>
    <row r="2560" spans="1:13">
      <c r="A2560" s="10" t="str">
        <f t="shared" si="78"/>
        <v/>
      </c>
      <c r="C2560" s="120" t="s">
        <v>280</v>
      </c>
      <c r="D2560"/>
      <c r="E2560"/>
      <c r="F2560"/>
      <c r="G2560"/>
      <c r="H2560"/>
      <c r="I2560" s="21" t="str">
        <f t="shared" si="79"/>
        <v/>
      </c>
      <c r="L2560" s="24"/>
      <c r="M2560" s="24"/>
    </row>
    <row r="2561" spans="1:13">
      <c r="A2561" s="14" t="str">
        <f t="shared" si="78"/>
        <v/>
      </c>
      <c r="C2561" s="120" t="s">
        <v>282</v>
      </c>
      <c r="D2561"/>
      <c r="E2561"/>
      <c r="F2561"/>
      <c r="G2561"/>
      <c r="H2561"/>
      <c r="I2561" s="21" t="str">
        <f t="shared" si="79"/>
        <v/>
      </c>
      <c r="L2561" s="24"/>
      <c r="M2561" s="24"/>
    </row>
    <row r="2562" spans="1:13">
      <c r="A2562" s="10" t="str">
        <f t="shared" ref="A2562:A2625" si="80">IF(B2562&lt;&gt;"",ROW()-1,"")</f>
        <v/>
      </c>
      <c r="C2562" s="120" t="s">
        <v>284</v>
      </c>
      <c r="D2562"/>
      <c r="E2562"/>
      <c r="F2562"/>
      <c r="G2562"/>
      <c r="H2562"/>
      <c r="I2562" s="21" t="str">
        <f t="shared" ref="I2562:I2625" si="81">IF(AND(G2562&lt;&gt;"",H2562&lt;&gt;""),H2562-G2562,"")</f>
        <v/>
      </c>
      <c r="L2562" s="24"/>
      <c r="M2562" s="24"/>
    </row>
    <row r="2563" spans="1:13">
      <c r="A2563" s="14" t="str">
        <f t="shared" si="80"/>
        <v/>
      </c>
      <c r="C2563" s="120" t="s">
        <v>286</v>
      </c>
      <c r="D2563"/>
      <c r="E2563"/>
      <c r="F2563"/>
      <c r="G2563"/>
      <c r="H2563"/>
      <c r="I2563" s="21" t="str">
        <f t="shared" si="81"/>
        <v/>
      </c>
      <c r="L2563" s="24"/>
      <c r="M2563" s="24"/>
    </row>
    <row r="2564" spans="1:13">
      <c r="A2564" s="10" t="str">
        <f t="shared" si="80"/>
        <v/>
      </c>
      <c r="C2564" s="120" t="s">
        <v>126</v>
      </c>
      <c r="D2564"/>
      <c r="E2564"/>
      <c r="F2564"/>
      <c r="G2564"/>
      <c r="H2564"/>
      <c r="I2564" s="21" t="str">
        <f t="shared" si="81"/>
        <v/>
      </c>
      <c r="L2564" s="24"/>
      <c r="M2564" s="24"/>
    </row>
    <row r="2565" spans="1:13">
      <c r="A2565" s="14" t="str">
        <f t="shared" si="80"/>
        <v/>
      </c>
      <c r="C2565" s="120" t="s">
        <v>128</v>
      </c>
      <c r="D2565"/>
      <c r="E2565"/>
      <c r="F2565"/>
      <c r="G2565"/>
      <c r="H2565"/>
      <c r="I2565" s="21" t="str">
        <f t="shared" si="81"/>
        <v/>
      </c>
      <c r="L2565" s="24"/>
      <c r="M2565" s="24"/>
    </row>
    <row r="2566" spans="1:13">
      <c r="A2566" s="10" t="str">
        <f t="shared" si="80"/>
        <v/>
      </c>
      <c r="C2566" s="120" t="s">
        <v>280</v>
      </c>
      <c r="D2566"/>
      <c r="E2566"/>
      <c r="F2566"/>
      <c r="G2566"/>
      <c r="H2566"/>
      <c r="I2566" s="21" t="str">
        <f t="shared" si="81"/>
        <v/>
      </c>
      <c r="L2566" s="24"/>
      <c r="M2566" s="24"/>
    </row>
    <row r="2567" spans="1:13">
      <c r="A2567" s="14" t="str">
        <f t="shared" si="80"/>
        <v/>
      </c>
      <c r="C2567" s="120" t="s">
        <v>282</v>
      </c>
      <c r="D2567"/>
      <c r="E2567"/>
      <c r="F2567"/>
      <c r="G2567"/>
      <c r="H2567"/>
      <c r="I2567" s="21" t="str">
        <f t="shared" si="81"/>
        <v/>
      </c>
      <c r="L2567" s="24"/>
      <c r="M2567" s="24"/>
    </row>
    <row r="2568" spans="1:13">
      <c r="A2568" s="10" t="str">
        <f t="shared" si="80"/>
        <v/>
      </c>
      <c r="C2568" s="120" t="s">
        <v>284</v>
      </c>
      <c r="D2568"/>
      <c r="E2568"/>
      <c r="F2568"/>
      <c r="G2568"/>
      <c r="H2568"/>
      <c r="I2568" s="21" t="str">
        <f t="shared" si="81"/>
        <v/>
      </c>
      <c r="L2568" s="24"/>
      <c r="M2568" s="24"/>
    </row>
    <row r="2569" spans="1:13">
      <c r="A2569" s="14" t="str">
        <f t="shared" si="80"/>
        <v/>
      </c>
      <c r="C2569" s="120" t="s">
        <v>286</v>
      </c>
      <c r="D2569"/>
      <c r="E2569"/>
      <c r="F2569"/>
      <c r="G2569"/>
      <c r="H2569"/>
      <c r="I2569" s="21" t="str">
        <f t="shared" si="81"/>
        <v/>
      </c>
      <c r="L2569" s="24"/>
      <c r="M2569" s="24"/>
    </row>
    <row r="2570" spans="1:13">
      <c r="A2570" s="10" t="str">
        <f t="shared" si="80"/>
        <v/>
      </c>
      <c r="C2570" s="120" t="s">
        <v>126</v>
      </c>
      <c r="D2570"/>
      <c r="E2570"/>
      <c r="F2570"/>
      <c r="G2570"/>
      <c r="H2570"/>
      <c r="I2570" s="21" t="str">
        <f t="shared" si="81"/>
        <v/>
      </c>
      <c r="L2570" s="24"/>
      <c r="M2570" s="24"/>
    </row>
    <row r="2571" spans="1:13">
      <c r="A2571" s="14" t="str">
        <f t="shared" si="80"/>
        <v/>
      </c>
      <c r="C2571" s="120" t="s">
        <v>128</v>
      </c>
      <c r="D2571"/>
      <c r="E2571"/>
      <c r="F2571"/>
      <c r="G2571"/>
      <c r="H2571"/>
      <c r="I2571" s="21" t="str">
        <f t="shared" si="81"/>
        <v/>
      </c>
      <c r="L2571" s="24"/>
      <c r="M2571" s="24"/>
    </row>
    <row r="2572" spans="1:13">
      <c r="A2572" s="10" t="str">
        <f t="shared" si="80"/>
        <v/>
      </c>
      <c r="C2572" s="120" t="s">
        <v>280</v>
      </c>
      <c r="D2572"/>
      <c r="E2572"/>
      <c r="F2572"/>
      <c r="G2572"/>
      <c r="H2572"/>
      <c r="I2572" s="21" t="str">
        <f t="shared" si="81"/>
        <v/>
      </c>
      <c r="L2572" s="24"/>
      <c r="M2572" s="24"/>
    </row>
    <row r="2573" spans="1:13">
      <c r="A2573" s="14" t="str">
        <f t="shared" si="80"/>
        <v/>
      </c>
      <c r="C2573" s="120" t="s">
        <v>282</v>
      </c>
      <c r="D2573"/>
      <c r="E2573"/>
      <c r="F2573"/>
      <c r="G2573"/>
      <c r="H2573"/>
      <c r="I2573" s="21" t="str">
        <f t="shared" si="81"/>
        <v/>
      </c>
      <c r="L2573" s="24"/>
      <c r="M2573" s="24"/>
    </row>
    <row r="2574" spans="1:13">
      <c r="A2574" s="10" t="str">
        <f t="shared" si="80"/>
        <v/>
      </c>
      <c r="C2574" s="120" t="s">
        <v>284</v>
      </c>
      <c r="D2574"/>
      <c r="E2574"/>
      <c r="F2574"/>
      <c r="G2574"/>
      <c r="H2574"/>
      <c r="I2574" s="21" t="str">
        <f t="shared" si="81"/>
        <v/>
      </c>
      <c r="L2574" s="24"/>
      <c r="M2574" s="24"/>
    </row>
    <row r="2575" spans="1:13">
      <c r="A2575" s="14" t="str">
        <f t="shared" si="80"/>
        <v/>
      </c>
      <c r="C2575" s="120" t="s">
        <v>286</v>
      </c>
      <c r="D2575"/>
      <c r="E2575"/>
      <c r="F2575"/>
      <c r="G2575"/>
      <c r="H2575"/>
      <c r="I2575" s="21" t="str">
        <f t="shared" si="81"/>
        <v/>
      </c>
      <c r="L2575" s="24"/>
      <c r="M2575" s="24"/>
    </row>
    <row r="2576" spans="1:13">
      <c r="A2576" s="10" t="str">
        <f t="shared" si="80"/>
        <v/>
      </c>
      <c r="C2576" s="120" t="s">
        <v>126</v>
      </c>
      <c r="D2576"/>
      <c r="E2576"/>
      <c r="F2576"/>
      <c r="G2576"/>
      <c r="H2576"/>
      <c r="I2576" s="21" t="str">
        <f t="shared" si="81"/>
        <v/>
      </c>
      <c r="L2576" s="24"/>
      <c r="M2576" s="24"/>
    </row>
    <row r="2577" spans="1:13">
      <c r="A2577" s="14" t="str">
        <f t="shared" si="80"/>
        <v/>
      </c>
      <c r="C2577" s="120" t="s">
        <v>128</v>
      </c>
      <c r="D2577"/>
      <c r="E2577"/>
      <c r="F2577"/>
      <c r="G2577"/>
      <c r="H2577"/>
      <c r="I2577" s="21" t="str">
        <f t="shared" si="81"/>
        <v/>
      </c>
      <c r="L2577" s="24"/>
      <c r="M2577" s="24"/>
    </row>
    <row r="2578" spans="1:13">
      <c r="A2578" s="10" t="str">
        <f t="shared" si="80"/>
        <v/>
      </c>
      <c r="C2578" s="120" t="s">
        <v>280</v>
      </c>
      <c r="D2578"/>
      <c r="E2578"/>
      <c r="F2578"/>
      <c r="G2578"/>
      <c r="H2578"/>
      <c r="I2578" s="21" t="str">
        <f t="shared" si="81"/>
        <v/>
      </c>
      <c r="L2578" s="24"/>
      <c r="M2578" s="24"/>
    </row>
    <row r="2579" spans="1:13">
      <c r="A2579" s="14" t="str">
        <f t="shared" si="80"/>
        <v/>
      </c>
      <c r="C2579" s="120" t="s">
        <v>282</v>
      </c>
      <c r="D2579"/>
      <c r="E2579"/>
      <c r="F2579"/>
      <c r="G2579"/>
      <c r="H2579"/>
      <c r="I2579" s="21" t="str">
        <f t="shared" si="81"/>
        <v/>
      </c>
      <c r="L2579" s="24"/>
      <c r="M2579" s="24"/>
    </row>
    <row r="2580" spans="1:13">
      <c r="A2580" s="10" t="str">
        <f t="shared" si="80"/>
        <v/>
      </c>
      <c r="C2580" s="120" t="s">
        <v>284</v>
      </c>
      <c r="D2580"/>
      <c r="E2580"/>
      <c r="F2580"/>
      <c r="G2580"/>
      <c r="H2580"/>
      <c r="I2580" s="21" t="str">
        <f t="shared" si="81"/>
        <v/>
      </c>
      <c r="L2580" s="24"/>
      <c r="M2580" s="24"/>
    </row>
    <row r="2581" spans="1:13">
      <c r="A2581" s="14" t="str">
        <f t="shared" si="80"/>
        <v/>
      </c>
      <c r="C2581" s="120" t="s">
        <v>286</v>
      </c>
      <c r="D2581"/>
      <c r="E2581"/>
      <c r="F2581"/>
      <c r="G2581"/>
      <c r="H2581"/>
      <c r="I2581" s="21" t="str">
        <f t="shared" si="81"/>
        <v/>
      </c>
      <c r="L2581" s="24"/>
      <c r="M2581" s="24"/>
    </row>
    <row r="2582" spans="1:13">
      <c r="A2582" s="10" t="str">
        <f t="shared" si="80"/>
        <v/>
      </c>
      <c r="C2582" s="120" t="s">
        <v>126</v>
      </c>
      <c r="D2582"/>
      <c r="E2582"/>
      <c r="F2582"/>
      <c r="G2582"/>
      <c r="H2582"/>
      <c r="I2582" s="21" t="str">
        <f t="shared" si="81"/>
        <v/>
      </c>
      <c r="L2582" s="24"/>
      <c r="M2582" s="24"/>
    </row>
    <row r="2583" spans="1:13">
      <c r="A2583" s="14" t="str">
        <f t="shared" si="80"/>
        <v/>
      </c>
      <c r="C2583" s="120" t="s">
        <v>128</v>
      </c>
      <c r="D2583"/>
      <c r="E2583"/>
      <c r="F2583"/>
      <c r="G2583"/>
      <c r="H2583"/>
      <c r="I2583" s="21" t="str">
        <f t="shared" si="81"/>
        <v/>
      </c>
      <c r="L2583" s="24"/>
      <c r="M2583" s="24"/>
    </row>
    <row r="2584" spans="1:13">
      <c r="A2584" s="10" t="str">
        <f t="shared" si="80"/>
        <v/>
      </c>
      <c r="C2584" s="120" t="s">
        <v>280</v>
      </c>
      <c r="D2584"/>
      <c r="E2584"/>
      <c r="F2584"/>
      <c r="G2584"/>
      <c r="H2584"/>
      <c r="I2584" s="21" t="str">
        <f t="shared" si="81"/>
        <v/>
      </c>
      <c r="L2584" s="24"/>
      <c r="M2584" s="24"/>
    </row>
    <row r="2585" spans="1:13">
      <c r="A2585" s="14" t="str">
        <f t="shared" si="80"/>
        <v/>
      </c>
      <c r="C2585" s="120" t="s">
        <v>282</v>
      </c>
      <c r="D2585"/>
      <c r="E2585"/>
      <c r="F2585"/>
      <c r="G2585"/>
      <c r="H2585"/>
      <c r="I2585" s="21" t="str">
        <f t="shared" si="81"/>
        <v/>
      </c>
      <c r="L2585" s="24"/>
      <c r="M2585" s="24"/>
    </row>
    <row r="2586" spans="1:13">
      <c r="A2586" s="10" t="str">
        <f t="shared" si="80"/>
        <v/>
      </c>
      <c r="C2586" s="120" t="s">
        <v>284</v>
      </c>
      <c r="D2586"/>
      <c r="E2586"/>
      <c r="F2586"/>
      <c r="G2586"/>
      <c r="H2586"/>
      <c r="I2586" s="21" t="str">
        <f t="shared" si="81"/>
        <v/>
      </c>
      <c r="L2586" s="24"/>
      <c r="M2586" s="24"/>
    </row>
    <row r="2587" spans="1:13">
      <c r="A2587" s="14" t="str">
        <f t="shared" si="80"/>
        <v/>
      </c>
      <c r="C2587" s="120" t="s">
        <v>286</v>
      </c>
      <c r="D2587"/>
      <c r="E2587"/>
      <c r="F2587"/>
      <c r="G2587"/>
      <c r="H2587"/>
      <c r="I2587" s="21" t="str">
        <f t="shared" si="81"/>
        <v/>
      </c>
      <c r="L2587" s="24"/>
      <c r="M2587" s="24"/>
    </row>
    <row r="2588" spans="1:13">
      <c r="A2588" s="10" t="str">
        <f t="shared" si="80"/>
        <v/>
      </c>
      <c r="C2588" s="120" t="s">
        <v>126</v>
      </c>
      <c r="D2588"/>
      <c r="E2588"/>
      <c r="F2588"/>
      <c r="G2588"/>
      <c r="H2588"/>
      <c r="I2588" s="21" t="str">
        <f t="shared" si="81"/>
        <v/>
      </c>
      <c r="L2588" s="24"/>
      <c r="M2588" s="24"/>
    </row>
    <row r="2589" spans="1:13">
      <c r="A2589" s="14" t="str">
        <f t="shared" si="80"/>
        <v/>
      </c>
      <c r="C2589" s="120" t="s">
        <v>128</v>
      </c>
      <c r="D2589"/>
      <c r="E2589"/>
      <c r="F2589"/>
      <c r="G2589"/>
      <c r="H2589"/>
      <c r="I2589" s="21" t="str">
        <f t="shared" si="81"/>
        <v/>
      </c>
      <c r="L2589" s="24"/>
      <c r="M2589" s="24"/>
    </row>
    <row r="2590" spans="1:13">
      <c r="A2590" s="10" t="str">
        <f t="shared" si="80"/>
        <v/>
      </c>
      <c r="C2590" s="120" t="s">
        <v>280</v>
      </c>
      <c r="D2590"/>
      <c r="E2590"/>
      <c r="F2590"/>
      <c r="G2590"/>
      <c r="H2590"/>
      <c r="I2590" s="21" t="str">
        <f t="shared" si="81"/>
        <v/>
      </c>
      <c r="L2590" s="24"/>
      <c r="M2590" s="24"/>
    </row>
    <row r="2591" spans="1:13">
      <c r="A2591" s="14" t="str">
        <f t="shared" si="80"/>
        <v/>
      </c>
      <c r="C2591" s="120" t="s">
        <v>282</v>
      </c>
      <c r="D2591"/>
      <c r="E2591"/>
      <c r="F2591"/>
      <c r="G2591"/>
      <c r="H2591"/>
      <c r="I2591" s="21" t="str">
        <f t="shared" si="81"/>
        <v/>
      </c>
      <c r="L2591" s="24"/>
      <c r="M2591" s="24"/>
    </row>
    <row r="2592" spans="1:13">
      <c r="A2592" s="10" t="str">
        <f t="shared" si="80"/>
        <v/>
      </c>
      <c r="C2592" s="120" t="s">
        <v>284</v>
      </c>
      <c r="D2592"/>
      <c r="E2592"/>
      <c r="F2592"/>
      <c r="G2592"/>
      <c r="H2592"/>
      <c r="I2592" s="21" t="str">
        <f t="shared" si="81"/>
        <v/>
      </c>
      <c r="L2592" s="24"/>
      <c r="M2592" s="24"/>
    </row>
    <row r="2593" spans="1:13">
      <c r="A2593" s="14" t="str">
        <f t="shared" si="80"/>
        <v/>
      </c>
      <c r="C2593" s="120" t="s">
        <v>286</v>
      </c>
      <c r="D2593"/>
      <c r="E2593"/>
      <c r="F2593"/>
      <c r="G2593"/>
      <c r="H2593"/>
      <c r="I2593" s="21" t="str">
        <f t="shared" si="81"/>
        <v/>
      </c>
      <c r="L2593" s="24"/>
      <c r="M2593" s="24"/>
    </row>
    <row r="2594" spans="1:13">
      <c r="A2594" s="10" t="str">
        <f t="shared" si="80"/>
        <v/>
      </c>
      <c r="C2594" s="120" t="s">
        <v>126</v>
      </c>
      <c r="D2594"/>
      <c r="E2594"/>
      <c r="F2594"/>
      <c r="G2594"/>
      <c r="H2594"/>
      <c r="I2594" s="21" t="str">
        <f t="shared" si="81"/>
        <v/>
      </c>
      <c r="L2594" s="24"/>
      <c r="M2594" s="24"/>
    </row>
    <row r="2595" spans="1:13">
      <c r="A2595" s="14" t="str">
        <f t="shared" si="80"/>
        <v/>
      </c>
      <c r="C2595" s="120" t="s">
        <v>128</v>
      </c>
      <c r="D2595"/>
      <c r="E2595"/>
      <c r="F2595"/>
      <c r="G2595"/>
      <c r="H2595"/>
      <c r="I2595" s="21" t="str">
        <f t="shared" si="81"/>
        <v/>
      </c>
      <c r="L2595" s="24"/>
      <c r="M2595" s="24"/>
    </row>
    <row r="2596" spans="1:13">
      <c r="A2596" s="10" t="str">
        <f t="shared" si="80"/>
        <v/>
      </c>
      <c r="C2596" s="120" t="s">
        <v>280</v>
      </c>
      <c r="D2596"/>
      <c r="E2596"/>
      <c r="F2596"/>
      <c r="G2596"/>
      <c r="H2596"/>
      <c r="I2596" s="21" t="str">
        <f t="shared" si="81"/>
        <v/>
      </c>
      <c r="L2596" s="24"/>
      <c r="M2596" s="24"/>
    </row>
    <row r="2597" spans="1:13">
      <c r="A2597" s="14" t="str">
        <f t="shared" si="80"/>
        <v/>
      </c>
      <c r="C2597" s="120" t="s">
        <v>282</v>
      </c>
      <c r="D2597"/>
      <c r="E2597"/>
      <c r="F2597"/>
      <c r="G2597"/>
      <c r="H2597"/>
      <c r="I2597" s="21" t="str">
        <f t="shared" si="81"/>
        <v/>
      </c>
      <c r="L2597" s="24"/>
      <c r="M2597" s="24"/>
    </row>
    <row r="2598" spans="1:13">
      <c r="A2598" s="10" t="str">
        <f t="shared" si="80"/>
        <v/>
      </c>
      <c r="C2598" s="120" t="s">
        <v>284</v>
      </c>
      <c r="D2598"/>
      <c r="E2598"/>
      <c r="F2598"/>
      <c r="G2598"/>
      <c r="H2598"/>
      <c r="I2598" s="21" t="str">
        <f t="shared" si="81"/>
        <v/>
      </c>
      <c r="L2598" s="24"/>
      <c r="M2598" s="24"/>
    </row>
    <row r="2599" spans="1:13">
      <c r="A2599" s="14" t="str">
        <f t="shared" si="80"/>
        <v/>
      </c>
      <c r="C2599" s="120" t="s">
        <v>286</v>
      </c>
      <c r="D2599"/>
      <c r="E2599"/>
      <c r="F2599"/>
      <c r="G2599"/>
      <c r="H2599"/>
      <c r="I2599" s="21" t="str">
        <f t="shared" si="81"/>
        <v/>
      </c>
      <c r="L2599" s="24"/>
      <c r="M2599" s="24"/>
    </row>
    <row r="2600" spans="1:13">
      <c r="A2600" s="10" t="str">
        <f t="shared" si="80"/>
        <v/>
      </c>
      <c r="C2600" s="120" t="s">
        <v>126</v>
      </c>
      <c r="D2600"/>
      <c r="E2600"/>
      <c r="F2600"/>
      <c r="G2600"/>
      <c r="H2600"/>
      <c r="I2600" s="21" t="str">
        <f t="shared" si="81"/>
        <v/>
      </c>
      <c r="L2600" s="24"/>
      <c r="M2600" s="24"/>
    </row>
    <row r="2601" spans="1:13">
      <c r="A2601" s="14" t="str">
        <f t="shared" si="80"/>
        <v/>
      </c>
      <c r="C2601" s="120" t="s">
        <v>128</v>
      </c>
      <c r="D2601"/>
      <c r="E2601"/>
      <c r="F2601"/>
      <c r="G2601"/>
      <c r="H2601"/>
      <c r="I2601" s="21" t="str">
        <f t="shared" si="81"/>
        <v/>
      </c>
      <c r="L2601" s="24"/>
      <c r="M2601" s="24"/>
    </row>
    <row r="2602" spans="1:13">
      <c r="A2602" s="10" t="str">
        <f t="shared" si="80"/>
        <v/>
      </c>
      <c r="C2602" s="120" t="s">
        <v>280</v>
      </c>
      <c r="D2602"/>
      <c r="E2602"/>
      <c r="F2602"/>
      <c r="G2602"/>
      <c r="H2602"/>
      <c r="I2602" s="21" t="str">
        <f t="shared" si="81"/>
        <v/>
      </c>
      <c r="L2602" s="24"/>
      <c r="M2602" s="24"/>
    </row>
    <row r="2603" spans="1:13">
      <c r="A2603" s="14" t="str">
        <f t="shared" si="80"/>
        <v/>
      </c>
      <c r="C2603" s="120" t="s">
        <v>282</v>
      </c>
      <c r="D2603"/>
      <c r="E2603"/>
      <c r="F2603"/>
      <c r="G2603"/>
      <c r="H2603"/>
      <c r="I2603" s="21" t="str">
        <f t="shared" si="81"/>
        <v/>
      </c>
      <c r="L2603" s="24"/>
      <c r="M2603" s="24"/>
    </row>
    <row r="2604" spans="1:13">
      <c r="A2604" s="10" t="str">
        <f t="shared" si="80"/>
        <v/>
      </c>
      <c r="C2604" s="120" t="s">
        <v>284</v>
      </c>
      <c r="D2604"/>
      <c r="E2604"/>
      <c r="F2604"/>
      <c r="G2604"/>
      <c r="H2604"/>
      <c r="I2604" s="21" t="str">
        <f t="shared" si="81"/>
        <v/>
      </c>
      <c r="L2604" s="24"/>
      <c r="M2604" s="24"/>
    </row>
    <row r="2605" spans="1:13">
      <c r="A2605" s="14" t="str">
        <f t="shared" si="80"/>
        <v/>
      </c>
      <c r="C2605" s="120" t="s">
        <v>286</v>
      </c>
      <c r="D2605"/>
      <c r="E2605"/>
      <c r="F2605"/>
      <c r="G2605"/>
      <c r="H2605"/>
      <c r="I2605" s="21" t="str">
        <f t="shared" si="81"/>
        <v/>
      </c>
      <c r="L2605" s="24"/>
      <c r="M2605" s="24"/>
    </row>
    <row r="2606" spans="1:13">
      <c r="A2606" s="10" t="str">
        <f t="shared" si="80"/>
        <v/>
      </c>
      <c r="C2606" s="120" t="s">
        <v>126</v>
      </c>
      <c r="D2606"/>
      <c r="E2606"/>
      <c r="F2606"/>
      <c r="G2606"/>
      <c r="H2606"/>
      <c r="I2606" s="21" t="str">
        <f t="shared" si="81"/>
        <v/>
      </c>
      <c r="L2606" s="24"/>
      <c r="M2606" s="24"/>
    </row>
    <row r="2607" spans="1:13">
      <c r="A2607" s="14" t="str">
        <f t="shared" si="80"/>
        <v/>
      </c>
      <c r="C2607" s="120" t="s">
        <v>128</v>
      </c>
      <c r="D2607"/>
      <c r="E2607"/>
      <c r="F2607"/>
      <c r="G2607"/>
      <c r="H2607"/>
      <c r="I2607" s="21" t="str">
        <f t="shared" si="81"/>
        <v/>
      </c>
      <c r="L2607" s="24"/>
      <c r="M2607" s="24"/>
    </row>
    <row r="2608" spans="1:13">
      <c r="A2608" s="10" t="str">
        <f t="shared" si="80"/>
        <v/>
      </c>
      <c r="C2608" s="120" t="s">
        <v>280</v>
      </c>
      <c r="D2608"/>
      <c r="E2608"/>
      <c r="F2608"/>
      <c r="G2608"/>
      <c r="H2608"/>
      <c r="I2608" s="21" t="str">
        <f t="shared" si="81"/>
        <v/>
      </c>
      <c r="L2608" s="24"/>
      <c r="M2608" s="24"/>
    </row>
    <row r="2609" spans="1:13">
      <c r="A2609" s="14" t="str">
        <f t="shared" si="80"/>
        <v/>
      </c>
      <c r="C2609" s="120" t="s">
        <v>282</v>
      </c>
      <c r="D2609"/>
      <c r="E2609"/>
      <c r="F2609"/>
      <c r="G2609"/>
      <c r="H2609"/>
      <c r="I2609" s="21" t="str">
        <f t="shared" si="81"/>
        <v/>
      </c>
      <c r="L2609" s="24"/>
      <c r="M2609" s="24"/>
    </row>
    <row r="2610" spans="1:13">
      <c r="A2610" s="10" t="str">
        <f t="shared" si="80"/>
        <v/>
      </c>
      <c r="C2610" s="120" t="s">
        <v>284</v>
      </c>
      <c r="D2610"/>
      <c r="E2610"/>
      <c r="F2610"/>
      <c r="G2610"/>
      <c r="H2610"/>
      <c r="I2610" s="21" t="str">
        <f t="shared" si="81"/>
        <v/>
      </c>
      <c r="L2610" s="24"/>
      <c r="M2610" s="24"/>
    </row>
    <row r="2611" spans="1:13">
      <c r="A2611" s="14" t="str">
        <f t="shared" si="80"/>
        <v/>
      </c>
      <c r="C2611" s="120" t="s">
        <v>286</v>
      </c>
      <c r="D2611"/>
      <c r="E2611"/>
      <c r="F2611"/>
      <c r="G2611"/>
      <c r="H2611"/>
      <c r="I2611" s="21" t="str">
        <f t="shared" si="81"/>
        <v/>
      </c>
      <c r="L2611" s="24"/>
      <c r="M2611" s="24"/>
    </row>
    <row r="2612" spans="1:13">
      <c r="A2612" s="10" t="str">
        <f t="shared" si="80"/>
        <v/>
      </c>
      <c r="C2612" s="120" t="s">
        <v>126</v>
      </c>
      <c r="D2612"/>
      <c r="E2612"/>
      <c r="F2612"/>
      <c r="G2612"/>
      <c r="H2612"/>
      <c r="I2612" s="21" t="str">
        <f t="shared" si="81"/>
        <v/>
      </c>
      <c r="L2612" s="24"/>
      <c r="M2612" s="24"/>
    </row>
    <row r="2613" spans="1:13">
      <c r="A2613" s="14" t="str">
        <f t="shared" si="80"/>
        <v/>
      </c>
      <c r="C2613" s="120" t="s">
        <v>128</v>
      </c>
      <c r="D2613"/>
      <c r="E2613"/>
      <c r="F2613"/>
      <c r="G2613"/>
      <c r="H2613"/>
      <c r="I2613" s="21" t="str">
        <f t="shared" si="81"/>
        <v/>
      </c>
      <c r="L2613" s="24"/>
      <c r="M2613" s="24"/>
    </row>
    <row r="2614" spans="1:13">
      <c r="A2614" s="10" t="str">
        <f t="shared" si="80"/>
        <v/>
      </c>
      <c r="C2614" s="120" t="s">
        <v>280</v>
      </c>
      <c r="D2614"/>
      <c r="E2614"/>
      <c r="F2614"/>
      <c r="G2614"/>
      <c r="H2614"/>
      <c r="I2614" s="21" t="str">
        <f t="shared" si="81"/>
        <v/>
      </c>
      <c r="L2614" s="24"/>
      <c r="M2614" s="24"/>
    </row>
    <row r="2615" spans="1:13">
      <c r="A2615" s="14" t="str">
        <f t="shared" si="80"/>
        <v/>
      </c>
      <c r="C2615" s="120" t="s">
        <v>282</v>
      </c>
      <c r="D2615"/>
      <c r="E2615"/>
      <c r="F2615"/>
      <c r="G2615"/>
      <c r="H2615"/>
      <c r="I2615" s="21" t="str">
        <f t="shared" si="81"/>
        <v/>
      </c>
      <c r="L2615" s="24"/>
      <c r="M2615" s="24"/>
    </row>
    <row r="2616" spans="1:13">
      <c r="A2616" s="10" t="str">
        <f t="shared" si="80"/>
        <v/>
      </c>
      <c r="C2616" s="120" t="s">
        <v>284</v>
      </c>
      <c r="D2616"/>
      <c r="E2616"/>
      <c r="F2616"/>
      <c r="G2616"/>
      <c r="H2616"/>
      <c r="I2616" s="21" t="str">
        <f t="shared" si="81"/>
        <v/>
      </c>
      <c r="L2616" s="24"/>
      <c r="M2616" s="24"/>
    </row>
    <row r="2617" spans="1:13">
      <c r="A2617" s="14" t="str">
        <f t="shared" si="80"/>
        <v/>
      </c>
      <c r="C2617" s="120" t="s">
        <v>286</v>
      </c>
      <c r="D2617"/>
      <c r="E2617"/>
      <c r="F2617"/>
      <c r="G2617"/>
      <c r="H2617"/>
      <c r="I2617" s="21" t="str">
        <f t="shared" si="81"/>
        <v/>
      </c>
      <c r="L2617" s="24"/>
      <c r="M2617" s="24"/>
    </row>
    <row r="2618" spans="1:13">
      <c r="A2618" s="10" t="str">
        <f t="shared" si="80"/>
        <v/>
      </c>
      <c r="C2618" s="120" t="s">
        <v>126</v>
      </c>
      <c r="D2618"/>
      <c r="E2618"/>
      <c r="F2618"/>
      <c r="G2618"/>
      <c r="H2618"/>
      <c r="I2618" s="21" t="str">
        <f t="shared" si="81"/>
        <v/>
      </c>
      <c r="L2618" s="24"/>
      <c r="M2618" s="24"/>
    </row>
    <row r="2619" spans="1:13">
      <c r="A2619" s="14" t="str">
        <f t="shared" si="80"/>
        <v/>
      </c>
      <c r="C2619" s="120" t="s">
        <v>128</v>
      </c>
      <c r="D2619"/>
      <c r="E2619"/>
      <c r="F2619"/>
      <c r="G2619"/>
      <c r="H2619"/>
      <c r="I2619" s="21" t="str">
        <f t="shared" si="81"/>
        <v/>
      </c>
      <c r="L2619" s="24"/>
      <c r="M2619" s="24"/>
    </row>
    <row r="2620" spans="1:13">
      <c r="A2620" s="10" t="str">
        <f t="shared" si="80"/>
        <v/>
      </c>
      <c r="C2620" s="120" t="s">
        <v>280</v>
      </c>
      <c r="D2620"/>
      <c r="E2620"/>
      <c r="F2620"/>
      <c r="G2620"/>
      <c r="H2620"/>
      <c r="I2620" s="21" t="str">
        <f t="shared" si="81"/>
        <v/>
      </c>
      <c r="L2620" s="24"/>
      <c r="M2620" s="24"/>
    </row>
    <row r="2621" spans="1:13">
      <c r="A2621" s="14" t="str">
        <f t="shared" si="80"/>
        <v/>
      </c>
      <c r="C2621" s="120" t="s">
        <v>282</v>
      </c>
      <c r="D2621"/>
      <c r="E2621"/>
      <c r="F2621"/>
      <c r="G2621"/>
      <c r="H2621"/>
      <c r="I2621" s="21" t="str">
        <f t="shared" si="81"/>
        <v/>
      </c>
      <c r="L2621" s="24"/>
      <c r="M2621" s="24"/>
    </row>
    <row r="2622" spans="1:13">
      <c r="A2622" s="10" t="str">
        <f t="shared" si="80"/>
        <v/>
      </c>
      <c r="C2622" s="120" t="s">
        <v>284</v>
      </c>
      <c r="D2622"/>
      <c r="E2622"/>
      <c r="F2622"/>
      <c r="G2622"/>
      <c r="H2622"/>
      <c r="I2622" s="21" t="str">
        <f t="shared" si="81"/>
        <v/>
      </c>
      <c r="L2622" s="24"/>
      <c r="M2622" s="24"/>
    </row>
    <row r="2623" spans="1:13">
      <c r="A2623" s="14" t="str">
        <f t="shared" si="80"/>
        <v/>
      </c>
      <c r="C2623" s="120" t="s">
        <v>286</v>
      </c>
      <c r="D2623"/>
      <c r="E2623"/>
      <c r="F2623"/>
      <c r="G2623"/>
      <c r="H2623"/>
      <c r="I2623" s="21" t="str">
        <f t="shared" si="81"/>
        <v/>
      </c>
      <c r="L2623" s="24"/>
      <c r="M2623" s="24"/>
    </row>
    <row r="2624" spans="1:13">
      <c r="A2624" s="10" t="str">
        <f t="shared" si="80"/>
        <v/>
      </c>
      <c r="C2624" s="120" t="s">
        <v>126</v>
      </c>
      <c r="D2624"/>
      <c r="E2624"/>
      <c r="F2624"/>
      <c r="G2624"/>
      <c r="H2624"/>
      <c r="I2624" s="21" t="str">
        <f t="shared" si="81"/>
        <v/>
      </c>
      <c r="L2624" s="24"/>
      <c r="M2624" s="24"/>
    </row>
    <row r="2625" spans="1:13">
      <c r="A2625" s="14" t="str">
        <f t="shared" si="80"/>
        <v/>
      </c>
      <c r="C2625" s="120" t="s">
        <v>128</v>
      </c>
      <c r="D2625"/>
      <c r="E2625"/>
      <c r="F2625"/>
      <c r="G2625"/>
      <c r="H2625"/>
      <c r="I2625" s="21" t="str">
        <f t="shared" si="81"/>
        <v/>
      </c>
      <c r="L2625" s="24"/>
      <c r="M2625" s="24"/>
    </row>
    <row r="2626" spans="1:13">
      <c r="A2626" s="10" t="str">
        <f t="shared" ref="A2626:A2689" si="82">IF(B2626&lt;&gt;"",ROW()-1,"")</f>
        <v/>
      </c>
      <c r="C2626" s="120" t="s">
        <v>280</v>
      </c>
      <c r="D2626"/>
      <c r="E2626"/>
      <c r="F2626"/>
      <c r="G2626"/>
      <c r="H2626"/>
      <c r="I2626" s="21" t="str">
        <f t="shared" ref="I2626:I2689" si="83">IF(AND(G2626&lt;&gt;"",H2626&lt;&gt;""),H2626-G2626,"")</f>
        <v/>
      </c>
      <c r="L2626" s="24"/>
      <c r="M2626" s="24"/>
    </row>
    <row r="2627" spans="1:13">
      <c r="A2627" s="14" t="str">
        <f t="shared" si="82"/>
        <v/>
      </c>
      <c r="C2627" s="120" t="s">
        <v>282</v>
      </c>
      <c r="D2627"/>
      <c r="E2627"/>
      <c r="F2627"/>
      <c r="G2627"/>
      <c r="H2627"/>
      <c r="I2627" s="21" t="str">
        <f t="shared" si="83"/>
        <v/>
      </c>
      <c r="L2627" s="24"/>
      <c r="M2627" s="24"/>
    </row>
    <row r="2628" spans="1:13">
      <c r="A2628" s="10" t="str">
        <f t="shared" si="82"/>
        <v/>
      </c>
      <c r="C2628" s="120" t="s">
        <v>284</v>
      </c>
      <c r="D2628"/>
      <c r="E2628"/>
      <c r="F2628"/>
      <c r="G2628"/>
      <c r="H2628"/>
      <c r="I2628" s="21" t="str">
        <f t="shared" si="83"/>
        <v/>
      </c>
      <c r="L2628" s="24"/>
      <c r="M2628" s="24"/>
    </row>
    <row r="2629" spans="1:13">
      <c r="A2629" s="14" t="str">
        <f t="shared" si="82"/>
        <v/>
      </c>
      <c r="C2629" s="120" t="s">
        <v>286</v>
      </c>
      <c r="D2629"/>
      <c r="E2629"/>
      <c r="F2629"/>
      <c r="G2629"/>
      <c r="H2629"/>
      <c r="I2629" s="21" t="str">
        <f t="shared" si="83"/>
        <v/>
      </c>
      <c r="L2629" s="24"/>
      <c r="M2629" s="24"/>
    </row>
    <row r="2630" spans="1:13">
      <c r="A2630" s="10" t="str">
        <f t="shared" si="82"/>
        <v/>
      </c>
      <c r="C2630" s="120" t="s">
        <v>126</v>
      </c>
      <c r="D2630"/>
      <c r="E2630"/>
      <c r="F2630"/>
      <c r="G2630"/>
      <c r="H2630"/>
      <c r="I2630" s="21" t="str">
        <f t="shared" si="83"/>
        <v/>
      </c>
      <c r="L2630" s="24"/>
      <c r="M2630" s="24"/>
    </row>
    <row r="2631" spans="1:13">
      <c r="A2631" s="14" t="str">
        <f t="shared" si="82"/>
        <v/>
      </c>
      <c r="C2631" s="120" t="s">
        <v>128</v>
      </c>
      <c r="D2631"/>
      <c r="E2631"/>
      <c r="F2631"/>
      <c r="G2631"/>
      <c r="H2631"/>
      <c r="I2631" s="21" t="str">
        <f t="shared" si="83"/>
        <v/>
      </c>
      <c r="L2631" s="24"/>
      <c r="M2631" s="24"/>
    </row>
    <row r="2632" spans="1:13">
      <c r="A2632" s="10" t="str">
        <f t="shared" si="82"/>
        <v/>
      </c>
      <c r="C2632" s="120" t="s">
        <v>280</v>
      </c>
      <c r="D2632"/>
      <c r="E2632"/>
      <c r="F2632"/>
      <c r="G2632"/>
      <c r="H2632"/>
      <c r="I2632" s="21" t="str">
        <f t="shared" si="83"/>
        <v/>
      </c>
      <c r="L2632" s="24"/>
      <c r="M2632" s="24"/>
    </row>
    <row r="2633" spans="1:13">
      <c r="A2633" s="14" t="str">
        <f t="shared" si="82"/>
        <v/>
      </c>
      <c r="C2633" s="120" t="s">
        <v>282</v>
      </c>
      <c r="D2633"/>
      <c r="E2633"/>
      <c r="F2633"/>
      <c r="G2633"/>
      <c r="H2633"/>
      <c r="I2633" s="21" t="str">
        <f t="shared" si="83"/>
        <v/>
      </c>
      <c r="L2633" s="24"/>
      <c r="M2633" s="24"/>
    </row>
    <row r="2634" spans="1:13">
      <c r="A2634" s="10" t="str">
        <f t="shared" si="82"/>
        <v/>
      </c>
      <c r="C2634" s="120" t="s">
        <v>284</v>
      </c>
      <c r="D2634"/>
      <c r="E2634"/>
      <c r="F2634"/>
      <c r="G2634"/>
      <c r="H2634"/>
      <c r="I2634" s="21" t="str">
        <f t="shared" si="83"/>
        <v/>
      </c>
      <c r="L2634" s="24"/>
      <c r="M2634" s="24"/>
    </row>
    <row r="2635" spans="1:13">
      <c r="A2635" s="14" t="str">
        <f t="shared" si="82"/>
        <v/>
      </c>
      <c r="C2635" s="120" t="s">
        <v>286</v>
      </c>
      <c r="D2635"/>
      <c r="E2635"/>
      <c r="F2635"/>
      <c r="G2635"/>
      <c r="H2635"/>
      <c r="I2635" s="21" t="str">
        <f t="shared" si="83"/>
        <v/>
      </c>
      <c r="L2635" s="24"/>
      <c r="M2635" s="24"/>
    </row>
    <row r="2636" spans="1:13">
      <c r="A2636" s="10" t="str">
        <f t="shared" si="82"/>
        <v/>
      </c>
      <c r="C2636" s="120" t="s">
        <v>126</v>
      </c>
      <c r="D2636"/>
      <c r="E2636"/>
      <c r="F2636"/>
      <c r="G2636"/>
      <c r="H2636"/>
      <c r="I2636" s="21" t="str">
        <f t="shared" si="83"/>
        <v/>
      </c>
      <c r="L2636" s="24"/>
      <c r="M2636" s="24"/>
    </row>
    <row r="2637" spans="1:13">
      <c r="A2637" s="14" t="str">
        <f t="shared" si="82"/>
        <v/>
      </c>
      <c r="C2637" s="120" t="s">
        <v>128</v>
      </c>
      <c r="D2637"/>
      <c r="E2637"/>
      <c r="F2637"/>
      <c r="G2637"/>
      <c r="H2637"/>
      <c r="I2637" s="21" t="str">
        <f t="shared" si="83"/>
        <v/>
      </c>
      <c r="L2637" s="24"/>
      <c r="M2637" s="24"/>
    </row>
    <row r="2638" spans="1:13">
      <c r="A2638" s="10" t="str">
        <f t="shared" si="82"/>
        <v/>
      </c>
      <c r="C2638" s="120" t="s">
        <v>280</v>
      </c>
      <c r="D2638"/>
      <c r="E2638"/>
      <c r="F2638"/>
      <c r="G2638"/>
      <c r="H2638"/>
      <c r="I2638" s="21" t="str">
        <f t="shared" si="83"/>
        <v/>
      </c>
      <c r="L2638" s="24"/>
      <c r="M2638" s="24"/>
    </row>
    <row r="2639" spans="1:13">
      <c r="A2639" s="14" t="str">
        <f t="shared" si="82"/>
        <v/>
      </c>
      <c r="C2639" s="120" t="s">
        <v>282</v>
      </c>
      <c r="D2639"/>
      <c r="E2639"/>
      <c r="F2639"/>
      <c r="G2639"/>
      <c r="H2639"/>
      <c r="I2639" s="21" t="str">
        <f t="shared" si="83"/>
        <v/>
      </c>
      <c r="L2639" s="24"/>
      <c r="M2639" s="24"/>
    </row>
    <row r="2640" spans="1:13">
      <c r="A2640" s="10" t="str">
        <f t="shared" si="82"/>
        <v/>
      </c>
      <c r="C2640" s="120" t="s">
        <v>284</v>
      </c>
      <c r="D2640"/>
      <c r="E2640"/>
      <c r="F2640"/>
      <c r="G2640"/>
      <c r="H2640"/>
      <c r="I2640" s="21" t="str">
        <f t="shared" si="83"/>
        <v/>
      </c>
      <c r="L2640" s="24"/>
      <c r="M2640" s="24"/>
    </row>
    <row r="2641" spans="1:13">
      <c r="A2641" s="14" t="str">
        <f t="shared" si="82"/>
        <v/>
      </c>
      <c r="C2641" s="120" t="s">
        <v>286</v>
      </c>
      <c r="D2641"/>
      <c r="E2641"/>
      <c r="F2641"/>
      <c r="G2641"/>
      <c r="H2641"/>
      <c r="I2641" s="21" t="str">
        <f t="shared" si="83"/>
        <v/>
      </c>
      <c r="L2641" s="24"/>
      <c r="M2641" s="24"/>
    </row>
    <row r="2642" spans="1:13">
      <c r="A2642" s="10" t="str">
        <f t="shared" si="82"/>
        <v/>
      </c>
      <c r="C2642" s="120" t="s">
        <v>126</v>
      </c>
      <c r="D2642"/>
      <c r="E2642"/>
      <c r="F2642"/>
      <c r="G2642"/>
      <c r="H2642"/>
      <c r="I2642" s="21" t="str">
        <f t="shared" si="83"/>
        <v/>
      </c>
      <c r="L2642" s="24"/>
      <c r="M2642" s="24"/>
    </row>
    <row r="2643" spans="1:13">
      <c r="A2643" s="14" t="str">
        <f t="shared" si="82"/>
        <v/>
      </c>
      <c r="C2643" s="120" t="s">
        <v>128</v>
      </c>
      <c r="D2643"/>
      <c r="E2643"/>
      <c r="F2643"/>
      <c r="G2643"/>
      <c r="H2643"/>
      <c r="I2643" s="21" t="str">
        <f t="shared" si="83"/>
        <v/>
      </c>
      <c r="L2643" s="24"/>
      <c r="M2643" s="24"/>
    </row>
    <row r="2644" spans="1:13">
      <c r="A2644" s="10" t="str">
        <f t="shared" si="82"/>
        <v/>
      </c>
      <c r="C2644" s="120" t="s">
        <v>280</v>
      </c>
      <c r="D2644"/>
      <c r="E2644"/>
      <c r="F2644"/>
      <c r="G2644"/>
      <c r="H2644"/>
      <c r="I2644" s="21" t="str">
        <f t="shared" si="83"/>
        <v/>
      </c>
      <c r="L2644" s="24"/>
      <c r="M2644" s="24"/>
    </row>
    <row r="2645" spans="1:13">
      <c r="A2645" s="14" t="str">
        <f t="shared" si="82"/>
        <v/>
      </c>
      <c r="C2645" s="120" t="s">
        <v>282</v>
      </c>
      <c r="D2645"/>
      <c r="E2645"/>
      <c r="F2645"/>
      <c r="G2645"/>
      <c r="H2645"/>
      <c r="I2645" s="21" t="str">
        <f t="shared" si="83"/>
        <v/>
      </c>
      <c r="L2645" s="24"/>
      <c r="M2645" s="24"/>
    </row>
    <row r="2646" spans="1:13">
      <c r="A2646" s="10" t="str">
        <f t="shared" si="82"/>
        <v/>
      </c>
      <c r="C2646" s="120" t="s">
        <v>284</v>
      </c>
      <c r="D2646"/>
      <c r="E2646"/>
      <c r="F2646"/>
      <c r="G2646"/>
      <c r="H2646"/>
      <c r="I2646" s="21" t="str">
        <f t="shared" si="83"/>
        <v/>
      </c>
      <c r="L2646" s="24"/>
      <c r="M2646" s="24"/>
    </row>
    <row r="2647" spans="1:13">
      <c r="A2647" s="14" t="str">
        <f t="shared" si="82"/>
        <v/>
      </c>
      <c r="C2647" s="120" t="s">
        <v>286</v>
      </c>
      <c r="D2647"/>
      <c r="E2647"/>
      <c r="F2647"/>
      <c r="G2647"/>
      <c r="H2647"/>
      <c r="I2647" s="21" t="str">
        <f t="shared" si="83"/>
        <v/>
      </c>
      <c r="L2647" s="24"/>
      <c r="M2647" s="24"/>
    </row>
    <row r="2648" spans="1:13">
      <c r="A2648" s="10" t="str">
        <f t="shared" si="82"/>
        <v/>
      </c>
      <c r="C2648" s="120" t="s">
        <v>126</v>
      </c>
      <c r="D2648"/>
      <c r="E2648"/>
      <c r="F2648"/>
      <c r="G2648"/>
      <c r="H2648"/>
      <c r="I2648" s="21" t="str">
        <f t="shared" si="83"/>
        <v/>
      </c>
      <c r="L2648" s="24"/>
      <c r="M2648" s="24"/>
    </row>
    <row r="2649" spans="1:13">
      <c r="A2649" s="14" t="str">
        <f t="shared" si="82"/>
        <v/>
      </c>
      <c r="C2649" s="120" t="s">
        <v>128</v>
      </c>
      <c r="D2649"/>
      <c r="E2649"/>
      <c r="F2649"/>
      <c r="G2649"/>
      <c r="H2649"/>
      <c r="I2649" s="21" t="str">
        <f t="shared" si="83"/>
        <v/>
      </c>
      <c r="L2649" s="24"/>
      <c r="M2649" s="24"/>
    </row>
    <row r="2650" spans="1:13">
      <c r="A2650" s="10" t="str">
        <f t="shared" si="82"/>
        <v/>
      </c>
      <c r="C2650" s="120" t="s">
        <v>280</v>
      </c>
      <c r="D2650"/>
      <c r="E2650"/>
      <c r="F2650"/>
      <c r="G2650"/>
      <c r="H2650"/>
      <c r="I2650" s="21" t="str">
        <f t="shared" si="83"/>
        <v/>
      </c>
      <c r="L2650" s="24"/>
      <c r="M2650" s="24"/>
    </row>
    <row r="2651" spans="1:13">
      <c r="A2651" s="14" t="str">
        <f t="shared" si="82"/>
        <v/>
      </c>
      <c r="C2651" s="120" t="s">
        <v>282</v>
      </c>
      <c r="D2651"/>
      <c r="E2651"/>
      <c r="F2651"/>
      <c r="G2651"/>
      <c r="H2651"/>
      <c r="I2651" s="21" t="str">
        <f t="shared" si="83"/>
        <v/>
      </c>
      <c r="L2651" s="24"/>
      <c r="M2651" s="24"/>
    </row>
    <row r="2652" spans="1:13">
      <c r="A2652" s="10" t="str">
        <f t="shared" si="82"/>
        <v/>
      </c>
      <c r="C2652" s="120" t="s">
        <v>284</v>
      </c>
      <c r="D2652"/>
      <c r="E2652"/>
      <c r="F2652"/>
      <c r="G2652"/>
      <c r="H2652"/>
      <c r="I2652" s="21" t="str">
        <f t="shared" si="83"/>
        <v/>
      </c>
      <c r="L2652" s="24"/>
      <c r="M2652" s="24"/>
    </row>
    <row r="2653" spans="1:13">
      <c r="A2653" s="14" t="str">
        <f t="shared" si="82"/>
        <v/>
      </c>
      <c r="C2653" s="120" t="s">
        <v>286</v>
      </c>
      <c r="D2653"/>
      <c r="E2653"/>
      <c r="F2653"/>
      <c r="G2653"/>
      <c r="H2653"/>
      <c r="I2653" s="21" t="str">
        <f t="shared" si="83"/>
        <v/>
      </c>
      <c r="L2653" s="24"/>
      <c r="M2653" s="24"/>
    </row>
    <row r="2654" spans="1:13">
      <c r="A2654" s="10" t="str">
        <f t="shared" si="82"/>
        <v/>
      </c>
      <c r="C2654" s="120" t="s">
        <v>126</v>
      </c>
      <c r="D2654"/>
      <c r="E2654"/>
      <c r="F2654"/>
      <c r="G2654"/>
      <c r="H2654"/>
      <c r="I2654" s="21" t="str">
        <f t="shared" si="83"/>
        <v/>
      </c>
      <c r="L2654" s="24"/>
      <c r="M2654" s="24"/>
    </row>
    <row r="2655" spans="1:13">
      <c r="A2655" s="14" t="str">
        <f t="shared" si="82"/>
        <v/>
      </c>
      <c r="C2655" s="120" t="s">
        <v>128</v>
      </c>
      <c r="D2655"/>
      <c r="E2655"/>
      <c r="F2655"/>
      <c r="G2655"/>
      <c r="H2655"/>
      <c r="I2655" s="21" t="str">
        <f t="shared" si="83"/>
        <v/>
      </c>
      <c r="L2655" s="24"/>
      <c r="M2655" s="24"/>
    </row>
    <row r="2656" spans="1:13">
      <c r="A2656" s="10" t="str">
        <f t="shared" si="82"/>
        <v/>
      </c>
      <c r="C2656" s="120" t="s">
        <v>280</v>
      </c>
      <c r="D2656"/>
      <c r="E2656"/>
      <c r="F2656"/>
      <c r="G2656"/>
      <c r="H2656"/>
      <c r="I2656" s="21" t="str">
        <f t="shared" si="83"/>
        <v/>
      </c>
      <c r="L2656" s="24"/>
      <c r="M2656" s="24"/>
    </row>
    <row r="2657" spans="1:13">
      <c r="A2657" s="14" t="str">
        <f t="shared" si="82"/>
        <v/>
      </c>
      <c r="C2657" s="120" t="s">
        <v>282</v>
      </c>
      <c r="D2657"/>
      <c r="E2657"/>
      <c r="F2657"/>
      <c r="G2657"/>
      <c r="H2657"/>
      <c r="I2657" s="21" t="str">
        <f t="shared" si="83"/>
        <v/>
      </c>
      <c r="L2657" s="24"/>
      <c r="M2657" s="24"/>
    </row>
    <row r="2658" spans="1:13">
      <c r="A2658" s="10" t="str">
        <f t="shared" si="82"/>
        <v/>
      </c>
      <c r="C2658" s="120" t="s">
        <v>284</v>
      </c>
      <c r="D2658"/>
      <c r="E2658"/>
      <c r="F2658"/>
      <c r="G2658"/>
      <c r="H2658"/>
      <c r="I2658" s="21" t="str">
        <f t="shared" si="83"/>
        <v/>
      </c>
      <c r="L2658" s="24"/>
      <c r="M2658" s="24"/>
    </row>
    <row r="2659" spans="1:13">
      <c r="A2659" s="14" t="str">
        <f t="shared" si="82"/>
        <v/>
      </c>
      <c r="C2659" s="120" t="s">
        <v>286</v>
      </c>
      <c r="D2659"/>
      <c r="E2659"/>
      <c r="F2659"/>
      <c r="G2659"/>
      <c r="H2659"/>
      <c r="I2659" s="21" t="str">
        <f t="shared" si="83"/>
        <v/>
      </c>
      <c r="L2659" s="24"/>
      <c r="M2659" s="24"/>
    </row>
    <row r="2660" spans="1:13">
      <c r="A2660" s="10" t="str">
        <f t="shared" si="82"/>
        <v/>
      </c>
      <c r="C2660" s="120" t="s">
        <v>126</v>
      </c>
      <c r="D2660"/>
      <c r="E2660"/>
      <c r="F2660"/>
      <c r="G2660"/>
      <c r="H2660"/>
      <c r="I2660" s="21" t="str">
        <f t="shared" si="83"/>
        <v/>
      </c>
      <c r="L2660" s="24"/>
      <c r="M2660" s="24"/>
    </row>
    <row r="2661" spans="1:13">
      <c r="A2661" s="14" t="str">
        <f t="shared" si="82"/>
        <v/>
      </c>
      <c r="C2661" s="120" t="s">
        <v>128</v>
      </c>
      <c r="D2661"/>
      <c r="E2661"/>
      <c r="F2661"/>
      <c r="G2661"/>
      <c r="H2661"/>
      <c r="I2661" s="21" t="str">
        <f t="shared" si="83"/>
        <v/>
      </c>
      <c r="L2661" s="24"/>
      <c r="M2661" s="24"/>
    </row>
    <row r="2662" spans="1:13">
      <c r="A2662" s="10" t="str">
        <f t="shared" si="82"/>
        <v/>
      </c>
      <c r="C2662" s="120" t="s">
        <v>280</v>
      </c>
      <c r="D2662"/>
      <c r="E2662"/>
      <c r="F2662"/>
      <c r="G2662"/>
      <c r="H2662"/>
      <c r="I2662" s="21" t="str">
        <f t="shared" si="83"/>
        <v/>
      </c>
      <c r="L2662" s="24"/>
      <c r="M2662" s="24"/>
    </row>
    <row r="2663" spans="1:13">
      <c r="A2663" s="14" t="str">
        <f t="shared" si="82"/>
        <v/>
      </c>
      <c r="C2663" s="120" t="s">
        <v>282</v>
      </c>
      <c r="D2663"/>
      <c r="E2663"/>
      <c r="F2663"/>
      <c r="G2663"/>
      <c r="H2663"/>
      <c r="I2663" s="21" t="str">
        <f t="shared" si="83"/>
        <v/>
      </c>
      <c r="L2663" s="24"/>
      <c r="M2663" s="24"/>
    </row>
    <row r="2664" spans="1:13">
      <c r="A2664" s="10" t="str">
        <f t="shared" si="82"/>
        <v/>
      </c>
      <c r="C2664" s="120" t="s">
        <v>284</v>
      </c>
      <c r="D2664"/>
      <c r="E2664"/>
      <c r="F2664"/>
      <c r="G2664"/>
      <c r="H2664"/>
      <c r="I2664" s="21" t="str">
        <f t="shared" si="83"/>
        <v/>
      </c>
      <c r="L2664" s="24"/>
      <c r="M2664" s="24"/>
    </row>
    <row r="2665" spans="1:13">
      <c r="A2665" s="14" t="str">
        <f t="shared" si="82"/>
        <v/>
      </c>
      <c r="C2665" s="120" t="s">
        <v>286</v>
      </c>
      <c r="D2665"/>
      <c r="E2665"/>
      <c r="F2665"/>
      <c r="G2665"/>
      <c r="H2665"/>
      <c r="I2665" s="21" t="str">
        <f t="shared" si="83"/>
        <v/>
      </c>
      <c r="L2665" s="24"/>
      <c r="M2665" s="24"/>
    </row>
    <row r="2666" spans="1:13">
      <c r="A2666" s="10" t="str">
        <f t="shared" si="82"/>
        <v/>
      </c>
      <c r="C2666" s="120" t="s">
        <v>126</v>
      </c>
      <c r="D2666"/>
      <c r="E2666"/>
      <c r="F2666"/>
      <c r="G2666"/>
      <c r="H2666"/>
      <c r="I2666" s="21" t="str">
        <f t="shared" si="83"/>
        <v/>
      </c>
      <c r="L2666" s="24"/>
      <c r="M2666" s="24"/>
    </row>
    <row r="2667" spans="1:13">
      <c r="A2667" s="14" t="str">
        <f t="shared" si="82"/>
        <v/>
      </c>
      <c r="C2667" s="120" t="s">
        <v>128</v>
      </c>
      <c r="D2667"/>
      <c r="E2667"/>
      <c r="F2667"/>
      <c r="G2667"/>
      <c r="H2667"/>
      <c r="I2667" s="21" t="str">
        <f t="shared" si="83"/>
        <v/>
      </c>
      <c r="L2667" s="24"/>
      <c r="M2667" s="24"/>
    </row>
    <row r="2668" spans="1:13">
      <c r="A2668" s="10" t="str">
        <f t="shared" si="82"/>
        <v/>
      </c>
      <c r="C2668" s="120" t="s">
        <v>280</v>
      </c>
      <c r="D2668"/>
      <c r="E2668"/>
      <c r="F2668"/>
      <c r="G2668"/>
      <c r="H2668"/>
      <c r="I2668" s="21" t="str">
        <f t="shared" si="83"/>
        <v/>
      </c>
      <c r="L2668" s="24"/>
      <c r="M2668" s="24"/>
    </row>
    <row r="2669" spans="1:13">
      <c r="A2669" s="14" t="str">
        <f t="shared" si="82"/>
        <v/>
      </c>
      <c r="C2669" s="120" t="s">
        <v>282</v>
      </c>
      <c r="D2669"/>
      <c r="E2669"/>
      <c r="F2669"/>
      <c r="G2669"/>
      <c r="H2669"/>
      <c r="I2669" s="21" t="str">
        <f t="shared" si="83"/>
        <v/>
      </c>
      <c r="L2669" s="24"/>
      <c r="M2669" s="24"/>
    </row>
    <row r="2670" spans="1:13">
      <c r="A2670" s="10" t="str">
        <f t="shared" si="82"/>
        <v/>
      </c>
      <c r="C2670" s="120" t="s">
        <v>284</v>
      </c>
      <c r="D2670"/>
      <c r="E2670"/>
      <c r="F2670"/>
      <c r="G2670"/>
      <c r="H2670"/>
      <c r="I2670" s="21" t="str">
        <f t="shared" si="83"/>
        <v/>
      </c>
      <c r="L2670" s="24"/>
      <c r="M2670" s="24"/>
    </row>
    <row r="2671" spans="1:13">
      <c r="A2671" s="14" t="str">
        <f t="shared" si="82"/>
        <v/>
      </c>
      <c r="C2671" s="120" t="s">
        <v>286</v>
      </c>
      <c r="D2671"/>
      <c r="E2671"/>
      <c r="F2671"/>
      <c r="G2671"/>
      <c r="H2671"/>
      <c r="I2671" s="21" t="str">
        <f t="shared" si="83"/>
        <v/>
      </c>
      <c r="L2671" s="24"/>
      <c r="M2671" s="24"/>
    </row>
    <row r="2672" spans="1:13">
      <c r="A2672" s="10" t="str">
        <f t="shared" si="82"/>
        <v/>
      </c>
      <c r="C2672" s="120" t="s">
        <v>126</v>
      </c>
      <c r="D2672"/>
      <c r="E2672"/>
      <c r="F2672"/>
      <c r="G2672"/>
      <c r="H2672"/>
      <c r="I2672" s="21" t="str">
        <f t="shared" si="83"/>
        <v/>
      </c>
      <c r="L2672" s="24"/>
      <c r="M2672" s="24"/>
    </row>
    <row r="2673" spans="1:13">
      <c r="A2673" s="14" t="str">
        <f t="shared" si="82"/>
        <v/>
      </c>
      <c r="C2673" s="120" t="s">
        <v>128</v>
      </c>
      <c r="D2673"/>
      <c r="E2673"/>
      <c r="F2673"/>
      <c r="G2673"/>
      <c r="H2673"/>
      <c r="I2673" s="21" t="str">
        <f t="shared" si="83"/>
        <v/>
      </c>
      <c r="L2673" s="24"/>
      <c r="M2673" s="24"/>
    </row>
    <row r="2674" spans="1:13">
      <c r="A2674" s="10" t="str">
        <f t="shared" si="82"/>
        <v/>
      </c>
      <c r="C2674" s="120" t="s">
        <v>280</v>
      </c>
      <c r="D2674"/>
      <c r="E2674"/>
      <c r="F2674"/>
      <c r="G2674"/>
      <c r="H2674"/>
      <c r="I2674" s="21" t="str">
        <f t="shared" si="83"/>
        <v/>
      </c>
      <c r="L2674" s="24"/>
      <c r="M2674" s="24"/>
    </row>
    <row r="2675" spans="1:13">
      <c r="A2675" s="14" t="str">
        <f t="shared" si="82"/>
        <v/>
      </c>
      <c r="C2675" s="120" t="s">
        <v>282</v>
      </c>
      <c r="D2675"/>
      <c r="E2675"/>
      <c r="F2675"/>
      <c r="G2675"/>
      <c r="H2675"/>
      <c r="I2675" s="21" t="str">
        <f t="shared" si="83"/>
        <v/>
      </c>
      <c r="L2675" s="24"/>
      <c r="M2675" s="24"/>
    </row>
    <row r="2676" spans="1:13">
      <c r="A2676" s="10" t="str">
        <f t="shared" si="82"/>
        <v/>
      </c>
      <c r="C2676" s="120" t="s">
        <v>284</v>
      </c>
      <c r="D2676"/>
      <c r="E2676"/>
      <c r="F2676"/>
      <c r="G2676"/>
      <c r="H2676"/>
      <c r="I2676" s="21" t="str">
        <f t="shared" si="83"/>
        <v/>
      </c>
      <c r="L2676" s="24"/>
      <c r="M2676" s="24"/>
    </row>
    <row r="2677" spans="1:13">
      <c r="A2677" s="14" t="str">
        <f t="shared" si="82"/>
        <v/>
      </c>
      <c r="C2677" s="120" t="s">
        <v>286</v>
      </c>
      <c r="D2677"/>
      <c r="E2677"/>
      <c r="F2677"/>
      <c r="G2677"/>
      <c r="H2677"/>
      <c r="I2677" s="21" t="str">
        <f t="shared" si="83"/>
        <v/>
      </c>
      <c r="L2677" s="24"/>
      <c r="M2677" s="24"/>
    </row>
    <row r="2678" spans="1:13">
      <c r="A2678" s="10" t="str">
        <f t="shared" si="82"/>
        <v/>
      </c>
      <c r="C2678" s="120" t="s">
        <v>126</v>
      </c>
      <c r="D2678"/>
      <c r="E2678"/>
      <c r="F2678"/>
      <c r="G2678"/>
      <c r="H2678"/>
      <c r="I2678" s="21" t="str">
        <f t="shared" si="83"/>
        <v/>
      </c>
      <c r="L2678" s="24"/>
      <c r="M2678" s="24"/>
    </row>
    <row r="2679" spans="1:13">
      <c r="A2679" s="14" t="str">
        <f t="shared" si="82"/>
        <v/>
      </c>
      <c r="C2679" s="120" t="s">
        <v>128</v>
      </c>
      <c r="D2679"/>
      <c r="E2679"/>
      <c r="F2679"/>
      <c r="G2679"/>
      <c r="H2679"/>
      <c r="I2679" s="21" t="str">
        <f t="shared" si="83"/>
        <v/>
      </c>
      <c r="L2679" s="24"/>
      <c r="M2679" s="24"/>
    </row>
    <row r="2680" spans="1:13">
      <c r="A2680" s="10" t="str">
        <f t="shared" si="82"/>
        <v/>
      </c>
      <c r="C2680" s="120" t="s">
        <v>280</v>
      </c>
      <c r="D2680"/>
      <c r="E2680"/>
      <c r="F2680"/>
      <c r="G2680"/>
      <c r="H2680"/>
      <c r="I2680" s="21" t="str">
        <f t="shared" si="83"/>
        <v/>
      </c>
      <c r="L2680" s="24"/>
      <c r="M2680" s="24"/>
    </row>
    <row r="2681" spans="1:13">
      <c r="A2681" s="14" t="str">
        <f t="shared" si="82"/>
        <v/>
      </c>
      <c r="C2681" s="120" t="s">
        <v>282</v>
      </c>
      <c r="D2681"/>
      <c r="E2681"/>
      <c r="F2681"/>
      <c r="G2681"/>
      <c r="H2681"/>
      <c r="I2681" s="21" t="str">
        <f t="shared" si="83"/>
        <v/>
      </c>
      <c r="L2681" s="24"/>
      <c r="M2681" s="24"/>
    </row>
    <row r="2682" spans="1:13">
      <c r="A2682" s="10" t="str">
        <f t="shared" si="82"/>
        <v/>
      </c>
      <c r="C2682" s="120" t="s">
        <v>284</v>
      </c>
      <c r="D2682"/>
      <c r="E2682"/>
      <c r="F2682"/>
      <c r="G2682"/>
      <c r="H2682"/>
      <c r="I2682" s="21" t="str">
        <f t="shared" si="83"/>
        <v/>
      </c>
      <c r="L2682" s="24"/>
      <c r="M2682" s="24"/>
    </row>
    <row r="2683" spans="1:13">
      <c r="A2683" s="14" t="str">
        <f t="shared" si="82"/>
        <v/>
      </c>
      <c r="C2683" s="120" t="s">
        <v>286</v>
      </c>
      <c r="D2683"/>
      <c r="E2683"/>
      <c r="F2683"/>
      <c r="G2683"/>
      <c r="H2683"/>
      <c r="I2683" s="21" t="str">
        <f t="shared" si="83"/>
        <v/>
      </c>
      <c r="L2683" s="24"/>
      <c r="M2683" s="24"/>
    </row>
    <row r="2684" spans="1:13">
      <c r="A2684" s="10" t="str">
        <f t="shared" si="82"/>
        <v/>
      </c>
      <c r="C2684" s="120" t="s">
        <v>126</v>
      </c>
      <c r="D2684"/>
      <c r="E2684"/>
      <c r="F2684"/>
      <c r="G2684"/>
      <c r="H2684"/>
      <c r="I2684" s="21" t="str">
        <f t="shared" si="83"/>
        <v/>
      </c>
      <c r="L2684" s="24"/>
      <c r="M2684" s="24"/>
    </row>
    <row r="2685" spans="1:13">
      <c r="A2685" s="14" t="str">
        <f t="shared" si="82"/>
        <v/>
      </c>
      <c r="C2685" s="120" t="s">
        <v>128</v>
      </c>
      <c r="D2685"/>
      <c r="E2685"/>
      <c r="F2685"/>
      <c r="G2685"/>
      <c r="H2685"/>
      <c r="I2685" s="21" t="str">
        <f t="shared" si="83"/>
        <v/>
      </c>
      <c r="L2685" s="24"/>
      <c r="M2685" s="24"/>
    </row>
    <row r="2686" spans="1:13">
      <c r="A2686" s="10" t="str">
        <f t="shared" si="82"/>
        <v/>
      </c>
      <c r="C2686" s="120" t="s">
        <v>280</v>
      </c>
      <c r="D2686"/>
      <c r="E2686"/>
      <c r="F2686"/>
      <c r="G2686"/>
      <c r="H2686"/>
      <c r="I2686" s="21" t="str">
        <f t="shared" si="83"/>
        <v/>
      </c>
      <c r="L2686" s="24"/>
      <c r="M2686" s="24"/>
    </row>
    <row r="2687" spans="1:13">
      <c r="A2687" s="14" t="str">
        <f t="shared" si="82"/>
        <v/>
      </c>
      <c r="C2687" s="120" t="s">
        <v>282</v>
      </c>
      <c r="D2687"/>
      <c r="E2687"/>
      <c r="F2687"/>
      <c r="G2687"/>
      <c r="H2687"/>
      <c r="I2687" s="21" t="str">
        <f t="shared" si="83"/>
        <v/>
      </c>
      <c r="L2687" s="24"/>
      <c r="M2687" s="24"/>
    </row>
    <row r="2688" spans="1:13">
      <c r="A2688" s="10" t="str">
        <f t="shared" si="82"/>
        <v/>
      </c>
      <c r="C2688" s="120" t="s">
        <v>284</v>
      </c>
      <c r="D2688"/>
      <c r="E2688"/>
      <c r="F2688"/>
      <c r="G2688"/>
      <c r="H2688"/>
      <c r="I2688" s="21" t="str">
        <f t="shared" si="83"/>
        <v/>
      </c>
      <c r="L2688" s="24"/>
      <c r="M2688" s="24"/>
    </row>
    <row r="2689" spans="1:13">
      <c r="A2689" s="14" t="str">
        <f t="shared" si="82"/>
        <v/>
      </c>
      <c r="C2689" s="120" t="s">
        <v>286</v>
      </c>
      <c r="D2689"/>
      <c r="E2689"/>
      <c r="F2689"/>
      <c r="G2689"/>
      <c r="H2689"/>
      <c r="I2689" s="21" t="str">
        <f t="shared" si="83"/>
        <v/>
      </c>
      <c r="L2689" s="24"/>
      <c r="M2689" s="24"/>
    </row>
    <row r="2690" spans="1:13">
      <c r="A2690" s="10" t="str">
        <f t="shared" ref="A2690:A2753" si="84">IF(B2690&lt;&gt;"",ROW()-1,"")</f>
        <v/>
      </c>
      <c r="C2690" s="120" t="s">
        <v>126</v>
      </c>
      <c r="D2690"/>
      <c r="E2690"/>
      <c r="F2690"/>
      <c r="G2690"/>
      <c r="H2690"/>
      <c r="I2690" s="21" t="str">
        <f t="shared" ref="I2690:I2753" si="85">IF(AND(G2690&lt;&gt;"",H2690&lt;&gt;""),H2690-G2690,"")</f>
        <v/>
      </c>
      <c r="L2690" s="24"/>
      <c r="M2690" s="24"/>
    </row>
    <row r="2691" spans="1:13">
      <c r="A2691" s="14" t="str">
        <f t="shared" si="84"/>
        <v/>
      </c>
      <c r="C2691" s="120" t="s">
        <v>128</v>
      </c>
      <c r="D2691"/>
      <c r="E2691"/>
      <c r="F2691"/>
      <c r="G2691"/>
      <c r="H2691"/>
      <c r="I2691" s="21" t="str">
        <f t="shared" si="85"/>
        <v/>
      </c>
      <c r="L2691" s="24"/>
      <c r="M2691" s="24"/>
    </row>
    <row r="2692" spans="1:13">
      <c r="A2692" s="10" t="str">
        <f t="shared" si="84"/>
        <v/>
      </c>
      <c r="C2692" s="120" t="s">
        <v>280</v>
      </c>
      <c r="D2692"/>
      <c r="E2692"/>
      <c r="F2692"/>
      <c r="G2692"/>
      <c r="H2692"/>
      <c r="I2692" s="21" t="str">
        <f t="shared" si="85"/>
        <v/>
      </c>
      <c r="L2692" s="24"/>
      <c r="M2692" s="24"/>
    </row>
    <row r="2693" spans="1:13">
      <c r="A2693" s="14" t="str">
        <f t="shared" si="84"/>
        <v/>
      </c>
      <c r="C2693" s="120" t="s">
        <v>282</v>
      </c>
      <c r="D2693"/>
      <c r="E2693"/>
      <c r="F2693"/>
      <c r="G2693"/>
      <c r="H2693"/>
      <c r="I2693" s="21" t="str">
        <f t="shared" si="85"/>
        <v/>
      </c>
      <c r="L2693" s="24"/>
      <c r="M2693" s="24"/>
    </row>
    <row r="2694" spans="1:13">
      <c r="A2694" s="10" t="str">
        <f t="shared" si="84"/>
        <v/>
      </c>
      <c r="C2694" s="120" t="s">
        <v>284</v>
      </c>
      <c r="D2694"/>
      <c r="E2694"/>
      <c r="F2694"/>
      <c r="G2694"/>
      <c r="H2694"/>
      <c r="I2694" s="21" t="str">
        <f t="shared" si="85"/>
        <v/>
      </c>
      <c r="L2694" s="24"/>
      <c r="M2694" s="24"/>
    </row>
    <row r="2695" spans="1:13">
      <c r="A2695" s="14" t="str">
        <f t="shared" si="84"/>
        <v/>
      </c>
      <c r="C2695" s="120" t="s">
        <v>286</v>
      </c>
      <c r="D2695"/>
      <c r="E2695"/>
      <c r="F2695"/>
      <c r="G2695"/>
      <c r="H2695"/>
      <c r="I2695" s="21" t="str">
        <f t="shared" si="85"/>
        <v/>
      </c>
      <c r="L2695" s="24"/>
      <c r="M2695" s="24"/>
    </row>
    <row r="2696" spans="1:13">
      <c r="A2696" s="10" t="str">
        <f t="shared" si="84"/>
        <v/>
      </c>
      <c r="C2696" s="120" t="s">
        <v>126</v>
      </c>
      <c r="D2696"/>
      <c r="E2696"/>
      <c r="F2696"/>
      <c r="G2696"/>
      <c r="H2696"/>
      <c r="I2696" s="21" t="str">
        <f t="shared" si="85"/>
        <v/>
      </c>
      <c r="L2696" s="24"/>
      <c r="M2696" s="24"/>
    </row>
    <row r="2697" spans="1:13">
      <c r="A2697" s="14" t="str">
        <f t="shared" si="84"/>
        <v/>
      </c>
      <c r="C2697" s="120" t="s">
        <v>128</v>
      </c>
      <c r="D2697"/>
      <c r="E2697"/>
      <c r="F2697"/>
      <c r="G2697"/>
      <c r="H2697"/>
      <c r="I2697" s="21" t="str">
        <f t="shared" si="85"/>
        <v/>
      </c>
      <c r="L2697" s="24"/>
      <c r="M2697" s="24"/>
    </row>
    <row r="2698" spans="1:13">
      <c r="A2698" s="10" t="str">
        <f t="shared" si="84"/>
        <v/>
      </c>
      <c r="C2698" s="120" t="s">
        <v>280</v>
      </c>
      <c r="D2698"/>
      <c r="E2698"/>
      <c r="F2698"/>
      <c r="G2698"/>
      <c r="H2698"/>
      <c r="I2698" s="21" t="str">
        <f t="shared" si="85"/>
        <v/>
      </c>
      <c r="L2698" s="24"/>
      <c r="M2698" s="24"/>
    </row>
    <row r="2699" spans="1:13">
      <c r="A2699" s="14" t="str">
        <f t="shared" si="84"/>
        <v/>
      </c>
      <c r="C2699" s="120" t="s">
        <v>282</v>
      </c>
      <c r="D2699"/>
      <c r="E2699"/>
      <c r="F2699"/>
      <c r="G2699"/>
      <c r="H2699"/>
      <c r="I2699" s="21" t="str">
        <f t="shared" si="85"/>
        <v/>
      </c>
      <c r="L2699" s="24"/>
      <c r="M2699" s="24"/>
    </row>
    <row r="2700" spans="1:13">
      <c r="A2700" s="10" t="str">
        <f t="shared" si="84"/>
        <v/>
      </c>
      <c r="C2700" s="120" t="s">
        <v>284</v>
      </c>
      <c r="D2700"/>
      <c r="E2700"/>
      <c r="F2700"/>
      <c r="G2700"/>
      <c r="H2700"/>
      <c r="I2700" s="21" t="str">
        <f t="shared" si="85"/>
        <v/>
      </c>
      <c r="L2700" s="24"/>
      <c r="M2700" s="24"/>
    </row>
    <row r="2701" spans="1:13">
      <c r="A2701" s="14" t="str">
        <f t="shared" si="84"/>
        <v/>
      </c>
      <c r="C2701" s="120" t="s">
        <v>286</v>
      </c>
      <c r="D2701"/>
      <c r="E2701"/>
      <c r="F2701"/>
      <c r="G2701"/>
      <c r="H2701"/>
      <c r="I2701" s="21" t="str">
        <f t="shared" si="85"/>
        <v/>
      </c>
      <c r="L2701" s="24"/>
      <c r="M2701" s="24"/>
    </row>
    <row r="2702" spans="1:13">
      <c r="A2702" s="10" t="str">
        <f t="shared" si="84"/>
        <v/>
      </c>
      <c r="C2702" s="120" t="s">
        <v>126</v>
      </c>
      <c r="D2702"/>
      <c r="E2702"/>
      <c r="F2702"/>
      <c r="G2702"/>
      <c r="H2702"/>
      <c r="I2702" s="21" t="str">
        <f t="shared" si="85"/>
        <v/>
      </c>
      <c r="L2702" s="24"/>
      <c r="M2702" s="24"/>
    </row>
    <row r="2703" spans="1:13">
      <c r="A2703" s="14" t="str">
        <f t="shared" si="84"/>
        <v/>
      </c>
      <c r="C2703" s="120" t="s">
        <v>128</v>
      </c>
      <c r="D2703"/>
      <c r="E2703"/>
      <c r="F2703"/>
      <c r="G2703"/>
      <c r="H2703"/>
      <c r="I2703" s="21" t="str">
        <f t="shared" si="85"/>
        <v/>
      </c>
      <c r="L2703" s="24"/>
      <c r="M2703" s="24"/>
    </row>
    <row r="2704" spans="1:13">
      <c r="A2704" s="10" t="str">
        <f t="shared" si="84"/>
        <v/>
      </c>
      <c r="C2704" s="120" t="s">
        <v>280</v>
      </c>
      <c r="D2704"/>
      <c r="E2704"/>
      <c r="F2704"/>
      <c r="G2704"/>
      <c r="H2704"/>
      <c r="I2704" s="21" t="str">
        <f t="shared" si="85"/>
        <v/>
      </c>
      <c r="L2704" s="24"/>
      <c r="M2704" s="24"/>
    </row>
    <row r="2705" spans="1:13">
      <c r="A2705" s="14" t="str">
        <f t="shared" si="84"/>
        <v/>
      </c>
      <c r="C2705" s="120" t="s">
        <v>282</v>
      </c>
      <c r="D2705"/>
      <c r="E2705"/>
      <c r="F2705"/>
      <c r="G2705"/>
      <c r="H2705"/>
      <c r="I2705" s="21" t="str">
        <f t="shared" si="85"/>
        <v/>
      </c>
      <c r="L2705" s="24"/>
      <c r="M2705" s="24"/>
    </row>
    <row r="2706" spans="1:13">
      <c r="A2706" s="10" t="str">
        <f t="shared" si="84"/>
        <v/>
      </c>
      <c r="C2706" s="120" t="s">
        <v>284</v>
      </c>
      <c r="D2706"/>
      <c r="E2706"/>
      <c r="F2706"/>
      <c r="G2706"/>
      <c r="H2706"/>
      <c r="I2706" s="21" t="str">
        <f t="shared" si="85"/>
        <v/>
      </c>
      <c r="L2706" s="24"/>
      <c r="M2706" s="24"/>
    </row>
    <row r="2707" spans="1:13">
      <c r="A2707" s="14" t="str">
        <f t="shared" si="84"/>
        <v/>
      </c>
      <c r="C2707" s="120" t="s">
        <v>286</v>
      </c>
      <c r="D2707"/>
      <c r="E2707"/>
      <c r="F2707"/>
      <c r="G2707"/>
      <c r="H2707"/>
      <c r="I2707" s="21" t="str">
        <f t="shared" si="85"/>
        <v/>
      </c>
      <c r="L2707" s="24"/>
      <c r="M2707" s="24"/>
    </row>
    <row r="2708" spans="1:13">
      <c r="A2708" s="10" t="str">
        <f t="shared" si="84"/>
        <v/>
      </c>
      <c r="C2708" s="120" t="s">
        <v>126</v>
      </c>
      <c r="D2708"/>
      <c r="E2708"/>
      <c r="F2708"/>
      <c r="G2708"/>
      <c r="H2708"/>
      <c r="I2708" s="21" t="str">
        <f t="shared" si="85"/>
        <v/>
      </c>
      <c r="L2708" s="24"/>
      <c r="M2708" s="24"/>
    </row>
    <row r="2709" spans="1:13">
      <c r="A2709" s="14" t="str">
        <f t="shared" si="84"/>
        <v/>
      </c>
      <c r="C2709" s="120" t="s">
        <v>128</v>
      </c>
      <c r="D2709"/>
      <c r="E2709"/>
      <c r="F2709"/>
      <c r="G2709"/>
      <c r="H2709"/>
      <c r="I2709" s="21" t="str">
        <f t="shared" si="85"/>
        <v/>
      </c>
      <c r="L2709" s="24"/>
      <c r="M2709" s="24"/>
    </row>
    <row r="2710" spans="1:13">
      <c r="A2710" s="10" t="str">
        <f t="shared" si="84"/>
        <v/>
      </c>
      <c r="C2710" s="120" t="s">
        <v>280</v>
      </c>
      <c r="D2710"/>
      <c r="E2710"/>
      <c r="F2710"/>
      <c r="G2710"/>
      <c r="H2710"/>
      <c r="I2710" s="21" t="str">
        <f t="shared" si="85"/>
        <v/>
      </c>
      <c r="L2710" s="24"/>
      <c r="M2710" s="24"/>
    </row>
    <row r="2711" spans="1:13">
      <c r="A2711" s="14" t="str">
        <f t="shared" si="84"/>
        <v/>
      </c>
      <c r="C2711" s="120" t="s">
        <v>282</v>
      </c>
      <c r="D2711"/>
      <c r="E2711"/>
      <c r="F2711"/>
      <c r="G2711"/>
      <c r="H2711"/>
      <c r="I2711" s="21" t="str">
        <f t="shared" si="85"/>
        <v/>
      </c>
      <c r="L2711" s="24"/>
      <c r="M2711" s="24"/>
    </row>
    <row r="2712" spans="1:13">
      <c r="A2712" s="10" t="str">
        <f t="shared" si="84"/>
        <v/>
      </c>
      <c r="C2712" s="120" t="s">
        <v>284</v>
      </c>
      <c r="D2712"/>
      <c r="E2712"/>
      <c r="F2712"/>
      <c r="G2712"/>
      <c r="H2712"/>
      <c r="I2712" s="21" t="str">
        <f t="shared" si="85"/>
        <v/>
      </c>
      <c r="L2712" s="24"/>
      <c r="M2712" s="24"/>
    </row>
    <row r="2713" spans="1:13">
      <c r="A2713" s="14" t="str">
        <f t="shared" si="84"/>
        <v/>
      </c>
      <c r="C2713" s="120" t="s">
        <v>286</v>
      </c>
      <c r="D2713"/>
      <c r="E2713"/>
      <c r="F2713"/>
      <c r="G2713"/>
      <c r="H2713"/>
      <c r="I2713" s="21" t="str">
        <f t="shared" si="85"/>
        <v/>
      </c>
      <c r="L2713" s="24"/>
      <c r="M2713" s="24"/>
    </row>
    <row r="2714" spans="1:13">
      <c r="A2714" s="10" t="str">
        <f t="shared" si="84"/>
        <v/>
      </c>
      <c r="C2714" s="120" t="s">
        <v>126</v>
      </c>
      <c r="D2714"/>
      <c r="E2714"/>
      <c r="F2714"/>
      <c r="G2714"/>
      <c r="H2714"/>
      <c r="I2714" s="21" t="str">
        <f t="shared" si="85"/>
        <v/>
      </c>
      <c r="L2714" s="24"/>
      <c r="M2714" s="24"/>
    </row>
    <row r="2715" spans="1:13">
      <c r="A2715" s="14" t="str">
        <f t="shared" si="84"/>
        <v/>
      </c>
      <c r="C2715" s="120" t="s">
        <v>128</v>
      </c>
      <c r="D2715"/>
      <c r="E2715"/>
      <c r="F2715"/>
      <c r="G2715"/>
      <c r="H2715"/>
      <c r="I2715" s="21" t="str">
        <f t="shared" si="85"/>
        <v/>
      </c>
      <c r="L2715" s="24"/>
      <c r="M2715" s="24"/>
    </row>
    <row r="2716" spans="1:13">
      <c r="A2716" s="10" t="str">
        <f t="shared" si="84"/>
        <v/>
      </c>
      <c r="C2716" s="120" t="s">
        <v>280</v>
      </c>
      <c r="D2716"/>
      <c r="E2716"/>
      <c r="F2716"/>
      <c r="G2716"/>
      <c r="H2716"/>
      <c r="I2716" s="21" t="str">
        <f t="shared" si="85"/>
        <v/>
      </c>
      <c r="L2716" s="24"/>
      <c r="M2716" s="24"/>
    </row>
    <row r="2717" spans="1:13">
      <c r="A2717" s="14" t="str">
        <f t="shared" si="84"/>
        <v/>
      </c>
      <c r="C2717" s="120" t="s">
        <v>282</v>
      </c>
      <c r="D2717"/>
      <c r="E2717"/>
      <c r="F2717"/>
      <c r="G2717"/>
      <c r="H2717"/>
      <c r="I2717" s="21" t="str">
        <f t="shared" si="85"/>
        <v/>
      </c>
      <c r="L2717" s="24"/>
      <c r="M2717" s="24"/>
    </row>
    <row r="2718" spans="1:13">
      <c r="A2718" s="10" t="str">
        <f t="shared" si="84"/>
        <v/>
      </c>
      <c r="C2718" s="120" t="s">
        <v>284</v>
      </c>
      <c r="D2718"/>
      <c r="E2718"/>
      <c r="F2718"/>
      <c r="G2718"/>
      <c r="H2718"/>
      <c r="I2718" s="21" t="str">
        <f t="shared" si="85"/>
        <v/>
      </c>
      <c r="L2718" s="24"/>
      <c r="M2718" s="24"/>
    </row>
    <row r="2719" spans="1:13">
      <c r="A2719" s="14" t="str">
        <f t="shared" si="84"/>
        <v/>
      </c>
      <c r="C2719" s="120" t="s">
        <v>286</v>
      </c>
      <c r="D2719"/>
      <c r="E2719"/>
      <c r="F2719"/>
      <c r="G2719"/>
      <c r="H2719"/>
      <c r="I2719" s="21" t="str">
        <f t="shared" si="85"/>
        <v/>
      </c>
      <c r="L2719" s="24"/>
      <c r="M2719" s="24"/>
    </row>
    <row r="2720" spans="1:13">
      <c r="A2720" s="10" t="str">
        <f t="shared" si="84"/>
        <v/>
      </c>
      <c r="C2720" s="120" t="s">
        <v>126</v>
      </c>
      <c r="D2720"/>
      <c r="E2720"/>
      <c r="F2720"/>
      <c r="G2720"/>
      <c r="H2720"/>
      <c r="I2720" s="21" t="str">
        <f t="shared" si="85"/>
        <v/>
      </c>
      <c r="L2720" s="24"/>
      <c r="M2720" s="24"/>
    </row>
    <row r="2721" spans="1:13">
      <c r="A2721" s="14" t="str">
        <f t="shared" si="84"/>
        <v/>
      </c>
      <c r="C2721" s="120" t="s">
        <v>128</v>
      </c>
      <c r="D2721"/>
      <c r="E2721"/>
      <c r="F2721"/>
      <c r="G2721"/>
      <c r="H2721"/>
      <c r="I2721" s="21" t="str">
        <f t="shared" si="85"/>
        <v/>
      </c>
      <c r="L2721" s="24"/>
      <c r="M2721" s="24"/>
    </row>
    <row r="2722" spans="1:13">
      <c r="A2722" s="10" t="str">
        <f t="shared" si="84"/>
        <v/>
      </c>
      <c r="C2722" s="120" t="s">
        <v>280</v>
      </c>
      <c r="D2722"/>
      <c r="E2722"/>
      <c r="F2722"/>
      <c r="G2722"/>
      <c r="H2722"/>
      <c r="I2722" s="21" t="str">
        <f t="shared" si="85"/>
        <v/>
      </c>
      <c r="L2722" s="24"/>
      <c r="M2722" s="24"/>
    </row>
    <row r="2723" spans="1:13">
      <c r="A2723" s="14" t="str">
        <f t="shared" si="84"/>
        <v/>
      </c>
      <c r="C2723" s="120" t="s">
        <v>282</v>
      </c>
      <c r="D2723"/>
      <c r="E2723"/>
      <c r="F2723"/>
      <c r="G2723"/>
      <c r="H2723"/>
      <c r="I2723" s="21" t="str">
        <f t="shared" si="85"/>
        <v/>
      </c>
      <c r="L2723" s="24"/>
      <c r="M2723" s="24"/>
    </row>
    <row r="2724" spans="1:13">
      <c r="A2724" s="10" t="str">
        <f t="shared" si="84"/>
        <v/>
      </c>
      <c r="C2724" s="120" t="s">
        <v>284</v>
      </c>
      <c r="D2724"/>
      <c r="E2724"/>
      <c r="F2724"/>
      <c r="G2724"/>
      <c r="H2724"/>
      <c r="I2724" s="21" t="str">
        <f t="shared" si="85"/>
        <v/>
      </c>
      <c r="L2724" s="24"/>
      <c r="M2724" s="24"/>
    </row>
    <row r="2725" spans="1:13">
      <c r="A2725" s="14" t="str">
        <f t="shared" si="84"/>
        <v/>
      </c>
      <c r="C2725" s="120" t="s">
        <v>286</v>
      </c>
      <c r="D2725"/>
      <c r="E2725"/>
      <c r="F2725"/>
      <c r="G2725"/>
      <c r="H2725"/>
      <c r="I2725" s="21" t="str">
        <f t="shared" si="85"/>
        <v/>
      </c>
      <c r="L2725" s="24"/>
      <c r="M2725" s="24"/>
    </row>
    <row r="2726" spans="1:13">
      <c r="A2726" s="10" t="str">
        <f t="shared" si="84"/>
        <v/>
      </c>
      <c r="C2726" s="120" t="s">
        <v>126</v>
      </c>
      <c r="D2726"/>
      <c r="E2726"/>
      <c r="F2726"/>
      <c r="G2726"/>
      <c r="H2726"/>
      <c r="I2726" s="21" t="str">
        <f t="shared" si="85"/>
        <v/>
      </c>
      <c r="L2726" s="24"/>
      <c r="M2726" s="24"/>
    </row>
    <row r="2727" spans="1:13">
      <c r="A2727" s="14" t="str">
        <f t="shared" si="84"/>
        <v/>
      </c>
      <c r="C2727" s="120" t="s">
        <v>128</v>
      </c>
      <c r="D2727"/>
      <c r="E2727"/>
      <c r="F2727"/>
      <c r="G2727"/>
      <c r="H2727"/>
      <c r="I2727" s="21" t="str">
        <f t="shared" si="85"/>
        <v/>
      </c>
      <c r="L2727" s="24"/>
      <c r="M2727" s="24"/>
    </row>
    <row r="2728" spans="1:13">
      <c r="A2728" s="10" t="str">
        <f t="shared" si="84"/>
        <v/>
      </c>
      <c r="C2728" s="120" t="s">
        <v>280</v>
      </c>
      <c r="D2728"/>
      <c r="E2728"/>
      <c r="F2728"/>
      <c r="G2728"/>
      <c r="H2728"/>
      <c r="I2728" s="21" t="str">
        <f t="shared" si="85"/>
        <v/>
      </c>
      <c r="L2728" s="24"/>
      <c r="M2728" s="24"/>
    </row>
    <row r="2729" spans="1:13">
      <c r="A2729" s="14" t="str">
        <f t="shared" si="84"/>
        <v/>
      </c>
      <c r="C2729" s="120" t="s">
        <v>282</v>
      </c>
      <c r="D2729"/>
      <c r="E2729"/>
      <c r="F2729"/>
      <c r="G2729"/>
      <c r="H2729"/>
      <c r="I2729" s="21" t="str">
        <f t="shared" si="85"/>
        <v/>
      </c>
      <c r="L2729" s="24"/>
      <c r="M2729" s="24"/>
    </row>
    <row r="2730" spans="1:13">
      <c r="A2730" s="10" t="str">
        <f t="shared" si="84"/>
        <v/>
      </c>
      <c r="C2730" s="120" t="s">
        <v>284</v>
      </c>
      <c r="D2730"/>
      <c r="E2730"/>
      <c r="F2730"/>
      <c r="G2730"/>
      <c r="H2730"/>
      <c r="I2730" s="21" t="str">
        <f t="shared" si="85"/>
        <v/>
      </c>
      <c r="L2730" s="24"/>
      <c r="M2730" s="24"/>
    </row>
    <row r="2731" spans="1:13">
      <c r="A2731" s="14" t="str">
        <f t="shared" si="84"/>
        <v/>
      </c>
      <c r="C2731" s="120" t="s">
        <v>286</v>
      </c>
      <c r="D2731"/>
      <c r="E2731"/>
      <c r="F2731"/>
      <c r="G2731"/>
      <c r="H2731"/>
      <c r="I2731" s="21" t="str">
        <f t="shared" si="85"/>
        <v/>
      </c>
      <c r="L2731" s="24"/>
      <c r="M2731" s="24"/>
    </row>
    <row r="2732" spans="1:13">
      <c r="A2732" s="10" t="str">
        <f t="shared" si="84"/>
        <v/>
      </c>
      <c r="C2732" s="120" t="s">
        <v>126</v>
      </c>
      <c r="D2732"/>
      <c r="E2732"/>
      <c r="F2732"/>
      <c r="G2732"/>
      <c r="H2732"/>
      <c r="I2732" s="21" t="str">
        <f t="shared" si="85"/>
        <v/>
      </c>
      <c r="L2732" s="24"/>
      <c r="M2732" s="24"/>
    </row>
    <row r="2733" spans="1:13">
      <c r="A2733" s="14" t="str">
        <f t="shared" si="84"/>
        <v/>
      </c>
      <c r="C2733" s="120" t="s">
        <v>128</v>
      </c>
      <c r="D2733"/>
      <c r="E2733"/>
      <c r="F2733"/>
      <c r="G2733"/>
      <c r="H2733"/>
      <c r="I2733" s="21" t="str">
        <f t="shared" si="85"/>
        <v/>
      </c>
      <c r="L2733" s="24"/>
      <c r="M2733" s="24"/>
    </row>
    <row r="2734" spans="1:13">
      <c r="A2734" s="10" t="str">
        <f t="shared" si="84"/>
        <v/>
      </c>
      <c r="C2734" s="120" t="s">
        <v>280</v>
      </c>
      <c r="D2734"/>
      <c r="E2734"/>
      <c r="F2734"/>
      <c r="G2734"/>
      <c r="H2734"/>
      <c r="I2734" s="21" t="str">
        <f t="shared" si="85"/>
        <v/>
      </c>
      <c r="L2734" s="24"/>
      <c r="M2734" s="24"/>
    </row>
    <row r="2735" spans="1:13">
      <c r="A2735" s="14" t="str">
        <f t="shared" si="84"/>
        <v/>
      </c>
      <c r="C2735" s="120" t="s">
        <v>282</v>
      </c>
      <c r="D2735"/>
      <c r="E2735"/>
      <c r="F2735"/>
      <c r="G2735"/>
      <c r="H2735"/>
      <c r="I2735" s="21" t="str">
        <f t="shared" si="85"/>
        <v/>
      </c>
      <c r="L2735" s="24"/>
      <c r="M2735" s="24"/>
    </row>
    <row r="2736" spans="1:13">
      <c r="A2736" s="10" t="str">
        <f t="shared" si="84"/>
        <v/>
      </c>
      <c r="C2736" s="120" t="s">
        <v>284</v>
      </c>
      <c r="D2736"/>
      <c r="E2736"/>
      <c r="F2736"/>
      <c r="G2736"/>
      <c r="H2736"/>
      <c r="I2736" s="21" t="str">
        <f t="shared" si="85"/>
        <v/>
      </c>
      <c r="L2736" s="24"/>
      <c r="M2736" s="24"/>
    </row>
    <row r="2737" spans="1:13">
      <c r="A2737" s="14" t="str">
        <f t="shared" si="84"/>
        <v/>
      </c>
      <c r="C2737" s="120" t="s">
        <v>286</v>
      </c>
      <c r="D2737"/>
      <c r="E2737"/>
      <c r="F2737"/>
      <c r="G2737"/>
      <c r="H2737"/>
      <c r="I2737" s="21" t="str">
        <f t="shared" si="85"/>
        <v/>
      </c>
      <c r="L2737" s="24"/>
      <c r="M2737" s="24"/>
    </row>
    <row r="2738" spans="1:13">
      <c r="A2738" s="10" t="str">
        <f t="shared" si="84"/>
        <v/>
      </c>
      <c r="C2738" s="120" t="s">
        <v>126</v>
      </c>
      <c r="D2738"/>
      <c r="E2738"/>
      <c r="F2738"/>
      <c r="G2738"/>
      <c r="H2738"/>
      <c r="I2738" s="21" t="str">
        <f t="shared" si="85"/>
        <v/>
      </c>
      <c r="L2738" s="24"/>
      <c r="M2738" s="24"/>
    </row>
    <row r="2739" spans="1:13">
      <c r="A2739" s="14" t="str">
        <f t="shared" si="84"/>
        <v/>
      </c>
      <c r="C2739" s="120" t="s">
        <v>128</v>
      </c>
      <c r="D2739"/>
      <c r="E2739"/>
      <c r="F2739"/>
      <c r="G2739"/>
      <c r="H2739"/>
      <c r="I2739" s="21" t="str">
        <f t="shared" si="85"/>
        <v/>
      </c>
      <c r="L2739" s="24"/>
      <c r="M2739" s="24"/>
    </row>
    <row r="2740" spans="1:13">
      <c r="A2740" s="10" t="str">
        <f t="shared" si="84"/>
        <v/>
      </c>
      <c r="C2740" s="120" t="s">
        <v>280</v>
      </c>
      <c r="D2740"/>
      <c r="E2740"/>
      <c r="F2740"/>
      <c r="G2740"/>
      <c r="H2740"/>
      <c r="I2740" s="21" t="str">
        <f t="shared" si="85"/>
        <v/>
      </c>
      <c r="L2740" s="24"/>
      <c r="M2740" s="24"/>
    </row>
    <row r="2741" spans="1:13">
      <c r="A2741" s="14" t="str">
        <f t="shared" si="84"/>
        <v/>
      </c>
      <c r="C2741" s="120" t="s">
        <v>282</v>
      </c>
      <c r="D2741"/>
      <c r="E2741"/>
      <c r="F2741"/>
      <c r="G2741"/>
      <c r="H2741"/>
      <c r="I2741" s="21" t="str">
        <f t="shared" si="85"/>
        <v/>
      </c>
      <c r="L2741" s="24"/>
      <c r="M2741" s="24"/>
    </row>
    <row r="2742" spans="1:13">
      <c r="A2742" s="10" t="str">
        <f t="shared" si="84"/>
        <v/>
      </c>
      <c r="C2742" s="120" t="s">
        <v>284</v>
      </c>
      <c r="D2742"/>
      <c r="E2742"/>
      <c r="F2742"/>
      <c r="G2742"/>
      <c r="H2742"/>
      <c r="I2742" s="21" t="str">
        <f t="shared" si="85"/>
        <v/>
      </c>
      <c r="L2742" s="24"/>
      <c r="M2742" s="24"/>
    </row>
    <row r="2743" spans="1:13">
      <c r="A2743" s="14" t="str">
        <f t="shared" si="84"/>
        <v/>
      </c>
      <c r="C2743" s="120" t="s">
        <v>286</v>
      </c>
      <c r="D2743"/>
      <c r="E2743"/>
      <c r="F2743"/>
      <c r="G2743"/>
      <c r="H2743"/>
      <c r="I2743" s="21" t="str">
        <f t="shared" si="85"/>
        <v/>
      </c>
      <c r="L2743" s="24"/>
      <c r="M2743" s="24"/>
    </row>
    <row r="2744" spans="1:13">
      <c r="A2744" s="10" t="str">
        <f t="shared" si="84"/>
        <v/>
      </c>
      <c r="C2744" s="120" t="s">
        <v>126</v>
      </c>
      <c r="D2744"/>
      <c r="E2744"/>
      <c r="F2744"/>
      <c r="G2744"/>
      <c r="H2744"/>
      <c r="I2744" s="21" t="str">
        <f t="shared" si="85"/>
        <v/>
      </c>
      <c r="L2744" s="24"/>
      <c r="M2744" s="24"/>
    </row>
    <row r="2745" spans="1:13">
      <c r="A2745" s="14" t="str">
        <f t="shared" si="84"/>
        <v/>
      </c>
      <c r="C2745" s="120" t="s">
        <v>128</v>
      </c>
      <c r="D2745"/>
      <c r="E2745"/>
      <c r="F2745"/>
      <c r="G2745"/>
      <c r="H2745"/>
      <c r="I2745" s="21" t="str">
        <f t="shared" si="85"/>
        <v/>
      </c>
      <c r="L2745" s="24"/>
      <c r="M2745" s="24"/>
    </row>
    <row r="2746" spans="1:13">
      <c r="A2746" s="10" t="str">
        <f t="shared" si="84"/>
        <v/>
      </c>
      <c r="C2746" s="120" t="s">
        <v>280</v>
      </c>
      <c r="D2746"/>
      <c r="E2746"/>
      <c r="F2746"/>
      <c r="G2746"/>
      <c r="H2746"/>
      <c r="I2746" s="21" t="str">
        <f t="shared" si="85"/>
        <v/>
      </c>
      <c r="L2746" s="24"/>
      <c r="M2746" s="24"/>
    </row>
    <row r="2747" spans="1:13">
      <c r="A2747" s="14" t="str">
        <f t="shared" si="84"/>
        <v/>
      </c>
      <c r="C2747" s="120" t="s">
        <v>282</v>
      </c>
      <c r="D2747"/>
      <c r="E2747"/>
      <c r="F2747"/>
      <c r="G2747"/>
      <c r="H2747"/>
      <c r="I2747" s="21" t="str">
        <f t="shared" si="85"/>
        <v/>
      </c>
      <c r="L2747" s="24"/>
      <c r="M2747" s="24"/>
    </row>
    <row r="2748" spans="1:13">
      <c r="A2748" s="10" t="str">
        <f t="shared" si="84"/>
        <v/>
      </c>
      <c r="C2748" s="120" t="s">
        <v>284</v>
      </c>
      <c r="D2748"/>
      <c r="E2748"/>
      <c r="F2748"/>
      <c r="G2748"/>
      <c r="H2748"/>
      <c r="I2748" s="21" t="str">
        <f t="shared" si="85"/>
        <v/>
      </c>
      <c r="L2748" s="24"/>
      <c r="M2748" s="24"/>
    </row>
    <row r="2749" spans="1:13">
      <c r="A2749" s="14" t="str">
        <f t="shared" si="84"/>
        <v/>
      </c>
      <c r="C2749" s="120" t="s">
        <v>286</v>
      </c>
      <c r="D2749"/>
      <c r="E2749"/>
      <c r="F2749"/>
      <c r="G2749"/>
      <c r="H2749"/>
      <c r="I2749" s="21" t="str">
        <f t="shared" si="85"/>
        <v/>
      </c>
      <c r="L2749" s="24"/>
      <c r="M2749" s="24"/>
    </row>
    <row r="2750" spans="1:13">
      <c r="A2750" s="10" t="str">
        <f t="shared" si="84"/>
        <v/>
      </c>
      <c r="C2750" s="120" t="s">
        <v>126</v>
      </c>
      <c r="D2750"/>
      <c r="E2750"/>
      <c r="F2750"/>
      <c r="G2750"/>
      <c r="H2750"/>
      <c r="I2750" s="21" t="str">
        <f t="shared" si="85"/>
        <v/>
      </c>
      <c r="L2750" s="24"/>
      <c r="M2750" s="24"/>
    </row>
    <row r="2751" spans="1:13">
      <c r="A2751" s="14" t="str">
        <f t="shared" si="84"/>
        <v/>
      </c>
      <c r="C2751" s="120" t="s">
        <v>128</v>
      </c>
      <c r="D2751"/>
      <c r="E2751"/>
      <c r="F2751"/>
      <c r="G2751"/>
      <c r="H2751"/>
      <c r="I2751" s="21" t="str">
        <f t="shared" si="85"/>
        <v/>
      </c>
      <c r="L2751" s="24"/>
      <c r="M2751" s="24"/>
    </row>
    <row r="2752" spans="1:13">
      <c r="A2752" s="10" t="str">
        <f t="shared" si="84"/>
        <v/>
      </c>
      <c r="C2752" s="120" t="s">
        <v>280</v>
      </c>
      <c r="D2752"/>
      <c r="E2752"/>
      <c r="F2752"/>
      <c r="G2752"/>
      <c r="H2752"/>
      <c r="I2752" s="21" t="str">
        <f t="shared" si="85"/>
        <v/>
      </c>
      <c r="L2752" s="24"/>
      <c r="M2752" s="24"/>
    </row>
    <row r="2753" spans="1:13">
      <c r="A2753" s="14" t="str">
        <f t="shared" si="84"/>
        <v/>
      </c>
      <c r="C2753" s="120" t="s">
        <v>282</v>
      </c>
      <c r="D2753"/>
      <c r="E2753"/>
      <c r="F2753"/>
      <c r="G2753"/>
      <c r="H2753"/>
      <c r="I2753" s="21" t="str">
        <f t="shared" si="85"/>
        <v/>
      </c>
      <c r="L2753" s="24"/>
      <c r="M2753" s="24"/>
    </row>
    <row r="2754" spans="1:13">
      <c r="A2754" s="10" t="str">
        <f t="shared" ref="A2754:A2817" si="86">IF(B2754&lt;&gt;"",ROW()-1,"")</f>
        <v/>
      </c>
      <c r="C2754" s="120" t="s">
        <v>284</v>
      </c>
      <c r="D2754"/>
      <c r="E2754"/>
      <c r="F2754"/>
      <c r="G2754"/>
      <c r="H2754"/>
      <c r="I2754" s="21" t="str">
        <f t="shared" ref="I2754:I2817" si="87">IF(AND(G2754&lt;&gt;"",H2754&lt;&gt;""),H2754-G2754,"")</f>
        <v/>
      </c>
      <c r="L2754" s="24"/>
      <c r="M2754" s="24"/>
    </row>
    <row r="2755" spans="1:13">
      <c r="A2755" s="14" t="str">
        <f t="shared" si="86"/>
        <v/>
      </c>
      <c r="C2755" s="120" t="s">
        <v>286</v>
      </c>
      <c r="D2755"/>
      <c r="E2755"/>
      <c r="F2755"/>
      <c r="G2755"/>
      <c r="H2755"/>
      <c r="I2755" s="21" t="str">
        <f t="shared" si="87"/>
        <v/>
      </c>
      <c r="L2755" s="24"/>
      <c r="M2755" s="24"/>
    </row>
    <row r="2756" spans="1:13">
      <c r="A2756" s="10" t="str">
        <f t="shared" si="86"/>
        <v/>
      </c>
      <c r="C2756" s="120" t="s">
        <v>126</v>
      </c>
      <c r="D2756"/>
      <c r="E2756"/>
      <c r="F2756"/>
      <c r="G2756"/>
      <c r="H2756"/>
      <c r="I2756" s="21" t="str">
        <f t="shared" si="87"/>
        <v/>
      </c>
      <c r="L2756" s="24"/>
      <c r="M2756" s="24"/>
    </row>
    <row r="2757" spans="1:13">
      <c r="A2757" s="14" t="str">
        <f t="shared" si="86"/>
        <v/>
      </c>
      <c r="C2757" s="120" t="s">
        <v>128</v>
      </c>
      <c r="D2757"/>
      <c r="E2757"/>
      <c r="F2757"/>
      <c r="G2757"/>
      <c r="H2757"/>
      <c r="I2757" s="21" t="str">
        <f t="shared" si="87"/>
        <v/>
      </c>
      <c r="L2757" s="24"/>
      <c r="M2757" s="24"/>
    </row>
    <row r="2758" spans="1:13">
      <c r="A2758" s="10" t="str">
        <f t="shared" si="86"/>
        <v/>
      </c>
      <c r="C2758" s="120" t="s">
        <v>280</v>
      </c>
      <c r="D2758"/>
      <c r="E2758"/>
      <c r="F2758"/>
      <c r="G2758"/>
      <c r="H2758"/>
      <c r="I2758" s="21" t="str">
        <f t="shared" si="87"/>
        <v/>
      </c>
      <c r="L2758" s="24"/>
      <c r="M2758" s="24"/>
    </row>
    <row r="2759" spans="1:13">
      <c r="A2759" s="14" t="str">
        <f t="shared" si="86"/>
        <v/>
      </c>
      <c r="C2759" s="120" t="s">
        <v>282</v>
      </c>
      <c r="D2759"/>
      <c r="E2759"/>
      <c r="F2759"/>
      <c r="G2759"/>
      <c r="H2759"/>
      <c r="I2759" s="21" t="str">
        <f t="shared" si="87"/>
        <v/>
      </c>
      <c r="L2759" s="24"/>
      <c r="M2759" s="24"/>
    </row>
    <row r="2760" spans="1:13">
      <c r="A2760" s="10" t="str">
        <f t="shared" si="86"/>
        <v/>
      </c>
      <c r="C2760" s="120" t="s">
        <v>284</v>
      </c>
      <c r="D2760"/>
      <c r="E2760"/>
      <c r="F2760"/>
      <c r="G2760"/>
      <c r="H2760"/>
      <c r="I2760" s="21" t="str">
        <f t="shared" si="87"/>
        <v/>
      </c>
      <c r="L2760" s="24"/>
      <c r="M2760" s="24"/>
    </row>
    <row r="2761" spans="1:13">
      <c r="A2761" s="14" t="str">
        <f t="shared" si="86"/>
        <v/>
      </c>
      <c r="C2761" s="120" t="s">
        <v>286</v>
      </c>
      <c r="D2761"/>
      <c r="E2761"/>
      <c r="F2761"/>
      <c r="G2761"/>
      <c r="H2761"/>
      <c r="I2761" s="21" t="str">
        <f t="shared" si="87"/>
        <v/>
      </c>
      <c r="L2761" s="24"/>
      <c r="M2761" s="24"/>
    </row>
    <row r="2762" spans="1:13">
      <c r="A2762" s="10" t="str">
        <f t="shared" si="86"/>
        <v/>
      </c>
      <c r="C2762" s="120" t="s">
        <v>126</v>
      </c>
      <c r="D2762"/>
      <c r="E2762"/>
      <c r="F2762"/>
      <c r="G2762"/>
      <c r="H2762"/>
      <c r="I2762" s="21" t="str">
        <f t="shared" si="87"/>
        <v/>
      </c>
      <c r="L2762" s="24"/>
      <c r="M2762" s="24"/>
    </row>
    <row r="2763" spans="1:13">
      <c r="A2763" s="14" t="str">
        <f t="shared" si="86"/>
        <v/>
      </c>
      <c r="C2763" s="120" t="s">
        <v>128</v>
      </c>
      <c r="D2763"/>
      <c r="E2763"/>
      <c r="F2763"/>
      <c r="G2763"/>
      <c r="H2763"/>
      <c r="I2763" s="21" t="str">
        <f t="shared" si="87"/>
        <v/>
      </c>
      <c r="L2763" s="24"/>
      <c r="M2763" s="24"/>
    </row>
    <row r="2764" spans="1:13">
      <c r="A2764" s="10" t="str">
        <f t="shared" si="86"/>
        <v/>
      </c>
      <c r="C2764" s="120" t="s">
        <v>280</v>
      </c>
      <c r="D2764"/>
      <c r="E2764"/>
      <c r="F2764"/>
      <c r="G2764"/>
      <c r="H2764"/>
      <c r="I2764" s="21" t="str">
        <f t="shared" si="87"/>
        <v/>
      </c>
      <c r="L2764" s="24"/>
      <c r="M2764" s="24"/>
    </row>
    <row r="2765" spans="1:13">
      <c r="A2765" s="14" t="str">
        <f t="shared" si="86"/>
        <v/>
      </c>
      <c r="C2765" s="120" t="s">
        <v>282</v>
      </c>
      <c r="D2765"/>
      <c r="E2765"/>
      <c r="F2765"/>
      <c r="G2765"/>
      <c r="H2765"/>
      <c r="I2765" s="21" t="str">
        <f t="shared" si="87"/>
        <v/>
      </c>
      <c r="L2765" s="24"/>
      <c r="M2765" s="24"/>
    </row>
    <row r="2766" spans="1:13">
      <c r="A2766" s="10" t="str">
        <f t="shared" si="86"/>
        <v/>
      </c>
      <c r="C2766" s="120" t="s">
        <v>284</v>
      </c>
      <c r="D2766"/>
      <c r="E2766"/>
      <c r="F2766"/>
      <c r="G2766"/>
      <c r="H2766"/>
      <c r="I2766" s="21" t="str">
        <f t="shared" si="87"/>
        <v/>
      </c>
      <c r="L2766" s="24"/>
      <c r="M2766" s="24"/>
    </row>
    <row r="2767" spans="1:13">
      <c r="A2767" s="14" t="str">
        <f t="shared" si="86"/>
        <v/>
      </c>
      <c r="C2767" s="120" t="s">
        <v>286</v>
      </c>
      <c r="D2767"/>
      <c r="E2767"/>
      <c r="F2767"/>
      <c r="G2767"/>
      <c r="H2767"/>
      <c r="I2767" s="21" t="str">
        <f t="shared" si="87"/>
        <v/>
      </c>
      <c r="L2767" s="24"/>
      <c r="M2767" s="24"/>
    </row>
    <row r="2768" spans="1:13">
      <c r="A2768" s="10" t="str">
        <f t="shared" si="86"/>
        <v/>
      </c>
      <c r="C2768" s="120" t="s">
        <v>126</v>
      </c>
      <c r="D2768"/>
      <c r="E2768"/>
      <c r="F2768"/>
      <c r="G2768"/>
      <c r="H2768"/>
      <c r="I2768" s="21" t="str">
        <f t="shared" si="87"/>
        <v/>
      </c>
      <c r="L2768" s="24"/>
      <c r="M2768" s="24"/>
    </row>
    <row r="2769" spans="1:13">
      <c r="A2769" s="14" t="str">
        <f t="shared" si="86"/>
        <v/>
      </c>
      <c r="C2769" s="120" t="s">
        <v>128</v>
      </c>
      <c r="D2769"/>
      <c r="E2769"/>
      <c r="F2769"/>
      <c r="G2769"/>
      <c r="H2769"/>
      <c r="I2769" s="21" t="str">
        <f t="shared" si="87"/>
        <v/>
      </c>
      <c r="L2769" s="24"/>
      <c r="M2769" s="24"/>
    </row>
    <row r="2770" spans="1:13">
      <c r="A2770" s="10" t="str">
        <f t="shared" si="86"/>
        <v/>
      </c>
      <c r="C2770" s="120" t="s">
        <v>280</v>
      </c>
      <c r="D2770"/>
      <c r="E2770"/>
      <c r="F2770"/>
      <c r="G2770"/>
      <c r="H2770"/>
      <c r="I2770" s="21" t="str">
        <f t="shared" si="87"/>
        <v/>
      </c>
      <c r="L2770" s="24"/>
      <c r="M2770" s="24"/>
    </row>
    <row r="2771" spans="1:13">
      <c r="A2771" s="14" t="str">
        <f t="shared" si="86"/>
        <v/>
      </c>
      <c r="C2771" s="120" t="s">
        <v>282</v>
      </c>
      <c r="D2771"/>
      <c r="E2771"/>
      <c r="F2771"/>
      <c r="G2771"/>
      <c r="H2771"/>
      <c r="I2771" s="21" t="str">
        <f t="shared" si="87"/>
        <v/>
      </c>
      <c r="L2771" s="24"/>
      <c r="M2771" s="24"/>
    </row>
    <row r="2772" spans="1:13">
      <c r="A2772" s="10" t="str">
        <f t="shared" si="86"/>
        <v/>
      </c>
      <c r="C2772" s="120" t="s">
        <v>284</v>
      </c>
      <c r="D2772"/>
      <c r="E2772"/>
      <c r="F2772"/>
      <c r="G2772"/>
      <c r="H2772"/>
      <c r="I2772" s="21" t="str">
        <f t="shared" si="87"/>
        <v/>
      </c>
      <c r="L2772" s="24"/>
      <c r="M2772" s="24"/>
    </row>
    <row r="2773" spans="1:13">
      <c r="A2773" s="14" t="str">
        <f t="shared" si="86"/>
        <v/>
      </c>
      <c r="C2773" s="120" t="s">
        <v>286</v>
      </c>
      <c r="D2773"/>
      <c r="E2773"/>
      <c r="F2773"/>
      <c r="G2773"/>
      <c r="H2773"/>
      <c r="I2773" s="21" t="str">
        <f t="shared" si="87"/>
        <v/>
      </c>
      <c r="L2773" s="24"/>
      <c r="M2773" s="24"/>
    </row>
    <row r="2774" spans="1:13">
      <c r="A2774" s="10" t="str">
        <f t="shared" si="86"/>
        <v/>
      </c>
      <c r="C2774" s="120" t="s">
        <v>126</v>
      </c>
      <c r="D2774"/>
      <c r="E2774"/>
      <c r="F2774"/>
      <c r="G2774"/>
      <c r="H2774"/>
      <c r="I2774" s="21" t="str">
        <f t="shared" si="87"/>
        <v/>
      </c>
      <c r="L2774" s="24"/>
      <c r="M2774" s="24"/>
    </row>
    <row r="2775" spans="1:13">
      <c r="A2775" s="14" t="str">
        <f t="shared" si="86"/>
        <v/>
      </c>
      <c r="C2775" s="120" t="s">
        <v>128</v>
      </c>
      <c r="D2775"/>
      <c r="E2775"/>
      <c r="F2775"/>
      <c r="G2775"/>
      <c r="H2775"/>
      <c r="I2775" s="21" t="str">
        <f t="shared" si="87"/>
        <v/>
      </c>
      <c r="L2775" s="24"/>
      <c r="M2775" s="24"/>
    </row>
    <row r="2776" spans="1:13">
      <c r="A2776" s="10" t="str">
        <f t="shared" si="86"/>
        <v/>
      </c>
      <c r="C2776" s="120" t="s">
        <v>280</v>
      </c>
      <c r="D2776"/>
      <c r="E2776"/>
      <c r="F2776"/>
      <c r="G2776"/>
      <c r="H2776"/>
      <c r="I2776" s="21" t="str">
        <f t="shared" si="87"/>
        <v/>
      </c>
      <c r="L2776" s="24"/>
      <c r="M2776" s="24"/>
    </row>
    <row r="2777" spans="1:13">
      <c r="A2777" s="14" t="str">
        <f t="shared" si="86"/>
        <v/>
      </c>
      <c r="C2777" s="120" t="s">
        <v>282</v>
      </c>
      <c r="D2777"/>
      <c r="E2777"/>
      <c r="F2777"/>
      <c r="G2777"/>
      <c r="H2777"/>
      <c r="I2777" s="21" t="str">
        <f t="shared" si="87"/>
        <v/>
      </c>
      <c r="L2777" s="24"/>
      <c r="M2777" s="24"/>
    </row>
    <row r="2778" spans="1:13">
      <c r="A2778" s="10" t="str">
        <f t="shared" si="86"/>
        <v/>
      </c>
      <c r="C2778" s="120" t="s">
        <v>284</v>
      </c>
      <c r="D2778"/>
      <c r="E2778"/>
      <c r="F2778"/>
      <c r="G2778"/>
      <c r="H2778"/>
      <c r="I2778" s="21" t="str">
        <f t="shared" si="87"/>
        <v/>
      </c>
      <c r="L2778" s="24"/>
      <c r="M2778" s="24"/>
    </row>
    <row r="2779" spans="1:13">
      <c r="A2779" s="14" t="str">
        <f t="shared" si="86"/>
        <v/>
      </c>
      <c r="C2779" s="120" t="s">
        <v>286</v>
      </c>
      <c r="D2779"/>
      <c r="E2779"/>
      <c r="F2779"/>
      <c r="G2779"/>
      <c r="H2779"/>
      <c r="I2779" s="21" t="str">
        <f t="shared" si="87"/>
        <v/>
      </c>
      <c r="L2779" s="24"/>
      <c r="M2779" s="24"/>
    </row>
    <row r="2780" spans="1:13">
      <c r="A2780" s="10" t="str">
        <f t="shared" si="86"/>
        <v/>
      </c>
      <c r="C2780" s="120" t="s">
        <v>126</v>
      </c>
      <c r="D2780"/>
      <c r="E2780"/>
      <c r="F2780"/>
      <c r="G2780"/>
      <c r="H2780"/>
      <c r="I2780" s="21" t="str">
        <f t="shared" si="87"/>
        <v/>
      </c>
      <c r="L2780" s="24"/>
      <c r="M2780" s="24"/>
    </row>
    <row r="2781" spans="1:13">
      <c r="A2781" s="14" t="str">
        <f t="shared" si="86"/>
        <v/>
      </c>
      <c r="C2781" s="120" t="s">
        <v>128</v>
      </c>
      <c r="D2781"/>
      <c r="E2781"/>
      <c r="F2781"/>
      <c r="G2781"/>
      <c r="H2781"/>
      <c r="I2781" s="21" t="str">
        <f t="shared" si="87"/>
        <v/>
      </c>
      <c r="L2781" s="24"/>
      <c r="M2781" s="24"/>
    </row>
    <row r="2782" spans="1:13">
      <c r="A2782" s="10" t="str">
        <f t="shared" si="86"/>
        <v/>
      </c>
      <c r="C2782" s="120" t="s">
        <v>280</v>
      </c>
      <c r="D2782"/>
      <c r="E2782"/>
      <c r="F2782"/>
      <c r="G2782"/>
      <c r="H2782"/>
      <c r="I2782" s="21" t="str">
        <f t="shared" si="87"/>
        <v/>
      </c>
      <c r="L2782" s="24"/>
      <c r="M2782" s="24"/>
    </row>
    <row r="2783" spans="1:13">
      <c r="A2783" s="14" t="str">
        <f t="shared" si="86"/>
        <v/>
      </c>
      <c r="C2783" s="120" t="s">
        <v>282</v>
      </c>
      <c r="D2783"/>
      <c r="E2783"/>
      <c r="F2783"/>
      <c r="G2783"/>
      <c r="H2783"/>
      <c r="I2783" s="21" t="str">
        <f t="shared" si="87"/>
        <v/>
      </c>
      <c r="L2783" s="24"/>
      <c r="M2783" s="24"/>
    </row>
    <row r="2784" spans="1:13">
      <c r="A2784" s="10" t="str">
        <f t="shared" si="86"/>
        <v/>
      </c>
      <c r="C2784" s="120" t="s">
        <v>284</v>
      </c>
      <c r="D2784"/>
      <c r="E2784"/>
      <c r="F2784"/>
      <c r="G2784"/>
      <c r="H2784"/>
      <c r="I2784" s="21" t="str">
        <f t="shared" si="87"/>
        <v/>
      </c>
      <c r="L2784" s="24"/>
      <c r="M2784" s="24"/>
    </row>
    <row r="2785" spans="1:13">
      <c r="A2785" s="14" t="str">
        <f t="shared" si="86"/>
        <v/>
      </c>
      <c r="C2785" s="120" t="s">
        <v>286</v>
      </c>
      <c r="D2785"/>
      <c r="E2785"/>
      <c r="F2785"/>
      <c r="G2785"/>
      <c r="H2785"/>
      <c r="I2785" s="21" t="str">
        <f t="shared" si="87"/>
        <v/>
      </c>
      <c r="L2785" s="24"/>
      <c r="M2785" s="24"/>
    </row>
    <row r="2786" spans="1:13">
      <c r="A2786" s="10" t="str">
        <f t="shared" si="86"/>
        <v/>
      </c>
      <c r="C2786" s="120" t="s">
        <v>126</v>
      </c>
      <c r="D2786"/>
      <c r="E2786"/>
      <c r="F2786"/>
      <c r="G2786"/>
      <c r="H2786"/>
      <c r="I2786" s="21" t="str">
        <f t="shared" si="87"/>
        <v/>
      </c>
      <c r="L2786" s="24"/>
      <c r="M2786" s="24"/>
    </row>
    <row r="2787" spans="1:13">
      <c r="A2787" s="14" t="str">
        <f t="shared" si="86"/>
        <v/>
      </c>
      <c r="C2787" s="120" t="s">
        <v>128</v>
      </c>
      <c r="D2787"/>
      <c r="E2787"/>
      <c r="F2787"/>
      <c r="G2787"/>
      <c r="H2787"/>
      <c r="I2787" s="21" t="str">
        <f t="shared" si="87"/>
        <v/>
      </c>
      <c r="L2787" s="24"/>
      <c r="M2787" s="24"/>
    </row>
    <row r="2788" spans="1:13">
      <c r="A2788" s="10" t="str">
        <f t="shared" si="86"/>
        <v/>
      </c>
      <c r="C2788" s="120" t="s">
        <v>280</v>
      </c>
      <c r="D2788"/>
      <c r="E2788"/>
      <c r="F2788"/>
      <c r="G2788"/>
      <c r="H2788"/>
      <c r="I2788" s="21" t="str">
        <f t="shared" si="87"/>
        <v/>
      </c>
      <c r="L2788" s="24"/>
      <c r="M2788" s="24"/>
    </row>
    <row r="2789" spans="1:13">
      <c r="A2789" s="14" t="str">
        <f t="shared" si="86"/>
        <v/>
      </c>
      <c r="C2789" s="120" t="s">
        <v>282</v>
      </c>
      <c r="D2789"/>
      <c r="E2789"/>
      <c r="F2789"/>
      <c r="G2789"/>
      <c r="H2789"/>
      <c r="I2789" s="21" t="str">
        <f t="shared" si="87"/>
        <v/>
      </c>
      <c r="L2789" s="24"/>
      <c r="M2789" s="24"/>
    </row>
    <row r="2790" spans="1:13">
      <c r="A2790" s="10" t="str">
        <f t="shared" si="86"/>
        <v/>
      </c>
      <c r="C2790" s="120" t="s">
        <v>284</v>
      </c>
      <c r="D2790"/>
      <c r="E2790"/>
      <c r="F2790"/>
      <c r="G2790"/>
      <c r="H2790"/>
      <c r="I2790" s="21" t="str">
        <f t="shared" si="87"/>
        <v/>
      </c>
      <c r="L2790" s="24"/>
      <c r="M2790" s="24"/>
    </row>
    <row r="2791" spans="1:13">
      <c r="A2791" s="14" t="str">
        <f t="shared" si="86"/>
        <v/>
      </c>
      <c r="C2791" s="120" t="s">
        <v>286</v>
      </c>
      <c r="D2791"/>
      <c r="E2791"/>
      <c r="F2791"/>
      <c r="G2791"/>
      <c r="H2791"/>
      <c r="I2791" s="21" t="str">
        <f t="shared" si="87"/>
        <v/>
      </c>
      <c r="L2791" s="24"/>
      <c r="M2791" s="24"/>
    </row>
    <row r="2792" spans="1:13">
      <c r="A2792" s="10" t="str">
        <f t="shared" si="86"/>
        <v/>
      </c>
      <c r="C2792" s="120" t="s">
        <v>126</v>
      </c>
      <c r="D2792"/>
      <c r="E2792"/>
      <c r="F2792"/>
      <c r="G2792"/>
      <c r="H2792"/>
      <c r="I2792" s="21" t="str">
        <f t="shared" si="87"/>
        <v/>
      </c>
      <c r="L2792" s="24"/>
      <c r="M2792" s="24"/>
    </row>
    <row r="2793" spans="1:13">
      <c r="A2793" s="14" t="str">
        <f t="shared" si="86"/>
        <v/>
      </c>
      <c r="C2793" s="120" t="s">
        <v>128</v>
      </c>
      <c r="D2793"/>
      <c r="E2793"/>
      <c r="F2793"/>
      <c r="G2793"/>
      <c r="H2793"/>
      <c r="I2793" s="21" t="str">
        <f t="shared" si="87"/>
        <v/>
      </c>
      <c r="L2793" s="24"/>
      <c r="M2793" s="24"/>
    </row>
    <row r="2794" spans="1:13">
      <c r="A2794" s="10" t="str">
        <f t="shared" si="86"/>
        <v/>
      </c>
      <c r="C2794" s="120" t="s">
        <v>280</v>
      </c>
      <c r="D2794"/>
      <c r="E2794"/>
      <c r="F2794"/>
      <c r="G2794"/>
      <c r="H2794"/>
      <c r="I2794" s="21" t="str">
        <f t="shared" si="87"/>
        <v/>
      </c>
      <c r="L2794" s="24"/>
      <c r="M2794" s="24"/>
    </row>
    <row r="2795" spans="1:13">
      <c r="A2795" s="14" t="str">
        <f t="shared" si="86"/>
        <v/>
      </c>
      <c r="C2795" s="120" t="s">
        <v>282</v>
      </c>
      <c r="D2795"/>
      <c r="E2795"/>
      <c r="F2795"/>
      <c r="G2795"/>
      <c r="H2795"/>
      <c r="I2795" s="21" t="str">
        <f t="shared" si="87"/>
        <v/>
      </c>
      <c r="L2795" s="24"/>
      <c r="M2795" s="24"/>
    </row>
    <row r="2796" spans="1:13">
      <c r="A2796" s="10" t="str">
        <f t="shared" si="86"/>
        <v/>
      </c>
      <c r="C2796" s="120" t="s">
        <v>284</v>
      </c>
      <c r="D2796"/>
      <c r="E2796"/>
      <c r="F2796"/>
      <c r="G2796"/>
      <c r="H2796"/>
      <c r="I2796" s="21" t="str">
        <f t="shared" si="87"/>
        <v/>
      </c>
      <c r="L2796" s="24"/>
      <c r="M2796" s="24"/>
    </row>
    <row r="2797" spans="1:13">
      <c r="A2797" s="14" t="str">
        <f t="shared" si="86"/>
        <v/>
      </c>
      <c r="C2797" s="120" t="s">
        <v>286</v>
      </c>
      <c r="D2797"/>
      <c r="E2797"/>
      <c r="F2797"/>
      <c r="G2797"/>
      <c r="H2797"/>
      <c r="I2797" s="21" t="str">
        <f t="shared" si="87"/>
        <v/>
      </c>
      <c r="L2797" s="24"/>
      <c r="M2797" s="24"/>
    </row>
    <row r="2798" spans="1:13">
      <c r="A2798" s="10" t="str">
        <f t="shared" si="86"/>
        <v/>
      </c>
      <c r="C2798" s="120" t="s">
        <v>126</v>
      </c>
      <c r="D2798"/>
      <c r="E2798"/>
      <c r="F2798"/>
      <c r="G2798"/>
      <c r="H2798"/>
      <c r="I2798" s="21" t="str">
        <f t="shared" si="87"/>
        <v/>
      </c>
      <c r="L2798" s="24"/>
      <c r="M2798" s="24"/>
    </row>
    <row r="2799" spans="1:13">
      <c r="A2799" s="14" t="str">
        <f t="shared" si="86"/>
        <v/>
      </c>
      <c r="C2799" s="120" t="s">
        <v>128</v>
      </c>
      <c r="D2799"/>
      <c r="E2799"/>
      <c r="F2799"/>
      <c r="G2799"/>
      <c r="H2799"/>
      <c r="I2799" s="21" t="str">
        <f t="shared" si="87"/>
        <v/>
      </c>
      <c r="L2799" s="24"/>
      <c r="M2799" s="24"/>
    </row>
    <row r="2800" spans="1:13">
      <c r="A2800" s="10" t="str">
        <f t="shared" si="86"/>
        <v/>
      </c>
      <c r="C2800" s="120" t="s">
        <v>280</v>
      </c>
      <c r="D2800"/>
      <c r="E2800"/>
      <c r="F2800"/>
      <c r="G2800"/>
      <c r="H2800"/>
      <c r="I2800" s="21" t="str">
        <f t="shared" si="87"/>
        <v/>
      </c>
      <c r="L2800" s="24"/>
      <c r="M2800" s="24"/>
    </row>
    <row r="2801" spans="1:13">
      <c r="A2801" s="14" t="str">
        <f t="shared" si="86"/>
        <v/>
      </c>
      <c r="C2801" s="120" t="s">
        <v>282</v>
      </c>
      <c r="D2801"/>
      <c r="E2801"/>
      <c r="F2801"/>
      <c r="G2801"/>
      <c r="H2801"/>
      <c r="I2801" s="21" t="str">
        <f t="shared" si="87"/>
        <v/>
      </c>
      <c r="L2801" s="24"/>
      <c r="M2801" s="24"/>
    </row>
    <row r="2802" spans="1:13">
      <c r="A2802" s="10" t="str">
        <f t="shared" si="86"/>
        <v/>
      </c>
      <c r="C2802" s="120" t="s">
        <v>284</v>
      </c>
      <c r="D2802"/>
      <c r="E2802"/>
      <c r="F2802"/>
      <c r="G2802"/>
      <c r="H2802"/>
      <c r="I2802" s="21" t="str">
        <f t="shared" si="87"/>
        <v/>
      </c>
      <c r="L2802" s="24"/>
      <c r="M2802" s="24"/>
    </row>
    <row r="2803" spans="1:13">
      <c r="A2803" s="14" t="str">
        <f t="shared" si="86"/>
        <v/>
      </c>
      <c r="C2803" s="120" t="s">
        <v>286</v>
      </c>
      <c r="D2803"/>
      <c r="E2803"/>
      <c r="F2803"/>
      <c r="G2803"/>
      <c r="H2803"/>
      <c r="I2803" s="21" t="str">
        <f t="shared" si="87"/>
        <v/>
      </c>
      <c r="L2803" s="24"/>
      <c r="M2803" s="24"/>
    </row>
    <row r="2804" spans="1:13">
      <c r="A2804" s="10" t="str">
        <f t="shared" si="86"/>
        <v/>
      </c>
      <c r="C2804" s="120" t="s">
        <v>126</v>
      </c>
      <c r="D2804"/>
      <c r="E2804"/>
      <c r="F2804"/>
      <c r="G2804"/>
      <c r="H2804"/>
      <c r="I2804" s="21" t="str">
        <f t="shared" si="87"/>
        <v/>
      </c>
      <c r="L2804" s="24"/>
      <c r="M2804" s="24"/>
    </row>
    <row r="2805" spans="1:13">
      <c r="A2805" s="14" t="str">
        <f t="shared" si="86"/>
        <v/>
      </c>
      <c r="C2805" s="120" t="s">
        <v>128</v>
      </c>
      <c r="D2805"/>
      <c r="E2805"/>
      <c r="F2805"/>
      <c r="G2805"/>
      <c r="H2805"/>
      <c r="I2805" s="21" t="str">
        <f t="shared" si="87"/>
        <v/>
      </c>
      <c r="L2805" s="24"/>
      <c r="M2805" s="24"/>
    </row>
    <row r="2806" spans="1:13">
      <c r="A2806" s="10" t="str">
        <f t="shared" si="86"/>
        <v/>
      </c>
      <c r="C2806" s="120" t="s">
        <v>280</v>
      </c>
      <c r="D2806"/>
      <c r="E2806"/>
      <c r="F2806"/>
      <c r="G2806"/>
      <c r="H2806"/>
      <c r="I2806" s="21" t="str">
        <f t="shared" si="87"/>
        <v/>
      </c>
      <c r="L2806" s="24"/>
      <c r="M2806" s="24"/>
    </row>
    <row r="2807" spans="1:13">
      <c r="A2807" s="14" t="str">
        <f t="shared" si="86"/>
        <v/>
      </c>
      <c r="C2807" s="120" t="s">
        <v>282</v>
      </c>
      <c r="D2807"/>
      <c r="E2807"/>
      <c r="F2807"/>
      <c r="G2807"/>
      <c r="H2807"/>
      <c r="I2807" s="21" t="str">
        <f t="shared" si="87"/>
        <v/>
      </c>
      <c r="L2807" s="24"/>
      <c r="M2807" s="24"/>
    </row>
    <row r="2808" spans="1:13">
      <c r="A2808" s="10" t="str">
        <f t="shared" si="86"/>
        <v/>
      </c>
      <c r="C2808" s="120" t="s">
        <v>284</v>
      </c>
      <c r="D2808"/>
      <c r="E2808"/>
      <c r="F2808"/>
      <c r="G2808"/>
      <c r="H2808"/>
      <c r="I2808" s="21" t="str">
        <f t="shared" si="87"/>
        <v/>
      </c>
      <c r="L2808" s="24"/>
      <c r="M2808" s="24"/>
    </row>
    <row r="2809" spans="1:13">
      <c r="A2809" s="14" t="str">
        <f t="shared" si="86"/>
        <v/>
      </c>
      <c r="C2809" s="120" t="s">
        <v>286</v>
      </c>
      <c r="D2809"/>
      <c r="E2809"/>
      <c r="F2809"/>
      <c r="G2809"/>
      <c r="H2809"/>
      <c r="I2809" s="21" t="str">
        <f t="shared" si="87"/>
        <v/>
      </c>
      <c r="L2809" s="24"/>
      <c r="M2809" s="24"/>
    </row>
    <row r="2810" spans="1:13">
      <c r="A2810" s="10" t="str">
        <f t="shared" si="86"/>
        <v/>
      </c>
      <c r="C2810" s="120" t="s">
        <v>126</v>
      </c>
      <c r="D2810"/>
      <c r="E2810"/>
      <c r="F2810"/>
      <c r="G2810"/>
      <c r="H2810"/>
      <c r="I2810" s="21" t="str">
        <f t="shared" si="87"/>
        <v/>
      </c>
      <c r="L2810" s="24"/>
      <c r="M2810" s="24"/>
    </row>
    <row r="2811" spans="1:13">
      <c r="A2811" s="14" t="str">
        <f t="shared" si="86"/>
        <v/>
      </c>
      <c r="C2811" s="120" t="s">
        <v>128</v>
      </c>
      <c r="D2811"/>
      <c r="E2811"/>
      <c r="F2811"/>
      <c r="G2811"/>
      <c r="H2811"/>
      <c r="I2811" s="21" t="str">
        <f t="shared" si="87"/>
        <v/>
      </c>
      <c r="L2811" s="24"/>
      <c r="M2811" s="24"/>
    </row>
    <row r="2812" spans="1:13">
      <c r="A2812" s="10" t="str">
        <f t="shared" si="86"/>
        <v/>
      </c>
      <c r="C2812" s="120" t="s">
        <v>280</v>
      </c>
      <c r="D2812"/>
      <c r="E2812"/>
      <c r="F2812"/>
      <c r="G2812"/>
      <c r="H2812"/>
      <c r="I2812" s="21" t="str">
        <f t="shared" si="87"/>
        <v/>
      </c>
      <c r="L2812" s="24"/>
      <c r="M2812" s="24"/>
    </row>
    <row r="2813" spans="1:13">
      <c r="A2813" s="14" t="str">
        <f t="shared" si="86"/>
        <v/>
      </c>
      <c r="C2813" s="120" t="s">
        <v>282</v>
      </c>
      <c r="D2813"/>
      <c r="E2813"/>
      <c r="F2813"/>
      <c r="G2813"/>
      <c r="H2813"/>
      <c r="I2813" s="21" t="str">
        <f t="shared" si="87"/>
        <v/>
      </c>
      <c r="L2813" s="24"/>
      <c r="M2813" s="24"/>
    </row>
    <row r="2814" spans="1:13">
      <c r="A2814" s="10" t="str">
        <f t="shared" si="86"/>
        <v/>
      </c>
      <c r="C2814" s="120" t="s">
        <v>284</v>
      </c>
      <c r="D2814"/>
      <c r="E2814"/>
      <c r="F2814"/>
      <c r="G2814"/>
      <c r="H2814"/>
      <c r="I2814" s="21" t="str">
        <f t="shared" si="87"/>
        <v/>
      </c>
      <c r="L2814" s="24"/>
      <c r="M2814" s="24"/>
    </row>
    <row r="2815" spans="1:13">
      <c r="A2815" s="14" t="str">
        <f t="shared" si="86"/>
        <v/>
      </c>
      <c r="C2815" s="120" t="s">
        <v>286</v>
      </c>
      <c r="D2815"/>
      <c r="E2815"/>
      <c r="F2815"/>
      <c r="G2815"/>
      <c r="H2815"/>
      <c r="I2815" s="21" t="str">
        <f t="shared" si="87"/>
        <v/>
      </c>
      <c r="L2815" s="24"/>
      <c r="M2815" s="24"/>
    </row>
    <row r="2816" spans="1:13">
      <c r="A2816" s="10" t="str">
        <f t="shared" si="86"/>
        <v/>
      </c>
      <c r="C2816" s="120" t="s">
        <v>126</v>
      </c>
      <c r="D2816"/>
      <c r="E2816"/>
      <c r="F2816"/>
      <c r="G2816"/>
      <c r="H2816"/>
      <c r="I2816" s="21" t="str">
        <f t="shared" si="87"/>
        <v/>
      </c>
      <c r="L2816" s="24"/>
      <c r="M2816" s="24"/>
    </row>
    <row r="2817" spans="1:13">
      <c r="A2817" s="14" t="str">
        <f t="shared" si="86"/>
        <v/>
      </c>
      <c r="C2817" s="120" t="s">
        <v>128</v>
      </c>
      <c r="D2817"/>
      <c r="E2817"/>
      <c r="F2817"/>
      <c r="G2817"/>
      <c r="H2817"/>
      <c r="I2817" s="21" t="str">
        <f t="shared" si="87"/>
        <v/>
      </c>
      <c r="L2817" s="24"/>
      <c r="M2817" s="24"/>
    </row>
    <row r="2818" spans="1:13">
      <c r="A2818" s="10" t="str">
        <f t="shared" ref="A2818:A2881" si="88">IF(B2818&lt;&gt;"",ROW()-1,"")</f>
        <v/>
      </c>
      <c r="C2818" s="120" t="s">
        <v>280</v>
      </c>
      <c r="D2818"/>
      <c r="E2818"/>
      <c r="F2818"/>
      <c r="G2818"/>
      <c r="H2818"/>
      <c r="I2818" s="21" t="str">
        <f t="shared" ref="I2818:I2881" si="89">IF(AND(G2818&lt;&gt;"",H2818&lt;&gt;""),H2818-G2818,"")</f>
        <v/>
      </c>
      <c r="L2818" s="24"/>
      <c r="M2818" s="24"/>
    </row>
    <row r="2819" spans="1:13">
      <c r="A2819" s="14" t="str">
        <f t="shared" si="88"/>
        <v/>
      </c>
      <c r="C2819" s="120" t="s">
        <v>282</v>
      </c>
      <c r="D2819"/>
      <c r="E2819"/>
      <c r="F2819"/>
      <c r="G2819"/>
      <c r="H2819"/>
      <c r="I2819" s="21" t="str">
        <f t="shared" si="89"/>
        <v/>
      </c>
      <c r="L2819" s="24"/>
      <c r="M2819" s="24"/>
    </row>
    <row r="2820" spans="1:13">
      <c r="A2820" s="10" t="str">
        <f t="shared" si="88"/>
        <v/>
      </c>
      <c r="C2820" s="120" t="s">
        <v>284</v>
      </c>
      <c r="D2820"/>
      <c r="E2820"/>
      <c r="F2820"/>
      <c r="G2820"/>
      <c r="H2820"/>
      <c r="I2820" s="21" t="str">
        <f t="shared" si="89"/>
        <v/>
      </c>
      <c r="L2820" s="24"/>
      <c r="M2820" s="24"/>
    </row>
    <row r="2821" spans="1:13">
      <c r="A2821" s="14" t="str">
        <f t="shared" si="88"/>
        <v/>
      </c>
      <c r="C2821" s="120" t="s">
        <v>286</v>
      </c>
      <c r="D2821"/>
      <c r="E2821"/>
      <c r="F2821"/>
      <c r="G2821"/>
      <c r="H2821"/>
      <c r="I2821" s="21" t="str">
        <f t="shared" si="89"/>
        <v/>
      </c>
      <c r="L2821" s="24"/>
      <c r="M2821" s="24"/>
    </row>
    <row r="2822" spans="1:13">
      <c r="A2822" s="10" t="str">
        <f t="shared" si="88"/>
        <v/>
      </c>
      <c r="C2822" s="120" t="s">
        <v>126</v>
      </c>
      <c r="D2822"/>
      <c r="E2822"/>
      <c r="F2822"/>
      <c r="G2822"/>
      <c r="H2822"/>
      <c r="I2822" s="21" t="str">
        <f t="shared" si="89"/>
        <v/>
      </c>
      <c r="L2822" s="24"/>
      <c r="M2822" s="24"/>
    </row>
    <row r="2823" spans="1:13">
      <c r="A2823" s="14" t="str">
        <f t="shared" si="88"/>
        <v/>
      </c>
      <c r="C2823" s="120" t="s">
        <v>128</v>
      </c>
      <c r="D2823"/>
      <c r="E2823"/>
      <c r="F2823"/>
      <c r="G2823"/>
      <c r="H2823"/>
      <c r="I2823" s="21" t="str">
        <f t="shared" si="89"/>
        <v/>
      </c>
      <c r="L2823" s="24"/>
      <c r="M2823" s="24"/>
    </row>
    <row r="2824" spans="1:13">
      <c r="A2824" s="10" t="str">
        <f t="shared" si="88"/>
        <v/>
      </c>
      <c r="C2824" s="120" t="s">
        <v>280</v>
      </c>
      <c r="D2824"/>
      <c r="E2824"/>
      <c r="F2824"/>
      <c r="G2824"/>
      <c r="H2824"/>
      <c r="I2824" s="21" t="str">
        <f t="shared" si="89"/>
        <v/>
      </c>
      <c r="L2824" s="24"/>
      <c r="M2824" s="24"/>
    </row>
    <row r="2825" spans="1:13">
      <c r="A2825" s="14" t="str">
        <f t="shared" si="88"/>
        <v/>
      </c>
      <c r="C2825" s="120" t="s">
        <v>282</v>
      </c>
      <c r="D2825"/>
      <c r="E2825"/>
      <c r="F2825"/>
      <c r="G2825"/>
      <c r="H2825"/>
      <c r="I2825" s="21" t="str">
        <f t="shared" si="89"/>
        <v/>
      </c>
      <c r="L2825" s="24"/>
      <c r="M2825" s="24"/>
    </row>
    <row r="2826" spans="1:13">
      <c r="A2826" s="10" t="str">
        <f t="shared" si="88"/>
        <v/>
      </c>
      <c r="C2826" s="120" t="s">
        <v>284</v>
      </c>
      <c r="D2826"/>
      <c r="E2826"/>
      <c r="F2826"/>
      <c r="G2826"/>
      <c r="H2826"/>
      <c r="I2826" s="21" t="str">
        <f t="shared" si="89"/>
        <v/>
      </c>
      <c r="L2826" s="24"/>
      <c r="M2826" s="24"/>
    </row>
    <row r="2827" spans="1:13">
      <c r="A2827" s="14" t="str">
        <f t="shared" si="88"/>
        <v/>
      </c>
      <c r="C2827" s="120" t="s">
        <v>286</v>
      </c>
      <c r="D2827"/>
      <c r="E2827"/>
      <c r="F2827"/>
      <c r="G2827"/>
      <c r="H2827"/>
      <c r="I2827" s="21" t="str">
        <f t="shared" si="89"/>
        <v/>
      </c>
      <c r="L2827" s="24"/>
      <c r="M2827" s="24"/>
    </row>
    <row r="2828" spans="1:13">
      <c r="A2828" s="10" t="str">
        <f t="shared" si="88"/>
        <v/>
      </c>
      <c r="C2828" s="120" t="s">
        <v>126</v>
      </c>
      <c r="D2828"/>
      <c r="E2828"/>
      <c r="F2828"/>
      <c r="G2828"/>
      <c r="H2828"/>
      <c r="I2828" s="21" t="str">
        <f t="shared" si="89"/>
        <v/>
      </c>
      <c r="L2828" s="24"/>
      <c r="M2828" s="24"/>
    </row>
    <row r="2829" spans="1:13">
      <c r="A2829" s="14" t="str">
        <f t="shared" si="88"/>
        <v/>
      </c>
      <c r="C2829" s="120" t="s">
        <v>128</v>
      </c>
      <c r="D2829"/>
      <c r="E2829"/>
      <c r="F2829"/>
      <c r="G2829"/>
      <c r="H2829"/>
      <c r="I2829" s="21" t="str">
        <f t="shared" si="89"/>
        <v/>
      </c>
      <c r="L2829" s="24"/>
      <c r="M2829" s="24"/>
    </row>
    <row r="2830" spans="1:13">
      <c r="A2830" s="10" t="str">
        <f t="shared" si="88"/>
        <v/>
      </c>
      <c r="C2830" s="120" t="s">
        <v>280</v>
      </c>
      <c r="D2830"/>
      <c r="E2830"/>
      <c r="F2830"/>
      <c r="G2830"/>
      <c r="H2830"/>
      <c r="I2830" s="21" t="str">
        <f t="shared" si="89"/>
        <v/>
      </c>
      <c r="L2830" s="24"/>
      <c r="M2830" s="24"/>
    </row>
    <row r="2831" spans="1:13">
      <c r="A2831" s="14" t="str">
        <f t="shared" si="88"/>
        <v/>
      </c>
      <c r="C2831" s="120" t="s">
        <v>282</v>
      </c>
      <c r="D2831"/>
      <c r="E2831"/>
      <c r="F2831"/>
      <c r="G2831"/>
      <c r="H2831"/>
      <c r="I2831" s="21" t="str">
        <f t="shared" si="89"/>
        <v/>
      </c>
      <c r="L2831" s="24"/>
      <c r="M2831" s="24"/>
    </row>
    <row r="2832" spans="1:13">
      <c r="A2832" s="10" t="str">
        <f t="shared" si="88"/>
        <v/>
      </c>
      <c r="C2832" s="120" t="s">
        <v>284</v>
      </c>
      <c r="D2832"/>
      <c r="E2832"/>
      <c r="F2832"/>
      <c r="G2832"/>
      <c r="H2832"/>
      <c r="I2832" s="21" t="str">
        <f t="shared" si="89"/>
        <v/>
      </c>
      <c r="L2832" s="24"/>
      <c r="M2832" s="24"/>
    </row>
    <row r="2833" spans="1:13">
      <c r="A2833" s="14" t="str">
        <f t="shared" si="88"/>
        <v/>
      </c>
      <c r="C2833" s="120" t="s">
        <v>286</v>
      </c>
      <c r="D2833"/>
      <c r="E2833"/>
      <c r="F2833"/>
      <c r="G2833"/>
      <c r="H2833"/>
      <c r="I2833" s="21" t="str">
        <f t="shared" si="89"/>
        <v/>
      </c>
      <c r="L2833" s="24"/>
      <c r="M2833" s="24"/>
    </row>
    <row r="2834" spans="1:13">
      <c r="A2834" s="10" t="str">
        <f t="shared" si="88"/>
        <v/>
      </c>
      <c r="C2834" s="120" t="s">
        <v>126</v>
      </c>
      <c r="D2834"/>
      <c r="E2834"/>
      <c r="F2834"/>
      <c r="G2834"/>
      <c r="H2834"/>
      <c r="I2834" s="21" t="str">
        <f t="shared" si="89"/>
        <v/>
      </c>
      <c r="L2834" s="24"/>
      <c r="M2834" s="24"/>
    </row>
    <row r="2835" spans="1:13">
      <c r="A2835" s="14" t="str">
        <f t="shared" si="88"/>
        <v/>
      </c>
      <c r="C2835" s="120" t="s">
        <v>128</v>
      </c>
      <c r="D2835"/>
      <c r="E2835"/>
      <c r="F2835"/>
      <c r="G2835"/>
      <c r="H2835"/>
      <c r="I2835" s="21" t="str">
        <f t="shared" si="89"/>
        <v/>
      </c>
      <c r="L2835" s="24"/>
      <c r="M2835" s="24"/>
    </row>
    <row r="2836" spans="1:13">
      <c r="A2836" s="10" t="str">
        <f t="shared" si="88"/>
        <v/>
      </c>
      <c r="C2836" s="120" t="s">
        <v>280</v>
      </c>
      <c r="D2836"/>
      <c r="E2836"/>
      <c r="F2836"/>
      <c r="G2836"/>
      <c r="H2836"/>
      <c r="I2836" s="21" t="str">
        <f t="shared" si="89"/>
        <v/>
      </c>
      <c r="L2836" s="24"/>
      <c r="M2836" s="24"/>
    </row>
    <row r="2837" spans="1:13">
      <c r="A2837" s="14" t="str">
        <f t="shared" si="88"/>
        <v/>
      </c>
      <c r="C2837" s="120" t="s">
        <v>282</v>
      </c>
      <c r="D2837"/>
      <c r="E2837"/>
      <c r="F2837"/>
      <c r="G2837"/>
      <c r="H2837"/>
      <c r="I2837" s="21" t="str">
        <f t="shared" si="89"/>
        <v/>
      </c>
      <c r="L2837" s="24"/>
      <c r="M2837" s="24"/>
    </row>
    <row r="2838" spans="1:13">
      <c r="A2838" s="10" t="str">
        <f t="shared" si="88"/>
        <v/>
      </c>
      <c r="C2838" s="120" t="s">
        <v>284</v>
      </c>
      <c r="D2838"/>
      <c r="E2838"/>
      <c r="F2838"/>
      <c r="G2838"/>
      <c r="H2838"/>
      <c r="I2838" s="21" t="str">
        <f t="shared" si="89"/>
        <v/>
      </c>
      <c r="L2838" s="24"/>
      <c r="M2838" s="24"/>
    </row>
    <row r="2839" spans="1:13">
      <c r="A2839" s="14" t="str">
        <f t="shared" si="88"/>
        <v/>
      </c>
      <c r="C2839" s="120" t="s">
        <v>286</v>
      </c>
      <c r="D2839"/>
      <c r="E2839"/>
      <c r="F2839"/>
      <c r="G2839"/>
      <c r="H2839"/>
      <c r="I2839" s="21" t="str">
        <f t="shared" si="89"/>
        <v/>
      </c>
      <c r="L2839" s="24"/>
      <c r="M2839" s="24"/>
    </row>
    <row r="2840" spans="1:13">
      <c r="A2840" s="10" t="str">
        <f t="shared" si="88"/>
        <v/>
      </c>
      <c r="C2840" s="120" t="s">
        <v>126</v>
      </c>
      <c r="D2840"/>
      <c r="E2840"/>
      <c r="F2840"/>
      <c r="G2840"/>
      <c r="H2840"/>
      <c r="I2840" s="21" t="str">
        <f t="shared" si="89"/>
        <v/>
      </c>
      <c r="L2840" s="24"/>
      <c r="M2840" s="24"/>
    </row>
    <row r="2841" spans="1:13">
      <c r="A2841" s="14" t="str">
        <f t="shared" si="88"/>
        <v/>
      </c>
      <c r="C2841" s="120" t="s">
        <v>128</v>
      </c>
      <c r="D2841"/>
      <c r="E2841"/>
      <c r="F2841"/>
      <c r="G2841"/>
      <c r="H2841"/>
      <c r="I2841" s="21" t="str">
        <f t="shared" si="89"/>
        <v/>
      </c>
      <c r="L2841" s="24"/>
      <c r="M2841" s="24"/>
    </row>
    <row r="2842" spans="1:13">
      <c r="A2842" s="10" t="str">
        <f t="shared" si="88"/>
        <v/>
      </c>
      <c r="C2842" s="120" t="s">
        <v>280</v>
      </c>
      <c r="D2842"/>
      <c r="E2842"/>
      <c r="F2842"/>
      <c r="G2842"/>
      <c r="H2842"/>
      <c r="I2842" s="21" t="str">
        <f t="shared" si="89"/>
        <v/>
      </c>
      <c r="L2842" s="24"/>
      <c r="M2842" s="24"/>
    </row>
    <row r="2843" spans="1:13">
      <c r="A2843" s="14" t="str">
        <f t="shared" si="88"/>
        <v/>
      </c>
      <c r="C2843" s="120" t="s">
        <v>282</v>
      </c>
      <c r="D2843"/>
      <c r="E2843"/>
      <c r="F2843"/>
      <c r="G2843"/>
      <c r="H2843"/>
      <c r="I2843" s="21" t="str">
        <f t="shared" si="89"/>
        <v/>
      </c>
      <c r="L2843" s="24"/>
      <c r="M2843" s="24"/>
    </row>
    <row r="2844" spans="1:13">
      <c r="A2844" s="10" t="str">
        <f t="shared" si="88"/>
        <v/>
      </c>
      <c r="C2844" s="120" t="s">
        <v>284</v>
      </c>
      <c r="D2844"/>
      <c r="E2844"/>
      <c r="F2844"/>
      <c r="G2844"/>
      <c r="H2844"/>
      <c r="I2844" s="21" t="str">
        <f t="shared" si="89"/>
        <v/>
      </c>
      <c r="L2844" s="24"/>
      <c r="M2844" s="24"/>
    </row>
    <row r="2845" spans="1:13">
      <c r="A2845" s="14" t="str">
        <f t="shared" si="88"/>
        <v/>
      </c>
      <c r="C2845" s="120" t="s">
        <v>286</v>
      </c>
      <c r="D2845"/>
      <c r="E2845"/>
      <c r="F2845"/>
      <c r="G2845"/>
      <c r="H2845"/>
      <c r="I2845" s="21" t="str">
        <f t="shared" si="89"/>
        <v/>
      </c>
      <c r="L2845" s="24"/>
      <c r="M2845" s="24"/>
    </row>
    <row r="2846" spans="1:13">
      <c r="A2846" s="10" t="str">
        <f t="shared" si="88"/>
        <v/>
      </c>
      <c r="C2846" s="120" t="s">
        <v>126</v>
      </c>
      <c r="D2846"/>
      <c r="E2846"/>
      <c r="F2846"/>
      <c r="G2846"/>
      <c r="H2846"/>
      <c r="I2846" s="21" t="str">
        <f t="shared" si="89"/>
        <v/>
      </c>
      <c r="L2846" s="24"/>
      <c r="M2846" s="24"/>
    </row>
    <row r="2847" spans="1:13">
      <c r="A2847" s="14" t="str">
        <f t="shared" si="88"/>
        <v/>
      </c>
      <c r="C2847" s="120" t="s">
        <v>128</v>
      </c>
      <c r="D2847"/>
      <c r="E2847"/>
      <c r="F2847"/>
      <c r="G2847"/>
      <c r="H2847"/>
      <c r="I2847" s="21" t="str">
        <f t="shared" si="89"/>
        <v/>
      </c>
      <c r="L2847" s="24"/>
      <c r="M2847" s="24"/>
    </row>
    <row r="2848" spans="1:13">
      <c r="A2848" s="10" t="str">
        <f t="shared" si="88"/>
        <v/>
      </c>
      <c r="C2848" s="120" t="s">
        <v>280</v>
      </c>
      <c r="D2848"/>
      <c r="E2848"/>
      <c r="F2848"/>
      <c r="G2848"/>
      <c r="H2848"/>
      <c r="I2848" s="21" t="str">
        <f t="shared" si="89"/>
        <v/>
      </c>
      <c r="L2848" s="24"/>
      <c r="M2848" s="24"/>
    </row>
    <row r="2849" spans="1:13">
      <c r="A2849" s="14" t="str">
        <f t="shared" si="88"/>
        <v/>
      </c>
      <c r="C2849" s="120" t="s">
        <v>282</v>
      </c>
      <c r="D2849"/>
      <c r="E2849"/>
      <c r="F2849"/>
      <c r="G2849"/>
      <c r="H2849"/>
      <c r="I2849" s="21" t="str">
        <f t="shared" si="89"/>
        <v/>
      </c>
      <c r="L2849" s="24"/>
      <c r="M2849" s="24"/>
    </row>
    <row r="2850" spans="1:13">
      <c r="A2850" s="10" t="str">
        <f t="shared" si="88"/>
        <v/>
      </c>
      <c r="C2850" s="120" t="s">
        <v>284</v>
      </c>
      <c r="D2850"/>
      <c r="E2850"/>
      <c r="F2850"/>
      <c r="G2850"/>
      <c r="H2850"/>
      <c r="I2850" s="21" t="str">
        <f t="shared" si="89"/>
        <v/>
      </c>
      <c r="L2850" s="24"/>
      <c r="M2850" s="24"/>
    </row>
    <row r="2851" spans="1:13">
      <c r="A2851" s="14" t="str">
        <f t="shared" si="88"/>
        <v/>
      </c>
      <c r="C2851" s="120" t="s">
        <v>286</v>
      </c>
      <c r="D2851"/>
      <c r="E2851"/>
      <c r="F2851"/>
      <c r="G2851"/>
      <c r="H2851"/>
      <c r="I2851" s="21" t="str">
        <f t="shared" si="89"/>
        <v/>
      </c>
      <c r="L2851" s="24"/>
      <c r="M2851" s="24"/>
    </row>
    <row r="2852" spans="1:13">
      <c r="A2852" s="10" t="str">
        <f t="shared" si="88"/>
        <v/>
      </c>
      <c r="C2852" s="120" t="s">
        <v>126</v>
      </c>
      <c r="D2852"/>
      <c r="E2852"/>
      <c r="F2852"/>
      <c r="G2852"/>
      <c r="H2852"/>
      <c r="I2852" s="21" t="str">
        <f t="shared" si="89"/>
        <v/>
      </c>
      <c r="L2852" s="24"/>
      <c r="M2852" s="24"/>
    </row>
    <row r="2853" spans="1:13">
      <c r="A2853" s="14" t="str">
        <f t="shared" si="88"/>
        <v/>
      </c>
      <c r="C2853" s="120" t="s">
        <v>128</v>
      </c>
      <c r="D2853"/>
      <c r="E2853"/>
      <c r="F2853"/>
      <c r="G2853"/>
      <c r="H2853"/>
      <c r="I2853" s="21" t="str">
        <f t="shared" si="89"/>
        <v/>
      </c>
      <c r="L2853" s="24"/>
      <c r="M2853" s="24"/>
    </row>
    <row r="2854" spans="1:13">
      <c r="A2854" s="10" t="str">
        <f t="shared" si="88"/>
        <v/>
      </c>
      <c r="C2854" s="120" t="s">
        <v>280</v>
      </c>
      <c r="D2854"/>
      <c r="E2854"/>
      <c r="F2854"/>
      <c r="G2854"/>
      <c r="H2854"/>
      <c r="I2854" s="21" t="str">
        <f t="shared" si="89"/>
        <v/>
      </c>
      <c r="L2854" s="24"/>
      <c r="M2854" s="24"/>
    </row>
    <row r="2855" spans="1:13">
      <c r="A2855" s="14" t="str">
        <f t="shared" si="88"/>
        <v/>
      </c>
      <c r="C2855" s="120" t="s">
        <v>282</v>
      </c>
      <c r="D2855"/>
      <c r="E2855"/>
      <c r="F2855"/>
      <c r="G2855"/>
      <c r="H2855"/>
      <c r="I2855" s="21" t="str">
        <f t="shared" si="89"/>
        <v/>
      </c>
      <c r="L2855" s="24"/>
      <c r="M2855" s="24"/>
    </row>
    <row r="2856" spans="1:13">
      <c r="A2856" s="10" t="str">
        <f t="shared" si="88"/>
        <v/>
      </c>
      <c r="C2856" s="120" t="s">
        <v>284</v>
      </c>
      <c r="D2856"/>
      <c r="E2856"/>
      <c r="F2856"/>
      <c r="G2856"/>
      <c r="H2856"/>
      <c r="I2856" s="21" t="str">
        <f t="shared" si="89"/>
        <v/>
      </c>
      <c r="L2856" s="24"/>
      <c r="M2856" s="24"/>
    </row>
    <row r="2857" spans="1:13">
      <c r="A2857" s="14" t="str">
        <f t="shared" si="88"/>
        <v/>
      </c>
      <c r="C2857" s="120" t="s">
        <v>286</v>
      </c>
      <c r="D2857"/>
      <c r="E2857"/>
      <c r="F2857"/>
      <c r="G2857"/>
      <c r="H2857"/>
      <c r="I2857" s="21" t="str">
        <f t="shared" si="89"/>
        <v/>
      </c>
      <c r="L2857" s="24"/>
      <c r="M2857" s="24"/>
    </row>
    <row r="2858" spans="1:13">
      <c r="A2858" s="10" t="str">
        <f t="shared" si="88"/>
        <v/>
      </c>
      <c r="C2858" s="120" t="s">
        <v>126</v>
      </c>
      <c r="D2858"/>
      <c r="E2858"/>
      <c r="F2858"/>
      <c r="G2858"/>
      <c r="H2858"/>
      <c r="I2858" s="21" t="str">
        <f t="shared" si="89"/>
        <v/>
      </c>
      <c r="L2858" s="24"/>
      <c r="M2858" s="24"/>
    </row>
    <row r="2859" spans="1:13">
      <c r="A2859" s="14" t="str">
        <f t="shared" si="88"/>
        <v/>
      </c>
      <c r="C2859" s="120" t="s">
        <v>128</v>
      </c>
      <c r="D2859"/>
      <c r="E2859"/>
      <c r="F2859"/>
      <c r="G2859"/>
      <c r="H2859"/>
      <c r="I2859" s="21" t="str">
        <f t="shared" si="89"/>
        <v/>
      </c>
      <c r="L2859" s="24"/>
      <c r="M2859" s="24"/>
    </row>
    <row r="2860" spans="1:13">
      <c r="A2860" s="10" t="str">
        <f t="shared" si="88"/>
        <v/>
      </c>
      <c r="C2860" s="120" t="s">
        <v>280</v>
      </c>
      <c r="D2860"/>
      <c r="E2860"/>
      <c r="F2860"/>
      <c r="G2860"/>
      <c r="H2860"/>
      <c r="I2860" s="21" t="str">
        <f t="shared" si="89"/>
        <v/>
      </c>
      <c r="L2860" s="24"/>
      <c r="M2860" s="24"/>
    </row>
    <row r="2861" spans="1:13">
      <c r="A2861" s="14" t="str">
        <f t="shared" si="88"/>
        <v/>
      </c>
      <c r="C2861" s="120" t="s">
        <v>282</v>
      </c>
      <c r="D2861"/>
      <c r="E2861"/>
      <c r="F2861"/>
      <c r="G2861"/>
      <c r="H2861"/>
      <c r="I2861" s="21" t="str">
        <f t="shared" si="89"/>
        <v/>
      </c>
      <c r="L2861" s="24"/>
      <c r="M2861" s="24"/>
    </row>
    <row r="2862" spans="1:13">
      <c r="A2862" s="10" t="str">
        <f t="shared" si="88"/>
        <v/>
      </c>
      <c r="C2862" s="120" t="s">
        <v>284</v>
      </c>
      <c r="D2862"/>
      <c r="E2862"/>
      <c r="F2862"/>
      <c r="G2862"/>
      <c r="H2862"/>
      <c r="I2862" s="21" t="str">
        <f t="shared" si="89"/>
        <v/>
      </c>
      <c r="L2862" s="24"/>
      <c r="M2862" s="24"/>
    </row>
    <row r="2863" spans="1:13">
      <c r="A2863" s="14" t="str">
        <f t="shared" si="88"/>
        <v/>
      </c>
      <c r="C2863" s="120" t="s">
        <v>286</v>
      </c>
      <c r="D2863"/>
      <c r="E2863"/>
      <c r="F2863"/>
      <c r="G2863"/>
      <c r="H2863"/>
      <c r="I2863" s="21" t="str">
        <f t="shared" si="89"/>
        <v/>
      </c>
      <c r="L2863" s="24"/>
      <c r="M2863" s="24"/>
    </row>
    <row r="2864" spans="1:13">
      <c r="A2864" s="10" t="str">
        <f t="shared" si="88"/>
        <v/>
      </c>
      <c r="C2864" s="120" t="s">
        <v>126</v>
      </c>
      <c r="D2864"/>
      <c r="E2864"/>
      <c r="F2864"/>
      <c r="G2864"/>
      <c r="H2864"/>
      <c r="I2864" s="21" t="str">
        <f t="shared" si="89"/>
        <v/>
      </c>
      <c r="L2864" s="24"/>
      <c r="M2864" s="24"/>
    </row>
    <row r="2865" spans="1:13">
      <c r="A2865" s="14" t="str">
        <f t="shared" si="88"/>
        <v/>
      </c>
      <c r="C2865" s="120" t="s">
        <v>128</v>
      </c>
      <c r="D2865"/>
      <c r="E2865"/>
      <c r="F2865"/>
      <c r="G2865"/>
      <c r="H2865"/>
      <c r="I2865" s="21" t="str">
        <f t="shared" si="89"/>
        <v/>
      </c>
      <c r="L2865" s="24"/>
      <c r="M2865" s="24"/>
    </row>
    <row r="2866" spans="1:13">
      <c r="A2866" s="10" t="str">
        <f t="shared" si="88"/>
        <v/>
      </c>
      <c r="C2866" s="120" t="s">
        <v>280</v>
      </c>
      <c r="D2866"/>
      <c r="E2866"/>
      <c r="F2866"/>
      <c r="G2866"/>
      <c r="H2866"/>
      <c r="I2866" s="21" t="str">
        <f t="shared" si="89"/>
        <v/>
      </c>
      <c r="L2866" s="24"/>
      <c r="M2866" s="24"/>
    </row>
    <row r="2867" spans="1:13">
      <c r="A2867" s="14" t="str">
        <f t="shared" si="88"/>
        <v/>
      </c>
      <c r="C2867" s="120" t="s">
        <v>282</v>
      </c>
      <c r="D2867"/>
      <c r="E2867"/>
      <c r="F2867"/>
      <c r="G2867"/>
      <c r="H2867"/>
      <c r="I2867" s="21" t="str">
        <f t="shared" si="89"/>
        <v/>
      </c>
      <c r="L2867" s="24"/>
      <c r="M2867" s="24"/>
    </row>
    <row r="2868" spans="1:13">
      <c r="A2868" s="10" t="str">
        <f t="shared" si="88"/>
        <v/>
      </c>
      <c r="C2868" s="120" t="s">
        <v>284</v>
      </c>
      <c r="D2868"/>
      <c r="E2868"/>
      <c r="F2868"/>
      <c r="G2868"/>
      <c r="H2868"/>
      <c r="I2868" s="21" t="str">
        <f t="shared" si="89"/>
        <v/>
      </c>
      <c r="L2868" s="24"/>
      <c r="M2868" s="24"/>
    </row>
    <row r="2869" spans="1:13">
      <c r="A2869" s="14" t="str">
        <f t="shared" si="88"/>
        <v/>
      </c>
      <c r="C2869" s="120" t="s">
        <v>286</v>
      </c>
      <c r="D2869"/>
      <c r="E2869"/>
      <c r="F2869"/>
      <c r="G2869"/>
      <c r="H2869"/>
      <c r="I2869" s="21" t="str">
        <f t="shared" si="89"/>
        <v/>
      </c>
      <c r="L2869" s="24"/>
      <c r="M2869" s="24"/>
    </row>
    <row r="2870" spans="1:13">
      <c r="A2870" s="10" t="str">
        <f t="shared" si="88"/>
        <v/>
      </c>
      <c r="C2870" s="120" t="s">
        <v>126</v>
      </c>
      <c r="D2870"/>
      <c r="E2870"/>
      <c r="F2870"/>
      <c r="G2870"/>
      <c r="H2870"/>
      <c r="I2870" s="21" t="str">
        <f t="shared" si="89"/>
        <v/>
      </c>
      <c r="L2870" s="24"/>
      <c r="M2870" s="24"/>
    </row>
    <row r="2871" spans="1:13">
      <c r="A2871" s="14" t="str">
        <f t="shared" si="88"/>
        <v/>
      </c>
      <c r="C2871" s="120" t="s">
        <v>128</v>
      </c>
      <c r="D2871"/>
      <c r="E2871"/>
      <c r="F2871"/>
      <c r="G2871"/>
      <c r="H2871"/>
      <c r="I2871" s="21" t="str">
        <f t="shared" si="89"/>
        <v/>
      </c>
      <c r="L2871" s="24"/>
      <c r="M2871" s="24"/>
    </row>
    <row r="2872" spans="1:13">
      <c r="A2872" s="10" t="str">
        <f t="shared" si="88"/>
        <v/>
      </c>
      <c r="C2872" s="120" t="s">
        <v>280</v>
      </c>
      <c r="D2872"/>
      <c r="E2872"/>
      <c r="F2872"/>
      <c r="G2872"/>
      <c r="H2872"/>
      <c r="I2872" s="21" t="str">
        <f t="shared" si="89"/>
        <v/>
      </c>
      <c r="L2872" s="24"/>
      <c r="M2872" s="24"/>
    </row>
    <row r="2873" spans="1:13">
      <c r="A2873" s="14" t="str">
        <f t="shared" si="88"/>
        <v/>
      </c>
      <c r="C2873" s="120" t="s">
        <v>282</v>
      </c>
      <c r="D2873"/>
      <c r="E2873"/>
      <c r="F2873"/>
      <c r="G2873"/>
      <c r="H2873"/>
      <c r="I2873" s="21" t="str">
        <f t="shared" si="89"/>
        <v/>
      </c>
      <c r="L2873" s="24"/>
      <c r="M2873" s="24"/>
    </row>
    <row r="2874" spans="1:13">
      <c r="A2874" s="10" t="str">
        <f t="shared" si="88"/>
        <v/>
      </c>
      <c r="C2874" s="120" t="s">
        <v>284</v>
      </c>
      <c r="D2874"/>
      <c r="E2874"/>
      <c r="F2874"/>
      <c r="G2874"/>
      <c r="H2874"/>
      <c r="I2874" s="21" t="str">
        <f t="shared" si="89"/>
        <v/>
      </c>
      <c r="L2874" s="24"/>
      <c r="M2874" s="24"/>
    </row>
    <row r="2875" spans="1:13">
      <c r="A2875" s="14" t="str">
        <f t="shared" si="88"/>
        <v/>
      </c>
      <c r="C2875" s="120" t="s">
        <v>286</v>
      </c>
      <c r="D2875"/>
      <c r="E2875"/>
      <c r="F2875"/>
      <c r="G2875"/>
      <c r="H2875"/>
      <c r="I2875" s="21" t="str">
        <f t="shared" si="89"/>
        <v/>
      </c>
      <c r="L2875" s="24"/>
      <c r="M2875" s="24"/>
    </row>
    <row r="2876" spans="1:13">
      <c r="A2876" s="10" t="str">
        <f t="shared" si="88"/>
        <v/>
      </c>
      <c r="C2876" s="120" t="s">
        <v>126</v>
      </c>
      <c r="D2876"/>
      <c r="E2876"/>
      <c r="F2876"/>
      <c r="G2876"/>
      <c r="H2876"/>
      <c r="I2876" s="21" t="str">
        <f t="shared" si="89"/>
        <v/>
      </c>
      <c r="L2876" s="24"/>
      <c r="M2876" s="24"/>
    </row>
    <row r="2877" spans="1:13">
      <c r="A2877" s="14" t="str">
        <f t="shared" si="88"/>
        <v/>
      </c>
      <c r="C2877" s="120" t="s">
        <v>128</v>
      </c>
      <c r="D2877"/>
      <c r="E2877"/>
      <c r="F2877"/>
      <c r="G2877"/>
      <c r="H2877"/>
      <c r="I2877" s="21" t="str">
        <f t="shared" si="89"/>
        <v/>
      </c>
      <c r="L2877" s="24"/>
      <c r="M2877" s="24"/>
    </row>
    <row r="2878" spans="1:13">
      <c r="A2878" s="10" t="str">
        <f t="shared" si="88"/>
        <v/>
      </c>
      <c r="C2878" s="120" t="s">
        <v>280</v>
      </c>
      <c r="D2878"/>
      <c r="E2878"/>
      <c r="F2878"/>
      <c r="G2878"/>
      <c r="H2878"/>
      <c r="I2878" s="21" t="str">
        <f t="shared" si="89"/>
        <v/>
      </c>
      <c r="L2878" s="24"/>
      <c r="M2878" s="24"/>
    </row>
    <row r="2879" spans="1:13">
      <c r="A2879" s="14" t="str">
        <f t="shared" si="88"/>
        <v/>
      </c>
      <c r="C2879" s="120" t="s">
        <v>282</v>
      </c>
      <c r="D2879"/>
      <c r="E2879"/>
      <c r="F2879"/>
      <c r="G2879"/>
      <c r="H2879"/>
      <c r="I2879" s="21" t="str">
        <f t="shared" si="89"/>
        <v/>
      </c>
      <c r="L2879" s="24"/>
      <c r="M2879" s="24"/>
    </row>
    <row r="2880" spans="1:13">
      <c r="A2880" s="10" t="str">
        <f t="shared" si="88"/>
        <v/>
      </c>
      <c r="C2880" s="120" t="s">
        <v>284</v>
      </c>
      <c r="D2880"/>
      <c r="E2880"/>
      <c r="F2880"/>
      <c r="G2880"/>
      <c r="H2880"/>
      <c r="I2880" s="21" t="str">
        <f t="shared" si="89"/>
        <v/>
      </c>
      <c r="L2880" s="24"/>
      <c r="M2880" s="24"/>
    </row>
    <row r="2881" spans="1:13">
      <c r="A2881" s="14" t="str">
        <f t="shared" si="88"/>
        <v/>
      </c>
      <c r="C2881" s="120" t="s">
        <v>286</v>
      </c>
      <c r="D2881"/>
      <c r="E2881"/>
      <c r="F2881"/>
      <c r="G2881"/>
      <c r="H2881"/>
      <c r="I2881" s="21" t="str">
        <f t="shared" si="89"/>
        <v/>
      </c>
      <c r="L2881" s="24"/>
      <c r="M2881" s="24"/>
    </row>
    <row r="2882" spans="1:13">
      <c r="A2882" s="10" t="str">
        <f t="shared" ref="A2882:A2945" si="90">IF(B2882&lt;&gt;"",ROW()-1,"")</f>
        <v/>
      </c>
      <c r="C2882" s="120" t="s">
        <v>126</v>
      </c>
      <c r="D2882"/>
      <c r="E2882"/>
      <c r="F2882"/>
      <c r="G2882"/>
      <c r="H2882"/>
      <c r="I2882" s="21" t="str">
        <f t="shared" ref="I2882:I2945" si="91">IF(AND(G2882&lt;&gt;"",H2882&lt;&gt;""),H2882-G2882,"")</f>
        <v/>
      </c>
      <c r="L2882" s="24"/>
      <c r="M2882" s="24"/>
    </row>
    <row r="2883" spans="1:13">
      <c r="A2883" s="14" t="str">
        <f t="shared" si="90"/>
        <v/>
      </c>
      <c r="C2883" s="120" t="s">
        <v>128</v>
      </c>
      <c r="D2883"/>
      <c r="E2883"/>
      <c r="F2883"/>
      <c r="G2883"/>
      <c r="H2883"/>
      <c r="I2883" s="21" t="str">
        <f t="shared" si="91"/>
        <v/>
      </c>
      <c r="L2883" s="24"/>
      <c r="M2883" s="24"/>
    </row>
    <row r="2884" spans="1:13">
      <c r="A2884" s="10" t="str">
        <f t="shared" si="90"/>
        <v/>
      </c>
      <c r="C2884" s="120" t="s">
        <v>280</v>
      </c>
      <c r="D2884"/>
      <c r="E2884"/>
      <c r="F2884"/>
      <c r="G2884"/>
      <c r="H2884"/>
      <c r="I2884" s="21" t="str">
        <f t="shared" si="91"/>
        <v/>
      </c>
      <c r="L2884" s="24"/>
      <c r="M2884" s="24"/>
    </row>
    <row r="2885" spans="1:13">
      <c r="A2885" s="14" t="str">
        <f t="shared" si="90"/>
        <v/>
      </c>
      <c r="C2885" s="120" t="s">
        <v>282</v>
      </c>
      <c r="D2885"/>
      <c r="E2885"/>
      <c r="F2885"/>
      <c r="G2885"/>
      <c r="H2885"/>
      <c r="I2885" s="21" t="str">
        <f t="shared" si="91"/>
        <v/>
      </c>
      <c r="L2885" s="24"/>
      <c r="M2885" s="24"/>
    </row>
    <row r="2886" spans="1:13">
      <c r="A2886" s="10" t="str">
        <f t="shared" si="90"/>
        <v/>
      </c>
      <c r="C2886" s="120" t="s">
        <v>284</v>
      </c>
      <c r="D2886"/>
      <c r="E2886"/>
      <c r="F2886"/>
      <c r="G2886"/>
      <c r="H2886"/>
      <c r="I2886" s="21" t="str">
        <f t="shared" si="91"/>
        <v/>
      </c>
      <c r="L2886" s="24"/>
      <c r="M2886" s="24"/>
    </row>
    <row r="2887" spans="1:13">
      <c r="A2887" s="14" t="str">
        <f t="shared" si="90"/>
        <v/>
      </c>
      <c r="C2887" s="120" t="s">
        <v>286</v>
      </c>
      <c r="D2887"/>
      <c r="E2887"/>
      <c r="F2887"/>
      <c r="G2887"/>
      <c r="H2887"/>
      <c r="I2887" s="21" t="str">
        <f t="shared" si="91"/>
        <v/>
      </c>
      <c r="L2887" s="24"/>
      <c r="M2887" s="24"/>
    </row>
    <row r="2888" spans="1:13">
      <c r="A2888" s="10" t="str">
        <f t="shared" si="90"/>
        <v/>
      </c>
      <c r="C2888" s="120" t="s">
        <v>126</v>
      </c>
      <c r="D2888"/>
      <c r="E2888"/>
      <c r="F2888"/>
      <c r="G2888"/>
      <c r="H2888"/>
      <c r="I2888" s="21" t="str">
        <f t="shared" si="91"/>
        <v/>
      </c>
      <c r="L2888" s="24"/>
      <c r="M2888" s="24"/>
    </row>
    <row r="2889" spans="1:13">
      <c r="A2889" s="14" t="str">
        <f t="shared" si="90"/>
        <v/>
      </c>
      <c r="C2889" s="120" t="s">
        <v>128</v>
      </c>
      <c r="D2889"/>
      <c r="E2889"/>
      <c r="F2889"/>
      <c r="G2889"/>
      <c r="H2889"/>
      <c r="I2889" s="21" t="str">
        <f t="shared" si="91"/>
        <v/>
      </c>
      <c r="L2889" s="24"/>
      <c r="M2889" s="24"/>
    </row>
    <row r="2890" spans="1:13">
      <c r="A2890" s="10" t="str">
        <f t="shared" si="90"/>
        <v/>
      </c>
      <c r="C2890" s="120" t="s">
        <v>280</v>
      </c>
      <c r="D2890"/>
      <c r="E2890"/>
      <c r="F2890"/>
      <c r="G2890"/>
      <c r="H2890"/>
      <c r="I2890" s="21" t="str">
        <f t="shared" si="91"/>
        <v/>
      </c>
      <c r="L2890" s="24"/>
      <c r="M2890" s="24"/>
    </row>
    <row r="2891" spans="1:13">
      <c r="A2891" s="14" t="str">
        <f t="shared" si="90"/>
        <v/>
      </c>
      <c r="C2891" s="120" t="s">
        <v>282</v>
      </c>
      <c r="D2891"/>
      <c r="E2891"/>
      <c r="F2891"/>
      <c r="G2891"/>
      <c r="H2891"/>
      <c r="I2891" s="21" t="str">
        <f t="shared" si="91"/>
        <v/>
      </c>
      <c r="L2891" s="24"/>
      <c r="M2891" s="24"/>
    </row>
    <row r="2892" spans="1:13">
      <c r="A2892" s="10" t="str">
        <f t="shared" si="90"/>
        <v/>
      </c>
      <c r="C2892" s="120" t="s">
        <v>284</v>
      </c>
      <c r="D2892"/>
      <c r="E2892"/>
      <c r="F2892"/>
      <c r="G2892"/>
      <c r="H2892"/>
      <c r="I2892" s="21" t="str">
        <f t="shared" si="91"/>
        <v/>
      </c>
      <c r="L2892" s="24"/>
      <c r="M2892" s="24"/>
    </row>
    <row r="2893" spans="1:13">
      <c r="A2893" s="14" t="str">
        <f t="shared" si="90"/>
        <v/>
      </c>
      <c r="C2893" s="120" t="s">
        <v>286</v>
      </c>
      <c r="D2893"/>
      <c r="E2893"/>
      <c r="F2893"/>
      <c r="G2893"/>
      <c r="H2893"/>
      <c r="I2893" s="21" t="str">
        <f t="shared" si="91"/>
        <v/>
      </c>
      <c r="L2893" s="24"/>
      <c r="M2893" s="24"/>
    </row>
    <row r="2894" spans="1:13">
      <c r="A2894" s="10" t="str">
        <f t="shared" si="90"/>
        <v/>
      </c>
      <c r="C2894" s="120" t="s">
        <v>126</v>
      </c>
      <c r="D2894"/>
      <c r="E2894"/>
      <c r="F2894"/>
      <c r="G2894"/>
      <c r="H2894"/>
      <c r="I2894" s="21" t="str">
        <f t="shared" si="91"/>
        <v/>
      </c>
      <c r="L2894" s="24"/>
      <c r="M2894" s="24"/>
    </row>
    <row r="2895" spans="1:13">
      <c r="A2895" s="14" t="str">
        <f t="shared" si="90"/>
        <v/>
      </c>
      <c r="C2895" s="120" t="s">
        <v>128</v>
      </c>
      <c r="D2895"/>
      <c r="E2895"/>
      <c r="F2895"/>
      <c r="G2895"/>
      <c r="H2895"/>
      <c r="I2895" s="21" t="str">
        <f t="shared" si="91"/>
        <v/>
      </c>
      <c r="L2895" s="24"/>
      <c r="M2895" s="24"/>
    </row>
    <row r="2896" spans="1:13">
      <c r="A2896" s="10" t="str">
        <f t="shared" si="90"/>
        <v/>
      </c>
      <c r="C2896" s="120" t="s">
        <v>280</v>
      </c>
      <c r="D2896"/>
      <c r="E2896"/>
      <c r="F2896"/>
      <c r="G2896"/>
      <c r="H2896"/>
      <c r="I2896" s="21" t="str">
        <f t="shared" si="91"/>
        <v/>
      </c>
      <c r="L2896" s="24"/>
      <c r="M2896" s="24"/>
    </row>
    <row r="2897" spans="1:13">
      <c r="A2897" s="14" t="str">
        <f t="shared" si="90"/>
        <v/>
      </c>
      <c r="C2897" s="120" t="s">
        <v>282</v>
      </c>
      <c r="D2897"/>
      <c r="E2897"/>
      <c r="F2897"/>
      <c r="G2897"/>
      <c r="H2897"/>
      <c r="I2897" s="21" t="str">
        <f t="shared" si="91"/>
        <v/>
      </c>
      <c r="L2897" s="24"/>
      <c r="M2897" s="24"/>
    </row>
    <row r="2898" spans="1:13">
      <c r="A2898" s="10" t="str">
        <f t="shared" si="90"/>
        <v/>
      </c>
      <c r="C2898" s="120" t="s">
        <v>284</v>
      </c>
      <c r="D2898"/>
      <c r="E2898"/>
      <c r="F2898"/>
      <c r="G2898"/>
      <c r="H2898"/>
      <c r="I2898" s="21" t="str">
        <f t="shared" si="91"/>
        <v/>
      </c>
      <c r="L2898" s="24"/>
      <c r="M2898" s="24"/>
    </row>
    <row r="2899" spans="1:13">
      <c r="A2899" s="14" t="str">
        <f t="shared" si="90"/>
        <v/>
      </c>
      <c r="C2899" s="120" t="s">
        <v>286</v>
      </c>
      <c r="D2899"/>
      <c r="E2899"/>
      <c r="F2899"/>
      <c r="G2899"/>
      <c r="H2899"/>
      <c r="I2899" s="21" t="str">
        <f t="shared" si="91"/>
        <v/>
      </c>
      <c r="L2899" s="24"/>
      <c r="M2899" s="24"/>
    </row>
    <row r="2900" spans="1:13">
      <c r="A2900" s="10" t="str">
        <f t="shared" si="90"/>
        <v/>
      </c>
      <c r="C2900" s="120" t="s">
        <v>126</v>
      </c>
      <c r="D2900"/>
      <c r="E2900"/>
      <c r="F2900"/>
      <c r="G2900"/>
      <c r="H2900"/>
      <c r="I2900" s="21" t="str">
        <f t="shared" si="91"/>
        <v/>
      </c>
      <c r="L2900" s="24"/>
      <c r="M2900" s="24"/>
    </row>
    <row r="2901" spans="1:13">
      <c r="A2901" s="14" t="str">
        <f t="shared" si="90"/>
        <v/>
      </c>
      <c r="C2901" s="120" t="s">
        <v>128</v>
      </c>
      <c r="D2901"/>
      <c r="E2901"/>
      <c r="F2901"/>
      <c r="G2901"/>
      <c r="H2901"/>
      <c r="I2901" s="21" t="str">
        <f t="shared" si="91"/>
        <v/>
      </c>
      <c r="L2901" s="24"/>
      <c r="M2901" s="24"/>
    </row>
    <row r="2902" spans="1:13">
      <c r="A2902" s="10" t="str">
        <f t="shared" si="90"/>
        <v/>
      </c>
      <c r="C2902" s="120" t="s">
        <v>280</v>
      </c>
      <c r="D2902"/>
      <c r="E2902"/>
      <c r="F2902"/>
      <c r="G2902"/>
      <c r="H2902"/>
      <c r="I2902" s="21" t="str">
        <f t="shared" si="91"/>
        <v/>
      </c>
      <c r="L2902" s="24"/>
      <c r="M2902" s="24"/>
    </row>
    <row r="2903" spans="1:13">
      <c r="A2903" s="14" t="str">
        <f t="shared" si="90"/>
        <v/>
      </c>
      <c r="C2903" s="120" t="s">
        <v>282</v>
      </c>
      <c r="D2903"/>
      <c r="E2903"/>
      <c r="F2903"/>
      <c r="G2903"/>
      <c r="H2903"/>
      <c r="I2903" s="21" t="str">
        <f t="shared" si="91"/>
        <v/>
      </c>
      <c r="L2903" s="24"/>
      <c r="M2903" s="24"/>
    </row>
    <row r="2904" spans="1:13">
      <c r="A2904" s="10" t="str">
        <f t="shared" si="90"/>
        <v/>
      </c>
      <c r="C2904" s="120" t="s">
        <v>284</v>
      </c>
      <c r="D2904"/>
      <c r="E2904"/>
      <c r="F2904"/>
      <c r="G2904"/>
      <c r="H2904"/>
      <c r="I2904" s="21" t="str">
        <f t="shared" si="91"/>
        <v/>
      </c>
      <c r="L2904" s="24"/>
      <c r="M2904" s="24"/>
    </row>
    <row r="2905" spans="1:13">
      <c r="A2905" s="14" t="str">
        <f t="shared" si="90"/>
        <v/>
      </c>
      <c r="C2905" s="120" t="s">
        <v>286</v>
      </c>
      <c r="D2905"/>
      <c r="E2905"/>
      <c r="F2905"/>
      <c r="G2905"/>
      <c r="H2905"/>
      <c r="I2905" s="21" t="str">
        <f t="shared" si="91"/>
        <v/>
      </c>
      <c r="L2905" s="24"/>
      <c r="M2905" s="24"/>
    </row>
    <row r="2906" spans="1:13">
      <c r="A2906" s="10" t="str">
        <f t="shared" si="90"/>
        <v/>
      </c>
      <c r="C2906" s="120" t="s">
        <v>126</v>
      </c>
      <c r="D2906"/>
      <c r="E2906"/>
      <c r="F2906"/>
      <c r="G2906"/>
      <c r="H2906"/>
      <c r="I2906" s="21" t="str">
        <f t="shared" si="91"/>
        <v/>
      </c>
      <c r="L2906" s="24"/>
      <c r="M2906" s="24"/>
    </row>
    <row r="2907" spans="1:13">
      <c r="A2907" s="14" t="str">
        <f t="shared" si="90"/>
        <v/>
      </c>
      <c r="C2907" s="120" t="s">
        <v>128</v>
      </c>
      <c r="D2907"/>
      <c r="E2907"/>
      <c r="F2907"/>
      <c r="G2907"/>
      <c r="H2907"/>
      <c r="I2907" s="21" t="str">
        <f t="shared" si="91"/>
        <v/>
      </c>
      <c r="L2907" s="24"/>
      <c r="M2907" s="24"/>
    </row>
    <row r="2908" spans="1:13">
      <c r="A2908" s="10" t="str">
        <f t="shared" si="90"/>
        <v/>
      </c>
      <c r="C2908" s="120" t="s">
        <v>280</v>
      </c>
      <c r="D2908"/>
      <c r="E2908"/>
      <c r="F2908"/>
      <c r="G2908"/>
      <c r="H2908"/>
      <c r="I2908" s="21" t="str">
        <f t="shared" si="91"/>
        <v/>
      </c>
      <c r="L2908" s="24"/>
      <c r="M2908" s="24"/>
    </row>
    <row r="2909" spans="1:13">
      <c r="A2909" s="14" t="str">
        <f t="shared" si="90"/>
        <v/>
      </c>
      <c r="C2909" s="120" t="s">
        <v>282</v>
      </c>
      <c r="D2909"/>
      <c r="E2909"/>
      <c r="F2909"/>
      <c r="G2909"/>
      <c r="H2909"/>
      <c r="I2909" s="21" t="str">
        <f t="shared" si="91"/>
        <v/>
      </c>
      <c r="L2909" s="24"/>
      <c r="M2909" s="24"/>
    </row>
    <row r="2910" spans="1:13">
      <c r="A2910" s="10" t="str">
        <f t="shared" si="90"/>
        <v/>
      </c>
      <c r="C2910" s="120" t="s">
        <v>284</v>
      </c>
      <c r="D2910"/>
      <c r="E2910"/>
      <c r="F2910"/>
      <c r="G2910"/>
      <c r="H2910"/>
      <c r="I2910" s="21" t="str">
        <f t="shared" si="91"/>
        <v/>
      </c>
      <c r="L2910" s="24"/>
      <c r="M2910" s="24"/>
    </row>
    <row r="2911" spans="1:13">
      <c r="A2911" s="14" t="str">
        <f t="shared" si="90"/>
        <v/>
      </c>
      <c r="C2911" s="120" t="s">
        <v>286</v>
      </c>
      <c r="D2911"/>
      <c r="E2911"/>
      <c r="F2911"/>
      <c r="G2911"/>
      <c r="H2911"/>
      <c r="I2911" s="21" t="str">
        <f t="shared" si="91"/>
        <v/>
      </c>
      <c r="L2911" s="24"/>
      <c r="M2911" s="24"/>
    </row>
    <row r="2912" spans="1:13">
      <c r="A2912" s="10" t="str">
        <f t="shared" si="90"/>
        <v/>
      </c>
      <c r="C2912" s="120" t="s">
        <v>126</v>
      </c>
      <c r="D2912"/>
      <c r="E2912"/>
      <c r="F2912"/>
      <c r="G2912"/>
      <c r="H2912"/>
      <c r="I2912" s="21" t="str">
        <f t="shared" si="91"/>
        <v/>
      </c>
      <c r="L2912" s="24"/>
      <c r="M2912" s="24"/>
    </row>
    <row r="2913" spans="1:13">
      <c r="A2913" s="14" t="str">
        <f t="shared" si="90"/>
        <v/>
      </c>
      <c r="C2913" s="120" t="s">
        <v>128</v>
      </c>
      <c r="D2913"/>
      <c r="E2913"/>
      <c r="F2913"/>
      <c r="G2913"/>
      <c r="H2913"/>
      <c r="I2913" s="21" t="str">
        <f t="shared" si="91"/>
        <v/>
      </c>
      <c r="L2913" s="24"/>
      <c r="M2913" s="24"/>
    </row>
    <row r="2914" spans="1:13">
      <c r="A2914" s="10" t="str">
        <f t="shared" si="90"/>
        <v/>
      </c>
      <c r="C2914" s="120" t="s">
        <v>280</v>
      </c>
      <c r="D2914"/>
      <c r="E2914"/>
      <c r="F2914"/>
      <c r="G2914"/>
      <c r="H2914"/>
      <c r="I2914" s="21" t="str">
        <f t="shared" si="91"/>
        <v/>
      </c>
      <c r="L2914" s="24"/>
      <c r="M2914" s="24"/>
    </row>
    <row r="2915" spans="1:13">
      <c r="A2915" s="14" t="str">
        <f t="shared" si="90"/>
        <v/>
      </c>
      <c r="C2915" s="120" t="s">
        <v>282</v>
      </c>
      <c r="D2915"/>
      <c r="E2915"/>
      <c r="F2915"/>
      <c r="G2915"/>
      <c r="H2915"/>
      <c r="I2915" s="21" t="str">
        <f t="shared" si="91"/>
        <v/>
      </c>
      <c r="L2915" s="24"/>
      <c r="M2915" s="24"/>
    </row>
    <row r="2916" spans="1:13">
      <c r="A2916" s="10" t="str">
        <f t="shared" si="90"/>
        <v/>
      </c>
      <c r="C2916" s="120" t="s">
        <v>284</v>
      </c>
      <c r="D2916"/>
      <c r="E2916"/>
      <c r="F2916"/>
      <c r="G2916"/>
      <c r="H2916"/>
      <c r="I2916" s="21" t="str">
        <f t="shared" si="91"/>
        <v/>
      </c>
      <c r="L2916" s="24"/>
      <c r="M2916" s="24"/>
    </row>
    <row r="2917" spans="1:13">
      <c r="A2917" s="14" t="str">
        <f t="shared" si="90"/>
        <v/>
      </c>
      <c r="C2917" s="120" t="s">
        <v>286</v>
      </c>
      <c r="D2917"/>
      <c r="E2917"/>
      <c r="F2917"/>
      <c r="G2917"/>
      <c r="H2917"/>
      <c r="I2917" s="21" t="str">
        <f t="shared" si="91"/>
        <v/>
      </c>
      <c r="L2917" s="24"/>
      <c r="M2917" s="24"/>
    </row>
    <row r="2918" spans="1:13">
      <c r="A2918" s="10" t="str">
        <f t="shared" si="90"/>
        <v/>
      </c>
      <c r="C2918" s="120" t="s">
        <v>126</v>
      </c>
      <c r="D2918"/>
      <c r="E2918"/>
      <c r="F2918"/>
      <c r="G2918"/>
      <c r="H2918"/>
      <c r="I2918" s="21" t="str">
        <f t="shared" si="91"/>
        <v/>
      </c>
      <c r="L2918" s="24"/>
      <c r="M2918" s="24"/>
    </row>
    <row r="2919" spans="1:13">
      <c r="A2919" s="14" t="str">
        <f t="shared" si="90"/>
        <v/>
      </c>
      <c r="C2919" s="120" t="s">
        <v>128</v>
      </c>
      <c r="D2919"/>
      <c r="E2919"/>
      <c r="F2919"/>
      <c r="G2919"/>
      <c r="H2919"/>
      <c r="I2919" s="21" t="str">
        <f t="shared" si="91"/>
        <v/>
      </c>
      <c r="L2919" s="24"/>
      <c r="M2919" s="24"/>
    </row>
    <row r="2920" spans="1:13">
      <c r="A2920" s="10" t="str">
        <f t="shared" si="90"/>
        <v/>
      </c>
      <c r="C2920" s="120" t="s">
        <v>280</v>
      </c>
      <c r="D2920"/>
      <c r="E2920"/>
      <c r="F2920"/>
      <c r="G2920"/>
      <c r="H2920"/>
      <c r="I2920" s="21" t="str">
        <f t="shared" si="91"/>
        <v/>
      </c>
      <c r="L2920" s="24"/>
      <c r="M2920" s="24"/>
    </row>
    <row r="2921" spans="1:13">
      <c r="A2921" s="14" t="str">
        <f t="shared" si="90"/>
        <v/>
      </c>
      <c r="C2921" s="120" t="s">
        <v>282</v>
      </c>
      <c r="D2921"/>
      <c r="E2921"/>
      <c r="F2921"/>
      <c r="G2921"/>
      <c r="H2921"/>
      <c r="I2921" s="21" t="str">
        <f t="shared" si="91"/>
        <v/>
      </c>
      <c r="L2921" s="24"/>
      <c r="M2921" s="24"/>
    </row>
    <row r="2922" spans="1:13">
      <c r="A2922" s="10" t="str">
        <f t="shared" si="90"/>
        <v/>
      </c>
      <c r="C2922" s="120" t="s">
        <v>284</v>
      </c>
      <c r="D2922"/>
      <c r="E2922"/>
      <c r="F2922"/>
      <c r="G2922"/>
      <c r="H2922"/>
      <c r="I2922" s="21" t="str">
        <f t="shared" si="91"/>
        <v/>
      </c>
      <c r="L2922" s="24"/>
      <c r="M2922" s="24"/>
    </row>
    <row r="2923" spans="1:13">
      <c r="A2923" s="14" t="str">
        <f t="shared" si="90"/>
        <v/>
      </c>
      <c r="C2923" s="120" t="s">
        <v>286</v>
      </c>
      <c r="D2923"/>
      <c r="E2923"/>
      <c r="F2923"/>
      <c r="G2923"/>
      <c r="H2923"/>
      <c r="I2923" s="21" t="str">
        <f t="shared" si="91"/>
        <v/>
      </c>
      <c r="L2923" s="24"/>
      <c r="M2923" s="24"/>
    </row>
    <row r="2924" spans="1:13">
      <c r="A2924" s="10" t="str">
        <f t="shared" si="90"/>
        <v/>
      </c>
      <c r="C2924" s="120" t="s">
        <v>126</v>
      </c>
      <c r="D2924"/>
      <c r="E2924"/>
      <c r="F2924"/>
      <c r="G2924"/>
      <c r="H2924"/>
      <c r="I2924" s="21" t="str">
        <f t="shared" si="91"/>
        <v/>
      </c>
      <c r="L2924" s="24"/>
      <c r="M2924" s="24"/>
    </row>
    <row r="2925" spans="1:13">
      <c r="A2925" s="14" t="str">
        <f t="shared" si="90"/>
        <v/>
      </c>
      <c r="C2925" s="120" t="s">
        <v>128</v>
      </c>
      <c r="D2925"/>
      <c r="E2925"/>
      <c r="F2925"/>
      <c r="G2925"/>
      <c r="H2925"/>
      <c r="I2925" s="21" t="str">
        <f t="shared" si="91"/>
        <v/>
      </c>
      <c r="L2925" s="24"/>
      <c r="M2925" s="24"/>
    </row>
    <row r="2926" spans="1:13">
      <c r="A2926" s="10" t="str">
        <f t="shared" si="90"/>
        <v/>
      </c>
      <c r="C2926" s="120" t="s">
        <v>280</v>
      </c>
      <c r="D2926"/>
      <c r="E2926"/>
      <c r="F2926"/>
      <c r="G2926"/>
      <c r="H2926"/>
      <c r="I2926" s="21" t="str">
        <f t="shared" si="91"/>
        <v/>
      </c>
      <c r="L2926" s="24"/>
      <c r="M2926" s="24"/>
    </row>
    <row r="2927" spans="1:13">
      <c r="A2927" s="14" t="str">
        <f t="shared" si="90"/>
        <v/>
      </c>
      <c r="C2927" s="120" t="s">
        <v>282</v>
      </c>
      <c r="D2927"/>
      <c r="E2927"/>
      <c r="F2927"/>
      <c r="G2927"/>
      <c r="H2927"/>
      <c r="I2927" s="21" t="str">
        <f t="shared" si="91"/>
        <v/>
      </c>
      <c r="L2927" s="24"/>
      <c r="M2927" s="24"/>
    </row>
    <row r="2928" spans="1:13">
      <c r="A2928" s="10" t="str">
        <f t="shared" si="90"/>
        <v/>
      </c>
      <c r="C2928" s="120" t="s">
        <v>284</v>
      </c>
      <c r="D2928"/>
      <c r="E2928"/>
      <c r="F2928"/>
      <c r="G2928"/>
      <c r="H2928"/>
      <c r="I2928" s="21" t="str">
        <f t="shared" si="91"/>
        <v/>
      </c>
      <c r="L2928" s="24"/>
      <c r="M2928" s="24"/>
    </row>
    <row r="2929" spans="1:13">
      <c r="A2929" s="14" t="str">
        <f t="shared" si="90"/>
        <v/>
      </c>
      <c r="C2929" s="120" t="s">
        <v>286</v>
      </c>
      <c r="D2929"/>
      <c r="E2929"/>
      <c r="F2929"/>
      <c r="G2929"/>
      <c r="H2929"/>
      <c r="I2929" s="21" t="str">
        <f t="shared" si="91"/>
        <v/>
      </c>
      <c r="L2929" s="24"/>
      <c r="M2929" s="24"/>
    </row>
    <row r="2930" spans="1:13">
      <c r="A2930" s="10" t="str">
        <f t="shared" si="90"/>
        <v/>
      </c>
      <c r="C2930" s="120" t="s">
        <v>126</v>
      </c>
      <c r="D2930"/>
      <c r="E2930"/>
      <c r="F2930"/>
      <c r="G2930"/>
      <c r="H2930"/>
      <c r="I2930" s="21" t="str">
        <f t="shared" si="91"/>
        <v/>
      </c>
      <c r="L2930" s="24"/>
      <c r="M2930" s="24"/>
    </row>
    <row r="2931" spans="1:13">
      <c r="A2931" s="14" t="str">
        <f t="shared" si="90"/>
        <v/>
      </c>
      <c r="C2931" s="120" t="s">
        <v>128</v>
      </c>
      <c r="D2931"/>
      <c r="E2931"/>
      <c r="F2931"/>
      <c r="G2931"/>
      <c r="H2931"/>
      <c r="I2931" s="21" t="str">
        <f t="shared" si="91"/>
        <v/>
      </c>
      <c r="L2931" s="24"/>
      <c r="M2931" s="24"/>
    </row>
    <row r="2932" spans="1:13">
      <c r="A2932" s="10" t="str">
        <f t="shared" si="90"/>
        <v/>
      </c>
      <c r="C2932" s="120" t="s">
        <v>280</v>
      </c>
      <c r="D2932"/>
      <c r="E2932"/>
      <c r="F2932"/>
      <c r="G2932"/>
      <c r="H2932"/>
      <c r="I2932" s="21" t="str">
        <f t="shared" si="91"/>
        <v/>
      </c>
      <c r="L2932" s="24"/>
      <c r="M2932" s="24"/>
    </row>
    <row r="2933" spans="1:13">
      <c r="A2933" s="14" t="str">
        <f t="shared" si="90"/>
        <v/>
      </c>
      <c r="C2933" s="120" t="s">
        <v>282</v>
      </c>
      <c r="D2933"/>
      <c r="E2933"/>
      <c r="F2933"/>
      <c r="G2933"/>
      <c r="H2933"/>
      <c r="I2933" s="21" t="str">
        <f t="shared" si="91"/>
        <v/>
      </c>
      <c r="L2933" s="24"/>
      <c r="M2933" s="24"/>
    </row>
    <row r="2934" spans="1:13">
      <c r="A2934" s="10" t="str">
        <f t="shared" si="90"/>
        <v/>
      </c>
      <c r="C2934" s="120" t="s">
        <v>284</v>
      </c>
      <c r="D2934"/>
      <c r="E2934"/>
      <c r="F2934"/>
      <c r="G2934"/>
      <c r="H2934"/>
      <c r="I2934" s="21" t="str">
        <f t="shared" si="91"/>
        <v/>
      </c>
      <c r="L2934" s="24"/>
      <c r="M2934" s="24"/>
    </row>
    <row r="2935" spans="1:13">
      <c r="A2935" s="14" t="str">
        <f t="shared" si="90"/>
        <v/>
      </c>
      <c r="C2935" s="120" t="s">
        <v>286</v>
      </c>
      <c r="D2935"/>
      <c r="E2935"/>
      <c r="F2935"/>
      <c r="G2935"/>
      <c r="H2935"/>
      <c r="I2935" s="21" t="str">
        <f t="shared" si="91"/>
        <v/>
      </c>
      <c r="L2935" s="24"/>
      <c r="M2935" s="24"/>
    </row>
    <row r="2936" spans="1:13">
      <c r="A2936" s="10" t="str">
        <f t="shared" si="90"/>
        <v/>
      </c>
      <c r="C2936" s="120" t="s">
        <v>126</v>
      </c>
      <c r="D2936"/>
      <c r="E2936"/>
      <c r="F2936"/>
      <c r="G2936"/>
      <c r="H2936"/>
      <c r="I2936" s="21" t="str">
        <f t="shared" si="91"/>
        <v/>
      </c>
      <c r="L2936" s="24"/>
      <c r="M2936" s="24"/>
    </row>
    <row r="2937" spans="1:13">
      <c r="A2937" s="14" t="str">
        <f t="shared" si="90"/>
        <v/>
      </c>
      <c r="C2937" s="120" t="s">
        <v>128</v>
      </c>
      <c r="D2937"/>
      <c r="E2937"/>
      <c r="F2937"/>
      <c r="G2937"/>
      <c r="H2937"/>
      <c r="I2937" s="21" t="str">
        <f t="shared" si="91"/>
        <v/>
      </c>
      <c r="L2937" s="24"/>
      <c r="M2937" s="24"/>
    </row>
    <row r="2938" spans="1:13">
      <c r="A2938" s="10" t="str">
        <f t="shared" si="90"/>
        <v/>
      </c>
      <c r="C2938" s="120" t="s">
        <v>280</v>
      </c>
      <c r="D2938"/>
      <c r="E2938"/>
      <c r="F2938"/>
      <c r="G2938"/>
      <c r="H2938"/>
      <c r="I2938" s="21" t="str">
        <f t="shared" si="91"/>
        <v/>
      </c>
      <c r="L2938" s="24"/>
      <c r="M2938" s="24"/>
    </row>
    <row r="2939" spans="1:13">
      <c r="A2939" s="14" t="str">
        <f t="shared" si="90"/>
        <v/>
      </c>
      <c r="C2939" s="120" t="s">
        <v>282</v>
      </c>
      <c r="D2939"/>
      <c r="E2939"/>
      <c r="F2939"/>
      <c r="G2939"/>
      <c r="H2939"/>
      <c r="I2939" s="21" t="str">
        <f t="shared" si="91"/>
        <v/>
      </c>
      <c r="L2939" s="24"/>
      <c r="M2939" s="24"/>
    </row>
    <row r="2940" spans="1:13">
      <c r="A2940" s="10" t="str">
        <f t="shared" si="90"/>
        <v/>
      </c>
      <c r="C2940" s="120" t="s">
        <v>284</v>
      </c>
      <c r="D2940"/>
      <c r="E2940"/>
      <c r="F2940"/>
      <c r="G2940"/>
      <c r="H2940"/>
      <c r="I2940" s="21" t="str">
        <f t="shared" si="91"/>
        <v/>
      </c>
      <c r="L2940" s="24"/>
      <c r="M2940" s="24"/>
    </row>
    <row r="2941" spans="1:13">
      <c r="A2941" s="14" t="str">
        <f t="shared" si="90"/>
        <v/>
      </c>
      <c r="C2941" s="120" t="s">
        <v>286</v>
      </c>
      <c r="D2941"/>
      <c r="E2941"/>
      <c r="F2941"/>
      <c r="G2941"/>
      <c r="H2941"/>
      <c r="I2941" s="21" t="str">
        <f t="shared" si="91"/>
        <v/>
      </c>
      <c r="L2941" s="24"/>
      <c r="M2941" s="24"/>
    </row>
    <row r="2942" spans="1:13">
      <c r="A2942" s="10" t="str">
        <f t="shared" si="90"/>
        <v/>
      </c>
      <c r="C2942" s="120" t="s">
        <v>126</v>
      </c>
      <c r="D2942"/>
      <c r="E2942"/>
      <c r="F2942"/>
      <c r="G2942"/>
      <c r="H2942"/>
      <c r="I2942" s="21" t="str">
        <f t="shared" si="91"/>
        <v/>
      </c>
      <c r="L2942" s="24"/>
      <c r="M2942" s="24"/>
    </row>
    <row r="2943" spans="1:13">
      <c r="A2943" s="14" t="str">
        <f t="shared" si="90"/>
        <v/>
      </c>
      <c r="C2943" s="120" t="s">
        <v>128</v>
      </c>
      <c r="D2943"/>
      <c r="E2943"/>
      <c r="F2943"/>
      <c r="G2943"/>
      <c r="H2943"/>
      <c r="I2943" s="21" t="str">
        <f t="shared" si="91"/>
        <v/>
      </c>
      <c r="L2943" s="24"/>
      <c r="M2943" s="24"/>
    </row>
    <row r="2944" spans="1:13">
      <c r="A2944" s="10" t="str">
        <f t="shared" si="90"/>
        <v/>
      </c>
      <c r="C2944" s="120" t="s">
        <v>280</v>
      </c>
      <c r="D2944"/>
      <c r="E2944"/>
      <c r="F2944"/>
      <c r="G2944"/>
      <c r="H2944"/>
      <c r="I2944" s="21" t="str">
        <f t="shared" si="91"/>
        <v/>
      </c>
      <c r="L2944" s="24"/>
      <c r="M2944" s="24"/>
    </row>
    <row r="2945" spans="1:13">
      <c r="A2945" s="14" t="str">
        <f t="shared" si="90"/>
        <v/>
      </c>
      <c r="C2945" s="120" t="s">
        <v>282</v>
      </c>
      <c r="D2945"/>
      <c r="E2945"/>
      <c r="F2945"/>
      <c r="G2945"/>
      <c r="H2945"/>
      <c r="I2945" s="21" t="str">
        <f t="shared" si="91"/>
        <v/>
      </c>
      <c r="L2945" s="24"/>
      <c r="M2945" s="24"/>
    </row>
    <row r="2946" spans="1:13">
      <c r="A2946" s="10" t="str">
        <f t="shared" ref="A2946:A3009" si="92">IF(B2946&lt;&gt;"",ROW()-1,"")</f>
        <v/>
      </c>
      <c r="C2946" s="120" t="s">
        <v>284</v>
      </c>
      <c r="D2946"/>
      <c r="E2946"/>
      <c r="F2946"/>
      <c r="G2946"/>
      <c r="H2946"/>
      <c r="I2946" s="21" t="str">
        <f t="shared" ref="I2946:I3009" si="93">IF(AND(G2946&lt;&gt;"",H2946&lt;&gt;""),H2946-G2946,"")</f>
        <v/>
      </c>
      <c r="L2946" s="24"/>
      <c r="M2946" s="24"/>
    </row>
    <row r="2947" spans="1:13">
      <c r="A2947" s="14" t="str">
        <f t="shared" si="92"/>
        <v/>
      </c>
      <c r="C2947" s="120" t="s">
        <v>286</v>
      </c>
      <c r="D2947"/>
      <c r="E2947"/>
      <c r="F2947"/>
      <c r="G2947"/>
      <c r="H2947"/>
      <c r="I2947" s="21" t="str">
        <f t="shared" si="93"/>
        <v/>
      </c>
      <c r="L2947" s="24"/>
      <c r="M2947" s="24"/>
    </row>
    <row r="2948" spans="1:13">
      <c r="A2948" s="10" t="str">
        <f t="shared" si="92"/>
        <v/>
      </c>
      <c r="C2948" s="120" t="s">
        <v>126</v>
      </c>
      <c r="D2948"/>
      <c r="E2948"/>
      <c r="F2948"/>
      <c r="G2948"/>
      <c r="H2948"/>
      <c r="I2948" s="21" t="str">
        <f t="shared" si="93"/>
        <v/>
      </c>
      <c r="L2948" s="24"/>
      <c r="M2948" s="24"/>
    </row>
    <row r="2949" spans="1:13">
      <c r="A2949" s="14" t="str">
        <f t="shared" si="92"/>
        <v/>
      </c>
      <c r="C2949" s="120" t="s">
        <v>128</v>
      </c>
      <c r="D2949"/>
      <c r="E2949"/>
      <c r="F2949"/>
      <c r="G2949"/>
      <c r="H2949"/>
      <c r="I2949" s="21" t="str">
        <f t="shared" si="93"/>
        <v/>
      </c>
      <c r="L2949" s="24"/>
      <c r="M2949" s="24"/>
    </row>
    <row r="2950" spans="1:13">
      <c r="A2950" s="10" t="str">
        <f t="shared" si="92"/>
        <v/>
      </c>
      <c r="C2950" s="120" t="s">
        <v>280</v>
      </c>
      <c r="D2950"/>
      <c r="E2950"/>
      <c r="F2950"/>
      <c r="G2950"/>
      <c r="H2950"/>
      <c r="I2950" s="21" t="str">
        <f t="shared" si="93"/>
        <v/>
      </c>
      <c r="L2950" s="24"/>
      <c r="M2950" s="24"/>
    </row>
    <row r="2951" spans="1:13">
      <c r="A2951" s="14" t="str">
        <f t="shared" si="92"/>
        <v/>
      </c>
      <c r="C2951" s="120" t="s">
        <v>282</v>
      </c>
      <c r="D2951"/>
      <c r="E2951"/>
      <c r="F2951"/>
      <c r="G2951"/>
      <c r="H2951"/>
      <c r="I2951" s="21" t="str">
        <f t="shared" si="93"/>
        <v/>
      </c>
      <c r="L2951" s="24"/>
      <c r="M2951" s="24"/>
    </row>
    <row r="2952" spans="1:13">
      <c r="A2952" s="10" t="str">
        <f t="shared" si="92"/>
        <v/>
      </c>
      <c r="C2952" s="120" t="s">
        <v>284</v>
      </c>
      <c r="D2952"/>
      <c r="E2952"/>
      <c r="F2952"/>
      <c r="G2952"/>
      <c r="H2952"/>
      <c r="I2952" s="21" t="str">
        <f t="shared" si="93"/>
        <v/>
      </c>
      <c r="L2952" s="24"/>
      <c r="M2952" s="24"/>
    </row>
    <row r="2953" spans="1:13">
      <c r="A2953" s="14" t="str">
        <f t="shared" si="92"/>
        <v/>
      </c>
      <c r="C2953" s="120" t="s">
        <v>286</v>
      </c>
      <c r="D2953"/>
      <c r="E2953"/>
      <c r="F2953"/>
      <c r="G2953"/>
      <c r="H2953"/>
      <c r="I2953" s="21" t="str">
        <f t="shared" si="93"/>
        <v/>
      </c>
      <c r="L2953" s="24"/>
      <c r="M2953" s="24"/>
    </row>
    <row r="2954" spans="1:13">
      <c r="A2954" s="10" t="str">
        <f t="shared" si="92"/>
        <v/>
      </c>
      <c r="C2954" s="120" t="s">
        <v>126</v>
      </c>
      <c r="D2954"/>
      <c r="E2954"/>
      <c r="F2954"/>
      <c r="G2954"/>
      <c r="H2954"/>
      <c r="I2954" s="21" t="str">
        <f t="shared" si="93"/>
        <v/>
      </c>
      <c r="L2954" s="24"/>
      <c r="M2954" s="24"/>
    </row>
    <row r="2955" spans="1:13">
      <c r="A2955" s="14" t="str">
        <f t="shared" si="92"/>
        <v/>
      </c>
      <c r="C2955" s="120" t="s">
        <v>128</v>
      </c>
      <c r="D2955"/>
      <c r="E2955"/>
      <c r="F2955"/>
      <c r="G2955"/>
      <c r="H2955"/>
      <c r="I2955" s="21" t="str">
        <f t="shared" si="93"/>
        <v/>
      </c>
      <c r="L2955" s="24"/>
      <c r="M2955" s="24"/>
    </row>
    <row r="2956" spans="1:13">
      <c r="A2956" s="10" t="str">
        <f t="shared" si="92"/>
        <v/>
      </c>
      <c r="C2956" s="120" t="s">
        <v>280</v>
      </c>
      <c r="D2956"/>
      <c r="E2956"/>
      <c r="F2956"/>
      <c r="G2956"/>
      <c r="H2956"/>
      <c r="I2956" s="21" t="str">
        <f t="shared" si="93"/>
        <v/>
      </c>
      <c r="L2956" s="24"/>
      <c r="M2956" s="24"/>
    </row>
    <row r="2957" spans="1:13">
      <c r="A2957" s="14" t="str">
        <f t="shared" si="92"/>
        <v/>
      </c>
      <c r="C2957" s="120" t="s">
        <v>282</v>
      </c>
      <c r="D2957"/>
      <c r="E2957"/>
      <c r="F2957"/>
      <c r="G2957"/>
      <c r="H2957"/>
      <c r="I2957" s="21" t="str">
        <f t="shared" si="93"/>
        <v/>
      </c>
      <c r="L2957" s="24"/>
      <c r="M2957" s="24"/>
    </row>
    <row r="2958" spans="1:13">
      <c r="A2958" s="10" t="str">
        <f t="shared" si="92"/>
        <v/>
      </c>
      <c r="C2958" s="120" t="s">
        <v>284</v>
      </c>
      <c r="D2958"/>
      <c r="E2958"/>
      <c r="F2958"/>
      <c r="G2958"/>
      <c r="H2958"/>
      <c r="I2958" s="21" t="str">
        <f t="shared" si="93"/>
        <v/>
      </c>
      <c r="L2958" s="24"/>
      <c r="M2958" s="24"/>
    </row>
    <row r="2959" spans="1:13">
      <c r="A2959" s="14" t="str">
        <f t="shared" si="92"/>
        <v/>
      </c>
      <c r="C2959" s="120" t="s">
        <v>286</v>
      </c>
      <c r="D2959"/>
      <c r="E2959"/>
      <c r="F2959"/>
      <c r="G2959"/>
      <c r="H2959"/>
      <c r="I2959" s="21" t="str">
        <f t="shared" si="93"/>
        <v/>
      </c>
      <c r="L2959" s="24"/>
      <c r="M2959" s="24"/>
    </row>
    <row r="2960" spans="1:13">
      <c r="A2960" s="10" t="str">
        <f t="shared" si="92"/>
        <v/>
      </c>
      <c r="C2960" s="120" t="s">
        <v>126</v>
      </c>
      <c r="D2960"/>
      <c r="E2960"/>
      <c r="F2960"/>
      <c r="G2960"/>
      <c r="H2960"/>
      <c r="I2960" s="21" t="str">
        <f t="shared" si="93"/>
        <v/>
      </c>
      <c r="L2960" s="24"/>
      <c r="M2960" s="24"/>
    </row>
    <row r="2961" spans="1:13">
      <c r="A2961" s="14" t="str">
        <f t="shared" si="92"/>
        <v/>
      </c>
      <c r="C2961" s="120" t="s">
        <v>128</v>
      </c>
      <c r="D2961"/>
      <c r="E2961"/>
      <c r="F2961"/>
      <c r="G2961"/>
      <c r="H2961"/>
      <c r="I2961" s="21" t="str">
        <f t="shared" si="93"/>
        <v/>
      </c>
      <c r="L2961" s="24"/>
      <c r="M2961" s="24"/>
    </row>
    <row r="2962" spans="1:13">
      <c r="A2962" s="10" t="str">
        <f t="shared" si="92"/>
        <v/>
      </c>
      <c r="C2962" s="120" t="s">
        <v>280</v>
      </c>
      <c r="D2962"/>
      <c r="E2962"/>
      <c r="F2962"/>
      <c r="G2962"/>
      <c r="H2962"/>
      <c r="I2962" s="21" t="str">
        <f t="shared" si="93"/>
        <v/>
      </c>
      <c r="L2962" s="24"/>
      <c r="M2962" s="24"/>
    </row>
    <row r="2963" spans="1:13">
      <c r="A2963" s="14" t="str">
        <f t="shared" si="92"/>
        <v/>
      </c>
      <c r="C2963" s="120" t="s">
        <v>282</v>
      </c>
      <c r="D2963"/>
      <c r="E2963"/>
      <c r="F2963"/>
      <c r="G2963"/>
      <c r="H2963"/>
      <c r="I2963" s="21" t="str">
        <f t="shared" si="93"/>
        <v/>
      </c>
      <c r="L2963" s="24"/>
      <c r="M2963" s="24"/>
    </row>
    <row r="2964" spans="1:13">
      <c r="A2964" s="10" t="str">
        <f t="shared" si="92"/>
        <v/>
      </c>
      <c r="C2964" s="120" t="s">
        <v>284</v>
      </c>
      <c r="D2964"/>
      <c r="E2964"/>
      <c r="F2964"/>
      <c r="G2964"/>
      <c r="H2964"/>
      <c r="I2964" s="21" t="str">
        <f t="shared" si="93"/>
        <v/>
      </c>
      <c r="L2964" s="24"/>
      <c r="M2964" s="24"/>
    </row>
    <row r="2965" spans="1:13">
      <c r="A2965" s="14" t="str">
        <f t="shared" si="92"/>
        <v/>
      </c>
      <c r="C2965" s="120" t="s">
        <v>286</v>
      </c>
      <c r="D2965"/>
      <c r="E2965"/>
      <c r="F2965"/>
      <c r="G2965"/>
      <c r="H2965"/>
      <c r="I2965" s="21" t="str">
        <f t="shared" si="93"/>
        <v/>
      </c>
      <c r="L2965" s="24"/>
      <c r="M2965" s="24"/>
    </row>
    <row r="2966" spans="1:13">
      <c r="A2966" s="10" t="str">
        <f t="shared" si="92"/>
        <v/>
      </c>
      <c r="C2966" s="120" t="s">
        <v>126</v>
      </c>
      <c r="D2966"/>
      <c r="E2966"/>
      <c r="F2966"/>
      <c r="G2966"/>
      <c r="H2966"/>
      <c r="I2966" s="21" t="str">
        <f t="shared" si="93"/>
        <v/>
      </c>
      <c r="L2966" s="24"/>
      <c r="M2966" s="24"/>
    </row>
    <row r="2967" spans="1:13">
      <c r="A2967" s="14" t="str">
        <f t="shared" si="92"/>
        <v/>
      </c>
      <c r="C2967" s="120" t="s">
        <v>128</v>
      </c>
      <c r="D2967"/>
      <c r="E2967"/>
      <c r="F2967"/>
      <c r="G2967"/>
      <c r="H2967"/>
      <c r="I2967" s="21" t="str">
        <f t="shared" si="93"/>
        <v/>
      </c>
      <c r="L2967" s="24"/>
      <c r="M2967" s="24"/>
    </row>
    <row r="2968" spans="1:13">
      <c r="A2968" s="10" t="str">
        <f t="shared" si="92"/>
        <v/>
      </c>
      <c r="C2968" s="120" t="s">
        <v>280</v>
      </c>
      <c r="D2968"/>
      <c r="E2968"/>
      <c r="F2968"/>
      <c r="G2968"/>
      <c r="H2968"/>
      <c r="I2968" s="21" t="str">
        <f t="shared" si="93"/>
        <v/>
      </c>
      <c r="L2968" s="24"/>
      <c r="M2968" s="24"/>
    </row>
    <row r="2969" spans="1:13">
      <c r="A2969" s="14" t="str">
        <f t="shared" si="92"/>
        <v/>
      </c>
      <c r="C2969" s="120" t="s">
        <v>282</v>
      </c>
      <c r="D2969"/>
      <c r="E2969"/>
      <c r="F2969"/>
      <c r="G2969"/>
      <c r="H2969"/>
      <c r="I2969" s="21" t="str">
        <f t="shared" si="93"/>
        <v/>
      </c>
      <c r="L2969" s="24"/>
      <c r="M2969" s="24"/>
    </row>
    <row r="2970" spans="1:13">
      <c r="A2970" s="10" t="str">
        <f t="shared" si="92"/>
        <v/>
      </c>
      <c r="C2970" s="120" t="s">
        <v>284</v>
      </c>
      <c r="D2970"/>
      <c r="E2970"/>
      <c r="F2970"/>
      <c r="G2970"/>
      <c r="H2970"/>
      <c r="I2970" s="21" t="str">
        <f t="shared" si="93"/>
        <v/>
      </c>
      <c r="L2970" s="24"/>
      <c r="M2970" s="24"/>
    </row>
    <row r="2971" spans="1:13">
      <c r="A2971" s="14" t="str">
        <f t="shared" si="92"/>
        <v/>
      </c>
      <c r="C2971" s="120" t="s">
        <v>286</v>
      </c>
      <c r="D2971"/>
      <c r="E2971"/>
      <c r="F2971"/>
      <c r="G2971"/>
      <c r="H2971"/>
      <c r="I2971" s="21" t="str">
        <f t="shared" si="93"/>
        <v/>
      </c>
      <c r="L2971" s="24"/>
      <c r="M2971" s="24"/>
    </row>
    <row r="2972" spans="1:13">
      <c r="A2972" s="10" t="str">
        <f t="shared" si="92"/>
        <v/>
      </c>
      <c r="C2972" s="120" t="s">
        <v>126</v>
      </c>
      <c r="D2972"/>
      <c r="E2972"/>
      <c r="F2972"/>
      <c r="G2972"/>
      <c r="H2972"/>
      <c r="I2972" s="21" t="str">
        <f t="shared" si="93"/>
        <v/>
      </c>
      <c r="L2972" s="24"/>
      <c r="M2972" s="24"/>
    </row>
    <row r="2973" spans="1:13">
      <c r="A2973" s="14" t="str">
        <f t="shared" si="92"/>
        <v/>
      </c>
      <c r="C2973" s="120" t="s">
        <v>128</v>
      </c>
      <c r="D2973"/>
      <c r="E2973"/>
      <c r="F2973"/>
      <c r="G2973"/>
      <c r="H2973"/>
      <c r="I2973" s="21" t="str">
        <f t="shared" si="93"/>
        <v/>
      </c>
      <c r="L2973" s="24"/>
      <c r="M2973" s="24"/>
    </row>
    <row r="2974" spans="1:13">
      <c r="A2974" s="10" t="str">
        <f t="shared" si="92"/>
        <v/>
      </c>
      <c r="C2974" s="120" t="s">
        <v>280</v>
      </c>
      <c r="D2974"/>
      <c r="E2974"/>
      <c r="F2974"/>
      <c r="G2974"/>
      <c r="H2974"/>
      <c r="I2974" s="21" t="str">
        <f t="shared" si="93"/>
        <v/>
      </c>
      <c r="L2974" s="24"/>
      <c r="M2974" s="24"/>
    </row>
    <row r="2975" spans="1:13">
      <c r="A2975" s="14" t="str">
        <f t="shared" si="92"/>
        <v/>
      </c>
      <c r="C2975" s="120" t="s">
        <v>282</v>
      </c>
      <c r="D2975"/>
      <c r="E2975"/>
      <c r="F2975"/>
      <c r="G2975"/>
      <c r="H2975"/>
      <c r="I2975" s="21" t="str">
        <f t="shared" si="93"/>
        <v/>
      </c>
      <c r="L2975" s="24"/>
      <c r="M2975" s="24"/>
    </row>
    <row r="2976" spans="1:13">
      <c r="A2976" s="10" t="str">
        <f t="shared" si="92"/>
        <v/>
      </c>
      <c r="C2976" s="120" t="s">
        <v>284</v>
      </c>
      <c r="D2976"/>
      <c r="E2976"/>
      <c r="F2976"/>
      <c r="G2976"/>
      <c r="H2976"/>
      <c r="I2976" s="21" t="str">
        <f t="shared" si="93"/>
        <v/>
      </c>
      <c r="L2976" s="24"/>
      <c r="M2976" s="24"/>
    </row>
    <row r="2977" spans="1:13">
      <c r="A2977" s="14" t="str">
        <f t="shared" si="92"/>
        <v/>
      </c>
      <c r="C2977" s="120" t="s">
        <v>286</v>
      </c>
      <c r="D2977"/>
      <c r="E2977"/>
      <c r="F2977"/>
      <c r="G2977"/>
      <c r="H2977"/>
      <c r="I2977" s="21" t="str">
        <f t="shared" si="93"/>
        <v/>
      </c>
      <c r="L2977" s="24"/>
      <c r="M2977" s="24"/>
    </row>
    <row r="2978" spans="1:13">
      <c r="A2978" s="10" t="str">
        <f t="shared" si="92"/>
        <v/>
      </c>
      <c r="C2978" s="120" t="s">
        <v>126</v>
      </c>
      <c r="D2978"/>
      <c r="E2978"/>
      <c r="F2978"/>
      <c r="G2978"/>
      <c r="H2978"/>
      <c r="I2978" s="21" t="str">
        <f t="shared" si="93"/>
        <v/>
      </c>
      <c r="L2978" s="24"/>
      <c r="M2978" s="24"/>
    </row>
    <row r="2979" spans="1:13">
      <c r="A2979" s="14" t="str">
        <f t="shared" si="92"/>
        <v/>
      </c>
      <c r="C2979" s="120" t="s">
        <v>128</v>
      </c>
      <c r="D2979"/>
      <c r="E2979"/>
      <c r="F2979"/>
      <c r="G2979"/>
      <c r="H2979"/>
      <c r="I2979" s="21" t="str">
        <f t="shared" si="93"/>
        <v/>
      </c>
      <c r="L2979" s="24"/>
      <c r="M2979" s="24"/>
    </row>
    <row r="2980" spans="1:13">
      <c r="A2980" s="10" t="str">
        <f t="shared" si="92"/>
        <v/>
      </c>
      <c r="C2980" s="120" t="s">
        <v>280</v>
      </c>
      <c r="D2980"/>
      <c r="E2980"/>
      <c r="F2980"/>
      <c r="G2980"/>
      <c r="H2980"/>
      <c r="I2980" s="21" t="str">
        <f t="shared" si="93"/>
        <v/>
      </c>
      <c r="L2980" s="24"/>
      <c r="M2980" s="24"/>
    </row>
    <row r="2981" spans="1:13">
      <c r="A2981" s="14" t="str">
        <f t="shared" si="92"/>
        <v/>
      </c>
      <c r="C2981" s="120" t="s">
        <v>282</v>
      </c>
      <c r="D2981"/>
      <c r="E2981"/>
      <c r="F2981"/>
      <c r="G2981"/>
      <c r="H2981"/>
      <c r="I2981" s="21" t="str">
        <f t="shared" si="93"/>
        <v/>
      </c>
      <c r="L2981" s="24"/>
      <c r="M2981" s="24"/>
    </row>
    <row r="2982" spans="1:13">
      <c r="A2982" s="10" t="str">
        <f t="shared" si="92"/>
        <v/>
      </c>
      <c r="C2982" s="120" t="s">
        <v>284</v>
      </c>
      <c r="D2982"/>
      <c r="E2982"/>
      <c r="F2982"/>
      <c r="G2982"/>
      <c r="H2982"/>
      <c r="I2982" s="21" t="str">
        <f t="shared" si="93"/>
        <v/>
      </c>
      <c r="L2982" s="24"/>
      <c r="M2982" s="24"/>
    </row>
    <row r="2983" spans="1:13">
      <c r="A2983" s="14" t="str">
        <f t="shared" si="92"/>
        <v/>
      </c>
      <c r="C2983" s="120" t="s">
        <v>286</v>
      </c>
      <c r="D2983"/>
      <c r="E2983"/>
      <c r="F2983"/>
      <c r="G2983"/>
      <c r="H2983"/>
      <c r="I2983" s="21" t="str">
        <f t="shared" si="93"/>
        <v/>
      </c>
      <c r="L2983" s="24"/>
      <c r="M2983" s="24"/>
    </row>
    <row r="2984" spans="1:13">
      <c r="A2984" s="10" t="str">
        <f t="shared" si="92"/>
        <v/>
      </c>
      <c r="C2984" s="120" t="s">
        <v>126</v>
      </c>
      <c r="D2984"/>
      <c r="E2984"/>
      <c r="F2984"/>
      <c r="G2984"/>
      <c r="H2984"/>
      <c r="I2984" s="21" t="str">
        <f t="shared" si="93"/>
        <v/>
      </c>
      <c r="L2984" s="24"/>
      <c r="M2984" s="24"/>
    </row>
    <row r="2985" spans="1:13">
      <c r="A2985" s="14" t="str">
        <f t="shared" si="92"/>
        <v/>
      </c>
      <c r="C2985" s="120" t="s">
        <v>128</v>
      </c>
      <c r="D2985"/>
      <c r="E2985"/>
      <c r="F2985"/>
      <c r="G2985"/>
      <c r="H2985"/>
      <c r="I2985" s="21" t="str">
        <f t="shared" si="93"/>
        <v/>
      </c>
      <c r="L2985" s="24"/>
      <c r="M2985" s="24"/>
    </row>
    <row r="2986" spans="1:13">
      <c r="A2986" s="10" t="str">
        <f t="shared" si="92"/>
        <v/>
      </c>
      <c r="C2986" s="120" t="s">
        <v>280</v>
      </c>
      <c r="D2986"/>
      <c r="E2986"/>
      <c r="F2986"/>
      <c r="G2986"/>
      <c r="H2986"/>
      <c r="I2986" s="21" t="str">
        <f t="shared" si="93"/>
        <v/>
      </c>
      <c r="L2986" s="24"/>
      <c r="M2986" s="24"/>
    </row>
    <row r="2987" spans="1:13">
      <c r="A2987" s="14" t="str">
        <f t="shared" si="92"/>
        <v/>
      </c>
      <c r="C2987" s="120" t="s">
        <v>282</v>
      </c>
      <c r="D2987"/>
      <c r="E2987"/>
      <c r="F2987"/>
      <c r="G2987"/>
      <c r="H2987"/>
      <c r="I2987" s="21" t="str">
        <f t="shared" si="93"/>
        <v/>
      </c>
      <c r="L2987" s="24"/>
      <c r="M2987" s="24"/>
    </row>
    <row r="2988" spans="1:13">
      <c r="A2988" s="10" t="str">
        <f t="shared" si="92"/>
        <v/>
      </c>
      <c r="C2988" s="120" t="s">
        <v>284</v>
      </c>
      <c r="D2988"/>
      <c r="E2988"/>
      <c r="F2988"/>
      <c r="G2988"/>
      <c r="H2988"/>
      <c r="I2988" s="21" t="str">
        <f t="shared" si="93"/>
        <v/>
      </c>
      <c r="L2988" s="24"/>
      <c r="M2988" s="24"/>
    </row>
    <row r="2989" spans="1:13">
      <c r="A2989" s="14" t="str">
        <f t="shared" si="92"/>
        <v/>
      </c>
      <c r="C2989" s="120" t="s">
        <v>286</v>
      </c>
      <c r="D2989"/>
      <c r="E2989"/>
      <c r="F2989"/>
      <c r="G2989"/>
      <c r="H2989"/>
      <c r="I2989" s="21" t="str">
        <f t="shared" si="93"/>
        <v/>
      </c>
      <c r="L2989" s="24"/>
      <c r="M2989" s="24"/>
    </row>
    <row r="2990" spans="1:13">
      <c r="A2990" s="10" t="str">
        <f t="shared" si="92"/>
        <v/>
      </c>
      <c r="C2990" s="120" t="s">
        <v>126</v>
      </c>
      <c r="D2990"/>
      <c r="E2990"/>
      <c r="F2990"/>
      <c r="G2990"/>
      <c r="H2990"/>
      <c r="I2990" s="21" t="str">
        <f t="shared" si="93"/>
        <v/>
      </c>
      <c r="L2990" s="24"/>
      <c r="M2990" s="24"/>
    </row>
    <row r="2991" spans="1:13">
      <c r="A2991" s="14" t="str">
        <f t="shared" si="92"/>
        <v/>
      </c>
      <c r="C2991" s="120" t="s">
        <v>128</v>
      </c>
      <c r="D2991"/>
      <c r="E2991"/>
      <c r="F2991"/>
      <c r="G2991"/>
      <c r="H2991"/>
      <c r="I2991" s="21" t="str">
        <f t="shared" si="93"/>
        <v/>
      </c>
      <c r="L2991" s="24"/>
      <c r="M2991" s="24"/>
    </row>
    <row r="2992" spans="1:13">
      <c r="A2992" s="10" t="str">
        <f t="shared" si="92"/>
        <v/>
      </c>
      <c r="C2992" s="120" t="s">
        <v>280</v>
      </c>
      <c r="D2992"/>
      <c r="E2992"/>
      <c r="F2992"/>
      <c r="G2992"/>
      <c r="H2992"/>
      <c r="I2992" s="21" t="str">
        <f t="shared" si="93"/>
        <v/>
      </c>
      <c r="L2992" s="24"/>
      <c r="M2992" s="24"/>
    </row>
    <row r="2993" spans="1:13">
      <c r="A2993" s="14" t="str">
        <f t="shared" si="92"/>
        <v/>
      </c>
      <c r="C2993" s="120" t="s">
        <v>282</v>
      </c>
      <c r="D2993"/>
      <c r="E2993"/>
      <c r="F2993"/>
      <c r="G2993"/>
      <c r="H2993"/>
      <c r="I2993" s="21" t="str">
        <f t="shared" si="93"/>
        <v/>
      </c>
      <c r="L2993" s="24"/>
      <c r="M2993" s="24"/>
    </row>
    <row r="2994" spans="1:13">
      <c r="A2994" s="10" t="str">
        <f t="shared" si="92"/>
        <v/>
      </c>
      <c r="C2994" s="120" t="s">
        <v>284</v>
      </c>
      <c r="D2994"/>
      <c r="E2994"/>
      <c r="F2994"/>
      <c r="G2994"/>
      <c r="H2994"/>
      <c r="I2994" s="21" t="str">
        <f t="shared" si="93"/>
        <v/>
      </c>
      <c r="L2994" s="24"/>
      <c r="M2994" s="24"/>
    </row>
    <row r="2995" spans="1:13">
      <c r="A2995" s="14" t="str">
        <f t="shared" si="92"/>
        <v/>
      </c>
      <c r="C2995" s="120" t="s">
        <v>286</v>
      </c>
      <c r="D2995"/>
      <c r="E2995"/>
      <c r="F2995"/>
      <c r="G2995"/>
      <c r="H2995"/>
      <c r="I2995" s="21" t="str">
        <f t="shared" si="93"/>
        <v/>
      </c>
      <c r="L2995" s="24"/>
      <c r="M2995" s="24"/>
    </row>
    <row r="2996" spans="1:13">
      <c r="A2996" s="10" t="str">
        <f t="shared" si="92"/>
        <v/>
      </c>
      <c r="C2996" s="120" t="s">
        <v>126</v>
      </c>
      <c r="D2996"/>
      <c r="E2996"/>
      <c r="F2996"/>
      <c r="G2996"/>
      <c r="H2996"/>
      <c r="I2996" s="21" t="str">
        <f t="shared" si="93"/>
        <v/>
      </c>
      <c r="L2996" s="24"/>
      <c r="M2996" s="24"/>
    </row>
    <row r="2997" spans="1:13">
      <c r="A2997" s="14" t="str">
        <f t="shared" si="92"/>
        <v/>
      </c>
      <c r="C2997" s="120" t="s">
        <v>128</v>
      </c>
      <c r="D2997"/>
      <c r="E2997"/>
      <c r="F2997"/>
      <c r="G2997"/>
      <c r="H2997"/>
      <c r="I2997" s="21" t="str">
        <f t="shared" si="93"/>
        <v/>
      </c>
      <c r="L2997" s="24"/>
      <c r="M2997" s="24"/>
    </row>
    <row r="2998" spans="1:13">
      <c r="A2998" s="10" t="str">
        <f t="shared" si="92"/>
        <v/>
      </c>
      <c r="C2998" s="120" t="s">
        <v>280</v>
      </c>
      <c r="D2998"/>
      <c r="E2998"/>
      <c r="F2998"/>
      <c r="G2998"/>
      <c r="H2998"/>
      <c r="I2998" s="21" t="str">
        <f t="shared" si="93"/>
        <v/>
      </c>
      <c r="L2998" s="24"/>
      <c r="M2998" s="24"/>
    </row>
    <row r="2999" spans="1:13">
      <c r="A2999" s="14" t="str">
        <f t="shared" si="92"/>
        <v/>
      </c>
      <c r="C2999" s="120" t="s">
        <v>282</v>
      </c>
      <c r="D2999"/>
      <c r="E2999"/>
      <c r="F2999"/>
      <c r="G2999"/>
      <c r="H2999"/>
      <c r="I2999" s="21" t="str">
        <f t="shared" si="93"/>
        <v/>
      </c>
      <c r="L2999" s="24"/>
      <c r="M2999" s="24"/>
    </row>
    <row r="3000" spans="1:13">
      <c r="A3000" s="10" t="str">
        <f t="shared" si="92"/>
        <v/>
      </c>
      <c r="C3000" s="120" t="s">
        <v>284</v>
      </c>
      <c r="D3000"/>
      <c r="E3000"/>
      <c r="F3000"/>
      <c r="G3000"/>
      <c r="H3000"/>
      <c r="I3000" s="21" t="str">
        <f t="shared" si="93"/>
        <v/>
      </c>
      <c r="L3000" s="24"/>
      <c r="M3000" s="24"/>
    </row>
    <row r="3001" spans="1:13">
      <c r="A3001" s="14" t="str">
        <f t="shared" si="92"/>
        <v/>
      </c>
      <c r="C3001" s="120" t="s">
        <v>286</v>
      </c>
      <c r="D3001"/>
      <c r="E3001"/>
      <c r="F3001"/>
      <c r="G3001"/>
      <c r="H3001"/>
      <c r="I3001" s="21" t="str">
        <f t="shared" si="93"/>
        <v/>
      </c>
      <c r="L3001" s="24"/>
      <c r="M3001" s="24"/>
    </row>
    <row r="3002" spans="1:13">
      <c r="A3002" s="10" t="str">
        <f t="shared" si="92"/>
        <v/>
      </c>
      <c r="C3002" s="120" t="s">
        <v>126</v>
      </c>
      <c r="D3002"/>
      <c r="E3002"/>
      <c r="F3002"/>
      <c r="G3002"/>
      <c r="H3002"/>
      <c r="I3002" s="21" t="str">
        <f t="shared" si="93"/>
        <v/>
      </c>
      <c r="L3002" s="24"/>
      <c r="M3002" s="24"/>
    </row>
    <row r="3003" spans="1:13">
      <c r="A3003" s="14" t="str">
        <f t="shared" si="92"/>
        <v/>
      </c>
      <c r="C3003" s="120" t="s">
        <v>128</v>
      </c>
      <c r="D3003"/>
      <c r="E3003"/>
      <c r="F3003"/>
      <c r="G3003"/>
      <c r="H3003"/>
      <c r="I3003" s="21" t="str">
        <f t="shared" si="93"/>
        <v/>
      </c>
      <c r="L3003" s="24"/>
      <c r="M3003" s="24"/>
    </row>
    <row r="3004" spans="1:13">
      <c r="A3004" s="10" t="str">
        <f t="shared" si="92"/>
        <v/>
      </c>
      <c r="C3004" s="120" t="s">
        <v>280</v>
      </c>
      <c r="D3004"/>
      <c r="E3004"/>
      <c r="F3004"/>
      <c r="G3004"/>
      <c r="H3004"/>
      <c r="I3004" s="21" t="str">
        <f t="shared" si="93"/>
        <v/>
      </c>
      <c r="L3004" s="24"/>
      <c r="M3004" s="24"/>
    </row>
    <row r="3005" spans="1:13">
      <c r="A3005" s="14" t="str">
        <f t="shared" si="92"/>
        <v/>
      </c>
      <c r="C3005" s="120" t="s">
        <v>282</v>
      </c>
      <c r="D3005"/>
      <c r="E3005"/>
      <c r="F3005"/>
      <c r="G3005"/>
      <c r="H3005"/>
      <c r="I3005" s="21" t="str">
        <f t="shared" si="93"/>
        <v/>
      </c>
      <c r="L3005" s="24"/>
      <c r="M3005" s="24"/>
    </row>
    <row r="3006" spans="1:13">
      <c r="A3006" s="10" t="str">
        <f t="shared" si="92"/>
        <v/>
      </c>
      <c r="C3006" s="120" t="s">
        <v>284</v>
      </c>
      <c r="D3006"/>
      <c r="E3006"/>
      <c r="F3006"/>
      <c r="G3006"/>
      <c r="H3006"/>
      <c r="I3006" s="21" t="str">
        <f t="shared" si="93"/>
        <v/>
      </c>
      <c r="L3006" s="24"/>
      <c r="M3006" s="24"/>
    </row>
    <row r="3007" spans="1:13">
      <c r="A3007" s="14" t="str">
        <f t="shared" si="92"/>
        <v/>
      </c>
      <c r="C3007" s="120" t="s">
        <v>286</v>
      </c>
      <c r="D3007"/>
      <c r="E3007"/>
      <c r="F3007"/>
      <c r="G3007"/>
      <c r="H3007"/>
      <c r="I3007" s="21" t="str">
        <f t="shared" si="93"/>
        <v/>
      </c>
      <c r="L3007" s="24"/>
      <c r="M3007" s="24"/>
    </row>
    <row r="3008" spans="1:13">
      <c r="A3008" s="10" t="str">
        <f t="shared" si="92"/>
        <v/>
      </c>
      <c r="C3008" s="120" t="s">
        <v>126</v>
      </c>
      <c r="D3008"/>
      <c r="E3008"/>
      <c r="F3008"/>
      <c r="G3008"/>
      <c r="H3008"/>
      <c r="I3008" s="21" t="str">
        <f t="shared" si="93"/>
        <v/>
      </c>
      <c r="L3008" s="24"/>
      <c r="M3008" s="24"/>
    </row>
    <row r="3009" spans="1:13">
      <c r="A3009" s="14" t="str">
        <f t="shared" si="92"/>
        <v/>
      </c>
      <c r="C3009" s="120" t="s">
        <v>128</v>
      </c>
      <c r="D3009"/>
      <c r="E3009"/>
      <c r="F3009"/>
      <c r="G3009"/>
      <c r="H3009"/>
      <c r="I3009" s="21" t="str">
        <f t="shared" si="93"/>
        <v/>
      </c>
      <c r="L3009" s="24"/>
      <c r="M3009" s="24"/>
    </row>
    <row r="3010" spans="1:13">
      <c r="A3010" s="10" t="str">
        <f t="shared" ref="A3010:A3073" si="94">IF(B3010&lt;&gt;"",ROW()-1,"")</f>
        <v/>
      </c>
      <c r="C3010" s="120" t="s">
        <v>280</v>
      </c>
      <c r="D3010"/>
      <c r="E3010"/>
      <c r="F3010"/>
      <c r="G3010"/>
      <c r="H3010"/>
      <c r="I3010" s="21" t="str">
        <f t="shared" ref="I3010:I3073" si="95">IF(AND(G3010&lt;&gt;"",H3010&lt;&gt;""),H3010-G3010,"")</f>
        <v/>
      </c>
      <c r="L3010" s="24"/>
      <c r="M3010" s="24"/>
    </row>
    <row r="3011" spans="1:13">
      <c r="A3011" s="14" t="str">
        <f t="shared" si="94"/>
        <v/>
      </c>
      <c r="C3011" s="120" t="s">
        <v>282</v>
      </c>
      <c r="D3011"/>
      <c r="E3011"/>
      <c r="F3011"/>
      <c r="G3011"/>
      <c r="H3011"/>
      <c r="I3011" s="21" t="str">
        <f t="shared" si="95"/>
        <v/>
      </c>
      <c r="L3011" s="24"/>
      <c r="M3011" s="24"/>
    </row>
    <row r="3012" spans="1:13">
      <c r="A3012" s="10" t="str">
        <f t="shared" si="94"/>
        <v/>
      </c>
      <c r="C3012" s="120" t="s">
        <v>284</v>
      </c>
      <c r="D3012"/>
      <c r="E3012"/>
      <c r="F3012"/>
      <c r="G3012"/>
      <c r="H3012"/>
      <c r="I3012" s="21" t="str">
        <f t="shared" si="95"/>
        <v/>
      </c>
      <c r="L3012" s="24"/>
      <c r="M3012" s="24"/>
    </row>
    <row r="3013" spans="1:13">
      <c r="A3013" s="14" t="str">
        <f t="shared" si="94"/>
        <v/>
      </c>
      <c r="C3013" s="120" t="s">
        <v>286</v>
      </c>
      <c r="D3013"/>
      <c r="E3013"/>
      <c r="F3013"/>
      <c r="G3013"/>
      <c r="H3013"/>
      <c r="I3013" s="21" t="str">
        <f t="shared" si="95"/>
        <v/>
      </c>
      <c r="L3013" s="24"/>
      <c r="M3013" s="24"/>
    </row>
    <row r="3014" spans="1:13">
      <c r="A3014" s="10" t="str">
        <f t="shared" si="94"/>
        <v/>
      </c>
      <c r="C3014" s="120" t="s">
        <v>126</v>
      </c>
      <c r="D3014"/>
      <c r="E3014"/>
      <c r="F3014"/>
      <c r="G3014"/>
      <c r="H3014"/>
      <c r="I3014" s="21" t="str">
        <f t="shared" si="95"/>
        <v/>
      </c>
      <c r="L3014" s="24"/>
      <c r="M3014" s="24"/>
    </row>
    <row r="3015" spans="1:13">
      <c r="A3015" s="14" t="str">
        <f t="shared" si="94"/>
        <v/>
      </c>
      <c r="C3015" s="120" t="s">
        <v>128</v>
      </c>
      <c r="D3015"/>
      <c r="E3015"/>
      <c r="F3015"/>
      <c r="G3015"/>
      <c r="H3015"/>
      <c r="I3015" s="21" t="str">
        <f t="shared" si="95"/>
        <v/>
      </c>
      <c r="L3015" s="24"/>
      <c r="M3015" s="24"/>
    </row>
    <row r="3016" spans="1:13">
      <c r="A3016" s="10" t="str">
        <f t="shared" si="94"/>
        <v/>
      </c>
      <c r="C3016" s="120" t="s">
        <v>280</v>
      </c>
      <c r="D3016"/>
      <c r="E3016"/>
      <c r="F3016"/>
      <c r="G3016"/>
      <c r="H3016"/>
      <c r="I3016" s="21" t="str">
        <f t="shared" si="95"/>
        <v/>
      </c>
      <c r="L3016" s="24"/>
      <c r="M3016" s="24"/>
    </row>
    <row r="3017" spans="1:13">
      <c r="A3017" s="14" t="str">
        <f t="shared" si="94"/>
        <v/>
      </c>
      <c r="C3017" s="120" t="s">
        <v>282</v>
      </c>
      <c r="D3017"/>
      <c r="E3017"/>
      <c r="F3017"/>
      <c r="G3017"/>
      <c r="H3017"/>
      <c r="I3017" s="21" t="str">
        <f t="shared" si="95"/>
        <v/>
      </c>
      <c r="L3017" s="24"/>
      <c r="M3017" s="24"/>
    </row>
    <row r="3018" spans="1:13">
      <c r="A3018" s="10" t="str">
        <f t="shared" si="94"/>
        <v/>
      </c>
      <c r="C3018" s="120" t="s">
        <v>284</v>
      </c>
      <c r="D3018"/>
      <c r="E3018"/>
      <c r="F3018"/>
      <c r="G3018"/>
      <c r="H3018"/>
      <c r="I3018" s="21" t="str">
        <f t="shared" si="95"/>
        <v/>
      </c>
      <c r="L3018" s="24"/>
      <c r="M3018" s="24"/>
    </row>
    <row r="3019" spans="1:13">
      <c r="A3019" s="14" t="str">
        <f t="shared" si="94"/>
        <v/>
      </c>
      <c r="C3019" s="120" t="s">
        <v>286</v>
      </c>
      <c r="D3019"/>
      <c r="E3019"/>
      <c r="F3019"/>
      <c r="G3019"/>
      <c r="H3019"/>
      <c r="I3019" s="21" t="str">
        <f t="shared" si="95"/>
        <v/>
      </c>
      <c r="L3019" s="24"/>
      <c r="M3019" s="24"/>
    </row>
    <row r="3020" spans="1:13">
      <c r="A3020" s="10" t="str">
        <f t="shared" si="94"/>
        <v/>
      </c>
      <c r="C3020" s="120" t="s">
        <v>126</v>
      </c>
      <c r="D3020"/>
      <c r="E3020"/>
      <c r="F3020"/>
      <c r="G3020"/>
      <c r="H3020"/>
      <c r="I3020" s="21" t="str">
        <f t="shared" si="95"/>
        <v/>
      </c>
      <c r="L3020" s="24"/>
      <c r="M3020" s="24"/>
    </row>
    <row r="3021" spans="1:13">
      <c r="A3021" s="14" t="str">
        <f t="shared" si="94"/>
        <v/>
      </c>
      <c r="C3021" s="120" t="s">
        <v>128</v>
      </c>
      <c r="D3021"/>
      <c r="E3021"/>
      <c r="F3021"/>
      <c r="G3021"/>
      <c r="H3021"/>
      <c r="I3021" s="21" t="str">
        <f t="shared" si="95"/>
        <v/>
      </c>
      <c r="L3021" s="24"/>
      <c r="M3021" s="24"/>
    </row>
    <row r="3022" spans="1:13">
      <c r="A3022" s="10" t="str">
        <f t="shared" si="94"/>
        <v/>
      </c>
      <c r="C3022" s="120" t="s">
        <v>280</v>
      </c>
      <c r="D3022"/>
      <c r="E3022"/>
      <c r="F3022"/>
      <c r="G3022"/>
      <c r="H3022"/>
      <c r="I3022" s="21" t="str">
        <f t="shared" si="95"/>
        <v/>
      </c>
      <c r="L3022" s="24"/>
      <c r="M3022" s="24"/>
    </row>
    <row r="3023" spans="1:13">
      <c r="A3023" s="14" t="str">
        <f t="shared" si="94"/>
        <v/>
      </c>
      <c r="C3023" s="120" t="s">
        <v>282</v>
      </c>
      <c r="D3023"/>
      <c r="E3023"/>
      <c r="F3023"/>
      <c r="G3023"/>
      <c r="H3023"/>
      <c r="I3023" s="21" t="str">
        <f t="shared" si="95"/>
        <v/>
      </c>
      <c r="L3023" s="24"/>
      <c r="M3023" s="24"/>
    </row>
    <row r="3024" spans="1:13">
      <c r="A3024" s="10" t="str">
        <f t="shared" si="94"/>
        <v/>
      </c>
      <c r="C3024" s="120" t="s">
        <v>284</v>
      </c>
      <c r="D3024"/>
      <c r="E3024"/>
      <c r="F3024"/>
      <c r="G3024"/>
      <c r="H3024"/>
      <c r="I3024" s="21" t="str">
        <f t="shared" si="95"/>
        <v/>
      </c>
      <c r="L3024" s="24"/>
      <c r="M3024" s="24"/>
    </row>
    <row r="3025" spans="1:13">
      <c r="A3025" s="14" t="str">
        <f t="shared" si="94"/>
        <v/>
      </c>
      <c r="C3025" s="120" t="s">
        <v>286</v>
      </c>
      <c r="D3025"/>
      <c r="E3025"/>
      <c r="F3025"/>
      <c r="G3025"/>
      <c r="H3025"/>
      <c r="I3025" s="21" t="str">
        <f t="shared" si="95"/>
        <v/>
      </c>
      <c r="L3025" s="24"/>
      <c r="M3025" s="24"/>
    </row>
    <row r="3026" spans="1:13">
      <c r="A3026" s="10" t="str">
        <f t="shared" si="94"/>
        <v/>
      </c>
      <c r="C3026" s="120" t="s">
        <v>126</v>
      </c>
      <c r="D3026"/>
      <c r="E3026"/>
      <c r="F3026"/>
      <c r="G3026"/>
      <c r="H3026"/>
      <c r="I3026" s="21" t="str">
        <f t="shared" si="95"/>
        <v/>
      </c>
      <c r="L3026" s="24"/>
      <c r="M3026" s="24"/>
    </row>
    <row r="3027" spans="1:13">
      <c r="A3027" s="14" t="str">
        <f t="shared" si="94"/>
        <v/>
      </c>
      <c r="C3027" s="120" t="s">
        <v>128</v>
      </c>
      <c r="D3027"/>
      <c r="E3027"/>
      <c r="F3027"/>
      <c r="G3027"/>
      <c r="H3027"/>
      <c r="I3027" s="21" t="str">
        <f t="shared" si="95"/>
        <v/>
      </c>
      <c r="L3027" s="24"/>
      <c r="M3027" s="24"/>
    </row>
    <row r="3028" spans="1:13">
      <c r="A3028" s="10" t="str">
        <f t="shared" si="94"/>
        <v/>
      </c>
      <c r="C3028" s="120" t="s">
        <v>280</v>
      </c>
      <c r="D3028"/>
      <c r="E3028"/>
      <c r="F3028"/>
      <c r="G3028"/>
      <c r="H3028"/>
      <c r="I3028" s="21" t="str">
        <f t="shared" si="95"/>
        <v/>
      </c>
      <c r="L3028" s="24"/>
      <c r="M3028" s="24"/>
    </row>
    <row r="3029" spans="1:13">
      <c r="A3029" s="14" t="str">
        <f t="shared" si="94"/>
        <v/>
      </c>
      <c r="C3029" s="120" t="s">
        <v>282</v>
      </c>
      <c r="D3029"/>
      <c r="E3029"/>
      <c r="F3029"/>
      <c r="G3029"/>
      <c r="H3029"/>
      <c r="I3029" s="21" t="str">
        <f t="shared" si="95"/>
        <v/>
      </c>
      <c r="L3029" s="24"/>
      <c r="M3029" s="24"/>
    </row>
    <row r="3030" spans="1:13">
      <c r="A3030" s="10" t="str">
        <f t="shared" si="94"/>
        <v/>
      </c>
      <c r="C3030" s="120" t="s">
        <v>284</v>
      </c>
      <c r="D3030"/>
      <c r="E3030"/>
      <c r="F3030"/>
      <c r="G3030"/>
      <c r="H3030"/>
      <c r="I3030" s="21" t="str">
        <f t="shared" si="95"/>
        <v/>
      </c>
      <c r="L3030" s="24"/>
      <c r="M3030" s="24"/>
    </row>
    <row r="3031" spans="1:13">
      <c r="A3031" s="14" t="str">
        <f t="shared" si="94"/>
        <v/>
      </c>
      <c r="C3031" s="120" t="s">
        <v>286</v>
      </c>
      <c r="D3031"/>
      <c r="E3031"/>
      <c r="F3031"/>
      <c r="G3031"/>
      <c r="H3031"/>
      <c r="I3031" s="21" t="str">
        <f t="shared" si="95"/>
        <v/>
      </c>
      <c r="L3031" s="24"/>
      <c r="M3031" s="24"/>
    </row>
    <row r="3032" spans="1:13">
      <c r="A3032" s="10" t="str">
        <f t="shared" si="94"/>
        <v/>
      </c>
      <c r="C3032" s="120" t="s">
        <v>126</v>
      </c>
      <c r="D3032"/>
      <c r="E3032"/>
      <c r="F3032"/>
      <c r="G3032"/>
      <c r="H3032"/>
      <c r="I3032" s="21" t="str">
        <f t="shared" si="95"/>
        <v/>
      </c>
      <c r="L3032" s="24"/>
      <c r="M3032" s="24"/>
    </row>
    <row r="3033" spans="1:13">
      <c r="A3033" s="14" t="str">
        <f t="shared" si="94"/>
        <v/>
      </c>
      <c r="C3033" s="120" t="s">
        <v>128</v>
      </c>
      <c r="D3033"/>
      <c r="E3033"/>
      <c r="F3033"/>
      <c r="G3033"/>
      <c r="H3033"/>
      <c r="I3033" s="21" t="str">
        <f t="shared" si="95"/>
        <v/>
      </c>
      <c r="L3033" s="24"/>
      <c r="M3033" s="24"/>
    </row>
    <row r="3034" spans="1:13">
      <c r="A3034" s="10" t="str">
        <f t="shared" si="94"/>
        <v/>
      </c>
      <c r="C3034" s="120" t="s">
        <v>280</v>
      </c>
      <c r="D3034"/>
      <c r="E3034"/>
      <c r="F3034"/>
      <c r="G3034"/>
      <c r="H3034"/>
      <c r="I3034" s="21" t="str">
        <f t="shared" si="95"/>
        <v/>
      </c>
      <c r="L3034" s="24"/>
      <c r="M3034" s="24"/>
    </row>
    <row r="3035" spans="1:13">
      <c r="A3035" s="14" t="str">
        <f t="shared" si="94"/>
        <v/>
      </c>
      <c r="C3035" s="120" t="s">
        <v>282</v>
      </c>
      <c r="D3035"/>
      <c r="E3035"/>
      <c r="F3035"/>
      <c r="G3035"/>
      <c r="H3035"/>
      <c r="I3035" s="21" t="str">
        <f t="shared" si="95"/>
        <v/>
      </c>
      <c r="L3035" s="24"/>
      <c r="M3035" s="24"/>
    </row>
    <row r="3036" spans="1:13">
      <c r="A3036" s="10" t="str">
        <f t="shared" si="94"/>
        <v/>
      </c>
      <c r="C3036" s="120" t="s">
        <v>284</v>
      </c>
      <c r="D3036"/>
      <c r="E3036"/>
      <c r="F3036"/>
      <c r="G3036"/>
      <c r="H3036"/>
      <c r="I3036" s="21" t="str">
        <f t="shared" si="95"/>
        <v/>
      </c>
      <c r="L3036" s="24"/>
      <c r="M3036" s="24"/>
    </row>
    <row r="3037" spans="1:13">
      <c r="A3037" s="14" t="str">
        <f t="shared" si="94"/>
        <v/>
      </c>
      <c r="C3037" s="120" t="s">
        <v>286</v>
      </c>
      <c r="D3037"/>
      <c r="E3037"/>
      <c r="F3037"/>
      <c r="G3037"/>
      <c r="H3037"/>
      <c r="I3037" s="21" t="str">
        <f t="shared" si="95"/>
        <v/>
      </c>
      <c r="L3037" s="24"/>
      <c r="M3037" s="24"/>
    </row>
    <row r="3038" spans="1:13">
      <c r="A3038" s="10" t="str">
        <f t="shared" si="94"/>
        <v/>
      </c>
      <c r="C3038" s="120" t="s">
        <v>126</v>
      </c>
      <c r="D3038"/>
      <c r="E3038"/>
      <c r="F3038"/>
      <c r="G3038"/>
      <c r="H3038"/>
      <c r="I3038" s="21" t="str">
        <f t="shared" si="95"/>
        <v/>
      </c>
      <c r="L3038" s="24"/>
      <c r="M3038" s="24"/>
    </row>
    <row r="3039" spans="1:13">
      <c r="A3039" s="14" t="str">
        <f t="shared" si="94"/>
        <v/>
      </c>
      <c r="C3039" s="120" t="s">
        <v>128</v>
      </c>
      <c r="D3039"/>
      <c r="E3039"/>
      <c r="F3039"/>
      <c r="G3039"/>
      <c r="H3039"/>
      <c r="I3039" s="21" t="str">
        <f t="shared" si="95"/>
        <v/>
      </c>
      <c r="L3039" s="24"/>
      <c r="M3039" s="24"/>
    </row>
    <row r="3040" spans="1:13">
      <c r="A3040" s="10" t="str">
        <f t="shared" si="94"/>
        <v/>
      </c>
      <c r="C3040" s="120" t="s">
        <v>280</v>
      </c>
      <c r="D3040"/>
      <c r="E3040"/>
      <c r="F3040"/>
      <c r="G3040"/>
      <c r="H3040"/>
      <c r="I3040" s="21" t="str">
        <f t="shared" si="95"/>
        <v/>
      </c>
      <c r="L3040" s="24"/>
      <c r="M3040" s="24"/>
    </row>
    <row r="3041" spans="1:13">
      <c r="A3041" s="14" t="str">
        <f t="shared" si="94"/>
        <v/>
      </c>
      <c r="C3041" s="120" t="s">
        <v>282</v>
      </c>
      <c r="D3041"/>
      <c r="E3041"/>
      <c r="F3041"/>
      <c r="G3041"/>
      <c r="H3041"/>
      <c r="I3041" s="21" t="str">
        <f t="shared" si="95"/>
        <v/>
      </c>
      <c r="L3041" s="24"/>
      <c r="M3041" s="24"/>
    </row>
    <row r="3042" spans="1:13">
      <c r="A3042" s="10" t="str">
        <f t="shared" si="94"/>
        <v/>
      </c>
      <c r="C3042" s="120" t="s">
        <v>284</v>
      </c>
      <c r="D3042"/>
      <c r="E3042"/>
      <c r="F3042"/>
      <c r="G3042"/>
      <c r="H3042"/>
      <c r="I3042" s="21" t="str">
        <f t="shared" si="95"/>
        <v/>
      </c>
      <c r="L3042" s="24"/>
      <c r="M3042" s="24"/>
    </row>
    <row r="3043" spans="1:13">
      <c r="A3043" s="14" t="str">
        <f t="shared" si="94"/>
        <v/>
      </c>
      <c r="C3043" s="120" t="s">
        <v>286</v>
      </c>
      <c r="D3043"/>
      <c r="E3043"/>
      <c r="F3043"/>
      <c r="G3043"/>
      <c r="H3043"/>
      <c r="I3043" s="21" t="str">
        <f t="shared" si="95"/>
        <v/>
      </c>
      <c r="L3043" s="24"/>
      <c r="M3043" s="24"/>
    </row>
    <row r="3044" spans="1:13">
      <c r="A3044" s="10" t="str">
        <f t="shared" si="94"/>
        <v/>
      </c>
      <c r="C3044" s="120" t="s">
        <v>126</v>
      </c>
      <c r="D3044"/>
      <c r="E3044"/>
      <c r="F3044"/>
      <c r="G3044"/>
      <c r="H3044"/>
      <c r="I3044" s="21" t="str">
        <f t="shared" si="95"/>
        <v/>
      </c>
      <c r="L3044" s="24"/>
      <c r="M3044" s="24"/>
    </row>
    <row r="3045" spans="1:13">
      <c r="A3045" s="14" t="str">
        <f t="shared" si="94"/>
        <v/>
      </c>
      <c r="C3045" s="120" t="s">
        <v>128</v>
      </c>
      <c r="D3045"/>
      <c r="E3045"/>
      <c r="F3045"/>
      <c r="G3045"/>
      <c r="H3045"/>
      <c r="I3045" s="21" t="str">
        <f t="shared" si="95"/>
        <v/>
      </c>
      <c r="L3045" s="24"/>
      <c r="M3045" s="24"/>
    </row>
    <row r="3046" spans="1:13">
      <c r="A3046" s="10" t="str">
        <f t="shared" si="94"/>
        <v/>
      </c>
      <c r="C3046" s="120" t="s">
        <v>280</v>
      </c>
      <c r="D3046"/>
      <c r="E3046"/>
      <c r="F3046"/>
      <c r="G3046"/>
      <c r="H3046"/>
      <c r="I3046" s="21" t="str">
        <f t="shared" si="95"/>
        <v/>
      </c>
      <c r="L3046" s="24"/>
      <c r="M3046" s="24"/>
    </row>
    <row r="3047" spans="1:13">
      <c r="A3047" s="14" t="str">
        <f t="shared" si="94"/>
        <v/>
      </c>
      <c r="C3047" s="120" t="s">
        <v>282</v>
      </c>
      <c r="D3047"/>
      <c r="E3047"/>
      <c r="F3047"/>
      <c r="G3047"/>
      <c r="H3047"/>
      <c r="I3047" s="21" t="str">
        <f t="shared" si="95"/>
        <v/>
      </c>
      <c r="L3047" s="24"/>
      <c r="M3047" s="24"/>
    </row>
    <row r="3048" spans="1:13">
      <c r="A3048" s="10" t="str">
        <f t="shared" si="94"/>
        <v/>
      </c>
      <c r="C3048" s="120" t="s">
        <v>284</v>
      </c>
      <c r="D3048"/>
      <c r="E3048"/>
      <c r="F3048"/>
      <c r="G3048"/>
      <c r="H3048"/>
      <c r="I3048" s="21" t="str">
        <f t="shared" si="95"/>
        <v/>
      </c>
      <c r="L3048" s="24"/>
      <c r="M3048" s="24"/>
    </row>
    <row r="3049" spans="1:13">
      <c r="A3049" s="14" t="str">
        <f t="shared" si="94"/>
        <v/>
      </c>
      <c r="C3049" s="120" t="s">
        <v>286</v>
      </c>
      <c r="D3049"/>
      <c r="E3049"/>
      <c r="F3049"/>
      <c r="G3049"/>
      <c r="H3049"/>
      <c r="I3049" s="21" t="str">
        <f t="shared" si="95"/>
        <v/>
      </c>
      <c r="L3049" s="24"/>
      <c r="M3049" s="24"/>
    </row>
    <row r="3050" spans="1:13">
      <c r="A3050" s="10" t="str">
        <f t="shared" si="94"/>
        <v/>
      </c>
      <c r="C3050" s="120" t="s">
        <v>126</v>
      </c>
      <c r="D3050"/>
      <c r="E3050"/>
      <c r="F3050"/>
      <c r="G3050"/>
      <c r="H3050"/>
      <c r="I3050" s="21" t="str">
        <f t="shared" si="95"/>
        <v/>
      </c>
      <c r="L3050" s="24"/>
      <c r="M3050" s="24"/>
    </row>
    <row r="3051" spans="1:13">
      <c r="A3051" s="14" t="str">
        <f t="shared" si="94"/>
        <v/>
      </c>
      <c r="C3051" s="120" t="s">
        <v>128</v>
      </c>
      <c r="D3051"/>
      <c r="E3051"/>
      <c r="F3051"/>
      <c r="G3051"/>
      <c r="H3051"/>
      <c r="I3051" s="21" t="str">
        <f t="shared" si="95"/>
        <v/>
      </c>
      <c r="L3051" s="24"/>
      <c r="M3051" s="24"/>
    </row>
    <row r="3052" spans="1:13">
      <c r="A3052" s="10" t="str">
        <f t="shared" si="94"/>
        <v/>
      </c>
      <c r="C3052" s="120" t="s">
        <v>280</v>
      </c>
      <c r="D3052"/>
      <c r="E3052"/>
      <c r="F3052"/>
      <c r="G3052"/>
      <c r="H3052"/>
      <c r="I3052" s="21" t="str">
        <f t="shared" si="95"/>
        <v/>
      </c>
      <c r="L3052" s="24"/>
      <c r="M3052" s="24"/>
    </row>
    <row r="3053" spans="1:13">
      <c r="A3053" s="14" t="str">
        <f t="shared" si="94"/>
        <v/>
      </c>
      <c r="C3053" s="120" t="s">
        <v>282</v>
      </c>
      <c r="D3053"/>
      <c r="E3053"/>
      <c r="F3053"/>
      <c r="G3053"/>
      <c r="H3053"/>
      <c r="I3053" s="21" t="str">
        <f t="shared" si="95"/>
        <v/>
      </c>
      <c r="L3053" s="24"/>
      <c r="M3053" s="24"/>
    </row>
    <row r="3054" spans="1:13">
      <c r="A3054" s="10" t="str">
        <f t="shared" si="94"/>
        <v/>
      </c>
      <c r="C3054" s="120" t="s">
        <v>284</v>
      </c>
      <c r="D3054"/>
      <c r="E3054"/>
      <c r="F3054"/>
      <c r="G3054"/>
      <c r="H3054"/>
      <c r="I3054" s="21" t="str">
        <f t="shared" si="95"/>
        <v/>
      </c>
      <c r="L3054" s="24"/>
      <c r="M3054" s="24"/>
    </row>
    <row r="3055" spans="1:13">
      <c r="A3055" s="14" t="str">
        <f t="shared" si="94"/>
        <v/>
      </c>
      <c r="C3055" s="120" t="s">
        <v>286</v>
      </c>
      <c r="D3055"/>
      <c r="E3055"/>
      <c r="F3055"/>
      <c r="G3055"/>
      <c r="H3055"/>
      <c r="I3055" s="21" t="str">
        <f t="shared" si="95"/>
        <v/>
      </c>
      <c r="L3055" s="24"/>
      <c r="M3055" s="24"/>
    </row>
    <row r="3056" spans="1:13">
      <c r="A3056" s="10" t="str">
        <f t="shared" si="94"/>
        <v/>
      </c>
      <c r="C3056" s="120" t="s">
        <v>126</v>
      </c>
      <c r="D3056"/>
      <c r="E3056"/>
      <c r="F3056"/>
      <c r="G3056"/>
      <c r="H3056"/>
      <c r="I3056" s="21" t="str">
        <f t="shared" si="95"/>
        <v/>
      </c>
      <c r="L3056" s="24"/>
      <c r="M3056" s="24"/>
    </row>
    <row r="3057" spans="1:13">
      <c r="A3057" s="14" t="str">
        <f t="shared" si="94"/>
        <v/>
      </c>
      <c r="C3057" s="120" t="s">
        <v>128</v>
      </c>
      <c r="D3057"/>
      <c r="E3057"/>
      <c r="F3057"/>
      <c r="G3057"/>
      <c r="H3057"/>
      <c r="I3057" s="21" t="str">
        <f t="shared" si="95"/>
        <v/>
      </c>
      <c r="L3057" s="24"/>
      <c r="M3057" s="24"/>
    </row>
    <row r="3058" spans="1:13">
      <c r="A3058" s="10" t="str">
        <f t="shared" si="94"/>
        <v/>
      </c>
      <c r="C3058" s="120" t="s">
        <v>280</v>
      </c>
      <c r="D3058"/>
      <c r="E3058"/>
      <c r="F3058"/>
      <c r="G3058"/>
      <c r="H3058"/>
      <c r="I3058" s="21" t="str">
        <f t="shared" si="95"/>
        <v/>
      </c>
      <c r="L3058" s="24"/>
      <c r="M3058" s="24"/>
    </row>
    <row r="3059" spans="1:13">
      <c r="A3059" s="14" t="str">
        <f t="shared" si="94"/>
        <v/>
      </c>
      <c r="C3059" s="120" t="s">
        <v>282</v>
      </c>
      <c r="D3059"/>
      <c r="E3059"/>
      <c r="F3059"/>
      <c r="G3059"/>
      <c r="H3059"/>
      <c r="I3059" s="21" t="str">
        <f t="shared" si="95"/>
        <v/>
      </c>
      <c r="L3059" s="24"/>
      <c r="M3059" s="24"/>
    </row>
    <row r="3060" spans="1:13">
      <c r="A3060" s="10" t="str">
        <f t="shared" si="94"/>
        <v/>
      </c>
      <c r="C3060" s="120" t="s">
        <v>284</v>
      </c>
      <c r="D3060"/>
      <c r="E3060"/>
      <c r="F3060"/>
      <c r="G3060"/>
      <c r="H3060"/>
      <c r="I3060" s="21" t="str">
        <f t="shared" si="95"/>
        <v/>
      </c>
      <c r="L3060" s="24"/>
      <c r="M3060" s="24"/>
    </row>
    <row r="3061" spans="1:13">
      <c r="A3061" s="14" t="str">
        <f t="shared" si="94"/>
        <v/>
      </c>
      <c r="C3061" s="120" t="s">
        <v>286</v>
      </c>
      <c r="D3061"/>
      <c r="E3061"/>
      <c r="F3061"/>
      <c r="G3061"/>
      <c r="H3061"/>
      <c r="I3061" s="21" t="str">
        <f t="shared" si="95"/>
        <v/>
      </c>
      <c r="L3061" s="24"/>
      <c r="M3061" s="24"/>
    </row>
    <row r="3062" spans="1:13">
      <c r="A3062" s="10" t="str">
        <f t="shared" si="94"/>
        <v/>
      </c>
      <c r="C3062" s="120" t="s">
        <v>126</v>
      </c>
      <c r="D3062"/>
      <c r="E3062"/>
      <c r="F3062"/>
      <c r="G3062"/>
      <c r="H3062"/>
      <c r="I3062" s="21" t="str">
        <f t="shared" si="95"/>
        <v/>
      </c>
      <c r="L3062" s="24"/>
      <c r="M3062" s="24"/>
    </row>
    <row r="3063" spans="1:13">
      <c r="A3063" s="14" t="str">
        <f t="shared" si="94"/>
        <v/>
      </c>
      <c r="C3063" s="120" t="s">
        <v>128</v>
      </c>
      <c r="D3063"/>
      <c r="E3063"/>
      <c r="F3063"/>
      <c r="G3063"/>
      <c r="H3063"/>
      <c r="I3063" s="21" t="str">
        <f t="shared" si="95"/>
        <v/>
      </c>
      <c r="L3063" s="24"/>
      <c r="M3063" s="24"/>
    </row>
    <row r="3064" spans="1:13">
      <c r="A3064" s="10" t="str">
        <f t="shared" si="94"/>
        <v/>
      </c>
      <c r="C3064" s="120" t="s">
        <v>280</v>
      </c>
      <c r="D3064"/>
      <c r="E3064"/>
      <c r="F3064"/>
      <c r="G3064"/>
      <c r="H3064"/>
      <c r="I3064" s="21" t="str">
        <f t="shared" si="95"/>
        <v/>
      </c>
      <c r="L3064" s="24"/>
      <c r="M3064" s="24"/>
    </row>
    <row r="3065" spans="1:13">
      <c r="A3065" s="14" t="str">
        <f t="shared" si="94"/>
        <v/>
      </c>
      <c r="C3065" s="120" t="s">
        <v>282</v>
      </c>
      <c r="D3065"/>
      <c r="E3065"/>
      <c r="F3065"/>
      <c r="G3065"/>
      <c r="H3065"/>
      <c r="I3065" s="21" t="str">
        <f t="shared" si="95"/>
        <v/>
      </c>
      <c r="L3065" s="24"/>
      <c r="M3065" s="24"/>
    </row>
    <row r="3066" spans="1:13">
      <c r="A3066" s="10" t="str">
        <f t="shared" si="94"/>
        <v/>
      </c>
      <c r="C3066" s="120" t="s">
        <v>284</v>
      </c>
      <c r="D3066"/>
      <c r="E3066"/>
      <c r="F3066"/>
      <c r="G3066"/>
      <c r="H3066"/>
      <c r="I3066" s="21" t="str">
        <f t="shared" si="95"/>
        <v/>
      </c>
      <c r="L3066" s="24"/>
      <c r="M3066" s="24"/>
    </row>
    <row r="3067" spans="1:13">
      <c r="A3067" s="14" t="str">
        <f t="shared" si="94"/>
        <v/>
      </c>
      <c r="C3067" s="120" t="s">
        <v>286</v>
      </c>
      <c r="D3067"/>
      <c r="E3067"/>
      <c r="F3067"/>
      <c r="G3067"/>
      <c r="H3067"/>
      <c r="I3067" s="21" t="str">
        <f t="shared" si="95"/>
        <v/>
      </c>
      <c r="L3067" s="24"/>
      <c r="M3067" s="24"/>
    </row>
    <row r="3068" spans="1:13">
      <c r="A3068" s="10" t="str">
        <f t="shared" si="94"/>
        <v/>
      </c>
      <c r="C3068" s="120" t="s">
        <v>126</v>
      </c>
      <c r="D3068"/>
      <c r="E3068"/>
      <c r="F3068"/>
      <c r="G3068"/>
      <c r="H3068"/>
      <c r="I3068" s="21" t="str">
        <f t="shared" si="95"/>
        <v/>
      </c>
      <c r="L3068" s="24"/>
      <c r="M3068" s="24"/>
    </row>
    <row r="3069" spans="1:13">
      <c r="A3069" s="14" t="str">
        <f t="shared" si="94"/>
        <v/>
      </c>
      <c r="C3069" s="120" t="s">
        <v>128</v>
      </c>
      <c r="D3069"/>
      <c r="E3069"/>
      <c r="F3069"/>
      <c r="G3069"/>
      <c r="H3069"/>
      <c r="I3069" s="21" t="str">
        <f t="shared" si="95"/>
        <v/>
      </c>
      <c r="L3069" s="24"/>
      <c r="M3069" s="24"/>
    </row>
    <row r="3070" spans="1:13">
      <c r="A3070" s="10" t="str">
        <f t="shared" si="94"/>
        <v/>
      </c>
      <c r="C3070" s="120" t="s">
        <v>280</v>
      </c>
      <c r="D3070"/>
      <c r="E3070"/>
      <c r="F3070"/>
      <c r="G3070"/>
      <c r="H3070"/>
      <c r="I3070" s="21" t="str">
        <f t="shared" si="95"/>
        <v/>
      </c>
      <c r="L3070" s="24"/>
      <c r="M3070" s="24"/>
    </row>
    <row r="3071" spans="1:13">
      <c r="A3071" s="14" t="str">
        <f t="shared" si="94"/>
        <v/>
      </c>
      <c r="C3071" s="120" t="s">
        <v>282</v>
      </c>
      <c r="D3071"/>
      <c r="E3071"/>
      <c r="F3071"/>
      <c r="G3071"/>
      <c r="H3071"/>
      <c r="I3071" s="21" t="str">
        <f t="shared" si="95"/>
        <v/>
      </c>
      <c r="L3071" s="24"/>
      <c r="M3071" s="24"/>
    </row>
    <row r="3072" spans="1:13">
      <c r="A3072" s="10" t="str">
        <f t="shared" si="94"/>
        <v/>
      </c>
      <c r="C3072" s="120" t="s">
        <v>284</v>
      </c>
      <c r="D3072"/>
      <c r="E3072"/>
      <c r="F3072"/>
      <c r="G3072"/>
      <c r="H3072"/>
      <c r="I3072" s="21" t="str">
        <f t="shared" si="95"/>
        <v/>
      </c>
      <c r="L3072" s="24"/>
      <c r="M3072" s="24"/>
    </row>
    <row r="3073" spans="1:13">
      <c r="A3073" s="14" t="str">
        <f t="shared" si="94"/>
        <v/>
      </c>
      <c r="C3073" s="120" t="s">
        <v>286</v>
      </c>
      <c r="D3073"/>
      <c r="E3073"/>
      <c r="F3073"/>
      <c r="G3073"/>
      <c r="H3073"/>
      <c r="I3073" s="21" t="str">
        <f t="shared" si="95"/>
        <v/>
      </c>
      <c r="L3073" s="24"/>
      <c r="M3073" s="24"/>
    </row>
    <row r="3074" spans="1:13">
      <c r="A3074" s="10" t="str">
        <f t="shared" ref="A3074:A3137" si="96">IF(B3074&lt;&gt;"",ROW()-1,"")</f>
        <v/>
      </c>
      <c r="C3074" s="120" t="s">
        <v>126</v>
      </c>
      <c r="D3074"/>
      <c r="E3074"/>
      <c r="F3074"/>
      <c r="G3074"/>
      <c r="H3074"/>
      <c r="I3074" s="21" t="str">
        <f t="shared" ref="I3074:I3137" si="97">IF(AND(G3074&lt;&gt;"",H3074&lt;&gt;""),H3074-G3074,"")</f>
        <v/>
      </c>
      <c r="L3074" s="24"/>
      <c r="M3074" s="24"/>
    </row>
    <row r="3075" spans="1:13">
      <c r="A3075" s="14" t="str">
        <f t="shared" si="96"/>
        <v/>
      </c>
      <c r="C3075" s="120" t="s">
        <v>128</v>
      </c>
      <c r="D3075"/>
      <c r="E3075"/>
      <c r="F3075"/>
      <c r="G3075"/>
      <c r="H3075"/>
      <c r="I3075" s="21" t="str">
        <f t="shared" si="97"/>
        <v/>
      </c>
      <c r="L3075" s="24"/>
      <c r="M3075" s="24"/>
    </row>
    <row r="3076" spans="1:13">
      <c r="A3076" s="10" t="str">
        <f t="shared" si="96"/>
        <v/>
      </c>
      <c r="C3076" s="120" t="s">
        <v>280</v>
      </c>
      <c r="D3076"/>
      <c r="E3076"/>
      <c r="F3076"/>
      <c r="G3076"/>
      <c r="H3076"/>
      <c r="I3076" s="21" t="str">
        <f t="shared" si="97"/>
        <v/>
      </c>
      <c r="L3076" s="24"/>
      <c r="M3076" s="24"/>
    </row>
    <row r="3077" spans="1:13">
      <c r="A3077" s="14" t="str">
        <f t="shared" si="96"/>
        <v/>
      </c>
      <c r="C3077" s="120" t="s">
        <v>282</v>
      </c>
      <c r="D3077"/>
      <c r="E3077"/>
      <c r="F3077"/>
      <c r="G3077"/>
      <c r="H3077"/>
      <c r="I3077" s="21" t="str">
        <f t="shared" si="97"/>
        <v/>
      </c>
      <c r="L3077" s="24"/>
      <c r="M3077" s="24"/>
    </row>
    <row r="3078" spans="1:13">
      <c r="A3078" s="10" t="str">
        <f t="shared" si="96"/>
        <v/>
      </c>
      <c r="C3078" s="120" t="s">
        <v>284</v>
      </c>
      <c r="D3078"/>
      <c r="E3078"/>
      <c r="F3078"/>
      <c r="G3078"/>
      <c r="H3078"/>
      <c r="I3078" s="21" t="str">
        <f t="shared" si="97"/>
        <v/>
      </c>
      <c r="L3078" s="24"/>
      <c r="M3078" s="24"/>
    </row>
    <row r="3079" spans="1:13">
      <c r="A3079" s="14" t="str">
        <f t="shared" si="96"/>
        <v/>
      </c>
      <c r="C3079" s="120" t="s">
        <v>286</v>
      </c>
      <c r="D3079"/>
      <c r="E3079"/>
      <c r="F3079"/>
      <c r="G3079"/>
      <c r="H3079"/>
      <c r="I3079" s="21" t="str">
        <f t="shared" si="97"/>
        <v/>
      </c>
      <c r="L3079" s="24"/>
      <c r="M3079" s="24"/>
    </row>
    <row r="3080" spans="1:13">
      <c r="A3080" s="10" t="str">
        <f t="shared" si="96"/>
        <v/>
      </c>
      <c r="C3080" s="120" t="s">
        <v>126</v>
      </c>
      <c r="D3080"/>
      <c r="E3080"/>
      <c r="F3080"/>
      <c r="G3080"/>
      <c r="H3080"/>
      <c r="I3080" s="21" t="str">
        <f t="shared" si="97"/>
        <v/>
      </c>
      <c r="L3080" s="24"/>
      <c r="M3080" s="24"/>
    </row>
    <row r="3081" spans="1:13">
      <c r="A3081" s="14" t="str">
        <f t="shared" si="96"/>
        <v/>
      </c>
      <c r="C3081" s="120" t="s">
        <v>128</v>
      </c>
      <c r="D3081"/>
      <c r="E3081"/>
      <c r="F3081"/>
      <c r="G3081"/>
      <c r="H3081"/>
      <c r="I3081" s="21" t="str">
        <f t="shared" si="97"/>
        <v/>
      </c>
      <c r="L3081" s="24"/>
      <c r="M3081" s="24"/>
    </row>
    <row r="3082" spans="1:13">
      <c r="A3082" s="10" t="str">
        <f t="shared" si="96"/>
        <v/>
      </c>
      <c r="C3082" s="120" t="s">
        <v>280</v>
      </c>
      <c r="D3082"/>
      <c r="E3082"/>
      <c r="F3082"/>
      <c r="G3082"/>
      <c r="H3082"/>
      <c r="I3082" s="21" t="str">
        <f t="shared" si="97"/>
        <v/>
      </c>
      <c r="L3082" s="24"/>
      <c r="M3082" s="24"/>
    </row>
    <row r="3083" spans="1:13">
      <c r="A3083" s="14" t="str">
        <f t="shared" si="96"/>
        <v/>
      </c>
      <c r="C3083" s="120" t="s">
        <v>282</v>
      </c>
      <c r="D3083"/>
      <c r="E3083"/>
      <c r="F3083"/>
      <c r="G3083"/>
      <c r="H3083"/>
      <c r="I3083" s="21" t="str">
        <f t="shared" si="97"/>
        <v/>
      </c>
      <c r="L3083" s="24"/>
      <c r="M3083" s="24"/>
    </row>
    <row r="3084" spans="1:13">
      <c r="A3084" s="10" t="str">
        <f t="shared" si="96"/>
        <v/>
      </c>
      <c r="C3084" s="120" t="s">
        <v>284</v>
      </c>
      <c r="D3084"/>
      <c r="E3084"/>
      <c r="F3084"/>
      <c r="G3084"/>
      <c r="H3084"/>
      <c r="I3084" s="21" t="str">
        <f t="shared" si="97"/>
        <v/>
      </c>
      <c r="L3084" s="24"/>
      <c r="M3084" s="24"/>
    </row>
    <row r="3085" spans="1:13">
      <c r="A3085" s="14" t="str">
        <f t="shared" si="96"/>
        <v/>
      </c>
      <c r="C3085" s="120" t="s">
        <v>286</v>
      </c>
      <c r="D3085"/>
      <c r="E3085"/>
      <c r="F3085"/>
      <c r="G3085"/>
      <c r="H3085"/>
      <c r="I3085" s="21" t="str">
        <f t="shared" si="97"/>
        <v/>
      </c>
      <c r="L3085" s="24"/>
      <c r="M3085" s="24"/>
    </row>
    <row r="3086" spans="1:13">
      <c r="A3086" s="10" t="str">
        <f t="shared" si="96"/>
        <v/>
      </c>
      <c r="C3086" s="120" t="s">
        <v>126</v>
      </c>
      <c r="D3086"/>
      <c r="E3086"/>
      <c r="F3086"/>
      <c r="G3086"/>
      <c r="H3086"/>
      <c r="I3086" s="21" t="str">
        <f t="shared" si="97"/>
        <v/>
      </c>
      <c r="L3086" s="24"/>
      <c r="M3086" s="24"/>
    </row>
    <row r="3087" spans="1:13">
      <c r="A3087" s="14" t="str">
        <f t="shared" si="96"/>
        <v/>
      </c>
      <c r="C3087" s="120" t="s">
        <v>128</v>
      </c>
      <c r="D3087"/>
      <c r="E3087"/>
      <c r="F3087"/>
      <c r="G3087"/>
      <c r="H3087"/>
      <c r="I3087" s="21" t="str">
        <f t="shared" si="97"/>
        <v/>
      </c>
      <c r="L3087" s="24"/>
      <c r="M3087" s="24"/>
    </row>
    <row r="3088" spans="1:13">
      <c r="A3088" s="10" t="str">
        <f t="shared" si="96"/>
        <v/>
      </c>
      <c r="C3088" s="120" t="s">
        <v>280</v>
      </c>
      <c r="D3088"/>
      <c r="E3088"/>
      <c r="F3088"/>
      <c r="G3088"/>
      <c r="H3088"/>
      <c r="I3088" s="21" t="str">
        <f t="shared" si="97"/>
        <v/>
      </c>
      <c r="L3088" s="24"/>
      <c r="M3088" s="24"/>
    </row>
    <row r="3089" spans="1:13">
      <c r="A3089" s="14" t="str">
        <f t="shared" si="96"/>
        <v/>
      </c>
      <c r="C3089" s="120" t="s">
        <v>282</v>
      </c>
      <c r="D3089"/>
      <c r="E3089"/>
      <c r="F3089"/>
      <c r="G3089"/>
      <c r="H3089"/>
      <c r="I3089" s="21" t="str">
        <f t="shared" si="97"/>
        <v/>
      </c>
      <c r="L3089" s="24"/>
      <c r="M3089" s="24"/>
    </row>
    <row r="3090" spans="1:13">
      <c r="A3090" s="10" t="str">
        <f t="shared" si="96"/>
        <v/>
      </c>
      <c r="C3090" s="120" t="s">
        <v>284</v>
      </c>
      <c r="D3090"/>
      <c r="E3090"/>
      <c r="F3090"/>
      <c r="G3090"/>
      <c r="H3090"/>
      <c r="I3090" s="21" t="str">
        <f t="shared" si="97"/>
        <v/>
      </c>
      <c r="L3090" s="24"/>
      <c r="M3090" s="24"/>
    </row>
    <row r="3091" spans="1:13">
      <c r="A3091" s="14" t="str">
        <f t="shared" si="96"/>
        <v/>
      </c>
      <c r="C3091" s="120" t="s">
        <v>286</v>
      </c>
      <c r="D3091"/>
      <c r="E3091"/>
      <c r="F3091"/>
      <c r="G3091"/>
      <c r="H3091"/>
      <c r="I3091" s="21" t="str">
        <f t="shared" si="97"/>
        <v/>
      </c>
      <c r="L3091" s="24"/>
      <c r="M3091" s="24"/>
    </row>
    <row r="3092" spans="1:13">
      <c r="A3092" s="10" t="str">
        <f t="shared" si="96"/>
        <v/>
      </c>
      <c r="C3092" s="120" t="s">
        <v>126</v>
      </c>
      <c r="D3092"/>
      <c r="E3092"/>
      <c r="F3092"/>
      <c r="G3092"/>
      <c r="H3092"/>
      <c r="I3092" s="21" t="str">
        <f t="shared" si="97"/>
        <v/>
      </c>
      <c r="L3092" s="24"/>
      <c r="M3092" s="24"/>
    </row>
    <row r="3093" spans="1:13">
      <c r="A3093" s="14" t="str">
        <f t="shared" si="96"/>
        <v/>
      </c>
      <c r="C3093" s="120" t="s">
        <v>128</v>
      </c>
      <c r="D3093"/>
      <c r="E3093"/>
      <c r="F3093"/>
      <c r="G3093"/>
      <c r="H3093"/>
      <c r="I3093" s="21" t="str">
        <f t="shared" si="97"/>
        <v/>
      </c>
      <c r="L3093" s="24"/>
      <c r="M3093" s="24"/>
    </row>
    <row r="3094" spans="1:13">
      <c r="A3094" s="10" t="str">
        <f t="shared" si="96"/>
        <v/>
      </c>
      <c r="C3094" s="120" t="s">
        <v>280</v>
      </c>
      <c r="D3094"/>
      <c r="E3094"/>
      <c r="F3094"/>
      <c r="G3094"/>
      <c r="H3094"/>
      <c r="I3094" s="21" t="str">
        <f t="shared" si="97"/>
        <v/>
      </c>
      <c r="L3094" s="24"/>
      <c r="M3094" s="24"/>
    </row>
    <row r="3095" spans="1:13">
      <c r="A3095" s="14" t="str">
        <f t="shared" si="96"/>
        <v/>
      </c>
      <c r="C3095" s="120" t="s">
        <v>282</v>
      </c>
      <c r="D3095"/>
      <c r="E3095"/>
      <c r="F3095"/>
      <c r="G3095"/>
      <c r="H3095"/>
      <c r="I3095" s="21" t="str">
        <f t="shared" si="97"/>
        <v/>
      </c>
      <c r="L3095" s="24"/>
      <c r="M3095" s="24"/>
    </row>
    <row r="3096" spans="1:13">
      <c r="A3096" s="10" t="str">
        <f t="shared" si="96"/>
        <v/>
      </c>
      <c r="C3096" s="120" t="s">
        <v>284</v>
      </c>
      <c r="D3096"/>
      <c r="E3096"/>
      <c r="F3096"/>
      <c r="G3096"/>
      <c r="H3096"/>
      <c r="I3096" s="21" t="str">
        <f t="shared" si="97"/>
        <v/>
      </c>
      <c r="L3096" s="24"/>
      <c r="M3096" s="24"/>
    </row>
    <row r="3097" spans="1:13">
      <c r="A3097" s="14" t="str">
        <f t="shared" si="96"/>
        <v/>
      </c>
      <c r="C3097" s="120" t="s">
        <v>286</v>
      </c>
      <c r="D3097"/>
      <c r="E3097"/>
      <c r="F3097"/>
      <c r="G3097"/>
      <c r="H3097"/>
      <c r="I3097" s="21" t="str">
        <f t="shared" si="97"/>
        <v/>
      </c>
      <c r="L3097" s="24"/>
      <c r="M3097" s="24"/>
    </row>
    <row r="3098" spans="1:13">
      <c r="A3098" s="10" t="str">
        <f t="shared" si="96"/>
        <v/>
      </c>
      <c r="C3098" s="120" t="s">
        <v>126</v>
      </c>
      <c r="D3098"/>
      <c r="E3098"/>
      <c r="F3098"/>
      <c r="G3098"/>
      <c r="H3098"/>
      <c r="I3098" s="21" t="str">
        <f t="shared" si="97"/>
        <v/>
      </c>
      <c r="L3098" s="24"/>
      <c r="M3098" s="24"/>
    </row>
    <row r="3099" spans="1:13">
      <c r="A3099" s="14" t="str">
        <f t="shared" si="96"/>
        <v/>
      </c>
      <c r="C3099" s="120" t="s">
        <v>128</v>
      </c>
      <c r="D3099"/>
      <c r="E3099"/>
      <c r="F3099"/>
      <c r="G3099"/>
      <c r="H3099"/>
      <c r="I3099" s="21" t="str">
        <f t="shared" si="97"/>
        <v/>
      </c>
      <c r="L3099" s="24"/>
      <c r="M3099" s="24"/>
    </row>
    <row r="3100" spans="1:13">
      <c r="A3100" s="10" t="str">
        <f t="shared" si="96"/>
        <v/>
      </c>
      <c r="C3100" s="120" t="s">
        <v>280</v>
      </c>
      <c r="D3100"/>
      <c r="E3100"/>
      <c r="F3100"/>
      <c r="G3100"/>
      <c r="H3100"/>
      <c r="I3100" s="21" t="str">
        <f t="shared" si="97"/>
        <v/>
      </c>
      <c r="L3100" s="24"/>
      <c r="M3100" s="24"/>
    </row>
    <row r="3101" spans="1:13">
      <c r="A3101" s="14" t="str">
        <f t="shared" si="96"/>
        <v/>
      </c>
      <c r="C3101" s="120" t="s">
        <v>282</v>
      </c>
      <c r="D3101"/>
      <c r="E3101"/>
      <c r="F3101"/>
      <c r="G3101"/>
      <c r="H3101"/>
      <c r="I3101" s="21" t="str">
        <f t="shared" si="97"/>
        <v/>
      </c>
      <c r="L3101" s="24"/>
      <c r="M3101" s="24"/>
    </row>
    <row r="3102" spans="1:13">
      <c r="A3102" s="10" t="str">
        <f t="shared" si="96"/>
        <v/>
      </c>
      <c r="C3102" s="120" t="s">
        <v>284</v>
      </c>
      <c r="D3102"/>
      <c r="E3102"/>
      <c r="F3102"/>
      <c r="G3102"/>
      <c r="H3102"/>
      <c r="I3102" s="21" t="str">
        <f t="shared" si="97"/>
        <v/>
      </c>
      <c r="L3102" s="24"/>
      <c r="M3102" s="24"/>
    </row>
    <row r="3103" spans="1:13">
      <c r="A3103" s="14" t="str">
        <f t="shared" si="96"/>
        <v/>
      </c>
      <c r="C3103" s="120" t="s">
        <v>286</v>
      </c>
      <c r="D3103"/>
      <c r="E3103"/>
      <c r="F3103"/>
      <c r="G3103"/>
      <c r="H3103"/>
      <c r="I3103" s="21" t="str">
        <f t="shared" si="97"/>
        <v/>
      </c>
      <c r="L3103" s="24"/>
      <c r="M3103" s="24"/>
    </row>
    <row r="3104" spans="1:13">
      <c r="A3104" s="10" t="str">
        <f t="shared" si="96"/>
        <v/>
      </c>
      <c r="C3104" s="120" t="s">
        <v>126</v>
      </c>
      <c r="D3104"/>
      <c r="E3104"/>
      <c r="F3104"/>
      <c r="G3104"/>
      <c r="H3104"/>
      <c r="I3104" s="21" t="str">
        <f t="shared" si="97"/>
        <v/>
      </c>
      <c r="L3104" s="24"/>
      <c r="M3104" s="24"/>
    </row>
    <row r="3105" spans="1:13">
      <c r="A3105" s="14" t="str">
        <f t="shared" si="96"/>
        <v/>
      </c>
      <c r="C3105" s="120" t="s">
        <v>128</v>
      </c>
      <c r="D3105"/>
      <c r="E3105"/>
      <c r="F3105"/>
      <c r="G3105"/>
      <c r="H3105"/>
      <c r="I3105" s="21" t="str">
        <f t="shared" si="97"/>
        <v/>
      </c>
      <c r="L3105" s="24"/>
      <c r="M3105" s="24"/>
    </row>
    <row r="3106" spans="1:13">
      <c r="A3106" s="10" t="str">
        <f t="shared" si="96"/>
        <v/>
      </c>
      <c r="C3106" s="120" t="s">
        <v>280</v>
      </c>
      <c r="D3106"/>
      <c r="E3106"/>
      <c r="F3106"/>
      <c r="G3106"/>
      <c r="H3106"/>
      <c r="I3106" s="21" t="str">
        <f t="shared" si="97"/>
        <v/>
      </c>
      <c r="L3106" s="24"/>
      <c r="M3106" s="24"/>
    </row>
    <row r="3107" spans="1:13">
      <c r="A3107" s="14" t="str">
        <f t="shared" si="96"/>
        <v/>
      </c>
      <c r="C3107" s="120" t="s">
        <v>282</v>
      </c>
      <c r="D3107"/>
      <c r="E3107"/>
      <c r="F3107"/>
      <c r="G3107"/>
      <c r="H3107"/>
      <c r="I3107" s="21" t="str">
        <f t="shared" si="97"/>
        <v/>
      </c>
      <c r="L3107" s="24"/>
      <c r="M3107" s="24"/>
    </row>
    <row r="3108" spans="1:13">
      <c r="A3108" s="10" t="str">
        <f t="shared" si="96"/>
        <v/>
      </c>
      <c r="C3108" s="120" t="s">
        <v>284</v>
      </c>
      <c r="D3108"/>
      <c r="E3108"/>
      <c r="F3108"/>
      <c r="G3108"/>
      <c r="H3108"/>
      <c r="I3108" s="21" t="str">
        <f t="shared" si="97"/>
        <v/>
      </c>
      <c r="L3108" s="24"/>
      <c r="M3108" s="24"/>
    </row>
    <row r="3109" spans="1:13">
      <c r="A3109" s="14" t="str">
        <f t="shared" si="96"/>
        <v/>
      </c>
      <c r="C3109" s="120" t="s">
        <v>286</v>
      </c>
      <c r="D3109"/>
      <c r="E3109"/>
      <c r="F3109"/>
      <c r="G3109"/>
      <c r="H3109"/>
      <c r="I3109" s="21" t="str">
        <f t="shared" si="97"/>
        <v/>
      </c>
      <c r="L3109" s="24"/>
      <c r="M3109" s="24"/>
    </row>
    <row r="3110" spans="1:13">
      <c r="A3110" s="10" t="str">
        <f t="shared" si="96"/>
        <v/>
      </c>
      <c r="C3110" s="120" t="s">
        <v>126</v>
      </c>
      <c r="D3110"/>
      <c r="E3110"/>
      <c r="F3110"/>
      <c r="G3110"/>
      <c r="H3110"/>
      <c r="I3110" s="21" t="str">
        <f t="shared" si="97"/>
        <v/>
      </c>
      <c r="L3110" s="24"/>
      <c r="M3110" s="24"/>
    </row>
    <row r="3111" spans="1:13">
      <c r="A3111" s="14" t="str">
        <f t="shared" si="96"/>
        <v/>
      </c>
      <c r="C3111" s="120" t="s">
        <v>128</v>
      </c>
      <c r="D3111"/>
      <c r="E3111"/>
      <c r="F3111"/>
      <c r="G3111"/>
      <c r="H3111"/>
      <c r="I3111" s="21" t="str">
        <f t="shared" si="97"/>
        <v/>
      </c>
      <c r="L3111" s="24"/>
      <c r="M3111" s="24"/>
    </row>
    <row r="3112" spans="1:13">
      <c r="A3112" s="10" t="str">
        <f t="shared" si="96"/>
        <v/>
      </c>
      <c r="C3112" s="120" t="s">
        <v>280</v>
      </c>
      <c r="D3112"/>
      <c r="E3112"/>
      <c r="F3112"/>
      <c r="G3112"/>
      <c r="H3112"/>
      <c r="I3112" s="21" t="str">
        <f t="shared" si="97"/>
        <v/>
      </c>
      <c r="L3112" s="24"/>
      <c r="M3112" s="24"/>
    </row>
    <row r="3113" spans="1:13">
      <c r="A3113" s="14" t="str">
        <f t="shared" si="96"/>
        <v/>
      </c>
      <c r="C3113" s="120" t="s">
        <v>282</v>
      </c>
      <c r="D3113"/>
      <c r="E3113"/>
      <c r="F3113"/>
      <c r="G3113"/>
      <c r="H3113"/>
      <c r="I3113" s="21" t="str">
        <f t="shared" si="97"/>
        <v/>
      </c>
      <c r="L3113" s="24"/>
      <c r="M3113" s="24"/>
    </row>
    <row r="3114" spans="1:13">
      <c r="A3114" s="10" t="str">
        <f t="shared" si="96"/>
        <v/>
      </c>
      <c r="C3114" s="120" t="s">
        <v>284</v>
      </c>
      <c r="D3114"/>
      <c r="E3114"/>
      <c r="F3114"/>
      <c r="G3114"/>
      <c r="H3114"/>
      <c r="I3114" s="21" t="str">
        <f t="shared" si="97"/>
        <v/>
      </c>
      <c r="L3114" s="24"/>
      <c r="M3114" s="24"/>
    </row>
    <row r="3115" spans="1:13">
      <c r="A3115" s="14" t="str">
        <f t="shared" si="96"/>
        <v/>
      </c>
      <c r="C3115" s="120" t="s">
        <v>286</v>
      </c>
      <c r="D3115"/>
      <c r="E3115"/>
      <c r="F3115"/>
      <c r="G3115"/>
      <c r="H3115"/>
      <c r="I3115" s="21" t="str">
        <f t="shared" si="97"/>
        <v/>
      </c>
      <c r="L3115" s="24"/>
      <c r="M3115" s="24"/>
    </row>
    <row r="3116" spans="1:13">
      <c r="A3116" s="10" t="str">
        <f t="shared" si="96"/>
        <v/>
      </c>
      <c r="C3116" s="120" t="s">
        <v>126</v>
      </c>
      <c r="D3116"/>
      <c r="E3116"/>
      <c r="F3116"/>
      <c r="G3116"/>
      <c r="H3116"/>
      <c r="I3116" s="21" t="str">
        <f t="shared" si="97"/>
        <v/>
      </c>
      <c r="L3116" s="24"/>
      <c r="M3116" s="24"/>
    </row>
    <row r="3117" spans="1:13">
      <c r="A3117" s="14" t="str">
        <f t="shared" si="96"/>
        <v/>
      </c>
      <c r="C3117" s="120" t="s">
        <v>128</v>
      </c>
      <c r="D3117"/>
      <c r="E3117"/>
      <c r="F3117"/>
      <c r="G3117"/>
      <c r="H3117"/>
      <c r="I3117" s="21" t="str">
        <f t="shared" si="97"/>
        <v/>
      </c>
      <c r="L3117" s="24"/>
      <c r="M3117" s="24"/>
    </row>
    <row r="3118" spans="1:13">
      <c r="A3118" s="10" t="str">
        <f t="shared" si="96"/>
        <v/>
      </c>
      <c r="C3118" s="120" t="s">
        <v>280</v>
      </c>
      <c r="D3118"/>
      <c r="E3118"/>
      <c r="F3118"/>
      <c r="G3118"/>
      <c r="H3118"/>
      <c r="I3118" s="21" t="str">
        <f t="shared" si="97"/>
        <v/>
      </c>
      <c r="L3118" s="24"/>
      <c r="M3118" s="24"/>
    </row>
    <row r="3119" spans="1:13">
      <c r="A3119" s="14" t="str">
        <f t="shared" si="96"/>
        <v/>
      </c>
      <c r="C3119" s="120" t="s">
        <v>282</v>
      </c>
      <c r="D3119"/>
      <c r="E3119"/>
      <c r="F3119"/>
      <c r="G3119"/>
      <c r="H3119"/>
      <c r="I3119" s="21" t="str">
        <f t="shared" si="97"/>
        <v/>
      </c>
      <c r="L3119" s="24"/>
      <c r="M3119" s="24"/>
    </row>
    <row r="3120" spans="1:13">
      <c r="A3120" s="10" t="str">
        <f t="shared" si="96"/>
        <v/>
      </c>
      <c r="C3120" s="120" t="s">
        <v>284</v>
      </c>
      <c r="D3120"/>
      <c r="E3120"/>
      <c r="F3120"/>
      <c r="G3120"/>
      <c r="H3120"/>
      <c r="I3120" s="21" t="str">
        <f t="shared" si="97"/>
        <v/>
      </c>
      <c r="L3120" s="24"/>
      <c r="M3120" s="24"/>
    </row>
    <row r="3121" spans="1:13">
      <c r="A3121" s="14" t="str">
        <f t="shared" si="96"/>
        <v/>
      </c>
      <c r="C3121" s="120" t="s">
        <v>286</v>
      </c>
      <c r="D3121"/>
      <c r="E3121"/>
      <c r="F3121"/>
      <c r="G3121"/>
      <c r="H3121"/>
      <c r="I3121" s="21" t="str">
        <f t="shared" si="97"/>
        <v/>
      </c>
      <c r="L3121" s="24"/>
      <c r="M3121" s="24"/>
    </row>
    <row r="3122" spans="1:13">
      <c r="A3122" s="10" t="str">
        <f t="shared" si="96"/>
        <v/>
      </c>
      <c r="C3122" s="120" t="s">
        <v>126</v>
      </c>
      <c r="D3122"/>
      <c r="E3122"/>
      <c r="F3122"/>
      <c r="G3122"/>
      <c r="H3122"/>
      <c r="I3122" s="21" t="str">
        <f t="shared" si="97"/>
        <v/>
      </c>
      <c r="L3122" s="24"/>
      <c r="M3122" s="24"/>
    </row>
    <row r="3123" spans="1:13">
      <c r="A3123" s="14" t="str">
        <f t="shared" si="96"/>
        <v/>
      </c>
      <c r="C3123" s="120" t="s">
        <v>128</v>
      </c>
      <c r="D3123"/>
      <c r="E3123"/>
      <c r="F3123"/>
      <c r="G3123"/>
      <c r="H3123"/>
      <c r="I3123" s="21" t="str">
        <f t="shared" si="97"/>
        <v/>
      </c>
      <c r="L3123" s="24"/>
      <c r="M3123" s="24"/>
    </row>
    <row r="3124" spans="1:13">
      <c r="A3124" s="10" t="str">
        <f t="shared" si="96"/>
        <v/>
      </c>
      <c r="C3124" s="120" t="s">
        <v>280</v>
      </c>
      <c r="D3124"/>
      <c r="E3124"/>
      <c r="F3124"/>
      <c r="G3124"/>
      <c r="H3124"/>
      <c r="I3124" s="21" t="str">
        <f t="shared" si="97"/>
        <v/>
      </c>
      <c r="L3124" s="24"/>
      <c r="M3124" s="24"/>
    </row>
    <row r="3125" spans="1:13">
      <c r="A3125" s="14" t="str">
        <f t="shared" si="96"/>
        <v/>
      </c>
      <c r="C3125" s="120" t="s">
        <v>282</v>
      </c>
      <c r="D3125"/>
      <c r="E3125"/>
      <c r="F3125"/>
      <c r="G3125"/>
      <c r="H3125"/>
      <c r="I3125" s="21" t="str">
        <f t="shared" si="97"/>
        <v/>
      </c>
      <c r="L3125" s="24"/>
      <c r="M3125" s="24"/>
    </row>
    <row r="3126" spans="1:13">
      <c r="A3126" s="10" t="str">
        <f t="shared" si="96"/>
        <v/>
      </c>
      <c r="C3126" s="120" t="s">
        <v>284</v>
      </c>
      <c r="D3126"/>
      <c r="E3126"/>
      <c r="F3126"/>
      <c r="G3126"/>
      <c r="H3126"/>
      <c r="I3126" s="21" t="str">
        <f t="shared" si="97"/>
        <v/>
      </c>
      <c r="L3126" s="24"/>
      <c r="M3126" s="24"/>
    </row>
    <row r="3127" spans="1:13">
      <c r="A3127" s="14" t="str">
        <f t="shared" si="96"/>
        <v/>
      </c>
      <c r="C3127" s="120" t="s">
        <v>286</v>
      </c>
      <c r="D3127"/>
      <c r="E3127"/>
      <c r="F3127"/>
      <c r="G3127"/>
      <c r="H3127"/>
      <c r="I3127" s="21" t="str">
        <f t="shared" si="97"/>
        <v/>
      </c>
      <c r="L3127" s="24"/>
      <c r="M3127" s="24"/>
    </row>
    <row r="3128" spans="1:13">
      <c r="A3128" s="10" t="str">
        <f t="shared" si="96"/>
        <v/>
      </c>
      <c r="C3128" s="120" t="s">
        <v>126</v>
      </c>
      <c r="D3128"/>
      <c r="E3128"/>
      <c r="F3128"/>
      <c r="G3128"/>
      <c r="H3128"/>
      <c r="I3128" s="21" t="str">
        <f t="shared" si="97"/>
        <v/>
      </c>
      <c r="L3128" s="24"/>
      <c r="M3128" s="24"/>
    </row>
    <row r="3129" spans="1:13">
      <c r="A3129" s="14" t="str">
        <f t="shared" si="96"/>
        <v/>
      </c>
      <c r="C3129" s="120" t="s">
        <v>128</v>
      </c>
      <c r="D3129"/>
      <c r="E3129"/>
      <c r="F3129"/>
      <c r="G3129"/>
      <c r="H3129"/>
      <c r="I3129" s="21" t="str">
        <f t="shared" si="97"/>
        <v/>
      </c>
      <c r="L3129" s="24"/>
      <c r="M3129" s="24"/>
    </row>
    <row r="3130" spans="1:13">
      <c r="A3130" s="10" t="str">
        <f t="shared" si="96"/>
        <v/>
      </c>
      <c r="C3130" s="120" t="s">
        <v>280</v>
      </c>
      <c r="D3130"/>
      <c r="E3130"/>
      <c r="F3130"/>
      <c r="G3130"/>
      <c r="H3130"/>
      <c r="I3130" s="21" t="str">
        <f t="shared" si="97"/>
        <v/>
      </c>
      <c r="L3130" s="24"/>
      <c r="M3130" s="24"/>
    </row>
    <row r="3131" spans="1:13">
      <c r="A3131" s="14" t="str">
        <f t="shared" si="96"/>
        <v/>
      </c>
      <c r="C3131" s="120" t="s">
        <v>282</v>
      </c>
      <c r="D3131"/>
      <c r="E3131"/>
      <c r="F3131"/>
      <c r="G3131"/>
      <c r="H3131"/>
      <c r="I3131" s="21" t="str">
        <f t="shared" si="97"/>
        <v/>
      </c>
      <c r="L3131" s="24"/>
      <c r="M3131" s="24"/>
    </row>
    <row r="3132" spans="1:13">
      <c r="A3132" s="10" t="str">
        <f t="shared" si="96"/>
        <v/>
      </c>
      <c r="C3132" s="120" t="s">
        <v>284</v>
      </c>
      <c r="D3132"/>
      <c r="E3132"/>
      <c r="F3132"/>
      <c r="G3132"/>
      <c r="H3132"/>
      <c r="I3132" s="21" t="str">
        <f t="shared" si="97"/>
        <v/>
      </c>
      <c r="L3132" s="24"/>
      <c r="M3132" s="24"/>
    </row>
    <row r="3133" spans="1:13">
      <c r="A3133" s="14" t="str">
        <f t="shared" si="96"/>
        <v/>
      </c>
      <c r="C3133" s="120" t="s">
        <v>286</v>
      </c>
      <c r="D3133"/>
      <c r="E3133"/>
      <c r="F3133"/>
      <c r="G3133"/>
      <c r="H3133"/>
      <c r="I3133" s="21" t="str">
        <f t="shared" si="97"/>
        <v/>
      </c>
      <c r="L3133" s="24"/>
      <c r="M3133" s="24"/>
    </row>
    <row r="3134" spans="1:13">
      <c r="A3134" s="10" t="str">
        <f t="shared" si="96"/>
        <v/>
      </c>
      <c r="C3134" s="120" t="s">
        <v>126</v>
      </c>
      <c r="D3134"/>
      <c r="E3134"/>
      <c r="F3134"/>
      <c r="G3134"/>
      <c r="H3134"/>
      <c r="I3134" s="21" t="str">
        <f t="shared" si="97"/>
        <v/>
      </c>
      <c r="L3134" s="24"/>
      <c r="M3134" s="24"/>
    </row>
    <row r="3135" spans="1:13">
      <c r="A3135" s="14" t="str">
        <f t="shared" si="96"/>
        <v/>
      </c>
      <c r="C3135" s="120" t="s">
        <v>128</v>
      </c>
      <c r="D3135"/>
      <c r="E3135"/>
      <c r="F3135"/>
      <c r="G3135"/>
      <c r="H3135"/>
      <c r="I3135" s="21" t="str">
        <f t="shared" si="97"/>
        <v/>
      </c>
      <c r="L3135" s="24"/>
      <c r="M3135" s="24"/>
    </row>
    <row r="3136" spans="1:13">
      <c r="A3136" s="10" t="str">
        <f t="shared" si="96"/>
        <v/>
      </c>
      <c r="C3136" s="120" t="s">
        <v>280</v>
      </c>
      <c r="D3136"/>
      <c r="E3136"/>
      <c r="F3136"/>
      <c r="G3136"/>
      <c r="H3136"/>
      <c r="I3136" s="21" t="str">
        <f t="shared" si="97"/>
        <v/>
      </c>
      <c r="L3136" s="24"/>
      <c r="M3136" s="24"/>
    </row>
    <row r="3137" spans="1:13">
      <c r="A3137" s="14" t="str">
        <f t="shared" si="96"/>
        <v/>
      </c>
      <c r="C3137" s="120" t="s">
        <v>282</v>
      </c>
      <c r="D3137"/>
      <c r="E3137"/>
      <c r="F3137"/>
      <c r="G3137"/>
      <c r="H3137"/>
      <c r="I3137" s="21" t="str">
        <f t="shared" si="97"/>
        <v/>
      </c>
      <c r="L3137" s="24"/>
      <c r="M3137" s="24"/>
    </row>
    <row r="3138" spans="1:13">
      <c r="A3138" s="10" t="str">
        <f t="shared" ref="A3138:A3201" si="98">IF(B3138&lt;&gt;"",ROW()-1,"")</f>
        <v/>
      </c>
      <c r="C3138" s="120" t="s">
        <v>284</v>
      </c>
      <c r="D3138"/>
      <c r="E3138"/>
      <c r="F3138"/>
      <c r="G3138"/>
      <c r="H3138"/>
      <c r="I3138" s="21" t="str">
        <f t="shared" ref="I3138:I3201" si="99">IF(AND(G3138&lt;&gt;"",H3138&lt;&gt;""),H3138-G3138,"")</f>
        <v/>
      </c>
      <c r="L3138" s="24"/>
      <c r="M3138" s="24"/>
    </row>
    <row r="3139" spans="1:13">
      <c r="A3139" s="14" t="str">
        <f t="shared" si="98"/>
        <v/>
      </c>
      <c r="C3139" s="120" t="s">
        <v>286</v>
      </c>
      <c r="D3139"/>
      <c r="E3139"/>
      <c r="F3139"/>
      <c r="G3139"/>
      <c r="H3139"/>
      <c r="I3139" s="21" t="str">
        <f t="shared" si="99"/>
        <v/>
      </c>
      <c r="L3139" s="24"/>
      <c r="M3139" s="24"/>
    </row>
    <row r="3140" spans="1:13">
      <c r="A3140" s="10" t="str">
        <f t="shared" si="98"/>
        <v/>
      </c>
      <c r="C3140" s="120" t="s">
        <v>126</v>
      </c>
      <c r="D3140"/>
      <c r="E3140"/>
      <c r="F3140"/>
      <c r="G3140"/>
      <c r="H3140"/>
      <c r="I3140" s="21" t="str">
        <f t="shared" si="99"/>
        <v/>
      </c>
      <c r="L3140" s="24"/>
      <c r="M3140" s="24"/>
    </row>
    <row r="3141" spans="1:13">
      <c r="A3141" s="14" t="str">
        <f t="shared" si="98"/>
        <v/>
      </c>
      <c r="C3141" s="120" t="s">
        <v>128</v>
      </c>
      <c r="D3141"/>
      <c r="E3141"/>
      <c r="F3141"/>
      <c r="G3141"/>
      <c r="H3141"/>
      <c r="I3141" s="21" t="str">
        <f t="shared" si="99"/>
        <v/>
      </c>
      <c r="L3141" s="24"/>
      <c r="M3141" s="24"/>
    </row>
    <row r="3142" spans="1:13">
      <c r="A3142" s="10" t="str">
        <f t="shared" si="98"/>
        <v/>
      </c>
      <c r="C3142" s="120" t="s">
        <v>280</v>
      </c>
      <c r="D3142"/>
      <c r="E3142"/>
      <c r="F3142"/>
      <c r="G3142"/>
      <c r="H3142"/>
      <c r="I3142" s="21" t="str">
        <f t="shared" si="99"/>
        <v/>
      </c>
      <c r="L3142" s="24"/>
      <c r="M3142" s="24"/>
    </row>
    <row r="3143" spans="1:13">
      <c r="A3143" s="14" t="str">
        <f t="shared" si="98"/>
        <v/>
      </c>
      <c r="C3143" s="120" t="s">
        <v>282</v>
      </c>
      <c r="D3143"/>
      <c r="E3143"/>
      <c r="F3143"/>
      <c r="G3143"/>
      <c r="H3143"/>
      <c r="I3143" s="21" t="str">
        <f t="shared" si="99"/>
        <v/>
      </c>
      <c r="L3143" s="24"/>
      <c r="M3143" s="24"/>
    </row>
    <row r="3144" spans="1:13">
      <c r="A3144" s="10" t="str">
        <f t="shared" si="98"/>
        <v/>
      </c>
      <c r="C3144" s="120" t="s">
        <v>284</v>
      </c>
      <c r="D3144"/>
      <c r="E3144"/>
      <c r="F3144"/>
      <c r="G3144"/>
      <c r="H3144"/>
      <c r="I3144" s="21" t="str">
        <f t="shared" si="99"/>
        <v/>
      </c>
      <c r="L3144" s="24"/>
      <c r="M3144" s="24"/>
    </row>
    <row r="3145" spans="1:13">
      <c r="A3145" s="14" t="str">
        <f t="shared" si="98"/>
        <v/>
      </c>
      <c r="C3145" s="120" t="s">
        <v>286</v>
      </c>
      <c r="D3145"/>
      <c r="E3145"/>
      <c r="F3145"/>
      <c r="G3145"/>
      <c r="H3145"/>
      <c r="I3145" s="21" t="str">
        <f t="shared" si="99"/>
        <v/>
      </c>
      <c r="L3145" s="24"/>
      <c r="M3145" s="24"/>
    </row>
    <row r="3146" spans="1:13">
      <c r="A3146" s="10" t="str">
        <f t="shared" si="98"/>
        <v/>
      </c>
      <c r="C3146" s="120" t="s">
        <v>126</v>
      </c>
      <c r="D3146"/>
      <c r="E3146"/>
      <c r="F3146"/>
      <c r="G3146"/>
      <c r="H3146"/>
      <c r="I3146" s="21" t="str">
        <f t="shared" si="99"/>
        <v/>
      </c>
      <c r="L3146" s="24"/>
      <c r="M3146" s="24"/>
    </row>
    <row r="3147" spans="1:13">
      <c r="A3147" s="14" t="str">
        <f t="shared" si="98"/>
        <v/>
      </c>
      <c r="C3147" s="120" t="s">
        <v>128</v>
      </c>
      <c r="D3147"/>
      <c r="E3147"/>
      <c r="F3147"/>
      <c r="G3147"/>
      <c r="H3147"/>
      <c r="I3147" s="21" t="str">
        <f t="shared" si="99"/>
        <v/>
      </c>
      <c r="L3147" s="24"/>
      <c r="M3147" s="24"/>
    </row>
    <row r="3148" spans="1:13">
      <c r="A3148" s="10" t="str">
        <f t="shared" si="98"/>
        <v/>
      </c>
      <c r="C3148" s="120" t="s">
        <v>280</v>
      </c>
      <c r="D3148"/>
      <c r="E3148"/>
      <c r="F3148"/>
      <c r="G3148"/>
      <c r="H3148"/>
      <c r="I3148" s="21" t="str">
        <f t="shared" si="99"/>
        <v/>
      </c>
      <c r="L3148" s="24"/>
      <c r="M3148" s="24"/>
    </row>
    <row r="3149" spans="1:13">
      <c r="A3149" s="14" t="str">
        <f t="shared" si="98"/>
        <v/>
      </c>
      <c r="C3149" s="120" t="s">
        <v>282</v>
      </c>
      <c r="D3149"/>
      <c r="E3149"/>
      <c r="F3149"/>
      <c r="G3149"/>
      <c r="H3149"/>
      <c r="I3149" s="21" t="str">
        <f t="shared" si="99"/>
        <v/>
      </c>
      <c r="L3149" s="24"/>
      <c r="M3149" s="24"/>
    </row>
    <row r="3150" spans="1:13">
      <c r="A3150" s="10" t="str">
        <f t="shared" si="98"/>
        <v/>
      </c>
      <c r="C3150" s="120" t="s">
        <v>284</v>
      </c>
      <c r="D3150"/>
      <c r="E3150"/>
      <c r="F3150"/>
      <c r="G3150"/>
      <c r="H3150"/>
      <c r="I3150" s="21" t="str">
        <f t="shared" si="99"/>
        <v/>
      </c>
      <c r="L3150" s="24"/>
      <c r="M3150" s="24"/>
    </row>
    <row r="3151" spans="1:13">
      <c r="A3151" s="14" t="str">
        <f t="shared" si="98"/>
        <v/>
      </c>
      <c r="C3151" s="120" t="s">
        <v>286</v>
      </c>
      <c r="D3151"/>
      <c r="E3151"/>
      <c r="F3151"/>
      <c r="G3151"/>
      <c r="H3151"/>
      <c r="I3151" s="21" t="str">
        <f t="shared" si="99"/>
        <v/>
      </c>
      <c r="L3151" s="24"/>
      <c r="M3151" s="24"/>
    </row>
    <row r="3152" spans="1:13">
      <c r="A3152" s="10" t="str">
        <f t="shared" si="98"/>
        <v/>
      </c>
      <c r="C3152" s="120" t="s">
        <v>126</v>
      </c>
      <c r="D3152"/>
      <c r="E3152"/>
      <c r="F3152"/>
      <c r="G3152"/>
      <c r="H3152"/>
      <c r="I3152" s="21" t="str">
        <f t="shared" si="99"/>
        <v/>
      </c>
      <c r="L3152" s="24"/>
      <c r="M3152" s="24"/>
    </row>
    <row r="3153" spans="1:13">
      <c r="A3153" s="14" t="str">
        <f t="shared" si="98"/>
        <v/>
      </c>
      <c r="C3153" s="120" t="s">
        <v>128</v>
      </c>
      <c r="D3153"/>
      <c r="E3153"/>
      <c r="F3153"/>
      <c r="G3153"/>
      <c r="H3153"/>
      <c r="I3153" s="21" t="str">
        <f t="shared" si="99"/>
        <v/>
      </c>
      <c r="L3153" s="24"/>
      <c r="M3153" s="24"/>
    </row>
    <row r="3154" spans="1:13">
      <c r="A3154" s="10" t="str">
        <f t="shared" si="98"/>
        <v/>
      </c>
      <c r="C3154" s="120" t="s">
        <v>280</v>
      </c>
      <c r="D3154"/>
      <c r="E3154"/>
      <c r="F3154"/>
      <c r="G3154"/>
      <c r="H3154"/>
      <c r="I3154" s="21" t="str">
        <f t="shared" si="99"/>
        <v/>
      </c>
      <c r="L3154" s="24"/>
      <c r="M3154" s="24"/>
    </row>
    <row r="3155" spans="1:13">
      <c r="A3155" s="14" t="str">
        <f t="shared" si="98"/>
        <v/>
      </c>
      <c r="C3155" s="120" t="s">
        <v>282</v>
      </c>
      <c r="D3155"/>
      <c r="E3155"/>
      <c r="F3155"/>
      <c r="G3155"/>
      <c r="H3155"/>
      <c r="I3155" s="21" t="str">
        <f t="shared" si="99"/>
        <v/>
      </c>
      <c r="L3155" s="24"/>
      <c r="M3155" s="24"/>
    </row>
    <row r="3156" spans="1:13">
      <c r="A3156" s="10" t="str">
        <f t="shared" si="98"/>
        <v/>
      </c>
      <c r="C3156" s="120" t="s">
        <v>284</v>
      </c>
      <c r="D3156"/>
      <c r="E3156"/>
      <c r="F3156"/>
      <c r="G3156"/>
      <c r="H3156"/>
      <c r="I3156" s="21" t="str">
        <f t="shared" si="99"/>
        <v/>
      </c>
      <c r="L3156" s="24"/>
      <c r="M3156" s="24"/>
    </row>
    <row r="3157" spans="1:13">
      <c r="A3157" s="14" t="str">
        <f t="shared" si="98"/>
        <v/>
      </c>
      <c r="C3157" s="120" t="s">
        <v>286</v>
      </c>
      <c r="D3157"/>
      <c r="E3157"/>
      <c r="F3157"/>
      <c r="G3157"/>
      <c r="H3157"/>
      <c r="I3157" s="21" t="str">
        <f t="shared" si="99"/>
        <v/>
      </c>
      <c r="L3157" s="24"/>
      <c r="M3157" s="24"/>
    </row>
    <row r="3158" spans="1:13">
      <c r="A3158" s="10" t="str">
        <f t="shared" si="98"/>
        <v/>
      </c>
      <c r="C3158" s="120" t="s">
        <v>126</v>
      </c>
      <c r="D3158"/>
      <c r="E3158"/>
      <c r="F3158"/>
      <c r="G3158"/>
      <c r="H3158"/>
      <c r="I3158" s="21" t="str">
        <f t="shared" si="99"/>
        <v/>
      </c>
      <c r="L3158" s="24"/>
      <c r="M3158" s="24"/>
    </row>
    <row r="3159" spans="1:13">
      <c r="A3159" s="14" t="str">
        <f t="shared" si="98"/>
        <v/>
      </c>
      <c r="C3159" s="120" t="s">
        <v>128</v>
      </c>
      <c r="D3159"/>
      <c r="E3159"/>
      <c r="F3159"/>
      <c r="G3159"/>
      <c r="H3159"/>
      <c r="I3159" s="21" t="str">
        <f t="shared" si="99"/>
        <v/>
      </c>
      <c r="L3159" s="24"/>
      <c r="M3159" s="24"/>
    </row>
    <row r="3160" spans="1:13">
      <c r="A3160" s="10" t="str">
        <f t="shared" si="98"/>
        <v/>
      </c>
      <c r="C3160" s="120" t="s">
        <v>280</v>
      </c>
      <c r="D3160"/>
      <c r="E3160"/>
      <c r="F3160"/>
      <c r="G3160"/>
      <c r="H3160"/>
      <c r="I3160" s="21" t="str">
        <f t="shared" si="99"/>
        <v/>
      </c>
      <c r="L3160" s="24"/>
      <c r="M3160" s="24"/>
    </row>
    <row r="3161" spans="1:13">
      <c r="A3161" s="14" t="str">
        <f t="shared" si="98"/>
        <v/>
      </c>
      <c r="C3161" s="120" t="s">
        <v>282</v>
      </c>
      <c r="D3161"/>
      <c r="E3161"/>
      <c r="F3161"/>
      <c r="G3161"/>
      <c r="H3161"/>
      <c r="I3161" s="21" t="str">
        <f t="shared" si="99"/>
        <v/>
      </c>
      <c r="L3161" s="24"/>
      <c r="M3161" s="24"/>
    </row>
    <row r="3162" spans="1:13">
      <c r="A3162" s="10" t="str">
        <f t="shared" si="98"/>
        <v/>
      </c>
      <c r="C3162" s="120" t="s">
        <v>284</v>
      </c>
      <c r="D3162"/>
      <c r="E3162"/>
      <c r="F3162"/>
      <c r="G3162"/>
      <c r="H3162"/>
      <c r="I3162" s="21" t="str">
        <f t="shared" si="99"/>
        <v/>
      </c>
      <c r="L3162" s="24"/>
      <c r="M3162" s="24"/>
    </row>
    <row r="3163" spans="1:13">
      <c r="A3163" s="14" t="str">
        <f t="shared" si="98"/>
        <v/>
      </c>
      <c r="C3163" s="120" t="s">
        <v>286</v>
      </c>
      <c r="D3163"/>
      <c r="E3163"/>
      <c r="F3163"/>
      <c r="G3163"/>
      <c r="H3163"/>
      <c r="I3163" s="21" t="str">
        <f t="shared" si="99"/>
        <v/>
      </c>
      <c r="L3163" s="24"/>
      <c r="M3163" s="24"/>
    </row>
    <row r="3164" spans="1:13">
      <c r="A3164" s="10" t="str">
        <f t="shared" si="98"/>
        <v/>
      </c>
      <c r="C3164" s="120" t="s">
        <v>126</v>
      </c>
      <c r="D3164"/>
      <c r="E3164"/>
      <c r="F3164"/>
      <c r="G3164"/>
      <c r="H3164"/>
      <c r="I3164" s="21" t="str">
        <f t="shared" si="99"/>
        <v/>
      </c>
      <c r="L3164" s="24"/>
      <c r="M3164" s="24"/>
    </row>
    <row r="3165" spans="1:13">
      <c r="A3165" s="14" t="str">
        <f t="shared" si="98"/>
        <v/>
      </c>
      <c r="C3165" s="120" t="s">
        <v>128</v>
      </c>
      <c r="D3165"/>
      <c r="E3165"/>
      <c r="F3165"/>
      <c r="G3165"/>
      <c r="H3165"/>
      <c r="I3165" s="21" t="str">
        <f t="shared" si="99"/>
        <v/>
      </c>
      <c r="L3165" s="24"/>
      <c r="M3165" s="24"/>
    </row>
    <row r="3166" spans="1:13">
      <c r="A3166" s="10" t="str">
        <f t="shared" si="98"/>
        <v/>
      </c>
      <c r="C3166" s="120" t="s">
        <v>280</v>
      </c>
      <c r="D3166"/>
      <c r="E3166"/>
      <c r="F3166"/>
      <c r="G3166"/>
      <c r="H3166"/>
      <c r="I3166" s="21" t="str">
        <f t="shared" si="99"/>
        <v/>
      </c>
      <c r="L3166" s="24"/>
      <c r="M3166" s="24"/>
    </row>
    <row r="3167" spans="1:13">
      <c r="A3167" s="14" t="str">
        <f t="shared" si="98"/>
        <v/>
      </c>
      <c r="C3167" s="120" t="s">
        <v>282</v>
      </c>
      <c r="D3167"/>
      <c r="E3167"/>
      <c r="F3167"/>
      <c r="G3167"/>
      <c r="H3167"/>
      <c r="I3167" s="21" t="str">
        <f t="shared" si="99"/>
        <v/>
      </c>
      <c r="L3167" s="24"/>
      <c r="M3167" s="24"/>
    </row>
    <row r="3168" spans="1:13">
      <c r="A3168" s="10" t="str">
        <f t="shared" si="98"/>
        <v/>
      </c>
      <c r="C3168" s="120" t="s">
        <v>284</v>
      </c>
      <c r="D3168"/>
      <c r="E3168"/>
      <c r="F3168"/>
      <c r="G3168"/>
      <c r="H3168"/>
      <c r="I3168" s="21" t="str">
        <f t="shared" si="99"/>
        <v/>
      </c>
      <c r="L3168" s="24"/>
      <c r="M3168" s="24"/>
    </row>
    <row r="3169" spans="1:13">
      <c r="A3169" s="14" t="str">
        <f t="shared" si="98"/>
        <v/>
      </c>
      <c r="C3169" s="120" t="s">
        <v>286</v>
      </c>
      <c r="D3169"/>
      <c r="E3169"/>
      <c r="F3169"/>
      <c r="G3169"/>
      <c r="H3169"/>
      <c r="I3169" s="21" t="str">
        <f t="shared" si="99"/>
        <v/>
      </c>
      <c r="L3169" s="24"/>
      <c r="M3169" s="24"/>
    </row>
    <row r="3170" spans="1:13">
      <c r="A3170" s="10" t="str">
        <f t="shared" si="98"/>
        <v/>
      </c>
      <c r="C3170" s="120" t="s">
        <v>126</v>
      </c>
      <c r="D3170"/>
      <c r="E3170"/>
      <c r="F3170"/>
      <c r="G3170"/>
      <c r="H3170"/>
      <c r="I3170" s="21" t="str">
        <f t="shared" si="99"/>
        <v/>
      </c>
      <c r="L3170" s="24"/>
      <c r="M3170" s="24"/>
    </row>
    <row r="3171" spans="1:13">
      <c r="A3171" s="14" t="str">
        <f t="shared" si="98"/>
        <v/>
      </c>
      <c r="C3171" s="120" t="s">
        <v>128</v>
      </c>
      <c r="D3171"/>
      <c r="E3171"/>
      <c r="F3171"/>
      <c r="G3171"/>
      <c r="H3171"/>
      <c r="I3171" s="21" t="str">
        <f t="shared" si="99"/>
        <v/>
      </c>
      <c r="L3171" s="24"/>
      <c r="M3171" s="24"/>
    </row>
    <row r="3172" spans="1:13">
      <c r="A3172" s="10" t="str">
        <f t="shared" si="98"/>
        <v/>
      </c>
      <c r="C3172" s="120" t="s">
        <v>280</v>
      </c>
      <c r="D3172"/>
      <c r="E3172"/>
      <c r="F3172"/>
      <c r="G3172"/>
      <c r="H3172"/>
      <c r="I3172" s="21" t="str">
        <f t="shared" si="99"/>
        <v/>
      </c>
      <c r="L3172" s="24"/>
      <c r="M3172" s="24"/>
    </row>
    <row r="3173" spans="1:13">
      <c r="A3173" s="14" t="str">
        <f t="shared" si="98"/>
        <v/>
      </c>
      <c r="C3173" s="120" t="s">
        <v>282</v>
      </c>
      <c r="D3173"/>
      <c r="E3173"/>
      <c r="F3173"/>
      <c r="G3173"/>
      <c r="H3173"/>
      <c r="I3173" s="21" t="str">
        <f t="shared" si="99"/>
        <v/>
      </c>
      <c r="L3173" s="24"/>
      <c r="M3173" s="24"/>
    </row>
    <row r="3174" spans="1:13">
      <c r="A3174" s="10" t="str">
        <f t="shared" si="98"/>
        <v/>
      </c>
      <c r="C3174" s="120" t="s">
        <v>284</v>
      </c>
      <c r="D3174"/>
      <c r="E3174"/>
      <c r="F3174"/>
      <c r="G3174"/>
      <c r="H3174"/>
      <c r="I3174" s="21" t="str">
        <f t="shared" si="99"/>
        <v/>
      </c>
      <c r="L3174" s="24"/>
      <c r="M3174" s="24"/>
    </row>
    <row r="3175" spans="1:13">
      <c r="A3175" s="14" t="str">
        <f t="shared" si="98"/>
        <v/>
      </c>
      <c r="C3175" s="120" t="s">
        <v>286</v>
      </c>
      <c r="D3175"/>
      <c r="E3175"/>
      <c r="F3175"/>
      <c r="G3175"/>
      <c r="H3175"/>
      <c r="I3175" s="21" t="str">
        <f t="shared" si="99"/>
        <v/>
      </c>
      <c r="L3175" s="24"/>
      <c r="M3175" s="24"/>
    </row>
    <row r="3176" spans="1:13">
      <c r="A3176" s="10" t="str">
        <f t="shared" si="98"/>
        <v/>
      </c>
      <c r="C3176" s="120" t="s">
        <v>126</v>
      </c>
      <c r="D3176"/>
      <c r="E3176"/>
      <c r="F3176"/>
      <c r="G3176"/>
      <c r="H3176"/>
      <c r="I3176" s="21" t="str">
        <f t="shared" si="99"/>
        <v/>
      </c>
      <c r="L3176" s="24"/>
      <c r="M3176" s="24"/>
    </row>
    <row r="3177" spans="1:13">
      <c r="A3177" s="14" t="str">
        <f t="shared" si="98"/>
        <v/>
      </c>
      <c r="C3177" s="120" t="s">
        <v>128</v>
      </c>
      <c r="D3177"/>
      <c r="E3177"/>
      <c r="F3177"/>
      <c r="G3177"/>
      <c r="H3177"/>
      <c r="I3177" s="21" t="str">
        <f t="shared" si="99"/>
        <v/>
      </c>
      <c r="L3177" s="24"/>
      <c r="M3177" s="24"/>
    </row>
    <row r="3178" spans="1:13">
      <c r="A3178" s="10" t="str">
        <f t="shared" si="98"/>
        <v/>
      </c>
      <c r="C3178" s="120" t="s">
        <v>280</v>
      </c>
      <c r="D3178"/>
      <c r="E3178"/>
      <c r="F3178"/>
      <c r="G3178"/>
      <c r="H3178"/>
      <c r="I3178" s="21" t="str">
        <f t="shared" si="99"/>
        <v/>
      </c>
      <c r="L3178" s="24"/>
      <c r="M3178" s="24"/>
    </row>
    <row r="3179" spans="1:13">
      <c r="A3179" s="14" t="str">
        <f t="shared" si="98"/>
        <v/>
      </c>
      <c r="C3179" s="120" t="s">
        <v>282</v>
      </c>
      <c r="D3179"/>
      <c r="E3179"/>
      <c r="F3179"/>
      <c r="G3179"/>
      <c r="H3179"/>
      <c r="I3179" s="21" t="str">
        <f t="shared" si="99"/>
        <v/>
      </c>
      <c r="L3179" s="24"/>
      <c r="M3179" s="24"/>
    </row>
    <row r="3180" spans="1:13">
      <c r="A3180" s="10" t="str">
        <f t="shared" si="98"/>
        <v/>
      </c>
      <c r="C3180" s="120" t="s">
        <v>284</v>
      </c>
      <c r="D3180"/>
      <c r="E3180"/>
      <c r="F3180"/>
      <c r="G3180"/>
      <c r="H3180"/>
      <c r="I3180" s="21" t="str">
        <f t="shared" si="99"/>
        <v/>
      </c>
      <c r="L3180" s="24"/>
      <c r="M3180" s="24"/>
    </row>
    <row r="3181" spans="1:13">
      <c r="A3181" s="14" t="str">
        <f t="shared" si="98"/>
        <v/>
      </c>
      <c r="C3181" s="120" t="s">
        <v>286</v>
      </c>
      <c r="D3181"/>
      <c r="E3181"/>
      <c r="F3181"/>
      <c r="G3181"/>
      <c r="H3181"/>
      <c r="I3181" s="21" t="str">
        <f t="shared" si="99"/>
        <v/>
      </c>
      <c r="L3181" s="24"/>
      <c r="M3181" s="24"/>
    </row>
    <row r="3182" spans="1:13">
      <c r="A3182" s="10" t="str">
        <f t="shared" si="98"/>
        <v/>
      </c>
      <c r="C3182" s="120" t="s">
        <v>126</v>
      </c>
      <c r="D3182"/>
      <c r="E3182"/>
      <c r="F3182"/>
      <c r="G3182"/>
      <c r="H3182"/>
      <c r="I3182" s="21" t="str">
        <f t="shared" si="99"/>
        <v/>
      </c>
      <c r="L3182" s="24"/>
      <c r="M3182" s="24"/>
    </row>
    <row r="3183" spans="1:13">
      <c r="A3183" s="14" t="str">
        <f t="shared" si="98"/>
        <v/>
      </c>
      <c r="C3183" s="120" t="s">
        <v>128</v>
      </c>
      <c r="D3183"/>
      <c r="E3183"/>
      <c r="F3183"/>
      <c r="G3183"/>
      <c r="H3183"/>
      <c r="I3183" s="21" t="str">
        <f t="shared" si="99"/>
        <v/>
      </c>
      <c r="L3183" s="24"/>
      <c r="M3183" s="24"/>
    </row>
    <row r="3184" spans="1:13">
      <c r="A3184" s="10" t="str">
        <f t="shared" si="98"/>
        <v/>
      </c>
      <c r="C3184" s="120" t="s">
        <v>280</v>
      </c>
      <c r="D3184"/>
      <c r="E3184"/>
      <c r="F3184"/>
      <c r="G3184"/>
      <c r="H3184"/>
      <c r="I3184" s="21" t="str">
        <f t="shared" si="99"/>
        <v/>
      </c>
      <c r="L3184" s="24"/>
      <c r="M3184" s="24"/>
    </row>
    <row r="3185" spans="1:13">
      <c r="A3185" s="14" t="str">
        <f t="shared" si="98"/>
        <v/>
      </c>
      <c r="C3185" s="120" t="s">
        <v>282</v>
      </c>
      <c r="D3185"/>
      <c r="E3185"/>
      <c r="F3185"/>
      <c r="G3185"/>
      <c r="H3185"/>
      <c r="I3185" s="21" t="str">
        <f t="shared" si="99"/>
        <v/>
      </c>
      <c r="L3185" s="24"/>
      <c r="M3185" s="24"/>
    </row>
    <row r="3186" spans="1:13">
      <c r="A3186" s="10" t="str">
        <f t="shared" si="98"/>
        <v/>
      </c>
      <c r="C3186" s="120" t="s">
        <v>284</v>
      </c>
      <c r="D3186"/>
      <c r="E3186"/>
      <c r="F3186"/>
      <c r="G3186"/>
      <c r="H3186"/>
      <c r="I3186" s="21" t="str">
        <f t="shared" si="99"/>
        <v/>
      </c>
      <c r="L3186" s="24"/>
      <c r="M3186" s="24"/>
    </row>
    <row r="3187" spans="1:13">
      <c r="A3187" s="14" t="str">
        <f t="shared" si="98"/>
        <v/>
      </c>
      <c r="C3187" s="120" t="s">
        <v>286</v>
      </c>
      <c r="D3187"/>
      <c r="E3187"/>
      <c r="F3187"/>
      <c r="G3187"/>
      <c r="H3187"/>
      <c r="I3187" s="21" t="str">
        <f t="shared" si="99"/>
        <v/>
      </c>
      <c r="L3187" s="24"/>
      <c r="M3187" s="24"/>
    </row>
    <row r="3188" spans="1:13">
      <c r="A3188" s="10" t="str">
        <f t="shared" si="98"/>
        <v/>
      </c>
      <c r="C3188" s="120" t="s">
        <v>126</v>
      </c>
      <c r="D3188"/>
      <c r="E3188"/>
      <c r="F3188"/>
      <c r="G3188"/>
      <c r="H3188"/>
      <c r="I3188" s="21" t="str">
        <f t="shared" si="99"/>
        <v/>
      </c>
      <c r="L3188" s="24"/>
      <c r="M3188" s="24"/>
    </row>
    <row r="3189" spans="1:13">
      <c r="A3189" s="14" t="str">
        <f t="shared" si="98"/>
        <v/>
      </c>
      <c r="C3189" s="120" t="s">
        <v>128</v>
      </c>
      <c r="D3189"/>
      <c r="E3189"/>
      <c r="F3189"/>
      <c r="G3189"/>
      <c r="H3189"/>
      <c r="I3189" s="21" t="str">
        <f t="shared" si="99"/>
        <v/>
      </c>
      <c r="L3189" s="24"/>
      <c r="M3189" s="24"/>
    </row>
    <row r="3190" spans="1:13">
      <c r="A3190" s="10" t="str">
        <f t="shared" si="98"/>
        <v/>
      </c>
      <c r="C3190" s="120" t="s">
        <v>280</v>
      </c>
      <c r="D3190"/>
      <c r="E3190"/>
      <c r="F3190"/>
      <c r="G3190"/>
      <c r="H3190"/>
      <c r="I3190" s="21" t="str">
        <f t="shared" si="99"/>
        <v/>
      </c>
      <c r="L3190" s="24"/>
      <c r="M3190" s="24"/>
    </row>
    <row r="3191" spans="1:13">
      <c r="A3191" s="14" t="str">
        <f t="shared" si="98"/>
        <v/>
      </c>
      <c r="C3191" s="120" t="s">
        <v>282</v>
      </c>
      <c r="D3191"/>
      <c r="E3191"/>
      <c r="F3191"/>
      <c r="G3191"/>
      <c r="H3191"/>
      <c r="I3191" s="21" t="str">
        <f t="shared" si="99"/>
        <v/>
      </c>
      <c r="L3191" s="24"/>
      <c r="M3191" s="24"/>
    </row>
    <row r="3192" spans="1:13">
      <c r="A3192" s="10" t="str">
        <f t="shared" si="98"/>
        <v/>
      </c>
      <c r="C3192" s="120" t="s">
        <v>284</v>
      </c>
      <c r="D3192"/>
      <c r="E3192"/>
      <c r="F3192"/>
      <c r="G3192"/>
      <c r="H3192"/>
      <c r="I3192" s="21" t="str">
        <f t="shared" si="99"/>
        <v/>
      </c>
      <c r="L3192" s="24"/>
      <c r="M3192" s="24"/>
    </row>
    <row r="3193" spans="1:13">
      <c r="A3193" s="14" t="str">
        <f t="shared" si="98"/>
        <v/>
      </c>
      <c r="C3193" s="120" t="s">
        <v>286</v>
      </c>
      <c r="D3193"/>
      <c r="E3193"/>
      <c r="F3193"/>
      <c r="G3193"/>
      <c r="H3193"/>
      <c r="I3193" s="21" t="str">
        <f t="shared" si="99"/>
        <v/>
      </c>
      <c r="L3193" s="24"/>
      <c r="M3193" s="24"/>
    </row>
    <row r="3194" spans="1:13">
      <c r="A3194" s="10" t="str">
        <f t="shared" si="98"/>
        <v/>
      </c>
      <c r="C3194" s="120" t="s">
        <v>126</v>
      </c>
      <c r="D3194"/>
      <c r="E3194"/>
      <c r="F3194"/>
      <c r="G3194"/>
      <c r="H3194"/>
      <c r="I3194" s="21" t="str">
        <f t="shared" si="99"/>
        <v/>
      </c>
      <c r="L3194" s="24"/>
      <c r="M3194" s="24"/>
    </row>
    <row r="3195" spans="1:13">
      <c r="A3195" s="14" t="str">
        <f t="shared" si="98"/>
        <v/>
      </c>
      <c r="C3195" s="120" t="s">
        <v>128</v>
      </c>
      <c r="D3195"/>
      <c r="E3195"/>
      <c r="F3195"/>
      <c r="G3195"/>
      <c r="H3195"/>
      <c r="I3195" s="21" t="str">
        <f t="shared" si="99"/>
        <v/>
      </c>
      <c r="L3195" s="24"/>
      <c r="M3195" s="24"/>
    </row>
    <row r="3196" spans="1:13">
      <c r="A3196" s="10" t="str">
        <f t="shared" si="98"/>
        <v/>
      </c>
      <c r="C3196" s="120" t="s">
        <v>280</v>
      </c>
      <c r="D3196"/>
      <c r="E3196"/>
      <c r="F3196"/>
      <c r="G3196"/>
      <c r="H3196"/>
      <c r="I3196" s="21" t="str">
        <f t="shared" si="99"/>
        <v/>
      </c>
      <c r="L3196" s="24"/>
      <c r="M3196" s="24"/>
    </row>
    <row r="3197" spans="1:13">
      <c r="A3197" s="14" t="str">
        <f t="shared" si="98"/>
        <v/>
      </c>
      <c r="C3197" s="120" t="s">
        <v>282</v>
      </c>
      <c r="D3197"/>
      <c r="E3197"/>
      <c r="F3197"/>
      <c r="G3197"/>
      <c r="H3197"/>
      <c r="I3197" s="21" t="str">
        <f t="shared" si="99"/>
        <v/>
      </c>
      <c r="L3197" s="24"/>
      <c r="M3197" s="24"/>
    </row>
    <row r="3198" spans="1:13">
      <c r="A3198" s="10" t="str">
        <f t="shared" si="98"/>
        <v/>
      </c>
      <c r="C3198" s="120" t="s">
        <v>284</v>
      </c>
      <c r="D3198"/>
      <c r="E3198"/>
      <c r="F3198"/>
      <c r="G3198"/>
      <c r="H3198"/>
      <c r="I3198" s="21" t="str">
        <f t="shared" si="99"/>
        <v/>
      </c>
      <c r="L3198" s="24"/>
      <c r="M3198" s="24"/>
    </row>
    <row r="3199" spans="1:13">
      <c r="A3199" s="14" t="str">
        <f t="shared" si="98"/>
        <v/>
      </c>
      <c r="C3199" s="120" t="s">
        <v>286</v>
      </c>
      <c r="D3199"/>
      <c r="E3199"/>
      <c r="F3199"/>
      <c r="G3199"/>
      <c r="H3199"/>
      <c r="I3199" s="21" t="str">
        <f t="shared" si="99"/>
        <v/>
      </c>
      <c r="L3199" s="24"/>
      <c r="M3199" s="24"/>
    </row>
    <row r="3200" spans="1:13">
      <c r="A3200" s="10" t="str">
        <f t="shared" si="98"/>
        <v/>
      </c>
      <c r="C3200" s="120" t="s">
        <v>126</v>
      </c>
      <c r="D3200"/>
      <c r="E3200"/>
      <c r="F3200"/>
      <c r="G3200"/>
      <c r="H3200"/>
      <c r="I3200" s="21" t="str">
        <f t="shared" si="99"/>
        <v/>
      </c>
      <c r="L3200" s="24"/>
      <c r="M3200" s="24"/>
    </row>
    <row r="3201" spans="1:13">
      <c r="A3201" s="14" t="str">
        <f t="shared" si="98"/>
        <v/>
      </c>
      <c r="C3201" s="120" t="s">
        <v>128</v>
      </c>
      <c r="D3201"/>
      <c r="E3201"/>
      <c r="F3201"/>
      <c r="G3201"/>
      <c r="H3201"/>
      <c r="I3201" s="21" t="str">
        <f t="shared" si="99"/>
        <v/>
      </c>
      <c r="L3201" s="24"/>
      <c r="M3201" s="24"/>
    </row>
    <row r="3202" spans="1:13">
      <c r="A3202" s="10" t="str">
        <f t="shared" ref="A3202:A3265" si="100">IF(B3202&lt;&gt;"",ROW()-1,"")</f>
        <v/>
      </c>
      <c r="C3202" s="120" t="s">
        <v>280</v>
      </c>
      <c r="D3202"/>
      <c r="E3202"/>
      <c r="F3202"/>
      <c r="G3202"/>
      <c r="H3202"/>
      <c r="I3202" s="21" t="str">
        <f t="shared" ref="I3202:I3265" si="101">IF(AND(G3202&lt;&gt;"",H3202&lt;&gt;""),H3202-G3202,"")</f>
        <v/>
      </c>
      <c r="L3202" s="24"/>
      <c r="M3202" s="24"/>
    </row>
    <row r="3203" spans="1:13">
      <c r="A3203" s="14" t="str">
        <f t="shared" si="100"/>
        <v/>
      </c>
      <c r="C3203" s="120" t="s">
        <v>282</v>
      </c>
      <c r="D3203"/>
      <c r="E3203"/>
      <c r="F3203"/>
      <c r="G3203"/>
      <c r="H3203"/>
      <c r="I3203" s="21" t="str">
        <f t="shared" si="101"/>
        <v/>
      </c>
      <c r="L3203" s="24"/>
      <c r="M3203" s="24"/>
    </row>
    <row r="3204" spans="1:13">
      <c r="A3204" s="10" t="str">
        <f t="shared" si="100"/>
        <v/>
      </c>
      <c r="C3204" s="120" t="s">
        <v>284</v>
      </c>
      <c r="D3204"/>
      <c r="E3204"/>
      <c r="F3204"/>
      <c r="G3204"/>
      <c r="H3204"/>
      <c r="I3204" s="21" t="str">
        <f t="shared" si="101"/>
        <v/>
      </c>
      <c r="L3204" s="24"/>
      <c r="M3204" s="24"/>
    </row>
    <row r="3205" spans="1:13">
      <c r="A3205" s="14" t="str">
        <f t="shared" si="100"/>
        <v/>
      </c>
      <c r="C3205" s="120" t="s">
        <v>286</v>
      </c>
      <c r="D3205"/>
      <c r="E3205"/>
      <c r="F3205"/>
      <c r="G3205"/>
      <c r="H3205"/>
      <c r="I3205" s="21" t="str">
        <f t="shared" si="101"/>
        <v/>
      </c>
      <c r="L3205" s="24"/>
      <c r="M3205" s="24"/>
    </row>
    <row r="3206" spans="1:13">
      <c r="A3206" s="10" t="str">
        <f t="shared" si="100"/>
        <v/>
      </c>
      <c r="C3206" s="120" t="s">
        <v>126</v>
      </c>
      <c r="D3206"/>
      <c r="E3206"/>
      <c r="F3206"/>
      <c r="G3206"/>
      <c r="H3206"/>
      <c r="I3206" s="21" t="str">
        <f t="shared" si="101"/>
        <v/>
      </c>
      <c r="L3206" s="24"/>
      <c r="M3206" s="24"/>
    </row>
    <row r="3207" spans="1:13">
      <c r="A3207" s="14" t="str">
        <f t="shared" si="100"/>
        <v/>
      </c>
      <c r="C3207" s="120" t="s">
        <v>128</v>
      </c>
      <c r="D3207"/>
      <c r="E3207"/>
      <c r="F3207"/>
      <c r="G3207"/>
      <c r="H3207"/>
      <c r="I3207" s="21" t="str">
        <f t="shared" si="101"/>
        <v/>
      </c>
      <c r="L3207" s="24"/>
      <c r="M3207" s="24"/>
    </row>
    <row r="3208" spans="1:13">
      <c r="A3208" s="10" t="str">
        <f t="shared" si="100"/>
        <v/>
      </c>
      <c r="C3208" s="120" t="s">
        <v>280</v>
      </c>
      <c r="D3208"/>
      <c r="E3208"/>
      <c r="F3208"/>
      <c r="G3208"/>
      <c r="H3208"/>
      <c r="I3208" s="21" t="str">
        <f t="shared" si="101"/>
        <v/>
      </c>
      <c r="L3208" s="24"/>
      <c r="M3208" s="24"/>
    </row>
    <row r="3209" spans="1:13">
      <c r="A3209" s="14" t="str">
        <f t="shared" si="100"/>
        <v/>
      </c>
      <c r="C3209" s="120" t="s">
        <v>282</v>
      </c>
      <c r="D3209"/>
      <c r="E3209"/>
      <c r="F3209"/>
      <c r="G3209"/>
      <c r="H3209"/>
      <c r="I3209" s="21" t="str">
        <f t="shared" si="101"/>
        <v/>
      </c>
      <c r="L3209" s="24"/>
      <c r="M3209" s="24"/>
    </row>
    <row r="3210" spans="1:13">
      <c r="A3210" s="10" t="str">
        <f t="shared" si="100"/>
        <v/>
      </c>
      <c r="C3210" s="120" t="s">
        <v>284</v>
      </c>
      <c r="D3210"/>
      <c r="E3210"/>
      <c r="F3210"/>
      <c r="G3210"/>
      <c r="H3210"/>
      <c r="I3210" s="21" t="str">
        <f t="shared" si="101"/>
        <v/>
      </c>
      <c r="L3210" s="24"/>
      <c r="M3210" s="24"/>
    </row>
    <row r="3211" spans="1:13">
      <c r="A3211" s="14" t="str">
        <f t="shared" si="100"/>
        <v/>
      </c>
      <c r="C3211" s="120" t="s">
        <v>286</v>
      </c>
      <c r="D3211"/>
      <c r="E3211"/>
      <c r="F3211"/>
      <c r="G3211"/>
      <c r="H3211"/>
      <c r="I3211" s="21" t="str">
        <f t="shared" si="101"/>
        <v/>
      </c>
      <c r="L3211" s="24"/>
      <c r="M3211" s="24"/>
    </row>
    <row r="3212" spans="1:13">
      <c r="A3212" s="10" t="str">
        <f t="shared" si="100"/>
        <v/>
      </c>
      <c r="C3212" s="120" t="s">
        <v>126</v>
      </c>
      <c r="D3212"/>
      <c r="E3212"/>
      <c r="F3212"/>
      <c r="G3212"/>
      <c r="H3212"/>
      <c r="I3212" s="21" t="str">
        <f t="shared" si="101"/>
        <v/>
      </c>
      <c r="L3212" s="24"/>
      <c r="M3212" s="24"/>
    </row>
    <row r="3213" spans="1:13">
      <c r="A3213" s="14" t="str">
        <f t="shared" si="100"/>
        <v/>
      </c>
      <c r="C3213" s="120" t="s">
        <v>128</v>
      </c>
      <c r="D3213"/>
      <c r="E3213"/>
      <c r="F3213"/>
      <c r="G3213"/>
      <c r="H3213"/>
      <c r="I3213" s="21" t="str">
        <f t="shared" si="101"/>
        <v/>
      </c>
      <c r="L3213" s="24"/>
      <c r="M3213" s="24"/>
    </row>
    <row r="3214" spans="1:13">
      <c r="A3214" s="10" t="str">
        <f t="shared" si="100"/>
        <v/>
      </c>
      <c r="C3214" s="120" t="s">
        <v>280</v>
      </c>
      <c r="D3214"/>
      <c r="E3214"/>
      <c r="F3214"/>
      <c r="G3214"/>
      <c r="H3214"/>
      <c r="I3214" s="21" t="str">
        <f t="shared" si="101"/>
        <v/>
      </c>
      <c r="L3214" s="24"/>
      <c r="M3214" s="24"/>
    </row>
    <row r="3215" spans="1:13">
      <c r="A3215" s="14" t="str">
        <f t="shared" si="100"/>
        <v/>
      </c>
      <c r="C3215" s="120" t="s">
        <v>282</v>
      </c>
      <c r="D3215"/>
      <c r="E3215"/>
      <c r="F3215"/>
      <c r="G3215"/>
      <c r="H3215"/>
      <c r="I3215" s="21" t="str">
        <f t="shared" si="101"/>
        <v/>
      </c>
      <c r="L3215" s="24"/>
      <c r="M3215" s="24"/>
    </row>
    <row r="3216" spans="1:13">
      <c r="A3216" s="10" t="str">
        <f t="shared" si="100"/>
        <v/>
      </c>
      <c r="C3216" s="120" t="s">
        <v>284</v>
      </c>
      <c r="D3216"/>
      <c r="E3216"/>
      <c r="F3216"/>
      <c r="G3216"/>
      <c r="H3216"/>
      <c r="I3216" s="21" t="str">
        <f t="shared" si="101"/>
        <v/>
      </c>
      <c r="L3216" s="24"/>
      <c r="M3216" s="24"/>
    </row>
    <row r="3217" spans="1:13">
      <c r="A3217" s="14" t="str">
        <f t="shared" si="100"/>
        <v/>
      </c>
      <c r="C3217" s="120" t="s">
        <v>286</v>
      </c>
      <c r="D3217"/>
      <c r="E3217"/>
      <c r="F3217"/>
      <c r="G3217"/>
      <c r="H3217"/>
      <c r="I3217" s="21" t="str">
        <f t="shared" si="101"/>
        <v/>
      </c>
      <c r="L3217" s="24"/>
      <c r="M3217" s="24"/>
    </row>
    <row r="3218" spans="1:13">
      <c r="A3218" s="10" t="str">
        <f t="shared" si="100"/>
        <v/>
      </c>
      <c r="C3218" s="120" t="s">
        <v>126</v>
      </c>
      <c r="D3218"/>
      <c r="E3218"/>
      <c r="F3218"/>
      <c r="G3218"/>
      <c r="H3218"/>
      <c r="I3218" s="21" t="str">
        <f t="shared" si="101"/>
        <v/>
      </c>
      <c r="L3218" s="24"/>
      <c r="M3218" s="24"/>
    </row>
    <row r="3219" spans="1:13">
      <c r="A3219" s="14" t="str">
        <f t="shared" si="100"/>
        <v/>
      </c>
      <c r="C3219" s="120" t="s">
        <v>128</v>
      </c>
      <c r="D3219"/>
      <c r="E3219"/>
      <c r="F3219"/>
      <c r="G3219"/>
      <c r="H3219"/>
      <c r="I3219" s="21" t="str">
        <f t="shared" si="101"/>
        <v/>
      </c>
      <c r="L3219" s="24"/>
      <c r="M3219" s="24"/>
    </row>
    <row r="3220" spans="1:13">
      <c r="A3220" s="10" t="str">
        <f t="shared" si="100"/>
        <v/>
      </c>
      <c r="C3220" s="120" t="s">
        <v>280</v>
      </c>
      <c r="D3220"/>
      <c r="E3220"/>
      <c r="F3220"/>
      <c r="G3220"/>
      <c r="H3220"/>
      <c r="I3220" s="21" t="str">
        <f t="shared" si="101"/>
        <v/>
      </c>
      <c r="L3220" s="24"/>
      <c r="M3220" s="24"/>
    </row>
    <row r="3221" spans="1:13">
      <c r="A3221" s="14" t="str">
        <f t="shared" si="100"/>
        <v/>
      </c>
      <c r="C3221" s="120" t="s">
        <v>282</v>
      </c>
      <c r="D3221"/>
      <c r="E3221"/>
      <c r="F3221"/>
      <c r="G3221"/>
      <c r="H3221"/>
      <c r="I3221" s="21" t="str">
        <f t="shared" si="101"/>
        <v/>
      </c>
      <c r="L3221" s="24"/>
      <c r="M3221" s="24"/>
    </row>
    <row r="3222" spans="1:13">
      <c r="A3222" s="10" t="str">
        <f t="shared" si="100"/>
        <v/>
      </c>
      <c r="C3222" s="120" t="s">
        <v>284</v>
      </c>
      <c r="D3222"/>
      <c r="E3222"/>
      <c r="F3222"/>
      <c r="G3222"/>
      <c r="H3222"/>
      <c r="I3222" s="21" t="str">
        <f t="shared" si="101"/>
        <v/>
      </c>
      <c r="L3222" s="24"/>
      <c r="M3222" s="24"/>
    </row>
    <row r="3223" spans="1:13">
      <c r="A3223" s="14" t="str">
        <f t="shared" si="100"/>
        <v/>
      </c>
      <c r="C3223" s="120" t="s">
        <v>286</v>
      </c>
      <c r="D3223"/>
      <c r="E3223"/>
      <c r="F3223"/>
      <c r="G3223"/>
      <c r="H3223"/>
      <c r="I3223" s="21" t="str">
        <f t="shared" si="101"/>
        <v/>
      </c>
      <c r="L3223" s="24"/>
      <c r="M3223" s="24"/>
    </row>
    <row r="3224" spans="1:13">
      <c r="A3224" s="10" t="str">
        <f t="shared" si="100"/>
        <v/>
      </c>
      <c r="C3224" s="120" t="s">
        <v>126</v>
      </c>
      <c r="D3224"/>
      <c r="E3224"/>
      <c r="F3224"/>
      <c r="G3224"/>
      <c r="H3224"/>
      <c r="I3224" s="21" t="str">
        <f t="shared" si="101"/>
        <v/>
      </c>
      <c r="L3224" s="24"/>
      <c r="M3224" s="24"/>
    </row>
    <row r="3225" spans="1:13">
      <c r="A3225" s="14" t="str">
        <f t="shared" si="100"/>
        <v/>
      </c>
      <c r="C3225" s="120" t="s">
        <v>128</v>
      </c>
      <c r="D3225"/>
      <c r="E3225"/>
      <c r="F3225"/>
      <c r="G3225"/>
      <c r="H3225"/>
      <c r="I3225" s="21" t="str">
        <f t="shared" si="101"/>
        <v/>
      </c>
      <c r="L3225" s="24"/>
      <c r="M3225" s="24"/>
    </row>
    <row r="3226" spans="1:13">
      <c r="A3226" s="10" t="str">
        <f t="shared" si="100"/>
        <v/>
      </c>
      <c r="C3226" s="120" t="s">
        <v>280</v>
      </c>
      <c r="D3226"/>
      <c r="E3226"/>
      <c r="F3226"/>
      <c r="G3226"/>
      <c r="H3226"/>
      <c r="I3226" s="21" t="str">
        <f t="shared" si="101"/>
        <v/>
      </c>
      <c r="L3226" s="24"/>
      <c r="M3226" s="24"/>
    </row>
    <row r="3227" spans="1:13">
      <c r="A3227" s="14" t="str">
        <f t="shared" si="100"/>
        <v/>
      </c>
      <c r="C3227" s="120" t="s">
        <v>282</v>
      </c>
      <c r="D3227"/>
      <c r="E3227"/>
      <c r="F3227"/>
      <c r="G3227"/>
      <c r="H3227"/>
      <c r="I3227" s="21" t="str">
        <f t="shared" si="101"/>
        <v/>
      </c>
      <c r="L3227" s="24"/>
      <c r="M3227" s="24"/>
    </row>
    <row r="3228" spans="1:13">
      <c r="A3228" s="10" t="str">
        <f t="shared" si="100"/>
        <v/>
      </c>
      <c r="C3228" s="120" t="s">
        <v>284</v>
      </c>
      <c r="D3228"/>
      <c r="E3228"/>
      <c r="F3228"/>
      <c r="G3228"/>
      <c r="H3228"/>
      <c r="I3228" s="21" t="str">
        <f t="shared" si="101"/>
        <v/>
      </c>
      <c r="L3228" s="24"/>
      <c r="M3228" s="24"/>
    </row>
    <row r="3229" spans="1:13">
      <c r="A3229" s="14" t="str">
        <f t="shared" si="100"/>
        <v/>
      </c>
      <c r="C3229" s="120" t="s">
        <v>286</v>
      </c>
      <c r="D3229"/>
      <c r="E3229"/>
      <c r="F3229"/>
      <c r="G3229"/>
      <c r="H3229"/>
      <c r="I3229" s="21" t="str">
        <f t="shared" si="101"/>
        <v/>
      </c>
      <c r="L3229" s="24"/>
      <c r="M3229" s="24"/>
    </row>
    <row r="3230" spans="1:13">
      <c r="A3230" s="10" t="str">
        <f t="shared" si="100"/>
        <v/>
      </c>
      <c r="C3230" s="120" t="s">
        <v>126</v>
      </c>
      <c r="D3230"/>
      <c r="E3230"/>
      <c r="F3230"/>
      <c r="G3230"/>
      <c r="H3230"/>
      <c r="I3230" s="21" t="str">
        <f t="shared" si="101"/>
        <v/>
      </c>
      <c r="L3230" s="24"/>
      <c r="M3230" s="24"/>
    </row>
    <row r="3231" spans="1:13">
      <c r="A3231" s="14" t="str">
        <f t="shared" si="100"/>
        <v/>
      </c>
      <c r="C3231" s="120" t="s">
        <v>128</v>
      </c>
      <c r="D3231"/>
      <c r="E3231"/>
      <c r="F3231"/>
      <c r="G3231"/>
      <c r="H3231"/>
      <c r="I3231" s="21" t="str">
        <f t="shared" si="101"/>
        <v/>
      </c>
      <c r="L3231" s="24"/>
      <c r="M3231" s="24"/>
    </row>
    <row r="3232" spans="1:13">
      <c r="A3232" s="10" t="str">
        <f t="shared" si="100"/>
        <v/>
      </c>
      <c r="C3232" s="120" t="s">
        <v>280</v>
      </c>
      <c r="D3232"/>
      <c r="E3232"/>
      <c r="F3232"/>
      <c r="G3232"/>
      <c r="H3232"/>
      <c r="I3232" s="21" t="str">
        <f t="shared" si="101"/>
        <v/>
      </c>
      <c r="L3232" s="24"/>
      <c r="M3232" s="24"/>
    </row>
    <row r="3233" spans="1:13">
      <c r="A3233" s="14" t="str">
        <f t="shared" si="100"/>
        <v/>
      </c>
      <c r="C3233" s="120" t="s">
        <v>282</v>
      </c>
      <c r="D3233"/>
      <c r="E3233"/>
      <c r="F3233"/>
      <c r="G3233"/>
      <c r="H3233"/>
      <c r="I3233" s="21" t="str">
        <f t="shared" si="101"/>
        <v/>
      </c>
      <c r="L3233" s="24"/>
      <c r="M3233" s="24"/>
    </row>
    <row r="3234" spans="1:13">
      <c r="A3234" s="10" t="str">
        <f t="shared" si="100"/>
        <v/>
      </c>
      <c r="C3234" s="120" t="s">
        <v>284</v>
      </c>
      <c r="D3234"/>
      <c r="E3234"/>
      <c r="F3234"/>
      <c r="G3234"/>
      <c r="H3234"/>
      <c r="I3234" s="21" t="str">
        <f t="shared" si="101"/>
        <v/>
      </c>
      <c r="L3234" s="24"/>
      <c r="M3234" s="24"/>
    </row>
    <row r="3235" spans="1:13">
      <c r="A3235" s="14" t="str">
        <f t="shared" si="100"/>
        <v/>
      </c>
      <c r="C3235" s="120" t="s">
        <v>286</v>
      </c>
      <c r="D3235"/>
      <c r="E3235"/>
      <c r="F3235"/>
      <c r="G3235"/>
      <c r="H3235"/>
      <c r="I3235" s="21" t="str">
        <f t="shared" si="101"/>
        <v/>
      </c>
      <c r="L3235" s="24"/>
      <c r="M3235" s="24"/>
    </row>
    <row r="3236" spans="1:13">
      <c r="A3236" s="10" t="str">
        <f t="shared" si="100"/>
        <v/>
      </c>
      <c r="C3236" s="120" t="s">
        <v>126</v>
      </c>
      <c r="D3236"/>
      <c r="E3236"/>
      <c r="F3236"/>
      <c r="G3236"/>
      <c r="H3236"/>
      <c r="I3236" s="21" t="str">
        <f t="shared" si="101"/>
        <v/>
      </c>
      <c r="L3236" s="24"/>
      <c r="M3236" s="24"/>
    </row>
    <row r="3237" spans="1:13">
      <c r="A3237" s="14" t="str">
        <f t="shared" si="100"/>
        <v/>
      </c>
      <c r="C3237" s="120" t="s">
        <v>128</v>
      </c>
      <c r="D3237"/>
      <c r="E3237"/>
      <c r="F3237"/>
      <c r="G3237"/>
      <c r="H3237"/>
      <c r="I3237" s="21" t="str">
        <f t="shared" si="101"/>
        <v/>
      </c>
      <c r="L3237" s="24"/>
      <c r="M3237" s="24"/>
    </row>
    <row r="3238" spans="1:13">
      <c r="A3238" s="10" t="str">
        <f t="shared" si="100"/>
        <v/>
      </c>
      <c r="C3238" s="120" t="s">
        <v>280</v>
      </c>
      <c r="D3238"/>
      <c r="E3238"/>
      <c r="F3238"/>
      <c r="G3238"/>
      <c r="H3238"/>
      <c r="I3238" s="21" t="str">
        <f t="shared" si="101"/>
        <v/>
      </c>
      <c r="L3238" s="24"/>
      <c r="M3238" s="24"/>
    </row>
    <row r="3239" spans="1:13">
      <c r="A3239" s="14" t="str">
        <f t="shared" si="100"/>
        <v/>
      </c>
      <c r="C3239" s="120" t="s">
        <v>282</v>
      </c>
      <c r="D3239"/>
      <c r="E3239"/>
      <c r="F3239"/>
      <c r="G3239"/>
      <c r="H3239"/>
      <c r="I3239" s="21" t="str">
        <f t="shared" si="101"/>
        <v/>
      </c>
      <c r="L3239" s="24"/>
      <c r="M3239" s="24"/>
    </row>
    <row r="3240" spans="1:13">
      <c r="A3240" s="10" t="str">
        <f t="shared" si="100"/>
        <v/>
      </c>
      <c r="C3240" s="120" t="s">
        <v>284</v>
      </c>
      <c r="D3240"/>
      <c r="E3240"/>
      <c r="F3240"/>
      <c r="G3240"/>
      <c r="H3240"/>
      <c r="I3240" s="21" t="str">
        <f t="shared" si="101"/>
        <v/>
      </c>
      <c r="L3240" s="24"/>
      <c r="M3240" s="24"/>
    </row>
    <row r="3241" spans="1:13">
      <c r="A3241" s="14" t="str">
        <f t="shared" si="100"/>
        <v/>
      </c>
      <c r="C3241" s="120" t="s">
        <v>286</v>
      </c>
      <c r="D3241"/>
      <c r="E3241"/>
      <c r="F3241"/>
      <c r="G3241"/>
      <c r="H3241"/>
      <c r="I3241" s="21" t="str">
        <f t="shared" si="101"/>
        <v/>
      </c>
      <c r="L3241" s="24"/>
      <c r="M3241" s="24"/>
    </row>
    <row r="3242" spans="1:13">
      <c r="A3242" s="10" t="str">
        <f t="shared" si="100"/>
        <v/>
      </c>
      <c r="C3242" s="120" t="s">
        <v>126</v>
      </c>
      <c r="D3242"/>
      <c r="E3242"/>
      <c r="F3242"/>
      <c r="G3242"/>
      <c r="H3242"/>
      <c r="I3242" s="21" t="str">
        <f t="shared" si="101"/>
        <v/>
      </c>
      <c r="L3242" s="24"/>
      <c r="M3242" s="24"/>
    </row>
    <row r="3243" spans="1:13">
      <c r="A3243" s="14" t="str">
        <f t="shared" si="100"/>
        <v/>
      </c>
      <c r="C3243" s="120" t="s">
        <v>128</v>
      </c>
      <c r="D3243"/>
      <c r="E3243"/>
      <c r="F3243"/>
      <c r="G3243"/>
      <c r="H3243"/>
      <c r="I3243" s="21" t="str">
        <f t="shared" si="101"/>
        <v/>
      </c>
      <c r="L3243" s="24"/>
      <c r="M3243" s="24"/>
    </row>
    <row r="3244" spans="1:13">
      <c r="A3244" s="10" t="str">
        <f t="shared" si="100"/>
        <v/>
      </c>
      <c r="C3244" s="120" t="s">
        <v>280</v>
      </c>
      <c r="D3244"/>
      <c r="E3244"/>
      <c r="F3244"/>
      <c r="G3244"/>
      <c r="H3244"/>
      <c r="I3244" s="21" t="str">
        <f t="shared" si="101"/>
        <v/>
      </c>
      <c r="L3244" s="24"/>
      <c r="M3244" s="24"/>
    </row>
    <row r="3245" spans="1:13">
      <c r="A3245" s="14" t="str">
        <f t="shared" si="100"/>
        <v/>
      </c>
      <c r="C3245" s="120" t="s">
        <v>282</v>
      </c>
      <c r="D3245"/>
      <c r="E3245"/>
      <c r="F3245"/>
      <c r="G3245"/>
      <c r="H3245"/>
      <c r="I3245" s="21" t="str">
        <f t="shared" si="101"/>
        <v/>
      </c>
      <c r="L3245" s="24"/>
      <c r="M3245" s="24"/>
    </row>
    <row r="3246" spans="1:13">
      <c r="A3246" s="10" t="str">
        <f t="shared" si="100"/>
        <v/>
      </c>
      <c r="C3246" s="120" t="s">
        <v>284</v>
      </c>
      <c r="D3246"/>
      <c r="E3246"/>
      <c r="F3246"/>
      <c r="G3246"/>
      <c r="H3246"/>
      <c r="I3246" s="21" t="str">
        <f t="shared" si="101"/>
        <v/>
      </c>
      <c r="L3246" s="24"/>
      <c r="M3246" s="24"/>
    </row>
    <row r="3247" spans="1:13">
      <c r="A3247" s="14" t="str">
        <f t="shared" si="100"/>
        <v/>
      </c>
      <c r="C3247" s="120" t="s">
        <v>286</v>
      </c>
      <c r="D3247"/>
      <c r="E3247"/>
      <c r="F3247"/>
      <c r="G3247"/>
      <c r="H3247"/>
      <c r="I3247" s="21" t="str">
        <f t="shared" si="101"/>
        <v/>
      </c>
      <c r="L3247" s="24"/>
      <c r="M3247" s="24"/>
    </row>
    <row r="3248" spans="1:13">
      <c r="A3248" s="10" t="str">
        <f t="shared" si="100"/>
        <v/>
      </c>
      <c r="C3248" s="120" t="s">
        <v>126</v>
      </c>
      <c r="D3248"/>
      <c r="E3248"/>
      <c r="F3248"/>
      <c r="G3248"/>
      <c r="H3248"/>
      <c r="I3248" s="21" t="str">
        <f t="shared" si="101"/>
        <v/>
      </c>
      <c r="L3248" s="24"/>
      <c r="M3248" s="24"/>
    </row>
    <row r="3249" spans="1:13">
      <c r="A3249" s="14" t="str">
        <f t="shared" si="100"/>
        <v/>
      </c>
      <c r="C3249" s="120" t="s">
        <v>128</v>
      </c>
      <c r="D3249"/>
      <c r="E3249"/>
      <c r="F3249"/>
      <c r="G3249"/>
      <c r="H3249"/>
      <c r="I3249" s="21" t="str">
        <f t="shared" si="101"/>
        <v/>
      </c>
      <c r="L3249" s="24"/>
      <c r="M3249" s="24"/>
    </row>
    <row r="3250" spans="1:13">
      <c r="A3250" s="10" t="str">
        <f t="shared" si="100"/>
        <v/>
      </c>
      <c r="C3250" s="120" t="s">
        <v>280</v>
      </c>
      <c r="D3250"/>
      <c r="E3250"/>
      <c r="F3250"/>
      <c r="G3250"/>
      <c r="H3250"/>
      <c r="I3250" s="21" t="str">
        <f t="shared" si="101"/>
        <v/>
      </c>
      <c r="L3250" s="24"/>
      <c r="M3250" s="24"/>
    </row>
    <row r="3251" spans="1:13">
      <c r="A3251" s="14" t="str">
        <f t="shared" si="100"/>
        <v/>
      </c>
      <c r="C3251" s="120" t="s">
        <v>282</v>
      </c>
      <c r="D3251"/>
      <c r="E3251"/>
      <c r="F3251"/>
      <c r="G3251"/>
      <c r="H3251"/>
      <c r="I3251" s="21" t="str">
        <f t="shared" si="101"/>
        <v/>
      </c>
      <c r="L3251" s="24"/>
      <c r="M3251" s="24"/>
    </row>
    <row r="3252" spans="1:13">
      <c r="A3252" s="10" t="str">
        <f t="shared" si="100"/>
        <v/>
      </c>
      <c r="C3252" s="120" t="s">
        <v>284</v>
      </c>
      <c r="D3252"/>
      <c r="E3252"/>
      <c r="F3252"/>
      <c r="G3252"/>
      <c r="H3252"/>
      <c r="I3252" s="21" t="str">
        <f t="shared" si="101"/>
        <v/>
      </c>
      <c r="L3252" s="24"/>
      <c r="M3252" s="24"/>
    </row>
    <row r="3253" spans="1:13">
      <c r="A3253" s="14" t="str">
        <f t="shared" si="100"/>
        <v/>
      </c>
      <c r="C3253" s="120" t="s">
        <v>286</v>
      </c>
      <c r="D3253"/>
      <c r="E3253"/>
      <c r="F3253"/>
      <c r="G3253"/>
      <c r="H3253"/>
      <c r="I3253" s="21" t="str">
        <f t="shared" si="101"/>
        <v/>
      </c>
      <c r="L3253" s="24"/>
      <c r="M3253" s="24"/>
    </row>
    <row r="3254" spans="1:13">
      <c r="A3254" s="10" t="str">
        <f t="shared" si="100"/>
        <v/>
      </c>
      <c r="C3254" s="120" t="s">
        <v>126</v>
      </c>
      <c r="D3254"/>
      <c r="E3254"/>
      <c r="F3254"/>
      <c r="G3254"/>
      <c r="H3254"/>
      <c r="I3254" s="21" t="str">
        <f t="shared" si="101"/>
        <v/>
      </c>
      <c r="L3254" s="24"/>
      <c r="M3254" s="24"/>
    </row>
    <row r="3255" spans="1:13">
      <c r="A3255" s="14" t="str">
        <f t="shared" si="100"/>
        <v/>
      </c>
      <c r="C3255" s="120" t="s">
        <v>128</v>
      </c>
      <c r="D3255"/>
      <c r="E3255"/>
      <c r="F3255"/>
      <c r="G3255"/>
      <c r="H3255"/>
      <c r="I3255" s="21" t="str">
        <f t="shared" si="101"/>
        <v/>
      </c>
      <c r="L3255" s="24"/>
      <c r="M3255" s="24"/>
    </row>
    <row r="3256" spans="1:13">
      <c r="A3256" s="10" t="str">
        <f t="shared" si="100"/>
        <v/>
      </c>
      <c r="C3256" s="120" t="s">
        <v>280</v>
      </c>
      <c r="D3256"/>
      <c r="E3256"/>
      <c r="F3256"/>
      <c r="G3256"/>
      <c r="H3256"/>
      <c r="I3256" s="21" t="str">
        <f t="shared" si="101"/>
        <v/>
      </c>
      <c r="L3256" s="24"/>
      <c r="M3256" s="24"/>
    </row>
    <row r="3257" spans="1:13">
      <c r="A3257" s="14" t="str">
        <f t="shared" si="100"/>
        <v/>
      </c>
      <c r="C3257" s="120" t="s">
        <v>282</v>
      </c>
      <c r="D3257"/>
      <c r="E3257"/>
      <c r="F3257"/>
      <c r="G3257"/>
      <c r="H3257"/>
      <c r="I3257" s="21" t="str">
        <f t="shared" si="101"/>
        <v/>
      </c>
      <c r="L3257" s="24"/>
      <c r="M3257" s="24"/>
    </row>
    <row r="3258" spans="1:13">
      <c r="A3258" s="10" t="str">
        <f t="shared" si="100"/>
        <v/>
      </c>
      <c r="C3258" s="120" t="s">
        <v>284</v>
      </c>
      <c r="D3258"/>
      <c r="E3258"/>
      <c r="F3258"/>
      <c r="G3258"/>
      <c r="H3258"/>
      <c r="I3258" s="21" t="str">
        <f t="shared" si="101"/>
        <v/>
      </c>
      <c r="L3258" s="24"/>
      <c r="M3258" s="24"/>
    </row>
    <row r="3259" spans="1:13">
      <c r="A3259" s="14" t="str">
        <f t="shared" si="100"/>
        <v/>
      </c>
      <c r="C3259" s="120" t="s">
        <v>286</v>
      </c>
      <c r="D3259"/>
      <c r="E3259"/>
      <c r="F3259"/>
      <c r="G3259"/>
      <c r="H3259"/>
      <c r="I3259" s="21" t="str">
        <f t="shared" si="101"/>
        <v/>
      </c>
      <c r="L3259" s="24"/>
      <c r="M3259" s="24"/>
    </row>
    <row r="3260" spans="1:13">
      <c r="A3260" s="10" t="str">
        <f t="shared" si="100"/>
        <v/>
      </c>
      <c r="C3260" s="120" t="s">
        <v>126</v>
      </c>
      <c r="D3260"/>
      <c r="E3260"/>
      <c r="F3260"/>
      <c r="G3260"/>
      <c r="H3260"/>
      <c r="I3260" s="21" t="str">
        <f t="shared" si="101"/>
        <v/>
      </c>
      <c r="L3260" s="24"/>
      <c r="M3260" s="24"/>
    </row>
    <row r="3261" spans="1:13">
      <c r="A3261" s="14" t="str">
        <f t="shared" si="100"/>
        <v/>
      </c>
      <c r="C3261" s="120" t="s">
        <v>128</v>
      </c>
      <c r="D3261"/>
      <c r="E3261"/>
      <c r="F3261"/>
      <c r="G3261"/>
      <c r="H3261"/>
      <c r="I3261" s="21" t="str">
        <f t="shared" si="101"/>
        <v/>
      </c>
      <c r="L3261" s="24"/>
      <c r="M3261" s="24"/>
    </row>
    <row r="3262" spans="1:13">
      <c r="A3262" s="10" t="str">
        <f t="shared" si="100"/>
        <v/>
      </c>
      <c r="C3262" s="120" t="s">
        <v>280</v>
      </c>
      <c r="D3262"/>
      <c r="E3262"/>
      <c r="F3262"/>
      <c r="G3262"/>
      <c r="H3262"/>
      <c r="I3262" s="21" t="str">
        <f t="shared" si="101"/>
        <v/>
      </c>
      <c r="L3262" s="24"/>
      <c r="M3262" s="24"/>
    </row>
    <row r="3263" spans="1:13">
      <c r="A3263" s="14" t="str">
        <f t="shared" si="100"/>
        <v/>
      </c>
      <c r="C3263" s="120" t="s">
        <v>282</v>
      </c>
      <c r="D3263"/>
      <c r="E3263"/>
      <c r="F3263"/>
      <c r="G3263"/>
      <c r="H3263"/>
      <c r="I3263" s="21" t="str">
        <f t="shared" si="101"/>
        <v/>
      </c>
      <c r="L3263" s="24"/>
      <c r="M3263" s="24"/>
    </row>
    <row r="3264" spans="1:13">
      <c r="A3264" s="10" t="str">
        <f t="shared" si="100"/>
        <v/>
      </c>
      <c r="C3264" s="120" t="s">
        <v>284</v>
      </c>
      <c r="D3264"/>
      <c r="E3264"/>
      <c r="F3264"/>
      <c r="G3264"/>
      <c r="H3264"/>
      <c r="I3264" s="21" t="str">
        <f t="shared" si="101"/>
        <v/>
      </c>
      <c r="L3264" s="24"/>
      <c r="M3264" s="24"/>
    </row>
    <row r="3265" spans="1:13">
      <c r="A3265" s="14" t="str">
        <f t="shared" si="100"/>
        <v/>
      </c>
      <c r="C3265" s="120" t="s">
        <v>286</v>
      </c>
      <c r="D3265"/>
      <c r="E3265"/>
      <c r="F3265"/>
      <c r="G3265"/>
      <c r="H3265"/>
      <c r="I3265" s="21" t="str">
        <f t="shared" si="101"/>
        <v/>
      </c>
      <c r="L3265" s="24"/>
      <c r="M3265" s="24"/>
    </row>
    <row r="3266" spans="1:13">
      <c r="A3266" s="10" t="str">
        <f t="shared" ref="A3266:A3329" si="102">IF(B3266&lt;&gt;"",ROW()-1,"")</f>
        <v/>
      </c>
      <c r="C3266" s="120" t="s">
        <v>126</v>
      </c>
      <c r="D3266"/>
      <c r="E3266"/>
      <c r="F3266"/>
      <c r="G3266"/>
      <c r="H3266"/>
      <c r="I3266" s="21" t="str">
        <f t="shared" ref="I3266:I3329" si="103">IF(AND(G3266&lt;&gt;"",H3266&lt;&gt;""),H3266-G3266,"")</f>
        <v/>
      </c>
      <c r="L3266" s="24"/>
      <c r="M3266" s="24"/>
    </row>
    <row r="3267" spans="1:13">
      <c r="A3267" s="14" t="str">
        <f t="shared" si="102"/>
        <v/>
      </c>
      <c r="C3267" s="120" t="s">
        <v>128</v>
      </c>
      <c r="D3267"/>
      <c r="E3267"/>
      <c r="F3267"/>
      <c r="G3267"/>
      <c r="H3267"/>
      <c r="I3267" s="21" t="str">
        <f t="shared" si="103"/>
        <v/>
      </c>
      <c r="L3267" s="24"/>
      <c r="M3267" s="24"/>
    </row>
    <row r="3268" spans="1:13">
      <c r="A3268" s="10" t="str">
        <f t="shared" si="102"/>
        <v/>
      </c>
      <c r="C3268" s="120" t="s">
        <v>280</v>
      </c>
      <c r="D3268"/>
      <c r="E3268"/>
      <c r="F3268"/>
      <c r="G3268"/>
      <c r="H3268"/>
      <c r="I3268" s="21" t="str">
        <f t="shared" si="103"/>
        <v/>
      </c>
      <c r="L3268" s="24"/>
      <c r="M3268" s="24"/>
    </row>
    <row r="3269" spans="1:13">
      <c r="A3269" s="14" t="str">
        <f t="shared" si="102"/>
        <v/>
      </c>
      <c r="C3269" s="120" t="s">
        <v>282</v>
      </c>
      <c r="D3269"/>
      <c r="E3269"/>
      <c r="F3269"/>
      <c r="G3269"/>
      <c r="H3269"/>
      <c r="I3269" s="21" t="str">
        <f t="shared" si="103"/>
        <v/>
      </c>
      <c r="L3269" s="24"/>
      <c r="M3269" s="24"/>
    </row>
    <row r="3270" spans="1:13">
      <c r="A3270" s="10" t="str">
        <f t="shared" si="102"/>
        <v/>
      </c>
      <c r="C3270" s="120" t="s">
        <v>284</v>
      </c>
      <c r="D3270"/>
      <c r="E3270"/>
      <c r="F3270"/>
      <c r="G3270"/>
      <c r="H3270"/>
      <c r="I3270" s="21" t="str">
        <f t="shared" si="103"/>
        <v/>
      </c>
      <c r="L3270" s="24"/>
      <c r="M3270" s="24"/>
    </row>
    <row r="3271" spans="1:13">
      <c r="A3271" s="14" t="str">
        <f t="shared" si="102"/>
        <v/>
      </c>
      <c r="C3271" s="120" t="s">
        <v>286</v>
      </c>
      <c r="D3271"/>
      <c r="E3271"/>
      <c r="F3271"/>
      <c r="G3271"/>
      <c r="H3271"/>
      <c r="I3271" s="21" t="str">
        <f t="shared" si="103"/>
        <v/>
      </c>
      <c r="L3271" s="24"/>
      <c r="M3271" s="24"/>
    </row>
    <row r="3272" spans="1:13">
      <c r="A3272" s="10" t="str">
        <f t="shared" si="102"/>
        <v/>
      </c>
      <c r="C3272" s="120" t="s">
        <v>126</v>
      </c>
      <c r="D3272"/>
      <c r="E3272"/>
      <c r="F3272"/>
      <c r="G3272"/>
      <c r="H3272"/>
      <c r="I3272" s="21" t="str">
        <f t="shared" si="103"/>
        <v/>
      </c>
      <c r="L3272" s="24"/>
      <c r="M3272" s="24"/>
    </row>
    <row r="3273" spans="1:13">
      <c r="A3273" s="14" t="str">
        <f t="shared" si="102"/>
        <v/>
      </c>
      <c r="C3273" s="120" t="s">
        <v>128</v>
      </c>
      <c r="D3273"/>
      <c r="E3273"/>
      <c r="F3273"/>
      <c r="G3273"/>
      <c r="H3273"/>
      <c r="I3273" s="21" t="str">
        <f t="shared" si="103"/>
        <v/>
      </c>
      <c r="L3273" s="24"/>
      <c r="M3273" s="24"/>
    </row>
    <row r="3274" spans="1:13">
      <c r="A3274" s="10" t="str">
        <f t="shared" si="102"/>
        <v/>
      </c>
      <c r="C3274" s="120" t="s">
        <v>280</v>
      </c>
      <c r="D3274"/>
      <c r="E3274"/>
      <c r="F3274"/>
      <c r="G3274"/>
      <c r="H3274"/>
      <c r="I3274" s="21" t="str">
        <f t="shared" si="103"/>
        <v/>
      </c>
      <c r="L3274" s="24"/>
      <c r="M3274" s="24"/>
    </row>
    <row r="3275" spans="1:13">
      <c r="A3275" s="14" t="str">
        <f t="shared" si="102"/>
        <v/>
      </c>
      <c r="C3275" s="120" t="s">
        <v>282</v>
      </c>
      <c r="D3275"/>
      <c r="E3275"/>
      <c r="F3275"/>
      <c r="G3275"/>
      <c r="H3275"/>
      <c r="I3275" s="21" t="str">
        <f t="shared" si="103"/>
        <v/>
      </c>
      <c r="L3275" s="24"/>
      <c r="M3275" s="24"/>
    </row>
    <row r="3276" spans="1:13">
      <c r="A3276" s="10" t="str">
        <f t="shared" si="102"/>
        <v/>
      </c>
      <c r="C3276" s="120" t="s">
        <v>284</v>
      </c>
      <c r="D3276"/>
      <c r="E3276"/>
      <c r="F3276"/>
      <c r="G3276"/>
      <c r="H3276"/>
      <c r="I3276" s="21" t="str">
        <f t="shared" si="103"/>
        <v/>
      </c>
      <c r="L3276" s="24"/>
      <c r="M3276" s="24"/>
    </row>
    <row r="3277" spans="1:13">
      <c r="A3277" s="14" t="str">
        <f t="shared" si="102"/>
        <v/>
      </c>
      <c r="C3277" s="120" t="s">
        <v>286</v>
      </c>
      <c r="D3277"/>
      <c r="E3277"/>
      <c r="F3277"/>
      <c r="G3277"/>
      <c r="H3277"/>
      <c r="I3277" s="21" t="str">
        <f t="shared" si="103"/>
        <v/>
      </c>
      <c r="L3277" s="24"/>
      <c r="M3277" s="24"/>
    </row>
    <row r="3278" spans="1:13">
      <c r="A3278" s="10" t="str">
        <f t="shared" si="102"/>
        <v/>
      </c>
      <c r="C3278" s="120" t="s">
        <v>126</v>
      </c>
      <c r="D3278"/>
      <c r="E3278"/>
      <c r="F3278"/>
      <c r="G3278"/>
      <c r="H3278"/>
      <c r="I3278" s="21" t="str">
        <f t="shared" si="103"/>
        <v/>
      </c>
      <c r="L3278" s="24"/>
      <c r="M3278" s="24"/>
    </row>
    <row r="3279" spans="1:13">
      <c r="A3279" s="14" t="str">
        <f t="shared" si="102"/>
        <v/>
      </c>
      <c r="C3279" s="120" t="s">
        <v>128</v>
      </c>
      <c r="D3279"/>
      <c r="E3279"/>
      <c r="F3279"/>
      <c r="G3279"/>
      <c r="H3279"/>
      <c r="I3279" s="21" t="str">
        <f t="shared" si="103"/>
        <v/>
      </c>
      <c r="L3279" s="24"/>
      <c r="M3279" s="24"/>
    </row>
    <row r="3280" spans="1:13">
      <c r="A3280" s="10" t="str">
        <f t="shared" si="102"/>
        <v/>
      </c>
      <c r="C3280" s="120" t="s">
        <v>280</v>
      </c>
      <c r="D3280"/>
      <c r="E3280"/>
      <c r="F3280"/>
      <c r="G3280"/>
      <c r="H3280"/>
      <c r="I3280" s="21" t="str">
        <f t="shared" si="103"/>
        <v/>
      </c>
      <c r="L3280" s="24"/>
      <c r="M3280" s="24"/>
    </row>
    <row r="3281" spans="1:13">
      <c r="A3281" s="14" t="str">
        <f t="shared" si="102"/>
        <v/>
      </c>
      <c r="C3281" s="120" t="s">
        <v>282</v>
      </c>
      <c r="D3281"/>
      <c r="E3281"/>
      <c r="F3281"/>
      <c r="G3281"/>
      <c r="H3281"/>
      <c r="I3281" s="21" t="str">
        <f t="shared" si="103"/>
        <v/>
      </c>
      <c r="L3281" s="24"/>
      <c r="M3281" s="24"/>
    </row>
    <row r="3282" spans="1:13">
      <c r="A3282" s="10" t="str">
        <f t="shared" si="102"/>
        <v/>
      </c>
      <c r="C3282" s="120" t="s">
        <v>284</v>
      </c>
      <c r="D3282"/>
      <c r="E3282"/>
      <c r="F3282"/>
      <c r="G3282"/>
      <c r="H3282"/>
      <c r="I3282" s="21" t="str">
        <f t="shared" si="103"/>
        <v/>
      </c>
      <c r="L3282" s="24"/>
      <c r="M3282" s="24"/>
    </row>
    <row r="3283" spans="1:13">
      <c r="A3283" s="14" t="str">
        <f t="shared" si="102"/>
        <v/>
      </c>
      <c r="C3283" s="120" t="s">
        <v>286</v>
      </c>
      <c r="D3283"/>
      <c r="E3283"/>
      <c r="F3283"/>
      <c r="G3283"/>
      <c r="H3283"/>
      <c r="I3283" s="21" t="str">
        <f t="shared" si="103"/>
        <v/>
      </c>
      <c r="L3283" s="24"/>
      <c r="M3283" s="24"/>
    </row>
    <row r="3284" spans="1:13">
      <c r="A3284" s="10" t="str">
        <f t="shared" si="102"/>
        <v/>
      </c>
      <c r="C3284" s="120" t="s">
        <v>126</v>
      </c>
      <c r="D3284"/>
      <c r="E3284"/>
      <c r="F3284"/>
      <c r="G3284"/>
      <c r="H3284"/>
      <c r="I3284" s="21" t="str">
        <f t="shared" si="103"/>
        <v/>
      </c>
      <c r="L3284" s="24"/>
      <c r="M3284" s="24"/>
    </row>
    <row r="3285" spans="1:13">
      <c r="A3285" s="14" t="str">
        <f t="shared" si="102"/>
        <v/>
      </c>
      <c r="C3285" s="120" t="s">
        <v>128</v>
      </c>
      <c r="D3285"/>
      <c r="E3285"/>
      <c r="F3285"/>
      <c r="G3285"/>
      <c r="H3285"/>
      <c r="I3285" s="21" t="str">
        <f t="shared" si="103"/>
        <v/>
      </c>
      <c r="L3285" s="24"/>
      <c r="M3285" s="24"/>
    </row>
    <row r="3286" spans="1:13">
      <c r="A3286" s="10" t="str">
        <f t="shared" si="102"/>
        <v/>
      </c>
      <c r="C3286" s="120" t="s">
        <v>280</v>
      </c>
      <c r="D3286"/>
      <c r="E3286"/>
      <c r="F3286"/>
      <c r="G3286"/>
      <c r="H3286"/>
      <c r="I3286" s="21" t="str">
        <f t="shared" si="103"/>
        <v/>
      </c>
      <c r="L3286" s="24"/>
      <c r="M3286" s="24"/>
    </row>
    <row r="3287" spans="1:13">
      <c r="A3287" s="14" t="str">
        <f t="shared" si="102"/>
        <v/>
      </c>
      <c r="C3287" s="120" t="s">
        <v>282</v>
      </c>
      <c r="D3287"/>
      <c r="E3287"/>
      <c r="F3287"/>
      <c r="G3287"/>
      <c r="H3287"/>
      <c r="I3287" s="21" t="str">
        <f t="shared" si="103"/>
        <v/>
      </c>
      <c r="L3287" s="24"/>
      <c r="M3287" s="24"/>
    </row>
    <row r="3288" spans="1:13">
      <c r="A3288" s="10" t="str">
        <f t="shared" si="102"/>
        <v/>
      </c>
      <c r="C3288" s="120" t="s">
        <v>284</v>
      </c>
      <c r="D3288"/>
      <c r="E3288"/>
      <c r="F3288"/>
      <c r="G3288"/>
      <c r="H3288"/>
      <c r="I3288" s="21" t="str">
        <f t="shared" si="103"/>
        <v/>
      </c>
      <c r="L3288" s="24"/>
      <c r="M3288" s="24"/>
    </row>
    <row r="3289" spans="1:13">
      <c r="A3289" s="14" t="str">
        <f t="shared" si="102"/>
        <v/>
      </c>
      <c r="C3289" s="120" t="s">
        <v>286</v>
      </c>
      <c r="D3289"/>
      <c r="E3289"/>
      <c r="F3289"/>
      <c r="G3289"/>
      <c r="H3289"/>
      <c r="I3289" s="21" t="str">
        <f t="shared" si="103"/>
        <v/>
      </c>
      <c r="L3289" s="24"/>
      <c r="M3289" s="24"/>
    </row>
    <row r="3290" spans="1:13">
      <c r="A3290" s="10" t="str">
        <f t="shared" si="102"/>
        <v/>
      </c>
      <c r="C3290" s="120" t="s">
        <v>126</v>
      </c>
      <c r="D3290"/>
      <c r="E3290"/>
      <c r="F3290"/>
      <c r="G3290"/>
      <c r="H3290"/>
      <c r="I3290" s="21" t="str">
        <f t="shared" si="103"/>
        <v/>
      </c>
      <c r="L3290" s="24"/>
      <c r="M3290" s="24"/>
    </row>
    <row r="3291" spans="1:13">
      <c r="A3291" s="14" t="str">
        <f t="shared" si="102"/>
        <v/>
      </c>
      <c r="C3291" s="120" t="s">
        <v>128</v>
      </c>
      <c r="D3291"/>
      <c r="E3291"/>
      <c r="F3291"/>
      <c r="G3291"/>
      <c r="H3291"/>
      <c r="I3291" s="21" t="str">
        <f t="shared" si="103"/>
        <v/>
      </c>
      <c r="L3291" s="24"/>
      <c r="M3291" s="24"/>
    </row>
    <row r="3292" spans="1:13">
      <c r="A3292" s="10" t="str">
        <f t="shared" si="102"/>
        <v/>
      </c>
      <c r="C3292" s="120" t="s">
        <v>280</v>
      </c>
      <c r="D3292"/>
      <c r="E3292"/>
      <c r="F3292"/>
      <c r="G3292"/>
      <c r="H3292"/>
      <c r="I3292" s="21" t="str">
        <f t="shared" si="103"/>
        <v/>
      </c>
      <c r="L3292" s="24"/>
      <c r="M3292" s="24"/>
    </row>
    <row r="3293" spans="1:13">
      <c r="A3293" s="14" t="str">
        <f t="shared" si="102"/>
        <v/>
      </c>
      <c r="C3293" s="120" t="s">
        <v>282</v>
      </c>
      <c r="D3293"/>
      <c r="E3293"/>
      <c r="F3293"/>
      <c r="G3293"/>
      <c r="H3293"/>
      <c r="I3293" s="21" t="str">
        <f t="shared" si="103"/>
        <v/>
      </c>
      <c r="L3293" s="24"/>
      <c r="M3293" s="24"/>
    </row>
    <row r="3294" spans="1:13">
      <c r="A3294" s="10" t="str">
        <f t="shared" si="102"/>
        <v/>
      </c>
      <c r="C3294" s="120" t="s">
        <v>284</v>
      </c>
      <c r="D3294"/>
      <c r="E3294"/>
      <c r="F3294"/>
      <c r="G3294"/>
      <c r="H3294"/>
      <c r="I3294" s="21" t="str">
        <f t="shared" si="103"/>
        <v/>
      </c>
      <c r="L3294" s="24"/>
      <c r="M3294" s="24"/>
    </row>
    <row r="3295" spans="1:13">
      <c r="A3295" s="14" t="str">
        <f t="shared" si="102"/>
        <v/>
      </c>
      <c r="C3295" s="120" t="s">
        <v>286</v>
      </c>
      <c r="D3295"/>
      <c r="E3295"/>
      <c r="F3295"/>
      <c r="G3295"/>
      <c r="H3295"/>
      <c r="I3295" s="21" t="str">
        <f t="shared" si="103"/>
        <v/>
      </c>
      <c r="L3295" s="24"/>
      <c r="M3295" s="24"/>
    </row>
    <row r="3296" spans="1:13">
      <c r="A3296" s="10" t="str">
        <f t="shared" si="102"/>
        <v/>
      </c>
      <c r="C3296" s="120" t="s">
        <v>126</v>
      </c>
      <c r="D3296"/>
      <c r="E3296"/>
      <c r="F3296"/>
      <c r="G3296"/>
      <c r="H3296"/>
      <c r="I3296" s="21" t="str">
        <f t="shared" si="103"/>
        <v/>
      </c>
      <c r="L3296" s="24"/>
      <c r="M3296" s="24"/>
    </row>
    <row r="3297" spans="1:13">
      <c r="A3297" s="14" t="str">
        <f t="shared" si="102"/>
        <v/>
      </c>
      <c r="C3297" s="120" t="s">
        <v>128</v>
      </c>
      <c r="D3297"/>
      <c r="E3297"/>
      <c r="F3297"/>
      <c r="G3297"/>
      <c r="H3297"/>
      <c r="I3297" s="21" t="str">
        <f t="shared" si="103"/>
        <v/>
      </c>
      <c r="L3297" s="24"/>
      <c r="M3297" s="24"/>
    </row>
    <row r="3298" spans="1:13">
      <c r="A3298" s="10" t="str">
        <f t="shared" si="102"/>
        <v/>
      </c>
      <c r="C3298" s="120" t="s">
        <v>280</v>
      </c>
      <c r="D3298"/>
      <c r="E3298"/>
      <c r="F3298"/>
      <c r="G3298"/>
      <c r="H3298"/>
      <c r="I3298" s="21" t="str">
        <f t="shared" si="103"/>
        <v/>
      </c>
      <c r="L3298" s="24"/>
      <c r="M3298" s="24"/>
    </row>
    <row r="3299" spans="1:13">
      <c r="A3299" s="14" t="str">
        <f t="shared" si="102"/>
        <v/>
      </c>
      <c r="C3299" s="120" t="s">
        <v>282</v>
      </c>
      <c r="D3299"/>
      <c r="E3299"/>
      <c r="F3299"/>
      <c r="G3299"/>
      <c r="H3299"/>
      <c r="I3299" s="21" t="str">
        <f t="shared" si="103"/>
        <v/>
      </c>
      <c r="L3299" s="24"/>
      <c r="M3299" s="24"/>
    </row>
    <row r="3300" spans="1:13">
      <c r="A3300" s="10" t="str">
        <f t="shared" si="102"/>
        <v/>
      </c>
      <c r="C3300" s="120" t="s">
        <v>284</v>
      </c>
      <c r="D3300"/>
      <c r="E3300"/>
      <c r="F3300"/>
      <c r="G3300"/>
      <c r="H3300"/>
      <c r="I3300" s="21" t="str">
        <f t="shared" si="103"/>
        <v/>
      </c>
      <c r="L3300" s="24"/>
      <c r="M3300" s="24"/>
    </row>
    <row r="3301" spans="1:13">
      <c r="A3301" s="14" t="str">
        <f t="shared" si="102"/>
        <v/>
      </c>
      <c r="C3301" s="120" t="s">
        <v>286</v>
      </c>
      <c r="D3301"/>
      <c r="E3301"/>
      <c r="F3301"/>
      <c r="G3301"/>
      <c r="H3301"/>
      <c r="I3301" s="21" t="str">
        <f t="shared" si="103"/>
        <v/>
      </c>
      <c r="L3301" s="24"/>
      <c r="M3301" s="24"/>
    </row>
    <row r="3302" spans="1:13">
      <c r="A3302" s="10" t="str">
        <f t="shared" si="102"/>
        <v/>
      </c>
      <c r="C3302" s="120" t="s">
        <v>126</v>
      </c>
      <c r="D3302"/>
      <c r="E3302"/>
      <c r="F3302"/>
      <c r="G3302"/>
      <c r="H3302"/>
      <c r="I3302" s="21" t="str">
        <f t="shared" si="103"/>
        <v/>
      </c>
      <c r="L3302" s="24"/>
      <c r="M3302" s="24"/>
    </row>
    <row r="3303" spans="1:13">
      <c r="A3303" s="14" t="str">
        <f t="shared" si="102"/>
        <v/>
      </c>
      <c r="C3303" s="120" t="s">
        <v>128</v>
      </c>
      <c r="D3303"/>
      <c r="E3303"/>
      <c r="F3303"/>
      <c r="G3303"/>
      <c r="H3303"/>
      <c r="I3303" s="21" t="str">
        <f t="shared" si="103"/>
        <v/>
      </c>
      <c r="L3303" s="24"/>
      <c r="M3303" s="24"/>
    </row>
    <row r="3304" spans="1:13">
      <c r="A3304" s="10" t="str">
        <f t="shared" si="102"/>
        <v/>
      </c>
      <c r="C3304" s="120" t="s">
        <v>280</v>
      </c>
      <c r="D3304"/>
      <c r="E3304"/>
      <c r="F3304"/>
      <c r="G3304"/>
      <c r="H3304"/>
      <c r="I3304" s="21" t="str">
        <f t="shared" si="103"/>
        <v/>
      </c>
      <c r="L3304" s="24"/>
      <c r="M3304" s="24"/>
    </row>
    <row r="3305" spans="1:13">
      <c r="A3305" s="14" t="str">
        <f t="shared" si="102"/>
        <v/>
      </c>
      <c r="C3305" s="120" t="s">
        <v>282</v>
      </c>
      <c r="D3305"/>
      <c r="E3305"/>
      <c r="F3305"/>
      <c r="G3305"/>
      <c r="H3305"/>
      <c r="I3305" s="21" t="str">
        <f t="shared" si="103"/>
        <v/>
      </c>
      <c r="L3305" s="24"/>
      <c r="M3305" s="24"/>
    </row>
    <row r="3306" spans="1:13">
      <c r="A3306" s="10" t="str">
        <f t="shared" si="102"/>
        <v/>
      </c>
      <c r="C3306" s="120" t="s">
        <v>284</v>
      </c>
      <c r="D3306"/>
      <c r="E3306"/>
      <c r="F3306"/>
      <c r="G3306"/>
      <c r="H3306"/>
      <c r="I3306" s="21" t="str">
        <f t="shared" si="103"/>
        <v/>
      </c>
      <c r="L3306" s="24"/>
      <c r="M3306" s="24"/>
    </row>
    <row r="3307" spans="1:13">
      <c r="A3307" s="14" t="str">
        <f t="shared" si="102"/>
        <v/>
      </c>
      <c r="C3307" s="120" t="s">
        <v>286</v>
      </c>
      <c r="D3307"/>
      <c r="E3307"/>
      <c r="F3307"/>
      <c r="G3307"/>
      <c r="H3307"/>
      <c r="I3307" s="21" t="str">
        <f t="shared" si="103"/>
        <v/>
      </c>
      <c r="L3307" s="24"/>
      <c r="M3307" s="24"/>
    </row>
    <row r="3308" spans="1:13">
      <c r="A3308" s="10" t="str">
        <f t="shared" si="102"/>
        <v/>
      </c>
      <c r="C3308" s="120" t="s">
        <v>126</v>
      </c>
      <c r="D3308"/>
      <c r="E3308"/>
      <c r="F3308"/>
      <c r="G3308"/>
      <c r="H3308"/>
      <c r="I3308" s="21" t="str">
        <f t="shared" si="103"/>
        <v/>
      </c>
      <c r="L3308" s="24"/>
      <c r="M3308" s="24"/>
    </row>
    <row r="3309" spans="1:13">
      <c r="A3309" s="14" t="str">
        <f t="shared" si="102"/>
        <v/>
      </c>
      <c r="C3309" s="120" t="s">
        <v>128</v>
      </c>
      <c r="D3309"/>
      <c r="E3309"/>
      <c r="F3309"/>
      <c r="G3309"/>
      <c r="H3309"/>
      <c r="I3309" s="21" t="str">
        <f t="shared" si="103"/>
        <v/>
      </c>
      <c r="L3309" s="24"/>
      <c r="M3309" s="24"/>
    </row>
    <row r="3310" spans="1:13">
      <c r="A3310" s="10" t="str">
        <f t="shared" si="102"/>
        <v/>
      </c>
      <c r="C3310" s="120" t="s">
        <v>280</v>
      </c>
      <c r="D3310"/>
      <c r="E3310"/>
      <c r="F3310"/>
      <c r="G3310"/>
      <c r="H3310"/>
      <c r="I3310" s="21" t="str">
        <f t="shared" si="103"/>
        <v/>
      </c>
      <c r="L3310" s="24"/>
      <c r="M3310" s="24"/>
    </row>
    <row r="3311" spans="1:13">
      <c r="A3311" s="14" t="str">
        <f t="shared" si="102"/>
        <v/>
      </c>
      <c r="C3311" s="120" t="s">
        <v>282</v>
      </c>
      <c r="D3311"/>
      <c r="E3311"/>
      <c r="F3311"/>
      <c r="G3311"/>
      <c r="H3311"/>
      <c r="I3311" s="21" t="str">
        <f t="shared" si="103"/>
        <v/>
      </c>
      <c r="L3311" s="24"/>
      <c r="M3311" s="24"/>
    </row>
    <row r="3312" spans="1:13">
      <c r="A3312" s="10" t="str">
        <f t="shared" si="102"/>
        <v/>
      </c>
      <c r="C3312" s="120" t="s">
        <v>284</v>
      </c>
      <c r="D3312"/>
      <c r="E3312"/>
      <c r="F3312"/>
      <c r="G3312"/>
      <c r="H3312"/>
      <c r="I3312" s="21" t="str">
        <f t="shared" si="103"/>
        <v/>
      </c>
      <c r="L3312" s="24"/>
      <c r="M3312" s="24"/>
    </row>
    <row r="3313" spans="1:13">
      <c r="A3313" s="14" t="str">
        <f t="shared" si="102"/>
        <v/>
      </c>
      <c r="C3313" s="120" t="s">
        <v>286</v>
      </c>
      <c r="D3313"/>
      <c r="E3313"/>
      <c r="F3313"/>
      <c r="G3313"/>
      <c r="H3313"/>
      <c r="I3313" s="21" t="str">
        <f t="shared" si="103"/>
        <v/>
      </c>
      <c r="L3313" s="24"/>
      <c r="M3313" s="24"/>
    </row>
    <row r="3314" spans="1:13">
      <c r="A3314" s="10" t="str">
        <f t="shared" si="102"/>
        <v/>
      </c>
      <c r="C3314" s="120" t="s">
        <v>126</v>
      </c>
      <c r="D3314"/>
      <c r="E3314"/>
      <c r="F3314"/>
      <c r="G3314"/>
      <c r="H3314"/>
      <c r="I3314" s="21" t="str">
        <f t="shared" si="103"/>
        <v/>
      </c>
      <c r="L3314" s="24"/>
      <c r="M3314" s="24"/>
    </row>
    <row r="3315" spans="1:13">
      <c r="A3315" s="14" t="str">
        <f t="shared" si="102"/>
        <v/>
      </c>
      <c r="C3315" s="120" t="s">
        <v>128</v>
      </c>
      <c r="D3315"/>
      <c r="E3315"/>
      <c r="F3315"/>
      <c r="G3315"/>
      <c r="H3315"/>
      <c r="I3315" s="21" t="str">
        <f t="shared" si="103"/>
        <v/>
      </c>
      <c r="L3315" s="24"/>
      <c r="M3315" s="24"/>
    </row>
    <row r="3316" spans="1:13">
      <c r="A3316" s="10" t="str">
        <f t="shared" si="102"/>
        <v/>
      </c>
      <c r="C3316" s="120" t="s">
        <v>280</v>
      </c>
      <c r="D3316"/>
      <c r="E3316"/>
      <c r="F3316"/>
      <c r="G3316"/>
      <c r="H3316"/>
      <c r="I3316" s="21" t="str">
        <f t="shared" si="103"/>
        <v/>
      </c>
      <c r="L3316" s="24"/>
      <c r="M3316" s="24"/>
    </row>
    <row r="3317" spans="1:13">
      <c r="A3317" s="14" t="str">
        <f t="shared" si="102"/>
        <v/>
      </c>
      <c r="C3317" s="120" t="s">
        <v>282</v>
      </c>
      <c r="D3317"/>
      <c r="E3317"/>
      <c r="F3317"/>
      <c r="G3317"/>
      <c r="H3317"/>
      <c r="I3317" s="21" t="str">
        <f t="shared" si="103"/>
        <v/>
      </c>
      <c r="L3317" s="24"/>
      <c r="M3317" s="24"/>
    </row>
    <row r="3318" spans="1:13">
      <c r="A3318" s="10" t="str">
        <f t="shared" si="102"/>
        <v/>
      </c>
      <c r="C3318" s="120" t="s">
        <v>284</v>
      </c>
      <c r="D3318"/>
      <c r="E3318"/>
      <c r="F3318"/>
      <c r="G3318"/>
      <c r="H3318"/>
      <c r="I3318" s="21" t="str">
        <f t="shared" si="103"/>
        <v/>
      </c>
      <c r="L3318" s="24"/>
      <c r="M3318" s="24"/>
    </row>
    <row r="3319" spans="1:13">
      <c r="A3319" s="14" t="str">
        <f t="shared" si="102"/>
        <v/>
      </c>
      <c r="C3319" s="120" t="s">
        <v>286</v>
      </c>
      <c r="D3319"/>
      <c r="E3319"/>
      <c r="F3319"/>
      <c r="G3319"/>
      <c r="H3319"/>
      <c r="I3319" s="21" t="str">
        <f t="shared" si="103"/>
        <v/>
      </c>
      <c r="L3319" s="24"/>
      <c r="M3319" s="24"/>
    </row>
    <row r="3320" spans="1:13">
      <c r="A3320" s="10" t="str">
        <f t="shared" si="102"/>
        <v/>
      </c>
      <c r="C3320" s="120" t="s">
        <v>126</v>
      </c>
      <c r="D3320"/>
      <c r="E3320"/>
      <c r="F3320"/>
      <c r="G3320"/>
      <c r="H3320"/>
      <c r="I3320" s="21" t="str">
        <f t="shared" si="103"/>
        <v/>
      </c>
      <c r="L3320" s="24"/>
      <c r="M3320" s="24"/>
    </row>
    <row r="3321" spans="1:13">
      <c r="A3321" s="14" t="str">
        <f t="shared" si="102"/>
        <v/>
      </c>
      <c r="C3321" s="120" t="s">
        <v>128</v>
      </c>
      <c r="D3321"/>
      <c r="E3321"/>
      <c r="F3321"/>
      <c r="G3321"/>
      <c r="H3321"/>
      <c r="I3321" s="21" t="str">
        <f t="shared" si="103"/>
        <v/>
      </c>
      <c r="L3321" s="24"/>
      <c r="M3321" s="24"/>
    </row>
    <row r="3322" spans="1:13">
      <c r="A3322" s="10" t="str">
        <f t="shared" si="102"/>
        <v/>
      </c>
      <c r="C3322" s="120" t="s">
        <v>280</v>
      </c>
      <c r="D3322"/>
      <c r="E3322"/>
      <c r="F3322"/>
      <c r="G3322"/>
      <c r="H3322"/>
      <c r="I3322" s="21" t="str">
        <f t="shared" si="103"/>
        <v/>
      </c>
      <c r="L3322" s="24"/>
      <c r="M3322" s="24"/>
    </row>
    <row r="3323" spans="1:13">
      <c r="A3323" s="14" t="str">
        <f t="shared" si="102"/>
        <v/>
      </c>
      <c r="C3323" s="120" t="s">
        <v>282</v>
      </c>
      <c r="D3323"/>
      <c r="E3323"/>
      <c r="F3323"/>
      <c r="G3323"/>
      <c r="H3323"/>
      <c r="I3323" s="21" t="str">
        <f t="shared" si="103"/>
        <v/>
      </c>
      <c r="L3323" s="24"/>
      <c r="M3323" s="24"/>
    </row>
    <row r="3324" spans="1:13">
      <c r="A3324" s="10" t="str">
        <f t="shared" si="102"/>
        <v/>
      </c>
      <c r="C3324" s="120" t="s">
        <v>284</v>
      </c>
      <c r="D3324"/>
      <c r="E3324"/>
      <c r="F3324"/>
      <c r="G3324"/>
      <c r="H3324"/>
      <c r="I3324" s="21" t="str">
        <f t="shared" si="103"/>
        <v/>
      </c>
      <c r="L3324" s="24"/>
      <c r="M3324" s="24"/>
    </row>
    <row r="3325" spans="1:13">
      <c r="A3325" s="14" t="str">
        <f t="shared" si="102"/>
        <v/>
      </c>
      <c r="C3325" s="120" t="s">
        <v>286</v>
      </c>
      <c r="D3325"/>
      <c r="E3325"/>
      <c r="F3325"/>
      <c r="G3325"/>
      <c r="H3325"/>
      <c r="I3325" s="21" t="str">
        <f t="shared" si="103"/>
        <v/>
      </c>
      <c r="L3325" s="24"/>
      <c r="M3325" s="24"/>
    </row>
    <row r="3326" spans="1:13">
      <c r="A3326" s="10" t="str">
        <f t="shared" si="102"/>
        <v/>
      </c>
      <c r="C3326" s="120" t="s">
        <v>126</v>
      </c>
      <c r="D3326"/>
      <c r="E3326"/>
      <c r="F3326"/>
      <c r="G3326"/>
      <c r="H3326"/>
      <c r="I3326" s="21" t="str">
        <f t="shared" si="103"/>
        <v/>
      </c>
      <c r="L3326" s="24"/>
      <c r="M3326" s="24"/>
    </row>
    <row r="3327" spans="1:13">
      <c r="A3327" s="14" t="str">
        <f t="shared" si="102"/>
        <v/>
      </c>
      <c r="C3327" s="120" t="s">
        <v>128</v>
      </c>
      <c r="D3327"/>
      <c r="E3327"/>
      <c r="F3327"/>
      <c r="G3327"/>
      <c r="H3327"/>
      <c r="I3327" s="21" t="str">
        <f t="shared" si="103"/>
        <v/>
      </c>
      <c r="L3327" s="24"/>
      <c r="M3327" s="24"/>
    </row>
    <row r="3328" spans="1:13">
      <c r="A3328" s="10" t="str">
        <f t="shared" si="102"/>
        <v/>
      </c>
      <c r="C3328" s="120" t="s">
        <v>280</v>
      </c>
      <c r="D3328"/>
      <c r="E3328"/>
      <c r="F3328"/>
      <c r="G3328"/>
      <c r="H3328"/>
      <c r="I3328" s="21" t="str">
        <f t="shared" si="103"/>
        <v/>
      </c>
      <c r="L3328" s="24"/>
      <c r="M3328" s="24"/>
    </row>
    <row r="3329" spans="1:13">
      <c r="A3329" s="14" t="str">
        <f t="shared" si="102"/>
        <v/>
      </c>
      <c r="C3329" s="120" t="s">
        <v>282</v>
      </c>
      <c r="D3329"/>
      <c r="E3329"/>
      <c r="F3329"/>
      <c r="G3329"/>
      <c r="H3329"/>
      <c r="I3329" s="21" t="str">
        <f t="shared" si="103"/>
        <v/>
      </c>
      <c r="L3329" s="24"/>
      <c r="M3329" s="24"/>
    </row>
    <row r="3330" spans="1:13">
      <c r="A3330" s="10" t="str">
        <f t="shared" ref="A3330:A3393" si="104">IF(B3330&lt;&gt;"",ROW()-1,"")</f>
        <v/>
      </c>
      <c r="C3330" s="120" t="s">
        <v>284</v>
      </c>
      <c r="D3330"/>
      <c r="E3330"/>
      <c r="F3330"/>
      <c r="G3330"/>
      <c r="H3330"/>
      <c r="I3330" s="21" t="str">
        <f t="shared" ref="I3330:I3393" si="105">IF(AND(G3330&lt;&gt;"",H3330&lt;&gt;""),H3330-G3330,"")</f>
        <v/>
      </c>
      <c r="L3330" s="24"/>
      <c r="M3330" s="24"/>
    </row>
    <row r="3331" spans="1:13">
      <c r="A3331" s="14" t="str">
        <f t="shared" si="104"/>
        <v/>
      </c>
      <c r="C3331" s="120" t="s">
        <v>286</v>
      </c>
      <c r="D3331"/>
      <c r="E3331"/>
      <c r="F3331"/>
      <c r="G3331"/>
      <c r="H3331"/>
      <c r="I3331" s="21" t="str">
        <f t="shared" si="105"/>
        <v/>
      </c>
      <c r="L3331" s="24"/>
      <c r="M3331" s="24"/>
    </row>
    <row r="3332" spans="1:13">
      <c r="A3332" s="10" t="str">
        <f t="shared" si="104"/>
        <v/>
      </c>
      <c r="C3332" s="120" t="s">
        <v>126</v>
      </c>
      <c r="D3332"/>
      <c r="E3332"/>
      <c r="F3332"/>
      <c r="G3332"/>
      <c r="H3332"/>
      <c r="I3332" s="21" t="str">
        <f t="shared" si="105"/>
        <v/>
      </c>
      <c r="L3332" s="24"/>
      <c r="M3332" s="24"/>
    </row>
    <row r="3333" spans="1:13">
      <c r="A3333" s="14" t="str">
        <f t="shared" si="104"/>
        <v/>
      </c>
      <c r="C3333" s="120" t="s">
        <v>128</v>
      </c>
      <c r="D3333"/>
      <c r="E3333"/>
      <c r="F3333"/>
      <c r="G3333"/>
      <c r="H3333"/>
      <c r="I3333" s="21" t="str">
        <f t="shared" si="105"/>
        <v/>
      </c>
      <c r="L3333" s="24"/>
      <c r="M3333" s="24"/>
    </row>
    <row r="3334" spans="1:13">
      <c r="A3334" s="10" t="str">
        <f t="shared" si="104"/>
        <v/>
      </c>
      <c r="C3334" s="120" t="s">
        <v>280</v>
      </c>
      <c r="D3334"/>
      <c r="E3334"/>
      <c r="F3334"/>
      <c r="G3334"/>
      <c r="H3334"/>
      <c r="I3334" s="21" t="str">
        <f t="shared" si="105"/>
        <v/>
      </c>
      <c r="L3334" s="24"/>
      <c r="M3334" s="24"/>
    </row>
    <row r="3335" spans="1:13">
      <c r="A3335" s="14" t="str">
        <f t="shared" si="104"/>
        <v/>
      </c>
      <c r="C3335" s="120" t="s">
        <v>282</v>
      </c>
      <c r="D3335"/>
      <c r="E3335"/>
      <c r="F3335"/>
      <c r="G3335"/>
      <c r="H3335"/>
      <c r="I3335" s="21" t="str">
        <f t="shared" si="105"/>
        <v/>
      </c>
      <c r="L3335" s="24"/>
      <c r="M3335" s="24"/>
    </row>
    <row r="3336" spans="1:13">
      <c r="A3336" s="10" t="str">
        <f t="shared" si="104"/>
        <v/>
      </c>
      <c r="C3336" s="120" t="s">
        <v>284</v>
      </c>
      <c r="D3336"/>
      <c r="E3336"/>
      <c r="F3336"/>
      <c r="G3336"/>
      <c r="H3336"/>
      <c r="I3336" s="21" t="str">
        <f t="shared" si="105"/>
        <v/>
      </c>
      <c r="L3336" s="24"/>
      <c r="M3336" s="24"/>
    </row>
    <row r="3337" spans="1:13">
      <c r="A3337" s="14" t="str">
        <f t="shared" si="104"/>
        <v/>
      </c>
      <c r="C3337" s="120" t="s">
        <v>286</v>
      </c>
      <c r="D3337"/>
      <c r="E3337"/>
      <c r="F3337"/>
      <c r="G3337"/>
      <c r="H3337"/>
      <c r="I3337" s="21" t="str">
        <f t="shared" si="105"/>
        <v/>
      </c>
      <c r="L3337" s="24"/>
      <c r="M3337" s="24"/>
    </row>
    <row r="3338" spans="1:13">
      <c r="A3338" s="10" t="str">
        <f t="shared" si="104"/>
        <v/>
      </c>
      <c r="C3338" s="120" t="s">
        <v>126</v>
      </c>
      <c r="D3338"/>
      <c r="E3338"/>
      <c r="F3338"/>
      <c r="G3338"/>
      <c r="H3338"/>
      <c r="I3338" s="21" t="str">
        <f t="shared" si="105"/>
        <v/>
      </c>
      <c r="L3338" s="24"/>
      <c r="M3338" s="24"/>
    </row>
    <row r="3339" spans="1:13">
      <c r="A3339" s="14" t="str">
        <f t="shared" si="104"/>
        <v/>
      </c>
      <c r="C3339" s="120" t="s">
        <v>128</v>
      </c>
      <c r="D3339"/>
      <c r="E3339"/>
      <c r="F3339"/>
      <c r="G3339"/>
      <c r="H3339"/>
      <c r="I3339" s="21" t="str">
        <f t="shared" si="105"/>
        <v/>
      </c>
      <c r="L3339" s="24"/>
      <c r="M3339" s="24"/>
    </row>
    <row r="3340" spans="1:13">
      <c r="A3340" s="10" t="str">
        <f t="shared" si="104"/>
        <v/>
      </c>
      <c r="C3340" s="120" t="s">
        <v>280</v>
      </c>
      <c r="D3340"/>
      <c r="E3340"/>
      <c r="F3340"/>
      <c r="G3340"/>
      <c r="H3340"/>
      <c r="I3340" s="21" t="str">
        <f t="shared" si="105"/>
        <v/>
      </c>
      <c r="L3340" s="24"/>
      <c r="M3340" s="24"/>
    </row>
    <row r="3341" spans="1:13">
      <c r="A3341" s="14" t="str">
        <f t="shared" si="104"/>
        <v/>
      </c>
      <c r="C3341" s="120" t="s">
        <v>282</v>
      </c>
      <c r="D3341"/>
      <c r="E3341"/>
      <c r="F3341"/>
      <c r="G3341"/>
      <c r="H3341"/>
      <c r="I3341" s="21" t="str">
        <f t="shared" si="105"/>
        <v/>
      </c>
      <c r="L3341" s="24"/>
      <c r="M3341" s="24"/>
    </row>
    <row r="3342" spans="1:13">
      <c r="A3342" s="10" t="str">
        <f t="shared" si="104"/>
        <v/>
      </c>
      <c r="C3342" s="120" t="s">
        <v>284</v>
      </c>
      <c r="D3342"/>
      <c r="E3342"/>
      <c r="F3342"/>
      <c r="G3342"/>
      <c r="H3342"/>
      <c r="I3342" s="21" t="str">
        <f t="shared" si="105"/>
        <v/>
      </c>
      <c r="L3342" s="24"/>
      <c r="M3342" s="24"/>
    </row>
    <row r="3343" spans="1:13">
      <c r="A3343" s="14" t="str">
        <f t="shared" si="104"/>
        <v/>
      </c>
      <c r="C3343" s="120" t="s">
        <v>286</v>
      </c>
      <c r="D3343"/>
      <c r="E3343"/>
      <c r="F3343"/>
      <c r="G3343"/>
      <c r="H3343"/>
      <c r="I3343" s="21" t="str">
        <f t="shared" si="105"/>
        <v/>
      </c>
      <c r="L3343" s="24"/>
      <c r="M3343" s="24"/>
    </row>
    <row r="3344" spans="1:13">
      <c r="A3344" s="10" t="str">
        <f t="shared" si="104"/>
        <v/>
      </c>
      <c r="C3344" s="120" t="s">
        <v>126</v>
      </c>
      <c r="D3344"/>
      <c r="E3344"/>
      <c r="F3344"/>
      <c r="G3344"/>
      <c r="H3344"/>
      <c r="I3344" s="21" t="str">
        <f t="shared" si="105"/>
        <v/>
      </c>
      <c r="L3344" s="24"/>
      <c r="M3344" s="24"/>
    </row>
    <row r="3345" spans="1:13">
      <c r="A3345" s="14" t="str">
        <f t="shared" si="104"/>
        <v/>
      </c>
      <c r="C3345" s="120" t="s">
        <v>128</v>
      </c>
      <c r="D3345"/>
      <c r="E3345"/>
      <c r="F3345"/>
      <c r="G3345"/>
      <c r="H3345"/>
      <c r="I3345" s="21" t="str">
        <f t="shared" si="105"/>
        <v/>
      </c>
      <c r="L3345" s="24"/>
      <c r="M3345" s="24"/>
    </row>
    <row r="3346" spans="1:13">
      <c r="A3346" s="10" t="str">
        <f t="shared" si="104"/>
        <v/>
      </c>
      <c r="C3346" s="120" t="s">
        <v>280</v>
      </c>
      <c r="D3346"/>
      <c r="E3346"/>
      <c r="F3346"/>
      <c r="G3346"/>
      <c r="H3346"/>
      <c r="I3346" s="21" t="str">
        <f t="shared" si="105"/>
        <v/>
      </c>
      <c r="L3346" s="24"/>
      <c r="M3346" s="24"/>
    </row>
    <row r="3347" spans="1:13">
      <c r="A3347" s="14" t="str">
        <f t="shared" si="104"/>
        <v/>
      </c>
      <c r="C3347" s="120" t="s">
        <v>282</v>
      </c>
      <c r="D3347"/>
      <c r="E3347"/>
      <c r="F3347"/>
      <c r="G3347"/>
      <c r="H3347"/>
      <c r="I3347" s="21" t="str">
        <f t="shared" si="105"/>
        <v/>
      </c>
      <c r="L3347" s="24"/>
      <c r="M3347" s="24"/>
    </row>
    <row r="3348" spans="1:13">
      <c r="A3348" s="10" t="str">
        <f t="shared" si="104"/>
        <v/>
      </c>
      <c r="C3348" s="120" t="s">
        <v>284</v>
      </c>
      <c r="D3348"/>
      <c r="E3348"/>
      <c r="F3348"/>
      <c r="G3348"/>
      <c r="H3348"/>
      <c r="I3348" s="21" t="str">
        <f t="shared" si="105"/>
        <v/>
      </c>
      <c r="L3348" s="24"/>
      <c r="M3348" s="24"/>
    </row>
    <row r="3349" spans="1:13">
      <c r="A3349" s="14" t="str">
        <f t="shared" si="104"/>
        <v/>
      </c>
      <c r="C3349" s="120" t="s">
        <v>286</v>
      </c>
      <c r="D3349"/>
      <c r="E3349"/>
      <c r="F3349"/>
      <c r="G3349"/>
      <c r="H3349"/>
      <c r="I3349" s="21" t="str">
        <f t="shared" si="105"/>
        <v/>
      </c>
      <c r="L3349" s="24"/>
      <c r="M3349" s="24"/>
    </row>
    <row r="3350" spans="1:13">
      <c r="A3350" s="10" t="str">
        <f t="shared" si="104"/>
        <v/>
      </c>
      <c r="C3350" s="120" t="s">
        <v>126</v>
      </c>
      <c r="D3350"/>
      <c r="E3350"/>
      <c r="F3350"/>
      <c r="G3350"/>
      <c r="H3350"/>
      <c r="I3350" s="21" t="str">
        <f t="shared" si="105"/>
        <v/>
      </c>
      <c r="L3350" s="24"/>
      <c r="M3350" s="24"/>
    </row>
    <row r="3351" spans="1:13">
      <c r="A3351" s="14" t="str">
        <f t="shared" si="104"/>
        <v/>
      </c>
      <c r="C3351" s="120" t="s">
        <v>128</v>
      </c>
      <c r="D3351"/>
      <c r="E3351"/>
      <c r="F3351"/>
      <c r="G3351"/>
      <c r="H3351"/>
      <c r="I3351" s="21" t="str">
        <f t="shared" si="105"/>
        <v/>
      </c>
      <c r="L3351" s="24"/>
      <c r="M3351" s="24"/>
    </row>
    <row r="3352" spans="1:13">
      <c r="A3352" s="10" t="str">
        <f t="shared" si="104"/>
        <v/>
      </c>
      <c r="C3352" s="120" t="s">
        <v>280</v>
      </c>
      <c r="D3352"/>
      <c r="E3352"/>
      <c r="F3352"/>
      <c r="G3352"/>
      <c r="H3352"/>
      <c r="I3352" s="21" t="str">
        <f t="shared" si="105"/>
        <v/>
      </c>
      <c r="L3352" s="24"/>
      <c r="M3352" s="24"/>
    </row>
    <row r="3353" spans="1:13">
      <c r="A3353" s="14" t="str">
        <f t="shared" si="104"/>
        <v/>
      </c>
      <c r="C3353" s="120" t="s">
        <v>282</v>
      </c>
      <c r="D3353"/>
      <c r="E3353"/>
      <c r="F3353"/>
      <c r="G3353"/>
      <c r="H3353"/>
      <c r="I3353" s="21" t="str">
        <f t="shared" si="105"/>
        <v/>
      </c>
      <c r="L3353" s="24"/>
      <c r="M3353" s="24"/>
    </row>
    <row r="3354" spans="1:13">
      <c r="A3354" s="10" t="str">
        <f t="shared" si="104"/>
        <v/>
      </c>
      <c r="C3354" s="120" t="s">
        <v>284</v>
      </c>
      <c r="D3354"/>
      <c r="E3354"/>
      <c r="F3354"/>
      <c r="G3354"/>
      <c r="H3354"/>
      <c r="I3354" s="21" t="str">
        <f t="shared" si="105"/>
        <v/>
      </c>
      <c r="L3354" s="24"/>
      <c r="M3354" s="24"/>
    </row>
    <row r="3355" spans="1:13">
      <c r="A3355" s="14" t="str">
        <f t="shared" si="104"/>
        <v/>
      </c>
      <c r="C3355" s="120" t="s">
        <v>286</v>
      </c>
      <c r="D3355"/>
      <c r="E3355"/>
      <c r="F3355"/>
      <c r="G3355"/>
      <c r="H3355"/>
      <c r="I3355" s="21" t="str">
        <f t="shared" si="105"/>
        <v/>
      </c>
      <c r="L3355" s="24"/>
      <c r="M3355" s="24"/>
    </row>
    <row r="3356" spans="1:13">
      <c r="A3356" s="10" t="str">
        <f t="shared" si="104"/>
        <v/>
      </c>
      <c r="C3356" s="120" t="s">
        <v>126</v>
      </c>
      <c r="D3356"/>
      <c r="E3356"/>
      <c r="F3356"/>
      <c r="G3356"/>
      <c r="H3356"/>
      <c r="I3356" s="21" t="str">
        <f t="shared" si="105"/>
        <v/>
      </c>
      <c r="L3356" s="24"/>
      <c r="M3356" s="24"/>
    </row>
    <row r="3357" spans="1:13">
      <c r="A3357" s="14" t="str">
        <f t="shared" si="104"/>
        <v/>
      </c>
      <c r="C3357" s="120" t="s">
        <v>128</v>
      </c>
      <c r="D3357"/>
      <c r="E3357"/>
      <c r="F3357"/>
      <c r="G3357"/>
      <c r="H3357"/>
      <c r="I3357" s="21" t="str">
        <f t="shared" si="105"/>
        <v/>
      </c>
      <c r="L3357" s="24"/>
      <c r="M3357" s="24"/>
    </row>
    <row r="3358" spans="1:13">
      <c r="A3358" s="10" t="str">
        <f t="shared" si="104"/>
        <v/>
      </c>
      <c r="C3358" s="120" t="s">
        <v>280</v>
      </c>
      <c r="D3358"/>
      <c r="E3358"/>
      <c r="F3358"/>
      <c r="G3358"/>
      <c r="H3358"/>
      <c r="I3358" s="21" t="str">
        <f t="shared" si="105"/>
        <v/>
      </c>
      <c r="L3358" s="24"/>
      <c r="M3358" s="24"/>
    </row>
    <row r="3359" spans="1:13">
      <c r="A3359" s="14" t="str">
        <f t="shared" si="104"/>
        <v/>
      </c>
      <c r="C3359" s="120" t="s">
        <v>282</v>
      </c>
      <c r="D3359"/>
      <c r="E3359"/>
      <c r="F3359"/>
      <c r="G3359"/>
      <c r="H3359"/>
      <c r="I3359" s="21" t="str">
        <f t="shared" si="105"/>
        <v/>
      </c>
      <c r="L3359" s="24"/>
      <c r="M3359" s="24"/>
    </row>
    <row r="3360" spans="1:13">
      <c r="A3360" s="10" t="str">
        <f t="shared" si="104"/>
        <v/>
      </c>
      <c r="C3360" s="120" t="s">
        <v>284</v>
      </c>
      <c r="D3360"/>
      <c r="E3360"/>
      <c r="F3360"/>
      <c r="G3360"/>
      <c r="H3360"/>
      <c r="I3360" s="21" t="str">
        <f t="shared" si="105"/>
        <v/>
      </c>
      <c r="L3360" s="24"/>
      <c r="M3360" s="24"/>
    </row>
    <row r="3361" spans="1:13">
      <c r="A3361" s="14" t="str">
        <f t="shared" si="104"/>
        <v/>
      </c>
      <c r="C3361" s="120" t="s">
        <v>286</v>
      </c>
      <c r="D3361"/>
      <c r="E3361"/>
      <c r="F3361"/>
      <c r="G3361"/>
      <c r="H3361"/>
      <c r="I3361" s="21" t="str">
        <f t="shared" si="105"/>
        <v/>
      </c>
      <c r="L3361" s="24"/>
      <c r="M3361" s="24"/>
    </row>
    <row r="3362" spans="1:13">
      <c r="A3362" s="10" t="str">
        <f t="shared" si="104"/>
        <v/>
      </c>
      <c r="C3362" s="120" t="s">
        <v>126</v>
      </c>
      <c r="D3362"/>
      <c r="E3362"/>
      <c r="F3362"/>
      <c r="G3362"/>
      <c r="H3362"/>
      <c r="I3362" s="21" t="str">
        <f t="shared" si="105"/>
        <v/>
      </c>
      <c r="L3362" s="24"/>
      <c r="M3362" s="24"/>
    </row>
    <row r="3363" spans="1:13">
      <c r="A3363" s="14" t="str">
        <f t="shared" si="104"/>
        <v/>
      </c>
      <c r="C3363" s="120" t="s">
        <v>128</v>
      </c>
      <c r="D3363"/>
      <c r="E3363"/>
      <c r="F3363"/>
      <c r="G3363"/>
      <c r="H3363"/>
      <c r="I3363" s="21" t="str">
        <f t="shared" si="105"/>
        <v/>
      </c>
      <c r="L3363" s="24"/>
      <c r="M3363" s="24"/>
    </row>
    <row r="3364" spans="1:13">
      <c r="A3364" s="10" t="str">
        <f t="shared" si="104"/>
        <v/>
      </c>
      <c r="C3364" s="120" t="s">
        <v>280</v>
      </c>
      <c r="D3364"/>
      <c r="E3364"/>
      <c r="F3364"/>
      <c r="G3364"/>
      <c r="H3364"/>
      <c r="I3364" s="21" t="str">
        <f t="shared" si="105"/>
        <v/>
      </c>
      <c r="L3364" s="24"/>
      <c r="M3364" s="24"/>
    </row>
    <row r="3365" spans="1:13">
      <c r="A3365" s="14" t="str">
        <f t="shared" si="104"/>
        <v/>
      </c>
      <c r="C3365" s="120" t="s">
        <v>282</v>
      </c>
      <c r="D3365"/>
      <c r="E3365"/>
      <c r="F3365"/>
      <c r="G3365"/>
      <c r="H3365"/>
      <c r="I3365" s="21" t="str">
        <f t="shared" si="105"/>
        <v/>
      </c>
      <c r="L3365" s="24"/>
      <c r="M3365" s="24"/>
    </row>
    <row r="3366" spans="1:13">
      <c r="A3366" s="10" t="str">
        <f t="shared" si="104"/>
        <v/>
      </c>
      <c r="C3366" s="120" t="s">
        <v>284</v>
      </c>
      <c r="D3366"/>
      <c r="E3366"/>
      <c r="F3366"/>
      <c r="G3366"/>
      <c r="H3366"/>
      <c r="I3366" s="21" t="str">
        <f t="shared" si="105"/>
        <v/>
      </c>
      <c r="L3366" s="24"/>
      <c r="M3366" s="24"/>
    </row>
    <row r="3367" spans="1:13">
      <c r="A3367" s="14" t="str">
        <f t="shared" si="104"/>
        <v/>
      </c>
      <c r="C3367" s="120" t="s">
        <v>286</v>
      </c>
      <c r="D3367"/>
      <c r="E3367"/>
      <c r="F3367"/>
      <c r="G3367"/>
      <c r="H3367"/>
      <c r="I3367" s="21" t="str">
        <f t="shared" si="105"/>
        <v/>
      </c>
      <c r="L3367" s="24"/>
      <c r="M3367" s="24"/>
    </row>
    <row r="3368" spans="1:13">
      <c r="A3368" s="10" t="str">
        <f t="shared" si="104"/>
        <v/>
      </c>
      <c r="C3368" s="120" t="s">
        <v>126</v>
      </c>
      <c r="D3368"/>
      <c r="E3368"/>
      <c r="F3368"/>
      <c r="G3368"/>
      <c r="H3368"/>
      <c r="I3368" s="21" t="str">
        <f t="shared" si="105"/>
        <v/>
      </c>
      <c r="L3368" s="24"/>
      <c r="M3368" s="24"/>
    </row>
    <row r="3369" spans="1:13">
      <c r="A3369" s="14" t="str">
        <f t="shared" si="104"/>
        <v/>
      </c>
      <c r="C3369" s="120" t="s">
        <v>128</v>
      </c>
      <c r="D3369"/>
      <c r="E3369"/>
      <c r="F3369"/>
      <c r="G3369"/>
      <c r="H3369"/>
      <c r="I3369" s="21" t="str">
        <f t="shared" si="105"/>
        <v/>
      </c>
      <c r="L3369" s="24"/>
      <c r="M3369" s="24"/>
    </row>
    <row r="3370" spans="1:13">
      <c r="A3370" s="10" t="str">
        <f t="shared" si="104"/>
        <v/>
      </c>
      <c r="C3370" s="120" t="s">
        <v>280</v>
      </c>
      <c r="D3370"/>
      <c r="E3370"/>
      <c r="F3370"/>
      <c r="G3370"/>
      <c r="H3370"/>
      <c r="I3370" s="21" t="str">
        <f t="shared" si="105"/>
        <v/>
      </c>
      <c r="L3370" s="24"/>
      <c r="M3370" s="24"/>
    </row>
    <row r="3371" spans="1:13">
      <c r="A3371" s="14" t="str">
        <f t="shared" si="104"/>
        <v/>
      </c>
      <c r="C3371" s="120" t="s">
        <v>282</v>
      </c>
      <c r="D3371"/>
      <c r="E3371"/>
      <c r="F3371"/>
      <c r="G3371"/>
      <c r="H3371"/>
      <c r="I3371" s="21" t="str">
        <f t="shared" si="105"/>
        <v/>
      </c>
      <c r="L3371" s="24"/>
      <c r="M3371" s="24"/>
    </row>
    <row r="3372" spans="1:13">
      <c r="A3372" s="10" t="str">
        <f t="shared" si="104"/>
        <v/>
      </c>
      <c r="C3372" s="120" t="s">
        <v>284</v>
      </c>
      <c r="D3372"/>
      <c r="E3372"/>
      <c r="F3372"/>
      <c r="G3372"/>
      <c r="H3372"/>
      <c r="I3372" s="21" t="str">
        <f t="shared" si="105"/>
        <v/>
      </c>
      <c r="L3372" s="24"/>
      <c r="M3372" s="24"/>
    </row>
    <row r="3373" spans="1:13">
      <c r="A3373" s="14" t="str">
        <f t="shared" si="104"/>
        <v/>
      </c>
      <c r="C3373" s="120" t="s">
        <v>286</v>
      </c>
      <c r="D3373"/>
      <c r="E3373"/>
      <c r="F3373"/>
      <c r="G3373"/>
      <c r="H3373"/>
      <c r="I3373" s="21" t="str">
        <f t="shared" si="105"/>
        <v/>
      </c>
      <c r="L3373" s="24"/>
      <c r="M3373" s="24"/>
    </row>
    <row r="3374" spans="1:13">
      <c r="A3374" s="10" t="str">
        <f t="shared" si="104"/>
        <v/>
      </c>
      <c r="C3374" s="120" t="s">
        <v>126</v>
      </c>
      <c r="D3374"/>
      <c r="E3374"/>
      <c r="F3374"/>
      <c r="G3374"/>
      <c r="H3374"/>
      <c r="I3374" s="21" t="str">
        <f t="shared" si="105"/>
        <v/>
      </c>
      <c r="L3374" s="24"/>
      <c r="M3374" s="24"/>
    </row>
    <row r="3375" spans="1:13">
      <c r="A3375" s="14" t="str">
        <f t="shared" si="104"/>
        <v/>
      </c>
      <c r="C3375" s="120" t="s">
        <v>128</v>
      </c>
      <c r="D3375"/>
      <c r="E3375"/>
      <c r="F3375"/>
      <c r="G3375"/>
      <c r="H3375"/>
      <c r="I3375" s="21" t="str">
        <f t="shared" si="105"/>
        <v/>
      </c>
      <c r="L3375" s="24"/>
      <c r="M3375" s="24"/>
    </row>
    <row r="3376" spans="1:13">
      <c r="A3376" s="10" t="str">
        <f t="shared" si="104"/>
        <v/>
      </c>
      <c r="C3376" s="120" t="s">
        <v>280</v>
      </c>
      <c r="D3376"/>
      <c r="E3376"/>
      <c r="F3376"/>
      <c r="G3376"/>
      <c r="H3376"/>
      <c r="I3376" s="21" t="str">
        <f t="shared" si="105"/>
        <v/>
      </c>
      <c r="L3376" s="24"/>
      <c r="M3376" s="24"/>
    </row>
    <row r="3377" spans="1:13">
      <c r="A3377" s="14" t="str">
        <f t="shared" si="104"/>
        <v/>
      </c>
      <c r="C3377" s="120" t="s">
        <v>282</v>
      </c>
      <c r="D3377"/>
      <c r="E3377"/>
      <c r="F3377"/>
      <c r="G3377"/>
      <c r="H3377"/>
      <c r="I3377" s="21" t="str">
        <f t="shared" si="105"/>
        <v/>
      </c>
      <c r="L3377" s="24"/>
      <c r="M3377" s="24"/>
    </row>
    <row r="3378" spans="1:13">
      <c r="A3378" s="10" t="str">
        <f t="shared" si="104"/>
        <v/>
      </c>
      <c r="C3378" s="120" t="s">
        <v>284</v>
      </c>
      <c r="D3378"/>
      <c r="E3378"/>
      <c r="F3378"/>
      <c r="G3378"/>
      <c r="H3378"/>
      <c r="I3378" s="21" t="str">
        <f t="shared" si="105"/>
        <v/>
      </c>
      <c r="L3378" s="24"/>
      <c r="M3378" s="24"/>
    </row>
    <row r="3379" spans="1:13">
      <c r="A3379" s="14" t="str">
        <f t="shared" si="104"/>
        <v/>
      </c>
      <c r="C3379" s="120" t="s">
        <v>286</v>
      </c>
      <c r="D3379"/>
      <c r="E3379"/>
      <c r="F3379"/>
      <c r="G3379"/>
      <c r="H3379"/>
      <c r="I3379" s="21" t="str">
        <f t="shared" si="105"/>
        <v/>
      </c>
      <c r="L3379" s="24"/>
      <c r="M3379" s="24"/>
    </row>
    <row r="3380" spans="1:13">
      <c r="A3380" s="10" t="str">
        <f t="shared" si="104"/>
        <v/>
      </c>
      <c r="C3380" s="120" t="s">
        <v>126</v>
      </c>
      <c r="D3380"/>
      <c r="E3380"/>
      <c r="F3380"/>
      <c r="G3380"/>
      <c r="H3380"/>
      <c r="I3380" s="21" t="str">
        <f t="shared" si="105"/>
        <v/>
      </c>
      <c r="L3380" s="24"/>
      <c r="M3380" s="24"/>
    </row>
    <row r="3381" spans="1:13">
      <c r="A3381" s="14" t="str">
        <f t="shared" si="104"/>
        <v/>
      </c>
      <c r="C3381" s="120" t="s">
        <v>128</v>
      </c>
      <c r="D3381"/>
      <c r="E3381"/>
      <c r="F3381"/>
      <c r="G3381"/>
      <c r="H3381"/>
      <c r="I3381" s="21" t="str">
        <f t="shared" si="105"/>
        <v/>
      </c>
      <c r="L3381" s="24"/>
      <c r="M3381" s="24"/>
    </row>
    <row r="3382" spans="1:13">
      <c r="A3382" s="10" t="str">
        <f t="shared" si="104"/>
        <v/>
      </c>
      <c r="C3382" s="120" t="s">
        <v>280</v>
      </c>
      <c r="D3382"/>
      <c r="E3382"/>
      <c r="F3382"/>
      <c r="G3382"/>
      <c r="H3382"/>
      <c r="I3382" s="21" t="str">
        <f t="shared" si="105"/>
        <v/>
      </c>
      <c r="L3382" s="24"/>
      <c r="M3382" s="24"/>
    </row>
    <row r="3383" spans="1:13">
      <c r="A3383" s="14" t="str">
        <f t="shared" si="104"/>
        <v/>
      </c>
      <c r="C3383" s="120" t="s">
        <v>282</v>
      </c>
      <c r="D3383"/>
      <c r="E3383"/>
      <c r="F3383"/>
      <c r="G3383"/>
      <c r="H3383"/>
      <c r="I3383" s="21" t="str">
        <f t="shared" si="105"/>
        <v/>
      </c>
      <c r="L3383" s="24"/>
      <c r="M3383" s="24"/>
    </row>
    <row r="3384" spans="1:13">
      <c r="A3384" s="10" t="str">
        <f t="shared" si="104"/>
        <v/>
      </c>
      <c r="C3384" s="120" t="s">
        <v>284</v>
      </c>
      <c r="D3384"/>
      <c r="E3384"/>
      <c r="F3384"/>
      <c r="G3384"/>
      <c r="H3384"/>
      <c r="I3384" s="21" t="str">
        <f t="shared" si="105"/>
        <v/>
      </c>
      <c r="L3384" s="24"/>
      <c r="M3384" s="24"/>
    </row>
    <row r="3385" spans="1:13">
      <c r="A3385" s="14" t="str">
        <f t="shared" si="104"/>
        <v/>
      </c>
      <c r="C3385" s="120" t="s">
        <v>286</v>
      </c>
      <c r="D3385"/>
      <c r="E3385"/>
      <c r="F3385"/>
      <c r="G3385"/>
      <c r="H3385"/>
      <c r="I3385" s="21" t="str">
        <f t="shared" si="105"/>
        <v/>
      </c>
      <c r="L3385" s="24"/>
      <c r="M3385" s="24"/>
    </row>
    <row r="3386" spans="1:13">
      <c r="A3386" s="10" t="str">
        <f t="shared" si="104"/>
        <v/>
      </c>
      <c r="C3386" s="120" t="s">
        <v>126</v>
      </c>
      <c r="D3386"/>
      <c r="E3386"/>
      <c r="F3386"/>
      <c r="G3386"/>
      <c r="H3386"/>
      <c r="I3386" s="21" t="str">
        <f t="shared" si="105"/>
        <v/>
      </c>
      <c r="L3386" s="24"/>
      <c r="M3386" s="24"/>
    </row>
    <row r="3387" spans="1:13">
      <c r="A3387" s="14" t="str">
        <f t="shared" si="104"/>
        <v/>
      </c>
      <c r="C3387" s="120" t="s">
        <v>128</v>
      </c>
      <c r="D3387"/>
      <c r="E3387"/>
      <c r="F3387"/>
      <c r="G3387"/>
      <c r="H3387"/>
      <c r="I3387" s="21" t="str">
        <f t="shared" si="105"/>
        <v/>
      </c>
      <c r="L3387" s="24"/>
      <c r="M3387" s="24"/>
    </row>
    <row r="3388" spans="1:13">
      <c r="A3388" s="10" t="str">
        <f t="shared" si="104"/>
        <v/>
      </c>
      <c r="C3388" s="120" t="s">
        <v>280</v>
      </c>
      <c r="D3388"/>
      <c r="E3388"/>
      <c r="F3388"/>
      <c r="G3388"/>
      <c r="H3388"/>
      <c r="I3388" s="21" t="str">
        <f t="shared" si="105"/>
        <v/>
      </c>
      <c r="L3388" s="24"/>
      <c r="M3388" s="24"/>
    </row>
    <row r="3389" spans="1:13">
      <c r="A3389" s="14" t="str">
        <f t="shared" si="104"/>
        <v/>
      </c>
      <c r="C3389" s="120" t="s">
        <v>282</v>
      </c>
      <c r="D3389"/>
      <c r="E3389"/>
      <c r="F3389"/>
      <c r="G3389"/>
      <c r="H3389"/>
      <c r="I3389" s="21" t="str">
        <f t="shared" si="105"/>
        <v/>
      </c>
      <c r="L3389" s="24"/>
      <c r="M3389" s="24"/>
    </row>
    <row r="3390" spans="1:13">
      <c r="A3390" s="10" t="str">
        <f t="shared" si="104"/>
        <v/>
      </c>
      <c r="C3390" s="120" t="s">
        <v>284</v>
      </c>
      <c r="D3390"/>
      <c r="E3390"/>
      <c r="F3390"/>
      <c r="G3390"/>
      <c r="H3390"/>
      <c r="I3390" s="21" t="str">
        <f t="shared" si="105"/>
        <v/>
      </c>
      <c r="L3390" s="24"/>
      <c r="M3390" s="24"/>
    </row>
    <row r="3391" spans="1:13">
      <c r="A3391" s="14" t="str">
        <f t="shared" si="104"/>
        <v/>
      </c>
      <c r="C3391" s="120" t="s">
        <v>286</v>
      </c>
      <c r="D3391"/>
      <c r="E3391"/>
      <c r="F3391"/>
      <c r="G3391"/>
      <c r="H3391"/>
      <c r="I3391" s="21" t="str">
        <f t="shared" si="105"/>
        <v/>
      </c>
      <c r="L3391" s="24"/>
      <c r="M3391" s="24"/>
    </row>
    <row r="3392" spans="1:13">
      <c r="A3392" s="10" t="str">
        <f t="shared" si="104"/>
        <v/>
      </c>
      <c r="C3392" s="120" t="s">
        <v>126</v>
      </c>
      <c r="D3392"/>
      <c r="E3392"/>
      <c r="F3392"/>
      <c r="G3392"/>
      <c r="H3392"/>
      <c r="I3392" s="21" t="str">
        <f t="shared" si="105"/>
        <v/>
      </c>
      <c r="L3392" s="24"/>
      <c r="M3392" s="24"/>
    </row>
    <row r="3393" spans="1:13">
      <c r="A3393" s="14" t="str">
        <f t="shared" si="104"/>
        <v/>
      </c>
      <c r="C3393" s="120" t="s">
        <v>128</v>
      </c>
      <c r="D3393"/>
      <c r="E3393"/>
      <c r="F3393"/>
      <c r="G3393"/>
      <c r="H3393"/>
      <c r="I3393" s="21" t="str">
        <f t="shared" si="105"/>
        <v/>
      </c>
      <c r="L3393" s="24"/>
      <c r="M3393" s="24"/>
    </row>
    <row r="3394" spans="1:13">
      <c r="A3394" s="10" t="str">
        <f t="shared" ref="A3394:A3457" si="106">IF(B3394&lt;&gt;"",ROW()-1,"")</f>
        <v/>
      </c>
      <c r="C3394" s="120" t="s">
        <v>280</v>
      </c>
      <c r="D3394"/>
      <c r="E3394"/>
      <c r="F3394"/>
      <c r="G3394"/>
      <c r="H3394"/>
      <c r="I3394" s="21" t="str">
        <f t="shared" ref="I3394:I3457" si="107">IF(AND(G3394&lt;&gt;"",H3394&lt;&gt;""),H3394-G3394,"")</f>
        <v/>
      </c>
      <c r="L3394" s="24"/>
      <c r="M3394" s="24"/>
    </row>
    <row r="3395" spans="1:13">
      <c r="A3395" s="14" t="str">
        <f t="shared" si="106"/>
        <v/>
      </c>
      <c r="C3395" s="120" t="s">
        <v>282</v>
      </c>
      <c r="D3395"/>
      <c r="E3395"/>
      <c r="F3395"/>
      <c r="G3395"/>
      <c r="H3395"/>
      <c r="I3395" s="21" t="str">
        <f t="shared" si="107"/>
        <v/>
      </c>
      <c r="L3395" s="24"/>
      <c r="M3395" s="24"/>
    </row>
    <row r="3396" spans="1:13">
      <c r="A3396" s="10" t="str">
        <f t="shared" si="106"/>
        <v/>
      </c>
      <c r="C3396" s="120" t="s">
        <v>284</v>
      </c>
      <c r="D3396"/>
      <c r="E3396"/>
      <c r="F3396"/>
      <c r="G3396"/>
      <c r="H3396"/>
      <c r="I3396" s="21" t="str">
        <f t="shared" si="107"/>
        <v/>
      </c>
      <c r="L3396" s="24"/>
      <c r="M3396" s="24"/>
    </row>
    <row r="3397" spans="1:13">
      <c r="A3397" s="14" t="str">
        <f t="shared" si="106"/>
        <v/>
      </c>
      <c r="C3397" s="120" t="s">
        <v>286</v>
      </c>
      <c r="D3397"/>
      <c r="E3397"/>
      <c r="F3397"/>
      <c r="G3397"/>
      <c r="H3397"/>
      <c r="I3397" s="21" t="str">
        <f t="shared" si="107"/>
        <v/>
      </c>
      <c r="L3397" s="24"/>
      <c r="M3397" s="24"/>
    </row>
    <row r="3398" spans="1:13">
      <c r="A3398" s="10" t="str">
        <f t="shared" si="106"/>
        <v/>
      </c>
      <c r="C3398" s="120" t="s">
        <v>126</v>
      </c>
      <c r="D3398"/>
      <c r="E3398"/>
      <c r="F3398"/>
      <c r="G3398"/>
      <c r="H3398"/>
      <c r="I3398" s="21" t="str">
        <f t="shared" si="107"/>
        <v/>
      </c>
      <c r="L3398" s="24"/>
      <c r="M3398" s="24"/>
    </row>
    <row r="3399" spans="1:13">
      <c r="A3399" s="14" t="str">
        <f t="shared" si="106"/>
        <v/>
      </c>
      <c r="C3399" s="120" t="s">
        <v>128</v>
      </c>
      <c r="D3399"/>
      <c r="E3399"/>
      <c r="F3399"/>
      <c r="G3399"/>
      <c r="H3399"/>
      <c r="I3399" s="21" t="str">
        <f t="shared" si="107"/>
        <v/>
      </c>
      <c r="L3399" s="24"/>
      <c r="M3399" s="24"/>
    </row>
    <row r="3400" spans="1:13">
      <c r="A3400" s="10" t="str">
        <f t="shared" si="106"/>
        <v/>
      </c>
      <c r="C3400" s="120" t="s">
        <v>280</v>
      </c>
      <c r="D3400"/>
      <c r="E3400"/>
      <c r="F3400"/>
      <c r="G3400"/>
      <c r="H3400"/>
      <c r="I3400" s="21" t="str">
        <f t="shared" si="107"/>
        <v/>
      </c>
      <c r="L3400" s="24"/>
      <c r="M3400" s="24"/>
    </row>
    <row r="3401" spans="1:13">
      <c r="A3401" s="14" t="str">
        <f t="shared" si="106"/>
        <v/>
      </c>
      <c r="C3401" s="120" t="s">
        <v>282</v>
      </c>
      <c r="D3401"/>
      <c r="E3401"/>
      <c r="F3401"/>
      <c r="G3401"/>
      <c r="H3401"/>
      <c r="I3401" s="21" t="str">
        <f t="shared" si="107"/>
        <v/>
      </c>
      <c r="L3401" s="24"/>
      <c r="M3401" s="24"/>
    </row>
    <row r="3402" spans="1:13">
      <c r="A3402" s="10" t="str">
        <f t="shared" si="106"/>
        <v/>
      </c>
      <c r="C3402" s="120" t="s">
        <v>284</v>
      </c>
      <c r="D3402"/>
      <c r="E3402"/>
      <c r="F3402"/>
      <c r="G3402"/>
      <c r="H3402"/>
      <c r="I3402" s="21" t="str">
        <f t="shared" si="107"/>
        <v/>
      </c>
      <c r="L3402" s="24"/>
      <c r="M3402" s="24"/>
    </row>
    <row r="3403" spans="1:13">
      <c r="A3403" s="14" t="str">
        <f t="shared" si="106"/>
        <v/>
      </c>
      <c r="C3403" s="120" t="s">
        <v>286</v>
      </c>
      <c r="D3403"/>
      <c r="E3403"/>
      <c r="F3403"/>
      <c r="G3403"/>
      <c r="H3403"/>
      <c r="I3403" s="21" t="str">
        <f t="shared" si="107"/>
        <v/>
      </c>
      <c r="L3403" s="24"/>
      <c r="M3403" s="24"/>
    </row>
    <row r="3404" spans="1:13">
      <c r="A3404" s="10" t="str">
        <f t="shared" si="106"/>
        <v/>
      </c>
      <c r="C3404" s="120" t="s">
        <v>126</v>
      </c>
      <c r="D3404"/>
      <c r="E3404"/>
      <c r="F3404"/>
      <c r="G3404"/>
      <c r="H3404"/>
      <c r="I3404" s="21" t="str">
        <f t="shared" si="107"/>
        <v/>
      </c>
      <c r="L3404" s="24"/>
      <c r="M3404" s="24"/>
    </row>
    <row r="3405" spans="1:13">
      <c r="A3405" s="14" t="str">
        <f t="shared" si="106"/>
        <v/>
      </c>
      <c r="C3405" s="120" t="s">
        <v>128</v>
      </c>
      <c r="D3405"/>
      <c r="E3405"/>
      <c r="F3405"/>
      <c r="G3405"/>
      <c r="H3405"/>
      <c r="I3405" s="21" t="str">
        <f t="shared" si="107"/>
        <v/>
      </c>
      <c r="L3405" s="24"/>
      <c r="M3405" s="24"/>
    </row>
    <row r="3406" spans="1:13">
      <c r="A3406" s="10" t="str">
        <f t="shared" si="106"/>
        <v/>
      </c>
      <c r="C3406" s="120" t="s">
        <v>280</v>
      </c>
      <c r="D3406"/>
      <c r="E3406"/>
      <c r="F3406"/>
      <c r="G3406"/>
      <c r="H3406"/>
      <c r="I3406" s="21" t="str">
        <f t="shared" si="107"/>
        <v/>
      </c>
      <c r="L3406" s="24"/>
      <c r="M3406" s="24"/>
    </row>
    <row r="3407" spans="1:13">
      <c r="A3407" s="14" t="str">
        <f t="shared" si="106"/>
        <v/>
      </c>
      <c r="C3407" s="120" t="s">
        <v>282</v>
      </c>
      <c r="D3407"/>
      <c r="E3407"/>
      <c r="F3407"/>
      <c r="G3407"/>
      <c r="H3407"/>
      <c r="I3407" s="21" t="str">
        <f t="shared" si="107"/>
        <v/>
      </c>
      <c r="L3407" s="24"/>
      <c r="M3407" s="24"/>
    </row>
    <row r="3408" spans="1:13">
      <c r="A3408" s="10" t="str">
        <f t="shared" si="106"/>
        <v/>
      </c>
      <c r="C3408" s="120" t="s">
        <v>284</v>
      </c>
      <c r="D3408"/>
      <c r="E3408"/>
      <c r="F3408"/>
      <c r="G3408"/>
      <c r="H3408"/>
      <c r="I3408" s="21" t="str">
        <f t="shared" si="107"/>
        <v/>
      </c>
      <c r="L3408" s="24"/>
      <c r="M3408" s="24"/>
    </row>
    <row r="3409" spans="1:13">
      <c r="A3409" s="14" t="str">
        <f t="shared" si="106"/>
        <v/>
      </c>
      <c r="C3409" s="120" t="s">
        <v>286</v>
      </c>
      <c r="D3409"/>
      <c r="E3409"/>
      <c r="F3409"/>
      <c r="G3409"/>
      <c r="H3409"/>
      <c r="I3409" s="21" t="str">
        <f t="shared" si="107"/>
        <v/>
      </c>
      <c r="L3409" s="24"/>
      <c r="M3409" s="24"/>
    </row>
    <row r="3410" spans="1:13">
      <c r="A3410" s="10" t="str">
        <f t="shared" si="106"/>
        <v/>
      </c>
      <c r="C3410" s="120" t="s">
        <v>126</v>
      </c>
      <c r="D3410"/>
      <c r="E3410"/>
      <c r="F3410"/>
      <c r="G3410"/>
      <c r="H3410"/>
      <c r="I3410" s="21" t="str">
        <f t="shared" si="107"/>
        <v/>
      </c>
      <c r="L3410" s="24"/>
      <c r="M3410" s="24"/>
    </row>
    <row r="3411" spans="1:13">
      <c r="A3411" s="14" t="str">
        <f t="shared" si="106"/>
        <v/>
      </c>
      <c r="C3411" s="120" t="s">
        <v>128</v>
      </c>
      <c r="D3411"/>
      <c r="E3411"/>
      <c r="F3411"/>
      <c r="G3411"/>
      <c r="H3411"/>
      <c r="I3411" s="21" t="str">
        <f t="shared" si="107"/>
        <v/>
      </c>
      <c r="L3411" s="24"/>
      <c r="M3411" s="24"/>
    </row>
    <row r="3412" spans="1:13">
      <c r="A3412" s="10" t="str">
        <f t="shared" si="106"/>
        <v/>
      </c>
      <c r="C3412" s="120" t="s">
        <v>280</v>
      </c>
      <c r="D3412"/>
      <c r="E3412"/>
      <c r="F3412"/>
      <c r="G3412"/>
      <c r="H3412"/>
      <c r="I3412" s="21" t="str">
        <f t="shared" si="107"/>
        <v/>
      </c>
      <c r="L3412" s="24"/>
      <c r="M3412" s="24"/>
    </row>
    <row r="3413" spans="1:13">
      <c r="A3413" s="14" t="str">
        <f t="shared" si="106"/>
        <v/>
      </c>
      <c r="C3413" s="120" t="s">
        <v>282</v>
      </c>
      <c r="D3413"/>
      <c r="E3413"/>
      <c r="F3413"/>
      <c r="G3413"/>
      <c r="H3413"/>
      <c r="I3413" s="21" t="str">
        <f t="shared" si="107"/>
        <v/>
      </c>
      <c r="L3413" s="24"/>
      <c r="M3413" s="24"/>
    </row>
    <row r="3414" spans="1:13">
      <c r="A3414" s="10" t="str">
        <f t="shared" si="106"/>
        <v/>
      </c>
      <c r="C3414" s="120" t="s">
        <v>284</v>
      </c>
      <c r="D3414"/>
      <c r="E3414"/>
      <c r="F3414"/>
      <c r="G3414"/>
      <c r="H3414"/>
      <c r="I3414" s="21" t="str">
        <f t="shared" si="107"/>
        <v/>
      </c>
      <c r="L3414" s="24"/>
      <c r="M3414" s="24"/>
    </row>
    <row r="3415" spans="1:13">
      <c r="A3415" s="14" t="str">
        <f t="shared" si="106"/>
        <v/>
      </c>
      <c r="C3415" s="120" t="s">
        <v>286</v>
      </c>
      <c r="D3415"/>
      <c r="E3415"/>
      <c r="F3415"/>
      <c r="G3415"/>
      <c r="H3415"/>
      <c r="I3415" s="21" t="str">
        <f t="shared" si="107"/>
        <v/>
      </c>
      <c r="L3415" s="24"/>
      <c r="M3415" s="24"/>
    </row>
    <row r="3416" spans="1:13">
      <c r="A3416" s="10" t="str">
        <f t="shared" si="106"/>
        <v/>
      </c>
      <c r="C3416" s="120" t="s">
        <v>126</v>
      </c>
      <c r="D3416"/>
      <c r="E3416"/>
      <c r="F3416"/>
      <c r="G3416"/>
      <c r="H3416"/>
      <c r="I3416" s="21" t="str">
        <f t="shared" si="107"/>
        <v/>
      </c>
      <c r="L3416" s="24"/>
      <c r="M3416" s="24"/>
    </row>
    <row r="3417" spans="1:13">
      <c r="A3417" s="14" t="str">
        <f t="shared" si="106"/>
        <v/>
      </c>
      <c r="C3417" s="120" t="s">
        <v>128</v>
      </c>
      <c r="D3417"/>
      <c r="E3417"/>
      <c r="F3417"/>
      <c r="G3417"/>
      <c r="H3417"/>
      <c r="I3417" s="21" t="str">
        <f t="shared" si="107"/>
        <v/>
      </c>
      <c r="L3417" s="24"/>
      <c r="M3417" s="24"/>
    </row>
    <row r="3418" spans="1:13">
      <c r="A3418" s="10" t="str">
        <f t="shared" si="106"/>
        <v/>
      </c>
      <c r="C3418" s="120" t="s">
        <v>280</v>
      </c>
      <c r="D3418"/>
      <c r="E3418"/>
      <c r="F3418"/>
      <c r="G3418"/>
      <c r="H3418"/>
      <c r="I3418" s="21" t="str">
        <f t="shared" si="107"/>
        <v/>
      </c>
      <c r="L3418" s="24"/>
      <c r="M3418" s="24"/>
    </row>
    <row r="3419" spans="1:13">
      <c r="A3419" s="14" t="str">
        <f t="shared" si="106"/>
        <v/>
      </c>
      <c r="C3419" s="120" t="s">
        <v>282</v>
      </c>
      <c r="D3419"/>
      <c r="E3419"/>
      <c r="F3419"/>
      <c r="G3419"/>
      <c r="H3419"/>
      <c r="I3419" s="21" t="str">
        <f t="shared" si="107"/>
        <v/>
      </c>
      <c r="L3419" s="24"/>
      <c r="M3419" s="24"/>
    </row>
    <row r="3420" spans="1:13">
      <c r="A3420" s="10" t="str">
        <f t="shared" si="106"/>
        <v/>
      </c>
      <c r="C3420" s="120" t="s">
        <v>284</v>
      </c>
      <c r="D3420"/>
      <c r="E3420"/>
      <c r="F3420"/>
      <c r="G3420"/>
      <c r="H3420"/>
      <c r="I3420" s="21" t="str">
        <f t="shared" si="107"/>
        <v/>
      </c>
      <c r="L3420" s="24"/>
      <c r="M3420" s="24"/>
    </row>
    <row r="3421" spans="1:13">
      <c r="A3421" s="14" t="str">
        <f t="shared" si="106"/>
        <v/>
      </c>
      <c r="C3421" s="120" t="s">
        <v>286</v>
      </c>
      <c r="D3421"/>
      <c r="E3421"/>
      <c r="F3421"/>
      <c r="G3421"/>
      <c r="H3421"/>
      <c r="I3421" s="21" t="str">
        <f t="shared" si="107"/>
        <v/>
      </c>
      <c r="L3421" s="24"/>
      <c r="M3421" s="24"/>
    </row>
    <row r="3422" spans="1:13">
      <c r="A3422" s="10" t="str">
        <f t="shared" si="106"/>
        <v/>
      </c>
      <c r="C3422" s="120" t="s">
        <v>126</v>
      </c>
      <c r="D3422"/>
      <c r="E3422"/>
      <c r="F3422"/>
      <c r="G3422"/>
      <c r="H3422"/>
      <c r="I3422" s="21" t="str">
        <f t="shared" si="107"/>
        <v/>
      </c>
      <c r="L3422" s="24"/>
      <c r="M3422" s="24"/>
    </row>
    <row r="3423" spans="1:13">
      <c r="A3423" s="14" t="str">
        <f t="shared" si="106"/>
        <v/>
      </c>
      <c r="C3423" s="120" t="s">
        <v>128</v>
      </c>
      <c r="D3423"/>
      <c r="E3423"/>
      <c r="F3423"/>
      <c r="G3423"/>
      <c r="H3423"/>
      <c r="I3423" s="21" t="str">
        <f t="shared" si="107"/>
        <v/>
      </c>
      <c r="L3423" s="24"/>
      <c r="M3423" s="24"/>
    </row>
    <row r="3424" spans="1:13">
      <c r="A3424" s="10" t="str">
        <f t="shared" si="106"/>
        <v/>
      </c>
      <c r="C3424" s="120" t="s">
        <v>280</v>
      </c>
      <c r="D3424"/>
      <c r="E3424"/>
      <c r="F3424"/>
      <c r="G3424"/>
      <c r="H3424"/>
      <c r="I3424" s="21" t="str">
        <f t="shared" si="107"/>
        <v/>
      </c>
      <c r="L3424" s="24"/>
      <c r="M3424" s="24"/>
    </row>
    <row r="3425" spans="1:13">
      <c r="A3425" s="14" t="str">
        <f t="shared" si="106"/>
        <v/>
      </c>
      <c r="C3425" s="120" t="s">
        <v>282</v>
      </c>
      <c r="D3425"/>
      <c r="E3425"/>
      <c r="F3425"/>
      <c r="G3425"/>
      <c r="H3425"/>
      <c r="I3425" s="21" t="str">
        <f t="shared" si="107"/>
        <v/>
      </c>
      <c r="L3425" s="24"/>
      <c r="M3425" s="24"/>
    </row>
    <row r="3426" spans="1:13">
      <c r="A3426" s="10" t="str">
        <f t="shared" si="106"/>
        <v/>
      </c>
      <c r="C3426" s="120" t="s">
        <v>284</v>
      </c>
      <c r="D3426"/>
      <c r="E3426"/>
      <c r="F3426"/>
      <c r="G3426"/>
      <c r="H3426"/>
      <c r="I3426" s="21" t="str">
        <f t="shared" si="107"/>
        <v/>
      </c>
      <c r="L3426" s="24"/>
      <c r="M3426" s="24"/>
    </row>
    <row r="3427" spans="1:13">
      <c r="A3427" s="14" t="str">
        <f t="shared" si="106"/>
        <v/>
      </c>
      <c r="C3427" s="120" t="s">
        <v>286</v>
      </c>
      <c r="D3427"/>
      <c r="E3427"/>
      <c r="F3427"/>
      <c r="G3427"/>
      <c r="H3427"/>
      <c r="I3427" s="21" t="str">
        <f t="shared" si="107"/>
        <v/>
      </c>
      <c r="L3427" s="24"/>
      <c r="M3427" s="24"/>
    </row>
    <row r="3428" spans="1:13">
      <c r="A3428" s="10" t="str">
        <f t="shared" si="106"/>
        <v/>
      </c>
      <c r="C3428" s="120" t="s">
        <v>126</v>
      </c>
      <c r="D3428"/>
      <c r="E3428"/>
      <c r="F3428"/>
      <c r="G3428"/>
      <c r="H3428"/>
      <c r="I3428" s="21" t="str">
        <f t="shared" si="107"/>
        <v/>
      </c>
      <c r="L3428" s="24"/>
      <c r="M3428" s="24"/>
    </row>
    <row r="3429" spans="1:13">
      <c r="A3429" s="14" t="str">
        <f t="shared" si="106"/>
        <v/>
      </c>
      <c r="C3429" s="120" t="s">
        <v>128</v>
      </c>
      <c r="D3429"/>
      <c r="E3429"/>
      <c r="F3429"/>
      <c r="G3429"/>
      <c r="H3429"/>
      <c r="I3429" s="21" t="str">
        <f t="shared" si="107"/>
        <v/>
      </c>
      <c r="L3429" s="24"/>
      <c r="M3429" s="24"/>
    </row>
    <row r="3430" spans="1:13">
      <c r="A3430" s="10" t="str">
        <f t="shared" si="106"/>
        <v/>
      </c>
      <c r="C3430" s="120" t="s">
        <v>280</v>
      </c>
      <c r="D3430"/>
      <c r="E3430"/>
      <c r="F3430"/>
      <c r="G3430"/>
      <c r="H3430"/>
      <c r="I3430" s="21" t="str">
        <f t="shared" si="107"/>
        <v/>
      </c>
      <c r="L3430" s="24"/>
      <c r="M3430" s="24"/>
    </row>
    <row r="3431" spans="1:13">
      <c r="A3431" s="14" t="str">
        <f t="shared" si="106"/>
        <v/>
      </c>
      <c r="C3431" s="120" t="s">
        <v>282</v>
      </c>
      <c r="D3431"/>
      <c r="E3431"/>
      <c r="F3431"/>
      <c r="G3431"/>
      <c r="H3431"/>
      <c r="I3431" s="21" t="str">
        <f t="shared" si="107"/>
        <v/>
      </c>
      <c r="L3431" s="24"/>
      <c r="M3431" s="24"/>
    </row>
    <row r="3432" spans="1:13">
      <c r="A3432" s="10" t="str">
        <f t="shared" si="106"/>
        <v/>
      </c>
      <c r="C3432" s="120" t="s">
        <v>284</v>
      </c>
      <c r="D3432"/>
      <c r="E3432"/>
      <c r="F3432"/>
      <c r="G3432"/>
      <c r="H3432"/>
      <c r="I3432" s="21" t="str">
        <f t="shared" si="107"/>
        <v/>
      </c>
      <c r="L3432" s="24"/>
      <c r="M3432" s="24"/>
    </row>
    <row r="3433" spans="1:13">
      <c r="A3433" s="14" t="str">
        <f t="shared" si="106"/>
        <v/>
      </c>
      <c r="C3433" s="120" t="s">
        <v>286</v>
      </c>
      <c r="D3433"/>
      <c r="E3433"/>
      <c r="F3433"/>
      <c r="G3433"/>
      <c r="H3433"/>
      <c r="I3433" s="21" t="str">
        <f t="shared" si="107"/>
        <v/>
      </c>
      <c r="L3433" s="24"/>
      <c r="M3433" s="24"/>
    </row>
    <row r="3434" spans="1:13">
      <c r="A3434" s="10" t="str">
        <f t="shared" si="106"/>
        <v/>
      </c>
      <c r="C3434" s="120" t="s">
        <v>126</v>
      </c>
      <c r="D3434"/>
      <c r="E3434"/>
      <c r="F3434"/>
      <c r="G3434"/>
      <c r="H3434"/>
      <c r="I3434" s="21" t="str">
        <f t="shared" si="107"/>
        <v/>
      </c>
      <c r="L3434" s="24"/>
      <c r="M3434" s="24"/>
    </row>
    <row r="3435" spans="1:13">
      <c r="A3435" s="14" t="str">
        <f t="shared" si="106"/>
        <v/>
      </c>
      <c r="C3435" s="120" t="s">
        <v>128</v>
      </c>
      <c r="D3435"/>
      <c r="E3435"/>
      <c r="F3435"/>
      <c r="G3435"/>
      <c r="H3435"/>
      <c r="I3435" s="21" t="str">
        <f t="shared" si="107"/>
        <v/>
      </c>
      <c r="L3435" s="24"/>
      <c r="M3435" s="24"/>
    </row>
    <row r="3436" spans="1:13">
      <c r="A3436" s="10" t="str">
        <f t="shared" si="106"/>
        <v/>
      </c>
      <c r="C3436" s="120" t="s">
        <v>280</v>
      </c>
      <c r="D3436"/>
      <c r="E3436"/>
      <c r="F3436"/>
      <c r="G3436"/>
      <c r="H3436"/>
      <c r="I3436" s="21" t="str">
        <f t="shared" si="107"/>
        <v/>
      </c>
      <c r="L3436" s="24"/>
      <c r="M3436" s="24"/>
    </row>
    <row r="3437" spans="1:13">
      <c r="A3437" s="14" t="str">
        <f t="shared" si="106"/>
        <v/>
      </c>
      <c r="C3437" s="120" t="s">
        <v>282</v>
      </c>
      <c r="D3437"/>
      <c r="E3437"/>
      <c r="F3437"/>
      <c r="G3437"/>
      <c r="H3437"/>
      <c r="I3437" s="21" t="str">
        <f t="shared" si="107"/>
        <v/>
      </c>
      <c r="L3437" s="24"/>
      <c r="M3437" s="24"/>
    </row>
    <row r="3438" spans="1:13">
      <c r="A3438" s="10" t="str">
        <f t="shared" si="106"/>
        <v/>
      </c>
      <c r="C3438" s="120" t="s">
        <v>284</v>
      </c>
      <c r="D3438"/>
      <c r="E3438"/>
      <c r="F3438"/>
      <c r="G3438"/>
      <c r="H3438"/>
      <c r="I3438" s="21" t="str">
        <f t="shared" si="107"/>
        <v/>
      </c>
      <c r="L3438" s="24"/>
      <c r="M3438" s="24"/>
    </row>
    <row r="3439" spans="1:13">
      <c r="A3439" s="14" t="str">
        <f t="shared" si="106"/>
        <v/>
      </c>
      <c r="C3439" s="120" t="s">
        <v>286</v>
      </c>
      <c r="D3439"/>
      <c r="E3439"/>
      <c r="F3439"/>
      <c r="G3439"/>
      <c r="H3439"/>
      <c r="I3439" s="21" t="str">
        <f t="shared" si="107"/>
        <v/>
      </c>
      <c r="L3439" s="24"/>
      <c r="M3439" s="24"/>
    </row>
    <row r="3440" spans="1:13">
      <c r="A3440" s="10" t="str">
        <f t="shared" si="106"/>
        <v/>
      </c>
      <c r="C3440" s="120" t="s">
        <v>126</v>
      </c>
      <c r="D3440"/>
      <c r="E3440"/>
      <c r="F3440"/>
      <c r="G3440"/>
      <c r="H3440"/>
      <c r="I3440" s="21" t="str">
        <f t="shared" si="107"/>
        <v/>
      </c>
      <c r="L3440" s="24"/>
      <c r="M3440" s="24"/>
    </row>
    <row r="3441" spans="1:13">
      <c r="A3441" s="14" t="str">
        <f t="shared" si="106"/>
        <v/>
      </c>
      <c r="C3441" s="120" t="s">
        <v>128</v>
      </c>
      <c r="D3441"/>
      <c r="E3441"/>
      <c r="F3441"/>
      <c r="G3441"/>
      <c r="H3441"/>
      <c r="I3441" s="21" t="str">
        <f t="shared" si="107"/>
        <v/>
      </c>
      <c r="L3441" s="24"/>
      <c r="M3441" s="24"/>
    </row>
    <row r="3442" spans="1:13">
      <c r="A3442" s="10" t="str">
        <f t="shared" si="106"/>
        <v/>
      </c>
      <c r="C3442" s="120" t="s">
        <v>280</v>
      </c>
      <c r="D3442"/>
      <c r="E3442"/>
      <c r="F3442"/>
      <c r="G3442"/>
      <c r="H3442"/>
      <c r="I3442" s="21" t="str">
        <f t="shared" si="107"/>
        <v/>
      </c>
      <c r="L3442" s="24"/>
      <c r="M3442" s="24"/>
    </row>
    <row r="3443" spans="1:13">
      <c r="A3443" s="14" t="str">
        <f t="shared" si="106"/>
        <v/>
      </c>
      <c r="C3443" s="120" t="s">
        <v>282</v>
      </c>
      <c r="D3443"/>
      <c r="E3443"/>
      <c r="F3443"/>
      <c r="G3443"/>
      <c r="H3443"/>
      <c r="I3443" s="21" t="str">
        <f t="shared" si="107"/>
        <v/>
      </c>
      <c r="L3443" s="24"/>
      <c r="M3443" s="24"/>
    </row>
    <row r="3444" spans="1:13">
      <c r="A3444" s="10" t="str">
        <f t="shared" si="106"/>
        <v/>
      </c>
      <c r="C3444" s="120" t="s">
        <v>284</v>
      </c>
      <c r="D3444"/>
      <c r="E3444"/>
      <c r="F3444"/>
      <c r="G3444"/>
      <c r="H3444"/>
      <c r="I3444" s="21" t="str">
        <f t="shared" si="107"/>
        <v/>
      </c>
      <c r="L3444" s="24"/>
      <c r="M3444" s="24"/>
    </row>
    <row r="3445" spans="1:13">
      <c r="A3445" s="14" t="str">
        <f t="shared" si="106"/>
        <v/>
      </c>
      <c r="C3445" s="120" t="s">
        <v>286</v>
      </c>
      <c r="D3445"/>
      <c r="E3445"/>
      <c r="F3445"/>
      <c r="G3445"/>
      <c r="H3445"/>
      <c r="I3445" s="21" t="str">
        <f t="shared" si="107"/>
        <v/>
      </c>
      <c r="L3445" s="24"/>
      <c r="M3445" s="24"/>
    </row>
    <row r="3446" spans="1:13">
      <c r="A3446" s="10" t="str">
        <f t="shared" si="106"/>
        <v/>
      </c>
      <c r="C3446" s="120" t="s">
        <v>126</v>
      </c>
      <c r="D3446"/>
      <c r="E3446"/>
      <c r="F3446"/>
      <c r="G3446"/>
      <c r="H3446"/>
      <c r="I3446" s="21" t="str">
        <f t="shared" si="107"/>
        <v/>
      </c>
      <c r="L3446" s="24"/>
      <c r="M3446" s="24"/>
    </row>
    <row r="3447" spans="1:13">
      <c r="A3447" s="14" t="str">
        <f t="shared" si="106"/>
        <v/>
      </c>
      <c r="C3447" s="120" t="s">
        <v>128</v>
      </c>
      <c r="D3447"/>
      <c r="E3447"/>
      <c r="F3447"/>
      <c r="G3447"/>
      <c r="H3447"/>
      <c r="I3447" s="21" t="str">
        <f t="shared" si="107"/>
        <v/>
      </c>
      <c r="L3447" s="24"/>
      <c r="M3447" s="24"/>
    </row>
    <row r="3448" spans="1:13">
      <c r="A3448" s="10" t="str">
        <f t="shared" si="106"/>
        <v/>
      </c>
      <c r="C3448" s="120" t="s">
        <v>280</v>
      </c>
      <c r="D3448"/>
      <c r="E3448"/>
      <c r="F3448"/>
      <c r="G3448"/>
      <c r="H3448"/>
      <c r="I3448" s="21" t="str">
        <f t="shared" si="107"/>
        <v/>
      </c>
      <c r="L3448" s="24"/>
      <c r="M3448" s="24"/>
    </row>
    <row r="3449" spans="1:13">
      <c r="A3449" s="14" t="str">
        <f t="shared" si="106"/>
        <v/>
      </c>
      <c r="C3449" s="120" t="s">
        <v>282</v>
      </c>
      <c r="D3449"/>
      <c r="E3449"/>
      <c r="F3449"/>
      <c r="G3449"/>
      <c r="H3449"/>
      <c r="I3449" s="21" t="str">
        <f t="shared" si="107"/>
        <v/>
      </c>
      <c r="L3449" s="24"/>
      <c r="M3449" s="24"/>
    </row>
    <row r="3450" spans="1:13">
      <c r="A3450" s="10" t="str">
        <f t="shared" si="106"/>
        <v/>
      </c>
      <c r="C3450" s="120" t="s">
        <v>284</v>
      </c>
      <c r="D3450"/>
      <c r="E3450"/>
      <c r="F3450"/>
      <c r="G3450"/>
      <c r="H3450"/>
      <c r="I3450" s="21" t="str">
        <f t="shared" si="107"/>
        <v/>
      </c>
      <c r="L3450" s="24"/>
      <c r="M3450" s="24"/>
    </row>
    <row r="3451" spans="1:13">
      <c r="A3451" s="14" t="str">
        <f t="shared" si="106"/>
        <v/>
      </c>
      <c r="C3451" s="120" t="s">
        <v>286</v>
      </c>
      <c r="D3451"/>
      <c r="E3451"/>
      <c r="F3451"/>
      <c r="G3451"/>
      <c r="H3451"/>
      <c r="I3451" s="21" t="str">
        <f t="shared" si="107"/>
        <v/>
      </c>
      <c r="L3451" s="24"/>
      <c r="M3451" s="24"/>
    </row>
    <row r="3452" spans="1:13">
      <c r="A3452" s="10" t="str">
        <f t="shared" si="106"/>
        <v/>
      </c>
      <c r="C3452" s="120" t="s">
        <v>126</v>
      </c>
      <c r="D3452"/>
      <c r="E3452"/>
      <c r="F3452"/>
      <c r="G3452"/>
      <c r="H3452"/>
      <c r="I3452" s="21" t="str">
        <f t="shared" si="107"/>
        <v/>
      </c>
      <c r="L3452" s="24"/>
      <c r="M3452" s="24"/>
    </row>
    <row r="3453" spans="1:13">
      <c r="A3453" s="14" t="str">
        <f t="shared" si="106"/>
        <v/>
      </c>
      <c r="C3453" s="120" t="s">
        <v>128</v>
      </c>
      <c r="D3453"/>
      <c r="E3453"/>
      <c r="F3453"/>
      <c r="G3453"/>
      <c r="H3453"/>
      <c r="I3453" s="21" t="str">
        <f t="shared" si="107"/>
        <v/>
      </c>
      <c r="L3453" s="24"/>
      <c r="M3453" s="24"/>
    </row>
    <row r="3454" spans="1:13">
      <c r="A3454" s="10" t="str">
        <f t="shared" si="106"/>
        <v/>
      </c>
      <c r="C3454" s="120" t="s">
        <v>280</v>
      </c>
      <c r="D3454"/>
      <c r="E3454"/>
      <c r="F3454"/>
      <c r="G3454"/>
      <c r="H3454"/>
      <c r="I3454" s="21" t="str">
        <f t="shared" si="107"/>
        <v/>
      </c>
      <c r="L3454" s="24"/>
      <c r="M3454" s="24"/>
    </row>
    <row r="3455" spans="1:13">
      <c r="A3455" s="14" t="str">
        <f t="shared" si="106"/>
        <v/>
      </c>
      <c r="C3455" s="120" t="s">
        <v>282</v>
      </c>
      <c r="D3455"/>
      <c r="E3455"/>
      <c r="F3455"/>
      <c r="G3455"/>
      <c r="H3455"/>
      <c r="I3455" s="21" t="str">
        <f t="shared" si="107"/>
        <v/>
      </c>
      <c r="L3455" s="24"/>
      <c r="M3455" s="24"/>
    </row>
    <row r="3456" spans="1:13">
      <c r="A3456" s="10" t="str">
        <f t="shared" si="106"/>
        <v/>
      </c>
      <c r="C3456" s="120" t="s">
        <v>284</v>
      </c>
      <c r="D3456"/>
      <c r="E3456"/>
      <c r="F3456"/>
      <c r="G3456"/>
      <c r="H3456"/>
      <c r="I3456" s="21" t="str">
        <f t="shared" si="107"/>
        <v/>
      </c>
      <c r="L3456" s="24"/>
      <c r="M3456" s="24"/>
    </row>
    <row r="3457" spans="1:13">
      <c r="A3457" s="14" t="str">
        <f t="shared" si="106"/>
        <v/>
      </c>
      <c r="C3457" s="120" t="s">
        <v>286</v>
      </c>
      <c r="D3457"/>
      <c r="E3457"/>
      <c r="F3457"/>
      <c r="G3457"/>
      <c r="H3457"/>
      <c r="I3457" s="21" t="str">
        <f t="shared" si="107"/>
        <v/>
      </c>
      <c r="L3457" s="24"/>
      <c r="M3457" s="24"/>
    </row>
    <row r="3458" spans="1:13">
      <c r="A3458" s="10" t="str">
        <f t="shared" ref="A3458:A3521" si="108">IF(B3458&lt;&gt;"",ROW()-1,"")</f>
        <v/>
      </c>
      <c r="C3458" s="120" t="s">
        <v>126</v>
      </c>
      <c r="D3458"/>
      <c r="E3458"/>
      <c r="F3458"/>
      <c r="G3458"/>
      <c r="H3458"/>
      <c r="I3458" s="21" t="str">
        <f t="shared" ref="I3458:I3521" si="109">IF(AND(G3458&lt;&gt;"",H3458&lt;&gt;""),H3458-G3458,"")</f>
        <v/>
      </c>
      <c r="L3458" s="24"/>
      <c r="M3458" s="24"/>
    </row>
    <row r="3459" spans="1:13">
      <c r="A3459" s="14" t="str">
        <f t="shared" si="108"/>
        <v/>
      </c>
      <c r="C3459" s="120" t="s">
        <v>128</v>
      </c>
      <c r="D3459"/>
      <c r="E3459"/>
      <c r="F3459"/>
      <c r="G3459"/>
      <c r="H3459"/>
      <c r="I3459" s="21" t="str">
        <f t="shared" si="109"/>
        <v/>
      </c>
      <c r="L3459" s="24"/>
      <c r="M3459" s="24"/>
    </row>
    <row r="3460" spans="1:13">
      <c r="A3460" s="10" t="str">
        <f t="shared" si="108"/>
        <v/>
      </c>
      <c r="C3460" s="120" t="s">
        <v>280</v>
      </c>
      <c r="D3460"/>
      <c r="E3460"/>
      <c r="F3460"/>
      <c r="G3460"/>
      <c r="H3460"/>
      <c r="I3460" s="21" t="str">
        <f t="shared" si="109"/>
        <v/>
      </c>
      <c r="L3460" s="24"/>
      <c r="M3460" s="24"/>
    </row>
    <row r="3461" spans="1:13">
      <c r="A3461" s="14" t="str">
        <f t="shared" si="108"/>
        <v/>
      </c>
      <c r="C3461" s="120" t="s">
        <v>282</v>
      </c>
      <c r="D3461"/>
      <c r="E3461"/>
      <c r="F3461"/>
      <c r="G3461"/>
      <c r="H3461"/>
      <c r="I3461" s="21" t="str">
        <f t="shared" si="109"/>
        <v/>
      </c>
      <c r="L3461" s="24"/>
      <c r="M3461" s="24"/>
    </row>
    <row r="3462" spans="1:13">
      <c r="A3462" s="10" t="str">
        <f t="shared" si="108"/>
        <v/>
      </c>
      <c r="C3462" s="120" t="s">
        <v>284</v>
      </c>
      <c r="D3462"/>
      <c r="E3462"/>
      <c r="F3462"/>
      <c r="G3462"/>
      <c r="H3462"/>
      <c r="I3462" s="21" t="str">
        <f t="shared" si="109"/>
        <v/>
      </c>
      <c r="L3462" s="24"/>
      <c r="M3462" s="24"/>
    </row>
    <row r="3463" spans="1:13">
      <c r="A3463" s="14" t="str">
        <f t="shared" si="108"/>
        <v/>
      </c>
      <c r="C3463" s="120" t="s">
        <v>286</v>
      </c>
      <c r="D3463"/>
      <c r="E3463"/>
      <c r="F3463"/>
      <c r="G3463"/>
      <c r="H3463"/>
      <c r="I3463" s="21" t="str">
        <f t="shared" si="109"/>
        <v/>
      </c>
      <c r="L3463" s="24"/>
      <c r="M3463" s="24"/>
    </row>
    <row r="3464" spans="1:13">
      <c r="A3464" s="10" t="str">
        <f t="shared" si="108"/>
        <v/>
      </c>
      <c r="C3464" s="120" t="s">
        <v>126</v>
      </c>
      <c r="D3464"/>
      <c r="E3464"/>
      <c r="F3464"/>
      <c r="G3464"/>
      <c r="H3464"/>
      <c r="I3464" s="21" t="str">
        <f t="shared" si="109"/>
        <v/>
      </c>
      <c r="L3464" s="24"/>
      <c r="M3464" s="24"/>
    </row>
    <row r="3465" spans="1:13">
      <c r="A3465" s="14" t="str">
        <f t="shared" si="108"/>
        <v/>
      </c>
      <c r="C3465" s="120" t="s">
        <v>128</v>
      </c>
      <c r="D3465"/>
      <c r="E3465"/>
      <c r="F3465"/>
      <c r="G3465"/>
      <c r="H3465"/>
      <c r="I3465" s="21" t="str">
        <f t="shared" si="109"/>
        <v/>
      </c>
      <c r="L3465" s="24"/>
      <c r="M3465" s="24"/>
    </row>
    <row r="3466" spans="1:13">
      <c r="A3466" s="10" t="str">
        <f t="shared" si="108"/>
        <v/>
      </c>
      <c r="C3466" s="120" t="s">
        <v>280</v>
      </c>
      <c r="D3466"/>
      <c r="E3466"/>
      <c r="F3466"/>
      <c r="G3466"/>
      <c r="H3466"/>
      <c r="I3466" s="21" t="str">
        <f t="shared" si="109"/>
        <v/>
      </c>
      <c r="L3466" s="24"/>
      <c r="M3466" s="24"/>
    </row>
    <row r="3467" spans="1:13">
      <c r="A3467" s="14" t="str">
        <f t="shared" si="108"/>
        <v/>
      </c>
      <c r="C3467" s="120" t="s">
        <v>282</v>
      </c>
      <c r="D3467"/>
      <c r="E3467"/>
      <c r="F3467"/>
      <c r="G3467"/>
      <c r="H3467"/>
      <c r="I3467" s="21" t="str">
        <f t="shared" si="109"/>
        <v/>
      </c>
      <c r="L3467" s="24"/>
      <c r="M3467" s="24"/>
    </row>
    <row r="3468" spans="1:13">
      <c r="A3468" s="10" t="str">
        <f t="shared" si="108"/>
        <v/>
      </c>
      <c r="C3468" s="120" t="s">
        <v>284</v>
      </c>
      <c r="D3468"/>
      <c r="E3468"/>
      <c r="F3468"/>
      <c r="G3468"/>
      <c r="H3468"/>
      <c r="I3468" s="21" t="str">
        <f t="shared" si="109"/>
        <v/>
      </c>
      <c r="L3468" s="24"/>
      <c r="M3468" s="24"/>
    </row>
    <row r="3469" spans="1:13">
      <c r="A3469" s="14" t="str">
        <f t="shared" si="108"/>
        <v/>
      </c>
      <c r="C3469" s="120" t="s">
        <v>286</v>
      </c>
      <c r="D3469"/>
      <c r="E3469"/>
      <c r="F3469"/>
      <c r="G3469"/>
      <c r="H3469"/>
      <c r="I3469" s="21" t="str">
        <f t="shared" si="109"/>
        <v/>
      </c>
      <c r="L3469" s="24"/>
      <c r="M3469" s="24"/>
    </row>
    <row r="3470" spans="1:13">
      <c r="A3470" s="10" t="str">
        <f t="shared" si="108"/>
        <v/>
      </c>
      <c r="C3470" s="120" t="s">
        <v>126</v>
      </c>
      <c r="D3470"/>
      <c r="E3470"/>
      <c r="F3470"/>
      <c r="G3470"/>
      <c r="H3470"/>
      <c r="I3470" s="21" t="str">
        <f t="shared" si="109"/>
        <v/>
      </c>
      <c r="L3470" s="24"/>
      <c r="M3470" s="24"/>
    </row>
    <row r="3471" spans="1:13">
      <c r="A3471" s="14" t="str">
        <f t="shared" si="108"/>
        <v/>
      </c>
      <c r="C3471" s="120" t="s">
        <v>128</v>
      </c>
      <c r="D3471"/>
      <c r="E3471"/>
      <c r="F3471"/>
      <c r="G3471"/>
      <c r="H3471"/>
      <c r="I3471" s="21" t="str">
        <f t="shared" si="109"/>
        <v/>
      </c>
      <c r="L3471" s="24"/>
      <c r="M3471" s="24"/>
    </row>
    <row r="3472" spans="1:13">
      <c r="A3472" s="10" t="str">
        <f t="shared" si="108"/>
        <v/>
      </c>
      <c r="C3472" s="120" t="s">
        <v>280</v>
      </c>
      <c r="D3472"/>
      <c r="E3472"/>
      <c r="F3472"/>
      <c r="G3472"/>
      <c r="H3472"/>
      <c r="I3472" s="21" t="str">
        <f t="shared" si="109"/>
        <v/>
      </c>
      <c r="L3472" s="24"/>
      <c r="M3472" s="24"/>
    </row>
    <row r="3473" spans="1:13">
      <c r="A3473" s="14" t="str">
        <f t="shared" si="108"/>
        <v/>
      </c>
      <c r="C3473" s="120" t="s">
        <v>282</v>
      </c>
      <c r="D3473"/>
      <c r="E3473"/>
      <c r="F3473"/>
      <c r="G3473"/>
      <c r="H3473"/>
      <c r="I3473" s="21" t="str">
        <f t="shared" si="109"/>
        <v/>
      </c>
      <c r="L3473" s="24"/>
      <c r="M3473" s="24"/>
    </row>
    <row r="3474" spans="1:13">
      <c r="A3474" s="10" t="str">
        <f t="shared" si="108"/>
        <v/>
      </c>
      <c r="C3474" s="120" t="s">
        <v>284</v>
      </c>
      <c r="D3474"/>
      <c r="E3474"/>
      <c r="F3474"/>
      <c r="G3474"/>
      <c r="H3474"/>
      <c r="I3474" s="21" t="str">
        <f t="shared" si="109"/>
        <v/>
      </c>
      <c r="L3474" s="24"/>
      <c r="M3474" s="24"/>
    </row>
    <row r="3475" spans="1:13">
      <c r="A3475" s="14" t="str">
        <f t="shared" si="108"/>
        <v/>
      </c>
      <c r="C3475" s="120" t="s">
        <v>286</v>
      </c>
      <c r="D3475"/>
      <c r="E3475"/>
      <c r="F3475"/>
      <c r="G3475"/>
      <c r="H3475"/>
      <c r="I3475" s="21" t="str">
        <f t="shared" si="109"/>
        <v/>
      </c>
      <c r="L3475" s="24"/>
      <c r="M3475" s="24"/>
    </row>
    <row r="3476" spans="1:13">
      <c r="A3476" s="10" t="str">
        <f t="shared" si="108"/>
        <v/>
      </c>
      <c r="C3476" s="120" t="s">
        <v>126</v>
      </c>
      <c r="D3476"/>
      <c r="E3476"/>
      <c r="F3476"/>
      <c r="G3476"/>
      <c r="H3476"/>
      <c r="I3476" s="21" t="str">
        <f t="shared" si="109"/>
        <v/>
      </c>
      <c r="L3476" s="24"/>
      <c r="M3476" s="24"/>
    </row>
    <row r="3477" spans="1:13">
      <c r="A3477" s="14" t="str">
        <f t="shared" si="108"/>
        <v/>
      </c>
      <c r="C3477" s="120" t="s">
        <v>128</v>
      </c>
      <c r="D3477"/>
      <c r="E3477"/>
      <c r="F3477"/>
      <c r="G3477"/>
      <c r="H3477"/>
      <c r="I3477" s="21" t="str">
        <f t="shared" si="109"/>
        <v/>
      </c>
      <c r="L3477" s="24"/>
      <c r="M3477" s="24"/>
    </row>
    <row r="3478" spans="1:13">
      <c r="A3478" s="10" t="str">
        <f t="shared" si="108"/>
        <v/>
      </c>
      <c r="C3478" s="120" t="s">
        <v>280</v>
      </c>
      <c r="D3478"/>
      <c r="E3478"/>
      <c r="F3478"/>
      <c r="G3478"/>
      <c r="H3478"/>
      <c r="I3478" s="21" t="str">
        <f t="shared" si="109"/>
        <v/>
      </c>
      <c r="L3478" s="24"/>
      <c r="M3478" s="24"/>
    </row>
    <row r="3479" spans="1:13">
      <c r="A3479" s="14" t="str">
        <f t="shared" si="108"/>
        <v/>
      </c>
      <c r="C3479" s="120" t="s">
        <v>282</v>
      </c>
      <c r="D3479"/>
      <c r="E3479"/>
      <c r="F3479"/>
      <c r="G3479"/>
      <c r="H3479"/>
      <c r="I3479" s="21" t="str">
        <f t="shared" si="109"/>
        <v/>
      </c>
      <c r="L3479" s="24"/>
      <c r="M3479" s="24"/>
    </row>
    <row r="3480" spans="1:13">
      <c r="A3480" s="10" t="str">
        <f t="shared" si="108"/>
        <v/>
      </c>
      <c r="C3480" s="120" t="s">
        <v>284</v>
      </c>
      <c r="D3480"/>
      <c r="E3480"/>
      <c r="F3480"/>
      <c r="G3480"/>
      <c r="H3480"/>
      <c r="I3480" s="21" t="str">
        <f t="shared" si="109"/>
        <v/>
      </c>
      <c r="L3480" s="24"/>
      <c r="M3480" s="24"/>
    </row>
    <row r="3481" spans="1:13">
      <c r="A3481" s="14" t="str">
        <f t="shared" si="108"/>
        <v/>
      </c>
      <c r="C3481" s="120" t="s">
        <v>286</v>
      </c>
      <c r="D3481"/>
      <c r="E3481"/>
      <c r="F3481"/>
      <c r="G3481"/>
      <c r="H3481"/>
      <c r="I3481" s="21" t="str">
        <f t="shared" si="109"/>
        <v/>
      </c>
      <c r="L3481" s="24"/>
      <c r="M3481" s="24"/>
    </row>
    <row r="3482" spans="1:13">
      <c r="A3482" s="10" t="str">
        <f t="shared" si="108"/>
        <v/>
      </c>
      <c r="C3482" s="120" t="s">
        <v>126</v>
      </c>
      <c r="D3482"/>
      <c r="E3482"/>
      <c r="F3482"/>
      <c r="G3482"/>
      <c r="H3482"/>
      <c r="I3482" s="21" t="str">
        <f t="shared" si="109"/>
        <v/>
      </c>
      <c r="L3482" s="24"/>
      <c r="M3482" s="24"/>
    </row>
    <row r="3483" spans="1:13">
      <c r="A3483" s="14" t="str">
        <f t="shared" si="108"/>
        <v/>
      </c>
      <c r="C3483" s="120" t="s">
        <v>128</v>
      </c>
      <c r="D3483"/>
      <c r="E3483"/>
      <c r="F3483"/>
      <c r="G3483"/>
      <c r="H3483"/>
      <c r="I3483" s="21" t="str">
        <f t="shared" si="109"/>
        <v/>
      </c>
      <c r="L3483" s="24"/>
      <c r="M3483" s="24"/>
    </row>
    <row r="3484" spans="1:13">
      <c r="A3484" s="10" t="str">
        <f t="shared" si="108"/>
        <v/>
      </c>
      <c r="C3484" s="120" t="s">
        <v>280</v>
      </c>
      <c r="D3484"/>
      <c r="E3484"/>
      <c r="F3484"/>
      <c r="G3484"/>
      <c r="H3484"/>
      <c r="I3484" s="21" t="str">
        <f t="shared" si="109"/>
        <v/>
      </c>
      <c r="L3484" s="24"/>
      <c r="M3484" s="24"/>
    </row>
    <row r="3485" spans="1:13">
      <c r="A3485" s="14" t="str">
        <f t="shared" si="108"/>
        <v/>
      </c>
      <c r="C3485" s="120" t="s">
        <v>282</v>
      </c>
      <c r="D3485"/>
      <c r="E3485"/>
      <c r="F3485"/>
      <c r="G3485"/>
      <c r="H3485"/>
      <c r="I3485" s="21" t="str">
        <f t="shared" si="109"/>
        <v/>
      </c>
      <c r="L3485" s="24"/>
      <c r="M3485" s="24"/>
    </row>
    <row r="3486" spans="1:13">
      <c r="A3486" s="10" t="str">
        <f t="shared" si="108"/>
        <v/>
      </c>
      <c r="C3486" s="120" t="s">
        <v>284</v>
      </c>
      <c r="D3486"/>
      <c r="E3486"/>
      <c r="F3486"/>
      <c r="G3486"/>
      <c r="H3486"/>
      <c r="I3486" s="21" t="str">
        <f t="shared" si="109"/>
        <v/>
      </c>
      <c r="L3486" s="24"/>
      <c r="M3486" s="24"/>
    </row>
    <row r="3487" spans="1:13">
      <c r="A3487" s="14" t="str">
        <f t="shared" si="108"/>
        <v/>
      </c>
      <c r="C3487" s="120" t="s">
        <v>286</v>
      </c>
      <c r="D3487"/>
      <c r="E3487"/>
      <c r="F3487"/>
      <c r="G3487"/>
      <c r="H3487"/>
      <c r="I3487" s="21" t="str">
        <f t="shared" si="109"/>
        <v/>
      </c>
      <c r="L3487" s="24"/>
      <c r="M3487" s="24"/>
    </row>
    <row r="3488" spans="1:13">
      <c r="A3488" s="10" t="str">
        <f t="shared" si="108"/>
        <v/>
      </c>
      <c r="C3488" s="120" t="s">
        <v>126</v>
      </c>
      <c r="D3488"/>
      <c r="E3488"/>
      <c r="F3488"/>
      <c r="G3488"/>
      <c r="H3488"/>
      <c r="I3488" s="21" t="str">
        <f t="shared" si="109"/>
        <v/>
      </c>
      <c r="L3488" s="24"/>
      <c r="M3488" s="24"/>
    </row>
    <row r="3489" spans="1:13">
      <c r="A3489" s="14" t="str">
        <f t="shared" si="108"/>
        <v/>
      </c>
      <c r="C3489" s="120" t="s">
        <v>128</v>
      </c>
      <c r="D3489"/>
      <c r="E3489"/>
      <c r="F3489"/>
      <c r="G3489"/>
      <c r="H3489"/>
      <c r="I3489" s="21" t="str">
        <f t="shared" si="109"/>
        <v/>
      </c>
      <c r="L3489" s="24"/>
      <c r="M3489" s="24"/>
    </row>
    <row r="3490" spans="1:13">
      <c r="A3490" s="10" t="str">
        <f t="shared" si="108"/>
        <v/>
      </c>
      <c r="C3490" s="120" t="s">
        <v>280</v>
      </c>
      <c r="D3490"/>
      <c r="E3490"/>
      <c r="F3490"/>
      <c r="G3490"/>
      <c r="H3490"/>
      <c r="I3490" s="21" t="str">
        <f t="shared" si="109"/>
        <v/>
      </c>
      <c r="L3490" s="24"/>
      <c r="M3490" s="24"/>
    </row>
    <row r="3491" spans="1:13">
      <c r="A3491" s="14" t="str">
        <f t="shared" si="108"/>
        <v/>
      </c>
      <c r="C3491" s="120" t="s">
        <v>282</v>
      </c>
      <c r="D3491"/>
      <c r="E3491"/>
      <c r="F3491"/>
      <c r="G3491"/>
      <c r="H3491"/>
      <c r="I3491" s="21" t="str">
        <f t="shared" si="109"/>
        <v/>
      </c>
      <c r="L3491" s="24"/>
      <c r="M3491" s="24"/>
    </row>
    <row r="3492" spans="1:13">
      <c r="A3492" s="10" t="str">
        <f t="shared" si="108"/>
        <v/>
      </c>
      <c r="C3492" s="120" t="s">
        <v>284</v>
      </c>
      <c r="D3492"/>
      <c r="E3492"/>
      <c r="F3492"/>
      <c r="G3492"/>
      <c r="H3492"/>
      <c r="I3492" s="21" t="str">
        <f t="shared" si="109"/>
        <v/>
      </c>
      <c r="L3492" s="24"/>
      <c r="M3492" s="24"/>
    </row>
    <row r="3493" spans="1:13">
      <c r="A3493" s="14" t="str">
        <f t="shared" si="108"/>
        <v/>
      </c>
      <c r="C3493" s="120" t="s">
        <v>286</v>
      </c>
      <c r="D3493"/>
      <c r="E3493"/>
      <c r="F3493"/>
      <c r="G3493"/>
      <c r="H3493"/>
      <c r="I3493" s="21" t="str">
        <f t="shared" si="109"/>
        <v/>
      </c>
      <c r="L3493" s="24"/>
      <c r="M3493" s="24"/>
    </row>
    <row r="3494" spans="1:13">
      <c r="A3494" s="10" t="str">
        <f t="shared" si="108"/>
        <v/>
      </c>
      <c r="C3494" s="120" t="s">
        <v>126</v>
      </c>
      <c r="D3494"/>
      <c r="E3494"/>
      <c r="F3494"/>
      <c r="G3494"/>
      <c r="H3494"/>
      <c r="I3494" s="21" t="str">
        <f t="shared" si="109"/>
        <v/>
      </c>
      <c r="L3494" s="24"/>
      <c r="M3494" s="24"/>
    </row>
    <row r="3495" spans="1:13">
      <c r="A3495" s="14" t="str">
        <f t="shared" si="108"/>
        <v/>
      </c>
      <c r="C3495" s="120" t="s">
        <v>128</v>
      </c>
      <c r="D3495"/>
      <c r="E3495"/>
      <c r="F3495"/>
      <c r="G3495"/>
      <c r="H3495"/>
      <c r="I3495" s="21" t="str">
        <f t="shared" si="109"/>
        <v/>
      </c>
      <c r="L3495" s="24"/>
      <c r="M3495" s="24"/>
    </row>
    <row r="3496" spans="1:13">
      <c r="A3496" s="10" t="str">
        <f t="shared" si="108"/>
        <v/>
      </c>
      <c r="C3496" s="120" t="s">
        <v>280</v>
      </c>
      <c r="D3496"/>
      <c r="E3496"/>
      <c r="F3496"/>
      <c r="G3496"/>
      <c r="H3496"/>
      <c r="I3496" s="21" t="str">
        <f t="shared" si="109"/>
        <v/>
      </c>
      <c r="L3496" s="24"/>
      <c r="M3496" s="24"/>
    </row>
    <row r="3497" spans="1:13">
      <c r="A3497" s="14" t="str">
        <f t="shared" si="108"/>
        <v/>
      </c>
      <c r="C3497" s="120" t="s">
        <v>282</v>
      </c>
      <c r="D3497"/>
      <c r="E3497"/>
      <c r="F3497"/>
      <c r="G3497"/>
      <c r="H3497"/>
      <c r="I3497" s="21" t="str">
        <f t="shared" si="109"/>
        <v/>
      </c>
      <c r="L3497" s="24"/>
      <c r="M3497" s="24"/>
    </row>
    <row r="3498" spans="1:13">
      <c r="A3498" s="10" t="str">
        <f t="shared" si="108"/>
        <v/>
      </c>
      <c r="C3498" s="120" t="s">
        <v>284</v>
      </c>
      <c r="D3498"/>
      <c r="E3498"/>
      <c r="F3498"/>
      <c r="G3498"/>
      <c r="H3498"/>
      <c r="I3498" s="21" t="str">
        <f t="shared" si="109"/>
        <v/>
      </c>
      <c r="L3498" s="24"/>
      <c r="M3498" s="24"/>
    </row>
    <row r="3499" spans="1:13">
      <c r="A3499" s="14" t="str">
        <f t="shared" si="108"/>
        <v/>
      </c>
      <c r="C3499" s="120" t="s">
        <v>286</v>
      </c>
      <c r="D3499"/>
      <c r="E3499"/>
      <c r="F3499"/>
      <c r="G3499"/>
      <c r="H3499"/>
      <c r="I3499" s="21" t="str">
        <f t="shared" si="109"/>
        <v/>
      </c>
      <c r="L3499" s="24"/>
      <c r="M3499" s="24"/>
    </row>
    <row r="3500" spans="1:13">
      <c r="A3500" s="10" t="str">
        <f t="shared" si="108"/>
        <v/>
      </c>
      <c r="C3500" s="120" t="s">
        <v>126</v>
      </c>
      <c r="D3500"/>
      <c r="E3500"/>
      <c r="F3500"/>
      <c r="G3500"/>
      <c r="H3500"/>
      <c r="I3500" s="21" t="str">
        <f t="shared" si="109"/>
        <v/>
      </c>
      <c r="L3500" s="24"/>
      <c r="M3500" s="24"/>
    </row>
    <row r="3501" spans="1:13">
      <c r="A3501" s="14" t="str">
        <f t="shared" si="108"/>
        <v/>
      </c>
      <c r="C3501" s="120" t="s">
        <v>128</v>
      </c>
      <c r="D3501"/>
      <c r="E3501"/>
      <c r="F3501"/>
      <c r="G3501"/>
      <c r="H3501"/>
      <c r="I3501" s="21" t="str">
        <f t="shared" si="109"/>
        <v/>
      </c>
      <c r="L3501" s="24"/>
      <c r="M3501" s="24"/>
    </row>
    <row r="3502" spans="1:13">
      <c r="A3502" s="10" t="str">
        <f t="shared" si="108"/>
        <v/>
      </c>
      <c r="C3502" s="120" t="s">
        <v>280</v>
      </c>
      <c r="D3502"/>
      <c r="E3502"/>
      <c r="F3502"/>
      <c r="G3502"/>
      <c r="H3502"/>
      <c r="I3502" s="21" t="str">
        <f t="shared" si="109"/>
        <v/>
      </c>
      <c r="L3502" s="24"/>
      <c r="M3502" s="24"/>
    </row>
    <row r="3503" spans="1:13">
      <c r="A3503" s="14" t="str">
        <f t="shared" si="108"/>
        <v/>
      </c>
      <c r="C3503" s="120" t="s">
        <v>282</v>
      </c>
      <c r="D3503"/>
      <c r="E3503"/>
      <c r="F3503"/>
      <c r="G3503"/>
      <c r="H3503"/>
      <c r="I3503" s="21" t="str">
        <f t="shared" si="109"/>
        <v/>
      </c>
      <c r="L3503" s="24"/>
      <c r="M3503" s="24"/>
    </row>
    <row r="3504" spans="1:13">
      <c r="A3504" s="10" t="str">
        <f t="shared" si="108"/>
        <v/>
      </c>
      <c r="C3504" s="120" t="s">
        <v>284</v>
      </c>
      <c r="D3504"/>
      <c r="E3504"/>
      <c r="F3504"/>
      <c r="G3504"/>
      <c r="H3504"/>
      <c r="I3504" s="21" t="str">
        <f t="shared" si="109"/>
        <v/>
      </c>
      <c r="L3504" s="24"/>
      <c r="M3504" s="24"/>
    </row>
    <row r="3505" spans="1:13">
      <c r="A3505" s="14" t="str">
        <f t="shared" si="108"/>
        <v/>
      </c>
      <c r="C3505" s="120" t="s">
        <v>286</v>
      </c>
      <c r="D3505"/>
      <c r="E3505"/>
      <c r="F3505"/>
      <c r="G3505"/>
      <c r="H3505"/>
      <c r="I3505" s="21" t="str">
        <f t="shared" si="109"/>
        <v/>
      </c>
      <c r="L3505" s="24"/>
      <c r="M3505" s="24"/>
    </row>
    <row r="3506" spans="1:13">
      <c r="A3506" s="10" t="str">
        <f t="shared" si="108"/>
        <v/>
      </c>
      <c r="C3506" s="120" t="s">
        <v>126</v>
      </c>
      <c r="D3506"/>
      <c r="E3506"/>
      <c r="F3506"/>
      <c r="G3506"/>
      <c r="H3506"/>
      <c r="I3506" s="21" t="str">
        <f t="shared" si="109"/>
        <v/>
      </c>
      <c r="L3506" s="24"/>
      <c r="M3506" s="24"/>
    </row>
    <row r="3507" spans="1:13">
      <c r="A3507" s="14" t="str">
        <f t="shared" si="108"/>
        <v/>
      </c>
      <c r="C3507" s="120" t="s">
        <v>128</v>
      </c>
      <c r="D3507"/>
      <c r="E3507"/>
      <c r="F3507"/>
      <c r="G3507"/>
      <c r="H3507"/>
      <c r="I3507" s="21" t="str">
        <f t="shared" si="109"/>
        <v/>
      </c>
      <c r="L3507" s="24"/>
      <c r="M3507" s="24"/>
    </row>
    <row r="3508" spans="1:13">
      <c r="A3508" s="10" t="str">
        <f t="shared" si="108"/>
        <v/>
      </c>
      <c r="C3508" s="120" t="s">
        <v>280</v>
      </c>
      <c r="D3508"/>
      <c r="E3508"/>
      <c r="F3508"/>
      <c r="G3508"/>
      <c r="H3508"/>
      <c r="I3508" s="21" t="str">
        <f t="shared" si="109"/>
        <v/>
      </c>
      <c r="L3508" s="24"/>
      <c r="M3508" s="24"/>
    </row>
    <row r="3509" spans="1:13">
      <c r="A3509" s="14" t="str">
        <f t="shared" si="108"/>
        <v/>
      </c>
      <c r="C3509" s="120" t="s">
        <v>282</v>
      </c>
      <c r="D3509"/>
      <c r="E3509"/>
      <c r="F3509"/>
      <c r="G3509"/>
      <c r="H3509"/>
      <c r="I3509" s="21" t="str">
        <f t="shared" si="109"/>
        <v/>
      </c>
      <c r="L3509" s="24"/>
      <c r="M3509" s="24"/>
    </row>
    <row r="3510" spans="1:13">
      <c r="A3510" s="10" t="str">
        <f t="shared" si="108"/>
        <v/>
      </c>
      <c r="C3510" s="120" t="s">
        <v>284</v>
      </c>
      <c r="D3510"/>
      <c r="E3510"/>
      <c r="F3510"/>
      <c r="G3510"/>
      <c r="H3510"/>
      <c r="I3510" s="21" t="str">
        <f t="shared" si="109"/>
        <v/>
      </c>
      <c r="L3510" s="24"/>
      <c r="M3510" s="24"/>
    </row>
    <row r="3511" spans="1:13">
      <c r="A3511" s="14" t="str">
        <f t="shared" si="108"/>
        <v/>
      </c>
      <c r="C3511" s="120" t="s">
        <v>286</v>
      </c>
      <c r="D3511"/>
      <c r="E3511"/>
      <c r="F3511"/>
      <c r="G3511"/>
      <c r="H3511"/>
      <c r="I3511" s="21" t="str">
        <f t="shared" si="109"/>
        <v/>
      </c>
      <c r="L3511" s="24"/>
      <c r="M3511" s="24"/>
    </row>
    <row r="3512" spans="1:13">
      <c r="A3512" s="10" t="str">
        <f t="shared" si="108"/>
        <v/>
      </c>
      <c r="C3512" s="120" t="s">
        <v>126</v>
      </c>
      <c r="D3512"/>
      <c r="E3512"/>
      <c r="F3512"/>
      <c r="G3512"/>
      <c r="H3512"/>
      <c r="I3512" s="21" t="str">
        <f t="shared" si="109"/>
        <v/>
      </c>
      <c r="L3512" s="24"/>
      <c r="M3512" s="24"/>
    </row>
    <row r="3513" spans="1:13">
      <c r="A3513" s="14" t="str">
        <f t="shared" si="108"/>
        <v/>
      </c>
      <c r="C3513" s="120" t="s">
        <v>128</v>
      </c>
      <c r="D3513"/>
      <c r="E3513"/>
      <c r="F3513"/>
      <c r="G3513"/>
      <c r="H3513"/>
      <c r="I3513" s="21" t="str">
        <f t="shared" si="109"/>
        <v/>
      </c>
      <c r="L3513" s="24"/>
      <c r="M3513" s="24"/>
    </row>
    <row r="3514" spans="1:13">
      <c r="A3514" s="10" t="str">
        <f t="shared" si="108"/>
        <v/>
      </c>
      <c r="C3514" s="120" t="s">
        <v>280</v>
      </c>
      <c r="D3514"/>
      <c r="E3514"/>
      <c r="F3514"/>
      <c r="G3514"/>
      <c r="H3514"/>
      <c r="I3514" s="21" t="str">
        <f t="shared" si="109"/>
        <v/>
      </c>
      <c r="L3514" s="24"/>
      <c r="M3514" s="24"/>
    </row>
    <row r="3515" spans="1:13">
      <c r="A3515" s="14" t="str">
        <f t="shared" si="108"/>
        <v/>
      </c>
      <c r="C3515" s="120" t="s">
        <v>282</v>
      </c>
      <c r="D3515"/>
      <c r="E3515"/>
      <c r="F3515"/>
      <c r="G3515"/>
      <c r="H3515"/>
      <c r="I3515" s="21" t="str">
        <f t="shared" si="109"/>
        <v/>
      </c>
      <c r="L3515" s="24"/>
      <c r="M3515" s="24"/>
    </row>
    <row r="3516" spans="1:13">
      <c r="A3516" s="10" t="str">
        <f t="shared" si="108"/>
        <v/>
      </c>
      <c r="C3516" s="120" t="s">
        <v>284</v>
      </c>
      <c r="D3516"/>
      <c r="E3516"/>
      <c r="F3516"/>
      <c r="G3516"/>
      <c r="H3516"/>
      <c r="I3516" s="21" t="str">
        <f t="shared" si="109"/>
        <v/>
      </c>
      <c r="L3516" s="24"/>
      <c r="M3516" s="24"/>
    </row>
    <row r="3517" spans="1:13">
      <c r="A3517" s="14" t="str">
        <f t="shared" si="108"/>
        <v/>
      </c>
      <c r="C3517" s="120" t="s">
        <v>286</v>
      </c>
      <c r="D3517"/>
      <c r="E3517"/>
      <c r="F3517"/>
      <c r="G3517"/>
      <c r="H3517"/>
      <c r="I3517" s="21" t="str">
        <f t="shared" si="109"/>
        <v/>
      </c>
      <c r="L3517" s="24"/>
      <c r="M3517" s="24"/>
    </row>
    <row r="3518" spans="1:13">
      <c r="A3518" s="10" t="str">
        <f t="shared" si="108"/>
        <v/>
      </c>
      <c r="C3518" s="120" t="s">
        <v>126</v>
      </c>
      <c r="D3518"/>
      <c r="E3518"/>
      <c r="F3518"/>
      <c r="G3518"/>
      <c r="H3518"/>
      <c r="I3518" s="21" t="str">
        <f t="shared" si="109"/>
        <v/>
      </c>
      <c r="L3518" s="24"/>
      <c r="M3518" s="24"/>
    </row>
    <row r="3519" spans="1:13">
      <c r="A3519" s="14" t="str">
        <f t="shared" si="108"/>
        <v/>
      </c>
      <c r="C3519" s="120" t="s">
        <v>128</v>
      </c>
      <c r="D3519"/>
      <c r="E3519"/>
      <c r="F3519"/>
      <c r="G3519"/>
      <c r="H3519"/>
      <c r="I3519" s="21" t="str">
        <f t="shared" si="109"/>
        <v/>
      </c>
      <c r="L3519" s="24"/>
      <c r="M3519" s="24"/>
    </row>
    <row r="3520" spans="1:13">
      <c r="A3520" s="10" t="str">
        <f t="shared" si="108"/>
        <v/>
      </c>
      <c r="C3520" s="120" t="s">
        <v>280</v>
      </c>
      <c r="D3520"/>
      <c r="E3520"/>
      <c r="F3520"/>
      <c r="G3520"/>
      <c r="H3520"/>
      <c r="I3520" s="21" t="str">
        <f t="shared" si="109"/>
        <v/>
      </c>
      <c r="L3520" s="24"/>
      <c r="M3520" s="24"/>
    </row>
    <row r="3521" spans="1:13">
      <c r="A3521" s="14" t="str">
        <f t="shared" si="108"/>
        <v/>
      </c>
      <c r="C3521" s="120" t="s">
        <v>282</v>
      </c>
      <c r="D3521"/>
      <c r="E3521"/>
      <c r="F3521"/>
      <c r="G3521"/>
      <c r="H3521"/>
      <c r="I3521" s="21" t="str">
        <f t="shared" si="109"/>
        <v/>
      </c>
      <c r="L3521" s="24"/>
      <c r="M3521" s="24"/>
    </row>
    <row r="3522" spans="1:13">
      <c r="A3522" s="10" t="str">
        <f t="shared" ref="A3522:A3585" si="110">IF(B3522&lt;&gt;"",ROW()-1,"")</f>
        <v/>
      </c>
      <c r="C3522" s="120" t="s">
        <v>284</v>
      </c>
      <c r="D3522"/>
      <c r="E3522"/>
      <c r="F3522"/>
      <c r="G3522"/>
      <c r="H3522"/>
      <c r="I3522" s="21" t="str">
        <f t="shared" ref="I3522:I3585" si="111">IF(AND(G3522&lt;&gt;"",H3522&lt;&gt;""),H3522-G3522,"")</f>
        <v/>
      </c>
      <c r="L3522" s="24"/>
      <c r="M3522" s="24"/>
    </row>
    <row r="3523" spans="1:13">
      <c r="A3523" s="14" t="str">
        <f t="shared" si="110"/>
        <v/>
      </c>
      <c r="C3523" s="120" t="s">
        <v>286</v>
      </c>
      <c r="D3523"/>
      <c r="E3523"/>
      <c r="F3523"/>
      <c r="G3523"/>
      <c r="H3523"/>
      <c r="I3523" s="21" t="str">
        <f t="shared" si="111"/>
        <v/>
      </c>
      <c r="L3523" s="24"/>
      <c r="M3523" s="24"/>
    </row>
    <row r="3524" spans="1:13">
      <c r="A3524" s="10" t="str">
        <f t="shared" si="110"/>
        <v/>
      </c>
      <c r="C3524" s="120" t="s">
        <v>126</v>
      </c>
      <c r="D3524"/>
      <c r="E3524"/>
      <c r="F3524"/>
      <c r="G3524"/>
      <c r="H3524"/>
      <c r="I3524" s="21" t="str">
        <f t="shared" si="111"/>
        <v/>
      </c>
      <c r="L3524" s="24"/>
      <c r="M3524" s="24"/>
    </row>
    <row r="3525" spans="1:13">
      <c r="A3525" s="14" t="str">
        <f t="shared" si="110"/>
        <v/>
      </c>
      <c r="C3525" s="120" t="s">
        <v>128</v>
      </c>
      <c r="D3525"/>
      <c r="E3525"/>
      <c r="F3525"/>
      <c r="G3525"/>
      <c r="H3525"/>
      <c r="I3525" s="21" t="str">
        <f t="shared" si="111"/>
        <v/>
      </c>
      <c r="L3525" s="24"/>
      <c r="M3525" s="24"/>
    </row>
    <row r="3526" spans="1:13">
      <c r="A3526" s="10" t="str">
        <f t="shared" si="110"/>
        <v/>
      </c>
      <c r="C3526" s="120" t="s">
        <v>280</v>
      </c>
      <c r="D3526"/>
      <c r="E3526"/>
      <c r="F3526"/>
      <c r="G3526"/>
      <c r="H3526"/>
      <c r="I3526" s="21" t="str">
        <f t="shared" si="111"/>
        <v/>
      </c>
      <c r="L3526" s="24"/>
      <c r="M3526" s="24"/>
    </row>
    <row r="3527" spans="1:13">
      <c r="A3527" s="14" t="str">
        <f t="shared" si="110"/>
        <v/>
      </c>
      <c r="C3527" s="120" t="s">
        <v>282</v>
      </c>
      <c r="D3527"/>
      <c r="E3527"/>
      <c r="F3527"/>
      <c r="G3527"/>
      <c r="H3527"/>
      <c r="I3527" s="21" t="str">
        <f t="shared" si="111"/>
        <v/>
      </c>
      <c r="L3527" s="24"/>
      <c r="M3527" s="24"/>
    </row>
    <row r="3528" spans="1:13">
      <c r="A3528" s="10" t="str">
        <f t="shared" si="110"/>
        <v/>
      </c>
      <c r="C3528" s="120" t="s">
        <v>284</v>
      </c>
      <c r="D3528"/>
      <c r="E3528"/>
      <c r="F3528"/>
      <c r="G3528"/>
      <c r="H3528"/>
      <c r="I3528" s="21" t="str">
        <f t="shared" si="111"/>
        <v/>
      </c>
      <c r="L3528" s="24"/>
      <c r="M3528" s="24"/>
    </row>
    <row r="3529" spans="1:13">
      <c r="A3529" s="14" t="str">
        <f t="shared" si="110"/>
        <v/>
      </c>
      <c r="C3529" s="120" t="s">
        <v>286</v>
      </c>
      <c r="D3529"/>
      <c r="E3529"/>
      <c r="F3529"/>
      <c r="G3529"/>
      <c r="H3529"/>
      <c r="I3529" s="21" t="str">
        <f t="shared" si="111"/>
        <v/>
      </c>
      <c r="L3529" s="24"/>
      <c r="M3529" s="24"/>
    </row>
    <row r="3530" spans="1:13">
      <c r="A3530" s="10" t="str">
        <f t="shared" si="110"/>
        <v/>
      </c>
      <c r="C3530" s="120" t="s">
        <v>126</v>
      </c>
      <c r="D3530"/>
      <c r="E3530"/>
      <c r="F3530"/>
      <c r="G3530"/>
      <c r="H3530"/>
      <c r="I3530" s="21" t="str">
        <f t="shared" si="111"/>
        <v/>
      </c>
      <c r="L3530" s="24"/>
      <c r="M3530" s="24"/>
    </row>
    <row r="3531" spans="1:13">
      <c r="A3531" s="14" t="str">
        <f t="shared" si="110"/>
        <v/>
      </c>
      <c r="C3531" s="120" t="s">
        <v>128</v>
      </c>
      <c r="D3531"/>
      <c r="E3531"/>
      <c r="F3531"/>
      <c r="G3531"/>
      <c r="H3531"/>
      <c r="I3531" s="21" t="str">
        <f t="shared" si="111"/>
        <v/>
      </c>
      <c r="L3531" s="24"/>
      <c r="M3531" s="24"/>
    </row>
    <row r="3532" spans="1:13">
      <c r="A3532" s="10" t="str">
        <f t="shared" si="110"/>
        <v/>
      </c>
      <c r="C3532" s="120" t="s">
        <v>280</v>
      </c>
      <c r="D3532"/>
      <c r="E3532"/>
      <c r="F3532"/>
      <c r="G3532"/>
      <c r="H3532"/>
      <c r="I3532" s="21" t="str">
        <f t="shared" si="111"/>
        <v/>
      </c>
      <c r="L3532" s="24"/>
      <c r="M3532" s="24"/>
    </row>
    <row r="3533" spans="1:13">
      <c r="A3533" s="14" t="str">
        <f t="shared" si="110"/>
        <v/>
      </c>
      <c r="C3533" s="120" t="s">
        <v>282</v>
      </c>
      <c r="D3533"/>
      <c r="E3533"/>
      <c r="F3533"/>
      <c r="G3533"/>
      <c r="H3533"/>
      <c r="I3533" s="21" t="str">
        <f t="shared" si="111"/>
        <v/>
      </c>
      <c r="L3533" s="24"/>
      <c r="M3533" s="24"/>
    </row>
    <row r="3534" spans="1:13">
      <c r="A3534" s="10" t="str">
        <f t="shared" si="110"/>
        <v/>
      </c>
      <c r="C3534" s="120" t="s">
        <v>284</v>
      </c>
      <c r="D3534"/>
      <c r="E3534"/>
      <c r="F3534"/>
      <c r="G3534"/>
      <c r="H3534"/>
      <c r="I3534" s="21" t="str">
        <f t="shared" si="111"/>
        <v/>
      </c>
      <c r="L3534" s="24"/>
      <c r="M3534" s="24"/>
    </row>
    <row r="3535" spans="1:13">
      <c r="A3535" s="14" t="str">
        <f t="shared" si="110"/>
        <v/>
      </c>
      <c r="C3535" s="120" t="s">
        <v>286</v>
      </c>
      <c r="D3535"/>
      <c r="E3535"/>
      <c r="F3535"/>
      <c r="G3535"/>
      <c r="H3535"/>
      <c r="I3535" s="21" t="str">
        <f t="shared" si="111"/>
        <v/>
      </c>
      <c r="L3535" s="24"/>
      <c r="M3535" s="24"/>
    </row>
    <row r="3536" spans="1:13">
      <c r="A3536" s="10" t="str">
        <f t="shared" si="110"/>
        <v/>
      </c>
      <c r="C3536" s="120" t="s">
        <v>126</v>
      </c>
      <c r="D3536"/>
      <c r="E3536"/>
      <c r="F3536"/>
      <c r="G3536"/>
      <c r="H3536"/>
      <c r="I3536" s="21" t="str">
        <f t="shared" si="111"/>
        <v/>
      </c>
      <c r="L3536" s="24"/>
      <c r="M3536" s="24"/>
    </row>
    <row r="3537" spans="1:13">
      <c r="A3537" s="14" t="str">
        <f t="shared" si="110"/>
        <v/>
      </c>
      <c r="C3537" s="120" t="s">
        <v>128</v>
      </c>
      <c r="D3537"/>
      <c r="E3537"/>
      <c r="F3537"/>
      <c r="G3537"/>
      <c r="H3537"/>
      <c r="I3537" s="21" t="str">
        <f t="shared" si="111"/>
        <v/>
      </c>
      <c r="L3537" s="24"/>
      <c r="M3537" s="24"/>
    </row>
    <row r="3538" spans="1:13">
      <c r="A3538" s="10" t="str">
        <f t="shared" si="110"/>
        <v/>
      </c>
      <c r="C3538" s="120" t="s">
        <v>280</v>
      </c>
      <c r="D3538"/>
      <c r="E3538"/>
      <c r="F3538"/>
      <c r="G3538"/>
      <c r="H3538"/>
      <c r="I3538" s="21" t="str">
        <f t="shared" si="111"/>
        <v/>
      </c>
      <c r="L3538" s="24"/>
      <c r="M3538" s="24"/>
    </row>
    <row r="3539" spans="1:13">
      <c r="A3539" s="14" t="str">
        <f t="shared" si="110"/>
        <v/>
      </c>
      <c r="C3539" s="120" t="s">
        <v>282</v>
      </c>
      <c r="D3539"/>
      <c r="E3539"/>
      <c r="F3539"/>
      <c r="G3539"/>
      <c r="H3539"/>
      <c r="I3539" s="21" t="str">
        <f t="shared" si="111"/>
        <v/>
      </c>
      <c r="L3539" s="24"/>
      <c r="M3539" s="24"/>
    </row>
    <row r="3540" spans="1:13">
      <c r="A3540" s="10" t="str">
        <f t="shared" si="110"/>
        <v/>
      </c>
      <c r="C3540" s="120" t="s">
        <v>284</v>
      </c>
      <c r="D3540"/>
      <c r="E3540"/>
      <c r="F3540"/>
      <c r="G3540"/>
      <c r="H3540"/>
      <c r="I3540" s="21" t="str">
        <f t="shared" si="111"/>
        <v/>
      </c>
      <c r="L3540" s="24"/>
      <c r="M3540" s="24"/>
    </row>
    <row r="3541" spans="1:13">
      <c r="A3541" s="14" t="str">
        <f t="shared" si="110"/>
        <v/>
      </c>
      <c r="C3541" s="120" t="s">
        <v>286</v>
      </c>
      <c r="D3541"/>
      <c r="E3541"/>
      <c r="F3541"/>
      <c r="G3541"/>
      <c r="H3541"/>
      <c r="I3541" s="21" t="str">
        <f t="shared" si="111"/>
        <v/>
      </c>
      <c r="L3541" s="24"/>
      <c r="M3541" s="24"/>
    </row>
    <row r="3542" spans="1:13">
      <c r="A3542" s="10" t="str">
        <f t="shared" si="110"/>
        <v/>
      </c>
      <c r="C3542" s="120" t="s">
        <v>126</v>
      </c>
      <c r="D3542"/>
      <c r="E3542"/>
      <c r="F3542"/>
      <c r="G3542"/>
      <c r="H3542"/>
      <c r="I3542" s="21" t="str">
        <f t="shared" si="111"/>
        <v/>
      </c>
      <c r="L3542" s="24"/>
      <c r="M3542" s="24"/>
    </row>
    <row r="3543" spans="1:13">
      <c r="A3543" s="14" t="str">
        <f t="shared" si="110"/>
        <v/>
      </c>
      <c r="C3543" s="120" t="s">
        <v>128</v>
      </c>
      <c r="D3543"/>
      <c r="E3543"/>
      <c r="F3543"/>
      <c r="G3543"/>
      <c r="H3543"/>
      <c r="I3543" s="21" t="str">
        <f t="shared" si="111"/>
        <v/>
      </c>
      <c r="L3543" s="24"/>
      <c r="M3543" s="24"/>
    </row>
    <row r="3544" spans="1:13">
      <c r="A3544" s="10" t="str">
        <f t="shared" si="110"/>
        <v/>
      </c>
      <c r="C3544" s="120" t="s">
        <v>280</v>
      </c>
      <c r="D3544"/>
      <c r="E3544"/>
      <c r="F3544"/>
      <c r="G3544"/>
      <c r="H3544"/>
      <c r="I3544" s="21" t="str">
        <f t="shared" si="111"/>
        <v/>
      </c>
      <c r="L3544" s="24"/>
      <c r="M3544" s="24"/>
    </row>
    <row r="3545" spans="1:13">
      <c r="A3545" s="14" t="str">
        <f t="shared" si="110"/>
        <v/>
      </c>
      <c r="C3545" s="120" t="s">
        <v>282</v>
      </c>
      <c r="D3545"/>
      <c r="E3545"/>
      <c r="F3545"/>
      <c r="G3545"/>
      <c r="H3545"/>
      <c r="I3545" s="21" t="str">
        <f t="shared" si="111"/>
        <v/>
      </c>
      <c r="L3545" s="24"/>
      <c r="M3545" s="24"/>
    </row>
    <row r="3546" spans="1:13">
      <c r="A3546" s="10" t="str">
        <f t="shared" si="110"/>
        <v/>
      </c>
      <c r="C3546" s="120" t="s">
        <v>284</v>
      </c>
      <c r="D3546"/>
      <c r="E3546"/>
      <c r="F3546"/>
      <c r="G3546"/>
      <c r="H3546"/>
      <c r="I3546" s="21" t="str">
        <f t="shared" si="111"/>
        <v/>
      </c>
      <c r="L3546" s="24"/>
      <c r="M3546" s="24"/>
    </row>
    <row r="3547" spans="1:13">
      <c r="A3547" s="14" t="str">
        <f t="shared" si="110"/>
        <v/>
      </c>
      <c r="C3547" s="120" t="s">
        <v>286</v>
      </c>
      <c r="D3547"/>
      <c r="E3547"/>
      <c r="F3547"/>
      <c r="G3547"/>
      <c r="H3547"/>
      <c r="I3547" s="21" t="str">
        <f t="shared" si="111"/>
        <v/>
      </c>
      <c r="L3547" s="24"/>
      <c r="M3547" s="24"/>
    </row>
    <row r="3548" spans="1:13">
      <c r="A3548" s="10" t="str">
        <f t="shared" si="110"/>
        <v/>
      </c>
      <c r="C3548" s="120" t="s">
        <v>126</v>
      </c>
      <c r="D3548"/>
      <c r="E3548"/>
      <c r="F3548"/>
      <c r="G3548"/>
      <c r="H3548"/>
      <c r="I3548" s="21" t="str">
        <f t="shared" si="111"/>
        <v/>
      </c>
      <c r="L3548" s="24"/>
      <c r="M3548" s="24"/>
    </row>
    <row r="3549" spans="1:13">
      <c r="A3549" s="14" t="str">
        <f t="shared" si="110"/>
        <v/>
      </c>
      <c r="C3549" s="120" t="s">
        <v>128</v>
      </c>
      <c r="D3549"/>
      <c r="E3549"/>
      <c r="F3549"/>
      <c r="G3549"/>
      <c r="H3549"/>
      <c r="I3549" s="21" t="str">
        <f t="shared" si="111"/>
        <v/>
      </c>
      <c r="L3549" s="24"/>
      <c r="M3549" s="24"/>
    </row>
    <row r="3550" spans="1:13">
      <c r="A3550" s="10" t="str">
        <f t="shared" si="110"/>
        <v/>
      </c>
      <c r="C3550" s="120" t="s">
        <v>280</v>
      </c>
      <c r="D3550"/>
      <c r="E3550"/>
      <c r="F3550"/>
      <c r="G3550"/>
      <c r="H3550"/>
      <c r="I3550" s="21" t="str">
        <f t="shared" si="111"/>
        <v/>
      </c>
      <c r="L3550" s="24"/>
      <c r="M3550" s="24"/>
    </row>
    <row r="3551" spans="1:13">
      <c r="A3551" s="14" t="str">
        <f t="shared" si="110"/>
        <v/>
      </c>
      <c r="C3551" s="120" t="s">
        <v>282</v>
      </c>
      <c r="D3551"/>
      <c r="E3551"/>
      <c r="F3551"/>
      <c r="G3551"/>
      <c r="H3551"/>
      <c r="I3551" s="21" t="str">
        <f t="shared" si="111"/>
        <v/>
      </c>
      <c r="L3551" s="24"/>
      <c r="M3551" s="24"/>
    </row>
    <row r="3552" spans="1:13">
      <c r="A3552" s="10" t="str">
        <f t="shared" si="110"/>
        <v/>
      </c>
      <c r="C3552" s="120" t="s">
        <v>284</v>
      </c>
      <c r="D3552"/>
      <c r="E3552"/>
      <c r="F3552"/>
      <c r="G3552"/>
      <c r="H3552"/>
      <c r="I3552" s="21" t="str">
        <f t="shared" si="111"/>
        <v/>
      </c>
      <c r="L3552" s="24"/>
      <c r="M3552" s="24"/>
    </row>
    <row r="3553" spans="1:13">
      <c r="A3553" s="14" t="str">
        <f t="shared" si="110"/>
        <v/>
      </c>
      <c r="C3553" s="120" t="s">
        <v>286</v>
      </c>
      <c r="D3553"/>
      <c r="E3553"/>
      <c r="F3553"/>
      <c r="G3553"/>
      <c r="H3553"/>
      <c r="I3553" s="21" t="str">
        <f t="shared" si="111"/>
        <v/>
      </c>
      <c r="L3553" s="24"/>
      <c r="M3553" s="24"/>
    </row>
    <row r="3554" spans="1:13">
      <c r="A3554" s="10" t="str">
        <f t="shared" si="110"/>
        <v/>
      </c>
      <c r="C3554" s="120" t="s">
        <v>126</v>
      </c>
      <c r="D3554"/>
      <c r="E3554"/>
      <c r="F3554"/>
      <c r="G3554"/>
      <c r="H3554"/>
      <c r="I3554" s="21" t="str">
        <f t="shared" si="111"/>
        <v/>
      </c>
      <c r="L3554" s="24"/>
      <c r="M3554" s="24"/>
    </row>
    <row r="3555" spans="1:13">
      <c r="A3555" s="14" t="str">
        <f t="shared" si="110"/>
        <v/>
      </c>
      <c r="C3555" s="120" t="s">
        <v>128</v>
      </c>
      <c r="D3555"/>
      <c r="E3555"/>
      <c r="F3555"/>
      <c r="G3555"/>
      <c r="H3555"/>
      <c r="I3555" s="21" t="str">
        <f t="shared" si="111"/>
        <v/>
      </c>
      <c r="L3555" s="24"/>
      <c r="M3555" s="24"/>
    </row>
    <row r="3556" spans="1:13">
      <c r="A3556" s="10" t="str">
        <f t="shared" si="110"/>
        <v/>
      </c>
      <c r="C3556" s="120" t="s">
        <v>280</v>
      </c>
      <c r="D3556"/>
      <c r="E3556"/>
      <c r="F3556"/>
      <c r="G3556"/>
      <c r="H3556"/>
      <c r="I3556" s="21" t="str">
        <f t="shared" si="111"/>
        <v/>
      </c>
      <c r="L3556" s="24"/>
      <c r="M3556" s="24"/>
    </row>
    <row r="3557" spans="1:13">
      <c r="A3557" s="14" t="str">
        <f t="shared" si="110"/>
        <v/>
      </c>
      <c r="C3557" s="120" t="s">
        <v>282</v>
      </c>
      <c r="D3557"/>
      <c r="E3557"/>
      <c r="F3557"/>
      <c r="G3557"/>
      <c r="H3557"/>
      <c r="I3557" s="21" t="str">
        <f t="shared" si="111"/>
        <v/>
      </c>
      <c r="L3557" s="24"/>
      <c r="M3557" s="24"/>
    </row>
    <row r="3558" spans="1:13">
      <c r="A3558" s="10" t="str">
        <f t="shared" si="110"/>
        <v/>
      </c>
      <c r="C3558" s="120" t="s">
        <v>284</v>
      </c>
      <c r="D3558"/>
      <c r="E3558"/>
      <c r="F3558"/>
      <c r="G3558"/>
      <c r="H3558"/>
      <c r="I3558" s="21" t="str">
        <f t="shared" si="111"/>
        <v/>
      </c>
      <c r="L3558" s="24"/>
      <c r="M3558" s="24"/>
    </row>
    <row r="3559" spans="1:13">
      <c r="A3559" s="14" t="str">
        <f t="shared" si="110"/>
        <v/>
      </c>
      <c r="C3559" s="120" t="s">
        <v>286</v>
      </c>
      <c r="D3559"/>
      <c r="E3559"/>
      <c r="F3559"/>
      <c r="G3559"/>
      <c r="H3559"/>
      <c r="I3559" s="21" t="str">
        <f t="shared" si="111"/>
        <v/>
      </c>
      <c r="L3559" s="24"/>
      <c r="M3559" s="24"/>
    </row>
    <row r="3560" spans="1:13">
      <c r="A3560" s="10" t="str">
        <f t="shared" si="110"/>
        <v/>
      </c>
      <c r="C3560" s="120" t="s">
        <v>126</v>
      </c>
      <c r="D3560"/>
      <c r="E3560"/>
      <c r="F3560"/>
      <c r="G3560"/>
      <c r="H3560"/>
      <c r="I3560" s="21" t="str">
        <f t="shared" si="111"/>
        <v/>
      </c>
      <c r="L3560" s="24"/>
      <c r="M3560" s="24"/>
    </row>
    <row r="3561" spans="1:13">
      <c r="A3561" s="14" t="str">
        <f t="shared" si="110"/>
        <v/>
      </c>
      <c r="C3561" s="120" t="s">
        <v>128</v>
      </c>
      <c r="D3561"/>
      <c r="E3561"/>
      <c r="F3561"/>
      <c r="G3561"/>
      <c r="H3561"/>
      <c r="I3561" s="21" t="str">
        <f t="shared" si="111"/>
        <v/>
      </c>
      <c r="L3561" s="24"/>
      <c r="M3561" s="24"/>
    </row>
    <row r="3562" spans="1:13">
      <c r="A3562" s="10" t="str">
        <f t="shared" si="110"/>
        <v/>
      </c>
      <c r="C3562" s="120" t="s">
        <v>280</v>
      </c>
      <c r="D3562"/>
      <c r="E3562"/>
      <c r="F3562"/>
      <c r="G3562"/>
      <c r="H3562"/>
      <c r="I3562" s="21" t="str">
        <f t="shared" si="111"/>
        <v/>
      </c>
      <c r="L3562" s="24"/>
      <c r="M3562" s="24"/>
    </row>
    <row r="3563" spans="1:13">
      <c r="A3563" s="14" t="str">
        <f t="shared" si="110"/>
        <v/>
      </c>
      <c r="C3563" s="120" t="s">
        <v>282</v>
      </c>
      <c r="D3563"/>
      <c r="E3563"/>
      <c r="F3563"/>
      <c r="G3563"/>
      <c r="H3563"/>
      <c r="I3563" s="21" t="str">
        <f t="shared" si="111"/>
        <v/>
      </c>
      <c r="L3563" s="24"/>
      <c r="M3563" s="24"/>
    </row>
    <row r="3564" spans="1:13">
      <c r="A3564" s="10" t="str">
        <f t="shared" si="110"/>
        <v/>
      </c>
      <c r="C3564" s="120" t="s">
        <v>284</v>
      </c>
      <c r="D3564"/>
      <c r="E3564"/>
      <c r="F3564"/>
      <c r="G3564"/>
      <c r="H3564"/>
      <c r="I3564" s="21" t="str">
        <f t="shared" si="111"/>
        <v/>
      </c>
      <c r="L3564" s="24"/>
      <c r="M3564" s="24"/>
    </row>
    <row r="3565" spans="1:13">
      <c r="A3565" s="14" t="str">
        <f t="shared" si="110"/>
        <v/>
      </c>
      <c r="C3565" s="120" t="s">
        <v>286</v>
      </c>
      <c r="D3565"/>
      <c r="E3565"/>
      <c r="F3565"/>
      <c r="G3565"/>
      <c r="H3565"/>
      <c r="I3565" s="21" t="str">
        <f t="shared" si="111"/>
        <v/>
      </c>
      <c r="L3565" s="24"/>
      <c r="M3565" s="24"/>
    </row>
    <row r="3566" spans="1:13">
      <c r="A3566" s="10" t="str">
        <f t="shared" si="110"/>
        <v/>
      </c>
      <c r="C3566" s="120" t="s">
        <v>126</v>
      </c>
      <c r="D3566"/>
      <c r="E3566"/>
      <c r="F3566"/>
      <c r="G3566"/>
      <c r="H3566"/>
      <c r="I3566" s="21" t="str">
        <f t="shared" si="111"/>
        <v/>
      </c>
      <c r="L3566" s="24"/>
      <c r="M3566" s="24"/>
    </row>
    <row r="3567" spans="1:13">
      <c r="A3567" s="14" t="str">
        <f t="shared" si="110"/>
        <v/>
      </c>
      <c r="C3567" s="120" t="s">
        <v>128</v>
      </c>
      <c r="D3567"/>
      <c r="E3567"/>
      <c r="F3567"/>
      <c r="G3567"/>
      <c r="H3567"/>
      <c r="I3567" s="21" t="str">
        <f t="shared" si="111"/>
        <v/>
      </c>
      <c r="L3567" s="24"/>
      <c r="M3567" s="24"/>
    </row>
    <row r="3568" spans="1:13">
      <c r="A3568" s="10" t="str">
        <f t="shared" si="110"/>
        <v/>
      </c>
      <c r="C3568" s="120" t="s">
        <v>280</v>
      </c>
      <c r="D3568"/>
      <c r="E3568"/>
      <c r="F3568"/>
      <c r="G3568"/>
      <c r="H3568"/>
      <c r="I3568" s="21" t="str">
        <f t="shared" si="111"/>
        <v/>
      </c>
      <c r="L3568" s="24"/>
      <c r="M3568" s="24"/>
    </row>
    <row r="3569" spans="1:13">
      <c r="A3569" s="14" t="str">
        <f t="shared" si="110"/>
        <v/>
      </c>
      <c r="C3569" s="120" t="s">
        <v>282</v>
      </c>
      <c r="D3569"/>
      <c r="E3569"/>
      <c r="F3569"/>
      <c r="G3569"/>
      <c r="H3569"/>
      <c r="I3569" s="21" t="str">
        <f t="shared" si="111"/>
        <v/>
      </c>
      <c r="L3569" s="24"/>
      <c r="M3569" s="24"/>
    </row>
    <row r="3570" spans="1:13">
      <c r="A3570" s="10" t="str">
        <f t="shared" si="110"/>
        <v/>
      </c>
      <c r="C3570" s="120" t="s">
        <v>284</v>
      </c>
      <c r="D3570"/>
      <c r="E3570"/>
      <c r="F3570"/>
      <c r="G3570"/>
      <c r="H3570"/>
      <c r="I3570" s="21" t="str">
        <f t="shared" si="111"/>
        <v/>
      </c>
      <c r="L3570" s="24"/>
      <c r="M3570" s="24"/>
    </row>
    <row r="3571" spans="1:13">
      <c r="A3571" s="14" t="str">
        <f t="shared" si="110"/>
        <v/>
      </c>
      <c r="C3571" s="120" t="s">
        <v>286</v>
      </c>
      <c r="D3571"/>
      <c r="E3571"/>
      <c r="F3571"/>
      <c r="G3571"/>
      <c r="H3571"/>
      <c r="I3571" s="21" t="str">
        <f t="shared" si="111"/>
        <v/>
      </c>
      <c r="L3571" s="24"/>
      <c r="M3571" s="24"/>
    </row>
    <row r="3572" spans="1:13">
      <c r="A3572" s="10" t="str">
        <f t="shared" si="110"/>
        <v/>
      </c>
      <c r="C3572" s="120" t="s">
        <v>126</v>
      </c>
      <c r="D3572"/>
      <c r="E3572"/>
      <c r="F3572"/>
      <c r="G3572"/>
      <c r="H3572"/>
      <c r="I3572" s="21" t="str">
        <f t="shared" si="111"/>
        <v/>
      </c>
      <c r="L3572" s="24"/>
      <c r="M3572" s="24"/>
    </row>
    <row r="3573" spans="1:13">
      <c r="A3573" s="14" t="str">
        <f t="shared" si="110"/>
        <v/>
      </c>
      <c r="C3573" s="120" t="s">
        <v>128</v>
      </c>
      <c r="D3573"/>
      <c r="E3573"/>
      <c r="F3573"/>
      <c r="G3573"/>
      <c r="H3573"/>
      <c r="I3573" s="21" t="str">
        <f t="shared" si="111"/>
        <v/>
      </c>
      <c r="L3573" s="24"/>
      <c r="M3573" s="24"/>
    </row>
    <row r="3574" spans="1:13">
      <c r="A3574" s="10" t="str">
        <f t="shared" si="110"/>
        <v/>
      </c>
      <c r="C3574" s="120" t="s">
        <v>280</v>
      </c>
      <c r="D3574"/>
      <c r="E3574"/>
      <c r="F3574"/>
      <c r="G3574"/>
      <c r="H3574"/>
      <c r="I3574" s="21" t="str">
        <f t="shared" si="111"/>
        <v/>
      </c>
      <c r="L3574" s="24"/>
      <c r="M3574" s="24"/>
    </row>
    <row r="3575" spans="1:13">
      <c r="A3575" s="14" t="str">
        <f t="shared" si="110"/>
        <v/>
      </c>
      <c r="C3575" s="120" t="s">
        <v>282</v>
      </c>
      <c r="D3575"/>
      <c r="E3575"/>
      <c r="F3575"/>
      <c r="G3575"/>
      <c r="H3575"/>
      <c r="I3575" s="21" t="str">
        <f t="shared" si="111"/>
        <v/>
      </c>
      <c r="L3575" s="24"/>
      <c r="M3575" s="24"/>
    </row>
    <row r="3576" spans="1:13">
      <c r="A3576" s="10" t="str">
        <f t="shared" si="110"/>
        <v/>
      </c>
      <c r="C3576" s="120" t="s">
        <v>284</v>
      </c>
      <c r="D3576"/>
      <c r="E3576"/>
      <c r="F3576"/>
      <c r="G3576"/>
      <c r="H3576"/>
      <c r="I3576" s="21" t="str">
        <f t="shared" si="111"/>
        <v/>
      </c>
      <c r="L3576" s="24"/>
      <c r="M3576" s="24"/>
    </row>
    <row r="3577" spans="1:13">
      <c r="A3577" s="14" t="str">
        <f t="shared" si="110"/>
        <v/>
      </c>
      <c r="C3577" s="120" t="s">
        <v>286</v>
      </c>
      <c r="D3577"/>
      <c r="E3577"/>
      <c r="F3577"/>
      <c r="G3577"/>
      <c r="H3577"/>
      <c r="I3577" s="21" t="str">
        <f t="shared" si="111"/>
        <v/>
      </c>
      <c r="L3577" s="24"/>
      <c r="M3577" s="24"/>
    </row>
    <row r="3578" spans="1:13">
      <c r="A3578" s="10" t="str">
        <f t="shared" si="110"/>
        <v/>
      </c>
      <c r="C3578" s="120" t="s">
        <v>126</v>
      </c>
      <c r="D3578"/>
      <c r="E3578"/>
      <c r="F3578"/>
      <c r="G3578"/>
      <c r="H3578"/>
      <c r="I3578" s="21" t="str">
        <f t="shared" si="111"/>
        <v/>
      </c>
      <c r="L3578" s="24"/>
      <c r="M3578" s="24"/>
    </row>
    <row r="3579" spans="1:13">
      <c r="A3579" s="14" t="str">
        <f t="shared" si="110"/>
        <v/>
      </c>
      <c r="C3579" s="120" t="s">
        <v>128</v>
      </c>
      <c r="D3579"/>
      <c r="E3579"/>
      <c r="F3579"/>
      <c r="G3579"/>
      <c r="H3579"/>
      <c r="I3579" s="21" t="str">
        <f t="shared" si="111"/>
        <v/>
      </c>
      <c r="L3579" s="24"/>
      <c r="M3579" s="24"/>
    </row>
    <row r="3580" spans="1:13">
      <c r="A3580" s="10" t="str">
        <f t="shared" si="110"/>
        <v/>
      </c>
      <c r="C3580" s="120" t="s">
        <v>280</v>
      </c>
      <c r="D3580"/>
      <c r="E3580"/>
      <c r="F3580"/>
      <c r="G3580"/>
      <c r="H3580"/>
      <c r="I3580" s="21" t="str">
        <f t="shared" si="111"/>
        <v/>
      </c>
      <c r="L3580" s="24"/>
      <c r="M3580" s="24"/>
    </row>
    <row r="3581" spans="1:13">
      <c r="A3581" s="14" t="str">
        <f t="shared" si="110"/>
        <v/>
      </c>
      <c r="C3581" s="120" t="s">
        <v>282</v>
      </c>
      <c r="D3581"/>
      <c r="E3581"/>
      <c r="F3581"/>
      <c r="G3581"/>
      <c r="H3581"/>
      <c r="I3581" s="21" t="str">
        <f t="shared" si="111"/>
        <v/>
      </c>
      <c r="L3581" s="24"/>
      <c r="M3581" s="24"/>
    </row>
    <row r="3582" spans="1:13">
      <c r="A3582" s="10" t="str">
        <f t="shared" si="110"/>
        <v/>
      </c>
      <c r="C3582" s="120" t="s">
        <v>284</v>
      </c>
      <c r="D3582"/>
      <c r="E3582"/>
      <c r="F3582"/>
      <c r="G3582"/>
      <c r="H3582"/>
      <c r="I3582" s="21" t="str">
        <f t="shared" si="111"/>
        <v/>
      </c>
      <c r="L3582" s="24"/>
      <c r="M3582" s="24"/>
    </row>
    <row r="3583" spans="1:13">
      <c r="A3583" s="14" t="str">
        <f t="shared" si="110"/>
        <v/>
      </c>
      <c r="C3583" s="120" t="s">
        <v>286</v>
      </c>
      <c r="D3583"/>
      <c r="E3583"/>
      <c r="F3583"/>
      <c r="G3583"/>
      <c r="H3583"/>
      <c r="I3583" s="21" t="str">
        <f t="shared" si="111"/>
        <v/>
      </c>
      <c r="L3583" s="24"/>
      <c r="M3583" s="24"/>
    </row>
    <row r="3584" spans="1:13">
      <c r="A3584" s="10" t="str">
        <f t="shared" si="110"/>
        <v/>
      </c>
      <c r="C3584" s="120" t="s">
        <v>126</v>
      </c>
      <c r="D3584"/>
      <c r="E3584"/>
      <c r="F3584"/>
      <c r="G3584"/>
      <c r="H3584"/>
      <c r="I3584" s="21" t="str">
        <f t="shared" si="111"/>
        <v/>
      </c>
      <c r="L3584" s="24"/>
      <c r="M3584" s="24"/>
    </row>
    <row r="3585" spans="1:13">
      <c r="A3585" s="14" t="str">
        <f t="shared" si="110"/>
        <v/>
      </c>
      <c r="C3585" s="120" t="s">
        <v>128</v>
      </c>
      <c r="D3585"/>
      <c r="E3585"/>
      <c r="F3585"/>
      <c r="G3585"/>
      <c r="H3585"/>
      <c r="I3585" s="21" t="str">
        <f t="shared" si="111"/>
        <v/>
      </c>
      <c r="L3585" s="24"/>
      <c r="M3585" s="24"/>
    </row>
    <row r="3586" spans="1:13">
      <c r="A3586" s="10" t="str">
        <f t="shared" ref="A3586:A3649" si="112">IF(B3586&lt;&gt;"",ROW()-1,"")</f>
        <v/>
      </c>
      <c r="C3586" s="120" t="s">
        <v>280</v>
      </c>
      <c r="D3586"/>
      <c r="E3586"/>
      <c r="F3586"/>
      <c r="G3586"/>
      <c r="H3586"/>
      <c r="I3586" s="21" t="str">
        <f t="shared" ref="I3586:I3649" si="113">IF(AND(G3586&lt;&gt;"",H3586&lt;&gt;""),H3586-G3586,"")</f>
        <v/>
      </c>
      <c r="L3586" s="24"/>
      <c r="M3586" s="24"/>
    </row>
    <row r="3587" spans="1:13">
      <c r="A3587" s="14" t="str">
        <f t="shared" si="112"/>
        <v/>
      </c>
      <c r="C3587" s="120" t="s">
        <v>282</v>
      </c>
      <c r="D3587"/>
      <c r="E3587"/>
      <c r="F3587"/>
      <c r="G3587"/>
      <c r="H3587"/>
      <c r="I3587" s="21" t="str">
        <f t="shared" si="113"/>
        <v/>
      </c>
      <c r="L3587" s="24"/>
      <c r="M3587" s="24"/>
    </row>
    <row r="3588" spans="1:13">
      <c r="A3588" s="10" t="str">
        <f t="shared" si="112"/>
        <v/>
      </c>
      <c r="C3588" s="120" t="s">
        <v>284</v>
      </c>
      <c r="D3588"/>
      <c r="E3588"/>
      <c r="F3588"/>
      <c r="G3588"/>
      <c r="H3588"/>
      <c r="I3588" s="21" t="str">
        <f t="shared" si="113"/>
        <v/>
      </c>
      <c r="L3588" s="24"/>
      <c r="M3588" s="24"/>
    </row>
    <row r="3589" spans="1:13">
      <c r="A3589" s="14" t="str">
        <f t="shared" si="112"/>
        <v/>
      </c>
      <c r="C3589" s="120" t="s">
        <v>286</v>
      </c>
      <c r="D3589"/>
      <c r="E3589"/>
      <c r="F3589"/>
      <c r="G3589"/>
      <c r="H3589"/>
      <c r="I3589" s="21" t="str">
        <f t="shared" si="113"/>
        <v/>
      </c>
      <c r="L3589" s="24"/>
      <c r="M3589" s="24"/>
    </row>
    <row r="3590" spans="1:13">
      <c r="A3590" s="10" t="str">
        <f t="shared" si="112"/>
        <v/>
      </c>
      <c r="C3590" s="120" t="s">
        <v>126</v>
      </c>
      <c r="D3590"/>
      <c r="E3590"/>
      <c r="F3590"/>
      <c r="G3590"/>
      <c r="H3590"/>
      <c r="I3590" s="21" t="str">
        <f t="shared" si="113"/>
        <v/>
      </c>
      <c r="L3590" s="24"/>
      <c r="M3590" s="24"/>
    </row>
    <row r="3591" spans="1:13">
      <c r="A3591" s="14" t="str">
        <f t="shared" si="112"/>
        <v/>
      </c>
      <c r="C3591" s="120" t="s">
        <v>128</v>
      </c>
      <c r="D3591"/>
      <c r="E3591"/>
      <c r="F3591"/>
      <c r="G3591"/>
      <c r="H3591"/>
      <c r="I3591" s="21" t="str">
        <f t="shared" si="113"/>
        <v/>
      </c>
      <c r="L3591" s="24"/>
      <c r="M3591" s="24"/>
    </row>
    <row r="3592" spans="1:13">
      <c r="A3592" s="10" t="str">
        <f t="shared" si="112"/>
        <v/>
      </c>
      <c r="C3592" s="120" t="s">
        <v>280</v>
      </c>
      <c r="D3592"/>
      <c r="E3592"/>
      <c r="F3592"/>
      <c r="G3592"/>
      <c r="H3592"/>
      <c r="I3592" s="21" t="str">
        <f t="shared" si="113"/>
        <v/>
      </c>
      <c r="L3592" s="24"/>
      <c r="M3592" s="24"/>
    </row>
    <row r="3593" spans="1:13">
      <c r="A3593" s="14" t="str">
        <f t="shared" si="112"/>
        <v/>
      </c>
      <c r="C3593" s="120" t="s">
        <v>282</v>
      </c>
      <c r="D3593"/>
      <c r="E3593"/>
      <c r="F3593"/>
      <c r="G3593"/>
      <c r="H3593"/>
      <c r="I3593" s="21" t="str">
        <f t="shared" si="113"/>
        <v/>
      </c>
      <c r="L3593" s="24"/>
      <c r="M3593" s="24"/>
    </row>
    <row r="3594" spans="1:13">
      <c r="A3594" s="10" t="str">
        <f t="shared" si="112"/>
        <v/>
      </c>
      <c r="C3594" s="120" t="s">
        <v>284</v>
      </c>
      <c r="D3594"/>
      <c r="E3594"/>
      <c r="F3594"/>
      <c r="G3594"/>
      <c r="H3594"/>
      <c r="I3594" s="21" t="str">
        <f t="shared" si="113"/>
        <v/>
      </c>
      <c r="L3594" s="24"/>
      <c r="M3594" s="24"/>
    </row>
    <row r="3595" spans="1:13">
      <c r="A3595" s="14" t="str">
        <f t="shared" si="112"/>
        <v/>
      </c>
      <c r="C3595" s="120" t="s">
        <v>286</v>
      </c>
      <c r="D3595"/>
      <c r="E3595"/>
      <c r="F3595"/>
      <c r="G3595"/>
      <c r="H3595"/>
      <c r="I3595" s="21" t="str">
        <f t="shared" si="113"/>
        <v/>
      </c>
      <c r="L3595" s="24"/>
      <c r="M3595" s="24"/>
    </row>
    <row r="3596" spans="1:13">
      <c r="A3596" s="10" t="str">
        <f t="shared" si="112"/>
        <v/>
      </c>
      <c r="C3596" s="120" t="s">
        <v>126</v>
      </c>
      <c r="D3596"/>
      <c r="E3596"/>
      <c r="F3596"/>
      <c r="G3596"/>
      <c r="H3596"/>
      <c r="I3596" s="21" t="str">
        <f t="shared" si="113"/>
        <v/>
      </c>
      <c r="L3596" s="24"/>
      <c r="M3596" s="24"/>
    </row>
    <row r="3597" spans="1:13">
      <c r="A3597" s="14" t="str">
        <f t="shared" si="112"/>
        <v/>
      </c>
      <c r="C3597" s="120" t="s">
        <v>128</v>
      </c>
      <c r="D3597"/>
      <c r="E3597"/>
      <c r="F3597"/>
      <c r="G3597"/>
      <c r="H3597"/>
      <c r="I3597" s="21" t="str">
        <f t="shared" si="113"/>
        <v/>
      </c>
      <c r="L3597" s="24"/>
      <c r="M3597" s="24"/>
    </row>
    <row r="3598" spans="1:13">
      <c r="A3598" s="10" t="str">
        <f t="shared" si="112"/>
        <v/>
      </c>
      <c r="C3598" s="120" t="s">
        <v>280</v>
      </c>
      <c r="D3598"/>
      <c r="E3598"/>
      <c r="F3598"/>
      <c r="G3598"/>
      <c r="H3598"/>
      <c r="I3598" s="21" t="str">
        <f t="shared" si="113"/>
        <v/>
      </c>
      <c r="L3598" s="24"/>
      <c r="M3598" s="24"/>
    </row>
    <row r="3599" spans="1:13">
      <c r="A3599" s="14" t="str">
        <f t="shared" si="112"/>
        <v/>
      </c>
      <c r="C3599" s="120" t="s">
        <v>282</v>
      </c>
      <c r="D3599"/>
      <c r="E3599"/>
      <c r="F3599"/>
      <c r="G3599"/>
      <c r="H3599"/>
      <c r="I3599" s="21" t="str">
        <f t="shared" si="113"/>
        <v/>
      </c>
      <c r="L3599" s="24"/>
      <c r="M3599" s="24"/>
    </row>
    <row r="3600" spans="1:13">
      <c r="A3600" s="10" t="str">
        <f t="shared" si="112"/>
        <v/>
      </c>
      <c r="C3600" s="120" t="s">
        <v>284</v>
      </c>
      <c r="D3600"/>
      <c r="E3600"/>
      <c r="F3600"/>
      <c r="G3600"/>
      <c r="H3600"/>
      <c r="I3600" s="21" t="str">
        <f t="shared" si="113"/>
        <v/>
      </c>
      <c r="L3600" s="24"/>
      <c r="M3600" s="24"/>
    </row>
    <row r="3601" spans="1:13">
      <c r="A3601" s="14" t="str">
        <f t="shared" si="112"/>
        <v/>
      </c>
      <c r="C3601" s="120" t="s">
        <v>286</v>
      </c>
      <c r="D3601"/>
      <c r="E3601"/>
      <c r="F3601"/>
      <c r="G3601"/>
      <c r="H3601"/>
      <c r="I3601" s="21" t="str">
        <f t="shared" si="113"/>
        <v/>
      </c>
      <c r="L3601" s="24"/>
      <c r="M3601" s="24"/>
    </row>
    <row r="3602" spans="1:13">
      <c r="A3602" s="10" t="str">
        <f t="shared" si="112"/>
        <v/>
      </c>
      <c r="C3602" s="120" t="s">
        <v>126</v>
      </c>
      <c r="D3602"/>
      <c r="E3602"/>
      <c r="F3602"/>
      <c r="G3602"/>
      <c r="H3602"/>
      <c r="I3602" s="21" t="str">
        <f t="shared" si="113"/>
        <v/>
      </c>
      <c r="L3602" s="24"/>
      <c r="M3602" s="24"/>
    </row>
    <row r="3603" spans="1:13">
      <c r="A3603" s="14" t="str">
        <f t="shared" si="112"/>
        <v/>
      </c>
      <c r="C3603" s="120" t="s">
        <v>128</v>
      </c>
      <c r="D3603"/>
      <c r="E3603"/>
      <c r="F3603"/>
      <c r="G3603"/>
      <c r="H3603"/>
      <c r="I3603" s="21" t="str">
        <f t="shared" si="113"/>
        <v/>
      </c>
      <c r="L3603" s="24"/>
      <c r="M3603" s="24"/>
    </row>
    <row r="3604" spans="1:13">
      <c r="A3604" s="10" t="str">
        <f t="shared" si="112"/>
        <v/>
      </c>
      <c r="C3604" s="120" t="s">
        <v>280</v>
      </c>
      <c r="D3604"/>
      <c r="E3604"/>
      <c r="F3604"/>
      <c r="G3604"/>
      <c r="H3604"/>
      <c r="I3604" s="21" t="str">
        <f t="shared" si="113"/>
        <v/>
      </c>
      <c r="L3604" s="24"/>
      <c r="M3604" s="24"/>
    </row>
    <row r="3605" spans="1:13">
      <c r="A3605" s="14" t="str">
        <f t="shared" si="112"/>
        <v/>
      </c>
      <c r="C3605" s="120" t="s">
        <v>282</v>
      </c>
      <c r="D3605"/>
      <c r="E3605"/>
      <c r="F3605"/>
      <c r="G3605"/>
      <c r="H3605"/>
      <c r="I3605" s="21" t="str">
        <f t="shared" si="113"/>
        <v/>
      </c>
      <c r="L3605" s="24"/>
      <c r="M3605" s="24"/>
    </row>
    <row r="3606" spans="1:13">
      <c r="A3606" s="10" t="str">
        <f t="shared" si="112"/>
        <v/>
      </c>
      <c r="C3606" s="120" t="s">
        <v>284</v>
      </c>
      <c r="D3606"/>
      <c r="E3606"/>
      <c r="F3606"/>
      <c r="G3606"/>
      <c r="H3606"/>
      <c r="I3606" s="21" t="str">
        <f t="shared" si="113"/>
        <v/>
      </c>
      <c r="L3606" s="24"/>
      <c r="M3606" s="24"/>
    </row>
    <row r="3607" spans="1:13">
      <c r="A3607" s="14" t="str">
        <f t="shared" si="112"/>
        <v/>
      </c>
      <c r="C3607" s="120" t="s">
        <v>286</v>
      </c>
      <c r="D3607"/>
      <c r="E3607"/>
      <c r="F3607"/>
      <c r="G3607"/>
      <c r="H3607"/>
      <c r="I3607" s="21" t="str">
        <f t="shared" si="113"/>
        <v/>
      </c>
      <c r="L3607" s="24"/>
      <c r="M3607" s="24"/>
    </row>
    <row r="3608" spans="1:13">
      <c r="A3608" s="10" t="str">
        <f t="shared" si="112"/>
        <v/>
      </c>
      <c r="C3608" s="120" t="s">
        <v>126</v>
      </c>
      <c r="D3608"/>
      <c r="E3608"/>
      <c r="F3608"/>
      <c r="G3608"/>
      <c r="H3608"/>
      <c r="I3608" s="21" t="str">
        <f t="shared" si="113"/>
        <v/>
      </c>
      <c r="L3608" s="24"/>
      <c r="M3608" s="24"/>
    </row>
    <row r="3609" spans="1:13">
      <c r="A3609" s="14" t="str">
        <f t="shared" si="112"/>
        <v/>
      </c>
      <c r="C3609" s="120" t="s">
        <v>128</v>
      </c>
      <c r="D3609"/>
      <c r="E3609"/>
      <c r="F3609"/>
      <c r="G3609"/>
      <c r="H3609"/>
      <c r="I3609" s="21" t="str">
        <f t="shared" si="113"/>
        <v/>
      </c>
      <c r="L3609" s="24"/>
      <c r="M3609" s="24"/>
    </row>
    <row r="3610" spans="1:13">
      <c r="A3610" s="10" t="str">
        <f t="shared" si="112"/>
        <v/>
      </c>
      <c r="C3610" s="120" t="s">
        <v>280</v>
      </c>
      <c r="D3610"/>
      <c r="E3610"/>
      <c r="F3610"/>
      <c r="G3610"/>
      <c r="H3610"/>
      <c r="I3610" s="21" t="str">
        <f t="shared" si="113"/>
        <v/>
      </c>
      <c r="L3610" s="24"/>
      <c r="M3610" s="24"/>
    </row>
    <row r="3611" spans="1:13">
      <c r="A3611" s="14" t="str">
        <f t="shared" si="112"/>
        <v/>
      </c>
      <c r="C3611" s="120" t="s">
        <v>282</v>
      </c>
      <c r="D3611"/>
      <c r="E3611"/>
      <c r="F3611"/>
      <c r="G3611"/>
      <c r="H3611"/>
      <c r="I3611" s="21" t="str">
        <f t="shared" si="113"/>
        <v/>
      </c>
      <c r="L3611" s="24"/>
      <c r="M3611" s="24"/>
    </row>
    <row r="3612" spans="1:13">
      <c r="A3612" s="10" t="str">
        <f t="shared" si="112"/>
        <v/>
      </c>
      <c r="C3612" s="120" t="s">
        <v>284</v>
      </c>
      <c r="D3612"/>
      <c r="E3612"/>
      <c r="F3612"/>
      <c r="G3612"/>
      <c r="H3612"/>
      <c r="I3612" s="21" t="str">
        <f t="shared" si="113"/>
        <v/>
      </c>
      <c r="L3612" s="24"/>
      <c r="M3612" s="24"/>
    </row>
    <row r="3613" spans="1:13">
      <c r="A3613" s="14" t="str">
        <f t="shared" si="112"/>
        <v/>
      </c>
      <c r="C3613" s="120" t="s">
        <v>286</v>
      </c>
      <c r="D3613"/>
      <c r="E3613"/>
      <c r="F3613"/>
      <c r="G3613"/>
      <c r="H3613"/>
      <c r="I3613" s="21" t="str">
        <f t="shared" si="113"/>
        <v/>
      </c>
      <c r="L3613" s="24"/>
      <c r="M3613" s="24"/>
    </row>
    <row r="3614" spans="1:13">
      <c r="A3614" s="10" t="str">
        <f t="shared" si="112"/>
        <v/>
      </c>
      <c r="C3614" s="120" t="s">
        <v>126</v>
      </c>
      <c r="D3614"/>
      <c r="E3614"/>
      <c r="F3614"/>
      <c r="G3614"/>
      <c r="H3614"/>
      <c r="I3614" s="21" t="str">
        <f t="shared" si="113"/>
        <v/>
      </c>
      <c r="L3614" s="24"/>
      <c r="M3614" s="24"/>
    </row>
    <row r="3615" spans="1:13">
      <c r="A3615" s="14" t="str">
        <f t="shared" si="112"/>
        <v/>
      </c>
      <c r="C3615" s="120" t="s">
        <v>128</v>
      </c>
      <c r="D3615"/>
      <c r="E3615"/>
      <c r="F3615"/>
      <c r="G3615"/>
      <c r="H3615"/>
      <c r="I3615" s="21" t="str">
        <f t="shared" si="113"/>
        <v/>
      </c>
      <c r="L3615" s="24"/>
      <c r="M3615" s="24"/>
    </row>
    <row r="3616" spans="1:13">
      <c r="A3616" s="10" t="str">
        <f t="shared" si="112"/>
        <v/>
      </c>
      <c r="C3616" s="120" t="s">
        <v>280</v>
      </c>
      <c r="D3616"/>
      <c r="E3616"/>
      <c r="F3616"/>
      <c r="G3616"/>
      <c r="H3616"/>
      <c r="I3616" s="21" t="str">
        <f t="shared" si="113"/>
        <v/>
      </c>
      <c r="L3616" s="24"/>
      <c r="M3616" s="24"/>
    </row>
    <row r="3617" spans="1:13">
      <c r="A3617" s="14" t="str">
        <f t="shared" si="112"/>
        <v/>
      </c>
      <c r="C3617" s="120" t="s">
        <v>282</v>
      </c>
      <c r="D3617"/>
      <c r="E3617"/>
      <c r="F3617"/>
      <c r="G3617"/>
      <c r="H3617"/>
      <c r="I3617" s="21" t="str">
        <f t="shared" si="113"/>
        <v/>
      </c>
      <c r="L3617" s="24"/>
      <c r="M3617" s="24"/>
    </row>
    <row r="3618" spans="1:13">
      <c r="A3618" s="10" t="str">
        <f t="shared" si="112"/>
        <v/>
      </c>
      <c r="C3618" s="120" t="s">
        <v>284</v>
      </c>
      <c r="D3618"/>
      <c r="E3618"/>
      <c r="F3618"/>
      <c r="G3618"/>
      <c r="H3618"/>
      <c r="I3618" s="21" t="str">
        <f t="shared" si="113"/>
        <v/>
      </c>
      <c r="L3618" s="24"/>
      <c r="M3618" s="24"/>
    </row>
    <row r="3619" spans="1:13">
      <c r="A3619" s="14" t="str">
        <f t="shared" si="112"/>
        <v/>
      </c>
      <c r="C3619" s="120" t="s">
        <v>286</v>
      </c>
      <c r="D3619"/>
      <c r="E3619"/>
      <c r="F3619"/>
      <c r="G3619"/>
      <c r="H3619"/>
      <c r="I3619" s="21" t="str">
        <f t="shared" si="113"/>
        <v/>
      </c>
      <c r="L3619" s="24"/>
      <c r="M3619" s="24"/>
    </row>
    <row r="3620" spans="1:13">
      <c r="A3620" s="10" t="str">
        <f t="shared" si="112"/>
        <v/>
      </c>
      <c r="C3620" s="120" t="s">
        <v>126</v>
      </c>
      <c r="D3620"/>
      <c r="E3620"/>
      <c r="F3620"/>
      <c r="G3620"/>
      <c r="H3620"/>
      <c r="I3620" s="21" t="str">
        <f t="shared" si="113"/>
        <v/>
      </c>
      <c r="L3620" s="24"/>
      <c r="M3620" s="24"/>
    </row>
    <row r="3621" spans="1:13">
      <c r="A3621" s="14" t="str">
        <f t="shared" si="112"/>
        <v/>
      </c>
      <c r="C3621" s="120" t="s">
        <v>128</v>
      </c>
      <c r="D3621"/>
      <c r="E3621"/>
      <c r="F3621"/>
      <c r="G3621"/>
      <c r="H3621"/>
      <c r="I3621" s="21" t="str">
        <f t="shared" si="113"/>
        <v/>
      </c>
      <c r="L3621" s="24"/>
      <c r="M3621" s="24"/>
    </row>
    <row r="3622" spans="1:13">
      <c r="A3622" s="10" t="str">
        <f t="shared" si="112"/>
        <v/>
      </c>
      <c r="C3622" s="120" t="s">
        <v>280</v>
      </c>
      <c r="D3622"/>
      <c r="E3622"/>
      <c r="F3622"/>
      <c r="G3622"/>
      <c r="H3622"/>
      <c r="I3622" s="21" t="str">
        <f t="shared" si="113"/>
        <v/>
      </c>
      <c r="L3622" s="24"/>
      <c r="M3622" s="24"/>
    </row>
    <row r="3623" spans="1:13">
      <c r="A3623" s="14" t="str">
        <f t="shared" si="112"/>
        <v/>
      </c>
      <c r="C3623" s="120" t="s">
        <v>282</v>
      </c>
      <c r="D3623"/>
      <c r="E3623"/>
      <c r="F3623"/>
      <c r="G3623"/>
      <c r="H3623"/>
      <c r="I3623" s="21" t="str">
        <f t="shared" si="113"/>
        <v/>
      </c>
      <c r="L3623" s="24"/>
      <c r="M3623" s="24"/>
    </row>
    <row r="3624" spans="1:13">
      <c r="A3624" s="10" t="str">
        <f t="shared" si="112"/>
        <v/>
      </c>
      <c r="C3624" s="120" t="s">
        <v>284</v>
      </c>
      <c r="D3624"/>
      <c r="E3624"/>
      <c r="F3624"/>
      <c r="G3624"/>
      <c r="H3624"/>
      <c r="I3624" s="21" t="str">
        <f t="shared" si="113"/>
        <v/>
      </c>
      <c r="L3624" s="24"/>
      <c r="M3624" s="24"/>
    </row>
    <row r="3625" spans="1:13">
      <c r="A3625" s="14" t="str">
        <f t="shared" si="112"/>
        <v/>
      </c>
      <c r="C3625" s="120" t="s">
        <v>286</v>
      </c>
      <c r="D3625"/>
      <c r="E3625"/>
      <c r="F3625"/>
      <c r="G3625"/>
      <c r="H3625"/>
      <c r="I3625" s="21" t="str">
        <f t="shared" si="113"/>
        <v/>
      </c>
      <c r="L3625" s="24"/>
      <c r="M3625" s="24"/>
    </row>
    <row r="3626" spans="1:13">
      <c r="A3626" s="10" t="str">
        <f t="shared" si="112"/>
        <v/>
      </c>
      <c r="C3626" s="120" t="s">
        <v>126</v>
      </c>
      <c r="D3626"/>
      <c r="E3626"/>
      <c r="F3626"/>
      <c r="G3626"/>
      <c r="H3626"/>
      <c r="I3626" s="21" t="str">
        <f t="shared" si="113"/>
        <v/>
      </c>
      <c r="L3626" s="24"/>
      <c r="M3626" s="24"/>
    </row>
    <row r="3627" spans="1:13">
      <c r="A3627" s="14" t="str">
        <f t="shared" si="112"/>
        <v/>
      </c>
      <c r="C3627" s="120" t="s">
        <v>128</v>
      </c>
      <c r="D3627"/>
      <c r="E3627"/>
      <c r="F3627"/>
      <c r="G3627"/>
      <c r="H3627"/>
      <c r="I3627" s="21" t="str">
        <f t="shared" si="113"/>
        <v/>
      </c>
      <c r="L3627" s="24"/>
      <c r="M3627" s="24"/>
    </row>
    <row r="3628" spans="1:13">
      <c r="A3628" s="10" t="str">
        <f t="shared" si="112"/>
        <v/>
      </c>
      <c r="C3628" s="120" t="s">
        <v>280</v>
      </c>
      <c r="D3628"/>
      <c r="E3628"/>
      <c r="F3628"/>
      <c r="G3628"/>
      <c r="H3628"/>
      <c r="I3628" s="21" t="str">
        <f t="shared" si="113"/>
        <v/>
      </c>
      <c r="L3628" s="24"/>
      <c r="M3628" s="24"/>
    </row>
    <row r="3629" spans="1:13">
      <c r="A3629" s="14" t="str">
        <f t="shared" si="112"/>
        <v/>
      </c>
      <c r="C3629" s="120" t="s">
        <v>282</v>
      </c>
      <c r="D3629"/>
      <c r="E3629"/>
      <c r="F3629"/>
      <c r="G3629"/>
      <c r="H3629"/>
      <c r="I3629" s="21" t="str">
        <f t="shared" si="113"/>
        <v/>
      </c>
      <c r="L3629" s="24"/>
      <c r="M3629" s="24"/>
    </row>
    <row r="3630" spans="1:13">
      <c r="A3630" s="10" t="str">
        <f t="shared" si="112"/>
        <v/>
      </c>
      <c r="C3630" s="120" t="s">
        <v>284</v>
      </c>
      <c r="D3630"/>
      <c r="E3630"/>
      <c r="F3630"/>
      <c r="G3630"/>
      <c r="H3630"/>
      <c r="I3630" s="21" t="str">
        <f t="shared" si="113"/>
        <v/>
      </c>
      <c r="L3630" s="24"/>
      <c r="M3630" s="24"/>
    </row>
    <row r="3631" spans="1:13">
      <c r="A3631" s="14" t="str">
        <f t="shared" si="112"/>
        <v/>
      </c>
      <c r="C3631" s="120" t="s">
        <v>286</v>
      </c>
      <c r="D3631"/>
      <c r="E3631"/>
      <c r="F3631"/>
      <c r="G3631"/>
      <c r="H3631"/>
      <c r="I3631" s="21" t="str">
        <f t="shared" si="113"/>
        <v/>
      </c>
      <c r="L3631" s="24"/>
      <c r="M3631" s="24"/>
    </row>
    <row r="3632" spans="1:13">
      <c r="A3632" s="10" t="str">
        <f t="shared" si="112"/>
        <v/>
      </c>
      <c r="C3632" s="120" t="s">
        <v>126</v>
      </c>
      <c r="D3632"/>
      <c r="E3632"/>
      <c r="F3632"/>
      <c r="G3632"/>
      <c r="H3632"/>
      <c r="I3632" s="21" t="str">
        <f t="shared" si="113"/>
        <v/>
      </c>
      <c r="L3632" s="24"/>
      <c r="M3632" s="24"/>
    </row>
    <row r="3633" spans="1:13">
      <c r="A3633" s="14" t="str">
        <f t="shared" si="112"/>
        <v/>
      </c>
      <c r="C3633" s="120" t="s">
        <v>128</v>
      </c>
      <c r="D3633"/>
      <c r="E3633"/>
      <c r="F3633"/>
      <c r="G3633"/>
      <c r="H3633"/>
      <c r="I3633" s="21" t="str">
        <f t="shared" si="113"/>
        <v/>
      </c>
      <c r="L3633" s="24"/>
      <c r="M3633" s="24"/>
    </row>
    <row r="3634" spans="1:13">
      <c r="A3634" s="10" t="str">
        <f t="shared" si="112"/>
        <v/>
      </c>
      <c r="C3634" s="120" t="s">
        <v>280</v>
      </c>
      <c r="D3634"/>
      <c r="E3634"/>
      <c r="F3634"/>
      <c r="G3634"/>
      <c r="H3634"/>
      <c r="I3634" s="21" t="str">
        <f t="shared" si="113"/>
        <v/>
      </c>
      <c r="L3634" s="24"/>
      <c r="M3634" s="24"/>
    </row>
    <row r="3635" spans="1:13">
      <c r="A3635" s="14" t="str">
        <f t="shared" si="112"/>
        <v/>
      </c>
      <c r="C3635" s="120" t="s">
        <v>282</v>
      </c>
      <c r="D3635"/>
      <c r="E3635"/>
      <c r="F3635"/>
      <c r="G3635"/>
      <c r="H3635"/>
      <c r="I3635" s="21" t="str">
        <f t="shared" si="113"/>
        <v/>
      </c>
      <c r="L3635" s="24"/>
      <c r="M3635" s="24"/>
    </row>
    <row r="3636" spans="1:13">
      <c r="A3636" s="10" t="str">
        <f t="shared" si="112"/>
        <v/>
      </c>
      <c r="C3636" s="120" t="s">
        <v>284</v>
      </c>
      <c r="D3636"/>
      <c r="E3636"/>
      <c r="F3636"/>
      <c r="G3636"/>
      <c r="H3636"/>
      <c r="I3636" s="21" t="str">
        <f t="shared" si="113"/>
        <v/>
      </c>
      <c r="L3636" s="24"/>
      <c r="M3636" s="24"/>
    </row>
    <row r="3637" spans="1:13">
      <c r="A3637" s="14" t="str">
        <f t="shared" si="112"/>
        <v/>
      </c>
      <c r="C3637" s="120" t="s">
        <v>286</v>
      </c>
      <c r="D3637"/>
      <c r="E3637"/>
      <c r="F3637"/>
      <c r="G3637"/>
      <c r="H3637"/>
      <c r="I3637" s="21" t="str">
        <f t="shared" si="113"/>
        <v/>
      </c>
      <c r="L3637" s="24"/>
      <c r="M3637" s="24"/>
    </row>
    <row r="3638" spans="1:13">
      <c r="A3638" s="10" t="str">
        <f t="shared" si="112"/>
        <v/>
      </c>
      <c r="C3638" s="120" t="s">
        <v>126</v>
      </c>
      <c r="D3638"/>
      <c r="E3638"/>
      <c r="F3638"/>
      <c r="G3638"/>
      <c r="H3638"/>
      <c r="I3638" s="21" t="str">
        <f t="shared" si="113"/>
        <v/>
      </c>
      <c r="L3638" s="24"/>
      <c r="M3638" s="24"/>
    </row>
    <row r="3639" spans="1:13">
      <c r="A3639" s="14" t="str">
        <f t="shared" si="112"/>
        <v/>
      </c>
      <c r="C3639" s="120" t="s">
        <v>128</v>
      </c>
      <c r="D3639"/>
      <c r="E3639"/>
      <c r="F3639"/>
      <c r="G3639"/>
      <c r="H3639"/>
      <c r="I3639" s="21" t="str">
        <f t="shared" si="113"/>
        <v/>
      </c>
      <c r="L3639" s="24"/>
      <c r="M3639" s="24"/>
    </row>
    <row r="3640" spans="1:13">
      <c r="A3640" s="10" t="str">
        <f t="shared" si="112"/>
        <v/>
      </c>
      <c r="C3640" s="120" t="s">
        <v>280</v>
      </c>
      <c r="D3640"/>
      <c r="E3640"/>
      <c r="F3640"/>
      <c r="G3640"/>
      <c r="H3640"/>
      <c r="I3640" s="21" t="str">
        <f t="shared" si="113"/>
        <v/>
      </c>
      <c r="L3640" s="24"/>
      <c r="M3640" s="24"/>
    </row>
    <row r="3641" spans="1:13">
      <c r="A3641" s="14" t="str">
        <f t="shared" si="112"/>
        <v/>
      </c>
      <c r="C3641" s="120" t="s">
        <v>282</v>
      </c>
      <c r="D3641"/>
      <c r="E3641"/>
      <c r="F3641"/>
      <c r="G3641"/>
      <c r="H3641"/>
      <c r="I3641" s="21" t="str">
        <f t="shared" si="113"/>
        <v/>
      </c>
      <c r="L3641" s="24"/>
      <c r="M3641" s="24"/>
    </row>
    <row r="3642" spans="1:13">
      <c r="A3642" s="10" t="str">
        <f t="shared" si="112"/>
        <v/>
      </c>
      <c r="C3642" s="120" t="s">
        <v>284</v>
      </c>
      <c r="D3642"/>
      <c r="E3642"/>
      <c r="F3642"/>
      <c r="G3642"/>
      <c r="H3642"/>
      <c r="I3642" s="21" t="str">
        <f t="shared" si="113"/>
        <v/>
      </c>
      <c r="L3642" s="24"/>
      <c r="M3642" s="24"/>
    </row>
    <row r="3643" spans="1:13">
      <c r="A3643" s="14" t="str">
        <f t="shared" si="112"/>
        <v/>
      </c>
      <c r="C3643" s="120" t="s">
        <v>286</v>
      </c>
      <c r="D3643"/>
      <c r="E3643"/>
      <c r="F3643"/>
      <c r="G3643"/>
      <c r="H3643"/>
      <c r="I3643" s="21" t="str">
        <f t="shared" si="113"/>
        <v/>
      </c>
      <c r="L3643" s="24"/>
      <c r="M3643" s="24"/>
    </row>
    <row r="3644" spans="1:13">
      <c r="A3644" s="10" t="str">
        <f t="shared" si="112"/>
        <v/>
      </c>
      <c r="C3644" s="120" t="s">
        <v>126</v>
      </c>
      <c r="D3644"/>
      <c r="E3644"/>
      <c r="F3644"/>
      <c r="G3644"/>
      <c r="H3644"/>
      <c r="I3644" s="21" t="str">
        <f t="shared" si="113"/>
        <v/>
      </c>
      <c r="L3644" s="24"/>
      <c r="M3644" s="24"/>
    </row>
    <row r="3645" spans="1:13">
      <c r="A3645" s="14" t="str">
        <f t="shared" si="112"/>
        <v/>
      </c>
      <c r="C3645" s="120" t="s">
        <v>128</v>
      </c>
      <c r="D3645"/>
      <c r="E3645"/>
      <c r="F3645"/>
      <c r="G3645"/>
      <c r="H3645"/>
      <c r="I3645" s="21" t="str">
        <f t="shared" si="113"/>
        <v/>
      </c>
      <c r="L3645" s="24"/>
      <c r="M3645" s="24"/>
    </row>
    <row r="3646" spans="1:13">
      <c r="A3646" s="10" t="str">
        <f t="shared" si="112"/>
        <v/>
      </c>
      <c r="C3646" s="120" t="s">
        <v>280</v>
      </c>
      <c r="D3646"/>
      <c r="E3646"/>
      <c r="F3646"/>
      <c r="G3646"/>
      <c r="H3646"/>
      <c r="I3646" s="21" t="str">
        <f t="shared" si="113"/>
        <v/>
      </c>
      <c r="L3646" s="24"/>
      <c r="M3646" s="24"/>
    </row>
    <row r="3647" spans="1:13">
      <c r="A3647" s="14" t="str">
        <f t="shared" si="112"/>
        <v/>
      </c>
      <c r="C3647" s="120" t="s">
        <v>282</v>
      </c>
      <c r="D3647"/>
      <c r="E3647"/>
      <c r="F3647"/>
      <c r="G3647"/>
      <c r="H3647"/>
      <c r="I3647" s="21" t="str">
        <f t="shared" si="113"/>
        <v/>
      </c>
      <c r="L3647" s="24"/>
      <c r="M3647" s="24"/>
    </row>
    <row r="3648" spans="1:13">
      <c r="A3648" s="10" t="str">
        <f t="shared" si="112"/>
        <v/>
      </c>
      <c r="C3648" s="120" t="s">
        <v>284</v>
      </c>
      <c r="D3648"/>
      <c r="E3648"/>
      <c r="F3648"/>
      <c r="G3648"/>
      <c r="H3648"/>
      <c r="I3648" s="21" t="str">
        <f t="shared" si="113"/>
        <v/>
      </c>
      <c r="L3648" s="24"/>
      <c r="M3648" s="24"/>
    </row>
    <row r="3649" spans="1:13">
      <c r="A3649" s="14" t="str">
        <f t="shared" si="112"/>
        <v/>
      </c>
      <c r="C3649" s="120" t="s">
        <v>286</v>
      </c>
      <c r="D3649"/>
      <c r="E3649"/>
      <c r="F3649"/>
      <c r="G3649"/>
      <c r="H3649"/>
      <c r="I3649" s="21" t="str">
        <f t="shared" si="113"/>
        <v/>
      </c>
      <c r="L3649" s="24"/>
      <c r="M3649" s="24"/>
    </row>
    <row r="3650" spans="1:13">
      <c r="A3650" s="10" t="str">
        <f t="shared" ref="A3650:A3713" si="114">IF(B3650&lt;&gt;"",ROW()-1,"")</f>
        <v/>
      </c>
      <c r="C3650" s="120" t="s">
        <v>126</v>
      </c>
      <c r="D3650"/>
      <c r="E3650"/>
      <c r="F3650"/>
      <c r="G3650"/>
      <c r="H3650"/>
      <c r="I3650" s="21" t="str">
        <f t="shared" ref="I3650:I3713" si="115">IF(AND(G3650&lt;&gt;"",H3650&lt;&gt;""),H3650-G3650,"")</f>
        <v/>
      </c>
      <c r="L3650" s="24"/>
      <c r="M3650" s="24"/>
    </row>
    <row r="3651" spans="1:13">
      <c r="A3651" s="14" t="str">
        <f t="shared" si="114"/>
        <v/>
      </c>
      <c r="C3651" s="120" t="s">
        <v>128</v>
      </c>
      <c r="D3651"/>
      <c r="E3651"/>
      <c r="F3651"/>
      <c r="G3651"/>
      <c r="H3651"/>
      <c r="I3651" s="21" t="str">
        <f t="shared" si="115"/>
        <v/>
      </c>
      <c r="L3651" s="24"/>
      <c r="M3651" s="24"/>
    </row>
    <row r="3652" spans="1:13">
      <c r="A3652" s="10" t="str">
        <f t="shared" si="114"/>
        <v/>
      </c>
      <c r="C3652" s="120" t="s">
        <v>280</v>
      </c>
      <c r="D3652"/>
      <c r="E3652"/>
      <c r="F3652"/>
      <c r="G3652"/>
      <c r="H3652"/>
      <c r="I3652" s="21" t="str">
        <f t="shared" si="115"/>
        <v/>
      </c>
      <c r="L3652" s="24"/>
      <c r="M3652" s="24"/>
    </row>
    <row r="3653" spans="1:13">
      <c r="A3653" s="14" t="str">
        <f t="shared" si="114"/>
        <v/>
      </c>
      <c r="C3653" s="120" t="s">
        <v>282</v>
      </c>
      <c r="D3653"/>
      <c r="E3653"/>
      <c r="F3653"/>
      <c r="G3653"/>
      <c r="H3653"/>
      <c r="I3653" s="21" t="str">
        <f t="shared" si="115"/>
        <v/>
      </c>
      <c r="L3653" s="24"/>
      <c r="M3653" s="24"/>
    </row>
    <row r="3654" spans="1:13">
      <c r="A3654" s="10" t="str">
        <f t="shared" si="114"/>
        <v/>
      </c>
      <c r="C3654" s="120" t="s">
        <v>284</v>
      </c>
      <c r="D3654"/>
      <c r="E3654"/>
      <c r="F3654"/>
      <c r="G3654"/>
      <c r="H3654"/>
      <c r="I3654" s="21" t="str">
        <f t="shared" si="115"/>
        <v/>
      </c>
      <c r="L3654" s="24"/>
      <c r="M3654" s="24"/>
    </row>
    <row r="3655" spans="1:13">
      <c r="A3655" s="14" t="str">
        <f t="shared" si="114"/>
        <v/>
      </c>
      <c r="C3655" s="120" t="s">
        <v>286</v>
      </c>
      <c r="D3655"/>
      <c r="E3655"/>
      <c r="F3655"/>
      <c r="G3655"/>
      <c r="H3655"/>
      <c r="I3655" s="21" t="str">
        <f t="shared" si="115"/>
        <v/>
      </c>
      <c r="L3655" s="24"/>
      <c r="M3655" s="24"/>
    </row>
    <row r="3656" spans="1:13">
      <c r="A3656" s="10" t="str">
        <f t="shared" si="114"/>
        <v/>
      </c>
      <c r="C3656" s="120" t="s">
        <v>126</v>
      </c>
      <c r="D3656"/>
      <c r="E3656"/>
      <c r="F3656"/>
      <c r="G3656"/>
      <c r="H3656"/>
      <c r="I3656" s="21" t="str">
        <f t="shared" si="115"/>
        <v/>
      </c>
      <c r="L3656" s="24"/>
      <c r="M3656" s="24"/>
    </row>
    <row r="3657" spans="1:13">
      <c r="A3657" s="14" t="str">
        <f t="shared" si="114"/>
        <v/>
      </c>
      <c r="C3657" s="120" t="s">
        <v>128</v>
      </c>
      <c r="D3657"/>
      <c r="E3657"/>
      <c r="F3657"/>
      <c r="G3657"/>
      <c r="H3657"/>
      <c r="I3657" s="21" t="str">
        <f t="shared" si="115"/>
        <v/>
      </c>
      <c r="L3657" s="24"/>
      <c r="M3657" s="24"/>
    </row>
    <row r="3658" spans="1:13">
      <c r="A3658" s="10" t="str">
        <f t="shared" si="114"/>
        <v/>
      </c>
      <c r="C3658" s="120" t="s">
        <v>280</v>
      </c>
      <c r="D3658"/>
      <c r="E3658"/>
      <c r="F3658"/>
      <c r="G3658"/>
      <c r="H3658"/>
      <c r="I3658" s="21" t="str">
        <f t="shared" si="115"/>
        <v/>
      </c>
      <c r="L3658" s="24"/>
      <c r="M3658" s="24"/>
    </row>
    <row r="3659" spans="1:13">
      <c r="A3659" s="14" t="str">
        <f t="shared" si="114"/>
        <v/>
      </c>
      <c r="C3659" s="120" t="s">
        <v>282</v>
      </c>
      <c r="D3659"/>
      <c r="E3659"/>
      <c r="F3659"/>
      <c r="G3659"/>
      <c r="H3659"/>
      <c r="I3659" s="21" t="str">
        <f t="shared" si="115"/>
        <v/>
      </c>
      <c r="L3659" s="24"/>
      <c r="M3659" s="24"/>
    </row>
    <row r="3660" spans="1:13">
      <c r="A3660" s="10" t="str">
        <f t="shared" si="114"/>
        <v/>
      </c>
      <c r="C3660" s="120" t="s">
        <v>284</v>
      </c>
      <c r="D3660"/>
      <c r="E3660"/>
      <c r="F3660"/>
      <c r="G3660"/>
      <c r="H3660"/>
      <c r="I3660" s="21" t="str">
        <f t="shared" si="115"/>
        <v/>
      </c>
      <c r="L3660" s="24"/>
      <c r="M3660" s="24"/>
    </row>
    <row r="3661" spans="1:13">
      <c r="A3661" s="14" t="str">
        <f t="shared" si="114"/>
        <v/>
      </c>
      <c r="C3661" s="120" t="s">
        <v>286</v>
      </c>
      <c r="D3661"/>
      <c r="E3661"/>
      <c r="F3661"/>
      <c r="G3661"/>
      <c r="H3661"/>
      <c r="I3661" s="21" t="str">
        <f t="shared" si="115"/>
        <v/>
      </c>
      <c r="L3661" s="24"/>
      <c r="M3661" s="24"/>
    </row>
    <row r="3662" spans="1:13">
      <c r="A3662" s="10" t="str">
        <f t="shared" si="114"/>
        <v/>
      </c>
      <c r="C3662" s="120" t="s">
        <v>126</v>
      </c>
      <c r="D3662"/>
      <c r="E3662"/>
      <c r="F3662"/>
      <c r="G3662"/>
      <c r="H3662"/>
      <c r="I3662" s="21" t="str">
        <f t="shared" si="115"/>
        <v/>
      </c>
      <c r="L3662" s="24"/>
      <c r="M3662" s="24"/>
    </row>
    <row r="3663" spans="1:13">
      <c r="A3663" s="14" t="str">
        <f t="shared" si="114"/>
        <v/>
      </c>
      <c r="C3663" s="120" t="s">
        <v>128</v>
      </c>
      <c r="D3663"/>
      <c r="E3663"/>
      <c r="F3663"/>
      <c r="G3663"/>
      <c r="H3663"/>
      <c r="I3663" s="21" t="str">
        <f t="shared" si="115"/>
        <v/>
      </c>
      <c r="L3663" s="24"/>
      <c r="M3663" s="24"/>
    </row>
    <row r="3664" spans="1:13">
      <c r="A3664" s="10" t="str">
        <f t="shared" si="114"/>
        <v/>
      </c>
      <c r="C3664" s="120" t="s">
        <v>280</v>
      </c>
      <c r="D3664"/>
      <c r="E3664"/>
      <c r="F3664"/>
      <c r="G3664"/>
      <c r="H3664"/>
      <c r="I3664" s="21" t="str">
        <f t="shared" si="115"/>
        <v/>
      </c>
      <c r="L3664" s="24"/>
      <c r="M3664" s="24"/>
    </row>
    <row r="3665" spans="1:13">
      <c r="A3665" s="14" t="str">
        <f t="shared" si="114"/>
        <v/>
      </c>
      <c r="C3665" s="120" t="s">
        <v>282</v>
      </c>
      <c r="D3665"/>
      <c r="E3665"/>
      <c r="F3665"/>
      <c r="G3665"/>
      <c r="H3665"/>
      <c r="I3665" s="21" t="str">
        <f t="shared" si="115"/>
        <v/>
      </c>
      <c r="L3665" s="24"/>
      <c r="M3665" s="24"/>
    </row>
    <row r="3666" spans="1:13">
      <c r="A3666" s="10" t="str">
        <f t="shared" si="114"/>
        <v/>
      </c>
      <c r="C3666" s="120" t="s">
        <v>284</v>
      </c>
      <c r="D3666"/>
      <c r="E3666"/>
      <c r="F3666"/>
      <c r="G3666"/>
      <c r="H3666"/>
      <c r="I3666" s="21" t="str">
        <f t="shared" si="115"/>
        <v/>
      </c>
      <c r="L3666" s="24"/>
      <c r="M3666" s="24"/>
    </row>
    <row r="3667" spans="1:13">
      <c r="A3667" s="14" t="str">
        <f t="shared" si="114"/>
        <v/>
      </c>
      <c r="C3667" s="120" t="s">
        <v>286</v>
      </c>
      <c r="D3667"/>
      <c r="E3667"/>
      <c r="F3667"/>
      <c r="G3667"/>
      <c r="H3667"/>
      <c r="I3667" s="21" t="str">
        <f t="shared" si="115"/>
        <v/>
      </c>
      <c r="L3667" s="24"/>
      <c r="M3667" s="24"/>
    </row>
    <row r="3668" spans="1:13">
      <c r="A3668" s="10" t="str">
        <f t="shared" si="114"/>
        <v/>
      </c>
      <c r="C3668" s="120" t="s">
        <v>126</v>
      </c>
      <c r="D3668"/>
      <c r="E3668"/>
      <c r="F3668"/>
      <c r="G3668"/>
      <c r="H3668"/>
      <c r="I3668" s="21" t="str">
        <f t="shared" si="115"/>
        <v/>
      </c>
      <c r="L3668" s="24"/>
      <c r="M3668" s="24"/>
    </row>
    <row r="3669" spans="1:13">
      <c r="A3669" s="14" t="str">
        <f t="shared" si="114"/>
        <v/>
      </c>
      <c r="C3669" s="120" t="s">
        <v>128</v>
      </c>
      <c r="D3669"/>
      <c r="E3669"/>
      <c r="F3669"/>
      <c r="G3669"/>
      <c r="H3669"/>
      <c r="I3669" s="21" t="str">
        <f t="shared" si="115"/>
        <v/>
      </c>
      <c r="L3669" s="24"/>
      <c r="M3669" s="24"/>
    </row>
    <row r="3670" spans="1:13">
      <c r="A3670" s="10" t="str">
        <f t="shared" si="114"/>
        <v/>
      </c>
      <c r="C3670" s="120" t="s">
        <v>280</v>
      </c>
      <c r="D3670"/>
      <c r="E3670"/>
      <c r="F3670"/>
      <c r="G3670"/>
      <c r="H3670"/>
      <c r="I3670" s="21" t="str">
        <f t="shared" si="115"/>
        <v/>
      </c>
      <c r="L3670" s="24"/>
      <c r="M3670" s="24"/>
    </row>
    <row r="3671" spans="1:13">
      <c r="A3671" s="14" t="str">
        <f t="shared" si="114"/>
        <v/>
      </c>
      <c r="C3671" s="120" t="s">
        <v>282</v>
      </c>
      <c r="D3671"/>
      <c r="E3671"/>
      <c r="F3671"/>
      <c r="G3671"/>
      <c r="H3671"/>
      <c r="I3671" s="21" t="str">
        <f t="shared" si="115"/>
        <v/>
      </c>
      <c r="L3671" s="24"/>
      <c r="M3671" s="24"/>
    </row>
    <row r="3672" spans="1:13">
      <c r="A3672" s="10" t="str">
        <f t="shared" si="114"/>
        <v/>
      </c>
      <c r="C3672" s="120" t="s">
        <v>284</v>
      </c>
      <c r="D3672"/>
      <c r="E3672"/>
      <c r="F3672"/>
      <c r="G3672"/>
      <c r="H3672"/>
      <c r="I3672" s="21" t="str">
        <f t="shared" si="115"/>
        <v/>
      </c>
      <c r="L3672" s="24"/>
      <c r="M3672" s="24"/>
    </row>
    <row r="3673" spans="1:13">
      <c r="A3673" s="14" t="str">
        <f t="shared" si="114"/>
        <v/>
      </c>
      <c r="C3673" s="120" t="s">
        <v>286</v>
      </c>
      <c r="D3673"/>
      <c r="E3673"/>
      <c r="F3673"/>
      <c r="G3673"/>
      <c r="H3673"/>
      <c r="I3673" s="21" t="str">
        <f t="shared" si="115"/>
        <v/>
      </c>
      <c r="L3673" s="24"/>
      <c r="M3673" s="24"/>
    </row>
    <row r="3674" spans="1:13">
      <c r="A3674" s="10" t="str">
        <f t="shared" si="114"/>
        <v/>
      </c>
      <c r="C3674" s="120" t="s">
        <v>126</v>
      </c>
      <c r="D3674"/>
      <c r="E3674"/>
      <c r="F3674"/>
      <c r="G3674"/>
      <c r="H3674"/>
      <c r="I3674" s="21" t="str">
        <f t="shared" si="115"/>
        <v/>
      </c>
      <c r="L3674" s="24"/>
      <c r="M3674" s="24"/>
    </row>
    <row r="3675" spans="1:13">
      <c r="A3675" s="14" t="str">
        <f t="shared" si="114"/>
        <v/>
      </c>
      <c r="C3675" s="120" t="s">
        <v>128</v>
      </c>
      <c r="D3675"/>
      <c r="E3675"/>
      <c r="F3675"/>
      <c r="G3675"/>
      <c r="H3675"/>
      <c r="I3675" s="21" t="str">
        <f t="shared" si="115"/>
        <v/>
      </c>
      <c r="L3675" s="24"/>
      <c r="M3675" s="24"/>
    </row>
    <row r="3676" spans="1:13">
      <c r="A3676" s="10" t="str">
        <f t="shared" si="114"/>
        <v/>
      </c>
      <c r="C3676" s="120" t="s">
        <v>280</v>
      </c>
      <c r="D3676"/>
      <c r="E3676"/>
      <c r="F3676"/>
      <c r="G3676"/>
      <c r="H3676"/>
      <c r="I3676" s="21" t="str">
        <f t="shared" si="115"/>
        <v/>
      </c>
      <c r="L3676" s="24"/>
      <c r="M3676" s="24"/>
    </row>
    <row r="3677" spans="1:13">
      <c r="A3677" s="14" t="str">
        <f t="shared" si="114"/>
        <v/>
      </c>
      <c r="C3677" s="120" t="s">
        <v>282</v>
      </c>
      <c r="D3677"/>
      <c r="E3677"/>
      <c r="F3677"/>
      <c r="G3677"/>
      <c r="H3677"/>
      <c r="I3677" s="21" t="str">
        <f t="shared" si="115"/>
        <v/>
      </c>
      <c r="L3677" s="24"/>
      <c r="M3677" s="24"/>
    </row>
    <row r="3678" spans="1:13">
      <c r="A3678" s="10" t="str">
        <f t="shared" si="114"/>
        <v/>
      </c>
      <c r="C3678" s="120" t="s">
        <v>284</v>
      </c>
      <c r="D3678"/>
      <c r="E3678"/>
      <c r="F3678"/>
      <c r="G3678"/>
      <c r="H3678"/>
      <c r="I3678" s="21" t="str">
        <f t="shared" si="115"/>
        <v/>
      </c>
      <c r="L3678" s="24"/>
      <c r="M3678" s="24"/>
    </row>
    <row r="3679" spans="1:13">
      <c r="A3679" s="14" t="str">
        <f t="shared" si="114"/>
        <v/>
      </c>
      <c r="C3679" s="120" t="s">
        <v>286</v>
      </c>
      <c r="D3679"/>
      <c r="E3679"/>
      <c r="F3679"/>
      <c r="G3679"/>
      <c r="H3679"/>
      <c r="I3679" s="21" t="str">
        <f t="shared" si="115"/>
        <v/>
      </c>
      <c r="L3679" s="24"/>
      <c r="M3679" s="24"/>
    </row>
    <row r="3680" spans="1:13">
      <c r="A3680" s="10" t="str">
        <f t="shared" si="114"/>
        <v/>
      </c>
      <c r="C3680" s="120" t="s">
        <v>126</v>
      </c>
      <c r="D3680"/>
      <c r="E3680"/>
      <c r="F3680"/>
      <c r="G3680"/>
      <c r="H3680"/>
      <c r="I3680" s="21" t="str">
        <f t="shared" si="115"/>
        <v/>
      </c>
      <c r="L3680" s="24"/>
      <c r="M3680" s="24"/>
    </row>
    <row r="3681" spans="1:13">
      <c r="A3681" s="14" t="str">
        <f t="shared" si="114"/>
        <v/>
      </c>
      <c r="C3681" s="120" t="s">
        <v>128</v>
      </c>
      <c r="D3681"/>
      <c r="E3681"/>
      <c r="F3681"/>
      <c r="G3681"/>
      <c r="H3681"/>
      <c r="I3681" s="21" t="str">
        <f t="shared" si="115"/>
        <v/>
      </c>
      <c r="L3681" s="24"/>
      <c r="M3681" s="24"/>
    </row>
    <row r="3682" spans="1:13">
      <c r="A3682" s="10" t="str">
        <f t="shared" si="114"/>
        <v/>
      </c>
      <c r="C3682" s="120" t="s">
        <v>280</v>
      </c>
      <c r="D3682"/>
      <c r="E3682"/>
      <c r="F3682"/>
      <c r="G3682"/>
      <c r="H3682"/>
      <c r="I3682" s="21" t="str">
        <f t="shared" si="115"/>
        <v/>
      </c>
      <c r="L3682" s="24"/>
      <c r="M3682" s="24"/>
    </row>
    <row r="3683" spans="1:13">
      <c r="A3683" s="14" t="str">
        <f t="shared" si="114"/>
        <v/>
      </c>
      <c r="C3683" s="120" t="s">
        <v>282</v>
      </c>
      <c r="D3683"/>
      <c r="E3683"/>
      <c r="F3683"/>
      <c r="G3683"/>
      <c r="H3683"/>
      <c r="I3683" s="21" t="str">
        <f t="shared" si="115"/>
        <v/>
      </c>
      <c r="L3683" s="24"/>
      <c r="M3683" s="24"/>
    </row>
    <row r="3684" spans="1:13">
      <c r="A3684" s="10" t="str">
        <f t="shared" si="114"/>
        <v/>
      </c>
      <c r="C3684" s="120" t="s">
        <v>284</v>
      </c>
      <c r="D3684"/>
      <c r="E3684"/>
      <c r="F3684"/>
      <c r="G3684"/>
      <c r="H3684"/>
      <c r="I3684" s="21" t="str">
        <f t="shared" si="115"/>
        <v/>
      </c>
      <c r="L3684" s="24"/>
      <c r="M3684" s="24"/>
    </row>
    <row r="3685" spans="1:13">
      <c r="A3685" s="14" t="str">
        <f t="shared" si="114"/>
        <v/>
      </c>
      <c r="C3685" s="120" t="s">
        <v>286</v>
      </c>
      <c r="D3685"/>
      <c r="E3685"/>
      <c r="F3685"/>
      <c r="G3685"/>
      <c r="H3685"/>
      <c r="I3685" s="21" t="str">
        <f t="shared" si="115"/>
        <v/>
      </c>
      <c r="L3685" s="24"/>
      <c r="M3685" s="24"/>
    </row>
    <row r="3686" spans="1:13">
      <c r="A3686" s="10" t="str">
        <f t="shared" si="114"/>
        <v/>
      </c>
      <c r="C3686" s="120" t="s">
        <v>126</v>
      </c>
      <c r="D3686"/>
      <c r="E3686"/>
      <c r="F3686"/>
      <c r="G3686"/>
      <c r="H3686"/>
      <c r="I3686" s="21" t="str">
        <f t="shared" si="115"/>
        <v/>
      </c>
      <c r="L3686" s="24"/>
      <c r="M3686" s="24"/>
    </row>
    <row r="3687" spans="1:13">
      <c r="A3687" s="14" t="str">
        <f t="shared" si="114"/>
        <v/>
      </c>
      <c r="C3687" s="120" t="s">
        <v>128</v>
      </c>
      <c r="D3687"/>
      <c r="E3687"/>
      <c r="F3687"/>
      <c r="G3687"/>
      <c r="H3687"/>
      <c r="I3687" s="21" t="str">
        <f t="shared" si="115"/>
        <v/>
      </c>
      <c r="L3687" s="24"/>
      <c r="M3687" s="24"/>
    </row>
    <row r="3688" spans="1:13">
      <c r="A3688" s="10" t="str">
        <f t="shared" si="114"/>
        <v/>
      </c>
      <c r="C3688" s="120" t="s">
        <v>280</v>
      </c>
      <c r="D3688"/>
      <c r="E3688"/>
      <c r="F3688"/>
      <c r="G3688"/>
      <c r="H3688"/>
      <c r="I3688" s="21" t="str">
        <f t="shared" si="115"/>
        <v/>
      </c>
      <c r="L3688" s="24"/>
      <c r="M3688" s="24"/>
    </row>
    <row r="3689" spans="1:13">
      <c r="A3689" s="14" t="str">
        <f t="shared" si="114"/>
        <v/>
      </c>
      <c r="C3689" s="120" t="s">
        <v>282</v>
      </c>
      <c r="D3689"/>
      <c r="E3689"/>
      <c r="F3689"/>
      <c r="G3689"/>
      <c r="H3689"/>
      <c r="I3689" s="21" t="str">
        <f t="shared" si="115"/>
        <v/>
      </c>
      <c r="L3689" s="24"/>
      <c r="M3689" s="24"/>
    </row>
    <row r="3690" spans="1:13">
      <c r="A3690" s="10" t="str">
        <f t="shared" si="114"/>
        <v/>
      </c>
      <c r="C3690" s="120" t="s">
        <v>284</v>
      </c>
      <c r="D3690"/>
      <c r="E3690"/>
      <c r="F3690"/>
      <c r="G3690"/>
      <c r="H3690"/>
      <c r="I3690" s="21" t="str">
        <f t="shared" si="115"/>
        <v/>
      </c>
      <c r="L3690" s="24"/>
      <c r="M3690" s="24"/>
    </row>
    <row r="3691" spans="1:13">
      <c r="A3691" s="14" t="str">
        <f t="shared" si="114"/>
        <v/>
      </c>
      <c r="C3691" s="120" t="s">
        <v>286</v>
      </c>
      <c r="D3691"/>
      <c r="E3691"/>
      <c r="F3691"/>
      <c r="G3691"/>
      <c r="H3691"/>
      <c r="I3691" s="21" t="str">
        <f t="shared" si="115"/>
        <v/>
      </c>
      <c r="L3691" s="24"/>
      <c r="M3691" s="24"/>
    </row>
    <row r="3692" spans="1:13">
      <c r="A3692" s="10" t="str">
        <f t="shared" si="114"/>
        <v/>
      </c>
      <c r="C3692" s="120" t="s">
        <v>126</v>
      </c>
      <c r="D3692"/>
      <c r="E3692"/>
      <c r="F3692"/>
      <c r="G3692"/>
      <c r="H3692"/>
      <c r="I3692" s="21" t="str">
        <f t="shared" si="115"/>
        <v/>
      </c>
      <c r="L3692" s="24"/>
      <c r="M3692" s="24"/>
    </row>
    <row r="3693" spans="1:13">
      <c r="A3693" s="14" t="str">
        <f t="shared" si="114"/>
        <v/>
      </c>
      <c r="C3693" s="120" t="s">
        <v>128</v>
      </c>
      <c r="D3693"/>
      <c r="E3693"/>
      <c r="F3693"/>
      <c r="G3693"/>
      <c r="H3693"/>
      <c r="I3693" s="21" t="str">
        <f t="shared" si="115"/>
        <v/>
      </c>
      <c r="L3693" s="24"/>
      <c r="M3693" s="24"/>
    </row>
    <row r="3694" spans="1:13">
      <c r="A3694" s="10" t="str">
        <f t="shared" si="114"/>
        <v/>
      </c>
      <c r="C3694" s="120" t="s">
        <v>280</v>
      </c>
      <c r="D3694"/>
      <c r="E3694"/>
      <c r="F3694"/>
      <c r="G3694"/>
      <c r="H3694"/>
      <c r="I3694" s="21" t="str">
        <f t="shared" si="115"/>
        <v/>
      </c>
      <c r="L3694" s="24"/>
      <c r="M3694" s="24"/>
    </row>
    <row r="3695" spans="1:13">
      <c r="A3695" s="14" t="str">
        <f t="shared" si="114"/>
        <v/>
      </c>
      <c r="C3695" s="120" t="s">
        <v>282</v>
      </c>
      <c r="D3695"/>
      <c r="E3695"/>
      <c r="F3695"/>
      <c r="G3695"/>
      <c r="H3695"/>
      <c r="I3695" s="21" t="str">
        <f t="shared" si="115"/>
        <v/>
      </c>
      <c r="L3695" s="24"/>
      <c r="M3695" s="24"/>
    </row>
    <row r="3696" spans="1:13">
      <c r="A3696" s="10" t="str">
        <f t="shared" si="114"/>
        <v/>
      </c>
      <c r="C3696" s="120" t="s">
        <v>284</v>
      </c>
      <c r="D3696"/>
      <c r="E3696"/>
      <c r="F3696"/>
      <c r="G3696"/>
      <c r="H3696"/>
      <c r="I3696" s="21" t="str">
        <f t="shared" si="115"/>
        <v/>
      </c>
      <c r="L3696" s="24"/>
      <c r="M3696" s="24"/>
    </row>
    <row r="3697" spans="1:13">
      <c r="A3697" s="14" t="str">
        <f t="shared" si="114"/>
        <v/>
      </c>
      <c r="C3697" s="120" t="s">
        <v>286</v>
      </c>
      <c r="D3697"/>
      <c r="E3697"/>
      <c r="F3697"/>
      <c r="G3697"/>
      <c r="H3697"/>
      <c r="I3697" s="21" t="str">
        <f t="shared" si="115"/>
        <v/>
      </c>
      <c r="L3697" s="24"/>
      <c r="M3697" s="24"/>
    </row>
    <row r="3698" spans="1:13">
      <c r="A3698" s="10" t="str">
        <f t="shared" si="114"/>
        <v/>
      </c>
      <c r="C3698" s="120" t="s">
        <v>126</v>
      </c>
      <c r="D3698"/>
      <c r="E3698"/>
      <c r="F3698"/>
      <c r="G3698"/>
      <c r="H3698"/>
      <c r="I3698" s="21" t="str">
        <f t="shared" si="115"/>
        <v/>
      </c>
      <c r="L3698" s="24"/>
      <c r="M3698" s="24"/>
    </row>
    <row r="3699" spans="1:13">
      <c r="A3699" s="14" t="str">
        <f t="shared" si="114"/>
        <v/>
      </c>
      <c r="C3699" s="120" t="s">
        <v>128</v>
      </c>
      <c r="D3699"/>
      <c r="E3699"/>
      <c r="F3699"/>
      <c r="G3699"/>
      <c r="H3699"/>
      <c r="I3699" s="21" t="str">
        <f t="shared" si="115"/>
        <v/>
      </c>
      <c r="L3699" s="24"/>
      <c r="M3699" s="24"/>
    </row>
    <row r="3700" spans="1:13">
      <c r="A3700" s="10" t="str">
        <f t="shared" si="114"/>
        <v/>
      </c>
      <c r="C3700" s="120" t="s">
        <v>280</v>
      </c>
      <c r="D3700"/>
      <c r="E3700"/>
      <c r="F3700"/>
      <c r="G3700"/>
      <c r="H3700"/>
      <c r="I3700" s="21" t="str">
        <f t="shared" si="115"/>
        <v/>
      </c>
      <c r="L3700" s="24"/>
      <c r="M3700" s="24"/>
    </row>
    <row r="3701" spans="1:13">
      <c r="A3701" s="14" t="str">
        <f t="shared" si="114"/>
        <v/>
      </c>
      <c r="C3701" s="120" t="s">
        <v>282</v>
      </c>
      <c r="D3701"/>
      <c r="E3701"/>
      <c r="F3701"/>
      <c r="G3701"/>
      <c r="H3701"/>
      <c r="I3701" s="21" t="str">
        <f t="shared" si="115"/>
        <v/>
      </c>
      <c r="L3701" s="24"/>
      <c r="M3701" s="24"/>
    </row>
    <row r="3702" spans="1:13">
      <c r="A3702" s="10" t="str">
        <f t="shared" si="114"/>
        <v/>
      </c>
      <c r="C3702" s="120" t="s">
        <v>284</v>
      </c>
      <c r="D3702"/>
      <c r="E3702"/>
      <c r="F3702"/>
      <c r="G3702"/>
      <c r="H3702"/>
      <c r="I3702" s="21" t="str">
        <f t="shared" si="115"/>
        <v/>
      </c>
      <c r="L3702" s="24"/>
      <c r="M3702" s="24"/>
    </row>
    <row r="3703" spans="1:13">
      <c r="A3703" s="14" t="str">
        <f t="shared" si="114"/>
        <v/>
      </c>
      <c r="C3703" s="120" t="s">
        <v>286</v>
      </c>
      <c r="D3703"/>
      <c r="E3703"/>
      <c r="F3703"/>
      <c r="G3703"/>
      <c r="H3703"/>
      <c r="I3703" s="21" t="str">
        <f t="shared" si="115"/>
        <v/>
      </c>
      <c r="L3703" s="24"/>
      <c r="M3703" s="24"/>
    </row>
    <row r="3704" spans="1:13">
      <c r="A3704" s="10" t="str">
        <f t="shared" si="114"/>
        <v/>
      </c>
      <c r="C3704" s="120" t="s">
        <v>126</v>
      </c>
      <c r="D3704"/>
      <c r="E3704"/>
      <c r="F3704"/>
      <c r="G3704"/>
      <c r="H3704"/>
      <c r="I3704" s="21" t="str">
        <f t="shared" si="115"/>
        <v/>
      </c>
      <c r="L3704" s="24"/>
      <c r="M3704" s="24"/>
    </row>
    <row r="3705" spans="1:13">
      <c r="A3705" s="14" t="str">
        <f t="shared" si="114"/>
        <v/>
      </c>
      <c r="C3705" s="120" t="s">
        <v>128</v>
      </c>
      <c r="D3705"/>
      <c r="E3705"/>
      <c r="F3705"/>
      <c r="G3705"/>
      <c r="H3705"/>
      <c r="I3705" s="21" t="str">
        <f t="shared" si="115"/>
        <v/>
      </c>
      <c r="L3705" s="24"/>
      <c r="M3705" s="24"/>
    </row>
    <row r="3706" spans="1:13">
      <c r="A3706" s="10" t="str">
        <f t="shared" si="114"/>
        <v/>
      </c>
      <c r="C3706" s="120" t="s">
        <v>280</v>
      </c>
      <c r="D3706"/>
      <c r="E3706"/>
      <c r="F3706"/>
      <c r="G3706"/>
      <c r="H3706"/>
      <c r="I3706" s="21" t="str">
        <f t="shared" si="115"/>
        <v/>
      </c>
      <c r="L3706" s="24"/>
      <c r="M3706" s="24"/>
    </row>
    <row r="3707" spans="1:13">
      <c r="A3707" s="14" t="str">
        <f t="shared" si="114"/>
        <v/>
      </c>
      <c r="C3707" s="120" t="s">
        <v>282</v>
      </c>
      <c r="D3707"/>
      <c r="E3707"/>
      <c r="F3707"/>
      <c r="G3707"/>
      <c r="H3707"/>
      <c r="I3707" s="21" t="str">
        <f t="shared" si="115"/>
        <v/>
      </c>
      <c r="L3707" s="24"/>
      <c r="M3707" s="24"/>
    </row>
    <row r="3708" spans="1:13">
      <c r="A3708" s="10" t="str">
        <f t="shared" si="114"/>
        <v/>
      </c>
      <c r="C3708" s="120" t="s">
        <v>284</v>
      </c>
      <c r="D3708"/>
      <c r="E3708"/>
      <c r="F3708"/>
      <c r="G3708"/>
      <c r="H3708"/>
      <c r="I3708" s="21" t="str">
        <f t="shared" si="115"/>
        <v/>
      </c>
      <c r="L3708" s="24"/>
      <c r="M3708" s="24"/>
    </row>
    <row r="3709" spans="1:13">
      <c r="A3709" s="14" t="str">
        <f t="shared" si="114"/>
        <v/>
      </c>
      <c r="C3709" s="120" t="s">
        <v>286</v>
      </c>
      <c r="D3709"/>
      <c r="E3709"/>
      <c r="F3709"/>
      <c r="G3709"/>
      <c r="H3709"/>
      <c r="I3709" s="21" t="str">
        <f t="shared" si="115"/>
        <v/>
      </c>
      <c r="L3709" s="24"/>
      <c r="M3709" s="24"/>
    </row>
    <row r="3710" spans="1:13">
      <c r="A3710" s="10" t="str">
        <f t="shared" si="114"/>
        <v/>
      </c>
      <c r="C3710" s="120" t="s">
        <v>126</v>
      </c>
      <c r="D3710"/>
      <c r="E3710"/>
      <c r="F3710"/>
      <c r="G3710"/>
      <c r="H3710"/>
      <c r="I3710" s="21" t="str">
        <f t="shared" si="115"/>
        <v/>
      </c>
      <c r="L3710" s="24"/>
      <c r="M3710" s="24"/>
    </row>
    <row r="3711" spans="1:13">
      <c r="A3711" s="14" t="str">
        <f t="shared" si="114"/>
        <v/>
      </c>
      <c r="C3711" s="120" t="s">
        <v>128</v>
      </c>
      <c r="D3711"/>
      <c r="E3711"/>
      <c r="F3711"/>
      <c r="G3711"/>
      <c r="H3711"/>
      <c r="I3711" s="21" t="str">
        <f t="shared" si="115"/>
        <v/>
      </c>
      <c r="L3711" s="24"/>
      <c r="M3711" s="24"/>
    </row>
    <row r="3712" spans="1:13">
      <c r="A3712" s="10" t="str">
        <f t="shared" si="114"/>
        <v/>
      </c>
      <c r="C3712" s="120" t="s">
        <v>280</v>
      </c>
      <c r="D3712"/>
      <c r="E3712"/>
      <c r="F3712"/>
      <c r="G3712"/>
      <c r="H3712"/>
      <c r="I3712" s="21" t="str">
        <f t="shared" si="115"/>
        <v/>
      </c>
      <c r="L3712" s="24"/>
      <c r="M3712" s="24"/>
    </row>
    <row r="3713" spans="1:13">
      <c r="A3713" s="14" t="str">
        <f t="shared" si="114"/>
        <v/>
      </c>
      <c r="C3713" s="120" t="s">
        <v>282</v>
      </c>
      <c r="D3713"/>
      <c r="E3713"/>
      <c r="F3713"/>
      <c r="G3713"/>
      <c r="H3713"/>
      <c r="I3713" s="21" t="str">
        <f t="shared" si="115"/>
        <v/>
      </c>
      <c r="L3713" s="24"/>
      <c r="M3713" s="24"/>
    </row>
    <row r="3714" spans="1:13">
      <c r="A3714" s="10" t="str">
        <f t="shared" ref="A3714:A3777" si="116">IF(B3714&lt;&gt;"",ROW()-1,"")</f>
        <v/>
      </c>
      <c r="C3714" s="120" t="s">
        <v>284</v>
      </c>
      <c r="D3714"/>
      <c r="E3714"/>
      <c r="F3714"/>
      <c r="G3714"/>
      <c r="H3714"/>
      <c r="I3714" s="21" t="str">
        <f t="shared" ref="I3714:I3777" si="117">IF(AND(G3714&lt;&gt;"",H3714&lt;&gt;""),H3714-G3714,"")</f>
        <v/>
      </c>
      <c r="L3714" s="24"/>
      <c r="M3714" s="24"/>
    </row>
    <row r="3715" spans="1:13">
      <c r="A3715" s="14" t="str">
        <f t="shared" si="116"/>
        <v/>
      </c>
      <c r="C3715" s="120" t="s">
        <v>286</v>
      </c>
      <c r="D3715"/>
      <c r="E3715"/>
      <c r="F3715"/>
      <c r="G3715"/>
      <c r="H3715"/>
      <c r="I3715" s="21" t="str">
        <f t="shared" si="117"/>
        <v/>
      </c>
      <c r="L3715" s="24"/>
      <c r="M3715" s="24"/>
    </row>
    <row r="3716" spans="1:13">
      <c r="A3716" s="10" t="str">
        <f t="shared" si="116"/>
        <v/>
      </c>
      <c r="C3716" s="120" t="s">
        <v>126</v>
      </c>
      <c r="D3716"/>
      <c r="E3716"/>
      <c r="F3716"/>
      <c r="G3716"/>
      <c r="H3716"/>
      <c r="I3716" s="21" t="str">
        <f t="shared" si="117"/>
        <v/>
      </c>
      <c r="L3716" s="24"/>
      <c r="M3716" s="24"/>
    </row>
    <row r="3717" spans="1:13">
      <c r="A3717" s="14" t="str">
        <f t="shared" si="116"/>
        <v/>
      </c>
      <c r="C3717" s="120" t="s">
        <v>128</v>
      </c>
      <c r="D3717"/>
      <c r="E3717"/>
      <c r="F3717"/>
      <c r="G3717"/>
      <c r="H3717"/>
      <c r="I3717" s="21" t="str">
        <f t="shared" si="117"/>
        <v/>
      </c>
      <c r="L3717" s="24"/>
      <c r="M3717" s="24"/>
    </row>
    <row r="3718" spans="1:13">
      <c r="A3718" s="10" t="str">
        <f t="shared" si="116"/>
        <v/>
      </c>
      <c r="C3718" s="120" t="s">
        <v>280</v>
      </c>
      <c r="D3718"/>
      <c r="E3718"/>
      <c r="F3718"/>
      <c r="G3718"/>
      <c r="H3718"/>
      <c r="I3718" s="21" t="str">
        <f t="shared" si="117"/>
        <v/>
      </c>
      <c r="L3718" s="24"/>
      <c r="M3718" s="24"/>
    </row>
    <row r="3719" spans="1:13">
      <c r="A3719" s="14" t="str">
        <f t="shared" si="116"/>
        <v/>
      </c>
      <c r="C3719" s="120" t="s">
        <v>282</v>
      </c>
      <c r="D3719"/>
      <c r="E3719"/>
      <c r="F3719"/>
      <c r="G3719"/>
      <c r="H3719"/>
      <c r="I3719" s="21" t="str">
        <f t="shared" si="117"/>
        <v/>
      </c>
      <c r="L3719" s="24"/>
      <c r="M3719" s="24"/>
    </row>
    <row r="3720" spans="1:13">
      <c r="A3720" s="10" t="str">
        <f t="shared" si="116"/>
        <v/>
      </c>
      <c r="C3720" s="120" t="s">
        <v>284</v>
      </c>
      <c r="D3720"/>
      <c r="E3720"/>
      <c r="F3720"/>
      <c r="G3720"/>
      <c r="H3720"/>
      <c r="I3720" s="21" t="str">
        <f t="shared" si="117"/>
        <v/>
      </c>
      <c r="L3720" s="24"/>
      <c r="M3720" s="24"/>
    </row>
    <row r="3721" spans="1:13">
      <c r="A3721" s="14" t="str">
        <f t="shared" si="116"/>
        <v/>
      </c>
      <c r="C3721" s="120" t="s">
        <v>286</v>
      </c>
      <c r="D3721"/>
      <c r="E3721"/>
      <c r="F3721"/>
      <c r="G3721"/>
      <c r="H3721"/>
      <c r="I3721" s="21" t="str">
        <f t="shared" si="117"/>
        <v/>
      </c>
      <c r="L3721" s="24"/>
      <c r="M3721" s="24"/>
    </row>
    <row r="3722" spans="1:13">
      <c r="A3722" s="10" t="str">
        <f t="shared" si="116"/>
        <v/>
      </c>
      <c r="C3722" s="120" t="s">
        <v>126</v>
      </c>
      <c r="D3722"/>
      <c r="E3722"/>
      <c r="F3722"/>
      <c r="G3722"/>
      <c r="H3722"/>
      <c r="I3722" s="21" t="str">
        <f t="shared" si="117"/>
        <v/>
      </c>
      <c r="L3722" s="24"/>
      <c r="M3722" s="24"/>
    </row>
    <row r="3723" spans="1:13">
      <c r="A3723" s="14" t="str">
        <f t="shared" si="116"/>
        <v/>
      </c>
      <c r="C3723" s="120" t="s">
        <v>128</v>
      </c>
      <c r="D3723"/>
      <c r="E3723"/>
      <c r="F3723"/>
      <c r="G3723"/>
      <c r="H3723"/>
      <c r="I3723" s="21" t="str">
        <f t="shared" si="117"/>
        <v/>
      </c>
      <c r="L3723" s="24"/>
      <c r="M3723" s="24"/>
    </row>
    <row r="3724" spans="1:13">
      <c r="A3724" s="10" t="str">
        <f t="shared" si="116"/>
        <v/>
      </c>
      <c r="C3724" s="120" t="s">
        <v>280</v>
      </c>
      <c r="D3724"/>
      <c r="E3724"/>
      <c r="F3724"/>
      <c r="G3724"/>
      <c r="H3724"/>
      <c r="I3724" s="21" t="str">
        <f t="shared" si="117"/>
        <v/>
      </c>
      <c r="L3724" s="24"/>
      <c r="M3724" s="24"/>
    </row>
    <row r="3725" spans="1:13">
      <c r="A3725" s="14" t="str">
        <f t="shared" si="116"/>
        <v/>
      </c>
      <c r="C3725" s="120" t="s">
        <v>282</v>
      </c>
      <c r="D3725"/>
      <c r="E3725"/>
      <c r="F3725"/>
      <c r="G3725"/>
      <c r="H3725"/>
      <c r="I3725" s="21" t="str">
        <f t="shared" si="117"/>
        <v/>
      </c>
      <c r="L3725" s="24"/>
      <c r="M3725" s="24"/>
    </row>
    <row r="3726" spans="1:13">
      <c r="A3726" s="10" t="str">
        <f t="shared" si="116"/>
        <v/>
      </c>
      <c r="C3726" s="120" t="s">
        <v>284</v>
      </c>
      <c r="D3726"/>
      <c r="E3726"/>
      <c r="F3726"/>
      <c r="G3726"/>
      <c r="H3726"/>
      <c r="I3726" s="21" t="str">
        <f t="shared" si="117"/>
        <v/>
      </c>
      <c r="L3726" s="24"/>
      <c r="M3726" s="24"/>
    </row>
    <row r="3727" spans="1:13">
      <c r="A3727" s="14" t="str">
        <f t="shared" si="116"/>
        <v/>
      </c>
      <c r="C3727" s="120" t="s">
        <v>286</v>
      </c>
      <c r="D3727"/>
      <c r="E3727"/>
      <c r="F3727"/>
      <c r="G3727"/>
      <c r="H3727"/>
      <c r="I3727" s="21" t="str">
        <f t="shared" si="117"/>
        <v/>
      </c>
      <c r="L3727" s="24"/>
      <c r="M3727" s="24"/>
    </row>
    <row r="3728" spans="1:13">
      <c r="A3728" s="10" t="str">
        <f t="shared" si="116"/>
        <v/>
      </c>
      <c r="C3728" s="120" t="s">
        <v>126</v>
      </c>
      <c r="D3728"/>
      <c r="E3728"/>
      <c r="F3728"/>
      <c r="G3728"/>
      <c r="H3728"/>
      <c r="I3728" s="21" t="str">
        <f t="shared" si="117"/>
        <v/>
      </c>
      <c r="L3728" s="24"/>
      <c r="M3728" s="24"/>
    </row>
    <row r="3729" spans="1:13">
      <c r="A3729" s="14" t="str">
        <f t="shared" si="116"/>
        <v/>
      </c>
      <c r="C3729" s="120" t="s">
        <v>128</v>
      </c>
      <c r="D3729"/>
      <c r="E3729"/>
      <c r="F3729"/>
      <c r="G3729"/>
      <c r="H3729"/>
      <c r="I3729" s="21" t="str">
        <f t="shared" si="117"/>
        <v/>
      </c>
      <c r="L3729" s="24"/>
      <c r="M3729" s="24"/>
    </row>
    <row r="3730" spans="1:13">
      <c r="A3730" s="10" t="str">
        <f t="shared" si="116"/>
        <v/>
      </c>
      <c r="C3730" s="120" t="s">
        <v>280</v>
      </c>
      <c r="D3730"/>
      <c r="E3730"/>
      <c r="F3730"/>
      <c r="G3730"/>
      <c r="H3730"/>
      <c r="I3730" s="21" t="str">
        <f t="shared" si="117"/>
        <v/>
      </c>
      <c r="L3730" s="24"/>
      <c r="M3730" s="24"/>
    </row>
    <row r="3731" spans="1:13">
      <c r="A3731" s="14" t="str">
        <f t="shared" si="116"/>
        <v/>
      </c>
      <c r="C3731" s="120" t="s">
        <v>282</v>
      </c>
      <c r="D3731"/>
      <c r="E3731"/>
      <c r="F3731"/>
      <c r="G3731"/>
      <c r="H3731"/>
      <c r="I3731" s="21" t="str">
        <f t="shared" si="117"/>
        <v/>
      </c>
      <c r="L3731" s="24"/>
      <c r="M3731" s="24"/>
    </row>
    <row r="3732" spans="1:13">
      <c r="A3732" s="10" t="str">
        <f t="shared" si="116"/>
        <v/>
      </c>
      <c r="C3732" s="120" t="s">
        <v>284</v>
      </c>
      <c r="D3732"/>
      <c r="E3732"/>
      <c r="F3732"/>
      <c r="G3732"/>
      <c r="H3732"/>
      <c r="I3732" s="21" t="str">
        <f t="shared" si="117"/>
        <v/>
      </c>
      <c r="L3732" s="24"/>
      <c r="M3732" s="24"/>
    </row>
    <row r="3733" spans="1:13">
      <c r="A3733" s="14" t="str">
        <f t="shared" si="116"/>
        <v/>
      </c>
      <c r="C3733" s="120" t="s">
        <v>286</v>
      </c>
      <c r="D3733"/>
      <c r="E3733"/>
      <c r="F3733"/>
      <c r="G3733"/>
      <c r="H3733"/>
      <c r="I3733" s="21" t="str">
        <f t="shared" si="117"/>
        <v/>
      </c>
      <c r="L3733" s="24"/>
      <c r="M3733" s="24"/>
    </row>
    <row r="3734" spans="1:13">
      <c r="A3734" s="10" t="str">
        <f t="shared" si="116"/>
        <v/>
      </c>
      <c r="C3734" s="120" t="s">
        <v>126</v>
      </c>
      <c r="D3734"/>
      <c r="E3734"/>
      <c r="F3734"/>
      <c r="G3734"/>
      <c r="H3734"/>
      <c r="I3734" s="21" t="str">
        <f t="shared" si="117"/>
        <v/>
      </c>
      <c r="L3734" s="24"/>
      <c r="M3734" s="24"/>
    </row>
    <row r="3735" spans="1:13">
      <c r="A3735" s="14" t="str">
        <f t="shared" si="116"/>
        <v/>
      </c>
      <c r="C3735" s="120" t="s">
        <v>128</v>
      </c>
      <c r="D3735"/>
      <c r="E3735"/>
      <c r="F3735"/>
      <c r="G3735"/>
      <c r="H3735"/>
      <c r="I3735" s="21" t="str">
        <f t="shared" si="117"/>
        <v/>
      </c>
      <c r="L3735" s="24"/>
      <c r="M3735" s="24"/>
    </row>
    <row r="3736" spans="1:13">
      <c r="A3736" s="10" t="str">
        <f t="shared" si="116"/>
        <v/>
      </c>
      <c r="C3736" s="120" t="s">
        <v>280</v>
      </c>
      <c r="D3736"/>
      <c r="E3736"/>
      <c r="F3736"/>
      <c r="G3736"/>
      <c r="H3736"/>
      <c r="I3736" s="21" t="str">
        <f t="shared" si="117"/>
        <v/>
      </c>
      <c r="L3736" s="24"/>
      <c r="M3736" s="24"/>
    </row>
    <row r="3737" spans="1:13">
      <c r="A3737" s="14" t="str">
        <f t="shared" si="116"/>
        <v/>
      </c>
      <c r="C3737" s="120" t="s">
        <v>282</v>
      </c>
      <c r="D3737"/>
      <c r="E3737"/>
      <c r="F3737"/>
      <c r="G3737"/>
      <c r="H3737"/>
      <c r="I3737" s="21" t="str">
        <f t="shared" si="117"/>
        <v/>
      </c>
      <c r="L3737" s="24"/>
      <c r="M3737" s="24"/>
    </row>
    <row r="3738" spans="1:13">
      <c r="A3738" s="10" t="str">
        <f t="shared" si="116"/>
        <v/>
      </c>
      <c r="C3738" s="120" t="s">
        <v>284</v>
      </c>
      <c r="D3738"/>
      <c r="E3738"/>
      <c r="F3738"/>
      <c r="G3738"/>
      <c r="H3738"/>
      <c r="I3738" s="21" t="str">
        <f t="shared" si="117"/>
        <v/>
      </c>
      <c r="L3738" s="24"/>
      <c r="M3738" s="24"/>
    </row>
    <row r="3739" spans="1:13">
      <c r="A3739" s="14" t="str">
        <f t="shared" si="116"/>
        <v/>
      </c>
      <c r="C3739" s="120" t="s">
        <v>286</v>
      </c>
      <c r="D3739"/>
      <c r="E3739"/>
      <c r="F3739"/>
      <c r="G3739"/>
      <c r="H3739"/>
      <c r="I3739" s="21" t="str">
        <f t="shared" si="117"/>
        <v/>
      </c>
      <c r="L3739" s="24"/>
      <c r="M3739" s="24"/>
    </row>
    <row r="3740" spans="1:13">
      <c r="A3740" s="10" t="str">
        <f t="shared" si="116"/>
        <v/>
      </c>
      <c r="C3740" s="120" t="s">
        <v>126</v>
      </c>
      <c r="D3740"/>
      <c r="E3740"/>
      <c r="F3740"/>
      <c r="G3740"/>
      <c r="H3740"/>
      <c r="I3740" s="21" t="str">
        <f t="shared" si="117"/>
        <v/>
      </c>
      <c r="L3740" s="24"/>
      <c r="M3740" s="24"/>
    </row>
    <row r="3741" spans="1:13">
      <c r="A3741" s="14" t="str">
        <f t="shared" si="116"/>
        <v/>
      </c>
      <c r="C3741" s="120" t="s">
        <v>128</v>
      </c>
      <c r="D3741"/>
      <c r="E3741"/>
      <c r="F3741"/>
      <c r="G3741"/>
      <c r="H3741"/>
      <c r="I3741" s="21" t="str">
        <f t="shared" si="117"/>
        <v/>
      </c>
      <c r="L3741" s="24"/>
      <c r="M3741" s="24"/>
    </row>
    <row r="3742" spans="1:13">
      <c r="A3742" s="10" t="str">
        <f t="shared" si="116"/>
        <v/>
      </c>
      <c r="C3742" s="120" t="s">
        <v>280</v>
      </c>
      <c r="D3742"/>
      <c r="E3742"/>
      <c r="F3742"/>
      <c r="G3742"/>
      <c r="H3742"/>
      <c r="I3742" s="21" t="str">
        <f t="shared" si="117"/>
        <v/>
      </c>
      <c r="L3742" s="24"/>
      <c r="M3742" s="24"/>
    </row>
    <row r="3743" spans="1:13">
      <c r="A3743" s="14" t="str">
        <f t="shared" si="116"/>
        <v/>
      </c>
      <c r="C3743" s="120" t="s">
        <v>282</v>
      </c>
      <c r="D3743"/>
      <c r="E3743"/>
      <c r="F3743"/>
      <c r="G3743"/>
      <c r="H3743"/>
      <c r="I3743" s="21" t="str">
        <f t="shared" si="117"/>
        <v/>
      </c>
      <c r="L3743" s="24"/>
      <c r="M3743" s="24"/>
    </row>
    <row r="3744" spans="1:13">
      <c r="A3744" s="10" t="str">
        <f t="shared" si="116"/>
        <v/>
      </c>
      <c r="C3744" s="120" t="s">
        <v>284</v>
      </c>
      <c r="D3744"/>
      <c r="E3744"/>
      <c r="F3744"/>
      <c r="G3744"/>
      <c r="H3744"/>
      <c r="I3744" s="21" t="str">
        <f t="shared" si="117"/>
        <v/>
      </c>
      <c r="L3744" s="24"/>
      <c r="M3744" s="24"/>
    </row>
    <row r="3745" spans="1:13">
      <c r="A3745" s="14" t="str">
        <f t="shared" si="116"/>
        <v/>
      </c>
      <c r="C3745" s="120" t="s">
        <v>286</v>
      </c>
      <c r="D3745"/>
      <c r="E3745"/>
      <c r="F3745"/>
      <c r="G3745"/>
      <c r="H3745"/>
      <c r="I3745" s="21" t="str">
        <f t="shared" si="117"/>
        <v/>
      </c>
      <c r="L3745" s="24"/>
      <c r="M3745" s="24"/>
    </row>
    <row r="3746" spans="1:13">
      <c r="A3746" s="10" t="str">
        <f t="shared" si="116"/>
        <v/>
      </c>
      <c r="C3746" s="120" t="s">
        <v>126</v>
      </c>
      <c r="D3746"/>
      <c r="E3746"/>
      <c r="F3746"/>
      <c r="G3746"/>
      <c r="H3746"/>
      <c r="I3746" s="21" t="str">
        <f t="shared" si="117"/>
        <v/>
      </c>
      <c r="L3746" s="24"/>
      <c r="M3746" s="24"/>
    </row>
    <row r="3747" spans="1:13">
      <c r="A3747" s="14" t="str">
        <f t="shared" si="116"/>
        <v/>
      </c>
      <c r="C3747" s="120" t="s">
        <v>128</v>
      </c>
      <c r="D3747"/>
      <c r="E3747"/>
      <c r="F3747"/>
      <c r="G3747"/>
      <c r="H3747"/>
      <c r="I3747" s="21" t="str">
        <f t="shared" si="117"/>
        <v/>
      </c>
      <c r="L3747" s="24"/>
      <c r="M3747" s="24"/>
    </row>
    <row r="3748" spans="1:13">
      <c r="A3748" s="10" t="str">
        <f t="shared" si="116"/>
        <v/>
      </c>
      <c r="C3748" s="120" t="s">
        <v>280</v>
      </c>
      <c r="D3748"/>
      <c r="E3748"/>
      <c r="F3748"/>
      <c r="G3748"/>
      <c r="H3748"/>
      <c r="I3748" s="21" t="str">
        <f t="shared" si="117"/>
        <v/>
      </c>
      <c r="L3748" s="24"/>
      <c r="M3748" s="24"/>
    </row>
    <row r="3749" spans="1:13">
      <c r="A3749" s="14" t="str">
        <f t="shared" si="116"/>
        <v/>
      </c>
      <c r="C3749" s="120" t="s">
        <v>282</v>
      </c>
      <c r="D3749"/>
      <c r="E3749"/>
      <c r="F3749"/>
      <c r="G3749"/>
      <c r="H3749"/>
      <c r="I3749" s="21" t="str">
        <f t="shared" si="117"/>
        <v/>
      </c>
      <c r="L3749" s="24"/>
      <c r="M3749" s="24"/>
    </row>
    <row r="3750" spans="1:13">
      <c r="A3750" s="10" t="str">
        <f t="shared" si="116"/>
        <v/>
      </c>
      <c r="C3750" s="120" t="s">
        <v>284</v>
      </c>
      <c r="D3750"/>
      <c r="E3750"/>
      <c r="F3750"/>
      <c r="G3750"/>
      <c r="H3750"/>
      <c r="I3750" s="21" t="str">
        <f t="shared" si="117"/>
        <v/>
      </c>
      <c r="L3750" s="24"/>
      <c r="M3750" s="24"/>
    </row>
    <row r="3751" spans="1:13">
      <c r="A3751" s="14" t="str">
        <f t="shared" si="116"/>
        <v/>
      </c>
      <c r="C3751" s="120" t="s">
        <v>286</v>
      </c>
      <c r="D3751"/>
      <c r="E3751"/>
      <c r="F3751"/>
      <c r="G3751"/>
      <c r="H3751"/>
      <c r="I3751" s="21" t="str">
        <f t="shared" si="117"/>
        <v/>
      </c>
      <c r="L3751" s="24"/>
      <c r="M3751" s="24"/>
    </row>
    <row r="3752" spans="1:13">
      <c r="A3752" s="10" t="str">
        <f t="shared" si="116"/>
        <v/>
      </c>
      <c r="C3752" s="120" t="s">
        <v>126</v>
      </c>
      <c r="D3752"/>
      <c r="E3752"/>
      <c r="F3752"/>
      <c r="G3752"/>
      <c r="H3752"/>
      <c r="I3752" s="21" t="str">
        <f t="shared" si="117"/>
        <v/>
      </c>
      <c r="L3752" s="24"/>
      <c r="M3752" s="24"/>
    </row>
    <row r="3753" spans="1:13">
      <c r="A3753" s="14" t="str">
        <f t="shared" si="116"/>
        <v/>
      </c>
      <c r="C3753" s="120" t="s">
        <v>128</v>
      </c>
      <c r="D3753"/>
      <c r="E3753"/>
      <c r="F3753"/>
      <c r="G3753"/>
      <c r="H3753"/>
      <c r="I3753" s="21" t="str">
        <f t="shared" si="117"/>
        <v/>
      </c>
      <c r="L3753" s="24"/>
      <c r="M3753" s="24"/>
    </row>
    <row r="3754" spans="1:13">
      <c r="A3754" s="10" t="str">
        <f t="shared" si="116"/>
        <v/>
      </c>
      <c r="C3754" s="120" t="s">
        <v>280</v>
      </c>
      <c r="D3754"/>
      <c r="E3754"/>
      <c r="F3754"/>
      <c r="G3754"/>
      <c r="H3754"/>
      <c r="I3754" s="21" t="str">
        <f t="shared" si="117"/>
        <v/>
      </c>
      <c r="L3754" s="24"/>
      <c r="M3754" s="24"/>
    </row>
    <row r="3755" spans="1:13">
      <c r="A3755" s="14" t="str">
        <f t="shared" si="116"/>
        <v/>
      </c>
      <c r="C3755" s="120" t="s">
        <v>282</v>
      </c>
      <c r="D3755"/>
      <c r="E3755"/>
      <c r="F3755"/>
      <c r="G3755"/>
      <c r="H3755"/>
      <c r="I3755" s="21" t="str">
        <f t="shared" si="117"/>
        <v/>
      </c>
      <c r="L3755" s="24"/>
      <c r="M3755" s="24"/>
    </row>
    <row r="3756" spans="1:13">
      <c r="A3756" s="10" t="str">
        <f t="shared" si="116"/>
        <v/>
      </c>
      <c r="C3756" s="120" t="s">
        <v>284</v>
      </c>
      <c r="D3756"/>
      <c r="E3756"/>
      <c r="F3756"/>
      <c r="G3756"/>
      <c r="H3756"/>
      <c r="I3756" s="21" t="str">
        <f t="shared" si="117"/>
        <v/>
      </c>
      <c r="L3756" s="24"/>
      <c r="M3756" s="24"/>
    </row>
    <row r="3757" spans="1:13">
      <c r="A3757" s="14" t="str">
        <f t="shared" si="116"/>
        <v/>
      </c>
      <c r="C3757" s="120" t="s">
        <v>286</v>
      </c>
      <c r="D3757"/>
      <c r="E3757"/>
      <c r="F3757"/>
      <c r="G3757"/>
      <c r="H3757"/>
      <c r="I3757" s="21" t="str">
        <f t="shared" si="117"/>
        <v/>
      </c>
      <c r="L3757" s="24"/>
      <c r="M3757" s="24"/>
    </row>
    <row r="3758" spans="1:13">
      <c r="A3758" s="10" t="str">
        <f t="shared" si="116"/>
        <v/>
      </c>
      <c r="C3758" s="120" t="s">
        <v>126</v>
      </c>
      <c r="D3758"/>
      <c r="E3758"/>
      <c r="F3758"/>
      <c r="G3758"/>
      <c r="H3758"/>
      <c r="I3758" s="21" t="str">
        <f t="shared" si="117"/>
        <v/>
      </c>
      <c r="L3758" s="24"/>
      <c r="M3758" s="24"/>
    </row>
    <row r="3759" spans="1:13">
      <c r="A3759" s="14" t="str">
        <f t="shared" si="116"/>
        <v/>
      </c>
      <c r="C3759" s="120" t="s">
        <v>128</v>
      </c>
      <c r="D3759"/>
      <c r="E3759"/>
      <c r="F3759"/>
      <c r="G3759"/>
      <c r="H3759"/>
      <c r="I3759" s="21" t="str">
        <f t="shared" si="117"/>
        <v/>
      </c>
      <c r="L3759" s="24"/>
      <c r="M3759" s="24"/>
    </row>
    <row r="3760" spans="1:13">
      <c r="A3760" s="10" t="str">
        <f t="shared" si="116"/>
        <v/>
      </c>
      <c r="C3760" s="120" t="s">
        <v>280</v>
      </c>
      <c r="D3760"/>
      <c r="E3760"/>
      <c r="F3760"/>
      <c r="G3760"/>
      <c r="H3760"/>
      <c r="I3760" s="21" t="str">
        <f t="shared" si="117"/>
        <v/>
      </c>
      <c r="L3760" s="24"/>
      <c r="M3760" s="24"/>
    </row>
    <row r="3761" spans="1:13">
      <c r="A3761" s="14" t="str">
        <f t="shared" si="116"/>
        <v/>
      </c>
      <c r="C3761" s="120" t="s">
        <v>282</v>
      </c>
      <c r="D3761"/>
      <c r="E3761"/>
      <c r="F3761"/>
      <c r="G3761"/>
      <c r="H3761"/>
      <c r="I3761" s="21" t="str">
        <f t="shared" si="117"/>
        <v/>
      </c>
      <c r="L3761" s="24"/>
      <c r="M3761" s="24"/>
    </row>
    <row r="3762" spans="1:13">
      <c r="A3762" s="10" t="str">
        <f t="shared" si="116"/>
        <v/>
      </c>
      <c r="C3762" s="120" t="s">
        <v>284</v>
      </c>
      <c r="D3762"/>
      <c r="E3762"/>
      <c r="F3762"/>
      <c r="G3762"/>
      <c r="H3762"/>
      <c r="I3762" s="21" t="str">
        <f t="shared" si="117"/>
        <v/>
      </c>
      <c r="L3762" s="24"/>
      <c r="M3762" s="24"/>
    </row>
    <row r="3763" spans="1:13">
      <c r="A3763" s="14" t="str">
        <f t="shared" si="116"/>
        <v/>
      </c>
      <c r="C3763" s="120" t="s">
        <v>286</v>
      </c>
      <c r="D3763"/>
      <c r="E3763"/>
      <c r="F3763"/>
      <c r="G3763"/>
      <c r="H3763"/>
      <c r="I3763" s="21" t="str">
        <f t="shared" si="117"/>
        <v/>
      </c>
      <c r="L3763" s="24"/>
      <c r="M3763" s="24"/>
    </row>
    <row r="3764" spans="1:13">
      <c r="A3764" s="10" t="str">
        <f t="shared" si="116"/>
        <v/>
      </c>
      <c r="C3764" s="120" t="s">
        <v>126</v>
      </c>
      <c r="D3764"/>
      <c r="E3764"/>
      <c r="F3764"/>
      <c r="G3764"/>
      <c r="H3764"/>
      <c r="I3764" s="21" t="str">
        <f t="shared" si="117"/>
        <v/>
      </c>
      <c r="L3764" s="24"/>
      <c r="M3764" s="24"/>
    </row>
    <row r="3765" spans="1:13">
      <c r="A3765" s="14" t="str">
        <f t="shared" si="116"/>
        <v/>
      </c>
      <c r="C3765" s="120" t="s">
        <v>128</v>
      </c>
      <c r="D3765"/>
      <c r="E3765"/>
      <c r="F3765"/>
      <c r="G3765"/>
      <c r="H3765"/>
      <c r="I3765" s="21" t="str">
        <f t="shared" si="117"/>
        <v/>
      </c>
      <c r="L3765" s="24"/>
      <c r="M3765" s="24"/>
    </row>
    <row r="3766" spans="1:13">
      <c r="A3766" s="10" t="str">
        <f t="shared" si="116"/>
        <v/>
      </c>
      <c r="C3766" s="120" t="s">
        <v>280</v>
      </c>
      <c r="D3766"/>
      <c r="E3766"/>
      <c r="F3766"/>
      <c r="G3766"/>
      <c r="H3766"/>
      <c r="I3766" s="21" t="str">
        <f t="shared" si="117"/>
        <v/>
      </c>
      <c r="L3766" s="24"/>
      <c r="M3766" s="24"/>
    </row>
    <row r="3767" spans="1:13">
      <c r="A3767" s="14" t="str">
        <f t="shared" si="116"/>
        <v/>
      </c>
      <c r="C3767" s="120" t="s">
        <v>282</v>
      </c>
      <c r="D3767"/>
      <c r="E3767"/>
      <c r="F3767"/>
      <c r="G3767"/>
      <c r="H3767"/>
      <c r="I3767" s="21" t="str">
        <f t="shared" si="117"/>
        <v/>
      </c>
      <c r="L3767" s="24"/>
      <c r="M3767" s="24"/>
    </row>
    <row r="3768" spans="1:13">
      <c r="A3768" s="10" t="str">
        <f t="shared" si="116"/>
        <v/>
      </c>
      <c r="C3768" s="120" t="s">
        <v>284</v>
      </c>
      <c r="D3768"/>
      <c r="E3768"/>
      <c r="F3768"/>
      <c r="G3768"/>
      <c r="H3768"/>
      <c r="I3768" s="21" t="str">
        <f t="shared" si="117"/>
        <v/>
      </c>
      <c r="L3768" s="24"/>
      <c r="M3768" s="24"/>
    </row>
    <row r="3769" spans="1:13">
      <c r="A3769" s="14" t="str">
        <f t="shared" si="116"/>
        <v/>
      </c>
      <c r="C3769" s="120" t="s">
        <v>286</v>
      </c>
      <c r="D3769"/>
      <c r="E3769"/>
      <c r="F3769"/>
      <c r="G3769"/>
      <c r="H3769"/>
      <c r="I3769" s="21" t="str">
        <f t="shared" si="117"/>
        <v/>
      </c>
      <c r="L3769" s="24"/>
      <c r="M3769" s="24"/>
    </row>
    <row r="3770" spans="1:13">
      <c r="A3770" s="10" t="str">
        <f t="shared" si="116"/>
        <v/>
      </c>
      <c r="C3770" s="120" t="s">
        <v>126</v>
      </c>
      <c r="D3770"/>
      <c r="E3770"/>
      <c r="F3770"/>
      <c r="G3770"/>
      <c r="H3770"/>
      <c r="I3770" s="21" t="str">
        <f t="shared" si="117"/>
        <v/>
      </c>
      <c r="L3770" s="24"/>
      <c r="M3770" s="24"/>
    </row>
    <row r="3771" spans="1:13">
      <c r="A3771" s="14" t="str">
        <f t="shared" si="116"/>
        <v/>
      </c>
      <c r="C3771" s="120" t="s">
        <v>128</v>
      </c>
      <c r="D3771"/>
      <c r="E3771"/>
      <c r="F3771"/>
      <c r="G3771"/>
      <c r="H3771"/>
      <c r="I3771" s="21" t="str">
        <f t="shared" si="117"/>
        <v/>
      </c>
      <c r="L3771" s="24"/>
      <c r="M3771" s="24"/>
    </row>
    <row r="3772" spans="1:13">
      <c r="A3772" s="10" t="str">
        <f t="shared" si="116"/>
        <v/>
      </c>
      <c r="C3772" s="120" t="s">
        <v>280</v>
      </c>
      <c r="D3772"/>
      <c r="E3772"/>
      <c r="F3772"/>
      <c r="G3772"/>
      <c r="H3772"/>
      <c r="I3772" s="21" t="str">
        <f t="shared" si="117"/>
        <v/>
      </c>
      <c r="L3772" s="24"/>
      <c r="M3772" s="24"/>
    </row>
    <row r="3773" spans="1:13">
      <c r="A3773" s="14" t="str">
        <f t="shared" si="116"/>
        <v/>
      </c>
      <c r="C3773" s="120" t="s">
        <v>282</v>
      </c>
      <c r="D3773"/>
      <c r="E3773"/>
      <c r="F3773"/>
      <c r="G3773"/>
      <c r="H3773"/>
      <c r="I3773" s="21" t="str">
        <f t="shared" si="117"/>
        <v/>
      </c>
      <c r="L3773" s="24"/>
      <c r="M3773" s="24"/>
    </row>
    <row r="3774" spans="1:13">
      <c r="A3774" s="10" t="str">
        <f t="shared" si="116"/>
        <v/>
      </c>
      <c r="C3774" s="120" t="s">
        <v>284</v>
      </c>
      <c r="D3774"/>
      <c r="E3774"/>
      <c r="F3774"/>
      <c r="G3774"/>
      <c r="H3774"/>
      <c r="I3774" s="21" t="str">
        <f t="shared" si="117"/>
        <v/>
      </c>
      <c r="L3774" s="24"/>
      <c r="M3774" s="24"/>
    </row>
    <row r="3775" spans="1:13">
      <c r="A3775" s="14" t="str">
        <f t="shared" si="116"/>
        <v/>
      </c>
      <c r="C3775" s="120" t="s">
        <v>286</v>
      </c>
      <c r="D3775"/>
      <c r="E3775"/>
      <c r="F3775"/>
      <c r="G3775"/>
      <c r="H3775"/>
      <c r="I3775" s="21" t="str">
        <f t="shared" si="117"/>
        <v/>
      </c>
      <c r="L3775" s="24"/>
      <c r="M3775" s="24"/>
    </row>
    <row r="3776" spans="1:13">
      <c r="A3776" s="10" t="str">
        <f t="shared" si="116"/>
        <v/>
      </c>
      <c r="C3776" s="120" t="s">
        <v>126</v>
      </c>
      <c r="D3776"/>
      <c r="E3776"/>
      <c r="F3776"/>
      <c r="G3776"/>
      <c r="H3776"/>
      <c r="I3776" s="21" t="str">
        <f t="shared" si="117"/>
        <v/>
      </c>
      <c r="L3776" s="24"/>
      <c r="M3776" s="24"/>
    </row>
    <row r="3777" spans="1:13">
      <c r="A3777" s="14" t="str">
        <f t="shared" si="116"/>
        <v/>
      </c>
      <c r="C3777" s="120" t="s">
        <v>128</v>
      </c>
      <c r="D3777"/>
      <c r="E3777"/>
      <c r="F3777"/>
      <c r="G3777"/>
      <c r="H3777"/>
      <c r="I3777" s="21" t="str">
        <f t="shared" si="117"/>
        <v/>
      </c>
      <c r="L3777" s="24"/>
      <c r="M3777" s="24"/>
    </row>
    <row r="3778" spans="1:13">
      <c r="A3778" s="10" t="str">
        <f t="shared" ref="A3778:A3841" si="118">IF(B3778&lt;&gt;"",ROW()-1,"")</f>
        <v/>
      </c>
      <c r="C3778" s="120" t="s">
        <v>280</v>
      </c>
      <c r="D3778"/>
      <c r="E3778"/>
      <c r="F3778"/>
      <c r="G3778"/>
      <c r="H3778"/>
      <c r="I3778" s="21" t="str">
        <f t="shared" ref="I3778:I3841" si="119">IF(AND(G3778&lt;&gt;"",H3778&lt;&gt;""),H3778-G3778,"")</f>
        <v/>
      </c>
      <c r="L3778" s="24"/>
      <c r="M3778" s="24"/>
    </row>
    <row r="3779" spans="1:13">
      <c r="A3779" s="14" t="str">
        <f t="shared" si="118"/>
        <v/>
      </c>
      <c r="C3779" s="120" t="s">
        <v>282</v>
      </c>
      <c r="D3779"/>
      <c r="E3779"/>
      <c r="F3779"/>
      <c r="G3779"/>
      <c r="H3779"/>
      <c r="I3779" s="21" t="str">
        <f t="shared" si="119"/>
        <v/>
      </c>
      <c r="L3779" s="24"/>
      <c r="M3779" s="24"/>
    </row>
    <row r="3780" spans="1:13">
      <c r="A3780" s="10" t="str">
        <f t="shared" si="118"/>
        <v/>
      </c>
      <c r="C3780" s="120" t="s">
        <v>284</v>
      </c>
      <c r="D3780"/>
      <c r="E3780"/>
      <c r="F3780"/>
      <c r="G3780"/>
      <c r="H3780"/>
      <c r="I3780" s="21" t="str">
        <f t="shared" si="119"/>
        <v/>
      </c>
      <c r="L3780" s="24"/>
      <c r="M3780" s="24"/>
    </row>
    <row r="3781" spans="1:13">
      <c r="A3781" s="14" t="str">
        <f t="shared" si="118"/>
        <v/>
      </c>
      <c r="C3781" s="120" t="s">
        <v>286</v>
      </c>
      <c r="D3781"/>
      <c r="E3781"/>
      <c r="F3781"/>
      <c r="G3781"/>
      <c r="H3781"/>
      <c r="I3781" s="21" t="str">
        <f t="shared" si="119"/>
        <v/>
      </c>
      <c r="L3781" s="24"/>
      <c r="M3781" s="24"/>
    </row>
    <row r="3782" spans="1:13">
      <c r="A3782" s="10" t="str">
        <f t="shared" si="118"/>
        <v/>
      </c>
      <c r="C3782" s="120" t="s">
        <v>126</v>
      </c>
      <c r="D3782"/>
      <c r="E3782"/>
      <c r="F3782"/>
      <c r="G3782"/>
      <c r="H3782"/>
      <c r="I3782" s="21" t="str">
        <f t="shared" si="119"/>
        <v/>
      </c>
      <c r="L3782" s="24"/>
      <c r="M3782" s="24"/>
    </row>
    <row r="3783" spans="1:13">
      <c r="A3783" s="14" t="str">
        <f t="shared" si="118"/>
        <v/>
      </c>
      <c r="C3783" s="120" t="s">
        <v>128</v>
      </c>
      <c r="D3783"/>
      <c r="E3783"/>
      <c r="F3783"/>
      <c r="G3783"/>
      <c r="H3783"/>
      <c r="I3783" s="21" t="str">
        <f t="shared" si="119"/>
        <v/>
      </c>
      <c r="L3783" s="24"/>
      <c r="M3783" s="24"/>
    </row>
    <row r="3784" spans="1:13">
      <c r="A3784" s="10" t="str">
        <f t="shared" si="118"/>
        <v/>
      </c>
      <c r="C3784" s="120" t="s">
        <v>280</v>
      </c>
      <c r="D3784"/>
      <c r="E3784"/>
      <c r="F3784"/>
      <c r="G3784"/>
      <c r="H3784"/>
      <c r="I3784" s="21" t="str">
        <f t="shared" si="119"/>
        <v/>
      </c>
      <c r="L3784" s="24"/>
      <c r="M3784" s="24"/>
    </row>
    <row r="3785" spans="1:13">
      <c r="A3785" s="14" t="str">
        <f t="shared" si="118"/>
        <v/>
      </c>
      <c r="C3785" s="120" t="s">
        <v>282</v>
      </c>
      <c r="D3785"/>
      <c r="E3785"/>
      <c r="F3785"/>
      <c r="G3785"/>
      <c r="H3785"/>
      <c r="I3785" s="21" t="str">
        <f t="shared" si="119"/>
        <v/>
      </c>
      <c r="L3785" s="24"/>
      <c r="M3785" s="24"/>
    </row>
    <row r="3786" spans="1:13">
      <c r="A3786" s="10" t="str">
        <f t="shared" si="118"/>
        <v/>
      </c>
      <c r="C3786" s="120" t="s">
        <v>284</v>
      </c>
      <c r="D3786"/>
      <c r="E3786"/>
      <c r="F3786"/>
      <c r="G3786"/>
      <c r="H3786"/>
      <c r="I3786" s="21" t="str">
        <f t="shared" si="119"/>
        <v/>
      </c>
      <c r="L3786" s="24"/>
      <c r="M3786" s="24"/>
    </row>
    <row r="3787" spans="1:13">
      <c r="A3787" s="14" t="str">
        <f t="shared" si="118"/>
        <v/>
      </c>
      <c r="C3787" s="120" t="s">
        <v>286</v>
      </c>
      <c r="D3787"/>
      <c r="E3787"/>
      <c r="F3787"/>
      <c r="G3787"/>
      <c r="H3787"/>
      <c r="I3787" s="21" t="str">
        <f t="shared" si="119"/>
        <v/>
      </c>
      <c r="L3787" s="24"/>
      <c r="M3787" s="24"/>
    </row>
    <row r="3788" spans="1:13">
      <c r="A3788" s="10" t="str">
        <f t="shared" si="118"/>
        <v/>
      </c>
      <c r="C3788" s="120" t="s">
        <v>126</v>
      </c>
      <c r="D3788"/>
      <c r="E3788"/>
      <c r="F3788"/>
      <c r="G3788"/>
      <c r="H3788"/>
      <c r="I3788" s="21" t="str">
        <f t="shared" si="119"/>
        <v/>
      </c>
      <c r="L3788" s="24"/>
      <c r="M3788" s="24"/>
    </row>
    <row r="3789" spans="1:13">
      <c r="A3789" s="14" t="str">
        <f t="shared" si="118"/>
        <v/>
      </c>
      <c r="C3789" s="120" t="s">
        <v>128</v>
      </c>
      <c r="D3789"/>
      <c r="E3789"/>
      <c r="F3789"/>
      <c r="G3789"/>
      <c r="H3789"/>
      <c r="I3789" s="21" t="str">
        <f t="shared" si="119"/>
        <v/>
      </c>
      <c r="L3789" s="24"/>
      <c r="M3789" s="24"/>
    </row>
    <row r="3790" spans="1:13">
      <c r="A3790" s="10" t="str">
        <f t="shared" si="118"/>
        <v/>
      </c>
      <c r="C3790" s="120" t="s">
        <v>280</v>
      </c>
      <c r="D3790"/>
      <c r="E3790"/>
      <c r="F3790"/>
      <c r="G3790"/>
      <c r="H3790"/>
      <c r="I3790" s="21" t="str">
        <f t="shared" si="119"/>
        <v/>
      </c>
      <c r="L3790" s="24"/>
      <c r="M3790" s="24"/>
    </row>
    <row r="3791" spans="1:13">
      <c r="A3791" s="14" t="str">
        <f t="shared" si="118"/>
        <v/>
      </c>
      <c r="C3791" s="120" t="s">
        <v>282</v>
      </c>
      <c r="D3791"/>
      <c r="E3791"/>
      <c r="F3791"/>
      <c r="G3791"/>
      <c r="H3791"/>
      <c r="I3791" s="21" t="str">
        <f t="shared" si="119"/>
        <v/>
      </c>
      <c r="L3791" s="24"/>
      <c r="M3791" s="24"/>
    </row>
    <row r="3792" spans="1:13">
      <c r="A3792" s="10" t="str">
        <f t="shared" si="118"/>
        <v/>
      </c>
      <c r="C3792" s="120" t="s">
        <v>284</v>
      </c>
      <c r="D3792"/>
      <c r="E3792"/>
      <c r="F3792"/>
      <c r="G3792"/>
      <c r="H3792"/>
      <c r="I3792" s="21" t="str">
        <f t="shared" si="119"/>
        <v/>
      </c>
      <c r="L3792" s="24"/>
      <c r="M3792" s="24"/>
    </row>
    <row r="3793" spans="1:13">
      <c r="A3793" s="14" t="str">
        <f t="shared" si="118"/>
        <v/>
      </c>
      <c r="C3793" s="120" t="s">
        <v>286</v>
      </c>
      <c r="D3793"/>
      <c r="E3793"/>
      <c r="F3793"/>
      <c r="G3793"/>
      <c r="H3793"/>
      <c r="I3793" s="21" t="str">
        <f t="shared" si="119"/>
        <v/>
      </c>
      <c r="L3793" s="24"/>
      <c r="M3793" s="24"/>
    </row>
    <row r="3794" spans="1:13">
      <c r="A3794" s="10" t="str">
        <f t="shared" si="118"/>
        <v/>
      </c>
      <c r="C3794" s="120" t="s">
        <v>126</v>
      </c>
      <c r="D3794"/>
      <c r="E3794"/>
      <c r="F3794"/>
      <c r="G3794"/>
      <c r="H3794"/>
      <c r="I3794" s="21" t="str">
        <f t="shared" si="119"/>
        <v/>
      </c>
      <c r="L3794" s="24"/>
      <c r="M3794" s="24"/>
    </row>
    <row r="3795" spans="1:13">
      <c r="A3795" s="14" t="str">
        <f t="shared" si="118"/>
        <v/>
      </c>
      <c r="C3795" s="120" t="s">
        <v>128</v>
      </c>
      <c r="D3795"/>
      <c r="E3795"/>
      <c r="F3795"/>
      <c r="G3795"/>
      <c r="H3795"/>
      <c r="I3795" s="21" t="str">
        <f t="shared" si="119"/>
        <v/>
      </c>
      <c r="L3795" s="24"/>
      <c r="M3795" s="24"/>
    </row>
    <row r="3796" spans="1:13">
      <c r="A3796" s="10" t="str">
        <f t="shared" si="118"/>
        <v/>
      </c>
      <c r="C3796" s="120" t="s">
        <v>280</v>
      </c>
      <c r="D3796"/>
      <c r="E3796"/>
      <c r="F3796"/>
      <c r="G3796"/>
      <c r="H3796"/>
      <c r="I3796" s="21" t="str">
        <f t="shared" si="119"/>
        <v/>
      </c>
      <c r="L3796" s="24"/>
      <c r="M3796" s="24"/>
    </row>
    <row r="3797" spans="1:13">
      <c r="A3797" s="14" t="str">
        <f t="shared" si="118"/>
        <v/>
      </c>
      <c r="C3797" s="120" t="s">
        <v>282</v>
      </c>
      <c r="D3797"/>
      <c r="E3797"/>
      <c r="F3797"/>
      <c r="G3797"/>
      <c r="H3797"/>
      <c r="I3797" s="21" t="str">
        <f t="shared" si="119"/>
        <v/>
      </c>
      <c r="L3797" s="24"/>
      <c r="M3797" s="24"/>
    </row>
    <row r="3798" spans="1:13">
      <c r="A3798" s="10" t="str">
        <f t="shared" si="118"/>
        <v/>
      </c>
      <c r="C3798" s="120" t="s">
        <v>284</v>
      </c>
      <c r="D3798"/>
      <c r="E3798"/>
      <c r="F3798"/>
      <c r="G3798"/>
      <c r="H3798"/>
      <c r="I3798" s="21" t="str">
        <f t="shared" si="119"/>
        <v/>
      </c>
      <c r="L3798" s="24"/>
      <c r="M3798" s="24"/>
    </row>
    <row r="3799" spans="1:13">
      <c r="A3799" s="14" t="str">
        <f t="shared" si="118"/>
        <v/>
      </c>
      <c r="C3799" s="120" t="s">
        <v>286</v>
      </c>
      <c r="D3799"/>
      <c r="E3799"/>
      <c r="F3799"/>
      <c r="G3799"/>
      <c r="H3799"/>
      <c r="I3799" s="21" t="str">
        <f t="shared" si="119"/>
        <v/>
      </c>
      <c r="L3799" s="24"/>
      <c r="M3799" s="24"/>
    </row>
    <row r="3800" spans="1:13">
      <c r="A3800" s="10" t="str">
        <f t="shared" si="118"/>
        <v/>
      </c>
      <c r="C3800" s="120" t="s">
        <v>126</v>
      </c>
      <c r="D3800"/>
      <c r="E3800"/>
      <c r="F3800"/>
      <c r="G3800"/>
      <c r="H3800"/>
      <c r="I3800" s="21" t="str">
        <f t="shared" si="119"/>
        <v/>
      </c>
      <c r="L3800" s="24"/>
      <c r="M3800" s="24"/>
    </row>
    <row r="3801" spans="1:13">
      <c r="A3801" s="14" t="str">
        <f t="shared" si="118"/>
        <v/>
      </c>
      <c r="C3801" s="120" t="s">
        <v>128</v>
      </c>
      <c r="D3801"/>
      <c r="E3801"/>
      <c r="F3801"/>
      <c r="G3801"/>
      <c r="H3801"/>
      <c r="I3801" s="21" t="str">
        <f t="shared" si="119"/>
        <v/>
      </c>
      <c r="L3801" s="24"/>
      <c r="M3801" s="24"/>
    </row>
    <row r="3802" spans="1:13">
      <c r="A3802" s="10" t="str">
        <f t="shared" si="118"/>
        <v/>
      </c>
      <c r="C3802" s="120" t="s">
        <v>280</v>
      </c>
      <c r="D3802"/>
      <c r="E3802"/>
      <c r="F3802"/>
      <c r="G3802"/>
      <c r="H3802"/>
      <c r="I3802" s="21" t="str">
        <f t="shared" si="119"/>
        <v/>
      </c>
      <c r="L3802" s="24"/>
      <c r="M3802" s="24"/>
    </row>
    <row r="3803" spans="1:13">
      <c r="A3803" s="14" t="str">
        <f t="shared" si="118"/>
        <v/>
      </c>
      <c r="C3803" s="120" t="s">
        <v>282</v>
      </c>
      <c r="D3803"/>
      <c r="E3803"/>
      <c r="F3803"/>
      <c r="G3803"/>
      <c r="H3803"/>
      <c r="I3803" s="21" t="str">
        <f t="shared" si="119"/>
        <v/>
      </c>
      <c r="L3803" s="24"/>
      <c r="M3803" s="24"/>
    </row>
    <row r="3804" spans="1:13">
      <c r="A3804" s="10" t="str">
        <f t="shared" si="118"/>
        <v/>
      </c>
      <c r="C3804" s="120" t="s">
        <v>284</v>
      </c>
      <c r="D3804"/>
      <c r="E3804"/>
      <c r="F3804"/>
      <c r="G3804"/>
      <c r="H3804"/>
      <c r="I3804" s="21" t="str">
        <f t="shared" si="119"/>
        <v/>
      </c>
      <c r="L3804" s="24"/>
      <c r="M3804" s="24"/>
    </row>
    <row r="3805" spans="1:13">
      <c r="A3805" s="14" t="str">
        <f t="shared" si="118"/>
        <v/>
      </c>
      <c r="C3805" s="120" t="s">
        <v>286</v>
      </c>
      <c r="D3805"/>
      <c r="E3805"/>
      <c r="F3805"/>
      <c r="G3805"/>
      <c r="H3805"/>
      <c r="I3805" s="21" t="str">
        <f t="shared" si="119"/>
        <v/>
      </c>
      <c r="L3805" s="24"/>
      <c r="M3805" s="24"/>
    </row>
    <row r="3806" spans="1:13">
      <c r="A3806" s="10" t="str">
        <f t="shared" si="118"/>
        <v/>
      </c>
      <c r="C3806" s="120" t="s">
        <v>126</v>
      </c>
      <c r="D3806"/>
      <c r="E3806"/>
      <c r="F3806"/>
      <c r="G3806"/>
      <c r="H3806"/>
      <c r="I3806" s="21" t="str">
        <f t="shared" si="119"/>
        <v/>
      </c>
      <c r="L3806" s="24"/>
      <c r="M3806" s="24"/>
    </row>
    <row r="3807" spans="1:13">
      <c r="A3807" s="14" t="str">
        <f t="shared" si="118"/>
        <v/>
      </c>
      <c r="C3807" s="120" t="s">
        <v>128</v>
      </c>
      <c r="D3807"/>
      <c r="E3807"/>
      <c r="F3807"/>
      <c r="G3807"/>
      <c r="H3807"/>
      <c r="I3807" s="21" t="str">
        <f t="shared" si="119"/>
        <v/>
      </c>
      <c r="L3807" s="24"/>
      <c r="M3807" s="24"/>
    </row>
    <row r="3808" spans="1:13">
      <c r="A3808" s="10" t="str">
        <f t="shared" si="118"/>
        <v/>
      </c>
      <c r="C3808" s="120" t="s">
        <v>280</v>
      </c>
      <c r="D3808"/>
      <c r="E3808"/>
      <c r="F3808"/>
      <c r="G3808"/>
      <c r="H3808"/>
      <c r="I3808" s="21" t="str">
        <f t="shared" si="119"/>
        <v/>
      </c>
      <c r="L3808" s="24"/>
      <c r="M3808" s="24"/>
    </row>
    <row r="3809" spans="1:13">
      <c r="A3809" s="14" t="str">
        <f t="shared" si="118"/>
        <v/>
      </c>
      <c r="C3809" s="120" t="s">
        <v>282</v>
      </c>
      <c r="D3809"/>
      <c r="E3809"/>
      <c r="F3809"/>
      <c r="G3809"/>
      <c r="H3809"/>
      <c r="I3809" s="21" t="str">
        <f t="shared" si="119"/>
        <v/>
      </c>
      <c r="L3809" s="24"/>
      <c r="M3809" s="24"/>
    </row>
    <row r="3810" spans="1:13">
      <c r="A3810" s="10" t="str">
        <f t="shared" si="118"/>
        <v/>
      </c>
      <c r="C3810" s="120" t="s">
        <v>284</v>
      </c>
      <c r="D3810"/>
      <c r="E3810"/>
      <c r="F3810"/>
      <c r="G3810"/>
      <c r="H3810"/>
      <c r="I3810" s="21" t="str">
        <f t="shared" si="119"/>
        <v/>
      </c>
      <c r="L3810" s="24"/>
      <c r="M3810" s="24"/>
    </row>
    <row r="3811" spans="1:13">
      <c r="A3811" s="14" t="str">
        <f t="shared" si="118"/>
        <v/>
      </c>
      <c r="C3811" s="120" t="s">
        <v>286</v>
      </c>
      <c r="D3811"/>
      <c r="E3811"/>
      <c r="F3811"/>
      <c r="G3811"/>
      <c r="H3811"/>
      <c r="I3811" s="21" t="str">
        <f t="shared" si="119"/>
        <v/>
      </c>
      <c r="L3811" s="24"/>
      <c r="M3811" s="24"/>
    </row>
    <row r="3812" spans="1:13">
      <c r="A3812" s="10" t="str">
        <f t="shared" si="118"/>
        <v/>
      </c>
      <c r="C3812" s="120" t="s">
        <v>126</v>
      </c>
      <c r="D3812"/>
      <c r="E3812"/>
      <c r="F3812"/>
      <c r="G3812"/>
      <c r="H3812"/>
      <c r="I3812" s="21" t="str">
        <f t="shared" si="119"/>
        <v/>
      </c>
      <c r="L3812" s="24"/>
      <c r="M3812" s="24"/>
    </row>
    <row r="3813" spans="1:13">
      <c r="A3813" s="14" t="str">
        <f t="shared" si="118"/>
        <v/>
      </c>
      <c r="C3813" s="120" t="s">
        <v>128</v>
      </c>
      <c r="D3813"/>
      <c r="E3813"/>
      <c r="F3813"/>
      <c r="G3813"/>
      <c r="H3813"/>
      <c r="I3813" s="21" t="str">
        <f t="shared" si="119"/>
        <v/>
      </c>
      <c r="L3813" s="24"/>
      <c r="M3813" s="24"/>
    </row>
    <row r="3814" spans="1:13">
      <c r="A3814" s="10" t="str">
        <f t="shared" si="118"/>
        <v/>
      </c>
      <c r="C3814" s="120" t="s">
        <v>280</v>
      </c>
      <c r="D3814"/>
      <c r="E3814"/>
      <c r="F3814"/>
      <c r="G3814"/>
      <c r="H3814"/>
      <c r="I3814" s="21" t="str">
        <f t="shared" si="119"/>
        <v/>
      </c>
      <c r="L3814" s="24"/>
      <c r="M3814" s="24"/>
    </row>
    <row r="3815" spans="1:13">
      <c r="A3815" s="14" t="str">
        <f t="shared" si="118"/>
        <v/>
      </c>
      <c r="C3815" s="120" t="s">
        <v>282</v>
      </c>
      <c r="D3815"/>
      <c r="E3815"/>
      <c r="F3815"/>
      <c r="G3815"/>
      <c r="H3815"/>
      <c r="I3815" s="21" t="str">
        <f t="shared" si="119"/>
        <v/>
      </c>
      <c r="L3815" s="24"/>
      <c r="M3815" s="24"/>
    </row>
    <row r="3816" spans="1:13">
      <c r="A3816" s="10" t="str">
        <f t="shared" si="118"/>
        <v/>
      </c>
      <c r="C3816" s="120" t="s">
        <v>284</v>
      </c>
      <c r="D3816"/>
      <c r="E3816"/>
      <c r="F3816"/>
      <c r="G3816"/>
      <c r="H3816"/>
      <c r="I3816" s="21" t="str">
        <f t="shared" si="119"/>
        <v/>
      </c>
      <c r="L3816" s="24"/>
      <c r="M3816" s="24"/>
    </row>
    <row r="3817" spans="1:13">
      <c r="A3817" s="14" t="str">
        <f t="shared" si="118"/>
        <v/>
      </c>
      <c r="C3817" s="120" t="s">
        <v>286</v>
      </c>
      <c r="D3817"/>
      <c r="E3817"/>
      <c r="F3817"/>
      <c r="G3817"/>
      <c r="H3817"/>
      <c r="I3817" s="21" t="str">
        <f t="shared" si="119"/>
        <v/>
      </c>
      <c r="L3817" s="24"/>
      <c r="M3817" s="24"/>
    </row>
    <row r="3818" spans="1:13">
      <c r="A3818" s="10" t="str">
        <f t="shared" si="118"/>
        <v/>
      </c>
      <c r="C3818" s="120" t="s">
        <v>126</v>
      </c>
      <c r="D3818"/>
      <c r="E3818"/>
      <c r="F3818"/>
      <c r="G3818"/>
      <c r="H3818"/>
      <c r="I3818" s="21" t="str">
        <f t="shared" si="119"/>
        <v/>
      </c>
      <c r="L3818" s="24"/>
      <c r="M3818" s="24"/>
    </row>
    <row r="3819" spans="1:13">
      <c r="A3819" s="14" t="str">
        <f t="shared" si="118"/>
        <v/>
      </c>
      <c r="C3819" s="120" t="s">
        <v>128</v>
      </c>
      <c r="D3819"/>
      <c r="E3819"/>
      <c r="F3819"/>
      <c r="G3819"/>
      <c r="H3819"/>
      <c r="I3819" s="21" t="str">
        <f t="shared" si="119"/>
        <v/>
      </c>
      <c r="L3819" s="24"/>
      <c r="M3819" s="24"/>
    </row>
    <row r="3820" spans="1:13">
      <c r="A3820" s="10" t="str">
        <f t="shared" si="118"/>
        <v/>
      </c>
      <c r="C3820" s="120" t="s">
        <v>280</v>
      </c>
      <c r="D3820"/>
      <c r="E3820"/>
      <c r="F3820"/>
      <c r="G3820"/>
      <c r="H3820"/>
      <c r="I3820" s="21" t="str">
        <f t="shared" si="119"/>
        <v/>
      </c>
      <c r="L3820" s="24"/>
      <c r="M3820" s="24"/>
    </row>
    <row r="3821" spans="1:13">
      <c r="A3821" s="14" t="str">
        <f t="shared" si="118"/>
        <v/>
      </c>
      <c r="C3821" s="120" t="s">
        <v>282</v>
      </c>
      <c r="D3821"/>
      <c r="E3821"/>
      <c r="F3821"/>
      <c r="G3821"/>
      <c r="H3821"/>
      <c r="I3821" s="21" t="str">
        <f t="shared" si="119"/>
        <v/>
      </c>
      <c r="L3821" s="24"/>
      <c r="M3821" s="24"/>
    </row>
    <row r="3822" spans="1:13">
      <c r="A3822" s="10" t="str">
        <f t="shared" si="118"/>
        <v/>
      </c>
      <c r="C3822" s="120" t="s">
        <v>284</v>
      </c>
      <c r="D3822"/>
      <c r="E3822"/>
      <c r="F3822"/>
      <c r="G3822"/>
      <c r="H3822"/>
      <c r="I3822" s="21" t="str">
        <f t="shared" si="119"/>
        <v/>
      </c>
      <c r="L3822" s="24"/>
      <c r="M3822" s="24"/>
    </row>
    <row r="3823" spans="1:13">
      <c r="A3823" s="14" t="str">
        <f t="shared" si="118"/>
        <v/>
      </c>
      <c r="C3823" s="120" t="s">
        <v>286</v>
      </c>
      <c r="D3823"/>
      <c r="E3823"/>
      <c r="F3823"/>
      <c r="G3823"/>
      <c r="H3823"/>
      <c r="I3823" s="21" t="str">
        <f t="shared" si="119"/>
        <v/>
      </c>
      <c r="L3823" s="24"/>
      <c r="M3823" s="24"/>
    </row>
    <row r="3824" spans="1:13">
      <c r="A3824" s="10" t="str">
        <f t="shared" si="118"/>
        <v/>
      </c>
      <c r="C3824" s="120" t="s">
        <v>126</v>
      </c>
      <c r="D3824"/>
      <c r="E3824"/>
      <c r="F3824"/>
      <c r="G3824"/>
      <c r="H3824"/>
      <c r="I3824" s="21" t="str">
        <f t="shared" si="119"/>
        <v/>
      </c>
      <c r="L3824" s="24"/>
      <c r="M3824" s="24"/>
    </row>
    <row r="3825" spans="1:13">
      <c r="A3825" s="14" t="str">
        <f t="shared" si="118"/>
        <v/>
      </c>
      <c r="C3825" s="120" t="s">
        <v>128</v>
      </c>
      <c r="D3825"/>
      <c r="E3825"/>
      <c r="F3825"/>
      <c r="G3825"/>
      <c r="H3825"/>
      <c r="I3825" s="21" t="str">
        <f t="shared" si="119"/>
        <v/>
      </c>
      <c r="L3825" s="24"/>
      <c r="M3825" s="24"/>
    </row>
    <row r="3826" spans="1:13">
      <c r="A3826" s="10" t="str">
        <f t="shared" si="118"/>
        <v/>
      </c>
      <c r="C3826" s="120" t="s">
        <v>280</v>
      </c>
      <c r="D3826"/>
      <c r="E3826"/>
      <c r="F3826"/>
      <c r="G3826"/>
      <c r="H3826"/>
      <c r="I3826" s="21" t="str">
        <f t="shared" si="119"/>
        <v/>
      </c>
      <c r="L3826" s="24"/>
      <c r="M3826" s="24"/>
    </row>
    <row r="3827" spans="1:13">
      <c r="A3827" s="14" t="str">
        <f t="shared" si="118"/>
        <v/>
      </c>
      <c r="C3827" s="120" t="s">
        <v>282</v>
      </c>
      <c r="D3827"/>
      <c r="E3827"/>
      <c r="F3827"/>
      <c r="G3827"/>
      <c r="H3827"/>
      <c r="I3827" s="21" t="str">
        <f t="shared" si="119"/>
        <v/>
      </c>
      <c r="L3827" s="24"/>
      <c r="M3827" s="24"/>
    </row>
    <row r="3828" spans="1:13">
      <c r="A3828" s="10" t="str">
        <f t="shared" si="118"/>
        <v/>
      </c>
      <c r="C3828" s="120" t="s">
        <v>284</v>
      </c>
      <c r="D3828"/>
      <c r="E3828"/>
      <c r="F3828"/>
      <c r="G3828"/>
      <c r="H3828"/>
      <c r="I3828" s="21" t="str">
        <f t="shared" si="119"/>
        <v/>
      </c>
      <c r="L3828" s="24"/>
      <c r="M3828" s="24"/>
    </row>
    <row r="3829" spans="1:13">
      <c r="A3829" s="14" t="str">
        <f t="shared" si="118"/>
        <v/>
      </c>
      <c r="C3829" s="120" t="s">
        <v>286</v>
      </c>
      <c r="D3829"/>
      <c r="E3829"/>
      <c r="F3829"/>
      <c r="G3829"/>
      <c r="H3829"/>
      <c r="I3829" s="21" t="str">
        <f t="shared" si="119"/>
        <v/>
      </c>
      <c r="L3829" s="24"/>
      <c r="M3829" s="24"/>
    </row>
    <row r="3830" spans="1:13">
      <c r="A3830" s="10" t="str">
        <f t="shared" si="118"/>
        <v/>
      </c>
      <c r="C3830" s="120" t="s">
        <v>126</v>
      </c>
      <c r="D3830"/>
      <c r="E3830"/>
      <c r="F3830"/>
      <c r="G3830"/>
      <c r="H3830"/>
      <c r="I3830" s="21" t="str">
        <f t="shared" si="119"/>
        <v/>
      </c>
      <c r="L3830" s="24"/>
      <c r="M3830" s="24"/>
    </row>
    <row r="3831" spans="1:13">
      <c r="A3831" s="14" t="str">
        <f t="shared" si="118"/>
        <v/>
      </c>
      <c r="C3831" s="120" t="s">
        <v>128</v>
      </c>
      <c r="D3831"/>
      <c r="E3831"/>
      <c r="F3831"/>
      <c r="G3831"/>
      <c r="H3831"/>
      <c r="I3831" s="21" t="str">
        <f t="shared" si="119"/>
        <v/>
      </c>
      <c r="L3831" s="24"/>
      <c r="M3831" s="24"/>
    </row>
    <row r="3832" spans="1:13">
      <c r="A3832" s="10" t="str">
        <f t="shared" si="118"/>
        <v/>
      </c>
      <c r="C3832" s="120" t="s">
        <v>280</v>
      </c>
      <c r="D3832"/>
      <c r="E3832"/>
      <c r="F3832"/>
      <c r="G3832"/>
      <c r="H3832"/>
      <c r="I3832" s="21" t="str">
        <f t="shared" si="119"/>
        <v/>
      </c>
      <c r="L3832" s="24"/>
      <c r="M3832" s="24"/>
    </row>
    <row r="3833" spans="1:13">
      <c r="A3833" s="14" t="str">
        <f t="shared" si="118"/>
        <v/>
      </c>
      <c r="C3833" s="120" t="s">
        <v>282</v>
      </c>
      <c r="D3833"/>
      <c r="E3833"/>
      <c r="F3833"/>
      <c r="G3833"/>
      <c r="H3833"/>
      <c r="I3833" s="21" t="str">
        <f t="shared" si="119"/>
        <v/>
      </c>
      <c r="L3833" s="24"/>
      <c r="M3833" s="24"/>
    </row>
    <row r="3834" spans="1:13">
      <c r="A3834" s="10" t="str">
        <f t="shared" si="118"/>
        <v/>
      </c>
      <c r="C3834" s="120" t="s">
        <v>284</v>
      </c>
      <c r="D3834"/>
      <c r="E3834"/>
      <c r="F3834"/>
      <c r="G3834"/>
      <c r="H3834"/>
      <c r="I3834" s="21" t="str">
        <f t="shared" si="119"/>
        <v/>
      </c>
      <c r="L3834" s="24"/>
      <c r="M3834" s="24"/>
    </row>
    <row r="3835" spans="1:13">
      <c r="A3835" s="14" t="str">
        <f t="shared" si="118"/>
        <v/>
      </c>
      <c r="C3835" s="120" t="s">
        <v>286</v>
      </c>
      <c r="D3835"/>
      <c r="E3835"/>
      <c r="F3835"/>
      <c r="G3835"/>
      <c r="H3835"/>
      <c r="I3835" s="21" t="str">
        <f t="shared" si="119"/>
        <v/>
      </c>
      <c r="L3835" s="24"/>
      <c r="M3835" s="24"/>
    </row>
    <row r="3836" spans="1:13">
      <c r="A3836" s="10" t="str">
        <f t="shared" si="118"/>
        <v/>
      </c>
      <c r="C3836" s="120" t="s">
        <v>126</v>
      </c>
      <c r="D3836"/>
      <c r="E3836"/>
      <c r="F3836"/>
      <c r="G3836"/>
      <c r="H3836"/>
      <c r="I3836" s="21" t="str">
        <f t="shared" si="119"/>
        <v/>
      </c>
      <c r="L3836" s="24"/>
      <c r="M3836" s="24"/>
    </row>
    <row r="3837" spans="1:13">
      <c r="A3837" s="14" t="str">
        <f t="shared" si="118"/>
        <v/>
      </c>
      <c r="C3837" s="120" t="s">
        <v>128</v>
      </c>
      <c r="D3837"/>
      <c r="E3837"/>
      <c r="F3837"/>
      <c r="G3837"/>
      <c r="H3837"/>
      <c r="I3837" s="21" t="str">
        <f t="shared" si="119"/>
        <v/>
      </c>
      <c r="L3837" s="24"/>
      <c r="M3837" s="24"/>
    </row>
    <row r="3838" spans="1:13">
      <c r="A3838" s="10" t="str">
        <f t="shared" si="118"/>
        <v/>
      </c>
      <c r="C3838" s="120" t="s">
        <v>280</v>
      </c>
      <c r="D3838"/>
      <c r="E3838"/>
      <c r="F3838"/>
      <c r="G3838"/>
      <c r="H3838"/>
      <c r="I3838" s="21" t="str">
        <f t="shared" si="119"/>
        <v/>
      </c>
      <c r="L3838" s="24"/>
      <c r="M3838" s="24"/>
    </row>
    <row r="3839" spans="1:13">
      <c r="A3839" s="14" t="str">
        <f t="shared" si="118"/>
        <v/>
      </c>
      <c r="C3839" s="120" t="s">
        <v>282</v>
      </c>
      <c r="D3839"/>
      <c r="E3839"/>
      <c r="F3839"/>
      <c r="G3839"/>
      <c r="H3839"/>
      <c r="I3839" s="21" t="str">
        <f t="shared" si="119"/>
        <v/>
      </c>
      <c r="L3839" s="24"/>
      <c r="M3839" s="24"/>
    </row>
    <row r="3840" spans="1:13">
      <c r="A3840" s="10" t="str">
        <f t="shared" si="118"/>
        <v/>
      </c>
      <c r="C3840" s="120" t="s">
        <v>284</v>
      </c>
      <c r="D3840"/>
      <c r="E3840"/>
      <c r="F3840"/>
      <c r="G3840"/>
      <c r="H3840"/>
      <c r="I3840" s="21" t="str">
        <f t="shared" si="119"/>
        <v/>
      </c>
      <c r="L3840" s="24"/>
      <c r="M3840" s="24"/>
    </row>
    <row r="3841" spans="1:13">
      <c r="A3841" s="14" t="str">
        <f t="shared" si="118"/>
        <v/>
      </c>
      <c r="C3841" s="120" t="s">
        <v>286</v>
      </c>
      <c r="D3841"/>
      <c r="E3841"/>
      <c r="F3841"/>
      <c r="G3841"/>
      <c r="H3841"/>
      <c r="I3841" s="21" t="str">
        <f t="shared" si="119"/>
        <v/>
      </c>
      <c r="L3841" s="24"/>
      <c r="M3841" s="24"/>
    </row>
    <row r="3842" spans="1:13">
      <c r="A3842" s="10" t="str">
        <f t="shared" ref="A3842:A3905" si="120">IF(B3842&lt;&gt;"",ROW()-1,"")</f>
        <v/>
      </c>
      <c r="C3842" s="120" t="s">
        <v>126</v>
      </c>
      <c r="D3842"/>
      <c r="E3842"/>
      <c r="F3842"/>
      <c r="G3842"/>
      <c r="H3842"/>
      <c r="I3842" s="21" t="str">
        <f t="shared" ref="I3842:I3905" si="121">IF(AND(G3842&lt;&gt;"",H3842&lt;&gt;""),H3842-G3842,"")</f>
        <v/>
      </c>
      <c r="L3842" s="24"/>
      <c r="M3842" s="24"/>
    </row>
    <row r="3843" spans="1:13">
      <c r="A3843" s="14" t="str">
        <f t="shared" si="120"/>
        <v/>
      </c>
      <c r="C3843" s="120" t="s">
        <v>128</v>
      </c>
      <c r="D3843"/>
      <c r="E3843"/>
      <c r="F3843"/>
      <c r="G3843"/>
      <c r="H3843"/>
      <c r="I3843" s="21" t="str">
        <f t="shared" si="121"/>
        <v/>
      </c>
      <c r="L3843" s="24"/>
      <c r="M3843" s="24"/>
    </row>
    <row r="3844" spans="1:13">
      <c r="A3844" s="10" t="str">
        <f t="shared" si="120"/>
        <v/>
      </c>
      <c r="C3844" s="120" t="s">
        <v>280</v>
      </c>
      <c r="D3844"/>
      <c r="E3844"/>
      <c r="F3844"/>
      <c r="G3844"/>
      <c r="H3844"/>
      <c r="I3844" s="21" t="str">
        <f t="shared" si="121"/>
        <v/>
      </c>
      <c r="L3844" s="24"/>
      <c r="M3844" s="24"/>
    </row>
    <row r="3845" spans="1:13">
      <c r="A3845" s="14" t="str">
        <f t="shared" si="120"/>
        <v/>
      </c>
      <c r="C3845" s="120" t="s">
        <v>282</v>
      </c>
      <c r="D3845"/>
      <c r="E3845"/>
      <c r="F3845"/>
      <c r="G3845"/>
      <c r="H3845"/>
      <c r="I3845" s="21" t="str">
        <f t="shared" si="121"/>
        <v/>
      </c>
      <c r="L3845" s="24"/>
      <c r="M3845" s="24"/>
    </row>
    <row r="3846" spans="1:13">
      <c r="A3846" s="10" t="str">
        <f t="shared" si="120"/>
        <v/>
      </c>
      <c r="C3846" s="120" t="s">
        <v>284</v>
      </c>
      <c r="D3846"/>
      <c r="E3846"/>
      <c r="F3846"/>
      <c r="G3846"/>
      <c r="H3846"/>
      <c r="I3846" s="21" t="str">
        <f t="shared" si="121"/>
        <v/>
      </c>
      <c r="L3846" s="24"/>
      <c r="M3846" s="24"/>
    </row>
    <row r="3847" spans="1:13">
      <c r="A3847" s="14" t="str">
        <f t="shared" si="120"/>
        <v/>
      </c>
      <c r="C3847" s="120" t="s">
        <v>286</v>
      </c>
      <c r="D3847"/>
      <c r="E3847"/>
      <c r="F3847"/>
      <c r="G3847"/>
      <c r="H3847"/>
      <c r="I3847" s="21" t="str">
        <f t="shared" si="121"/>
        <v/>
      </c>
      <c r="L3847" s="24"/>
      <c r="M3847" s="24"/>
    </row>
    <row r="3848" spans="1:13">
      <c r="A3848" s="10" t="str">
        <f t="shared" si="120"/>
        <v/>
      </c>
      <c r="C3848" s="120" t="s">
        <v>126</v>
      </c>
      <c r="D3848"/>
      <c r="E3848"/>
      <c r="F3848"/>
      <c r="G3848"/>
      <c r="H3848"/>
      <c r="I3848" s="21" t="str">
        <f t="shared" si="121"/>
        <v/>
      </c>
      <c r="L3848" s="24"/>
      <c r="M3848" s="24"/>
    </row>
    <row r="3849" spans="1:13">
      <c r="A3849" s="14" t="str">
        <f t="shared" si="120"/>
        <v/>
      </c>
      <c r="C3849" s="120" t="s">
        <v>128</v>
      </c>
      <c r="D3849"/>
      <c r="E3849"/>
      <c r="F3849"/>
      <c r="G3849"/>
      <c r="H3849"/>
      <c r="I3849" s="21" t="str">
        <f t="shared" si="121"/>
        <v/>
      </c>
      <c r="L3849" s="24"/>
      <c r="M3849" s="24"/>
    </row>
    <row r="3850" spans="1:13">
      <c r="A3850" s="10" t="str">
        <f t="shared" si="120"/>
        <v/>
      </c>
      <c r="C3850" s="120" t="s">
        <v>280</v>
      </c>
      <c r="D3850"/>
      <c r="E3850"/>
      <c r="F3850"/>
      <c r="G3850"/>
      <c r="H3850"/>
      <c r="I3850" s="21" t="str">
        <f t="shared" si="121"/>
        <v/>
      </c>
      <c r="L3850" s="24"/>
      <c r="M3850" s="24"/>
    </row>
    <row r="3851" spans="1:13">
      <c r="A3851" s="14" t="str">
        <f t="shared" si="120"/>
        <v/>
      </c>
      <c r="C3851" s="120" t="s">
        <v>282</v>
      </c>
      <c r="D3851"/>
      <c r="E3851"/>
      <c r="F3851"/>
      <c r="G3851"/>
      <c r="H3851"/>
      <c r="I3851" s="21" t="str">
        <f t="shared" si="121"/>
        <v/>
      </c>
      <c r="L3851" s="24"/>
      <c r="M3851" s="24"/>
    </row>
    <row r="3852" spans="1:13">
      <c r="A3852" s="10" t="str">
        <f t="shared" si="120"/>
        <v/>
      </c>
      <c r="C3852" s="120" t="s">
        <v>284</v>
      </c>
      <c r="D3852"/>
      <c r="E3852"/>
      <c r="F3852"/>
      <c r="G3852"/>
      <c r="H3852"/>
      <c r="I3852" s="21" t="str">
        <f t="shared" si="121"/>
        <v/>
      </c>
      <c r="L3852" s="24"/>
      <c r="M3852" s="24"/>
    </row>
    <row r="3853" spans="1:13">
      <c r="A3853" s="14" t="str">
        <f t="shared" si="120"/>
        <v/>
      </c>
      <c r="C3853" s="120" t="s">
        <v>286</v>
      </c>
      <c r="D3853"/>
      <c r="E3853"/>
      <c r="F3853"/>
      <c r="G3853"/>
      <c r="H3853"/>
      <c r="I3853" s="21" t="str">
        <f t="shared" si="121"/>
        <v/>
      </c>
      <c r="L3853" s="24"/>
      <c r="M3853" s="24"/>
    </row>
    <row r="3854" spans="1:13">
      <c r="A3854" s="10" t="str">
        <f t="shared" si="120"/>
        <v/>
      </c>
      <c r="C3854" s="120" t="s">
        <v>126</v>
      </c>
      <c r="D3854"/>
      <c r="E3854"/>
      <c r="F3854"/>
      <c r="G3854"/>
      <c r="H3854"/>
      <c r="I3854" s="21" t="str">
        <f t="shared" si="121"/>
        <v/>
      </c>
      <c r="L3854" s="24"/>
      <c r="M3854" s="24"/>
    </row>
    <row r="3855" spans="1:13">
      <c r="A3855" s="14" t="str">
        <f t="shared" si="120"/>
        <v/>
      </c>
      <c r="C3855" s="120" t="s">
        <v>128</v>
      </c>
      <c r="D3855"/>
      <c r="E3855"/>
      <c r="F3855"/>
      <c r="G3855"/>
      <c r="H3855"/>
      <c r="I3855" s="21" t="str">
        <f t="shared" si="121"/>
        <v/>
      </c>
      <c r="L3855" s="24"/>
      <c r="M3855" s="24"/>
    </row>
    <row r="3856" spans="1:13">
      <c r="A3856" s="10" t="str">
        <f t="shared" si="120"/>
        <v/>
      </c>
      <c r="C3856" s="120" t="s">
        <v>280</v>
      </c>
      <c r="D3856"/>
      <c r="E3856"/>
      <c r="F3856"/>
      <c r="G3856"/>
      <c r="H3856"/>
      <c r="I3856" s="21" t="str">
        <f t="shared" si="121"/>
        <v/>
      </c>
      <c r="L3856" s="24"/>
      <c r="M3856" s="24"/>
    </row>
    <row r="3857" spans="1:13">
      <c r="A3857" s="14" t="str">
        <f t="shared" si="120"/>
        <v/>
      </c>
      <c r="C3857" s="120" t="s">
        <v>282</v>
      </c>
      <c r="D3857"/>
      <c r="E3857"/>
      <c r="F3857"/>
      <c r="G3857"/>
      <c r="H3857"/>
      <c r="I3857" s="21" t="str">
        <f t="shared" si="121"/>
        <v/>
      </c>
      <c r="L3857" s="24"/>
      <c r="M3857" s="24"/>
    </row>
    <row r="3858" spans="1:13">
      <c r="A3858" s="10" t="str">
        <f t="shared" si="120"/>
        <v/>
      </c>
      <c r="C3858" s="120" t="s">
        <v>284</v>
      </c>
      <c r="D3858"/>
      <c r="E3858"/>
      <c r="F3858"/>
      <c r="G3858"/>
      <c r="H3858"/>
      <c r="I3858" s="21" t="str">
        <f t="shared" si="121"/>
        <v/>
      </c>
      <c r="L3858" s="24"/>
      <c r="M3858" s="24"/>
    </row>
    <row r="3859" spans="1:13">
      <c r="A3859" s="14" t="str">
        <f t="shared" si="120"/>
        <v/>
      </c>
      <c r="C3859" s="120" t="s">
        <v>286</v>
      </c>
      <c r="D3859"/>
      <c r="E3859"/>
      <c r="F3859"/>
      <c r="G3859"/>
      <c r="H3859"/>
      <c r="I3859" s="21" t="str">
        <f t="shared" si="121"/>
        <v/>
      </c>
      <c r="L3859" s="24"/>
      <c r="M3859" s="24"/>
    </row>
    <row r="3860" spans="1:13">
      <c r="A3860" s="10" t="str">
        <f t="shared" si="120"/>
        <v/>
      </c>
      <c r="C3860" s="120" t="s">
        <v>126</v>
      </c>
      <c r="D3860"/>
      <c r="E3860"/>
      <c r="F3860"/>
      <c r="G3860"/>
      <c r="H3860"/>
      <c r="I3860" s="21" t="str">
        <f t="shared" si="121"/>
        <v/>
      </c>
      <c r="L3860" s="24"/>
      <c r="M3860" s="24"/>
    </row>
    <row r="3861" spans="1:13">
      <c r="A3861" s="14" t="str">
        <f t="shared" si="120"/>
        <v/>
      </c>
      <c r="C3861" s="120" t="s">
        <v>128</v>
      </c>
      <c r="D3861"/>
      <c r="E3861"/>
      <c r="F3861"/>
      <c r="G3861"/>
      <c r="H3861"/>
      <c r="I3861" s="21" t="str">
        <f t="shared" si="121"/>
        <v/>
      </c>
      <c r="L3861" s="24"/>
      <c r="M3861" s="24"/>
    </row>
    <row r="3862" spans="1:13">
      <c r="A3862" s="10" t="str">
        <f t="shared" si="120"/>
        <v/>
      </c>
      <c r="C3862" s="120" t="s">
        <v>280</v>
      </c>
      <c r="D3862"/>
      <c r="E3862"/>
      <c r="F3862"/>
      <c r="G3862"/>
      <c r="H3862"/>
      <c r="I3862" s="21" t="str">
        <f t="shared" si="121"/>
        <v/>
      </c>
      <c r="L3862" s="24"/>
      <c r="M3862" s="24"/>
    </row>
    <row r="3863" spans="1:13">
      <c r="A3863" s="14" t="str">
        <f t="shared" si="120"/>
        <v/>
      </c>
      <c r="C3863" s="120" t="s">
        <v>282</v>
      </c>
      <c r="D3863"/>
      <c r="E3863"/>
      <c r="F3863"/>
      <c r="G3863"/>
      <c r="H3863"/>
      <c r="I3863" s="21" t="str">
        <f t="shared" si="121"/>
        <v/>
      </c>
      <c r="L3863" s="24"/>
      <c r="M3863" s="24"/>
    </row>
    <row r="3864" spans="1:13">
      <c r="A3864" s="10" t="str">
        <f t="shared" si="120"/>
        <v/>
      </c>
      <c r="C3864" s="120" t="s">
        <v>284</v>
      </c>
      <c r="D3864"/>
      <c r="E3864"/>
      <c r="F3864"/>
      <c r="G3864"/>
      <c r="H3864"/>
      <c r="I3864" s="21" t="str">
        <f t="shared" si="121"/>
        <v/>
      </c>
      <c r="L3864" s="24"/>
      <c r="M3864" s="24"/>
    </row>
    <row r="3865" spans="1:13">
      <c r="A3865" s="14" t="str">
        <f t="shared" si="120"/>
        <v/>
      </c>
      <c r="C3865" s="120" t="s">
        <v>286</v>
      </c>
      <c r="D3865"/>
      <c r="E3865"/>
      <c r="F3865"/>
      <c r="G3865"/>
      <c r="H3865"/>
      <c r="I3865" s="21" t="str">
        <f t="shared" si="121"/>
        <v/>
      </c>
      <c r="L3865" s="24"/>
      <c r="M3865" s="24"/>
    </row>
    <row r="3866" spans="1:13">
      <c r="A3866" s="10" t="str">
        <f t="shared" si="120"/>
        <v/>
      </c>
      <c r="C3866" s="120" t="s">
        <v>126</v>
      </c>
      <c r="D3866"/>
      <c r="E3866"/>
      <c r="F3866"/>
      <c r="G3866"/>
      <c r="H3866"/>
      <c r="I3866" s="21" t="str">
        <f t="shared" si="121"/>
        <v/>
      </c>
      <c r="L3866" s="24"/>
      <c r="M3866" s="24"/>
    </row>
    <row r="3867" spans="1:13">
      <c r="A3867" s="14" t="str">
        <f t="shared" si="120"/>
        <v/>
      </c>
      <c r="C3867" s="120" t="s">
        <v>128</v>
      </c>
      <c r="D3867"/>
      <c r="E3867"/>
      <c r="F3867"/>
      <c r="G3867"/>
      <c r="H3867"/>
      <c r="I3867" s="21" t="str">
        <f t="shared" si="121"/>
        <v/>
      </c>
      <c r="L3867" s="24"/>
      <c r="M3867" s="24"/>
    </row>
    <row r="3868" spans="1:13">
      <c r="A3868" s="10" t="str">
        <f t="shared" si="120"/>
        <v/>
      </c>
      <c r="C3868" s="120" t="s">
        <v>280</v>
      </c>
      <c r="D3868"/>
      <c r="E3868"/>
      <c r="F3868"/>
      <c r="G3868"/>
      <c r="H3868"/>
      <c r="I3868" s="21" t="str">
        <f t="shared" si="121"/>
        <v/>
      </c>
      <c r="L3868" s="24"/>
      <c r="M3868" s="24"/>
    </row>
    <row r="3869" spans="1:13">
      <c r="A3869" s="14" t="str">
        <f t="shared" si="120"/>
        <v/>
      </c>
      <c r="C3869" s="120" t="s">
        <v>282</v>
      </c>
      <c r="D3869"/>
      <c r="E3869"/>
      <c r="F3869"/>
      <c r="G3869"/>
      <c r="H3869"/>
      <c r="I3869" s="21" t="str">
        <f t="shared" si="121"/>
        <v/>
      </c>
      <c r="L3869" s="24"/>
      <c r="M3869" s="24"/>
    </row>
    <row r="3870" spans="1:13">
      <c r="A3870" s="10" t="str">
        <f t="shared" si="120"/>
        <v/>
      </c>
      <c r="C3870" s="120" t="s">
        <v>284</v>
      </c>
      <c r="D3870"/>
      <c r="E3870"/>
      <c r="F3870"/>
      <c r="G3870"/>
      <c r="H3870"/>
      <c r="I3870" s="21" t="str">
        <f t="shared" si="121"/>
        <v/>
      </c>
      <c r="L3870" s="24"/>
      <c r="M3870" s="24"/>
    </row>
    <row r="3871" spans="1:13">
      <c r="A3871" s="14" t="str">
        <f t="shared" si="120"/>
        <v/>
      </c>
      <c r="C3871" s="120" t="s">
        <v>286</v>
      </c>
      <c r="D3871"/>
      <c r="E3871"/>
      <c r="F3871"/>
      <c r="G3871"/>
      <c r="H3871"/>
      <c r="I3871" s="21" t="str">
        <f t="shared" si="121"/>
        <v/>
      </c>
      <c r="L3871" s="24"/>
      <c r="M3871" s="24"/>
    </row>
    <row r="3872" spans="1:13">
      <c r="A3872" s="10" t="str">
        <f t="shared" si="120"/>
        <v/>
      </c>
      <c r="C3872" s="120" t="s">
        <v>126</v>
      </c>
      <c r="D3872"/>
      <c r="E3872"/>
      <c r="F3872"/>
      <c r="G3872"/>
      <c r="H3872"/>
      <c r="I3872" s="21" t="str">
        <f t="shared" si="121"/>
        <v/>
      </c>
      <c r="L3872" s="24"/>
      <c r="M3872" s="24"/>
    </row>
    <row r="3873" spans="1:13">
      <c r="A3873" s="14" t="str">
        <f t="shared" si="120"/>
        <v/>
      </c>
      <c r="C3873" s="120" t="s">
        <v>128</v>
      </c>
      <c r="D3873"/>
      <c r="E3873"/>
      <c r="F3873"/>
      <c r="G3873"/>
      <c r="H3873"/>
      <c r="I3873" s="21" t="str">
        <f t="shared" si="121"/>
        <v/>
      </c>
      <c r="L3873" s="24"/>
      <c r="M3873" s="24"/>
    </row>
    <row r="3874" spans="1:13">
      <c r="A3874" s="10" t="str">
        <f t="shared" si="120"/>
        <v/>
      </c>
      <c r="C3874" s="120" t="s">
        <v>280</v>
      </c>
      <c r="D3874"/>
      <c r="E3874"/>
      <c r="F3874"/>
      <c r="G3874"/>
      <c r="H3874"/>
      <c r="I3874" s="21" t="str">
        <f t="shared" si="121"/>
        <v/>
      </c>
      <c r="L3874" s="24"/>
      <c r="M3874" s="24"/>
    </row>
    <row r="3875" spans="1:13">
      <c r="A3875" s="14" t="str">
        <f t="shared" si="120"/>
        <v/>
      </c>
      <c r="C3875" s="120" t="s">
        <v>282</v>
      </c>
      <c r="D3875"/>
      <c r="E3875"/>
      <c r="F3875"/>
      <c r="G3875"/>
      <c r="H3875"/>
      <c r="I3875" s="21" t="str">
        <f t="shared" si="121"/>
        <v/>
      </c>
      <c r="L3875" s="24"/>
      <c r="M3875" s="24"/>
    </row>
    <row r="3876" spans="1:13">
      <c r="A3876" s="10" t="str">
        <f t="shared" si="120"/>
        <v/>
      </c>
      <c r="C3876" s="120" t="s">
        <v>284</v>
      </c>
      <c r="D3876"/>
      <c r="E3876"/>
      <c r="F3876"/>
      <c r="G3876"/>
      <c r="H3876"/>
      <c r="I3876" s="21" t="str">
        <f t="shared" si="121"/>
        <v/>
      </c>
      <c r="L3876" s="24"/>
      <c r="M3876" s="24"/>
    </row>
    <row r="3877" spans="1:13">
      <c r="A3877" s="14" t="str">
        <f t="shared" si="120"/>
        <v/>
      </c>
      <c r="C3877" s="120" t="s">
        <v>286</v>
      </c>
      <c r="D3877"/>
      <c r="E3877"/>
      <c r="F3877"/>
      <c r="G3877"/>
      <c r="H3877"/>
      <c r="I3877" s="21" t="str">
        <f t="shared" si="121"/>
        <v/>
      </c>
      <c r="L3877" s="24"/>
      <c r="M3877" s="24"/>
    </row>
    <row r="3878" spans="1:13">
      <c r="A3878" s="10" t="str">
        <f t="shared" si="120"/>
        <v/>
      </c>
      <c r="C3878" s="120" t="s">
        <v>126</v>
      </c>
      <c r="D3878"/>
      <c r="E3878"/>
      <c r="F3878"/>
      <c r="G3878"/>
      <c r="H3878"/>
      <c r="I3878" s="21" t="str">
        <f t="shared" si="121"/>
        <v/>
      </c>
      <c r="L3878" s="24"/>
      <c r="M3878" s="24"/>
    </row>
    <row r="3879" spans="1:13">
      <c r="A3879" s="14" t="str">
        <f t="shared" si="120"/>
        <v/>
      </c>
      <c r="C3879" s="120" t="s">
        <v>128</v>
      </c>
      <c r="D3879"/>
      <c r="E3879"/>
      <c r="F3879"/>
      <c r="G3879"/>
      <c r="H3879"/>
      <c r="I3879" s="21" t="str">
        <f t="shared" si="121"/>
        <v/>
      </c>
      <c r="L3879" s="24"/>
      <c r="M3879" s="24"/>
    </row>
    <row r="3880" spans="1:13">
      <c r="A3880" s="10" t="str">
        <f t="shared" si="120"/>
        <v/>
      </c>
      <c r="C3880" s="120" t="s">
        <v>280</v>
      </c>
      <c r="D3880"/>
      <c r="E3880"/>
      <c r="F3880"/>
      <c r="G3880"/>
      <c r="H3880"/>
      <c r="I3880" s="21" t="str">
        <f t="shared" si="121"/>
        <v/>
      </c>
      <c r="L3880" s="24"/>
      <c r="M3880" s="24"/>
    </row>
    <row r="3881" spans="1:13">
      <c r="A3881" s="14" t="str">
        <f t="shared" si="120"/>
        <v/>
      </c>
      <c r="C3881" s="120" t="s">
        <v>282</v>
      </c>
      <c r="D3881"/>
      <c r="E3881"/>
      <c r="F3881"/>
      <c r="G3881"/>
      <c r="H3881"/>
      <c r="I3881" s="21" t="str">
        <f t="shared" si="121"/>
        <v/>
      </c>
      <c r="L3881" s="24"/>
      <c r="M3881" s="24"/>
    </row>
    <row r="3882" spans="1:13">
      <c r="A3882" s="10" t="str">
        <f t="shared" si="120"/>
        <v/>
      </c>
      <c r="C3882" s="120" t="s">
        <v>284</v>
      </c>
      <c r="D3882"/>
      <c r="E3882"/>
      <c r="F3882"/>
      <c r="G3882"/>
      <c r="H3882"/>
      <c r="I3882" s="21" t="str">
        <f t="shared" si="121"/>
        <v/>
      </c>
      <c r="L3882" s="24"/>
      <c r="M3882" s="24"/>
    </row>
    <row r="3883" spans="1:13">
      <c r="A3883" s="14" t="str">
        <f t="shared" si="120"/>
        <v/>
      </c>
      <c r="C3883" s="120" t="s">
        <v>286</v>
      </c>
      <c r="D3883"/>
      <c r="E3883"/>
      <c r="F3883"/>
      <c r="G3883"/>
      <c r="H3883"/>
      <c r="I3883" s="21" t="str">
        <f t="shared" si="121"/>
        <v/>
      </c>
      <c r="L3883" s="24"/>
      <c r="M3883" s="24"/>
    </row>
    <row r="3884" spans="1:13">
      <c r="A3884" s="10" t="str">
        <f t="shared" si="120"/>
        <v/>
      </c>
      <c r="C3884" s="120" t="s">
        <v>126</v>
      </c>
      <c r="D3884"/>
      <c r="E3884"/>
      <c r="F3884"/>
      <c r="G3884"/>
      <c r="H3884"/>
      <c r="I3884" s="21" t="str">
        <f t="shared" si="121"/>
        <v/>
      </c>
      <c r="L3884" s="24"/>
      <c r="M3884" s="24"/>
    </row>
    <row r="3885" spans="1:13">
      <c r="A3885" s="14" t="str">
        <f t="shared" si="120"/>
        <v/>
      </c>
      <c r="C3885" s="120" t="s">
        <v>128</v>
      </c>
      <c r="D3885"/>
      <c r="E3885"/>
      <c r="F3885"/>
      <c r="G3885"/>
      <c r="H3885"/>
      <c r="I3885" s="21" t="str">
        <f t="shared" si="121"/>
        <v/>
      </c>
      <c r="L3885" s="24"/>
      <c r="M3885" s="24"/>
    </row>
    <row r="3886" spans="1:13">
      <c r="A3886" s="10" t="str">
        <f t="shared" si="120"/>
        <v/>
      </c>
      <c r="C3886" s="120" t="s">
        <v>280</v>
      </c>
      <c r="D3886"/>
      <c r="E3886"/>
      <c r="F3886"/>
      <c r="G3886"/>
      <c r="H3886"/>
      <c r="I3886" s="21" t="str">
        <f t="shared" si="121"/>
        <v/>
      </c>
      <c r="L3886" s="24"/>
      <c r="M3886" s="24"/>
    </row>
    <row r="3887" spans="1:13">
      <c r="A3887" s="14" t="str">
        <f t="shared" si="120"/>
        <v/>
      </c>
      <c r="C3887" s="120" t="s">
        <v>282</v>
      </c>
      <c r="D3887"/>
      <c r="E3887"/>
      <c r="F3887"/>
      <c r="G3887"/>
      <c r="H3887"/>
      <c r="I3887" s="21" t="str">
        <f t="shared" si="121"/>
        <v/>
      </c>
      <c r="L3887" s="24"/>
      <c r="M3887" s="24"/>
    </row>
    <row r="3888" spans="1:13">
      <c r="A3888" s="10" t="str">
        <f t="shared" si="120"/>
        <v/>
      </c>
      <c r="C3888" s="120" t="s">
        <v>284</v>
      </c>
      <c r="D3888"/>
      <c r="E3888"/>
      <c r="F3888"/>
      <c r="G3888"/>
      <c r="H3888"/>
      <c r="I3888" s="21" t="str">
        <f t="shared" si="121"/>
        <v/>
      </c>
      <c r="L3888" s="24"/>
      <c r="M3888" s="24"/>
    </row>
    <row r="3889" spans="1:13">
      <c r="A3889" s="14" t="str">
        <f t="shared" si="120"/>
        <v/>
      </c>
      <c r="C3889" s="120" t="s">
        <v>286</v>
      </c>
      <c r="D3889"/>
      <c r="E3889"/>
      <c r="F3889"/>
      <c r="G3889"/>
      <c r="H3889"/>
      <c r="I3889" s="21" t="str">
        <f t="shared" si="121"/>
        <v/>
      </c>
      <c r="L3889" s="24"/>
      <c r="M3889" s="24"/>
    </row>
    <row r="3890" spans="1:13">
      <c r="A3890" s="10" t="str">
        <f t="shared" si="120"/>
        <v/>
      </c>
      <c r="C3890" s="120" t="s">
        <v>126</v>
      </c>
      <c r="D3890"/>
      <c r="E3890"/>
      <c r="F3890"/>
      <c r="G3890"/>
      <c r="H3890"/>
      <c r="I3890" s="21" t="str">
        <f t="shared" si="121"/>
        <v/>
      </c>
      <c r="L3890" s="24"/>
      <c r="M3890" s="24"/>
    </row>
    <row r="3891" spans="1:13">
      <c r="A3891" s="14" t="str">
        <f t="shared" si="120"/>
        <v/>
      </c>
      <c r="C3891" s="120" t="s">
        <v>128</v>
      </c>
      <c r="D3891"/>
      <c r="E3891"/>
      <c r="F3891"/>
      <c r="G3891"/>
      <c r="H3891"/>
      <c r="I3891" s="21" t="str">
        <f t="shared" si="121"/>
        <v/>
      </c>
      <c r="L3891" s="24"/>
      <c r="M3891" s="24"/>
    </row>
    <row r="3892" spans="1:13">
      <c r="A3892" s="10" t="str">
        <f t="shared" si="120"/>
        <v/>
      </c>
      <c r="C3892" s="120" t="s">
        <v>280</v>
      </c>
      <c r="D3892"/>
      <c r="E3892"/>
      <c r="F3892"/>
      <c r="G3892"/>
      <c r="H3892"/>
      <c r="I3892" s="21" t="str">
        <f t="shared" si="121"/>
        <v/>
      </c>
      <c r="L3892" s="24"/>
      <c r="M3892" s="24"/>
    </row>
    <row r="3893" spans="1:13">
      <c r="A3893" s="14" t="str">
        <f t="shared" si="120"/>
        <v/>
      </c>
      <c r="C3893" s="120" t="s">
        <v>282</v>
      </c>
      <c r="D3893"/>
      <c r="E3893"/>
      <c r="F3893"/>
      <c r="G3893"/>
      <c r="H3893"/>
      <c r="I3893" s="21" t="str">
        <f t="shared" si="121"/>
        <v/>
      </c>
      <c r="L3893" s="24"/>
      <c r="M3893" s="24"/>
    </row>
    <row r="3894" spans="1:13">
      <c r="A3894" s="10" t="str">
        <f t="shared" si="120"/>
        <v/>
      </c>
      <c r="C3894" s="120" t="s">
        <v>284</v>
      </c>
      <c r="D3894"/>
      <c r="E3894"/>
      <c r="F3894"/>
      <c r="G3894"/>
      <c r="H3894"/>
      <c r="I3894" s="21" t="str">
        <f t="shared" si="121"/>
        <v/>
      </c>
      <c r="L3894" s="24"/>
      <c r="M3894" s="24"/>
    </row>
    <row r="3895" spans="1:13">
      <c r="A3895" s="14" t="str">
        <f t="shared" si="120"/>
        <v/>
      </c>
      <c r="C3895" s="120" t="s">
        <v>286</v>
      </c>
      <c r="D3895"/>
      <c r="E3895"/>
      <c r="F3895"/>
      <c r="G3895"/>
      <c r="H3895"/>
      <c r="I3895" s="21" t="str">
        <f t="shared" si="121"/>
        <v/>
      </c>
      <c r="L3895" s="24"/>
      <c r="M3895" s="24"/>
    </row>
    <row r="3896" spans="1:13">
      <c r="A3896" s="10" t="str">
        <f t="shared" si="120"/>
        <v/>
      </c>
      <c r="C3896" s="120" t="s">
        <v>126</v>
      </c>
      <c r="D3896"/>
      <c r="E3896"/>
      <c r="F3896"/>
      <c r="G3896"/>
      <c r="H3896"/>
      <c r="I3896" s="21" t="str">
        <f t="shared" si="121"/>
        <v/>
      </c>
      <c r="L3896" s="24"/>
      <c r="M3896" s="24"/>
    </row>
    <row r="3897" spans="1:13">
      <c r="A3897" s="14" t="str">
        <f t="shared" si="120"/>
        <v/>
      </c>
      <c r="C3897" s="120" t="s">
        <v>128</v>
      </c>
      <c r="D3897"/>
      <c r="E3897"/>
      <c r="F3897"/>
      <c r="G3897"/>
      <c r="H3897"/>
      <c r="I3897" s="21" t="str">
        <f t="shared" si="121"/>
        <v/>
      </c>
      <c r="L3897" s="24"/>
      <c r="M3897" s="24"/>
    </row>
    <row r="3898" spans="1:13">
      <c r="A3898" s="10" t="str">
        <f t="shared" si="120"/>
        <v/>
      </c>
      <c r="C3898" s="120" t="s">
        <v>280</v>
      </c>
      <c r="D3898"/>
      <c r="E3898"/>
      <c r="F3898"/>
      <c r="G3898"/>
      <c r="H3898"/>
      <c r="I3898" s="21" t="str">
        <f t="shared" si="121"/>
        <v/>
      </c>
      <c r="L3898" s="24"/>
      <c r="M3898" s="24"/>
    </row>
    <row r="3899" spans="1:13">
      <c r="A3899" s="14" t="str">
        <f t="shared" si="120"/>
        <v/>
      </c>
      <c r="C3899" s="120" t="s">
        <v>282</v>
      </c>
      <c r="D3899"/>
      <c r="E3899"/>
      <c r="F3899"/>
      <c r="G3899"/>
      <c r="H3899"/>
      <c r="I3899" s="21" t="str">
        <f t="shared" si="121"/>
        <v/>
      </c>
      <c r="L3899" s="24"/>
      <c r="M3899" s="24"/>
    </row>
    <row r="3900" spans="1:13">
      <c r="A3900" s="10" t="str">
        <f t="shared" si="120"/>
        <v/>
      </c>
      <c r="C3900" s="120" t="s">
        <v>284</v>
      </c>
      <c r="D3900"/>
      <c r="E3900"/>
      <c r="F3900"/>
      <c r="G3900"/>
      <c r="H3900"/>
      <c r="I3900" s="21" t="str">
        <f t="shared" si="121"/>
        <v/>
      </c>
      <c r="L3900" s="24"/>
      <c r="M3900" s="24"/>
    </row>
    <row r="3901" spans="1:13">
      <c r="A3901" s="14" t="str">
        <f t="shared" si="120"/>
        <v/>
      </c>
      <c r="C3901" s="120" t="s">
        <v>286</v>
      </c>
      <c r="D3901"/>
      <c r="E3901"/>
      <c r="F3901"/>
      <c r="G3901"/>
      <c r="H3901"/>
      <c r="I3901" s="21" t="str">
        <f t="shared" si="121"/>
        <v/>
      </c>
      <c r="L3901" s="24"/>
      <c r="M3901" s="24"/>
    </row>
    <row r="3902" spans="1:13">
      <c r="A3902" s="10" t="str">
        <f t="shared" si="120"/>
        <v/>
      </c>
      <c r="C3902" s="120" t="s">
        <v>126</v>
      </c>
      <c r="D3902"/>
      <c r="E3902"/>
      <c r="F3902"/>
      <c r="G3902"/>
      <c r="H3902"/>
      <c r="I3902" s="21" t="str">
        <f t="shared" si="121"/>
        <v/>
      </c>
      <c r="L3902" s="24"/>
      <c r="M3902" s="24"/>
    </row>
    <row r="3903" spans="1:13">
      <c r="A3903" s="14" t="str">
        <f t="shared" si="120"/>
        <v/>
      </c>
      <c r="C3903" s="120" t="s">
        <v>128</v>
      </c>
      <c r="D3903"/>
      <c r="E3903"/>
      <c r="F3903"/>
      <c r="G3903"/>
      <c r="H3903"/>
      <c r="I3903" s="21" t="str">
        <f t="shared" si="121"/>
        <v/>
      </c>
      <c r="L3903" s="24"/>
      <c r="M3903" s="24"/>
    </row>
    <row r="3904" spans="1:13">
      <c r="A3904" s="10" t="str">
        <f t="shared" si="120"/>
        <v/>
      </c>
      <c r="C3904" s="120" t="s">
        <v>280</v>
      </c>
      <c r="D3904"/>
      <c r="E3904"/>
      <c r="F3904"/>
      <c r="G3904"/>
      <c r="H3904"/>
      <c r="I3904" s="21" t="str">
        <f t="shared" si="121"/>
        <v/>
      </c>
      <c r="L3904" s="24"/>
      <c r="M3904" s="24"/>
    </row>
    <row r="3905" spans="1:13">
      <c r="A3905" s="14" t="str">
        <f t="shared" si="120"/>
        <v/>
      </c>
      <c r="C3905" s="120" t="s">
        <v>282</v>
      </c>
      <c r="D3905"/>
      <c r="E3905"/>
      <c r="F3905"/>
      <c r="G3905"/>
      <c r="H3905"/>
      <c r="I3905" s="21" t="str">
        <f t="shared" si="121"/>
        <v/>
      </c>
      <c r="L3905" s="24"/>
      <c r="M3905" s="24"/>
    </row>
    <row r="3906" spans="1:13">
      <c r="A3906" s="10" t="str">
        <f t="shared" ref="A3906:A3969" si="122">IF(B3906&lt;&gt;"",ROW()-1,"")</f>
        <v/>
      </c>
      <c r="C3906" s="120" t="s">
        <v>284</v>
      </c>
      <c r="D3906"/>
      <c r="E3906"/>
      <c r="F3906"/>
      <c r="G3906"/>
      <c r="H3906"/>
      <c r="I3906" s="21" t="str">
        <f t="shared" ref="I3906:I3969" si="123">IF(AND(G3906&lt;&gt;"",H3906&lt;&gt;""),H3906-G3906,"")</f>
        <v/>
      </c>
      <c r="L3906" s="24"/>
      <c r="M3906" s="24"/>
    </row>
    <row r="3907" spans="1:13">
      <c r="A3907" s="14" t="str">
        <f t="shared" si="122"/>
        <v/>
      </c>
      <c r="C3907" s="120" t="s">
        <v>286</v>
      </c>
      <c r="D3907"/>
      <c r="E3907"/>
      <c r="F3907"/>
      <c r="G3907"/>
      <c r="H3907"/>
      <c r="I3907" s="21" t="str">
        <f t="shared" si="123"/>
        <v/>
      </c>
      <c r="L3907" s="24"/>
      <c r="M3907" s="24"/>
    </row>
    <row r="3908" spans="1:13">
      <c r="A3908" s="10" t="str">
        <f t="shared" si="122"/>
        <v/>
      </c>
      <c r="C3908" s="120" t="s">
        <v>126</v>
      </c>
      <c r="D3908"/>
      <c r="E3908"/>
      <c r="F3908"/>
      <c r="G3908"/>
      <c r="H3908"/>
      <c r="I3908" s="21" t="str">
        <f t="shared" si="123"/>
        <v/>
      </c>
      <c r="L3908" s="24"/>
      <c r="M3908" s="24"/>
    </row>
    <row r="3909" spans="1:13">
      <c r="A3909" s="14" t="str">
        <f t="shared" si="122"/>
        <v/>
      </c>
      <c r="C3909" s="120" t="s">
        <v>128</v>
      </c>
      <c r="D3909"/>
      <c r="E3909"/>
      <c r="F3909"/>
      <c r="G3909"/>
      <c r="H3909"/>
      <c r="I3909" s="21" t="str">
        <f t="shared" si="123"/>
        <v/>
      </c>
      <c r="L3909" s="24"/>
      <c r="M3909" s="24"/>
    </row>
    <row r="3910" spans="1:13">
      <c r="A3910" s="10" t="str">
        <f t="shared" si="122"/>
        <v/>
      </c>
      <c r="C3910" s="120" t="s">
        <v>280</v>
      </c>
      <c r="D3910"/>
      <c r="E3910"/>
      <c r="F3910"/>
      <c r="G3910"/>
      <c r="H3910"/>
      <c r="I3910" s="21" t="str">
        <f t="shared" si="123"/>
        <v/>
      </c>
      <c r="L3910" s="24"/>
      <c r="M3910" s="24"/>
    </row>
    <row r="3911" spans="1:13">
      <c r="A3911" s="14" t="str">
        <f t="shared" si="122"/>
        <v/>
      </c>
      <c r="C3911" s="120" t="s">
        <v>282</v>
      </c>
      <c r="D3911"/>
      <c r="E3911"/>
      <c r="F3911"/>
      <c r="G3911"/>
      <c r="H3911"/>
      <c r="I3911" s="21" t="str">
        <f t="shared" si="123"/>
        <v/>
      </c>
      <c r="L3911" s="24"/>
      <c r="M3911" s="24"/>
    </row>
    <row r="3912" spans="1:13">
      <c r="A3912" s="10" t="str">
        <f t="shared" si="122"/>
        <v/>
      </c>
      <c r="C3912" s="120" t="s">
        <v>284</v>
      </c>
      <c r="D3912"/>
      <c r="E3912"/>
      <c r="F3912"/>
      <c r="G3912"/>
      <c r="H3912"/>
      <c r="I3912" s="21" t="str">
        <f t="shared" si="123"/>
        <v/>
      </c>
      <c r="L3912" s="24"/>
      <c r="M3912" s="24"/>
    </row>
    <row r="3913" spans="1:13">
      <c r="A3913" s="14" t="str">
        <f t="shared" si="122"/>
        <v/>
      </c>
      <c r="C3913" s="120" t="s">
        <v>286</v>
      </c>
      <c r="D3913"/>
      <c r="E3913"/>
      <c r="F3913"/>
      <c r="G3913"/>
      <c r="H3913"/>
      <c r="I3913" s="21" t="str">
        <f t="shared" si="123"/>
        <v/>
      </c>
      <c r="L3913" s="24"/>
      <c r="M3913" s="24"/>
    </row>
    <row r="3914" spans="1:13">
      <c r="A3914" s="10" t="str">
        <f t="shared" si="122"/>
        <v/>
      </c>
      <c r="C3914" s="120" t="s">
        <v>126</v>
      </c>
      <c r="D3914"/>
      <c r="E3914"/>
      <c r="F3914"/>
      <c r="G3914"/>
      <c r="H3914"/>
      <c r="I3914" s="21" t="str">
        <f t="shared" si="123"/>
        <v/>
      </c>
      <c r="L3914" s="24"/>
      <c r="M3914" s="24"/>
    </row>
    <row r="3915" spans="1:13">
      <c r="A3915" s="14" t="str">
        <f t="shared" si="122"/>
        <v/>
      </c>
      <c r="C3915" s="120" t="s">
        <v>128</v>
      </c>
      <c r="D3915"/>
      <c r="E3915"/>
      <c r="F3915"/>
      <c r="G3915"/>
      <c r="H3915"/>
      <c r="I3915" s="21" t="str">
        <f t="shared" si="123"/>
        <v/>
      </c>
      <c r="L3915" s="24"/>
      <c r="M3915" s="24"/>
    </row>
    <row r="3916" spans="1:13">
      <c r="A3916" s="10" t="str">
        <f t="shared" si="122"/>
        <v/>
      </c>
      <c r="C3916" s="120" t="s">
        <v>280</v>
      </c>
      <c r="D3916"/>
      <c r="E3916"/>
      <c r="F3916"/>
      <c r="G3916"/>
      <c r="H3916"/>
      <c r="I3916" s="21" t="str">
        <f t="shared" si="123"/>
        <v/>
      </c>
      <c r="L3916" s="24"/>
      <c r="M3916" s="24"/>
    </row>
    <row r="3917" spans="1:13">
      <c r="A3917" s="14" t="str">
        <f t="shared" si="122"/>
        <v/>
      </c>
      <c r="C3917" s="120" t="s">
        <v>282</v>
      </c>
      <c r="D3917"/>
      <c r="E3917"/>
      <c r="F3917"/>
      <c r="G3917"/>
      <c r="H3917"/>
      <c r="I3917" s="21" t="str">
        <f t="shared" si="123"/>
        <v/>
      </c>
      <c r="L3917" s="24"/>
      <c r="M3917" s="24"/>
    </row>
    <row r="3918" spans="1:13">
      <c r="A3918" s="10" t="str">
        <f t="shared" si="122"/>
        <v/>
      </c>
      <c r="C3918" s="120" t="s">
        <v>284</v>
      </c>
      <c r="D3918"/>
      <c r="E3918"/>
      <c r="F3918"/>
      <c r="G3918"/>
      <c r="H3918"/>
      <c r="I3918" s="21" t="str">
        <f t="shared" si="123"/>
        <v/>
      </c>
      <c r="L3918" s="24"/>
      <c r="M3918" s="24"/>
    </row>
    <row r="3919" spans="1:13">
      <c r="A3919" s="14" t="str">
        <f t="shared" si="122"/>
        <v/>
      </c>
      <c r="C3919" s="120" t="s">
        <v>286</v>
      </c>
      <c r="D3919"/>
      <c r="E3919"/>
      <c r="F3919"/>
      <c r="G3919"/>
      <c r="H3919"/>
      <c r="I3919" s="21" t="str">
        <f t="shared" si="123"/>
        <v/>
      </c>
      <c r="L3919" s="24"/>
      <c r="M3919" s="24"/>
    </row>
    <row r="3920" spans="1:13">
      <c r="A3920" s="10" t="str">
        <f t="shared" si="122"/>
        <v/>
      </c>
      <c r="C3920" s="120" t="s">
        <v>126</v>
      </c>
      <c r="D3920"/>
      <c r="E3920"/>
      <c r="F3920"/>
      <c r="G3920"/>
      <c r="H3920"/>
      <c r="I3920" s="21" t="str">
        <f t="shared" si="123"/>
        <v/>
      </c>
      <c r="L3920" s="24"/>
      <c r="M3920" s="24"/>
    </row>
    <row r="3921" spans="1:13">
      <c r="A3921" s="14" t="str">
        <f t="shared" si="122"/>
        <v/>
      </c>
      <c r="C3921" s="120" t="s">
        <v>128</v>
      </c>
      <c r="D3921"/>
      <c r="E3921"/>
      <c r="F3921"/>
      <c r="G3921"/>
      <c r="H3921"/>
      <c r="I3921" s="21" t="str">
        <f t="shared" si="123"/>
        <v/>
      </c>
      <c r="L3921" s="24"/>
      <c r="M3921" s="24"/>
    </row>
    <row r="3922" spans="1:13">
      <c r="A3922" s="10" t="str">
        <f t="shared" si="122"/>
        <v/>
      </c>
      <c r="C3922" s="120" t="s">
        <v>280</v>
      </c>
      <c r="D3922"/>
      <c r="E3922"/>
      <c r="F3922"/>
      <c r="G3922"/>
      <c r="H3922"/>
      <c r="I3922" s="21" t="str">
        <f t="shared" si="123"/>
        <v/>
      </c>
      <c r="L3922" s="24"/>
      <c r="M3922" s="24"/>
    </row>
    <row r="3923" spans="1:13">
      <c r="A3923" s="14" t="str">
        <f t="shared" si="122"/>
        <v/>
      </c>
      <c r="C3923" s="120" t="s">
        <v>282</v>
      </c>
      <c r="D3923"/>
      <c r="E3923"/>
      <c r="F3923"/>
      <c r="G3923"/>
      <c r="H3923"/>
      <c r="I3923" s="21" t="str">
        <f t="shared" si="123"/>
        <v/>
      </c>
      <c r="L3923" s="24"/>
      <c r="M3923" s="24"/>
    </row>
    <row r="3924" spans="1:13">
      <c r="A3924" s="10" t="str">
        <f t="shared" si="122"/>
        <v/>
      </c>
      <c r="C3924" s="120" t="s">
        <v>284</v>
      </c>
      <c r="D3924"/>
      <c r="E3924"/>
      <c r="F3924"/>
      <c r="G3924"/>
      <c r="H3924"/>
      <c r="I3924" s="21" t="str">
        <f t="shared" si="123"/>
        <v/>
      </c>
      <c r="L3924" s="24"/>
      <c r="M3924" s="24"/>
    </row>
    <row r="3925" spans="1:13">
      <c r="A3925" s="14" t="str">
        <f t="shared" si="122"/>
        <v/>
      </c>
      <c r="C3925" s="120" t="s">
        <v>286</v>
      </c>
      <c r="D3925"/>
      <c r="E3925"/>
      <c r="F3925"/>
      <c r="G3925"/>
      <c r="H3925"/>
      <c r="I3925" s="21" t="str">
        <f t="shared" si="123"/>
        <v/>
      </c>
      <c r="L3925" s="24"/>
      <c r="M3925" s="24"/>
    </row>
    <row r="3926" spans="1:13">
      <c r="A3926" s="10" t="str">
        <f t="shared" si="122"/>
        <v/>
      </c>
      <c r="C3926" s="120" t="s">
        <v>126</v>
      </c>
      <c r="D3926"/>
      <c r="E3926"/>
      <c r="F3926"/>
      <c r="G3926"/>
      <c r="H3926"/>
      <c r="I3926" s="21" t="str">
        <f t="shared" si="123"/>
        <v/>
      </c>
      <c r="L3926" s="24"/>
      <c r="M3926" s="24"/>
    </row>
    <row r="3927" spans="1:13">
      <c r="A3927" s="14" t="str">
        <f t="shared" si="122"/>
        <v/>
      </c>
      <c r="C3927" s="120" t="s">
        <v>128</v>
      </c>
      <c r="D3927"/>
      <c r="E3927"/>
      <c r="F3927"/>
      <c r="G3927"/>
      <c r="H3927"/>
      <c r="I3927" s="21" t="str">
        <f t="shared" si="123"/>
        <v/>
      </c>
      <c r="L3927" s="24"/>
      <c r="M3927" s="24"/>
    </row>
    <row r="3928" spans="1:13">
      <c r="A3928" s="10" t="str">
        <f t="shared" si="122"/>
        <v/>
      </c>
      <c r="C3928" s="120" t="s">
        <v>280</v>
      </c>
      <c r="D3928"/>
      <c r="E3928"/>
      <c r="F3928"/>
      <c r="G3928"/>
      <c r="H3928"/>
      <c r="I3928" s="21" t="str">
        <f t="shared" si="123"/>
        <v/>
      </c>
      <c r="L3928" s="24"/>
      <c r="M3928" s="24"/>
    </row>
    <row r="3929" spans="1:13">
      <c r="A3929" s="14" t="str">
        <f t="shared" si="122"/>
        <v/>
      </c>
      <c r="C3929" s="120" t="s">
        <v>282</v>
      </c>
      <c r="D3929"/>
      <c r="E3929"/>
      <c r="F3929"/>
      <c r="G3929"/>
      <c r="H3929"/>
      <c r="I3929" s="21" t="str">
        <f t="shared" si="123"/>
        <v/>
      </c>
      <c r="L3929" s="24"/>
      <c r="M3929" s="24"/>
    </row>
    <row r="3930" spans="1:13">
      <c r="A3930" s="10" t="str">
        <f t="shared" si="122"/>
        <v/>
      </c>
      <c r="C3930" s="120" t="s">
        <v>284</v>
      </c>
      <c r="D3930"/>
      <c r="E3930"/>
      <c r="F3930"/>
      <c r="G3930"/>
      <c r="H3930"/>
      <c r="I3930" s="21" t="str">
        <f t="shared" si="123"/>
        <v/>
      </c>
      <c r="L3930" s="24"/>
      <c r="M3930" s="24"/>
    </row>
    <row r="3931" spans="1:13">
      <c r="A3931" s="14" t="str">
        <f t="shared" si="122"/>
        <v/>
      </c>
      <c r="C3931" s="120" t="s">
        <v>286</v>
      </c>
      <c r="D3931"/>
      <c r="E3931"/>
      <c r="F3931"/>
      <c r="G3931"/>
      <c r="H3931"/>
      <c r="I3931" s="21" t="str">
        <f t="shared" si="123"/>
        <v/>
      </c>
      <c r="L3931" s="24"/>
      <c r="M3931" s="24"/>
    </row>
    <row r="3932" spans="1:13">
      <c r="A3932" s="10" t="str">
        <f t="shared" si="122"/>
        <v/>
      </c>
      <c r="C3932" s="120" t="s">
        <v>126</v>
      </c>
      <c r="D3932"/>
      <c r="E3932"/>
      <c r="F3932"/>
      <c r="G3932"/>
      <c r="H3932"/>
      <c r="I3932" s="21" t="str">
        <f t="shared" si="123"/>
        <v/>
      </c>
      <c r="L3932" s="24"/>
      <c r="M3932" s="24"/>
    </row>
    <row r="3933" spans="1:13">
      <c r="A3933" s="14" t="str">
        <f t="shared" si="122"/>
        <v/>
      </c>
      <c r="C3933" s="120" t="s">
        <v>128</v>
      </c>
      <c r="D3933"/>
      <c r="E3933"/>
      <c r="F3933"/>
      <c r="G3933"/>
      <c r="H3933"/>
      <c r="I3933" s="21" t="str">
        <f t="shared" si="123"/>
        <v/>
      </c>
      <c r="L3933" s="24"/>
      <c r="M3933" s="24"/>
    </row>
    <row r="3934" spans="1:13">
      <c r="A3934" s="10" t="str">
        <f t="shared" si="122"/>
        <v/>
      </c>
      <c r="C3934" s="120" t="s">
        <v>280</v>
      </c>
      <c r="D3934"/>
      <c r="E3934"/>
      <c r="F3934"/>
      <c r="G3934"/>
      <c r="H3934"/>
      <c r="I3934" s="21" t="str">
        <f t="shared" si="123"/>
        <v/>
      </c>
      <c r="L3934" s="24"/>
      <c r="M3934" s="24"/>
    </row>
    <row r="3935" spans="1:13">
      <c r="A3935" s="14" t="str">
        <f t="shared" si="122"/>
        <v/>
      </c>
      <c r="C3935" s="120" t="s">
        <v>282</v>
      </c>
      <c r="D3935"/>
      <c r="E3935"/>
      <c r="F3935"/>
      <c r="G3935"/>
      <c r="H3935"/>
      <c r="I3935" s="21" t="str">
        <f t="shared" si="123"/>
        <v/>
      </c>
      <c r="L3935" s="24"/>
      <c r="M3935" s="24"/>
    </row>
    <row r="3936" spans="1:13">
      <c r="A3936" s="10" t="str">
        <f t="shared" si="122"/>
        <v/>
      </c>
      <c r="C3936" s="120" t="s">
        <v>284</v>
      </c>
      <c r="D3936"/>
      <c r="E3936"/>
      <c r="F3936"/>
      <c r="G3936"/>
      <c r="H3936"/>
      <c r="I3936" s="21" t="str">
        <f t="shared" si="123"/>
        <v/>
      </c>
      <c r="L3936" s="24"/>
      <c r="M3936" s="24"/>
    </row>
    <row r="3937" spans="1:13">
      <c r="A3937" s="14" t="str">
        <f t="shared" si="122"/>
        <v/>
      </c>
      <c r="C3937" s="120" t="s">
        <v>286</v>
      </c>
      <c r="D3937"/>
      <c r="E3937"/>
      <c r="F3937"/>
      <c r="G3937"/>
      <c r="H3937"/>
      <c r="I3937" s="21" t="str">
        <f t="shared" si="123"/>
        <v/>
      </c>
      <c r="L3937" s="24"/>
      <c r="M3937" s="24"/>
    </row>
    <row r="3938" spans="1:13">
      <c r="A3938" s="10" t="str">
        <f t="shared" si="122"/>
        <v/>
      </c>
      <c r="C3938" s="120" t="s">
        <v>126</v>
      </c>
      <c r="D3938"/>
      <c r="E3938"/>
      <c r="F3938"/>
      <c r="G3938"/>
      <c r="H3938"/>
      <c r="I3938" s="21" t="str">
        <f t="shared" si="123"/>
        <v/>
      </c>
      <c r="L3938" s="24"/>
      <c r="M3938" s="24"/>
    </row>
    <row r="3939" spans="1:13">
      <c r="A3939" s="14" t="str">
        <f t="shared" si="122"/>
        <v/>
      </c>
      <c r="C3939" s="120" t="s">
        <v>128</v>
      </c>
      <c r="D3939"/>
      <c r="E3939"/>
      <c r="F3939"/>
      <c r="G3939"/>
      <c r="H3939"/>
      <c r="I3939" s="21" t="str">
        <f t="shared" si="123"/>
        <v/>
      </c>
      <c r="L3939" s="24"/>
      <c r="M3939" s="24"/>
    </row>
    <row r="3940" spans="1:13">
      <c r="A3940" s="10" t="str">
        <f t="shared" si="122"/>
        <v/>
      </c>
      <c r="C3940" s="120" t="s">
        <v>280</v>
      </c>
      <c r="D3940"/>
      <c r="E3940"/>
      <c r="F3940"/>
      <c r="G3940"/>
      <c r="H3940"/>
      <c r="I3940" s="21" t="str">
        <f t="shared" si="123"/>
        <v/>
      </c>
      <c r="L3940" s="24"/>
      <c r="M3940" s="24"/>
    </row>
    <row r="3941" spans="1:13">
      <c r="A3941" s="14" t="str">
        <f t="shared" si="122"/>
        <v/>
      </c>
      <c r="C3941" s="120" t="s">
        <v>282</v>
      </c>
      <c r="D3941"/>
      <c r="E3941"/>
      <c r="F3941"/>
      <c r="G3941"/>
      <c r="H3941"/>
      <c r="I3941" s="21" t="str">
        <f t="shared" si="123"/>
        <v/>
      </c>
      <c r="L3941" s="24"/>
      <c r="M3941" s="24"/>
    </row>
    <row r="3942" spans="1:13">
      <c r="A3942" s="10" t="str">
        <f t="shared" si="122"/>
        <v/>
      </c>
      <c r="C3942" s="120" t="s">
        <v>284</v>
      </c>
      <c r="D3942"/>
      <c r="E3942"/>
      <c r="F3942"/>
      <c r="G3942"/>
      <c r="H3942"/>
      <c r="I3942" s="21" t="str">
        <f t="shared" si="123"/>
        <v/>
      </c>
      <c r="L3942" s="24"/>
      <c r="M3942" s="24"/>
    </row>
    <row r="3943" spans="1:13">
      <c r="A3943" s="14" t="str">
        <f t="shared" si="122"/>
        <v/>
      </c>
      <c r="C3943" s="120" t="s">
        <v>286</v>
      </c>
      <c r="D3943"/>
      <c r="E3943"/>
      <c r="F3943"/>
      <c r="G3943"/>
      <c r="H3943"/>
      <c r="I3943" s="21" t="str">
        <f t="shared" si="123"/>
        <v/>
      </c>
      <c r="L3943" s="24"/>
      <c r="M3943" s="24"/>
    </row>
    <row r="3944" spans="1:13">
      <c r="A3944" s="10" t="str">
        <f t="shared" si="122"/>
        <v/>
      </c>
      <c r="C3944" s="120" t="s">
        <v>126</v>
      </c>
      <c r="D3944"/>
      <c r="E3944"/>
      <c r="F3944"/>
      <c r="G3944"/>
      <c r="H3944"/>
      <c r="I3944" s="21" t="str">
        <f t="shared" si="123"/>
        <v/>
      </c>
      <c r="L3944" s="24"/>
      <c r="M3944" s="24"/>
    </row>
    <row r="3945" spans="1:13">
      <c r="A3945" s="14" t="str">
        <f t="shared" si="122"/>
        <v/>
      </c>
      <c r="C3945" s="120" t="s">
        <v>128</v>
      </c>
      <c r="D3945"/>
      <c r="E3945"/>
      <c r="F3945"/>
      <c r="G3945"/>
      <c r="H3945"/>
      <c r="I3945" s="21" t="str">
        <f t="shared" si="123"/>
        <v/>
      </c>
      <c r="L3945" s="24"/>
      <c r="M3945" s="24"/>
    </row>
    <row r="3946" spans="1:13">
      <c r="A3946" s="10" t="str">
        <f t="shared" si="122"/>
        <v/>
      </c>
      <c r="C3946" s="120" t="s">
        <v>280</v>
      </c>
      <c r="D3946"/>
      <c r="E3946"/>
      <c r="F3946"/>
      <c r="G3946"/>
      <c r="H3946"/>
      <c r="I3946" s="21" t="str">
        <f t="shared" si="123"/>
        <v/>
      </c>
      <c r="L3946" s="24"/>
      <c r="M3946" s="24"/>
    </row>
    <row r="3947" spans="1:13">
      <c r="A3947" s="14" t="str">
        <f t="shared" si="122"/>
        <v/>
      </c>
      <c r="C3947" s="120" t="s">
        <v>282</v>
      </c>
      <c r="D3947"/>
      <c r="E3947"/>
      <c r="F3947"/>
      <c r="G3947"/>
      <c r="H3947"/>
      <c r="I3947" s="21" t="str">
        <f t="shared" si="123"/>
        <v/>
      </c>
      <c r="L3947" s="24"/>
      <c r="M3947" s="24"/>
    </row>
    <row r="3948" spans="1:13">
      <c r="A3948" s="10" t="str">
        <f t="shared" si="122"/>
        <v/>
      </c>
      <c r="C3948" s="120" t="s">
        <v>284</v>
      </c>
      <c r="D3948"/>
      <c r="E3948"/>
      <c r="F3948"/>
      <c r="G3948"/>
      <c r="H3948"/>
      <c r="I3948" s="21" t="str">
        <f t="shared" si="123"/>
        <v/>
      </c>
      <c r="L3948" s="24"/>
      <c r="M3948" s="24"/>
    </row>
    <row r="3949" spans="1:13">
      <c r="A3949" s="14" t="str">
        <f t="shared" si="122"/>
        <v/>
      </c>
      <c r="C3949" s="120" t="s">
        <v>286</v>
      </c>
      <c r="D3949"/>
      <c r="E3949"/>
      <c r="F3949"/>
      <c r="G3949"/>
      <c r="H3949"/>
      <c r="I3949" s="21" t="str">
        <f t="shared" si="123"/>
        <v/>
      </c>
      <c r="L3949" s="24"/>
      <c r="M3949" s="24"/>
    </row>
    <row r="3950" spans="1:13">
      <c r="A3950" s="10" t="str">
        <f t="shared" si="122"/>
        <v/>
      </c>
      <c r="C3950" s="120" t="s">
        <v>126</v>
      </c>
      <c r="D3950"/>
      <c r="E3950"/>
      <c r="F3950"/>
      <c r="G3950"/>
      <c r="H3950"/>
      <c r="I3950" s="21" t="str">
        <f t="shared" si="123"/>
        <v/>
      </c>
      <c r="L3950" s="24"/>
      <c r="M3950" s="24"/>
    </row>
    <row r="3951" spans="1:13">
      <c r="A3951" s="14" t="str">
        <f t="shared" si="122"/>
        <v/>
      </c>
      <c r="C3951" s="120" t="s">
        <v>128</v>
      </c>
      <c r="D3951"/>
      <c r="E3951"/>
      <c r="F3951"/>
      <c r="G3951"/>
      <c r="H3951"/>
      <c r="I3951" s="21" t="str">
        <f t="shared" si="123"/>
        <v/>
      </c>
      <c r="L3951" s="24"/>
      <c r="M3951" s="24"/>
    </row>
    <row r="3952" spans="1:13">
      <c r="A3952" s="10" t="str">
        <f t="shared" si="122"/>
        <v/>
      </c>
      <c r="C3952" s="120" t="s">
        <v>280</v>
      </c>
      <c r="D3952"/>
      <c r="E3952"/>
      <c r="F3952"/>
      <c r="G3952"/>
      <c r="H3952"/>
      <c r="I3952" s="21" t="str">
        <f t="shared" si="123"/>
        <v/>
      </c>
      <c r="L3952" s="24"/>
      <c r="M3952" s="24"/>
    </row>
    <row r="3953" spans="1:13">
      <c r="A3953" s="14" t="str">
        <f t="shared" si="122"/>
        <v/>
      </c>
      <c r="C3953" s="120" t="s">
        <v>282</v>
      </c>
      <c r="D3953"/>
      <c r="E3953"/>
      <c r="F3953"/>
      <c r="G3953"/>
      <c r="H3953"/>
      <c r="I3953" s="21" t="str">
        <f t="shared" si="123"/>
        <v/>
      </c>
      <c r="L3953" s="24"/>
      <c r="M3953" s="24"/>
    </row>
    <row r="3954" spans="1:13">
      <c r="A3954" s="10" t="str">
        <f t="shared" si="122"/>
        <v/>
      </c>
      <c r="C3954" s="120" t="s">
        <v>284</v>
      </c>
      <c r="D3954"/>
      <c r="E3954"/>
      <c r="F3954"/>
      <c r="G3954"/>
      <c r="H3954"/>
      <c r="I3954" s="21" t="str">
        <f t="shared" si="123"/>
        <v/>
      </c>
      <c r="L3954" s="24"/>
      <c r="M3954" s="24"/>
    </row>
    <row r="3955" spans="1:13">
      <c r="A3955" s="14" t="str">
        <f t="shared" si="122"/>
        <v/>
      </c>
      <c r="C3955" s="120" t="s">
        <v>286</v>
      </c>
      <c r="D3955"/>
      <c r="E3955"/>
      <c r="F3955"/>
      <c r="G3955"/>
      <c r="H3955"/>
      <c r="I3955" s="21" t="str">
        <f t="shared" si="123"/>
        <v/>
      </c>
      <c r="L3955" s="24"/>
      <c r="M3955" s="24"/>
    </row>
    <row r="3956" spans="1:13">
      <c r="A3956" s="10" t="str">
        <f t="shared" si="122"/>
        <v/>
      </c>
      <c r="C3956" s="120" t="s">
        <v>126</v>
      </c>
      <c r="D3956"/>
      <c r="E3956"/>
      <c r="F3956"/>
      <c r="G3956"/>
      <c r="H3956"/>
      <c r="I3956" s="21" t="str">
        <f t="shared" si="123"/>
        <v/>
      </c>
      <c r="L3956" s="24"/>
      <c r="M3956" s="24"/>
    </row>
    <row r="3957" spans="1:13">
      <c r="A3957" s="14" t="str">
        <f t="shared" si="122"/>
        <v/>
      </c>
      <c r="C3957" s="120" t="s">
        <v>128</v>
      </c>
      <c r="D3957"/>
      <c r="E3957"/>
      <c r="F3957"/>
      <c r="G3957"/>
      <c r="H3957"/>
      <c r="I3957" s="21" t="str">
        <f t="shared" si="123"/>
        <v/>
      </c>
      <c r="L3957" s="24"/>
      <c r="M3957" s="24"/>
    </row>
    <row r="3958" spans="1:13">
      <c r="A3958" s="10" t="str">
        <f t="shared" si="122"/>
        <v/>
      </c>
      <c r="C3958" s="120" t="s">
        <v>280</v>
      </c>
      <c r="D3958"/>
      <c r="E3958"/>
      <c r="F3958"/>
      <c r="G3958"/>
      <c r="H3958"/>
      <c r="I3958" s="21" t="str">
        <f t="shared" si="123"/>
        <v/>
      </c>
      <c r="L3958" s="24"/>
      <c r="M3958" s="24"/>
    </row>
    <row r="3959" spans="1:13">
      <c r="A3959" s="14" t="str">
        <f t="shared" si="122"/>
        <v/>
      </c>
      <c r="C3959" s="120" t="s">
        <v>282</v>
      </c>
      <c r="D3959"/>
      <c r="E3959"/>
      <c r="F3959"/>
      <c r="G3959"/>
      <c r="H3959"/>
      <c r="I3959" s="21" t="str">
        <f t="shared" si="123"/>
        <v/>
      </c>
      <c r="L3959" s="24"/>
      <c r="M3959" s="24"/>
    </row>
    <row r="3960" spans="1:13">
      <c r="A3960" s="10" t="str">
        <f t="shared" si="122"/>
        <v/>
      </c>
      <c r="C3960" s="120" t="s">
        <v>284</v>
      </c>
      <c r="D3960"/>
      <c r="E3960"/>
      <c r="F3960"/>
      <c r="G3960"/>
      <c r="H3960"/>
      <c r="I3960" s="21" t="str">
        <f t="shared" si="123"/>
        <v/>
      </c>
      <c r="L3960" s="24"/>
      <c r="M3960" s="24"/>
    </row>
    <row r="3961" spans="1:13">
      <c r="A3961" s="14" t="str">
        <f t="shared" si="122"/>
        <v/>
      </c>
      <c r="C3961" s="120" t="s">
        <v>286</v>
      </c>
      <c r="D3961"/>
      <c r="E3961"/>
      <c r="F3961"/>
      <c r="G3961"/>
      <c r="H3961"/>
      <c r="I3961" s="21" t="str">
        <f t="shared" si="123"/>
        <v/>
      </c>
      <c r="L3961" s="24"/>
      <c r="M3961" s="24"/>
    </row>
    <row r="3962" spans="1:13">
      <c r="A3962" s="10" t="str">
        <f t="shared" si="122"/>
        <v/>
      </c>
      <c r="C3962" s="120" t="s">
        <v>126</v>
      </c>
      <c r="D3962"/>
      <c r="E3962"/>
      <c r="F3962"/>
      <c r="G3962"/>
      <c r="H3962"/>
      <c r="I3962" s="21" t="str">
        <f t="shared" si="123"/>
        <v/>
      </c>
      <c r="L3962" s="24"/>
      <c r="M3962" s="24"/>
    </row>
    <row r="3963" spans="1:13">
      <c r="A3963" s="14" t="str">
        <f t="shared" si="122"/>
        <v/>
      </c>
      <c r="C3963" s="120" t="s">
        <v>128</v>
      </c>
      <c r="D3963"/>
      <c r="E3963"/>
      <c r="F3963"/>
      <c r="G3963"/>
      <c r="H3963"/>
      <c r="I3963" s="21" t="str">
        <f t="shared" si="123"/>
        <v/>
      </c>
      <c r="L3963" s="24"/>
      <c r="M3963" s="24"/>
    </row>
    <row r="3964" spans="1:13">
      <c r="A3964" s="10" t="str">
        <f t="shared" si="122"/>
        <v/>
      </c>
      <c r="C3964" s="120" t="s">
        <v>280</v>
      </c>
      <c r="D3964"/>
      <c r="E3964"/>
      <c r="F3964"/>
      <c r="G3964"/>
      <c r="H3964"/>
      <c r="I3964" s="21" t="str">
        <f t="shared" si="123"/>
        <v/>
      </c>
      <c r="L3964" s="24"/>
      <c r="M3964" s="24"/>
    </row>
    <row r="3965" spans="1:13">
      <c r="A3965" s="14" t="str">
        <f t="shared" si="122"/>
        <v/>
      </c>
      <c r="C3965" s="120" t="s">
        <v>282</v>
      </c>
      <c r="D3965"/>
      <c r="E3965"/>
      <c r="F3965"/>
      <c r="G3965"/>
      <c r="H3965"/>
      <c r="I3965" s="21" t="str">
        <f t="shared" si="123"/>
        <v/>
      </c>
      <c r="L3965" s="24"/>
      <c r="M3965" s="24"/>
    </row>
    <row r="3966" spans="1:13">
      <c r="A3966" s="10" t="str">
        <f t="shared" si="122"/>
        <v/>
      </c>
      <c r="C3966" s="120" t="s">
        <v>284</v>
      </c>
      <c r="D3966"/>
      <c r="E3966"/>
      <c r="F3966"/>
      <c r="G3966"/>
      <c r="H3966"/>
      <c r="I3966" s="21" t="str">
        <f t="shared" si="123"/>
        <v/>
      </c>
      <c r="L3966" s="24"/>
      <c r="M3966" s="24"/>
    </row>
    <row r="3967" spans="1:13">
      <c r="A3967" s="14" t="str">
        <f t="shared" si="122"/>
        <v/>
      </c>
      <c r="C3967" s="120" t="s">
        <v>286</v>
      </c>
      <c r="D3967"/>
      <c r="E3967"/>
      <c r="F3967"/>
      <c r="G3967"/>
      <c r="H3967"/>
      <c r="I3967" s="21" t="str">
        <f t="shared" si="123"/>
        <v/>
      </c>
      <c r="L3967" s="24"/>
      <c r="M3967" s="24"/>
    </row>
    <row r="3968" spans="1:13">
      <c r="A3968" s="10" t="str">
        <f t="shared" si="122"/>
        <v/>
      </c>
      <c r="C3968" s="120" t="s">
        <v>126</v>
      </c>
      <c r="D3968"/>
      <c r="E3968"/>
      <c r="F3968"/>
      <c r="G3968"/>
      <c r="H3968"/>
      <c r="I3968" s="21" t="str">
        <f t="shared" si="123"/>
        <v/>
      </c>
      <c r="L3968" s="24"/>
      <c r="M3968" s="24"/>
    </row>
    <row r="3969" spans="1:13">
      <c r="A3969" s="14" t="str">
        <f t="shared" si="122"/>
        <v/>
      </c>
      <c r="C3969" s="120" t="s">
        <v>128</v>
      </c>
      <c r="D3969"/>
      <c r="E3969"/>
      <c r="F3969"/>
      <c r="G3969"/>
      <c r="H3969"/>
      <c r="I3969" s="21" t="str">
        <f t="shared" si="123"/>
        <v/>
      </c>
      <c r="L3969" s="24"/>
      <c r="M3969" s="24"/>
    </row>
    <row r="3970" spans="1:13">
      <c r="A3970" s="10" t="str">
        <f t="shared" ref="A3970:A4033" si="124">IF(B3970&lt;&gt;"",ROW()-1,"")</f>
        <v/>
      </c>
      <c r="C3970" s="120" t="s">
        <v>280</v>
      </c>
      <c r="D3970"/>
      <c r="E3970"/>
      <c r="F3970"/>
      <c r="G3970"/>
      <c r="H3970"/>
      <c r="I3970" s="21" t="str">
        <f t="shared" ref="I3970:I4033" si="125">IF(AND(G3970&lt;&gt;"",H3970&lt;&gt;""),H3970-G3970,"")</f>
        <v/>
      </c>
      <c r="L3970" s="24"/>
      <c r="M3970" s="24"/>
    </row>
    <row r="3971" spans="1:13">
      <c r="A3971" s="14" t="str">
        <f t="shared" si="124"/>
        <v/>
      </c>
      <c r="C3971" s="120" t="s">
        <v>282</v>
      </c>
      <c r="D3971"/>
      <c r="E3971"/>
      <c r="F3971"/>
      <c r="G3971"/>
      <c r="H3971"/>
      <c r="I3971" s="21" t="str">
        <f t="shared" si="125"/>
        <v/>
      </c>
      <c r="L3971" s="24"/>
      <c r="M3971" s="24"/>
    </row>
    <row r="3972" spans="1:13">
      <c r="A3972" s="10" t="str">
        <f t="shared" si="124"/>
        <v/>
      </c>
      <c r="C3972" s="120" t="s">
        <v>284</v>
      </c>
      <c r="D3972"/>
      <c r="E3972"/>
      <c r="F3972"/>
      <c r="G3972"/>
      <c r="H3972"/>
      <c r="I3972" s="21" t="str">
        <f t="shared" si="125"/>
        <v/>
      </c>
      <c r="L3972" s="24"/>
      <c r="M3972" s="24"/>
    </row>
    <row r="3973" spans="1:13">
      <c r="A3973" s="14" t="str">
        <f t="shared" si="124"/>
        <v/>
      </c>
      <c r="C3973" s="120" t="s">
        <v>286</v>
      </c>
      <c r="D3973"/>
      <c r="E3973"/>
      <c r="F3973"/>
      <c r="G3973"/>
      <c r="H3973"/>
      <c r="I3973" s="21" t="str">
        <f t="shared" si="125"/>
        <v/>
      </c>
      <c r="L3973" s="24"/>
      <c r="M3973" s="24"/>
    </row>
    <row r="3974" spans="1:13">
      <c r="A3974" s="10" t="str">
        <f t="shared" si="124"/>
        <v/>
      </c>
      <c r="C3974" s="120" t="s">
        <v>126</v>
      </c>
      <c r="D3974"/>
      <c r="E3974"/>
      <c r="F3974"/>
      <c r="G3974"/>
      <c r="H3974"/>
      <c r="I3974" s="21" t="str">
        <f t="shared" si="125"/>
        <v/>
      </c>
      <c r="L3974" s="24"/>
      <c r="M3974" s="24"/>
    </row>
    <row r="3975" spans="1:13">
      <c r="A3975" s="14" t="str">
        <f t="shared" si="124"/>
        <v/>
      </c>
      <c r="C3975" s="120" t="s">
        <v>128</v>
      </c>
      <c r="D3975"/>
      <c r="E3975"/>
      <c r="F3975"/>
      <c r="G3975"/>
      <c r="H3975"/>
      <c r="I3975" s="21" t="str">
        <f t="shared" si="125"/>
        <v/>
      </c>
      <c r="L3975" s="24"/>
      <c r="M3975" s="24"/>
    </row>
    <row r="3976" spans="1:13">
      <c r="A3976" s="10" t="str">
        <f t="shared" si="124"/>
        <v/>
      </c>
      <c r="C3976" s="120" t="s">
        <v>280</v>
      </c>
      <c r="D3976"/>
      <c r="E3976"/>
      <c r="F3976"/>
      <c r="G3976"/>
      <c r="H3976"/>
      <c r="I3976" s="21" t="str">
        <f t="shared" si="125"/>
        <v/>
      </c>
      <c r="L3976" s="24"/>
      <c r="M3976" s="24"/>
    </row>
    <row r="3977" spans="1:13">
      <c r="A3977" s="14" t="str">
        <f t="shared" si="124"/>
        <v/>
      </c>
      <c r="C3977" s="120" t="s">
        <v>282</v>
      </c>
      <c r="D3977"/>
      <c r="E3977"/>
      <c r="F3977"/>
      <c r="G3977"/>
      <c r="H3977"/>
      <c r="I3977" s="21" t="str">
        <f t="shared" si="125"/>
        <v/>
      </c>
      <c r="L3977" s="24"/>
      <c r="M3977" s="24"/>
    </row>
    <row r="3978" spans="1:13">
      <c r="A3978" s="10" t="str">
        <f t="shared" si="124"/>
        <v/>
      </c>
      <c r="C3978" s="120" t="s">
        <v>284</v>
      </c>
      <c r="D3978"/>
      <c r="E3978"/>
      <c r="F3978"/>
      <c r="G3978"/>
      <c r="H3978"/>
      <c r="I3978" s="21" t="str">
        <f t="shared" si="125"/>
        <v/>
      </c>
      <c r="L3978" s="24"/>
      <c r="M3978" s="24"/>
    </row>
    <row r="3979" spans="1:13">
      <c r="A3979" s="14" t="str">
        <f t="shared" si="124"/>
        <v/>
      </c>
      <c r="C3979" s="120" t="s">
        <v>286</v>
      </c>
      <c r="D3979"/>
      <c r="E3979"/>
      <c r="F3979"/>
      <c r="G3979"/>
      <c r="H3979"/>
      <c r="I3979" s="21" t="str">
        <f t="shared" si="125"/>
        <v/>
      </c>
      <c r="L3979" s="24"/>
      <c r="M3979" s="24"/>
    </row>
    <row r="3980" spans="1:13">
      <c r="A3980" s="10" t="str">
        <f t="shared" si="124"/>
        <v/>
      </c>
      <c r="C3980" s="120" t="s">
        <v>126</v>
      </c>
      <c r="D3980"/>
      <c r="E3980"/>
      <c r="F3980"/>
      <c r="G3980"/>
      <c r="H3980"/>
      <c r="I3980" s="21" t="str">
        <f t="shared" si="125"/>
        <v/>
      </c>
      <c r="L3980" s="24"/>
      <c r="M3980" s="24"/>
    </row>
    <row r="3981" spans="1:13">
      <c r="A3981" s="14" t="str">
        <f t="shared" si="124"/>
        <v/>
      </c>
      <c r="C3981" s="120" t="s">
        <v>128</v>
      </c>
      <c r="D3981"/>
      <c r="E3981"/>
      <c r="F3981"/>
      <c r="G3981"/>
      <c r="H3981"/>
      <c r="I3981" s="21" t="str">
        <f t="shared" si="125"/>
        <v/>
      </c>
      <c r="L3981" s="24"/>
      <c r="M3981" s="24"/>
    </row>
    <row r="3982" spans="1:13">
      <c r="A3982" s="10" t="str">
        <f t="shared" si="124"/>
        <v/>
      </c>
      <c r="C3982" s="120" t="s">
        <v>280</v>
      </c>
      <c r="D3982"/>
      <c r="E3982"/>
      <c r="F3982"/>
      <c r="G3982"/>
      <c r="H3982"/>
      <c r="I3982" s="21" t="str">
        <f t="shared" si="125"/>
        <v/>
      </c>
      <c r="L3982" s="24"/>
      <c r="M3982" s="24"/>
    </row>
    <row r="3983" spans="1:13">
      <c r="A3983" s="14" t="str">
        <f t="shared" si="124"/>
        <v/>
      </c>
      <c r="C3983" s="120" t="s">
        <v>282</v>
      </c>
      <c r="D3983"/>
      <c r="E3983"/>
      <c r="F3983"/>
      <c r="G3983"/>
      <c r="H3983"/>
      <c r="I3983" s="21" t="str">
        <f t="shared" si="125"/>
        <v/>
      </c>
      <c r="L3983" s="24"/>
      <c r="M3983" s="24"/>
    </row>
    <row r="3984" spans="1:13">
      <c r="A3984" s="10" t="str">
        <f t="shared" si="124"/>
        <v/>
      </c>
      <c r="C3984" s="120" t="s">
        <v>284</v>
      </c>
      <c r="D3984"/>
      <c r="E3984"/>
      <c r="F3984"/>
      <c r="G3984"/>
      <c r="H3984"/>
      <c r="I3984" s="21" t="str">
        <f t="shared" si="125"/>
        <v/>
      </c>
      <c r="L3984" s="24"/>
      <c r="M3984" s="24"/>
    </row>
    <row r="3985" spans="1:13">
      <c r="A3985" s="14" t="str">
        <f t="shared" si="124"/>
        <v/>
      </c>
      <c r="C3985" s="120" t="s">
        <v>286</v>
      </c>
      <c r="D3985"/>
      <c r="E3985"/>
      <c r="F3985"/>
      <c r="G3985"/>
      <c r="H3985"/>
      <c r="I3985" s="21" t="str">
        <f t="shared" si="125"/>
        <v/>
      </c>
      <c r="L3985" s="24"/>
      <c r="M3985" s="24"/>
    </row>
    <row r="3986" spans="1:13">
      <c r="A3986" s="10" t="str">
        <f t="shared" si="124"/>
        <v/>
      </c>
      <c r="C3986" s="120" t="s">
        <v>126</v>
      </c>
      <c r="D3986"/>
      <c r="E3986"/>
      <c r="F3986"/>
      <c r="G3986"/>
      <c r="H3986"/>
      <c r="I3986" s="21" t="str">
        <f t="shared" si="125"/>
        <v/>
      </c>
      <c r="L3986" s="24"/>
      <c r="M3986" s="24"/>
    </row>
    <row r="3987" spans="1:13">
      <c r="A3987" s="14" t="str">
        <f t="shared" si="124"/>
        <v/>
      </c>
      <c r="C3987" s="120" t="s">
        <v>128</v>
      </c>
      <c r="D3987"/>
      <c r="E3987"/>
      <c r="F3987"/>
      <c r="G3987"/>
      <c r="H3987"/>
      <c r="I3987" s="21" t="str">
        <f t="shared" si="125"/>
        <v/>
      </c>
      <c r="L3987" s="24"/>
      <c r="M3987" s="24"/>
    </row>
    <row r="3988" spans="1:13">
      <c r="A3988" s="10" t="str">
        <f t="shared" si="124"/>
        <v/>
      </c>
      <c r="C3988" s="120" t="s">
        <v>280</v>
      </c>
      <c r="D3988"/>
      <c r="E3988"/>
      <c r="F3988"/>
      <c r="G3988"/>
      <c r="H3988"/>
      <c r="I3988" s="21" t="str">
        <f t="shared" si="125"/>
        <v/>
      </c>
      <c r="L3988" s="24"/>
      <c r="M3988" s="24"/>
    </row>
    <row r="3989" spans="1:13">
      <c r="A3989" s="14" t="str">
        <f t="shared" si="124"/>
        <v/>
      </c>
      <c r="C3989" s="120" t="s">
        <v>282</v>
      </c>
      <c r="D3989"/>
      <c r="E3989"/>
      <c r="F3989"/>
      <c r="G3989"/>
      <c r="H3989"/>
      <c r="I3989" s="21" t="str">
        <f t="shared" si="125"/>
        <v/>
      </c>
      <c r="L3989" s="24"/>
      <c r="M3989" s="24"/>
    </row>
    <row r="3990" spans="1:13">
      <c r="A3990" s="10" t="str">
        <f t="shared" si="124"/>
        <v/>
      </c>
      <c r="C3990" s="120" t="s">
        <v>284</v>
      </c>
      <c r="D3990"/>
      <c r="E3990"/>
      <c r="F3990"/>
      <c r="G3990"/>
      <c r="H3990"/>
      <c r="I3990" s="21" t="str">
        <f t="shared" si="125"/>
        <v/>
      </c>
      <c r="L3990" s="24"/>
      <c r="M3990" s="24"/>
    </row>
    <row r="3991" spans="1:13">
      <c r="A3991" s="14" t="str">
        <f t="shared" si="124"/>
        <v/>
      </c>
      <c r="C3991" s="120" t="s">
        <v>286</v>
      </c>
      <c r="D3991"/>
      <c r="E3991"/>
      <c r="F3991"/>
      <c r="G3991"/>
      <c r="H3991"/>
      <c r="I3991" s="21" t="str">
        <f t="shared" si="125"/>
        <v/>
      </c>
      <c r="L3991" s="24"/>
      <c r="M3991" s="24"/>
    </row>
    <row r="3992" spans="1:13">
      <c r="A3992" s="10" t="str">
        <f t="shared" si="124"/>
        <v/>
      </c>
      <c r="C3992" s="120" t="s">
        <v>126</v>
      </c>
      <c r="D3992"/>
      <c r="E3992"/>
      <c r="F3992"/>
      <c r="G3992"/>
      <c r="H3992"/>
      <c r="I3992" s="21" t="str">
        <f t="shared" si="125"/>
        <v/>
      </c>
      <c r="L3992" s="24"/>
      <c r="M3992" s="24"/>
    </row>
    <row r="3993" spans="1:13">
      <c r="A3993" s="14" t="str">
        <f t="shared" si="124"/>
        <v/>
      </c>
      <c r="C3993" s="120" t="s">
        <v>128</v>
      </c>
      <c r="D3993"/>
      <c r="E3993"/>
      <c r="F3993"/>
      <c r="G3993"/>
      <c r="H3993"/>
      <c r="I3993" s="21" t="str">
        <f t="shared" si="125"/>
        <v/>
      </c>
      <c r="L3993" s="24"/>
      <c r="M3993" s="24"/>
    </row>
    <row r="3994" spans="1:13">
      <c r="A3994" s="10" t="str">
        <f t="shared" si="124"/>
        <v/>
      </c>
      <c r="C3994" s="120" t="s">
        <v>280</v>
      </c>
      <c r="D3994"/>
      <c r="E3994"/>
      <c r="F3994"/>
      <c r="G3994"/>
      <c r="H3994"/>
      <c r="I3994" s="21" t="str">
        <f t="shared" si="125"/>
        <v/>
      </c>
      <c r="L3994" s="24"/>
      <c r="M3994" s="24"/>
    </row>
    <row r="3995" spans="1:13">
      <c r="A3995" s="14" t="str">
        <f t="shared" si="124"/>
        <v/>
      </c>
      <c r="C3995" s="120" t="s">
        <v>282</v>
      </c>
      <c r="D3995"/>
      <c r="E3995"/>
      <c r="F3995"/>
      <c r="G3995"/>
      <c r="H3995"/>
      <c r="I3995" s="21" t="str">
        <f t="shared" si="125"/>
        <v/>
      </c>
      <c r="L3995" s="24"/>
      <c r="M3995" s="24"/>
    </row>
    <row r="3996" spans="1:13">
      <c r="A3996" s="10" t="str">
        <f t="shared" si="124"/>
        <v/>
      </c>
      <c r="C3996" s="120" t="s">
        <v>284</v>
      </c>
      <c r="D3996"/>
      <c r="E3996"/>
      <c r="F3996"/>
      <c r="G3996"/>
      <c r="H3996"/>
      <c r="I3996" s="21" t="str">
        <f t="shared" si="125"/>
        <v/>
      </c>
      <c r="L3996" s="24"/>
      <c r="M3996" s="24"/>
    </row>
    <row r="3997" spans="1:13">
      <c r="A3997" s="14" t="str">
        <f t="shared" si="124"/>
        <v/>
      </c>
      <c r="C3997" s="120" t="s">
        <v>286</v>
      </c>
      <c r="D3997"/>
      <c r="E3997"/>
      <c r="F3997"/>
      <c r="G3997"/>
      <c r="H3997"/>
      <c r="I3997" s="21" t="str">
        <f t="shared" si="125"/>
        <v/>
      </c>
      <c r="L3997" s="24"/>
      <c r="M3997" s="24"/>
    </row>
    <row r="3998" spans="1:13">
      <c r="A3998" s="10" t="str">
        <f t="shared" si="124"/>
        <v/>
      </c>
      <c r="C3998" s="120" t="s">
        <v>126</v>
      </c>
      <c r="D3998"/>
      <c r="E3998"/>
      <c r="F3998"/>
      <c r="G3998"/>
      <c r="H3998"/>
      <c r="I3998" s="21" t="str">
        <f t="shared" si="125"/>
        <v/>
      </c>
      <c r="L3998" s="24"/>
      <c r="M3998" s="24"/>
    </row>
    <row r="3999" spans="1:13">
      <c r="A3999" s="14" t="str">
        <f t="shared" si="124"/>
        <v/>
      </c>
      <c r="C3999" s="120" t="s">
        <v>128</v>
      </c>
      <c r="D3999"/>
      <c r="E3999"/>
      <c r="F3999"/>
      <c r="G3999"/>
      <c r="H3999"/>
      <c r="I3999" s="21" t="str">
        <f t="shared" si="125"/>
        <v/>
      </c>
      <c r="L3999" s="24"/>
      <c r="M3999" s="24"/>
    </row>
    <row r="4000" spans="1:13">
      <c r="A4000" s="10" t="str">
        <f t="shared" si="124"/>
        <v/>
      </c>
      <c r="C4000" s="120" t="s">
        <v>280</v>
      </c>
      <c r="D4000"/>
      <c r="E4000"/>
      <c r="F4000"/>
      <c r="G4000"/>
      <c r="H4000"/>
      <c r="I4000" s="21" t="str">
        <f t="shared" si="125"/>
        <v/>
      </c>
      <c r="L4000" s="24"/>
      <c r="M4000" s="24"/>
    </row>
    <row r="4001" spans="1:13">
      <c r="A4001" s="14" t="str">
        <f t="shared" si="124"/>
        <v/>
      </c>
      <c r="C4001" s="120" t="s">
        <v>282</v>
      </c>
      <c r="D4001"/>
      <c r="E4001"/>
      <c r="F4001"/>
      <c r="G4001"/>
      <c r="H4001"/>
      <c r="I4001" s="21" t="str">
        <f t="shared" si="125"/>
        <v/>
      </c>
      <c r="L4001" s="24"/>
      <c r="M4001" s="24"/>
    </row>
    <row r="4002" spans="1:13">
      <c r="A4002" s="10" t="str">
        <f t="shared" si="124"/>
        <v/>
      </c>
      <c r="C4002" s="120" t="s">
        <v>284</v>
      </c>
      <c r="D4002"/>
      <c r="E4002"/>
      <c r="F4002"/>
      <c r="G4002"/>
      <c r="H4002"/>
      <c r="I4002" s="21" t="str">
        <f t="shared" si="125"/>
        <v/>
      </c>
      <c r="L4002" s="24"/>
      <c r="M4002" s="24"/>
    </row>
    <row r="4003" spans="1:13">
      <c r="A4003" s="14" t="str">
        <f t="shared" si="124"/>
        <v/>
      </c>
      <c r="C4003" s="120" t="s">
        <v>286</v>
      </c>
      <c r="D4003"/>
      <c r="E4003"/>
      <c r="F4003"/>
      <c r="G4003"/>
      <c r="H4003"/>
      <c r="I4003" s="21" t="str">
        <f t="shared" si="125"/>
        <v/>
      </c>
      <c r="L4003" s="24"/>
      <c r="M4003" s="24"/>
    </row>
    <row r="4004" spans="1:13">
      <c r="A4004" s="10" t="str">
        <f t="shared" si="124"/>
        <v/>
      </c>
      <c r="C4004" s="120" t="s">
        <v>126</v>
      </c>
      <c r="D4004"/>
      <c r="E4004"/>
      <c r="F4004"/>
      <c r="G4004"/>
      <c r="H4004"/>
      <c r="I4004" s="21" t="str">
        <f t="shared" si="125"/>
        <v/>
      </c>
      <c r="L4004" s="24"/>
      <c r="M4004" s="24"/>
    </row>
    <row r="4005" spans="1:13">
      <c r="A4005" s="14" t="str">
        <f t="shared" si="124"/>
        <v/>
      </c>
      <c r="C4005" s="120" t="s">
        <v>128</v>
      </c>
      <c r="D4005"/>
      <c r="E4005"/>
      <c r="F4005"/>
      <c r="G4005"/>
      <c r="H4005"/>
      <c r="I4005" s="21" t="str">
        <f t="shared" si="125"/>
        <v/>
      </c>
      <c r="L4005" s="24"/>
      <c r="M4005" s="24"/>
    </row>
    <row r="4006" spans="1:13">
      <c r="A4006" s="10" t="str">
        <f t="shared" si="124"/>
        <v/>
      </c>
      <c r="C4006" s="120" t="s">
        <v>280</v>
      </c>
      <c r="D4006"/>
      <c r="E4006"/>
      <c r="F4006"/>
      <c r="G4006"/>
      <c r="H4006"/>
      <c r="I4006" s="21" t="str">
        <f t="shared" si="125"/>
        <v/>
      </c>
      <c r="L4006" s="24"/>
      <c r="M4006" s="24"/>
    </row>
    <row r="4007" spans="1:13">
      <c r="A4007" s="14" t="str">
        <f t="shared" si="124"/>
        <v/>
      </c>
      <c r="C4007" s="120" t="s">
        <v>282</v>
      </c>
      <c r="D4007"/>
      <c r="E4007"/>
      <c r="F4007"/>
      <c r="G4007"/>
      <c r="H4007"/>
      <c r="I4007" s="21" t="str">
        <f t="shared" si="125"/>
        <v/>
      </c>
      <c r="L4007" s="24"/>
      <c r="M4007" s="24"/>
    </row>
    <row r="4008" spans="1:13">
      <c r="A4008" s="10" t="str">
        <f t="shared" si="124"/>
        <v/>
      </c>
      <c r="C4008" s="120" t="s">
        <v>284</v>
      </c>
      <c r="D4008"/>
      <c r="E4008"/>
      <c r="F4008"/>
      <c r="G4008"/>
      <c r="H4008"/>
      <c r="I4008" s="21" t="str">
        <f t="shared" si="125"/>
        <v/>
      </c>
      <c r="L4008" s="24"/>
      <c r="M4008" s="24"/>
    </row>
    <row r="4009" spans="1:13">
      <c r="A4009" s="14" t="str">
        <f t="shared" si="124"/>
        <v/>
      </c>
      <c r="C4009" s="120" t="s">
        <v>286</v>
      </c>
      <c r="D4009"/>
      <c r="E4009"/>
      <c r="F4009"/>
      <c r="G4009"/>
      <c r="H4009"/>
      <c r="I4009" s="21" t="str">
        <f t="shared" si="125"/>
        <v/>
      </c>
      <c r="L4009" s="24"/>
      <c r="M4009" s="24"/>
    </row>
    <row r="4010" spans="1:13">
      <c r="A4010" s="10" t="str">
        <f t="shared" si="124"/>
        <v/>
      </c>
      <c r="C4010" s="120" t="s">
        <v>126</v>
      </c>
      <c r="D4010"/>
      <c r="E4010"/>
      <c r="F4010"/>
      <c r="G4010"/>
      <c r="H4010"/>
      <c r="I4010" s="21" t="str">
        <f t="shared" si="125"/>
        <v/>
      </c>
      <c r="L4010" s="24"/>
      <c r="M4010" s="24"/>
    </row>
    <row r="4011" spans="1:13">
      <c r="A4011" s="14" t="str">
        <f t="shared" si="124"/>
        <v/>
      </c>
      <c r="C4011" s="120" t="s">
        <v>128</v>
      </c>
      <c r="D4011"/>
      <c r="E4011"/>
      <c r="F4011"/>
      <c r="G4011"/>
      <c r="H4011"/>
      <c r="I4011" s="21" t="str">
        <f t="shared" si="125"/>
        <v/>
      </c>
      <c r="L4011" s="24"/>
      <c r="M4011" s="24"/>
    </row>
    <row r="4012" spans="1:13">
      <c r="A4012" s="10" t="str">
        <f t="shared" si="124"/>
        <v/>
      </c>
      <c r="C4012" s="120" t="s">
        <v>280</v>
      </c>
      <c r="D4012"/>
      <c r="E4012"/>
      <c r="F4012"/>
      <c r="G4012"/>
      <c r="H4012"/>
      <c r="I4012" s="21" t="str">
        <f t="shared" si="125"/>
        <v/>
      </c>
      <c r="L4012" s="24"/>
      <c r="M4012" s="24"/>
    </row>
    <row r="4013" spans="1:13">
      <c r="A4013" s="14" t="str">
        <f t="shared" si="124"/>
        <v/>
      </c>
      <c r="C4013" s="120" t="s">
        <v>282</v>
      </c>
      <c r="D4013"/>
      <c r="E4013"/>
      <c r="F4013"/>
      <c r="G4013"/>
      <c r="H4013"/>
      <c r="I4013" s="21" t="str">
        <f t="shared" si="125"/>
        <v/>
      </c>
      <c r="L4013" s="24"/>
      <c r="M4013" s="24"/>
    </row>
    <row r="4014" spans="1:13">
      <c r="A4014" s="10" t="str">
        <f t="shared" si="124"/>
        <v/>
      </c>
      <c r="C4014" s="120" t="s">
        <v>284</v>
      </c>
      <c r="D4014"/>
      <c r="E4014"/>
      <c r="F4014"/>
      <c r="G4014"/>
      <c r="H4014"/>
      <c r="I4014" s="21" t="str">
        <f t="shared" si="125"/>
        <v/>
      </c>
      <c r="L4014" s="24"/>
      <c r="M4014" s="24"/>
    </row>
    <row r="4015" spans="1:13">
      <c r="A4015" s="14" t="str">
        <f t="shared" si="124"/>
        <v/>
      </c>
      <c r="C4015" s="120" t="s">
        <v>286</v>
      </c>
      <c r="D4015"/>
      <c r="E4015"/>
      <c r="F4015"/>
      <c r="G4015"/>
      <c r="H4015"/>
      <c r="I4015" s="21" t="str">
        <f t="shared" si="125"/>
        <v/>
      </c>
      <c r="L4015" s="24"/>
      <c r="M4015" s="24"/>
    </row>
    <row r="4016" spans="1:13">
      <c r="A4016" s="10" t="str">
        <f t="shared" si="124"/>
        <v/>
      </c>
      <c r="C4016" s="120" t="s">
        <v>126</v>
      </c>
      <c r="D4016"/>
      <c r="E4016"/>
      <c r="F4016"/>
      <c r="G4016"/>
      <c r="H4016"/>
      <c r="I4016" s="21" t="str">
        <f t="shared" si="125"/>
        <v/>
      </c>
      <c r="L4016" s="24"/>
      <c r="M4016" s="24"/>
    </row>
    <row r="4017" spans="1:13">
      <c r="A4017" s="14" t="str">
        <f t="shared" si="124"/>
        <v/>
      </c>
      <c r="C4017" s="120" t="s">
        <v>128</v>
      </c>
      <c r="D4017"/>
      <c r="E4017"/>
      <c r="F4017"/>
      <c r="G4017"/>
      <c r="H4017"/>
      <c r="I4017" s="21" t="str">
        <f t="shared" si="125"/>
        <v/>
      </c>
      <c r="L4017" s="24"/>
      <c r="M4017" s="24"/>
    </row>
    <row r="4018" spans="1:13">
      <c r="A4018" s="10" t="str">
        <f t="shared" si="124"/>
        <v/>
      </c>
      <c r="C4018" s="120" t="s">
        <v>280</v>
      </c>
      <c r="D4018"/>
      <c r="E4018"/>
      <c r="F4018"/>
      <c r="G4018"/>
      <c r="H4018"/>
      <c r="I4018" s="21" t="str">
        <f t="shared" si="125"/>
        <v/>
      </c>
      <c r="L4018" s="24"/>
      <c r="M4018" s="24"/>
    </row>
    <row r="4019" spans="1:13">
      <c r="A4019" s="14" t="str">
        <f t="shared" si="124"/>
        <v/>
      </c>
      <c r="C4019" s="120" t="s">
        <v>282</v>
      </c>
      <c r="D4019"/>
      <c r="E4019"/>
      <c r="F4019"/>
      <c r="G4019"/>
      <c r="H4019"/>
      <c r="I4019" s="21" t="str">
        <f t="shared" si="125"/>
        <v/>
      </c>
      <c r="L4019" s="24"/>
      <c r="M4019" s="24"/>
    </row>
    <row r="4020" spans="1:13">
      <c r="A4020" s="10" t="str">
        <f t="shared" si="124"/>
        <v/>
      </c>
      <c r="C4020" s="120" t="s">
        <v>284</v>
      </c>
      <c r="D4020"/>
      <c r="E4020"/>
      <c r="F4020"/>
      <c r="G4020"/>
      <c r="H4020"/>
      <c r="I4020" s="21" t="str">
        <f t="shared" si="125"/>
        <v/>
      </c>
      <c r="L4020" s="24"/>
      <c r="M4020" s="24"/>
    </row>
    <row r="4021" spans="1:13">
      <c r="A4021" s="14" t="str">
        <f t="shared" si="124"/>
        <v/>
      </c>
      <c r="C4021" s="120" t="s">
        <v>286</v>
      </c>
      <c r="D4021"/>
      <c r="E4021"/>
      <c r="F4021"/>
      <c r="G4021"/>
      <c r="H4021"/>
      <c r="I4021" s="21" t="str">
        <f t="shared" si="125"/>
        <v/>
      </c>
      <c r="L4021" s="24"/>
      <c r="M4021" s="24"/>
    </row>
    <row r="4022" spans="1:13">
      <c r="A4022" s="10" t="str">
        <f t="shared" si="124"/>
        <v/>
      </c>
      <c r="C4022" s="120" t="s">
        <v>126</v>
      </c>
      <c r="D4022"/>
      <c r="E4022"/>
      <c r="F4022"/>
      <c r="G4022"/>
      <c r="H4022"/>
      <c r="I4022" s="21" t="str">
        <f t="shared" si="125"/>
        <v/>
      </c>
      <c r="L4022" s="24"/>
      <c r="M4022" s="24"/>
    </row>
    <row r="4023" spans="1:13">
      <c r="A4023" s="14" t="str">
        <f t="shared" si="124"/>
        <v/>
      </c>
      <c r="C4023" s="120" t="s">
        <v>128</v>
      </c>
      <c r="D4023"/>
      <c r="E4023"/>
      <c r="F4023"/>
      <c r="G4023"/>
      <c r="H4023"/>
      <c r="I4023" s="21" t="str">
        <f t="shared" si="125"/>
        <v/>
      </c>
      <c r="L4023" s="24"/>
      <c r="M4023" s="24"/>
    </row>
    <row r="4024" spans="1:13">
      <c r="A4024" s="10" t="str">
        <f t="shared" si="124"/>
        <v/>
      </c>
      <c r="C4024" s="120" t="s">
        <v>280</v>
      </c>
      <c r="D4024"/>
      <c r="E4024"/>
      <c r="F4024"/>
      <c r="G4024"/>
      <c r="H4024"/>
      <c r="I4024" s="21" t="str">
        <f t="shared" si="125"/>
        <v/>
      </c>
      <c r="L4024" s="24"/>
      <c r="M4024" s="24"/>
    </row>
    <row r="4025" spans="1:13">
      <c r="A4025" s="14" t="str">
        <f t="shared" si="124"/>
        <v/>
      </c>
      <c r="C4025" s="120" t="s">
        <v>282</v>
      </c>
      <c r="D4025"/>
      <c r="E4025"/>
      <c r="F4025"/>
      <c r="G4025"/>
      <c r="H4025"/>
      <c r="I4025" s="21" t="str">
        <f t="shared" si="125"/>
        <v/>
      </c>
      <c r="L4025" s="24"/>
      <c r="M4025" s="24"/>
    </row>
    <row r="4026" spans="1:13">
      <c r="A4026" s="10" t="str">
        <f t="shared" si="124"/>
        <v/>
      </c>
      <c r="C4026" s="120" t="s">
        <v>284</v>
      </c>
      <c r="D4026"/>
      <c r="E4026"/>
      <c r="F4026"/>
      <c r="G4026"/>
      <c r="H4026"/>
      <c r="I4026" s="21" t="str">
        <f t="shared" si="125"/>
        <v/>
      </c>
      <c r="L4026" s="24"/>
      <c r="M4026" s="24"/>
    </row>
    <row r="4027" spans="1:13">
      <c r="A4027" s="14" t="str">
        <f t="shared" si="124"/>
        <v/>
      </c>
      <c r="C4027" s="120" t="s">
        <v>286</v>
      </c>
      <c r="D4027"/>
      <c r="E4027"/>
      <c r="F4027"/>
      <c r="G4027"/>
      <c r="H4027"/>
      <c r="I4027" s="21" t="str">
        <f t="shared" si="125"/>
        <v/>
      </c>
      <c r="L4027" s="24"/>
      <c r="M4027" s="24"/>
    </row>
    <row r="4028" spans="1:13">
      <c r="A4028" s="10" t="str">
        <f t="shared" si="124"/>
        <v/>
      </c>
      <c r="C4028" s="120" t="s">
        <v>126</v>
      </c>
      <c r="D4028"/>
      <c r="E4028"/>
      <c r="F4028"/>
      <c r="G4028"/>
      <c r="H4028"/>
      <c r="I4028" s="21" t="str">
        <f t="shared" si="125"/>
        <v/>
      </c>
      <c r="L4028" s="24"/>
      <c r="M4028" s="24"/>
    </row>
    <row r="4029" spans="1:13">
      <c r="A4029" s="14" t="str">
        <f t="shared" si="124"/>
        <v/>
      </c>
      <c r="C4029" s="120" t="s">
        <v>128</v>
      </c>
      <c r="D4029"/>
      <c r="E4029"/>
      <c r="F4029"/>
      <c r="G4029"/>
      <c r="H4029"/>
      <c r="I4029" s="21" t="str">
        <f t="shared" si="125"/>
        <v/>
      </c>
      <c r="L4029" s="24"/>
      <c r="M4029" s="24"/>
    </row>
    <row r="4030" spans="1:13">
      <c r="A4030" s="10" t="str">
        <f t="shared" si="124"/>
        <v/>
      </c>
      <c r="C4030" s="120" t="s">
        <v>280</v>
      </c>
      <c r="D4030"/>
      <c r="E4030"/>
      <c r="F4030"/>
      <c r="G4030"/>
      <c r="H4030"/>
      <c r="I4030" s="21" t="str">
        <f t="shared" si="125"/>
        <v/>
      </c>
      <c r="L4030" s="24"/>
      <c r="M4030" s="24"/>
    </row>
    <row r="4031" spans="1:13">
      <c r="A4031" s="14" t="str">
        <f t="shared" si="124"/>
        <v/>
      </c>
      <c r="C4031" s="120" t="s">
        <v>282</v>
      </c>
      <c r="D4031"/>
      <c r="E4031"/>
      <c r="F4031"/>
      <c r="G4031"/>
      <c r="H4031"/>
      <c r="I4031" s="21" t="str">
        <f t="shared" si="125"/>
        <v/>
      </c>
      <c r="L4031" s="24"/>
      <c r="M4031" s="24"/>
    </row>
    <row r="4032" spans="1:13">
      <c r="A4032" s="10" t="str">
        <f t="shared" si="124"/>
        <v/>
      </c>
      <c r="C4032" s="120" t="s">
        <v>284</v>
      </c>
      <c r="D4032"/>
      <c r="E4032"/>
      <c r="F4032"/>
      <c r="G4032"/>
      <c r="H4032"/>
      <c r="I4032" s="21" t="str">
        <f t="shared" si="125"/>
        <v/>
      </c>
      <c r="L4032" s="24"/>
      <c r="M4032" s="24"/>
    </row>
    <row r="4033" spans="1:13">
      <c r="A4033" s="14" t="str">
        <f t="shared" si="124"/>
        <v/>
      </c>
      <c r="C4033" s="120" t="s">
        <v>286</v>
      </c>
      <c r="D4033"/>
      <c r="E4033"/>
      <c r="F4033"/>
      <c r="G4033"/>
      <c r="H4033"/>
      <c r="I4033" s="21" t="str">
        <f t="shared" si="125"/>
        <v/>
      </c>
      <c r="L4033" s="24"/>
      <c r="M4033" s="24"/>
    </row>
    <row r="4034" spans="1:13">
      <c r="A4034" s="10" t="str">
        <f t="shared" ref="A4034:A4097" si="126">IF(B4034&lt;&gt;"",ROW()-1,"")</f>
        <v/>
      </c>
      <c r="C4034" s="120" t="s">
        <v>126</v>
      </c>
      <c r="D4034"/>
      <c r="E4034"/>
      <c r="F4034"/>
      <c r="G4034"/>
      <c r="H4034"/>
      <c r="I4034" s="21" t="str">
        <f t="shared" ref="I4034:I4097" si="127">IF(AND(G4034&lt;&gt;"",H4034&lt;&gt;""),H4034-G4034,"")</f>
        <v/>
      </c>
      <c r="L4034" s="24"/>
      <c r="M4034" s="24"/>
    </row>
    <row r="4035" spans="1:13">
      <c r="A4035" s="14" t="str">
        <f t="shared" si="126"/>
        <v/>
      </c>
      <c r="C4035" s="120" t="s">
        <v>128</v>
      </c>
      <c r="D4035"/>
      <c r="E4035"/>
      <c r="F4035"/>
      <c r="G4035"/>
      <c r="H4035"/>
      <c r="I4035" s="21" t="str">
        <f t="shared" si="127"/>
        <v/>
      </c>
      <c r="L4035" s="24"/>
      <c r="M4035" s="24"/>
    </row>
    <row r="4036" spans="1:13">
      <c r="A4036" s="10" t="str">
        <f t="shared" si="126"/>
        <v/>
      </c>
      <c r="C4036" s="120" t="s">
        <v>280</v>
      </c>
      <c r="D4036"/>
      <c r="E4036"/>
      <c r="F4036"/>
      <c r="G4036"/>
      <c r="H4036"/>
      <c r="I4036" s="21" t="str">
        <f t="shared" si="127"/>
        <v/>
      </c>
      <c r="L4036" s="24"/>
      <c r="M4036" s="24"/>
    </row>
    <row r="4037" spans="1:13">
      <c r="A4037" s="14" t="str">
        <f t="shared" si="126"/>
        <v/>
      </c>
      <c r="C4037" s="120" t="s">
        <v>282</v>
      </c>
      <c r="D4037"/>
      <c r="E4037"/>
      <c r="F4037"/>
      <c r="G4037"/>
      <c r="H4037"/>
      <c r="I4037" s="21" t="str">
        <f t="shared" si="127"/>
        <v/>
      </c>
      <c r="L4037" s="24"/>
      <c r="M4037" s="24"/>
    </row>
    <row r="4038" spans="1:13">
      <c r="A4038" s="10" t="str">
        <f t="shared" si="126"/>
        <v/>
      </c>
      <c r="C4038" s="120" t="s">
        <v>284</v>
      </c>
      <c r="D4038"/>
      <c r="E4038"/>
      <c r="F4038"/>
      <c r="G4038"/>
      <c r="H4038"/>
      <c r="I4038" s="21" t="str">
        <f t="shared" si="127"/>
        <v/>
      </c>
      <c r="L4038" s="24"/>
      <c r="M4038" s="24"/>
    </row>
    <row r="4039" spans="1:13">
      <c r="A4039" s="14" t="str">
        <f t="shared" si="126"/>
        <v/>
      </c>
      <c r="C4039" s="120" t="s">
        <v>286</v>
      </c>
      <c r="D4039"/>
      <c r="E4039"/>
      <c r="F4039"/>
      <c r="G4039"/>
      <c r="H4039"/>
      <c r="I4039" s="21" t="str">
        <f t="shared" si="127"/>
        <v/>
      </c>
      <c r="L4039" s="24"/>
      <c r="M4039" s="24"/>
    </row>
    <row r="4040" spans="1:13">
      <c r="A4040" s="10" t="str">
        <f t="shared" si="126"/>
        <v/>
      </c>
      <c r="C4040" s="120" t="s">
        <v>126</v>
      </c>
      <c r="D4040"/>
      <c r="E4040"/>
      <c r="F4040"/>
      <c r="G4040"/>
      <c r="H4040"/>
      <c r="I4040" s="21" t="str">
        <f t="shared" si="127"/>
        <v/>
      </c>
      <c r="L4040" s="24"/>
      <c r="M4040" s="24"/>
    </row>
    <row r="4041" spans="1:13">
      <c r="A4041" s="14" t="str">
        <f t="shared" si="126"/>
        <v/>
      </c>
      <c r="C4041" s="120" t="s">
        <v>128</v>
      </c>
      <c r="D4041"/>
      <c r="E4041"/>
      <c r="F4041"/>
      <c r="G4041"/>
      <c r="H4041"/>
      <c r="I4041" s="21" t="str">
        <f t="shared" si="127"/>
        <v/>
      </c>
      <c r="L4041" s="24"/>
      <c r="M4041" s="24"/>
    </row>
    <row r="4042" spans="1:13">
      <c r="A4042" s="10" t="str">
        <f t="shared" si="126"/>
        <v/>
      </c>
      <c r="C4042" s="120" t="s">
        <v>280</v>
      </c>
      <c r="D4042"/>
      <c r="E4042"/>
      <c r="F4042"/>
      <c r="G4042"/>
      <c r="H4042"/>
      <c r="I4042" s="21" t="str">
        <f t="shared" si="127"/>
        <v/>
      </c>
      <c r="L4042" s="24"/>
      <c r="M4042" s="24"/>
    </row>
    <row r="4043" spans="1:13">
      <c r="A4043" s="14" t="str">
        <f t="shared" si="126"/>
        <v/>
      </c>
      <c r="C4043" s="120" t="s">
        <v>282</v>
      </c>
      <c r="D4043"/>
      <c r="E4043"/>
      <c r="F4043"/>
      <c r="G4043"/>
      <c r="H4043"/>
      <c r="I4043" s="21" t="str">
        <f t="shared" si="127"/>
        <v/>
      </c>
      <c r="L4043" s="24"/>
      <c r="M4043" s="24"/>
    </row>
    <row r="4044" spans="1:13">
      <c r="A4044" s="10" t="str">
        <f t="shared" si="126"/>
        <v/>
      </c>
      <c r="C4044" s="120" t="s">
        <v>284</v>
      </c>
      <c r="D4044"/>
      <c r="E4044"/>
      <c r="F4044"/>
      <c r="G4044"/>
      <c r="H4044"/>
      <c r="I4044" s="21" t="str">
        <f t="shared" si="127"/>
        <v/>
      </c>
      <c r="L4044" s="24"/>
      <c r="M4044" s="24"/>
    </row>
    <row r="4045" spans="1:13">
      <c r="A4045" s="14" t="str">
        <f t="shared" si="126"/>
        <v/>
      </c>
      <c r="C4045" s="120" t="s">
        <v>286</v>
      </c>
      <c r="D4045"/>
      <c r="E4045"/>
      <c r="F4045"/>
      <c r="G4045"/>
      <c r="H4045"/>
      <c r="I4045" s="21" t="str">
        <f t="shared" si="127"/>
        <v/>
      </c>
      <c r="L4045" s="24"/>
      <c r="M4045" s="24"/>
    </row>
    <row r="4046" spans="1:13">
      <c r="A4046" s="10" t="str">
        <f t="shared" si="126"/>
        <v/>
      </c>
      <c r="C4046" s="120" t="s">
        <v>126</v>
      </c>
      <c r="D4046"/>
      <c r="E4046"/>
      <c r="F4046"/>
      <c r="G4046"/>
      <c r="H4046"/>
      <c r="I4046" s="21" t="str">
        <f t="shared" si="127"/>
        <v/>
      </c>
      <c r="L4046" s="24"/>
      <c r="M4046" s="24"/>
    </row>
    <row r="4047" spans="1:13">
      <c r="A4047" s="14" t="str">
        <f t="shared" si="126"/>
        <v/>
      </c>
      <c r="C4047" s="120" t="s">
        <v>128</v>
      </c>
      <c r="D4047"/>
      <c r="E4047"/>
      <c r="F4047"/>
      <c r="G4047"/>
      <c r="H4047"/>
      <c r="I4047" s="21" t="str">
        <f t="shared" si="127"/>
        <v/>
      </c>
      <c r="L4047" s="24"/>
      <c r="M4047" s="24"/>
    </row>
    <row r="4048" spans="1:13">
      <c r="A4048" s="10" t="str">
        <f t="shared" si="126"/>
        <v/>
      </c>
      <c r="C4048" s="120" t="s">
        <v>280</v>
      </c>
      <c r="D4048"/>
      <c r="E4048"/>
      <c r="F4048"/>
      <c r="G4048"/>
      <c r="H4048"/>
      <c r="I4048" s="21" t="str">
        <f t="shared" si="127"/>
        <v/>
      </c>
      <c r="L4048" s="24"/>
      <c r="M4048" s="24"/>
    </row>
    <row r="4049" spans="1:13">
      <c r="A4049" s="14" t="str">
        <f t="shared" si="126"/>
        <v/>
      </c>
      <c r="C4049" s="120" t="s">
        <v>282</v>
      </c>
      <c r="D4049"/>
      <c r="E4049"/>
      <c r="F4049"/>
      <c r="G4049"/>
      <c r="H4049"/>
      <c r="I4049" s="21" t="str">
        <f t="shared" si="127"/>
        <v/>
      </c>
      <c r="L4049" s="24"/>
      <c r="M4049" s="24"/>
    </row>
    <row r="4050" spans="1:13">
      <c r="A4050" s="10" t="str">
        <f t="shared" si="126"/>
        <v/>
      </c>
      <c r="C4050" s="120" t="s">
        <v>284</v>
      </c>
      <c r="D4050"/>
      <c r="E4050"/>
      <c r="F4050"/>
      <c r="G4050"/>
      <c r="H4050"/>
      <c r="I4050" s="21" t="str">
        <f t="shared" si="127"/>
        <v/>
      </c>
      <c r="L4050" s="24"/>
      <c r="M4050" s="24"/>
    </row>
    <row r="4051" spans="1:13">
      <c r="A4051" s="14" t="str">
        <f t="shared" si="126"/>
        <v/>
      </c>
      <c r="C4051" s="120" t="s">
        <v>286</v>
      </c>
      <c r="D4051"/>
      <c r="E4051"/>
      <c r="F4051"/>
      <c r="G4051"/>
      <c r="H4051"/>
      <c r="I4051" s="21" t="str">
        <f t="shared" si="127"/>
        <v/>
      </c>
      <c r="L4051" s="24"/>
      <c r="M4051" s="24"/>
    </row>
    <row r="4052" spans="1:13">
      <c r="A4052" s="10" t="str">
        <f t="shared" si="126"/>
        <v/>
      </c>
      <c r="C4052" s="120" t="s">
        <v>126</v>
      </c>
      <c r="D4052"/>
      <c r="E4052"/>
      <c r="F4052"/>
      <c r="G4052"/>
      <c r="H4052"/>
      <c r="I4052" s="21" t="str">
        <f t="shared" si="127"/>
        <v/>
      </c>
      <c r="L4052" s="24"/>
      <c r="M4052" s="24"/>
    </row>
    <row r="4053" spans="1:13">
      <c r="A4053" s="14" t="str">
        <f t="shared" si="126"/>
        <v/>
      </c>
      <c r="C4053" s="120" t="s">
        <v>128</v>
      </c>
      <c r="D4053"/>
      <c r="E4053"/>
      <c r="F4053"/>
      <c r="G4053"/>
      <c r="H4053"/>
      <c r="I4053" s="21" t="str">
        <f t="shared" si="127"/>
        <v/>
      </c>
      <c r="L4053" s="24"/>
      <c r="M4053" s="24"/>
    </row>
    <row r="4054" spans="1:13">
      <c r="A4054" s="10" t="str">
        <f t="shared" si="126"/>
        <v/>
      </c>
      <c r="C4054" s="120" t="s">
        <v>280</v>
      </c>
      <c r="D4054"/>
      <c r="E4054"/>
      <c r="F4054"/>
      <c r="G4054"/>
      <c r="H4054"/>
      <c r="I4054" s="21" t="str">
        <f t="shared" si="127"/>
        <v/>
      </c>
      <c r="L4054" s="24"/>
      <c r="M4054" s="24"/>
    </row>
    <row r="4055" spans="1:13">
      <c r="A4055" s="14" t="str">
        <f t="shared" si="126"/>
        <v/>
      </c>
      <c r="C4055" s="120" t="s">
        <v>282</v>
      </c>
      <c r="D4055"/>
      <c r="E4055"/>
      <c r="F4055"/>
      <c r="G4055"/>
      <c r="H4055"/>
      <c r="I4055" s="21" t="str">
        <f t="shared" si="127"/>
        <v/>
      </c>
      <c r="L4055" s="24"/>
      <c r="M4055" s="24"/>
    </row>
    <row r="4056" spans="1:13">
      <c r="A4056" s="10" t="str">
        <f t="shared" si="126"/>
        <v/>
      </c>
      <c r="C4056" s="120" t="s">
        <v>284</v>
      </c>
      <c r="D4056"/>
      <c r="E4056"/>
      <c r="F4056"/>
      <c r="G4056"/>
      <c r="H4056"/>
      <c r="I4056" s="21" t="str">
        <f t="shared" si="127"/>
        <v/>
      </c>
      <c r="L4056" s="24"/>
      <c r="M4056" s="24"/>
    </row>
    <row r="4057" spans="1:13">
      <c r="A4057" s="14" t="str">
        <f t="shared" si="126"/>
        <v/>
      </c>
      <c r="C4057" s="120" t="s">
        <v>286</v>
      </c>
      <c r="D4057"/>
      <c r="E4057"/>
      <c r="F4057"/>
      <c r="G4057"/>
      <c r="H4057"/>
      <c r="I4057" s="21" t="str">
        <f t="shared" si="127"/>
        <v/>
      </c>
      <c r="L4057" s="24"/>
      <c r="M4057" s="24"/>
    </row>
    <row r="4058" spans="1:13">
      <c r="A4058" s="10" t="str">
        <f t="shared" si="126"/>
        <v/>
      </c>
      <c r="C4058" s="120" t="s">
        <v>126</v>
      </c>
      <c r="D4058"/>
      <c r="E4058"/>
      <c r="F4058"/>
      <c r="G4058"/>
      <c r="H4058"/>
      <c r="I4058" s="21" t="str">
        <f t="shared" si="127"/>
        <v/>
      </c>
      <c r="L4058" s="24"/>
      <c r="M4058" s="24"/>
    </row>
    <row r="4059" spans="1:13">
      <c r="A4059" s="14" t="str">
        <f t="shared" si="126"/>
        <v/>
      </c>
      <c r="C4059" s="120" t="s">
        <v>128</v>
      </c>
      <c r="D4059"/>
      <c r="E4059"/>
      <c r="F4059"/>
      <c r="G4059"/>
      <c r="H4059"/>
      <c r="I4059" s="21" t="str">
        <f t="shared" si="127"/>
        <v/>
      </c>
      <c r="L4059" s="24"/>
      <c r="M4059" s="24"/>
    </row>
    <row r="4060" spans="1:13">
      <c r="A4060" s="10" t="str">
        <f t="shared" si="126"/>
        <v/>
      </c>
      <c r="C4060" s="120" t="s">
        <v>280</v>
      </c>
      <c r="D4060"/>
      <c r="E4060"/>
      <c r="F4060"/>
      <c r="G4060"/>
      <c r="H4060"/>
      <c r="I4060" s="21" t="str">
        <f t="shared" si="127"/>
        <v/>
      </c>
      <c r="L4060" s="24"/>
      <c r="M4060" s="24"/>
    </row>
    <row r="4061" spans="1:13">
      <c r="A4061" s="14" t="str">
        <f t="shared" si="126"/>
        <v/>
      </c>
      <c r="C4061" s="120" t="s">
        <v>282</v>
      </c>
      <c r="D4061"/>
      <c r="E4061"/>
      <c r="F4061"/>
      <c r="G4061"/>
      <c r="H4061"/>
      <c r="I4061" s="21" t="str">
        <f t="shared" si="127"/>
        <v/>
      </c>
      <c r="L4061" s="24"/>
      <c r="M4061" s="24"/>
    </row>
    <row r="4062" spans="1:13">
      <c r="A4062" s="10" t="str">
        <f t="shared" si="126"/>
        <v/>
      </c>
      <c r="C4062" s="120" t="s">
        <v>284</v>
      </c>
      <c r="D4062"/>
      <c r="E4062"/>
      <c r="F4062"/>
      <c r="G4062"/>
      <c r="H4062"/>
      <c r="I4062" s="21" t="str">
        <f t="shared" si="127"/>
        <v/>
      </c>
      <c r="L4062" s="24"/>
      <c r="M4062" s="24"/>
    </row>
    <row r="4063" spans="1:13">
      <c r="A4063" s="14" t="str">
        <f t="shared" si="126"/>
        <v/>
      </c>
      <c r="C4063" s="120" t="s">
        <v>286</v>
      </c>
      <c r="D4063"/>
      <c r="E4063"/>
      <c r="F4063"/>
      <c r="G4063"/>
      <c r="H4063"/>
      <c r="I4063" s="21" t="str">
        <f t="shared" si="127"/>
        <v/>
      </c>
      <c r="L4063" s="24"/>
      <c r="M4063" s="24"/>
    </row>
    <row r="4064" spans="1:13">
      <c r="A4064" s="10" t="str">
        <f t="shared" si="126"/>
        <v/>
      </c>
      <c r="C4064" s="120" t="s">
        <v>126</v>
      </c>
      <c r="D4064"/>
      <c r="E4064"/>
      <c r="F4064"/>
      <c r="G4064"/>
      <c r="H4064"/>
      <c r="I4064" s="21" t="str">
        <f t="shared" si="127"/>
        <v/>
      </c>
      <c r="L4064" s="24"/>
      <c r="M4064" s="24"/>
    </row>
    <row r="4065" spans="1:13">
      <c r="A4065" s="14" t="str">
        <f t="shared" si="126"/>
        <v/>
      </c>
      <c r="C4065" s="120" t="s">
        <v>128</v>
      </c>
      <c r="D4065"/>
      <c r="E4065"/>
      <c r="F4065"/>
      <c r="G4065"/>
      <c r="H4065"/>
      <c r="I4065" s="21" t="str">
        <f t="shared" si="127"/>
        <v/>
      </c>
      <c r="L4065" s="24"/>
      <c r="M4065" s="24"/>
    </row>
    <row r="4066" spans="1:13">
      <c r="A4066" s="10" t="str">
        <f t="shared" si="126"/>
        <v/>
      </c>
      <c r="C4066" s="120" t="s">
        <v>280</v>
      </c>
      <c r="D4066"/>
      <c r="E4066"/>
      <c r="F4066"/>
      <c r="G4066"/>
      <c r="H4066"/>
      <c r="I4066" s="21" t="str">
        <f t="shared" si="127"/>
        <v/>
      </c>
      <c r="L4066" s="24"/>
      <c r="M4066" s="24"/>
    </row>
    <row r="4067" spans="1:13">
      <c r="A4067" s="14" t="str">
        <f t="shared" si="126"/>
        <v/>
      </c>
      <c r="C4067" s="120" t="s">
        <v>282</v>
      </c>
      <c r="D4067"/>
      <c r="E4067"/>
      <c r="F4067"/>
      <c r="G4067"/>
      <c r="H4067"/>
      <c r="I4067" s="21" t="str">
        <f t="shared" si="127"/>
        <v/>
      </c>
      <c r="L4067" s="24"/>
      <c r="M4067" s="24"/>
    </row>
    <row r="4068" spans="1:13">
      <c r="A4068" s="10" t="str">
        <f t="shared" si="126"/>
        <v/>
      </c>
      <c r="C4068" s="120" t="s">
        <v>284</v>
      </c>
      <c r="D4068"/>
      <c r="E4068"/>
      <c r="F4068"/>
      <c r="G4068"/>
      <c r="H4068"/>
      <c r="I4068" s="21" t="str">
        <f t="shared" si="127"/>
        <v/>
      </c>
      <c r="L4068" s="24"/>
      <c r="M4068" s="24"/>
    </row>
    <row r="4069" spans="1:13">
      <c r="A4069" s="14" t="str">
        <f t="shared" si="126"/>
        <v/>
      </c>
      <c r="C4069" s="120" t="s">
        <v>286</v>
      </c>
      <c r="D4069"/>
      <c r="E4069"/>
      <c r="F4069"/>
      <c r="G4069"/>
      <c r="H4069"/>
      <c r="I4069" s="21" t="str">
        <f t="shared" si="127"/>
        <v/>
      </c>
      <c r="L4069" s="24"/>
      <c r="M4069" s="24"/>
    </row>
    <row r="4070" spans="1:13">
      <c r="A4070" s="10" t="str">
        <f t="shared" si="126"/>
        <v/>
      </c>
      <c r="C4070" s="120" t="s">
        <v>126</v>
      </c>
      <c r="D4070"/>
      <c r="E4070"/>
      <c r="F4070"/>
      <c r="G4070"/>
      <c r="H4070"/>
      <c r="I4070" s="21" t="str">
        <f t="shared" si="127"/>
        <v/>
      </c>
      <c r="L4070" s="24"/>
      <c r="M4070" s="24"/>
    </row>
    <row r="4071" spans="1:13">
      <c r="A4071" s="14" t="str">
        <f t="shared" si="126"/>
        <v/>
      </c>
      <c r="C4071" s="120" t="s">
        <v>128</v>
      </c>
      <c r="D4071"/>
      <c r="E4071"/>
      <c r="F4071"/>
      <c r="G4071"/>
      <c r="H4071"/>
      <c r="I4071" s="21" t="str">
        <f t="shared" si="127"/>
        <v/>
      </c>
      <c r="L4071" s="24"/>
      <c r="M4071" s="24"/>
    </row>
    <row r="4072" spans="1:13">
      <c r="A4072" s="10" t="str">
        <f t="shared" si="126"/>
        <v/>
      </c>
      <c r="C4072" s="120" t="s">
        <v>280</v>
      </c>
      <c r="D4072"/>
      <c r="E4072"/>
      <c r="F4072"/>
      <c r="G4072"/>
      <c r="H4072"/>
      <c r="I4072" s="21" t="str">
        <f t="shared" si="127"/>
        <v/>
      </c>
      <c r="L4072" s="24"/>
      <c r="M4072" s="24"/>
    </row>
    <row r="4073" spans="1:13">
      <c r="A4073" s="14" t="str">
        <f t="shared" si="126"/>
        <v/>
      </c>
      <c r="C4073" s="120" t="s">
        <v>282</v>
      </c>
      <c r="D4073"/>
      <c r="E4073"/>
      <c r="F4073"/>
      <c r="G4073"/>
      <c r="H4073"/>
      <c r="I4073" s="21" t="str">
        <f t="shared" si="127"/>
        <v/>
      </c>
      <c r="L4073" s="24"/>
      <c r="M4073" s="24"/>
    </row>
    <row r="4074" spans="1:13">
      <c r="A4074" s="10" t="str">
        <f t="shared" si="126"/>
        <v/>
      </c>
      <c r="C4074" s="120" t="s">
        <v>284</v>
      </c>
      <c r="D4074"/>
      <c r="E4074"/>
      <c r="F4074"/>
      <c r="G4074"/>
      <c r="H4074"/>
      <c r="I4074" s="21" t="str">
        <f t="shared" si="127"/>
        <v/>
      </c>
      <c r="L4074" s="24"/>
      <c r="M4074" s="24"/>
    </row>
    <row r="4075" spans="1:13">
      <c r="A4075" s="14" t="str">
        <f t="shared" si="126"/>
        <v/>
      </c>
      <c r="C4075" s="120" t="s">
        <v>286</v>
      </c>
      <c r="D4075"/>
      <c r="E4075"/>
      <c r="F4075"/>
      <c r="G4075"/>
      <c r="H4075"/>
      <c r="I4075" s="21" t="str">
        <f t="shared" si="127"/>
        <v/>
      </c>
      <c r="L4075" s="24"/>
      <c r="M4075" s="24"/>
    </row>
    <row r="4076" spans="1:13">
      <c r="A4076" s="10" t="str">
        <f t="shared" si="126"/>
        <v/>
      </c>
      <c r="C4076" s="120" t="s">
        <v>126</v>
      </c>
      <c r="D4076"/>
      <c r="E4076"/>
      <c r="F4076"/>
      <c r="G4076"/>
      <c r="H4076"/>
      <c r="I4076" s="21" t="str">
        <f t="shared" si="127"/>
        <v/>
      </c>
      <c r="L4076" s="24"/>
      <c r="M4076" s="24"/>
    </row>
    <row r="4077" spans="1:13">
      <c r="A4077" s="14" t="str">
        <f t="shared" si="126"/>
        <v/>
      </c>
      <c r="C4077" s="120" t="s">
        <v>128</v>
      </c>
      <c r="D4077"/>
      <c r="E4077"/>
      <c r="F4077"/>
      <c r="G4077"/>
      <c r="H4077"/>
      <c r="I4077" s="21" t="str">
        <f t="shared" si="127"/>
        <v/>
      </c>
      <c r="L4077" s="24"/>
      <c r="M4077" s="24"/>
    </row>
    <row r="4078" spans="1:13">
      <c r="A4078" s="10" t="str">
        <f t="shared" si="126"/>
        <v/>
      </c>
      <c r="C4078" s="120" t="s">
        <v>280</v>
      </c>
      <c r="D4078"/>
      <c r="E4078"/>
      <c r="F4078"/>
      <c r="G4078"/>
      <c r="H4078"/>
      <c r="I4078" s="21" t="str">
        <f t="shared" si="127"/>
        <v/>
      </c>
      <c r="L4078" s="24"/>
      <c r="M4078" s="24"/>
    </row>
    <row r="4079" spans="1:13">
      <c r="A4079" s="14" t="str">
        <f t="shared" si="126"/>
        <v/>
      </c>
      <c r="C4079" s="120" t="s">
        <v>282</v>
      </c>
      <c r="D4079"/>
      <c r="E4079"/>
      <c r="F4079"/>
      <c r="G4079"/>
      <c r="H4079"/>
      <c r="I4079" s="21" t="str">
        <f t="shared" si="127"/>
        <v/>
      </c>
      <c r="L4079" s="24"/>
      <c r="M4079" s="24"/>
    </row>
    <row r="4080" spans="1:13">
      <c r="A4080" s="10" t="str">
        <f t="shared" si="126"/>
        <v/>
      </c>
      <c r="C4080" s="120" t="s">
        <v>284</v>
      </c>
      <c r="D4080"/>
      <c r="E4080"/>
      <c r="F4080"/>
      <c r="G4080"/>
      <c r="H4080"/>
      <c r="I4080" s="21" t="str">
        <f t="shared" si="127"/>
        <v/>
      </c>
      <c r="L4080" s="24"/>
      <c r="M4080" s="24"/>
    </row>
    <row r="4081" spans="1:13">
      <c r="A4081" s="14" t="str">
        <f t="shared" si="126"/>
        <v/>
      </c>
      <c r="C4081" s="120" t="s">
        <v>286</v>
      </c>
      <c r="D4081"/>
      <c r="E4081"/>
      <c r="F4081"/>
      <c r="G4081"/>
      <c r="H4081"/>
      <c r="I4081" s="21" t="str">
        <f t="shared" si="127"/>
        <v/>
      </c>
      <c r="L4081" s="24"/>
      <c r="M4081" s="24"/>
    </row>
    <row r="4082" spans="1:13">
      <c r="A4082" s="10" t="str">
        <f t="shared" si="126"/>
        <v/>
      </c>
      <c r="C4082" s="120" t="s">
        <v>126</v>
      </c>
      <c r="D4082"/>
      <c r="E4082"/>
      <c r="F4082"/>
      <c r="G4082"/>
      <c r="H4082"/>
      <c r="I4082" s="21" t="str">
        <f t="shared" si="127"/>
        <v/>
      </c>
      <c r="L4082" s="24"/>
      <c r="M4082" s="24"/>
    </row>
    <row r="4083" spans="1:13">
      <c r="A4083" s="14" t="str">
        <f t="shared" si="126"/>
        <v/>
      </c>
      <c r="C4083" s="120" t="s">
        <v>128</v>
      </c>
      <c r="D4083"/>
      <c r="E4083"/>
      <c r="F4083"/>
      <c r="G4083"/>
      <c r="H4083"/>
      <c r="I4083" s="21" t="str">
        <f t="shared" si="127"/>
        <v/>
      </c>
      <c r="L4083" s="24"/>
      <c r="M4083" s="24"/>
    </row>
    <row r="4084" spans="1:13">
      <c r="A4084" s="10" t="str">
        <f t="shared" si="126"/>
        <v/>
      </c>
      <c r="C4084" s="120" t="s">
        <v>280</v>
      </c>
      <c r="D4084"/>
      <c r="E4084"/>
      <c r="F4084"/>
      <c r="G4084"/>
      <c r="H4084"/>
      <c r="I4084" s="21" t="str">
        <f t="shared" si="127"/>
        <v/>
      </c>
      <c r="L4084" s="24"/>
      <c r="M4084" s="24"/>
    </row>
    <row r="4085" spans="1:13">
      <c r="A4085" s="14" t="str">
        <f t="shared" si="126"/>
        <v/>
      </c>
      <c r="C4085" s="120" t="s">
        <v>282</v>
      </c>
      <c r="D4085"/>
      <c r="E4085"/>
      <c r="F4085"/>
      <c r="G4085"/>
      <c r="H4085"/>
      <c r="I4085" s="21" t="str">
        <f t="shared" si="127"/>
        <v/>
      </c>
      <c r="L4085" s="24"/>
      <c r="M4085" s="24"/>
    </row>
    <row r="4086" spans="1:13">
      <c r="A4086" s="10" t="str">
        <f t="shared" si="126"/>
        <v/>
      </c>
      <c r="C4086" s="120" t="s">
        <v>284</v>
      </c>
      <c r="D4086"/>
      <c r="E4086"/>
      <c r="F4086"/>
      <c r="G4086"/>
      <c r="H4086"/>
      <c r="I4086" s="21" t="str">
        <f t="shared" si="127"/>
        <v/>
      </c>
      <c r="L4086" s="24"/>
      <c r="M4086" s="24"/>
    </row>
    <row r="4087" spans="1:13">
      <c r="A4087" s="14" t="str">
        <f t="shared" si="126"/>
        <v/>
      </c>
      <c r="C4087" s="120" t="s">
        <v>286</v>
      </c>
      <c r="D4087"/>
      <c r="E4087"/>
      <c r="F4087"/>
      <c r="G4087"/>
      <c r="H4087"/>
      <c r="I4087" s="21" t="str">
        <f t="shared" si="127"/>
        <v/>
      </c>
      <c r="L4087" s="24"/>
      <c r="M4087" s="24"/>
    </row>
    <row r="4088" spans="1:13">
      <c r="A4088" s="10" t="str">
        <f t="shared" si="126"/>
        <v/>
      </c>
      <c r="C4088" s="120" t="s">
        <v>126</v>
      </c>
      <c r="D4088"/>
      <c r="E4088"/>
      <c r="F4088"/>
      <c r="G4088"/>
      <c r="H4088"/>
      <c r="I4088" s="21" t="str">
        <f t="shared" si="127"/>
        <v/>
      </c>
      <c r="L4088" s="24"/>
      <c r="M4088" s="24"/>
    </row>
    <row r="4089" spans="1:13">
      <c r="A4089" s="14" t="str">
        <f t="shared" si="126"/>
        <v/>
      </c>
      <c r="C4089" s="120" t="s">
        <v>128</v>
      </c>
      <c r="D4089"/>
      <c r="E4089"/>
      <c r="F4089"/>
      <c r="G4089"/>
      <c r="H4089"/>
      <c r="I4089" s="21" t="str">
        <f t="shared" si="127"/>
        <v/>
      </c>
      <c r="L4089" s="24"/>
      <c r="M4089" s="24"/>
    </row>
    <row r="4090" spans="1:13">
      <c r="A4090" s="10" t="str">
        <f t="shared" si="126"/>
        <v/>
      </c>
      <c r="C4090" s="120" t="s">
        <v>280</v>
      </c>
      <c r="D4090"/>
      <c r="E4090"/>
      <c r="F4090"/>
      <c r="G4090"/>
      <c r="H4090"/>
      <c r="I4090" s="21" t="str">
        <f t="shared" si="127"/>
        <v/>
      </c>
      <c r="L4090" s="24"/>
      <c r="M4090" s="24"/>
    </row>
    <row r="4091" spans="1:13">
      <c r="A4091" s="14" t="str">
        <f t="shared" si="126"/>
        <v/>
      </c>
      <c r="C4091" s="120" t="s">
        <v>282</v>
      </c>
      <c r="D4091"/>
      <c r="E4091"/>
      <c r="F4091"/>
      <c r="G4091"/>
      <c r="H4091"/>
      <c r="I4091" s="21" t="str">
        <f t="shared" si="127"/>
        <v/>
      </c>
      <c r="L4091" s="24"/>
      <c r="M4091" s="24"/>
    </row>
    <row r="4092" spans="1:13">
      <c r="A4092" s="10" t="str">
        <f t="shared" si="126"/>
        <v/>
      </c>
      <c r="C4092" s="120" t="s">
        <v>284</v>
      </c>
      <c r="D4092"/>
      <c r="E4092"/>
      <c r="F4092"/>
      <c r="G4092"/>
      <c r="H4092"/>
      <c r="I4092" s="21" t="str">
        <f t="shared" si="127"/>
        <v/>
      </c>
      <c r="L4092" s="24"/>
      <c r="M4092" s="24"/>
    </row>
    <row r="4093" spans="1:13">
      <c r="A4093" s="14" t="str">
        <f t="shared" si="126"/>
        <v/>
      </c>
      <c r="C4093" s="120" t="s">
        <v>286</v>
      </c>
      <c r="D4093"/>
      <c r="E4093"/>
      <c r="F4093"/>
      <c r="G4093"/>
      <c r="H4093"/>
      <c r="I4093" s="21" t="str">
        <f t="shared" si="127"/>
        <v/>
      </c>
      <c r="L4093" s="24"/>
      <c r="M4093" s="24"/>
    </row>
    <row r="4094" spans="1:13">
      <c r="A4094" s="10" t="str">
        <f t="shared" si="126"/>
        <v/>
      </c>
      <c r="C4094" s="120" t="s">
        <v>126</v>
      </c>
      <c r="D4094"/>
      <c r="E4094"/>
      <c r="F4094"/>
      <c r="G4094"/>
      <c r="H4094"/>
      <c r="I4094" s="21" t="str">
        <f t="shared" si="127"/>
        <v/>
      </c>
      <c r="L4094" s="24"/>
      <c r="M4094" s="24"/>
    </row>
    <row r="4095" spans="1:13">
      <c r="A4095" s="14" t="str">
        <f t="shared" si="126"/>
        <v/>
      </c>
      <c r="C4095" s="120" t="s">
        <v>128</v>
      </c>
      <c r="D4095"/>
      <c r="E4095"/>
      <c r="F4095"/>
      <c r="G4095"/>
      <c r="H4095"/>
      <c r="I4095" s="21" t="str">
        <f t="shared" si="127"/>
        <v/>
      </c>
      <c r="L4095" s="24"/>
      <c r="M4095" s="24"/>
    </row>
    <row r="4096" spans="1:13">
      <c r="A4096" s="10" t="str">
        <f t="shared" si="126"/>
        <v/>
      </c>
      <c r="C4096" s="120" t="s">
        <v>280</v>
      </c>
      <c r="D4096"/>
      <c r="E4096"/>
      <c r="F4096"/>
      <c r="G4096"/>
      <c r="H4096"/>
      <c r="I4096" s="21" t="str">
        <f t="shared" si="127"/>
        <v/>
      </c>
      <c r="L4096" s="24"/>
      <c r="M4096" s="24"/>
    </row>
    <row r="4097" spans="1:13">
      <c r="A4097" s="14" t="str">
        <f t="shared" si="126"/>
        <v/>
      </c>
      <c r="C4097" s="120" t="s">
        <v>282</v>
      </c>
      <c r="D4097"/>
      <c r="E4097"/>
      <c r="F4097"/>
      <c r="G4097"/>
      <c r="H4097"/>
      <c r="I4097" s="21" t="str">
        <f t="shared" si="127"/>
        <v/>
      </c>
      <c r="L4097" s="24"/>
      <c r="M4097" s="24"/>
    </row>
    <row r="4098" spans="1:13">
      <c r="A4098" s="10" t="str">
        <f t="shared" ref="A4098:A4161" si="128">IF(B4098&lt;&gt;"",ROW()-1,"")</f>
        <v/>
      </c>
      <c r="C4098" s="120" t="s">
        <v>284</v>
      </c>
      <c r="D4098"/>
      <c r="E4098"/>
      <c r="F4098"/>
      <c r="G4098"/>
      <c r="H4098"/>
      <c r="I4098" s="21" t="str">
        <f t="shared" ref="I4098:I4161" si="129">IF(AND(G4098&lt;&gt;"",H4098&lt;&gt;""),H4098-G4098,"")</f>
        <v/>
      </c>
      <c r="L4098" s="24"/>
      <c r="M4098" s="24"/>
    </row>
    <row r="4099" spans="1:13">
      <c r="A4099" s="14" t="str">
        <f t="shared" si="128"/>
        <v/>
      </c>
      <c r="C4099" s="120" t="s">
        <v>286</v>
      </c>
      <c r="D4099"/>
      <c r="E4099"/>
      <c r="F4099"/>
      <c r="G4099"/>
      <c r="H4099"/>
      <c r="I4099" s="21" t="str">
        <f t="shared" si="129"/>
        <v/>
      </c>
      <c r="L4099" s="24"/>
      <c r="M4099" s="24"/>
    </row>
    <row r="4100" spans="1:13">
      <c r="A4100" s="10" t="str">
        <f t="shared" si="128"/>
        <v/>
      </c>
      <c r="C4100" s="120" t="s">
        <v>126</v>
      </c>
      <c r="D4100"/>
      <c r="E4100"/>
      <c r="F4100"/>
      <c r="G4100"/>
      <c r="H4100"/>
      <c r="I4100" s="21" t="str">
        <f t="shared" si="129"/>
        <v/>
      </c>
      <c r="L4100" s="24"/>
      <c r="M4100" s="24"/>
    </row>
    <row r="4101" spans="1:13">
      <c r="A4101" s="14" t="str">
        <f t="shared" si="128"/>
        <v/>
      </c>
      <c r="C4101" s="120" t="s">
        <v>128</v>
      </c>
      <c r="D4101"/>
      <c r="E4101"/>
      <c r="F4101"/>
      <c r="G4101"/>
      <c r="H4101"/>
      <c r="I4101" s="21" t="str">
        <f t="shared" si="129"/>
        <v/>
      </c>
      <c r="L4101" s="24"/>
      <c r="M4101" s="24"/>
    </row>
    <row r="4102" spans="1:13">
      <c r="A4102" s="10" t="str">
        <f t="shared" si="128"/>
        <v/>
      </c>
      <c r="C4102" s="120" t="s">
        <v>280</v>
      </c>
      <c r="D4102"/>
      <c r="E4102"/>
      <c r="F4102"/>
      <c r="G4102"/>
      <c r="H4102"/>
      <c r="I4102" s="21" t="str">
        <f t="shared" si="129"/>
        <v/>
      </c>
      <c r="L4102" s="24"/>
      <c r="M4102" s="24"/>
    </row>
    <row r="4103" spans="1:13">
      <c r="A4103" s="14" t="str">
        <f t="shared" si="128"/>
        <v/>
      </c>
      <c r="C4103" s="120" t="s">
        <v>282</v>
      </c>
      <c r="D4103"/>
      <c r="E4103"/>
      <c r="F4103"/>
      <c r="G4103"/>
      <c r="H4103"/>
      <c r="I4103" s="21" t="str">
        <f t="shared" si="129"/>
        <v/>
      </c>
      <c r="L4103" s="24"/>
      <c r="M4103" s="24"/>
    </row>
    <row r="4104" spans="1:13">
      <c r="A4104" s="10" t="str">
        <f t="shared" si="128"/>
        <v/>
      </c>
      <c r="C4104" s="120" t="s">
        <v>284</v>
      </c>
      <c r="D4104"/>
      <c r="E4104"/>
      <c r="F4104"/>
      <c r="G4104"/>
      <c r="H4104"/>
      <c r="I4104" s="21" t="str">
        <f t="shared" si="129"/>
        <v/>
      </c>
      <c r="L4104" s="24"/>
      <c r="M4104" s="24"/>
    </row>
    <row r="4105" spans="1:13">
      <c r="A4105" s="14" t="str">
        <f t="shared" si="128"/>
        <v/>
      </c>
      <c r="C4105" s="120" t="s">
        <v>286</v>
      </c>
      <c r="D4105"/>
      <c r="E4105"/>
      <c r="F4105"/>
      <c r="G4105"/>
      <c r="H4105"/>
      <c r="I4105" s="21" t="str">
        <f t="shared" si="129"/>
        <v/>
      </c>
      <c r="L4105" s="24"/>
      <c r="M4105" s="24"/>
    </row>
    <row r="4106" spans="1:13">
      <c r="A4106" s="10" t="str">
        <f t="shared" si="128"/>
        <v/>
      </c>
      <c r="C4106" s="120" t="s">
        <v>126</v>
      </c>
      <c r="D4106"/>
      <c r="E4106"/>
      <c r="F4106"/>
      <c r="G4106"/>
      <c r="H4106"/>
      <c r="I4106" s="21" t="str">
        <f t="shared" si="129"/>
        <v/>
      </c>
      <c r="L4106" s="24"/>
      <c r="M4106" s="24"/>
    </row>
    <row r="4107" spans="1:13">
      <c r="A4107" s="14" t="str">
        <f t="shared" si="128"/>
        <v/>
      </c>
      <c r="C4107" s="120" t="s">
        <v>128</v>
      </c>
      <c r="D4107"/>
      <c r="E4107"/>
      <c r="F4107"/>
      <c r="G4107"/>
      <c r="H4107"/>
      <c r="I4107" s="21" t="str">
        <f t="shared" si="129"/>
        <v/>
      </c>
      <c r="L4107" s="24"/>
      <c r="M4107" s="24"/>
    </row>
    <row r="4108" spans="1:13">
      <c r="A4108" s="10" t="str">
        <f t="shared" si="128"/>
        <v/>
      </c>
      <c r="C4108" s="120" t="s">
        <v>280</v>
      </c>
      <c r="D4108"/>
      <c r="E4108"/>
      <c r="F4108"/>
      <c r="G4108"/>
      <c r="H4108"/>
      <c r="I4108" s="21" t="str">
        <f t="shared" si="129"/>
        <v/>
      </c>
      <c r="L4108" s="24"/>
      <c r="M4108" s="24"/>
    </row>
    <row r="4109" spans="1:13">
      <c r="A4109" s="14" t="str">
        <f t="shared" si="128"/>
        <v/>
      </c>
      <c r="C4109" s="120" t="s">
        <v>282</v>
      </c>
      <c r="D4109"/>
      <c r="E4109"/>
      <c r="F4109"/>
      <c r="G4109"/>
      <c r="H4109"/>
      <c r="I4109" s="21" t="str">
        <f t="shared" si="129"/>
        <v/>
      </c>
      <c r="L4109" s="24"/>
      <c r="M4109" s="24"/>
    </row>
    <row r="4110" spans="1:13">
      <c r="A4110" s="10" t="str">
        <f t="shared" si="128"/>
        <v/>
      </c>
      <c r="C4110" s="120" t="s">
        <v>284</v>
      </c>
      <c r="D4110"/>
      <c r="E4110"/>
      <c r="F4110"/>
      <c r="G4110"/>
      <c r="H4110"/>
      <c r="I4110" s="21" t="str">
        <f t="shared" si="129"/>
        <v/>
      </c>
      <c r="L4110" s="24"/>
      <c r="M4110" s="24"/>
    </row>
    <row r="4111" spans="1:13">
      <c r="A4111" s="14" t="str">
        <f t="shared" si="128"/>
        <v/>
      </c>
      <c r="C4111" s="120" t="s">
        <v>286</v>
      </c>
      <c r="D4111"/>
      <c r="E4111"/>
      <c r="F4111"/>
      <c r="G4111"/>
      <c r="H4111"/>
      <c r="I4111" s="21" t="str">
        <f t="shared" si="129"/>
        <v/>
      </c>
      <c r="L4111" s="24"/>
      <c r="M4111" s="24"/>
    </row>
    <row r="4112" spans="1:13">
      <c r="A4112" s="10" t="str">
        <f t="shared" si="128"/>
        <v/>
      </c>
      <c r="C4112" s="120" t="s">
        <v>126</v>
      </c>
      <c r="D4112"/>
      <c r="E4112"/>
      <c r="F4112"/>
      <c r="G4112"/>
      <c r="H4112"/>
      <c r="I4112" s="21" t="str">
        <f t="shared" si="129"/>
        <v/>
      </c>
      <c r="L4112" s="24"/>
      <c r="M4112" s="24"/>
    </row>
    <row r="4113" spans="1:13">
      <c r="A4113" s="14" t="str">
        <f t="shared" si="128"/>
        <v/>
      </c>
      <c r="C4113" s="120" t="s">
        <v>128</v>
      </c>
      <c r="D4113"/>
      <c r="E4113"/>
      <c r="F4113"/>
      <c r="G4113"/>
      <c r="H4113"/>
      <c r="I4113" s="21" t="str">
        <f t="shared" si="129"/>
        <v/>
      </c>
      <c r="L4113" s="24"/>
      <c r="M4113" s="24"/>
    </row>
    <row r="4114" spans="1:13">
      <c r="A4114" s="10" t="str">
        <f t="shared" si="128"/>
        <v/>
      </c>
      <c r="C4114" s="120" t="s">
        <v>280</v>
      </c>
      <c r="D4114"/>
      <c r="E4114"/>
      <c r="F4114"/>
      <c r="G4114"/>
      <c r="H4114"/>
      <c r="I4114" s="21" t="str">
        <f t="shared" si="129"/>
        <v/>
      </c>
      <c r="L4114" s="24"/>
      <c r="M4114" s="24"/>
    </row>
    <row r="4115" spans="1:13">
      <c r="A4115" s="14" t="str">
        <f t="shared" si="128"/>
        <v/>
      </c>
      <c r="C4115" s="120" t="s">
        <v>282</v>
      </c>
      <c r="D4115"/>
      <c r="E4115"/>
      <c r="F4115"/>
      <c r="G4115"/>
      <c r="H4115"/>
      <c r="I4115" s="21" t="str">
        <f t="shared" si="129"/>
        <v/>
      </c>
      <c r="L4115" s="24"/>
      <c r="M4115" s="24"/>
    </row>
    <row r="4116" spans="1:13">
      <c r="A4116" s="10" t="str">
        <f t="shared" si="128"/>
        <v/>
      </c>
      <c r="C4116" s="120" t="s">
        <v>284</v>
      </c>
      <c r="D4116"/>
      <c r="E4116"/>
      <c r="F4116"/>
      <c r="G4116"/>
      <c r="H4116"/>
      <c r="I4116" s="21" t="str">
        <f t="shared" si="129"/>
        <v/>
      </c>
      <c r="L4116" s="24"/>
      <c r="M4116" s="24"/>
    </row>
    <row r="4117" spans="1:13">
      <c r="A4117" s="14" t="str">
        <f t="shared" si="128"/>
        <v/>
      </c>
      <c r="C4117" s="120" t="s">
        <v>286</v>
      </c>
      <c r="D4117"/>
      <c r="E4117"/>
      <c r="F4117"/>
      <c r="G4117"/>
      <c r="H4117"/>
      <c r="I4117" s="21" t="str">
        <f t="shared" si="129"/>
        <v/>
      </c>
      <c r="L4117" s="24"/>
      <c r="M4117" s="24"/>
    </row>
    <row r="4118" spans="1:13">
      <c r="A4118" s="10" t="str">
        <f t="shared" si="128"/>
        <v/>
      </c>
      <c r="C4118" s="120" t="s">
        <v>126</v>
      </c>
      <c r="D4118"/>
      <c r="E4118"/>
      <c r="F4118"/>
      <c r="G4118"/>
      <c r="H4118"/>
      <c r="I4118" s="21" t="str">
        <f t="shared" si="129"/>
        <v/>
      </c>
      <c r="L4118" s="24"/>
      <c r="M4118" s="24"/>
    </row>
    <row r="4119" spans="1:13">
      <c r="A4119" s="14" t="str">
        <f t="shared" si="128"/>
        <v/>
      </c>
      <c r="C4119" s="120" t="s">
        <v>128</v>
      </c>
      <c r="D4119"/>
      <c r="E4119"/>
      <c r="F4119"/>
      <c r="G4119"/>
      <c r="H4119"/>
      <c r="I4119" s="21" t="str">
        <f t="shared" si="129"/>
        <v/>
      </c>
      <c r="L4119" s="24"/>
      <c r="M4119" s="24"/>
    </row>
    <row r="4120" spans="1:13">
      <c r="A4120" s="10" t="str">
        <f t="shared" si="128"/>
        <v/>
      </c>
      <c r="C4120" s="120" t="s">
        <v>280</v>
      </c>
      <c r="D4120"/>
      <c r="E4120"/>
      <c r="F4120"/>
      <c r="G4120"/>
      <c r="H4120"/>
      <c r="I4120" s="21" t="str">
        <f t="shared" si="129"/>
        <v/>
      </c>
      <c r="L4120" s="24"/>
      <c r="M4120" s="24"/>
    </row>
    <row r="4121" spans="1:13">
      <c r="A4121" s="14" t="str">
        <f t="shared" si="128"/>
        <v/>
      </c>
      <c r="C4121" s="120" t="s">
        <v>282</v>
      </c>
      <c r="D4121"/>
      <c r="E4121"/>
      <c r="F4121"/>
      <c r="G4121"/>
      <c r="H4121"/>
      <c r="I4121" s="21" t="str">
        <f t="shared" si="129"/>
        <v/>
      </c>
      <c r="L4121" s="24"/>
      <c r="M4121" s="24"/>
    </row>
    <row r="4122" spans="1:13">
      <c r="A4122" s="10" t="str">
        <f t="shared" si="128"/>
        <v/>
      </c>
      <c r="C4122" s="120" t="s">
        <v>284</v>
      </c>
      <c r="D4122"/>
      <c r="E4122"/>
      <c r="F4122"/>
      <c r="G4122"/>
      <c r="H4122"/>
      <c r="I4122" s="21" t="str">
        <f t="shared" si="129"/>
        <v/>
      </c>
      <c r="L4122" s="24"/>
      <c r="M4122" s="24"/>
    </row>
    <row r="4123" spans="1:13">
      <c r="A4123" s="14" t="str">
        <f t="shared" si="128"/>
        <v/>
      </c>
      <c r="C4123" s="120" t="s">
        <v>286</v>
      </c>
      <c r="D4123"/>
      <c r="E4123"/>
      <c r="F4123"/>
      <c r="G4123"/>
      <c r="H4123"/>
      <c r="I4123" s="21" t="str">
        <f t="shared" si="129"/>
        <v/>
      </c>
      <c r="L4123" s="24"/>
      <c r="M4123" s="24"/>
    </row>
    <row r="4124" spans="1:13">
      <c r="A4124" s="10" t="str">
        <f t="shared" si="128"/>
        <v/>
      </c>
      <c r="C4124" s="120" t="s">
        <v>126</v>
      </c>
      <c r="D4124"/>
      <c r="E4124"/>
      <c r="F4124"/>
      <c r="G4124"/>
      <c r="H4124"/>
      <c r="I4124" s="21" t="str">
        <f t="shared" si="129"/>
        <v/>
      </c>
      <c r="L4124" s="24"/>
      <c r="M4124" s="24"/>
    </row>
    <row r="4125" spans="1:13">
      <c r="A4125" s="14" t="str">
        <f t="shared" si="128"/>
        <v/>
      </c>
      <c r="C4125" s="120" t="s">
        <v>128</v>
      </c>
      <c r="D4125"/>
      <c r="E4125"/>
      <c r="F4125"/>
      <c r="G4125"/>
      <c r="H4125"/>
      <c r="I4125" s="21" t="str">
        <f t="shared" si="129"/>
        <v/>
      </c>
      <c r="L4125" s="24"/>
      <c r="M4125" s="24"/>
    </row>
    <row r="4126" spans="1:13">
      <c r="A4126" s="10" t="str">
        <f t="shared" si="128"/>
        <v/>
      </c>
      <c r="C4126" s="120" t="s">
        <v>280</v>
      </c>
      <c r="D4126"/>
      <c r="E4126"/>
      <c r="F4126"/>
      <c r="G4126"/>
      <c r="H4126"/>
      <c r="I4126" s="21" t="str">
        <f t="shared" si="129"/>
        <v/>
      </c>
      <c r="L4126" s="24"/>
      <c r="M4126" s="24"/>
    </row>
    <row r="4127" spans="1:13">
      <c r="A4127" s="14" t="str">
        <f t="shared" si="128"/>
        <v/>
      </c>
      <c r="C4127" s="120" t="s">
        <v>282</v>
      </c>
      <c r="D4127"/>
      <c r="E4127"/>
      <c r="F4127"/>
      <c r="G4127"/>
      <c r="H4127"/>
      <c r="I4127" s="21" t="str">
        <f t="shared" si="129"/>
        <v/>
      </c>
      <c r="L4127" s="24"/>
      <c r="M4127" s="24"/>
    </row>
    <row r="4128" spans="1:13">
      <c r="A4128" s="10" t="str">
        <f t="shared" si="128"/>
        <v/>
      </c>
      <c r="C4128" s="120" t="s">
        <v>284</v>
      </c>
      <c r="D4128"/>
      <c r="E4128"/>
      <c r="F4128"/>
      <c r="G4128"/>
      <c r="H4128"/>
      <c r="I4128" s="21" t="str">
        <f t="shared" si="129"/>
        <v/>
      </c>
      <c r="L4128" s="24"/>
      <c r="M4128" s="24"/>
    </row>
    <row r="4129" spans="1:13">
      <c r="A4129" s="14" t="str">
        <f t="shared" si="128"/>
        <v/>
      </c>
      <c r="C4129" s="120" t="s">
        <v>286</v>
      </c>
      <c r="D4129"/>
      <c r="E4129"/>
      <c r="F4129"/>
      <c r="G4129"/>
      <c r="H4129"/>
      <c r="I4129" s="21" t="str">
        <f t="shared" si="129"/>
        <v/>
      </c>
      <c r="L4129" s="24"/>
      <c r="M4129" s="24"/>
    </row>
    <row r="4130" spans="1:13">
      <c r="A4130" s="10" t="str">
        <f t="shared" si="128"/>
        <v/>
      </c>
      <c r="C4130" s="120" t="s">
        <v>126</v>
      </c>
      <c r="D4130"/>
      <c r="E4130"/>
      <c r="F4130"/>
      <c r="G4130"/>
      <c r="H4130"/>
      <c r="I4130" s="21" t="str">
        <f t="shared" si="129"/>
        <v/>
      </c>
      <c r="L4130" s="24"/>
      <c r="M4130" s="24"/>
    </row>
    <row r="4131" spans="1:13">
      <c r="A4131" s="14" t="str">
        <f t="shared" si="128"/>
        <v/>
      </c>
      <c r="C4131" s="120" t="s">
        <v>128</v>
      </c>
      <c r="D4131"/>
      <c r="E4131"/>
      <c r="F4131"/>
      <c r="G4131"/>
      <c r="H4131"/>
      <c r="I4131" s="21" t="str">
        <f t="shared" si="129"/>
        <v/>
      </c>
      <c r="L4131" s="24"/>
      <c r="M4131" s="24"/>
    </row>
    <row r="4132" spans="1:13">
      <c r="A4132" s="10" t="str">
        <f t="shared" si="128"/>
        <v/>
      </c>
      <c r="C4132" s="120" t="s">
        <v>280</v>
      </c>
      <c r="D4132"/>
      <c r="E4132"/>
      <c r="F4132"/>
      <c r="G4132"/>
      <c r="H4132"/>
      <c r="I4132" s="21" t="str">
        <f t="shared" si="129"/>
        <v/>
      </c>
      <c r="L4132" s="24"/>
      <c r="M4132" s="24"/>
    </row>
    <row r="4133" spans="1:13">
      <c r="A4133" s="14" t="str">
        <f t="shared" si="128"/>
        <v/>
      </c>
      <c r="C4133" s="120" t="s">
        <v>282</v>
      </c>
      <c r="D4133"/>
      <c r="E4133"/>
      <c r="F4133"/>
      <c r="G4133"/>
      <c r="H4133"/>
      <c r="I4133" s="21" t="str">
        <f t="shared" si="129"/>
        <v/>
      </c>
      <c r="L4133" s="24"/>
      <c r="M4133" s="24"/>
    </row>
    <row r="4134" spans="1:13">
      <c r="A4134" s="10" t="str">
        <f t="shared" si="128"/>
        <v/>
      </c>
      <c r="C4134" s="120" t="s">
        <v>284</v>
      </c>
      <c r="D4134"/>
      <c r="E4134"/>
      <c r="F4134"/>
      <c r="G4134"/>
      <c r="H4134"/>
      <c r="I4134" s="21" t="str">
        <f t="shared" si="129"/>
        <v/>
      </c>
      <c r="L4134" s="24"/>
      <c r="M4134" s="24"/>
    </row>
    <row r="4135" spans="1:13">
      <c r="A4135" s="14" t="str">
        <f t="shared" si="128"/>
        <v/>
      </c>
      <c r="C4135" s="120" t="s">
        <v>286</v>
      </c>
      <c r="D4135"/>
      <c r="E4135"/>
      <c r="F4135"/>
      <c r="G4135"/>
      <c r="H4135"/>
      <c r="I4135" s="21" t="str">
        <f t="shared" si="129"/>
        <v/>
      </c>
      <c r="L4135" s="24"/>
      <c r="M4135" s="24"/>
    </row>
    <row r="4136" spans="1:13">
      <c r="A4136" s="10" t="str">
        <f t="shared" si="128"/>
        <v/>
      </c>
      <c r="C4136" s="120" t="s">
        <v>126</v>
      </c>
      <c r="D4136"/>
      <c r="E4136"/>
      <c r="F4136"/>
      <c r="G4136"/>
      <c r="H4136"/>
      <c r="I4136" s="21" t="str">
        <f t="shared" si="129"/>
        <v/>
      </c>
      <c r="L4136" s="24"/>
      <c r="M4136" s="24"/>
    </row>
    <row r="4137" spans="1:13">
      <c r="A4137" s="14" t="str">
        <f t="shared" si="128"/>
        <v/>
      </c>
      <c r="C4137" s="120" t="s">
        <v>128</v>
      </c>
      <c r="D4137"/>
      <c r="E4137"/>
      <c r="F4137"/>
      <c r="G4137"/>
      <c r="H4137"/>
      <c r="I4137" s="21" t="str">
        <f t="shared" si="129"/>
        <v/>
      </c>
      <c r="L4137" s="24"/>
      <c r="M4137" s="24"/>
    </row>
    <row r="4138" spans="1:13">
      <c r="A4138" s="10" t="str">
        <f t="shared" si="128"/>
        <v/>
      </c>
      <c r="C4138" s="120" t="s">
        <v>280</v>
      </c>
      <c r="D4138"/>
      <c r="E4138"/>
      <c r="F4138"/>
      <c r="G4138"/>
      <c r="H4138"/>
      <c r="I4138" s="21" t="str">
        <f t="shared" si="129"/>
        <v/>
      </c>
      <c r="L4138" s="24"/>
      <c r="M4138" s="24"/>
    </row>
    <row r="4139" spans="1:13">
      <c r="A4139" s="14" t="str">
        <f t="shared" si="128"/>
        <v/>
      </c>
      <c r="C4139" s="120" t="s">
        <v>282</v>
      </c>
      <c r="D4139"/>
      <c r="E4139"/>
      <c r="F4139"/>
      <c r="G4139"/>
      <c r="H4139"/>
      <c r="I4139" s="21" t="str">
        <f t="shared" si="129"/>
        <v/>
      </c>
      <c r="L4139" s="24"/>
      <c r="M4139" s="24"/>
    </row>
    <row r="4140" spans="1:13">
      <c r="A4140" s="10" t="str">
        <f t="shared" si="128"/>
        <v/>
      </c>
      <c r="C4140" s="120" t="s">
        <v>284</v>
      </c>
      <c r="D4140"/>
      <c r="E4140"/>
      <c r="F4140"/>
      <c r="G4140"/>
      <c r="H4140"/>
      <c r="I4140" s="21" t="str">
        <f t="shared" si="129"/>
        <v/>
      </c>
      <c r="L4140" s="24"/>
      <c r="M4140" s="24"/>
    </row>
    <row r="4141" spans="1:13">
      <c r="A4141" s="14" t="str">
        <f t="shared" si="128"/>
        <v/>
      </c>
      <c r="C4141" s="120" t="s">
        <v>286</v>
      </c>
      <c r="D4141"/>
      <c r="E4141"/>
      <c r="F4141"/>
      <c r="G4141"/>
      <c r="H4141"/>
      <c r="I4141" s="21" t="str">
        <f t="shared" si="129"/>
        <v/>
      </c>
      <c r="L4141" s="24"/>
      <c r="M4141" s="24"/>
    </row>
    <row r="4142" spans="1:13">
      <c r="A4142" s="10" t="str">
        <f t="shared" si="128"/>
        <v/>
      </c>
      <c r="C4142" s="120" t="s">
        <v>126</v>
      </c>
      <c r="D4142"/>
      <c r="E4142"/>
      <c r="F4142"/>
      <c r="G4142"/>
      <c r="H4142"/>
      <c r="I4142" s="21" t="str">
        <f t="shared" si="129"/>
        <v/>
      </c>
      <c r="L4142" s="24"/>
      <c r="M4142" s="24"/>
    </row>
    <row r="4143" spans="1:13">
      <c r="A4143" s="14" t="str">
        <f t="shared" si="128"/>
        <v/>
      </c>
      <c r="C4143" s="120" t="s">
        <v>128</v>
      </c>
      <c r="D4143"/>
      <c r="E4143"/>
      <c r="F4143"/>
      <c r="G4143"/>
      <c r="H4143"/>
      <c r="I4143" s="21" t="str">
        <f t="shared" si="129"/>
        <v/>
      </c>
      <c r="L4143" s="24"/>
      <c r="M4143" s="24"/>
    </row>
    <row r="4144" spans="1:13">
      <c r="A4144" s="10" t="str">
        <f t="shared" si="128"/>
        <v/>
      </c>
      <c r="C4144" s="120" t="s">
        <v>280</v>
      </c>
      <c r="D4144"/>
      <c r="E4144"/>
      <c r="F4144"/>
      <c r="G4144"/>
      <c r="H4144"/>
      <c r="I4144" s="21" t="str">
        <f t="shared" si="129"/>
        <v/>
      </c>
      <c r="L4144" s="24"/>
      <c r="M4144" s="24"/>
    </row>
    <row r="4145" spans="1:13">
      <c r="A4145" s="14" t="str">
        <f t="shared" si="128"/>
        <v/>
      </c>
      <c r="C4145" s="120" t="s">
        <v>282</v>
      </c>
      <c r="D4145"/>
      <c r="E4145"/>
      <c r="F4145"/>
      <c r="G4145"/>
      <c r="H4145"/>
      <c r="I4145" s="21" t="str">
        <f t="shared" si="129"/>
        <v/>
      </c>
      <c r="L4145" s="24"/>
      <c r="M4145" s="24"/>
    </row>
    <row r="4146" spans="1:13">
      <c r="A4146" s="10" t="str">
        <f t="shared" si="128"/>
        <v/>
      </c>
      <c r="C4146" s="120" t="s">
        <v>284</v>
      </c>
      <c r="D4146"/>
      <c r="E4146"/>
      <c r="F4146"/>
      <c r="G4146"/>
      <c r="H4146"/>
      <c r="I4146" s="21" t="str">
        <f t="shared" si="129"/>
        <v/>
      </c>
      <c r="L4146" s="24"/>
      <c r="M4146" s="24"/>
    </row>
    <row r="4147" spans="1:13">
      <c r="A4147" s="14" t="str">
        <f t="shared" si="128"/>
        <v/>
      </c>
      <c r="C4147" s="120" t="s">
        <v>286</v>
      </c>
      <c r="D4147"/>
      <c r="E4147"/>
      <c r="F4147"/>
      <c r="G4147"/>
      <c r="H4147"/>
      <c r="I4147" s="21" t="str">
        <f t="shared" si="129"/>
        <v/>
      </c>
      <c r="L4147" s="24"/>
      <c r="M4147" s="24"/>
    </row>
    <row r="4148" spans="1:13">
      <c r="A4148" s="10" t="str">
        <f t="shared" si="128"/>
        <v/>
      </c>
      <c r="C4148" s="120" t="s">
        <v>126</v>
      </c>
      <c r="D4148"/>
      <c r="E4148"/>
      <c r="F4148"/>
      <c r="G4148"/>
      <c r="H4148"/>
      <c r="I4148" s="21" t="str">
        <f t="shared" si="129"/>
        <v/>
      </c>
      <c r="L4148" s="24"/>
      <c r="M4148" s="24"/>
    </row>
    <row r="4149" spans="1:13">
      <c r="A4149" s="14" t="str">
        <f t="shared" si="128"/>
        <v/>
      </c>
      <c r="C4149" s="120" t="s">
        <v>128</v>
      </c>
      <c r="D4149"/>
      <c r="E4149"/>
      <c r="F4149"/>
      <c r="G4149"/>
      <c r="H4149"/>
      <c r="I4149" s="21" t="str">
        <f t="shared" si="129"/>
        <v/>
      </c>
      <c r="L4149" s="24"/>
      <c r="M4149" s="24"/>
    </row>
    <row r="4150" spans="1:13">
      <c r="A4150" s="10" t="str">
        <f t="shared" si="128"/>
        <v/>
      </c>
      <c r="C4150" s="120" t="s">
        <v>280</v>
      </c>
      <c r="D4150"/>
      <c r="E4150"/>
      <c r="F4150"/>
      <c r="G4150"/>
      <c r="H4150"/>
      <c r="I4150" s="21" t="str">
        <f t="shared" si="129"/>
        <v/>
      </c>
      <c r="L4150" s="24"/>
      <c r="M4150" s="24"/>
    </row>
    <row r="4151" spans="1:13">
      <c r="A4151" s="14" t="str">
        <f t="shared" si="128"/>
        <v/>
      </c>
      <c r="C4151" s="120" t="s">
        <v>282</v>
      </c>
      <c r="D4151"/>
      <c r="E4151"/>
      <c r="F4151"/>
      <c r="G4151"/>
      <c r="H4151"/>
      <c r="I4151" s="21" t="str">
        <f t="shared" si="129"/>
        <v/>
      </c>
      <c r="L4151" s="24"/>
      <c r="M4151" s="24"/>
    </row>
    <row r="4152" spans="1:13">
      <c r="A4152" s="10" t="str">
        <f t="shared" si="128"/>
        <v/>
      </c>
      <c r="C4152" s="120" t="s">
        <v>284</v>
      </c>
      <c r="D4152"/>
      <c r="E4152"/>
      <c r="F4152"/>
      <c r="G4152"/>
      <c r="H4152"/>
      <c r="I4152" s="21" t="str">
        <f t="shared" si="129"/>
        <v/>
      </c>
      <c r="L4152" s="24"/>
      <c r="M4152" s="24"/>
    </row>
    <row r="4153" spans="1:13">
      <c r="A4153" s="14" t="str">
        <f t="shared" si="128"/>
        <v/>
      </c>
      <c r="C4153" s="120" t="s">
        <v>286</v>
      </c>
      <c r="D4153"/>
      <c r="E4153"/>
      <c r="F4153"/>
      <c r="G4153"/>
      <c r="H4153"/>
      <c r="I4153" s="21" t="str">
        <f t="shared" si="129"/>
        <v/>
      </c>
      <c r="L4153" s="24"/>
      <c r="M4153" s="24"/>
    </row>
    <row r="4154" spans="1:13">
      <c r="A4154" s="10" t="str">
        <f t="shared" si="128"/>
        <v/>
      </c>
      <c r="C4154" s="120" t="s">
        <v>126</v>
      </c>
      <c r="D4154"/>
      <c r="E4154"/>
      <c r="F4154"/>
      <c r="G4154"/>
      <c r="H4154"/>
      <c r="I4154" s="21" t="str">
        <f t="shared" si="129"/>
        <v/>
      </c>
      <c r="L4154" s="24"/>
      <c r="M4154" s="24"/>
    </row>
    <row r="4155" spans="1:13">
      <c r="A4155" s="14" t="str">
        <f t="shared" si="128"/>
        <v/>
      </c>
      <c r="C4155" s="120" t="s">
        <v>128</v>
      </c>
      <c r="D4155"/>
      <c r="E4155"/>
      <c r="F4155"/>
      <c r="G4155"/>
      <c r="H4155"/>
      <c r="I4155" s="21" t="str">
        <f t="shared" si="129"/>
        <v/>
      </c>
      <c r="L4155" s="24"/>
      <c r="M4155" s="24"/>
    </row>
    <row r="4156" spans="1:13">
      <c r="A4156" s="10" t="str">
        <f t="shared" si="128"/>
        <v/>
      </c>
      <c r="C4156" s="120" t="s">
        <v>280</v>
      </c>
      <c r="D4156"/>
      <c r="E4156"/>
      <c r="F4156"/>
      <c r="G4156"/>
      <c r="H4156"/>
      <c r="I4156" s="21" t="str">
        <f t="shared" si="129"/>
        <v/>
      </c>
      <c r="L4156" s="24"/>
      <c r="M4156" s="24"/>
    </row>
    <row r="4157" spans="1:13">
      <c r="A4157" s="14" t="str">
        <f t="shared" si="128"/>
        <v/>
      </c>
      <c r="C4157" s="120" t="s">
        <v>282</v>
      </c>
      <c r="D4157"/>
      <c r="E4157"/>
      <c r="F4157"/>
      <c r="G4157"/>
      <c r="H4157"/>
      <c r="I4157" s="21" t="str">
        <f t="shared" si="129"/>
        <v/>
      </c>
      <c r="L4157" s="24"/>
      <c r="M4157" s="24"/>
    </row>
    <row r="4158" spans="1:13">
      <c r="A4158" s="10" t="str">
        <f t="shared" si="128"/>
        <v/>
      </c>
      <c r="C4158" s="120" t="s">
        <v>284</v>
      </c>
      <c r="D4158"/>
      <c r="E4158"/>
      <c r="F4158"/>
      <c r="G4158"/>
      <c r="H4158"/>
      <c r="I4158" s="21" t="str">
        <f t="shared" si="129"/>
        <v/>
      </c>
      <c r="L4158" s="24"/>
      <c r="M4158" s="24"/>
    </row>
    <row r="4159" spans="1:13">
      <c r="A4159" s="14" t="str">
        <f t="shared" si="128"/>
        <v/>
      </c>
      <c r="C4159" s="120" t="s">
        <v>286</v>
      </c>
      <c r="D4159"/>
      <c r="E4159"/>
      <c r="F4159"/>
      <c r="G4159"/>
      <c r="H4159"/>
      <c r="I4159" s="21" t="str">
        <f t="shared" si="129"/>
        <v/>
      </c>
      <c r="L4159" s="24"/>
      <c r="M4159" s="24"/>
    </row>
    <row r="4160" spans="1:13">
      <c r="A4160" s="10" t="str">
        <f t="shared" si="128"/>
        <v/>
      </c>
      <c r="C4160" s="120" t="s">
        <v>126</v>
      </c>
      <c r="D4160"/>
      <c r="E4160"/>
      <c r="F4160"/>
      <c r="G4160"/>
      <c r="H4160"/>
      <c r="I4160" s="21" t="str">
        <f t="shared" si="129"/>
        <v/>
      </c>
      <c r="L4160" s="24"/>
      <c r="M4160" s="24"/>
    </row>
    <row r="4161" spans="1:13">
      <c r="A4161" s="14" t="str">
        <f t="shared" si="128"/>
        <v/>
      </c>
      <c r="C4161" s="120" t="s">
        <v>128</v>
      </c>
      <c r="D4161"/>
      <c r="E4161"/>
      <c r="F4161"/>
      <c r="G4161"/>
      <c r="H4161"/>
      <c r="I4161" s="21" t="str">
        <f t="shared" si="129"/>
        <v/>
      </c>
      <c r="L4161" s="24"/>
      <c r="M4161" s="24"/>
    </row>
    <row r="4162" spans="1:13">
      <c r="A4162" s="10" t="str">
        <f t="shared" ref="A4162:A4225" si="130">IF(B4162&lt;&gt;"",ROW()-1,"")</f>
        <v/>
      </c>
      <c r="C4162" s="120" t="s">
        <v>280</v>
      </c>
      <c r="D4162"/>
      <c r="E4162"/>
      <c r="F4162"/>
      <c r="G4162"/>
      <c r="H4162"/>
      <c r="I4162" s="21" t="str">
        <f t="shared" ref="I4162:I4225" si="131">IF(AND(G4162&lt;&gt;"",H4162&lt;&gt;""),H4162-G4162,"")</f>
        <v/>
      </c>
      <c r="L4162" s="24"/>
      <c r="M4162" s="24"/>
    </row>
    <row r="4163" spans="1:13">
      <c r="A4163" s="14" t="str">
        <f t="shared" si="130"/>
        <v/>
      </c>
      <c r="C4163" s="120" t="s">
        <v>282</v>
      </c>
      <c r="D4163"/>
      <c r="E4163"/>
      <c r="F4163"/>
      <c r="G4163"/>
      <c r="H4163"/>
      <c r="I4163" s="21" t="str">
        <f t="shared" si="131"/>
        <v/>
      </c>
      <c r="L4163" s="24"/>
      <c r="M4163" s="24"/>
    </row>
    <row r="4164" spans="1:13">
      <c r="A4164" s="10" t="str">
        <f t="shared" si="130"/>
        <v/>
      </c>
      <c r="C4164" s="120" t="s">
        <v>284</v>
      </c>
      <c r="D4164"/>
      <c r="E4164"/>
      <c r="F4164"/>
      <c r="G4164"/>
      <c r="H4164"/>
      <c r="I4164" s="21" t="str">
        <f t="shared" si="131"/>
        <v/>
      </c>
      <c r="L4164" s="24"/>
      <c r="M4164" s="24"/>
    </row>
    <row r="4165" spans="1:13">
      <c r="A4165" s="14" t="str">
        <f t="shared" si="130"/>
        <v/>
      </c>
      <c r="C4165" s="120" t="s">
        <v>286</v>
      </c>
      <c r="D4165"/>
      <c r="E4165"/>
      <c r="F4165"/>
      <c r="G4165"/>
      <c r="H4165"/>
      <c r="I4165" s="21" t="str">
        <f t="shared" si="131"/>
        <v/>
      </c>
      <c r="L4165" s="24"/>
      <c r="M4165" s="24"/>
    </row>
    <row r="4166" spans="1:13">
      <c r="A4166" s="10" t="str">
        <f t="shared" si="130"/>
        <v/>
      </c>
      <c r="C4166" s="120" t="s">
        <v>126</v>
      </c>
      <c r="D4166"/>
      <c r="E4166"/>
      <c r="F4166"/>
      <c r="G4166"/>
      <c r="H4166"/>
      <c r="I4166" s="21" t="str">
        <f t="shared" si="131"/>
        <v/>
      </c>
      <c r="L4166" s="24"/>
      <c r="M4166" s="24"/>
    </row>
    <row r="4167" spans="1:13">
      <c r="A4167" s="14" t="str">
        <f t="shared" si="130"/>
        <v/>
      </c>
      <c r="C4167" s="120" t="s">
        <v>128</v>
      </c>
      <c r="D4167"/>
      <c r="E4167"/>
      <c r="F4167"/>
      <c r="G4167"/>
      <c r="H4167"/>
      <c r="I4167" s="21" t="str">
        <f t="shared" si="131"/>
        <v/>
      </c>
      <c r="L4167" s="24"/>
      <c r="M4167" s="24"/>
    </row>
    <row r="4168" spans="1:13">
      <c r="A4168" s="10" t="str">
        <f t="shared" si="130"/>
        <v/>
      </c>
      <c r="C4168" s="120" t="s">
        <v>280</v>
      </c>
      <c r="D4168"/>
      <c r="E4168"/>
      <c r="F4168"/>
      <c r="G4168"/>
      <c r="H4168"/>
      <c r="I4168" s="21" t="str">
        <f t="shared" si="131"/>
        <v/>
      </c>
      <c r="L4168" s="24"/>
      <c r="M4168" s="24"/>
    </row>
    <row r="4169" spans="1:13">
      <c r="A4169" s="14" t="str">
        <f t="shared" si="130"/>
        <v/>
      </c>
      <c r="C4169" s="120" t="s">
        <v>282</v>
      </c>
      <c r="D4169"/>
      <c r="E4169"/>
      <c r="F4169"/>
      <c r="G4169"/>
      <c r="H4169"/>
      <c r="I4169" s="21" t="str">
        <f t="shared" si="131"/>
        <v/>
      </c>
      <c r="L4169" s="24"/>
      <c r="M4169" s="24"/>
    </row>
    <row r="4170" spans="1:13">
      <c r="A4170" s="10" t="str">
        <f t="shared" si="130"/>
        <v/>
      </c>
      <c r="C4170" s="120" t="s">
        <v>284</v>
      </c>
      <c r="D4170"/>
      <c r="E4170"/>
      <c r="F4170"/>
      <c r="G4170"/>
      <c r="H4170"/>
      <c r="I4170" s="21" t="str">
        <f t="shared" si="131"/>
        <v/>
      </c>
      <c r="L4170" s="24"/>
      <c r="M4170" s="24"/>
    </row>
    <row r="4171" spans="1:13">
      <c r="A4171" s="14" t="str">
        <f t="shared" si="130"/>
        <v/>
      </c>
      <c r="C4171" s="120" t="s">
        <v>286</v>
      </c>
      <c r="D4171"/>
      <c r="E4171"/>
      <c r="F4171"/>
      <c r="G4171"/>
      <c r="H4171"/>
      <c r="I4171" s="21" t="str">
        <f t="shared" si="131"/>
        <v/>
      </c>
      <c r="L4171" s="24"/>
      <c r="M4171" s="24"/>
    </row>
    <row r="4172" spans="1:13">
      <c r="A4172" s="10" t="str">
        <f t="shared" si="130"/>
        <v/>
      </c>
      <c r="C4172" s="120" t="s">
        <v>126</v>
      </c>
      <c r="D4172"/>
      <c r="E4172"/>
      <c r="F4172"/>
      <c r="G4172"/>
      <c r="H4172"/>
      <c r="I4172" s="21" t="str">
        <f t="shared" si="131"/>
        <v/>
      </c>
      <c r="L4172" s="24"/>
      <c r="M4172" s="24"/>
    </row>
    <row r="4173" spans="1:13">
      <c r="A4173" s="14" t="str">
        <f t="shared" si="130"/>
        <v/>
      </c>
      <c r="C4173" s="120" t="s">
        <v>128</v>
      </c>
      <c r="D4173"/>
      <c r="E4173"/>
      <c r="F4173"/>
      <c r="G4173"/>
      <c r="H4173"/>
      <c r="I4173" s="21" t="str">
        <f t="shared" si="131"/>
        <v/>
      </c>
      <c r="L4173" s="24"/>
      <c r="M4173" s="24"/>
    </row>
    <row r="4174" spans="1:13">
      <c r="A4174" s="10" t="str">
        <f t="shared" si="130"/>
        <v/>
      </c>
      <c r="C4174" s="120" t="s">
        <v>280</v>
      </c>
      <c r="D4174"/>
      <c r="E4174"/>
      <c r="F4174"/>
      <c r="G4174"/>
      <c r="H4174"/>
      <c r="I4174" s="21" t="str">
        <f t="shared" si="131"/>
        <v/>
      </c>
      <c r="L4174" s="24"/>
      <c r="M4174" s="24"/>
    </row>
    <row r="4175" spans="1:13">
      <c r="A4175" s="14" t="str">
        <f t="shared" si="130"/>
        <v/>
      </c>
      <c r="C4175" s="120" t="s">
        <v>282</v>
      </c>
      <c r="D4175"/>
      <c r="E4175"/>
      <c r="F4175"/>
      <c r="G4175"/>
      <c r="H4175"/>
      <c r="I4175" s="21" t="str">
        <f t="shared" si="131"/>
        <v/>
      </c>
      <c r="L4175" s="24"/>
      <c r="M4175" s="24"/>
    </row>
    <row r="4176" spans="1:13">
      <c r="A4176" s="10" t="str">
        <f t="shared" si="130"/>
        <v/>
      </c>
      <c r="C4176" s="120" t="s">
        <v>284</v>
      </c>
      <c r="D4176"/>
      <c r="E4176"/>
      <c r="F4176"/>
      <c r="G4176"/>
      <c r="H4176"/>
      <c r="I4176" s="21" t="str">
        <f t="shared" si="131"/>
        <v/>
      </c>
      <c r="L4176" s="24"/>
      <c r="M4176" s="24"/>
    </row>
    <row r="4177" spans="1:13">
      <c r="A4177" s="14" t="str">
        <f t="shared" si="130"/>
        <v/>
      </c>
      <c r="C4177" s="120" t="s">
        <v>286</v>
      </c>
      <c r="D4177"/>
      <c r="E4177"/>
      <c r="F4177"/>
      <c r="G4177"/>
      <c r="H4177"/>
      <c r="I4177" s="21" t="str">
        <f t="shared" si="131"/>
        <v/>
      </c>
      <c r="L4177" s="24"/>
      <c r="M4177" s="24"/>
    </row>
    <row r="4178" spans="1:13">
      <c r="A4178" s="10" t="str">
        <f t="shared" si="130"/>
        <v/>
      </c>
      <c r="C4178" s="120" t="s">
        <v>126</v>
      </c>
      <c r="D4178"/>
      <c r="E4178"/>
      <c r="F4178"/>
      <c r="G4178"/>
      <c r="H4178"/>
      <c r="I4178" s="21" t="str">
        <f t="shared" si="131"/>
        <v/>
      </c>
      <c r="L4178" s="24"/>
      <c r="M4178" s="24"/>
    </row>
    <row r="4179" spans="1:13">
      <c r="A4179" s="14" t="str">
        <f t="shared" si="130"/>
        <v/>
      </c>
      <c r="C4179" s="120" t="s">
        <v>128</v>
      </c>
      <c r="D4179"/>
      <c r="E4179"/>
      <c r="F4179"/>
      <c r="G4179"/>
      <c r="H4179"/>
      <c r="I4179" s="21" t="str">
        <f t="shared" si="131"/>
        <v/>
      </c>
      <c r="L4179" s="24"/>
      <c r="M4179" s="24"/>
    </row>
    <row r="4180" spans="1:13">
      <c r="A4180" s="10" t="str">
        <f t="shared" si="130"/>
        <v/>
      </c>
      <c r="C4180" s="120" t="s">
        <v>280</v>
      </c>
      <c r="D4180"/>
      <c r="E4180"/>
      <c r="F4180"/>
      <c r="G4180"/>
      <c r="H4180"/>
      <c r="I4180" s="21" t="str">
        <f t="shared" si="131"/>
        <v/>
      </c>
      <c r="L4180" s="24"/>
      <c r="M4180" s="24"/>
    </row>
    <row r="4181" spans="1:13">
      <c r="A4181" s="14" t="str">
        <f t="shared" si="130"/>
        <v/>
      </c>
      <c r="C4181" s="120" t="s">
        <v>282</v>
      </c>
      <c r="D4181"/>
      <c r="E4181"/>
      <c r="F4181"/>
      <c r="G4181"/>
      <c r="H4181"/>
      <c r="I4181" s="21" t="str">
        <f t="shared" si="131"/>
        <v/>
      </c>
      <c r="L4181" s="24"/>
      <c r="M4181" s="24"/>
    </row>
    <row r="4182" spans="1:13">
      <c r="A4182" s="10" t="str">
        <f t="shared" si="130"/>
        <v/>
      </c>
      <c r="C4182" s="120" t="s">
        <v>284</v>
      </c>
      <c r="D4182"/>
      <c r="E4182"/>
      <c r="F4182"/>
      <c r="G4182"/>
      <c r="H4182"/>
      <c r="I4182" s="21" t="str">
        <f t="shared" si="131"/>
        <v/>
      </c>
      <c r="L4182" s="24"/>
      <c r="M4182" s="24"/>
    </row>
    <row r="4183" spans="1:13">
      <c r="A4183" s="14" t="str">
        <f t="shared" si="130"/>
        <v/>
      </c>
      <c r="C4183" s="120" t="s">
        <v>286</v>
      </c>
      <c r="D4183"/>
      <c r="E4183"/>
      <c r="F4183"/>
      <c r="G4183"/>
      <c r="H4183"/>
      <c r="I4183" s="21" t="str">
        <f t="shared" si="131"/>
        <v/>
      </c>
      <c r="L4183" s="24"/>
      <c r="M4183" s="24"/>
    </row>
    <row r="4184" spans="1:13">
      <c r="A4184" s="10" t="str">
        <f t="shared" si="130"/>
        <v/>
      </c>
      <c r="C4184" s="120" t="s">
        <v>126</v>
      </c>
      <c r="D4184"/>
      <c r="E4184"/>
      <c r="F4184"/>
      <c r="G4184"/>
      <c r="H4184"/>
      <c r="I4184" s="21" t="str">
        <f t="shared" si="131"/>
        <v/>
      </c>
      <c r="L4184" s="24"/>
      <c r="M4184" s="24"/>
    </row>
    <row r="4185" spans="1:13">
      <c r="A4185" s="14" t="str">
        <f t="shared" si="130"/>
        <v/>
      </c>
      <c r="C4185" s="120" t="s">
        <v>128</v>
      </c>
      <c r="D4185"/>
      <c r="E4185"/>
      <c r="F4185"/>
      <c r="G4185"/>
      <c r="H4185"/>
      <c r="I4185" s="21" t="str">
        <f t="shared" si="131"/>
        <v/>
      </c>
      <c r="L4185" s="24"/>
      <c r="M4185" s="24"/>
    </row>
    <row r="4186" spans="1:13">
      <c r="A4186" s="10" t="str">
        <f t="shared" si="130"/>
        <v/>
      </c>
      <c r="C4186" s="120" t="s">
        <v>280</v>
      </c>
      <c r="D4186"/>
      <c r="E4186"/>
      <c r="F4186"/>
      <c r="G4186"/>
      <c r="H4186"/>
      <c r="I4186" s="21" t="str">
        <f t="shared" si="131"/>
        <v/>
      </c>
      <c r="L4186" s="24"/>
      <c r="M4186" s="24"/>
    </row>
    <row r="4187" spans="1:13">
      <c r="A4187" s="14" t="str">
        <f t="shared" si="130"/>
        <v/>
      </c>
      <c r="C4187" s="120" t="s">
        <v>282</v>
      </c>
      <c r="D4187"/>
      <c r="E4187"/>
      <c r="F4187"/>
      <c r="G4187"/>
      <c r="H4187"/>
      <c r="I4187" s="21" t="str">
        <f t="shared" si="131"/>
        <v/>
      </c>
      <c r="L4187" s="24"/>
      <c r="M4187" s="24"/>
    </row>
    <row r="4188" spans="1:13">
      <c r="A4188" s="10" t="str">
        <f t="shared" si="130"/>
        <v/>
      </c>
      <c r="C4188" s="120" t="s">
        <v>284</v>
      </c>
      <c r="D4188"/>
      <c r="E4188"/>
      <c r="F4188"/>
      <c r="G4188"/>
      <c r="H4188"/>
      <c r="I4188" s="21" t="str">
        <f t="shared" si="131"/>
        <v/>
      </c>
      <c r="L4188" s="24"/>
      <c r="M4188" s="24"/>
    </row>
    <row r="4189" spans="1:13">
      <c r="A4189" s="14" t="str">
        <f t="shared" si="130"/>
        <v/>
      </c>
      <c r="C4189" s="120" t="s">
        <v>286</v>
      </c>
      <c r="D4189"/>
      <c r="E4189"/>
      <c r="F4189"/>
      <c r="G4189"/>
      <c r="H4189"/>
      <c r="I4189" s="21" t="str">
        <f t="shared" si="131"/>
        <v/>
      </c>
      <c r="L4189" s="24"/>
      <c r="M4189" s="24"/>
    </row>
    <row r="4190" spans="1:13">
      <c r="A4190" s="10" t="str">
        <f t="shared" si="130"/>
        <v/>
      </c>
      <c r="C4190" s="120" t="s">
        <v>126</v>
      </c>
      <c r="D4190"/>
      <c r="E4190"/>
      <c r="F4190"/>
      <c r="G4190"/>
      <c r="H4190"/>
      <c r="I4190" s="21" t="str">
        <f t="shared" si="131"/>
        <v/>
      </c>
      <c r="L4190" s="24"/>
      <c r="M4190" s="24"/>
    </row>
    <row r="4191" spans="1:13">
      <c r="A4191" s="14" t="str">
        <f t="shared" si="130"/>
        <v/>
      </c>
      <c r="C4191" s="120" t="s">
        <v>128</v>
      </c>
      <c r="D4191"/>
      <c r="E4191"/>
      <c r="F4191"/>
      <c r="G4191"/>
      <c r="H4191"/>
      <c r="I4191" s="21" t="str">
        <f t="shared" si="131"/>
        <v/>
      </c>
      <c r="L4191" s="24"/>
      <c r="M4191" s="24"/>
    </row>
    <row r="4192" spans="1:13">
      <c r="A4192" s="10" t="str">
        <f t="shared" si="130"/>
        <v/>
      </c>
      <c r="C4192" s="120" t="s">
        <v>280</v>
      </c>
      <c r="D4192"/>
      <c r="E4192"/>
      <c r="F4192"/>
      <c r="G4192"/>
      <c r="H4192"/>
      <c r="I4192" s="21" t="str">
        <f t="shared" si="131"/>
        <v/>
      </c>
      <c r="L4192" s="24"/>
      <c r="M4192" s="24"/>
    </row>
    <row r="4193" spans="1:13">
      <c r="A4193" s="14" t="str">
        <f t="shared" si="130"/>
        <v/>
      </c>
      <c r="C4193" s="120" t="s">
        <v>282</v>
      </c>
      <c r="D4193"/>
      <c r="E4193"/>
      <c r="F4193"/>
      <c r="G4193"/>
      <c r="H4193"/>
      <c r="I4193" s="21" t="str">
        <f t="shared" si="131"/>
        <v/>
      </c>
      <c r="L4193" s="24"/>
      <c r="M4193" s="24"/>
    </row>
    <row r="4194" spans="1:13">
      <c r="A4194" s="10" t="str">
        <f t="shared" si="130"/>
        <v/>
      </c>
      <c r="C4194" s="120" t="s">
        <v>284</v>
      </c>
      <c r="D4194"/>
      <c r="E4194"/>
      <c r="F4194"/>
      <c r="G4194"/>
      <c r="H4194"/>
      <c r="I4194" s="21" t="str">
        <f t="shared" si="131"/>
        <v/>
      </c>
      <c r="L4194" s="24"/>
      <c r="M4194" s="24"/>
    </row>
    <row r="4195" spans="1:13">
      <c r="A4195" s="14" t="str">
        <f t="shared" si="130"/>
        <v/>
      </c>
      <c r="C4195" s="120" t="s">
        <v>286</v>
      </c>
      <c r="D4195"/>
      <c r="E4195"/>
      <c r="F4195"/>
      <c r="G4195"/>
      <c r="H4195"/>
      <c r="I4195" s="21" t="str">
        <f t="shared" si="131"/>
        <v/>
      </c>
      <c r="L4195" s="24"/>
      <c r="M4195" s="24"/>
    </row>
    <row r="4196" spans="1:13">
      <c r="A4196" s="10" t="str">
        <f t="shared" si="130"/>
        <v/>
      </c>
      <c r="C4196" s="120" t="s">
        <v>126</v>
      </c>
      <c r="D4196"/>
      <c r="E4196"/>
      <c r="F4196"/>
      <c r="G4196"/>
      <c r="H4196"/>
      <c r="I4196" s="21" t="str">
        <f t="shared" si="131"/>
        <v/>
      </c>
      <c r="L4196" s="24"/>
      <c r="M4196" s="24"/>
    </row>
    <row r="4197" spans="1:13">
      <c r="A4197" s="14" t="str">
        <f t="shared" si="130"/>
        <v/>
      </c>
      <c r="C4197" s="120" t="s">
        <v>128</v>
      </c>
      <c r="D4197"/>
      <c r="E4197"/>
      <c r="F4197"/>
      <c r="G4197"/>
      <c r="H4197"/>
      <c r="I4197" s="21" t="str">
        <f t="shared" si="131"/>
        <v/>
      </c>
      <c r="L4197" s="24"/>
      <c r="M4197" s="24"/>
    </row>
    <row r="4198" spans="1:13">
      <c r="A4198" s="10" t="str">
        <f t="shared" si="130"/>
        <v/>
      </c>
      <c r="C4198" s="120" t="s">
        <v>280</v>
      </c>
      <c r="D4198"/>
      <c r="E4198"/>
      <c r="F4198"/>
      <c r="G4198"/>
      <c r="H4198"/>
      <c r="I4198" s="21" t="str">
        <f t="shared" si="131"/>
        <v/>
      </c>
      <c r="L4198" s="24"/>
      <c r="M4198" s="24"/>
    </row>
    <row r="4199" spans="1:13">
      <c r="A4199" s="14" t="str">
        <f t="shared" si="130"/>
        <v/>
      </c>
      <c r="C4199" s="120" t="s">
        <v>282</v>
      </c>
      <c r="D4199"/>
      <c r="E4199"/>
      <c r="F4199"/>
      <c r="G4199"/>
      <c r="H4199"/>
      <c r="I4199" s="21" t="str">
        <f t="shared" si="131"/>
        <v/>
      </c>
      <c r="L4199" s="24"/>
      <c r="M4199" s="24"/>
    </row>
    <row r="4200" spans="1:13">
      <c r="A4200" s="10" t="str">
        <f t="shared" si="130"/>
        <v/>
      </c>
      <c r="C4200" s="120" t="s">
        <v>284</v>
      </c>
      <c r="D4200"/>
      <c r="E4200"/>
      <c r="F4200"/>
      <c r="G4200"/>
      <c r="H4200"/>
      <c r="I4200" s="21" t="str">
        <f t="shared" si="131"/>
        <v/>
      </c>
      <c r="L4200" s="24"/>
      <c r="M4200" s="24"/>
    </row>
    <row r="4201" spans="1:13">
      <c r="A4201" s="14" t="str">
        <f t="shared" si="130"/>
        <v/>
      </c>
      <c r="C4201" s="120" t="s">
        <v>286</v>
      </c>
      <c r="D4201"/>
      <c r="E4201"/>
      <c r="F4201"/>
      <c r="G4201"/>
      <c r="H4201"/>
      <c r="I4201" s="21" t="str">
        <f t="shared" si="131"/>
        <v/>
      </c>
      <c r="L4201" s="24"/>
      <c r="M4201" s="24"/>
    </row>
    <row r="4202" spans="1:13">
      <c r="A4202" s="10" t="str">
        <f t="shared" si="130"/>
        <v/>
      </c>
      <c r="C4202" s="120" t="s">
        <v>126</v>
      </c>
      <c r="D4202"/>
      <c r="E4202"/>
      <c r="F4202"/>
      <c r="G4202"/>
      <c r="H4202"/>
      <c r="I4202" s="21" t="str">
        <f t="shared" si="131"/>
        <v/>
      </c>
      <c r="L4202" s="24"/>
      <c r="M4202" s="24"/>
    </row>
    <row r="4203" spans="1:13">
      <c r="A4203" s="14" t="str">
        <f t="shared" si="130"/>
        <v/>
      </c>
      <c r="C4203" s="120" t="s">
        <v>128</v>
      </c>
      <c r="D4203"/>
      <c r="E4203"/>
      <c r="F4203"/>
      <c r="G4203"/>
      <c r="H4203"/>
      <c r="I4203" s="21" t="str">
        <f t="shared" si="131"/>
        <v/>
      </c>
      <c r="L4203" s="24"/>
      <c r="M4203" s="24"/>
    </row>
    <row r="4204" spans="1:13">
      <c r="A4204" s="10" t="str">
        <f t="shared" si="130"/>
        <v/>
      </c>
      <c r="C4204" s="120" t="s">
        <v>280</v>
      </c>
      <c r="D4204"/>
      <c r="E4204"/>
      <c r="F4204"/>
      <c r="G4204"/>
      <c r="H4204"/>
      <c r="I4204" s="21" t="str">
        <f t="shared" si="131"/>
        <v/>
      </c>
      <c r="L4204" s="24"/>
      <c r="M4204" s="24"/>
    </row>
    <row r="4205" spans="1:13">
      <c r="A4205" s="14" t="str">
        <f t="shared" si="130"/>
        <v/>
      </c>
      <c r="C4205" s="120" t="s">
        <v>282</v>
      </c>
      <c r="D4205"/>
      <c r="E4205"/>
      <c r="F4205"/>
      <c r="G4205"/>
      <c r="H4205"/>
      <c r="I4205" s="21" t="str">
        <f t="shared" si="131"/>
        <v/>
      </c>
      <c r="L4205" s="24"/>
      <c r="M4205" s="24"/>
    </row>
    <row r="4206" spans="1:13">
      <c r="A4206" s="10" t="str">
        <f t="shared" si="130"/>
        <v/>
      </c>
      <c r="C4206" s="120" t="s">
        <v>284</v>
      </c>
      <c r="D4206"/>
      <c r="E4206"/>
      <c r="F4206"/>
      <c r="G4206"/>
      <c r="H4206"/>
      <c r="I4206" s="21" t="str">
        <f t="shared" si="131"/>
        <v/>
      </c>
      <c r="L4206" s="24"/>
      <c r="M4206" s="24"/>
    </row>
    <row r="4207" spans="1:13">
      <c r="A4207" s="14" t="str">
        <f t="shared" si="130"/>
        <v/>
      </c>
      <c r="C4207" s="120" t="s">
        <v>286</v>
      </c>
      <c r="D4207"/>
      <c r="E4207"/>
      <c r="F4207"/>
      <c r="G4207"/>
      <c r="H4207"/>
      <c r="I4207" s="21" t="str">
        <f t="shared" si="131"/>
        <v/>
      </c>
      <c r="L4207" s="24"/>
      <c r="M4207" s="24"/>
    </row>
    <row r="4208" spans="1:13">
      <c r="A4208" s="10" t="str">
        <f t="shared" si="130"/>
        <v/>
      </c>
      <c r="C4208" s="120" t="s">
        <v>126</v>
      </c>
      <c r="D4208"/>
      <c r="E4208"/>
      <c r="F4208"/>
      <c r="G4208"/>
      <c r="H4208"/>
      <c r="I4208" s="21" t="str">
        <f t="shared" si="131"/>
        <v/>
      </c>
      <c r="L4208" s="24"/>
      <c r="M4208" s="24"/>
    </row>
    <row r="4209" spans="1:13">
      <c r="A4209" s="14" t="str">
        <f t="shared" si="130"/>
        <v/>
      </c>
      <c r="C4209" s="120" t="s">
        <v>128</v>
      </c>
      <c r="D4209"/>
      <c r="E4209"/>
      <c r="F4209"/>
      <c r="G4209"/>
      <c r="H4209"/>
      <c r="I4209" s="21" t="str">
        <f t="shared" si="131"/>
        <v/>
      </c>
      <c r="L4209" s="24"/>
      <c r="M4209" s="24"/>
    </row>
    <row r="4210" spans="1:13">
      <c r="A4210" s="10" t="str">
        <f t="shared" si="130"/>
        <v/>
      </c>
      <c r="C4210" s="120" t="s">
        <v>280</v>
      </c>
      <c r="D4210"/>
      <c r="E4210"/>
      <c r="F4210"/>
      <c r="G4210"/>
      <c r="H4210"/>
      <c r="I4210" s="21" t="str">
        <f t="shared" si="131"/>
        <v/>
      </c>
      <c r="L4210" s="24"/>
      <c r="M4210" s="24"/>
    </row>
    <row r="4211" spans="1:13">
      <c r="A4211" s="14" t="str">
        <f t="shared" si="130"/>
        <v/>
      </c>
      <c r="C4211" s="120" t="s">
        <v>282</v>
      </c>
      <c r="D4211"/>
      <c r="E4211"/>
      <c r="F4211"/>
      <c r="G4211"/>
      <c r="H4211"/>
      <c r="I4211" s="21" t="str">
        <f t="shared" si="131"/>
        <v/>
      </c>
      <c r="L4211" s="24"/>
      <c r="M4211" s="24"/>
    </row>
    <row r="4212" spans="1:13">
      <c r="A4212" s="10" t="str">
        <f t="shared" si="130"/>
        <v/>
      </c>
      <c r="C4212" s="120" t="s">
        <v>284</v>
      </c>
      <c r="D4212"/>
      <c r="E4212"/>
      <c r="F4212"/>
      <c r="G4212"/>
      <c r="H4212"/>
      <c r="I4212" s="21" t="str">
        <f t="shared" si="131"/>
        <v/>
      </c>
      <c r="L4212" s="24"/>
      <c r="M4212" s="24"/>
    </row>
    <row r="4213" spans="1:13">
      <c r="A4213" s="14" t="str">
        <f t="shared" si="130"/>
        <v/>
      </c>
      <c r="C4213" s="120" t="s">
        <v>286</v>
      </c>
      <c r="D4213"/>
      <c r="E4213"/>
      <c r="F4213"/>
      <c r="G4213"/>
      <c r="H4213"/>
      <c r="I4213" s="21" t="str">
        <f t="shared" si="131"/>
        <v/>
      </c>
      <c r="L4213" s="24"/>
      <c r="M4213" s="24"/>
    </row>
    <row r="4214" spans="1:13">
      <c r="A4214" s="10" t="str">
        <f t="shared" si="130"/>
        <v/>
      </c>
      <c r="C4214" s="120" t="s">
        <v>126</v>
      </c>
      <c r="D4214"/>
      <c r="E4214"/>
      <c r="F4214"/>
      <c r="G4214"/>
      <c r="H4214"/>
      <c r="I4214" s="21" t="str">
        <f t="shared" si="131"/>
        <v/>
      </c>
      <c r="L4214" s="24"/>
      <c r="M4214" s="24"/>
    </row>
    <row r="4215" spans="1:13">
      <c r="A4215" s="14" t="str">
        <f t="shared" si="130"/>
        <v/>
      </c>
      <c r="C4215" s="120" t="s">
        <v>128</v>
      </c>
      <c r="D4215"/>
      <c r="E4215"/>
      <c r="F4215"/>
      <c r="G4215"/>
      <c r="H4215"/>
      <c r="I4215" s="21" t="str">
        <f t="shared" si="131"/>
        <v/>
      </c>
      <c r="L4215" s="24"/>
      <c r="M4215" s="24"/>
    </row>
    <row r="4216" spans="1:13">
      <c r="A4216" s="10" t="str">
        <f t="shared" si="130"/>
        <v/>
      </c>
      <c r="C4216" s="120" t="s">
        <v>280</v>
      </c>
      <c r="D4216"/>
      <c r="E4216"/>
      <c r="F4216"/>
      <c r="G4216"/>
      <c r="H4216"/>
      <c r="I4216" s="21" t="str">
        <f t="shared" si="131"/>
        <v/>
      </c>
      <c r="L4216" s="24"/>
      <c r="M4216" s="24"/>
    </row>
    <row r="4217" spans="1:13">
      <c r="A4217" s="14" t="str">
        <f t="shared" si="130"/>
        <v/>
      </c>
      <c r="C4217" s="120" t="s">
        <v>282</v>
      </c>
      <c r="D4217"/>
      <c r="E4217"/>
      <c r="F4217"/>
      <c r="G4217"/>
      <c r="H4217"/>
      <c r="I4217" s="21" t="str">
        <f t="shared" si="131"/>
        <v/>
      </c>
      <c r="L4217" s="24"/>
      <c r="M4217" s="24"/>
    </row>
    <row r="4218" spans="1:13">
      <c r="A4218" s="10" t="str">
        <f t="shared" si="130"/>
        <v/>
      </c>
      <c r="C4218" s="120" t="s">
        <v>284</v>
      </c>
      <c r="D4218"/>
      <c r="E4218"/>
      <c r="F4218"/>
      <c r="G4218"/>
      <c r="H4218"/>
      <c r="I4218" s="21" t="str">
        <f t="shared" si="131"/>
        <v/>
      </c>
      <c r="L4218" s="24"/>
      <c r="M4218" s="24"/>
    </row>
    <row r="4219" spans="1:13">
      <c r="A4219" s="14" t="str">
        <f t="shared" si="130"/>
        <v/>
      </c>
      <c r="C4219" s="120" t="s">
        <v>286</v>
      </c>
      <c r="D4219"/>
      <c r="E4219"/>
      <c r="F4219"/>
      <c r="G4219"/>
      <c r="H4219"/>
      <c r="I4219" s="21" t="str">
        <f t="shared" si="131"/>
        <v/>
      </c>
      <c r="L4219" s="24"/>
      <c r="M4219" s="24"/>
    </row>
    <row r="4220" spans="1:13">
      <c r="A4220" s="10" t="str">
        <f t="shared" si="130"/>
        <v/>
      </c>
      <c r="C4220" s="120" t="s">
        <v>126</v>
      </c>
      <c r="D4220"/>
      <c r="E4220"/>
      <c r="F4220"/>
      <c r="G4220"/>
      <c r="H4220"/>
      <c r="I4220" s="21" t="str">
        <f t="shared" si="131"/>
        <v/>
      </c>
      <c r="L4220" s="24"/>
      <c r="M4220" s="24"/>
    </row>
    <row r="4221" spans="1:13">
      <c r="A4221" s="14" t="str">
        <f t="shared" si="130"/>
        <v/>
      </c>
      <c r="C4221" s="120" t="s">
        <v>128</v>
      </c>
      <c r="D4221"/>
      <c r="E4221"/>
      <c r="F4221"/>
      <c r="G4221"/>
      <c r="H4221"/>
      <c r="I4221" s="21" t="str">
        <f t="shared" si="131"/>
        <v/>
      </c>
      <c r="L4221" s="24"/>
      <c r="M4221" s="24"/>
    </row>
    <row r="4222" spans="1:13">
      <c r="A4222" s="10" t="str">
        <f t="shared" si="130"/>
        <v/>
      </c>
      <c r="C4222" s="120" t="s">
        <v>280</v>
      </c>
      <c r="D4222"/>
      <c r="E4222"/>
      <c r="F4222"/>
      <c r="G4222"/>
      <c r="H4222"/>
      <c r="I4222" s="21" t="str">
        <f t="shared" si="131"/>
        <v/>
      </c>
      <c r="L4222" s="24"/>
      <c r="M4222" s="24"/>
    </row>
    <row r="4223" spans="1:13">
      <c r="A4223" s="14" t="str">
        <f t="shared" si="130"/>
        <v/>
      </c>
      <c r="C4223" s="120" t="s">
        <v>282</v>
      </c>
      <c r="D4223"/>
      <c r="E4223"/>
      <c r="F4223"/>
      <c r="G4223"/>
      <c r="H4223"/>
      <c r="I4223" s="21" t="str">
        <f t="shared" si="131"/>
        <v/>
      </c>
      <c r="L4223" s="24"/>
      <c r="M4223" s="24"/>
    </row>
    <row r="4224" spans="1:13">
      <c r="A4224" s="10" t="str">
        <f t="shared" si="130"/>
        <v/>
      </c>
      <c r="C4224" s="120" t="s">
        <v>284</v>
      </c>
      <c r="D4224"/>
      <c r="E4224"/>
      <c r="F4224"/>
      <c r="G4224"/>
      <c r="H4224"/>
      <c r="I4224" s="21" t="str">
        <f t="shared" si="131"/>
        <v/>
      </c>
      <c r="L4224" s="24"/>
      <c r="M4224" s="24"/>
    </row>
    <row r="4225" spans="1:13">
      <c r="A4225" s="14" t="str">
        <f t="shared" si="130"/>
        <v/>
      </c>
      <c r="C4225" s="120" t="s">
        <v>286</v>
      </c>
      <c r="D4225"/>
      <c r="E4225"/>
      <c r="F4225"/>
      <c r="G4225"/>
      <c r="H4225"/>
      <c r="I4225" s="21" t="str">
        <f t="shared" si="131"/>
        <v/>
      </c>
      <c r="L4225" s="24"/>
      <c r="M4225" s="24"/>
    </row>
    <row r="4226" spans="1:13">
      <c r="A4226" s="10" t="str">
        <f t="shared" ref="A4226:A4289" si="132">IF(B4226&lt;&gt;"",ROW()-1,"")</f>
        <v/>
      </c>
      <c r="C4226" s="120" t="s">
        <v>126</v>
      </c>
      <c r="D4226"/>
      <c r="E4226"/>
      <c r="F4226"/>
      <c r="G4226"/>
      <c r="H4226"/>
      <c r="I4226" s="21" t="str">
        <f t="shared" ref="I4226:I4289" si="133">IF(AND(G4226&lt;&gt;"",H4226&lt;&gt;""),H4226-G4226,"")</f>
        <v/>
      </c>
      <c r="L4226" s="24"/>
      <c r="M4226" s="24"/>
    </row>
    <row r="4227" spans="1:13">
      <c r="A4227" s="14" t="str">
        <f t="shared" si="132"/>
        <v/>
      </c>
      <c r="C4227" s="120" t="s">
        <v>128</v>
      </c>
      <c r="D4227"/>
      <c r="E4227"/>
      <c r="F4227"/>
      <c r="G4227"/>
      <c r="H4227"/>
      <c r="I4227" s="21" t="str">
        <f t="shared" si="133"/>
        <v/>
      </c>
      <c r="L4227" s="24"/>
      <c r="M4227" s="24"/>
    </row>
    <row r="4228" spans="1:13">
      <c r="A4228" s="10" t="str">
        <f t="shared" si="132"/>
        <v/>
      </c>
      <c r="C4228" s="120" t="s">
        <v>280</v>
      </c>
      <c r="D4228"/>
      <c r="E4228"/>
      <c r="F4228"/>
      <c r="G4228"/>
      <c r="H4228"/>
      <c r="I4228" s="21" t="str">
        <f t="shared" si="133"/>
        <v/>
      </c>
      <c r="L4228" s="24"/>
      <c r="M4228" s="24"/>
    </row>
    <row r="4229" spans="1:13">
      <c r="A4229" s="14" t="str">
        <f t="shared" si="132"/>
        <v/>
      </c>
      <c r="C4229" s="120" t="s">
        <v>282</v>
      </c>
      <c r="D4229"/>
      <c r="E4229"/>
      <c r="F4229"/>
      <c r="G4229"/>
      <c r="H4229"/>
      <c r="I4229" s="21" t="str">
        <f t="shared" si="133"/>
        <v/>
      </c>
      <c r="L4229" s="24"/>
      <c r="M4229" s="24"/>
    </row>
    <row r="4230" spans="1:13">
      <c r="A4230" s="10" t="str">
        <f t="shared" si="132"/>
        <v/>
      </c>
      <c r="C4230" s="120" t="s">
        <v>284</v>
      </c>
      <c r="D4230"/>
      <c r="E4230"/>
      <c r="F4230"/>
      <c r="G4230"/>
      <c r="H4230"/>
      <c r="I4230" s="21" t="str">
        <f t="shared" si="133"/>
        <v/>
      </c>
      <c r="L4230" s="24"/>
      <c r="M4230" s="24"/>
    </row>
    <row r="4231" spans="1:13">
      <c r="A4231" s="14" t="str">
        <f t="shared" si="132"/>
        <v/>
      </c>
      <c r="C4231" s="120" t="s">
        <v>286</v>
      </c>
      <c r="D4231"/>
      <c r="E4231"/>
      <c r="F4231"/>
      <c r="G4231"/>
      <c r="H4231"/>
      <c r="I4231" s="21" t="str">
        <f t="shared" si="133"/>
        <v/>
      </c>
      <c r="L4231" s="24"/>
      <c r="M4231" s="24"/>
    </row>
    <row r="4232" spans="1:13">
      <c r="A4232" s="10" t="str">
        <f t="shared" si="132"/>
        <v/>
      </c>
      <c r="C4232" s="120" t="s">
        <v>126</v>
      </c>
      <c r="D4232"/>
      <c r="E4232"/>
      <c r="F4232"/>
      <c r="G4232"/>
      <c r="H4232"/>
      <c r="I4232" s="21" t="str">
        <f t="shared" si="133"/>
        <v/>
      </c>
      <c r="L4232" s="24"/>
      <c r="M4232" s="24"/>
    </row>
    <row r="4233" spans="1:13">
      <c r="A4233" s="14" t="str">
        <f t="shared" si="132"/>
        <v/>
      </c>
      <c r="C4233" s="120" t="s">
        <v>128</v>
      </c>
      <c r="D4233"/>
      <c r="E4233"/>
      <c r="F4233"/>
      <c r="G4233"/>
      <c r="H4233"/>
      <c r="I4233" s="21" t="str">
        <f t="shared" si="133"/>
        <v/>
      </c>
      <c r="L4233" s="24"/>
      <c r="M4233" s="24"/>
    </row>
    <row r="4234" spans="1:13">
      <c r="A4234" s="10" t="str">
        <f t="shared" si="132"/>
        <v/>
      </c>
      <c r="C4234" s="120" t="s">
        <v>280</v>
      </c>
      <c r="D4234"/>
      <c r="E4234"/>
      <c r="F4234"/>
      <c r="G4234"/>
      <c r="H4234"/>
      <c r="I4234" s="21" t="str">
        <f t="shared" si="133"/>
        <v/>
      </c>
      <c r="L4234" s="24"/>
      <c r="M4234" s="24"/>
    </row>
    <row r="4235" spans="1:13">
      <c r="A4235" s="14" t="str">
        <f t="shared" si="132"/>
        <v/>
      </c>
      <c r="C4235" s="120" t="s">
        <v>282</v>
      </c>
      <c r="D4235"/>
      <c r="E4235"/>
      <c r="F4235"/>
      <c r="G4235"/>
      <c r="H4235"/>
      <c r="I4235" s="21" t="str">
        <f t="shared" si="133"/>
        <v/>
      </c>
      <c r="L4235" s="24"/>
      <c r="M4235" s="24"/>
    </row>
    <row r="4236" spans="1:13">
      <c r="A4236" s="10" t="str">
        <f t="shared" si="132"/>
        <v/>
      </c>
      <c r="C4236" s="120" t="s">
        <v>284</v>
      </c>
      <c r="D4236"/>
      <c r="E4236"/>
      <c r="F4236"/>
      <c r="G4236"/>
      <c r="H4236"/>
      <c r="I4236" s="21" t="str">
        <f t="shared" si="133"/>
        <v/>
      </c>
      <c r="L4236" s="24"/>
      <c r="M4236" s="24"/>
    </row>
    <row r="4237" spans="1:13">
      <c r="A4237" s="14" t="str">
        <f t="shared" si="132"/>
        <v/>
      </c>
      <c r="C4237" s="120" t="s">
        <v>286</v>
      </c>
      <c r="D4237"/>
      <c r="E4237"/>
      <c r="F4237"/>
      <c r="G4237"/>
      <c r="H4237"/>
      <c r="I4237" s="21" t="str">
        <f t="shared" si="133"/>
        <v/>
      </c>
      <c r="L4237" s="24"/>
      <c r="M4237" s="24"/>
    </row>
    <row r="4238" spans="1:13">
      <c r="A4238" s="10" t="str">
        <f t="shared" si="132"/>
        <v/>
      </c>
      <c r="C4238" s="120" t="s">
        <v>126</v>
      </c>
      <c r="D4238"/>
      <c r="E4238"/>
      <c r="F4238"/>
      <c r="G4238"/>
      <c r="H4238"/>
      <c r="I4238" s="21" t="str">
        <f t="shared" si="133"/>
        <v/>
      </c>
      <c r="L4238" s="24"/>
      <c r="M4238" s="24"/>
    </row>
    <row r="4239" spans="1:13">
      <c r="A4239" s="14" t="str">
        <f t="shared" si="132"/>
        <v/>
      </c>
      <c r="C4239" s="120" t="s">
        <v>128</v>
      </c>
      <c r="D4239"/>
      <c r="E4239"/>
      <c r="F4239"/>
      <c r="G4239"/>
      <c r="H4239"/>
      <c r="I4239" s="21" t="str">
        <f t="shared" si="133"/>
        <v/>
      </c>
      <c r="L4239" s="24"/>
      <c r="M4239" s="24"/>
    </row>
    <row r="4240" spans="1:13">
      <c r="A4240" s="10" t="str">
        <f t="shared" si="132"/>
        <v/>
      </c>
      <c r="C4240" s="120" t="s">
        <v>280</v>
      </c>
      <c r="D4240"/>
      <c r="E4240"/>
      <c r="F4240"/>
      <c r="G4240"/>
      <c r="H4240"/>
      <c r="I4240" s="21" t="str">
        <f t="shared" si="133"/>
        <v/>
      </c>
      <c r="L4240" s="24"/>
      <c r="M4240" s="24"/>
    </row>
    <row r="4241" spans="1:13">
      <c r="A4241" s="14" t="str">
        <f t="shared" si="132"/>
        <v/>
      </c>
      <c r="C4241" s="120" t="s">
        <v>282</v>
      </c>
      <c r="D4241"/>
      <c r="E4241"/>
      <c r="F4241"/>
      <c r="G4241"/>
      <c r="H4241"/>
      <c r="I4241" s="21" t="str">
        <f t="shared" si="133"/>
        <v/>
      </c>
      <c r="L4241" s="24"/>
      <c r="M4241" s="24"/>
    </row>
    <row r="4242" spans="1:13">
      <c r="A4242" s="10" t="str">
        <f t="shared" si="132"/>
        <v/>
      </c>
      <c r="C4242" s="120" t="s">
        <v>284</v>
      </c>
      <c r="D4242"/>
      <c r="E4242"/>
      <c r="F4242"/>
      <c r="G4242"/>
      <c r="H4242"/>
      <c r="I4242" s="21" t="str">
        <f t="shared" si="133"/>
        <v/>
      </c>
      <c r="L4242" s="24"/>
      <c r="M4242" s="24"/>
    </row>
    <row r="4243" spans="1:13">
      <c r="A4243" s="14" t="str">
        <f t="shared" si="132"/>
        <v/>
      </c>
      <c r="C4243" s="120" t="s">
        <v>286</v>
      </c>
      <c r="D4243"/>
      <c r="E4243"/>
      <c r="F4243"/>
      <c r="G4243"/>
      <c r="H4243"/>
      <c r="I4243" s="21" t="str">
        <f t="shared" si="133"/>
        <v/>
      </c>
      <c r="L4243" s="24"/>
      <c r="M4243" s="24"/>
    </row>
    <row r="4244" spans="1:13">
      <c r="A4244" s="10" t="str">
        <f t="shared" si="132"/>
        <v/>
      </c>
      <c r="C4244" s="120" t="s">
        <v>126</v>
      </c>
      <c r="D4244"/>
      <c r="E4244"/>
      <c r="F4244"/>
      <c r="G4244"/>
      <c r="H4244"/>
      <c r="I4244" s="21" t="str">
        <f t="shared" si="133"/>
        <v/>
      </c>
      <c r="L4244" s="24"/>
      <c r="M4244" s="24"/>
    </row>
    <row r="4245" spans="1:13">
      <c r="A4245" s="14" t="str">
        <f t="shared" si="132"/>
        <v/>
      </c>
      <c r="C4245" s="120" t="s">
        <v>128</v>
      </c>
      <c r="D4245"/>
      <c r="E4245"/>
      <c r="F4245"/>
      <c r="G4245"/>
      <c r="H4245"/>
      <c r="I4245" s="21" t="str">
        <f t="shared" si="133"/>
        <v/>
      </c>
      <c r="L4245" s="24"/>
      <c r="M4245" s="24"/>
    </row>
    <row r="4246" spans="1:13">
      <c r="A4246" s="10" t="str">
        <f t="shared" si="132"/>
        <v/>
      </c>
      <c r="C4246" s="120" t="s">
        <v>280</v>
      </c>
      <c r="D4246"/>
      <c r="E4246"/>
      <c r="F4246"/>
      <c r="G4246"/>
      <c r="H4246"/>
      <c r="I4246" s="21" t="str">
        <f t="shared" si="133"/>
        <v/>
      </c>
      <c r="L4246" s="24"/>
      <c r="M4246" s="24"/>
    </row>
    <row r="4247" spans="1:13">
      <c r="A4247" s="14" t="str">
        <f t="shared" si="132"/>
        <v/>
      </c>
      <c r="C4247" s="120" t="s">
        <v>282</v>
      </c>
      <c r="D4247"/>
      <c r="E4247"/>
      <c r="F4247"/>
      <c r="G4247"/>
      <c r="H4247"/>
      <c r="I4247" s="21" t="str">
        <f t="shared" si="133"/>
        <v/>
      </c>
      <c r="L4247" s="24"/>
      <c r="M4247" s="24"/>
    </row>
    <row r="4248" spans="1:13">
      <c r="A4248" s="10" t="str">
        <f t="shared" si="132"/>
        <v/>
      </c>
      <c r="C4248" s="120" t="s">
        <v>284</v>
      </c>
      <c r="D4248"/>
      <c r="E4248"/>
      <c r="F4248"/>
      <c r="G4248"/>
      <c r="H4248"/>
      <c r="I4248" s="21" t="str">
        <f t="shared" si="133"/>
        <v/>
      </c>
      <c r="L4248" s="24"/>
      <c r="M4248" s="24"/>
    </row>
    <row r="4249" spans="1:13">
      <c r="A4249" s="14" t="str">
        <f t="shared" si="132"/>
        <v/>
      </c>
      <c r="C4249" s="120" t="s">
        <v>286</v>
      </c>
      <c r="D4249"/>
      <c r="E4249"/>
      <c r="F4249"/>
      <c r="G4249"/>
      <c r="H4249"/>
      <c r="I4249" s="21" t="str">
        <f t="shared" si="133"/>
        <v/>
      </c>
      <c r="L4249" s="24"/>
      <c r="M4249" s="24"/>
    </row>
    <row r="4250" spans="1:13">
      <c r="A4250" s="10" t="str">
        <f t="shared" si="132"/>
        <v/>
      </c>
      <c r="C4250" s="120" t="s">
        <v>126</v>
      </c>
      <c r="D4250"/>
      <c r="E4250"/>
      <c r="F4250"/>
      <c r="G4250"/>
      <c r="H4250"/>
      <c r="I4250" s="21" t="str">
        <f t="shared" si="133"/>
        <v/>
      </c>
      <c r="L4250" s="24"/>
      <c r="M4250" s="24"/>
    </row>
    <row r="4251" spans="1:13">
      <c r="A4251" s="14" t="str">
        <f t="shared" si="132"/>
        <v/>
      </c>
      <c r="C4251" s="120" t="s">
        <v>128</v>
      </c>
      <c r="D4251"/>
      <c r="E4251"/>
      <c r="F4251"/>
      <c r="G4251"/>
      <c r="H4251"/>
      <c r="I4251" s="21" t="str">
        <f t="shared" si="133"/>
        <v/>
      </c>
      <c r="L4251" s="24"/>
      <c r="M4251" s="24"/>
    </row>
    <row r="4252" spans="1:13">
      <c r="A4252" s="10" t="str">
        <f t="shared" si="132"/>
        <v/>
      </c>
      <c r="C4252" s="120" t="s">
        <v>280</v>
      </c>
      <c r="D4252"/>
      <c r="E4252"/>
      <c r="F4252"/>
      <c r="G4252"/>
      <c r="H4252"/>
      <c r="I4252" s="21" t="str">
        <f t="shared" si="133"/>
        <v/>
      </c>
      <c r="L4252" s="24"/>
      <c r="M4252" s="24"/>
    </row>
    <row r="4253" spans="1:13">
      <c r="A4253" s="14" t="str">
        <f t="shared" si="132"/>
        <v/>
      </c>
      <c r="C4253" s="120" t="s">
        <v>282</v>
      </c>
      <c r="D4253"/>
      <c r="E4253"/>
      <c r="F4253"/>
      <c r="G4253"/>
      <c r="H4253"/>
      <c r="I4253" s="21" t="str">
        <f t="shared" si="133"/>
        <v/>
      </c>
      <c r="L4253" s="24"/>
      <c r="M4253" s="24"/>
    </row>
    <row r="4254" spans="1:13">
      <c r="A4254" s="10" t="str">
        <f t="shared" si="132"/>
        <v/>
      </c>
      <c r="C4254" s="120" t="s">
        <v>284</v>
      </c>
      <c r="D4254"/>
      <c r="E4254"/>
      <c r="F4254"/>
      <c r="G4254"/>
      <c r="H4254"/>
      <c r="I4254" s="21" t="str">
        <f t="shared" si="133"/>
        <v/>
      </c>
      <c r="L4254" s="24"/>
      <c r="M4254" s="24"/>
    </row>
    <row r="4255" spans="1:13">
      <c r="A4255" s="14" t="str">
        <f t="shared" si="132"/>
        <v/>
      </c>
      <c r="C4255" s="120" t="s">
        <v>286</v>
      </c>
      <c r="D4255"/>
      <c r="E4255"/>
      <c r="F4255"/>
      <c r="G4255"/>
      <c r="H4255"/>
      <c r="I4255" s="21" t="str">
        <f t="shared" si="133"/>
        <v/>
      </c>
      <c r="L4255" s="24"/>
      <c r="M4255" s="24"/>
    </row>
    <row r="4256" spans="1:13">
      <c r="A4256" s="10" t="str">
        <f t="shared" si="132"/>
        <v/>
      </c>
      <c r="C4256" s="120" t="s">
        <v>126</v>
      </c>
      <c r="D4256"/>
      <c r="E4256"/>
      <c r="F4256"/>
      <c r="G4256"/>
      <c r="H4256"/>
      <c r="I4256" s="21" t="str">
        <f t="shared" si="133"/>
        <v/>
      </c>
      <c r="L4256" s="24"/>
      <c r="M4256" s="24"/>
    </row>
    <row r="4257" spans="1:13">
      <c r="A4257" s="14" t="str">
        <f t="shared" si="132"/>
        <v/>
      </c>
      <c r="C4257" s="120" t="s">
        <v>128</v>
      </c>
      <c r="D4257"/>
      <c r="E4257"/>
      <c r="F4257"/>
      <c r="G4257"/>
      <c r="H4257"/>
      <c r="I4257" s="21" t="str">
        <f t="shared" si="133"/>
        <v/>
      </c>
      <c r="L4257" s="24"/>
      <c r="M4257" s="24"/>
    </row>
    <row r="4258" spans="1:13">
      <c r="A4258" s="10" t="str">
        <f t="shared" si="132"/>
        <v/>
      </c>
      <c r="C4258" s="120" t="s">
        <v>280</v>
      </c>
      <c r="D4258"/>
      <c r="E4258"/>
      <c r="F4258"/>
      <c r="G4258"/>
      <c r="H4258"/>
      <c r="I4258" s="21" t="str">
        <f t="shared" si="133"/>
        <v/>
      </c>
      <c r="L4258" s="24"/>
      <c r="M4258" s="24"/>
    </row>
    <row r="4259" spans="1:13">
      <c r="A4259" s="14" t="str">
        <f t="shared" si="132"/>
        <v/>
      </c>
      <c r="C4259" s="120" t="s">
        <v>282</v>
      </c>
      <c r="D4259"/>
      <c r="E4259"/>
      <c r="F4259"/>
      <c r="G4259"/>
      <c r="H4259"/>
      <c r="I4259" s="21" t="str">
        <f t="shared" si="133"/>
        <v/>
      </c>
      <c r="L4259" s="24"/>
      <c r="M4259" s="24"/>
    </row>
    <row r="4260" spans="1:13">
      <c r="A4260" s="10" t="str">
        <f t="shared" si="132"/>
        <v/>
      </c>
      <c r="C4260" s="120" t="s">
        <v>284</v>
      </c>
      <c r="D4260"/>
      <c r="E4260"/>
      <c r="F4260"/>
      <c r="G4260"/>
      <c r="H4260"/>
      <c r="I4260" s="21" t="str">
        <f t="shared" si="133"/>
        <v/>
      </c>
      <c r="L4260" s="24"/>
      <c r="M4260" s="24"/>
    </row>
    <row r="4261" spans="1:13">
      <c r="A4261" s="14" t="str">
        <f t="shared" si="132"/>
        <v/>
      </c>
      <c r="C4261" s="120" t="s">
        <v>286</v>
      </c>
      <c r="D4261"/>
      <c r="E4261"/>
      <c r="F4261"/>
      <c r="G4261"/>
      <c r="H4261"/>
      <c r="I4261" s="21" t="str">
        <f t="shared" si="133"/>
        <v/>
      </c>
      <c r="L4261" s="24"/>
      <c r="M4261" s="24"/>
    </row>
    <row r="4262" spans="1:13">
      <c r="A4262" s="10" t="str">
        <f t="shared" si="132"/>
        <v/>
      </c>
      <c r="C4262" s="120" t="s">
        <v>126</v>
      </c>
      <c r="D4262"/>
      <c r="E4262"/>
      <c r="F4262"/>
      <c r="G4262"/>
      <c r="H4262"/>
      <c r="I4262" s="21" t="str">
        <f t="shared" si="133"/>
        <v/>
      </c>
      <c r="L4262" s="24"/>
      <c r="M4262" s="24"/>
    </row>
    <row r="4263" spans="1:13">
      <c r="A4263" s="14" t="str">
        <f t="shared" si="132"/>
        <v/>
      </c>
      <c r="C4263" s="120" t="s">
        <v>128</v>
      </c>
      <c r="D4263"/>
      <c r="E4263"/>
      <c r="F4263"/>
      <c r="G4263"/>
      <c r="H4263"/>
      <c r="I4263" s="21" t="str">
        <f t="shared" si="133"/>
        <v/>
      </c>
      <c r="L4263" s="24"/>
      <c r="M4263" s="24"/>
    </row>
    <row r="4264" spans="1:13">
      <c r="A4264" s="10" t="str">
        <f t="shared" si="132"/>
        <v/>
      </c>
      <c r="C4264" s="120" t="s">
        <v>280</v>
      </c>
      <c r="D4264"/>
      <c r="E4264"/>
      <c r="F4264"/>
      <c r="G4264"/>
      <c r="H4264"/>
      <c r="I4264" s="21" t="str">
        <f t="shared" si="133"/>
        <v/>
      </c>
      <c r="L4264" s="24"/>
      <c r="M4264" s="24"/>
    </row>
    <row r="4265" spans="1:13">
      <c r="A4265" s="14" t="str">
        <f t="shared" si="132"/>
        <v/>
      </c>
      <c r="C4265" s="120" t="s">
        <v>282</v>
      </c>
      <c r="D4265"/>
      <c r="E4265"/>
      <c r="F4265"/>
      <c r="G4265"/>
      <c r="H4265"/>
      <c r="I4265" s="21" t="str">
        <f t="shared" si="133"/>
        <v/>
      </c>
      <c r="L4265" s="24"/>
      <c r="M4265" s="24"/>
    </row>
    <row r="4266" spans="1:13">
      <c r="A4266" s="10" t="str">
        <f t="shared" si="132"/>
        <v/>
      </c>
      <c r="C4266" s="120" t="s">
        <v>284</v>
      </c>
      <c r="D4266"/>
      <c r="E4266"/>
      <c r="F4266"/>
      <c r="G4266"/>
      <c r="H4266"/>
      <c r="I4266" s="21" t="str">
        <f t="shared" si="133"/>
        <v/>
      </c>
      <c r="L4266" s="24"/>
      <c r="M4266" s="24"/>
    </row>
    <row r="4267" spans="1:13">
      <c r="A4267" s="14" t="str">
        <f t="shared" si="132"/>
        <v/>
      </c>
      <c r="C4267" s="120" t="s">
        <v>286</v>
      </c>
      <c r="D4267"/>
      <c r="E4267"/>
      <c r="F4267"/>
      <c r="G4267"/>
      <c r="H4267"/>
      <c r="I4267" s="21" t="str">
        <f t="shared" si="133"/>
        <v/>
      </c>
      <c r="L4267" s="24"/>
      <c r="M4267" s="24"/>
    </row>
    <row r="4268" spans="1:13">
      <c r="A4268" s="10" t="str">
        <f t="shared" si="132"/>
        <v/>
      </c>
      <c r="C4268" s="120" t="s">
        <v>126</v>
      </c>
      <c r="D4268"/>
      <c r="E4268"/>
      <c r="F4268"/>
      <c r="G4268"/>
      <c r="H4268"/>
      <c r="I4268" s="21" t="str">
        <f t="shared" si="133"/>
        <v/>
      </c>
      <c r="L4268" s="24"/>
      <c r="M4268" s="24"/>
    </row>
    <row r="4269" spans="1:13">
      <c r="A4269" s="14" t="str">
        <f t="shared" si="132"/>
        <v/>
      </c>
      <c r="C4269" s="120" t="s">
        <v>128</v>
      </c>
      <c r="D4269"/>
      <c r="E4269"/>
      <c r="F4269"/>
      <c r="G4269"/>
      <c r="H4269"/>
      <c r="I4269" s="21" t="str">
        <f t="shared" si="133"/>
        <v/>
      </c>
      <c r="L4269" s="24"/>
      <c r="M4269" s="24"/>
    </row>
    <row r="4270" spans="1:13">
      <c r="A4270" s="10" t="str">
        <f t="shared" si="132"/>
        <v/>
      </c>
      <c r="C4270" s="120" t="s">
        <v>280</v>
      </c>
      <c r="D4270"/>
      <c r="E4270"/>
      <c r="F4270"/>
      <c r="G4270"/>
      <c r="H4270"/>
      <c r="I4270" s="21" t="str">
        <f t="shared" si="133"/>
        <v/>
      </c>
      <c r="L4270" s="24"/>
      <c r="M4270" s="24"/>
    </row>
    <row r="4271" spans="1:13">
      <c r="A4271" s="14" t="str">
        <f t="shared" si="132"/>
        <v/>
      </c>
      <c r="C4271" s="120" t="s">
        <v>282</v>
      </c>
      <c r="D4271"/>
      <c r="E4271"/>
      <c r="F4271"/>
      <c r="G4271"/>
      <c r="H4271"/>
      <c r="I4271" s="21" t="str">
        <f t="shared" si="133"/>
        <v/>
      </c>
      <c r="L4271" s="24"/>
      <c r="M4271" s="24"/>
    </row>
    <row r="4272" spans="1:13">
      <c r="A4272" s="10" t="str">
        <f t="shared" si="132"/>
        <v/>
      </c>
      <c r="C4272" s="120" t="s">
        <v>284</v>
      </c>
      <c r="D4272"/>
      <c r="E4272"/>
      <c r="F4272"/>
      <c r="G4272"/>
      <c r="H4272"/>
      <c r="I4272" s="21" t="str">
        <f t="shared" si="133"/>
        <v/>
      </c>
      <c r="L4272" s="24"/>
      <c r="M4272" s="24"/>
    </row>
    <row r="4273" spans="1:13">
      <c r="A4273" s="14" t="str">
        <f t="shared" si="132"/>
        <v/>
      </c>
      <c r="C4273" s="120" t="s">
        <v>286</v>
      </c>
      <c r="D4273"/>
      <c r="E4273"/>
      <c r="F4273"/>
      <c r="G4273"/>
      <c r="H4273"/>
      <c r="I4273" s="21" t="str">
        <f t="shared" si="133"/>
        <v/>
      </c>
      <c r="L4273" s="24"/>
      <c r="M4273" s="24"/>
    </row>
    <row r="4274" spans="1:13">
      <c r="A4274" s="10" t="str">
        <f t="shared" si="132"/>
        <v/>
      </c>
      <c r="C4274" s="120" t="s">
        <v>126</v>
      </c>
      <c r="D4274"/>
      <c r="E4274"/>
      <c r="F4274"/>
      <c r="G4274"/>
      <c r="H4274"/>
      <c r="I4274" s="21" t="str">
        <f t="shared" si="133"/>
        <v/>
      </c>
      <c r="L4274" s="24"/>
      <c r="M4274" s="24"/>
    </row>
    <row r="4275" spans="1:13">
      <c r="A4275" s="14" t="str">
        <f t="shared" si="132"/>
        <v/>
      </c>
      <c r="C4275" s="120" t="s">
        <v>128</v>
      </c>
      <c r="D4275"/>
      <c r="E4275"/>
      <c r="F4275"/>
      <c r="G4275"/>
      <c r="H4275"/>
      <c r="I4275" s="21" t="str">
        <f t="shared" si="133"/>
        <v/>
      </c>
      <c r="L4275" s="24"/>
      <c r="M4275" s="24"/>
    </row>
    <row r="4276" spans="1:13">
      <c r="A4276" s="10" t="str">
        <f t="shared" si="132"/>
        <v/>
      </c>
      <c r="C4276" s="120" t="s">
        <v>280</v>
      </c>
      <c r="D4276"/>
      <c r="E4276"/>
      <c r="F4276"/>
      <c r="G4276"/>
      <c r="H4276"/>
      <c r="I4276" s="21" t="str">
        <f t="shared" si="133"/>
        <v/>
      </c>
      <c r="L4276" s="24"/>
      <c r="M4276" s="24"/>
    </row>
    <row r="4277" spans="1:13">
      <c r="A4277" s="14" t="str">
        <f t="shared" si="132"/>
        <v/>
      </c>
      <c r="C4277" s="120" t="s">
        <v>282</v>
      </c>
      <c r="D4277"/>
      <c r="E4277"/>
      <c r="F4277"/>
      <c r="G4277"/>
      <c r="H4277"/>
      <c r="I4277" s="21" t="str">
        <f t="shared" si="133"/>
        <v/>
      </c>
      <c r="L4277" s="24"/>
      <c r="M4277" s="24"/>
    </row>
    <row r="4278" spans="1:13">
      <c r="A4278" s="10" t="str">
        <f t="shared" si="132"/>
        <v/>
      </c>
      <c r="C4278" s="120" t="s">
        <v>284</v>
      </c>
      <c r="D4278"/>
      <c r="E4278"/>
      <c r="F4278"/>
      <c r="G4278"/>
      <c r="H4278"/>
      <c r="I4278" s="21" t="str">
        <f t="shared" si="133"/>
        <v/>
      </c>
      <c r="L4278" s="24"/>
      <c r="M4278" s="24"/>
    </row>
    <row r="4279" spans="1:13">
      <c r="A4279" s="14" t="str">
        <f t="shared" si="132"/>
        <v/>
      </c>
      <c r="C4279" s="120" t="s">
        <v>286</v>
      </c>
      <c r="D4279"/>
      <c r="E4279"/>
      <c r="F4279"/>
      <c r="G4279"/>
      <c r="H4279"/>
      <c r="I4279" s="21" t="str">
        <f t="shared" si="133"/>
        <v/>
      </c>
      <c r="L4279" s="24"/>
      <c r="M4279" s="24"/>
    </row>
    <row r="4280" spans="1:13">
      <c r="A4280" s="10" t="str">
        <f t="shared" si="132"/>
        <v/>
      </c>
      <c r="C4280" s="120" t="s">
        <v>126</v>
      </c>
      <c r="D4280"/>
      <c r="E4280"/>
      <c r="F4280"/>
      <c r="G4280"/>
      <c r="H4280"/>
      <c r="I4280" s="21" t="str">
        <f t="shared" si="133"/>
        <v/>
      </c>
      <c r="L4280" s="24"/>
      <c r="M4280" s="24"/>
    </row>
    <row r="4281" spans="1:13">
      <c r="A4281" s="14" t="str">
        <f t="shared" si="132"/>
        <v/>
      </c>
      <c r="C4281" s="120" t="s">
        <v>128</v>
      </c>
      <c r="D4281"/>
      <c r="E4281"/>
      <c r="F4281"/>
      <c r="G4281"/>
      <c r="H4281"/>
      <c r="I4281" s="21" t="str">
        <f t="shared" si="133"/>
        <v/>
      </c>
      <c r="L4281" s="24"/>
      <c r="M4281" s="24"/>
    </row>
    <row r="4282" spans="1:13">
      <c r="A4282" s="10" t="str">
        <f t="shared" si="132"/>
        <v/>
      </c>
      <c r="C4282" s="120" t="s">
        <v>280</v>
      </c>
      <c r="D4282"/>
      <c r="E4282"/>
      <c r="F4282"/>
      <c r="G4282"/>
      <c r="H4282"/>
      <c r="I4282" s="21" t="str">
        <f t="shared" si="133"/>
        <v/>
      </c>
      <c r="L4282" s="24"/>
      <c r="M4282" s="24"/>
    </row>
    <row r="4283" spans="1:13">
      <c r="A4283" s="14" t="str">
        <f t="shared" si="132"/>
        <v/>
      </c>
      <c r="C4283" s="120" t="s">
        <v>282</v>
      </c>
      <c r="D4283"/>
      <c r="E4283"/>
      <c r="F4283"/>
      <c r="G4283"/>
      <c r="H4283"/>
      <c r="I4283" s="21" t="str">
        <f t="shared" si="133"/>
        <v/>
      </c>
      <c r="L4283" s="24"/>
      <c r="M4283" s="24"/>
    </row>
    <row r="4284" spans="1:13">
      <c r="A4284" s="10" t="str">
        <f t="shared" si="132"/>
        <v/>
      </c>
      <c r="C4284" s="120" t="s">
        <v>284</v>
      </c>
      <c r="D4284"/>
      <c r="E4284"/>
      <c r="F4284"/>
      <c r="G4284"/>
      <c r="H4284"/>
      <c r="I4284" s="21" t="str">
        <f t="shared" si="133"/>
        <v/>
      </c>
      <c r="L4284" s="24"/>
      <c r="M4284" s="24"/>
    </row>
    <row r="4285" spans="1:13">
      <c r="A4285" s="14" t="str">
        <f t="shared" si="132"/>
        <v/>
      </c>
      <c r="C4285" s="120" t="s">
        <v>286</v>
      </c>
      <c r="D4285"/>
      <c r="E4285"/>
      <c r="F4285"/>
      <c r="G4285"/>
      <c r="H4285"/>
      <c r="I4285" s="21" t="str">
        <f t="shared" si="133"/>
        <v/>
      </c>
      <c r="L4285" s="24"/>
      <c r="M4285" s="24"/>
    </row>
    <row r="4286" spans="1:13">
      <c r="A4286" s="10" t="str">
        <f t="shared" si="132"/>
        <v/>
      </c>
      <c r="C4286" s="120" t="s">
        <v>126</v>
      </c>
      <c r="D4286"/>
      <c r="E4286"/>
      <c r="F4286"/>
      <c r="G4286"/>
      <c r="H4286"/>
      <c r="I4286" s="21" t="str">
        <f t="shared" si="133"/>
        <v/>
      </c>
      <c r="L4286" s="24"/>
      <c r="M4286" s="24"/>
    </row>
    <row r="4287" spans="1:13">
      <c r="A4287" s="14" t="str">
        <f t="shared" si="132"/>
        <v/>
      </c>
      <c r="C4287" s="120" t="s">
        <v>128</v>
      </c>
      <c r="D4287"/>
      <c r="E4287"/>
      <c r="F4287"/>
      <c r="G4287"/>
      <c r="H4287"/>
      <c r="I4287" s="21" t="str">
        <f t="shared" si="133"/>
        <v/>
      </c>
      <c r="L4287" s="24"/>
      <c r="M4287" s="24"/>
    </row>
    <row r="4288" spans="1:13">
      <c r="A4288" s="10" t="str">
        <f t="shared" si="132"/>
        <v/>
      </c>
      <c r="C4288" s="120" t="s">
        <v>280</v>
      </c>
      <c r="D4288"/>
      <c r="E4288"/>
      <c r="F4288"/>
      <c r="G4288"/>
      <c r="H4288"/>
      <c r="I4288" s="21" t="str">
        <f t="shared" si="133"/>
        <v/>
      </c>
      <c r="L4288" s="24"/>
      <c r="M4288" s="24"/>
    </row>
    <row r="4289" spans="1:13">
      <c r="A4289" s="14" t="str">
        <f t="shared" si="132"/>
        <v/>
      </c>
      <c r="C4289" s="120" t="s">
        <v>282</v>
      </c>
      <c r="D4289"/>
      <c r="E4289"/>
      <c r="F4289"/>
      <c r="G4289"/>
      <c r="H4289"/>
      <c r="I4289" s="21" t="str">
        <f t="shared" si="133"/>
        <v/>
      </c>
      <c r="L4289" s="24"/>
      <c r="M4289" s="24"/>
    </row>
    <row r="4290" spans="1:13">
      <c r="A4290" s="10" t="str">
        <f t="shared" ref="A4290:A4353" si="134">IF(B4290&lt;&gt;"",ROW()-1,"")</f>
        <v/>
      </c>
      <c r="C4290" s="120" t="s">
        <v>284</v>
      </c>
      <c r="D4290"/>
      <c r="E4290"/>
      <c r="F4290"/>
      <c r="G4290"/>
      <c r="H4290"/>
      <c r="I4290" s="21" t="str">
        <f t="shared" ref="I4290:I4353" si="135">IF(AND(G4290&lt;&gt;"",H4290&lt;&gt;""),H4290-G4290,"")</f>
        <v/>
      </c>
      <c r="L4290" s="24"/>
      <c r="M4290" s="24"/>
    </row>
    <row r="4291" spans="1:13">
      <c r="A4291" s="14" t="str">
        <f t="shared" si="134"/>
        <v/>
      </c>
      <c r="C4291" s="120" t="s">
        <v>286</v>
      </c>
      <c r="D4291"/>
      <c r="E4291"/>
      <c r="F4291"/>
      <c r="G4291"/>
      <c r="H4291"/>
      <c r="I4291" s="21" t="str">
        <f t="shared" si="135"/>
        <v/>
      </c>
      <c r="L4291" s="24"/>
      <c r="M4291" s="24"/>
    </row>
    <row r="4292" spans="1:13">
      <c r="A4292" s="10" t="str">
        <f t="shared" si="134"/>
        <v/>
      </c>
      <c r="C4292" s="120" t="s">
        <v>126</v>
      </c>
      <c r="D4292"/>
      <c r="E4292"/>
      <c r="F4292"/>
      <c r="G4292"/>
      <c r="H4292"/>
      <c r="I4292" s="21" t="str">
        <f t="shared" si="135"/>
        <v/>
      </c>
      <c r="L4292" s="24"/>
      <c r="M4292" s="24"/>
    </row>
    <row r="4293" spans="1:13">
      <c r="A4293" s="14" t="str">
        <f t="shared" si="134"/>
        <v/>
      </c>
      <c r="C4293" s="120" t="s">
        <v>128</v>
      </c>
      <c r="D4293"/>
      <c r="E4293"/>
      <c r="F4293"/>
      <c r="G4293"/>
      <c r="H4293"/>
      <c r="I4293" s="21" t="str">
        <f t="shared" si="135"/>
        <v/>
      </c>
      <c r="L4293" s="24"/>
      <c r="M4293" s="24"/>
    </row>
    <row r="4294" spans="1:13">
      <c r="A4294" s="10" t="str">
        <f t="shared" si="134"/>
        <v/>
      </c>
      <c r="C4294" s="120" t="s">
        <v>280</v>
      </c>
      <c r="D4294"/>
      <c r="E4294"/>
      <c r="F4294"/>
      <c r="G4294"/>
      <c r="H4294"/>
      <c r="I4294" s="21" t="str">
        <f t="shared" si="135"/>
        <v/>
      </c>
      <c r="L4294" s="24"/>
      <c r="M4294" s="24"/>
    </row>
    <row r="4295" spans="1:13">
      <c r="A4295" s="14" t="str">
        <f t="shared" si="134"/>
        <v/>
      </c>
      <c r="C4295" s="120" t="s">
        <v>282</v>
      </c>
      <c r="D4295"/>
      <c r="E4295"/>
      <c r="F4295"/>
      <c r="G4295"/>
      <c r="H4295"/>
      <c r="I4295" s="21" t="str">
        <f t="shared" si="135"/>
        <v/>
      </c>
      <c r="L4295" s="24"/>
      <c r="M4295" s="24"/>
    </row>
    <row r="4296" spans="1:13">
      <c r="A4296" s="10" t="str">
        <f t="shared" si="134"/>
        <v/>
      </c>
      <c r="C4296" s="120" t="s">
        <v>284</v>
      </c>
      <c r="D4296"/>
      <c r="E4296"/>
      <c r="F4296"/>
      <c r="G4296"/>
      <c r="H4296"/>
      <c r="I4296" s="21" t="str">
        <f t="shared" si="135"/>
        <v/>
      </c>
      <c r="L4296" s="24"/>
      <c r="M4296" s="24"/>
    </row>
    <row r="4297" spans="1:13">
      <c r="A4297" s="14" t="str">
        <f t="shared" si="134"/>
        <v/>
      </c>
      <c r="C4297" s="120" t="s">
        <v>286</v>
      </c>
      <c r="D4297"/>
      <c r="E4297"/>
      <c r="F4297"/>
      <c r="G4297"/>
      <c r="H4297"/>
      <c r="I4297" s="21" t="str">
        <f t="shared" si="135"/>
        <v/>
      </c>
      <c r="L4297" s="24"/>
      <c r="M4297" s="24"/>
    </row>
    <row r="4298" spans="1:13">
      <c r="A4298" s="10" t="str">
        <f t="shared" si="134"/>
        <v/>
      </c>
      <c r="C4298" s="120" t="s">
        <v>126</v>
      </c>
      <c r="D4298"/>
      <c r="E4298"/>
      <c r="F4298"/>
      <c r="G4298"/>
      <c r="H4298"/>
      <c r="I4298" s="21" t="str">
        <f t="shared" si="135"/>
        <v/>
      </c>
      <c r="L4298" s="24"/>
      <c r="M4298" s="24"/>
    </row>
    <row r="4299" spans="1:13">
      <c r="A4299" s="14" t="str">
        <f t="shared" si="134"/>
        <v/>
      </c>
      <c r="C4299" s="120" t="s">
        <v>128</v>
      </c>
      <c r="D4299"/>
      <c r="E4299"/>
      <c r="F4299"/>
      <c r="G4299"/>
      <c r="H4299"/>
      <c r="I4299" s="21" t="str">
        <f t="shared" si="135"/>
        <v/>
      </c>
      <c r="L4299" s="24"/>
      <c r="M4299" s="24"/>
    </row>
    <row r="4300" spans="1:13">
      <c r="A4300" s="10" t="str">
        <f t="shared" si="134"/>
        <v/>
      </c>
      <c r="C4300" s="120" t="s">
        <v>280</v>
      </c>
      <c r="D4300"/>
      <c r="E4300"/>
      <c r="F4300"/>
      <c r="G4300"/>
      <c r="H4300"/>
      <c r="I4300" s="21" t="str">
        <f t="shared" si="135"/>
        <v/>
      </c>
      <c r="L4300" s="24"/>
      <c r="M4300" s="24"/>
    </row>
    <row r="4301" spans="1:13">
      <c r="A4301" s="14" t="str">
        <f t="shared" si="134"/>
        <v/>
      </c>
      <c r="C4301" s="120" t="s">
        <v>282</v>
      </c>
      <c r="D4301"/>
      <c r="E4301"/>
      <c r="F4301"/>
      <c r="G4301"/>
      <c r="H4301"/>
      <c r="I4301" s="21" t="str">
        <f t="shared" si="135"/>
        <v/>
      </c>
      <c r="L4301" s="24"/>
      <c r="M4301" s="24"/>
    </row>
    <row r="4302" spans="1:13">
      <c r="A4302" s="10" t="str">
        <f t="shared" si="134"/>
        <v/>
      </c>
      <c r="C4302" s="120" t="s">
        <v>284</v>
      </c>
      <c r="D4302"/>
      <c r="E4302"/>
      <c r="F4302"/>
      <c r="G4302"/>
      <c r="H4302"/>
      <c r="I4302" s="21" t="str">
        <f t="shared" si="135"/>
        <v/>
      </c>
      <c r="L4302" s="24"/>
      <c r="M4302" s="24"/>
    </row>
    <row r="4303" spans="1:13">
      <c r="A4303" s="14" t="str">
        <f t="shared" si="134"/>
        <v/>
      </c>
      <c r="C4303" s="120" t="s">
        <v>286</v>
      </c>
      <c r="D4303"/>
      <c r="E4303"/>
      <c r="F4303"/>
      <c r="G4303"/>
      <c r="H4303"/>
      <c r="I4303" s="21" t="str">
        <f t="shared" si="135"/>
        <v/>
      </c>
      <c r="L4303" s="24"/>
      <c r="M4303" s="24"/>
    </row>
    <row r="4304" spans="1:13">
      <c r="A4304" s="10" t="str">
        <f t="shared" si="134"/>
        <v/>
      </c>
      <c r="C4304" s="120" t="s">
        <v>126</v>
      </c>
      <c r="D4304"/>
      <c r="E4304"/>
      <c r="F4304"/>
      <c r="G4304"/>
      <c r="H4304"/>
      <c r="I4304" s="21" t="str">
        <f t="shared" si="135"/>
        <v/>
      </c>
      <c r="L4304" s="24"/>
      <c r="M4304" s="24"/>
    </row>
    <row r="4305" spans="1:13">
      <c r="A4305" s="14" t="str">
        <f t="shared" si="134"/>
        <v/>
      </c>
      <c r="C4305" s="120" t="s">
        <v>128</v>
      </c>
      <c r="D4305"/>
      <c r="E4305"/>
      <c r="F4305"/>
      <c r="G4305"/>
      <c r="H4305"/>
      <c r="I4305" s="21" t="str">
        <f t="shared" si="135"/>
        <v/>
      </c>
      <c r="L4305" s="24"/>
      <c r="M4305" s="24"/>
    </row>
    <row r="4306" spans="1:13">
      <c r="A4306" s="10" t="str">
        <f t="shared" si="134"/>
        <v/>
      </c>
      <c r="C4306" s="120" t="s">
        <v>280</v>
      </c>
      <c r="D4306"/>
      <c r="E4306"/>
      <c r="F4306"/>
      <c r="G4306"/>
      <c r="H4306"/>
      <c r="I4306" s="21" t="str">
        <f t="shared" si="135"/>
        <v/>
      </c>
      <c r="L4306" s="24"/>
      <c r="M4306" s="24"/>
    </row>
    <row r="4307" spans="1:13">
      <c r="A4307" s="14" t="str">
        <f t="shared" si="134"/>
        <v/>
      </c>
      <c r="C4307" s="120" t="s">
        <v>282</v>
      </c>
      <c r="D4307"/>
      <c r="E4307"/>
      <c r="F4307"/>
      <c r="G4307"/>
      <c r="H4307"/>
      <c r="I4307" s="21" t="str">
        <f t="shared" si="135"/>
        <v/>
      </c>
      <c r="L4307" s="24"/>
      <c r="M4307" s="24"/>
    </row>
    <row r="4308" spans="1:13">
      <c r="A4308" s="10" t="str">
        <f t="shared" si="134"/>
        <v/>
      </c>
      <c r="C4308" s="120" t="s">
        <v>284</v>
      </c>
      <c r="D4308"/>
      <c r="E4308"/>
      <c r="F4308"/>
      <c r="G4308"/>
      <c r="H4308"/>
      <c r="I4308" s="21" t="str">
        <f t="shared" si="135"/>
        <v/>
      </c>
      <c r="L4308" s="24"/>
      <c r="M4308" s="24"/>
    </row>
    <row r="4309" spans="1:13">
      <c r="A4309" s="14" t="str">
        <f t="shared" si="134"/>
        <v/>
      </c>
      <c r="C4309" s="120" t="s">
        <v>286</v>
      </c>
      <c r="D4309"/>
      <c r="E4309"/>
      <c r="F4309"/>
      <c r="G4309"/>
      <c r="H4309"/>
      <c r="I4309" s="21" t="str">
        <f t="shared" si="135"/>
        <v/>
      </c>
      <c r="L4309" s="24"/>
      <c r="M4309" s="24"/>
    </row>
    <row r="4310" spans="1:13">
      <c r="A4310" s="10" t="str">
        <f t="shared" si="134"/>
        <v/>
      </c>
      <c r="C4310" s="120" t="s">
        <v>126</v>
      </c>
      <c r="D4310"/>
      <c r="E4310"/>
      <c r="F4310"/>
      <c r="G4310"/>
      <c r="H4310"/>
      <c r="I4310" s="21" t="str">
        <f t="shared" si="135"/>
        <v/>
      </c>
      <c r="L4310" s="24"/>
      <c r="M4310" s="24"/>
    </row>
    <row r="4311" spans="1:13">
      <c r="A4311" s="14" t="str">
        <f t="shared" si="134"/>
        <v/>
      </c>
      <c r="C4311" s="120" t="s">
        <v>128</v>
      </c>
      <c r="D4311"/>
      <c r="E4311"/>
      <c r="F4311"/>
      <c r="G4311"/>
      <c r="H4311"/>
      <c r="I4311" s="21" t="str">
        <f t="shared" si="135"/>
        <v/>
      </c>
      <c r="L4311" s="24"/>
      <c r="M4311" s="24"/>
    </row>
    <row r="4312" spans="1:13">
      <c r="A4312" s="10" t="str">
        <f t="shared" si="134"/>
        <v/>
      </c>
      <c r="C4312" s="120" t="s">
        <v>280</v>
      </c>
      <c r="D4312"/>
      <c r="E4312"/>
      <c r="F4312"/>
      <c r="G4312"/>
      <c r="H4312"/>
      <c r="I4312" s="21" t="str">
        <f t="shared" si="135"/>
        <v/>
      </c>
      <c r="L4312" s="24"/>
      <c r="M4312" s="24"/>
    </row>
    <row r="4313" spans="1:13">
      <c r="A4313" s="14" t="str">
        <f t="shared" si="134"/>
        <v/>
      </c>
      <c r="C4313" s="120" t="s">
        <v>282</v>
      </c>
      <c r="D4313"/>
      <c r="E4313"/>
      <c r="F4313"/>
      <c r="G4313"/>
      <c r="H4313"/>
      <c r="I4313" s="21" t="str">
        <f t="shared" si="135"/>
        <v/>
      </c>
      <c r="L4313" s="24"/>
      <c r="M4313" s="24"/>
    </row>
    <row r="4314" spans="1:13">
      <c r="A4314" s="10" t="str">
        <f t="shared" si="134"/>
        <v/>
      </c>
      <c r="C4314" s="120" t="s">
        <v>284</v>
      </c>
      <c r="D4314"/>
      <c r="E4314"/>
      <c r="F4314"/>
      <c r="G4314"/>
      <c r="H4314"/>
      <c r="I4314" s="21" t="str">
        <f t="shared" si="135"/>
        <v/>
      </c>
      <c r="L4314" s="24"/>
      <c r="M4314" s="24"/>
    </row>
    <row r="4315" spans="1:13">
      <c r="A4315" s="14" t="str">
        <f t="shared" si="134"/>
        <v/>
      </c>
      <c r="C4315" s="120" t="s">
        <v>286</v>
      </c>
      <c r="D4315"/>
      <c r="E4315"/>
      <c r="F4315"/>
      <c r="G4315"/>
      <c r="H4315"/>
      <c r="I4315" s="21" t="str">
        <f t="shared" si="135"/>
        <v/>
      </c>
      <c r="L4315" s="24"/>
      <c r="M4315" s="24"/>
    </row>
    <row r="4316" spans="1:13">
      <c r="A4316" s="10" t="str">
        <f t="shared" si="134"/>
        <v/>
      </c>
      <c r="C4316" s="120" t="s">
        <v>126</v>
      </c>
      <c r="D4316"/>
      <c r="E4316"/>
      <c r="F4316"/>
      <c r="G4316"/>
      <c r="H4316"/>
      <c r="I4316" s="21" t="str">
        <f t="shared" si="135"/>
        <v/>
      </c>
      <c r="L4316" s="24"/>
      <c r="M4316" s="24"/>
    </row>
    <row r="4317" spans="1:13">
      <c r="A4317" s="14" t="str">
        <f t="shared" si="134"/>
        <v/>
      </c>
      <c r="C4317" s="120" t="s">
        <v>128</v>
      </c>
      <c r="D4317"/>
      <c r="E4317"/>
      <c r="F4317"/>
      <c r="G4317"/>
      <c r="H4317"/>
      <c r="I4317" s="21" t="str">
        <f t="shared" si="135"/>
        <v/>
      </c>
      <c r="L4317" s="24"/>
      <c r="M4317" s="24"/>
    </row>
    <row r="4318" spans="1:13">
      <c r="A4318" s="10" t="str">
        <f t="shared" si="134"/>
        <v/>
      </c>
      <c r="C4318" s="120" t="s">
        <v>280</v>
      </c>
      <c r="D4318"/>
      <c r="E4318"/>
      <c r="F4318"/>
      <c r="G4318"/>
      <c r="H4318"/>
      <c r="I4318" s="21" t="str">
        <f t="shared" si="135"/>
        <v/>
      </c>
      <c r="L4318" s="24"/>
      <c r="M4318" s="24"/>
    </row>
    <row r="4319" spans="1:13">
      <c r="A4319" s="14" t="str">
        <f t="shared" si="134"/>
        <v/>
      </c>
      <c r="C4319" s="120" t="s">
        <v>282</v>
      </c>
      <c r="D4319"/>
      <c r="E4319"/>
      <c r="F4319"/>
      <c r="G4319"/>
      <c r="H4319"/>
      <c r="I4319" s="21" t="str">
        <f t="shared" si="135"/>
        <v/>
      </c>
      <c r="L4319" s="24"/>
      <c r="M4319" s="24"/>
    </row>
    <row r="4320" spans="1:13">
      <c r="A4320" s="10" t="str">
        <f t="shared" si="134"/>
        <v/>
      </c>
      <c r="C4320" s="120" t="s">
        <v>284</v>
      </c>
      <c r="D4320"/>
      <c r="E4320"/>
      <c r="F4320"/>
      <c r="G4320"/>
      <c r="H4320"/>
      <c r="I4320" s="21" t="str">
        <f t="shared" si="135"/>
        <v/>
      </c>
      <c r="L4320" s="24"/>
      <c r="M4320" s="24"/>
    </row>
    <row r="4321" spans="1:13">
      <c r="A4321" s="14" t="str">
        <f t="shared" si="134"/>
        <v/>
      </c>
      <c r="C4321" s="120" t="s">
        <v>286</v>
      </c>
      <c r="D4321"/>
      <c r="E4321"/>
      <c r="F4321"/>
      <c r="G4321"/>
      <c r="H4321"/>
      <c r="I4321" s="21" t="str">
        <f t="shared" si="135"/>
        <v/>
      </c>
      <c r="L4321" s="24"/>
      <c r="M4321" s="24"/>
    </row>
    <row r="4322" spans="1:13">
      <c r="A4322" s="10" t="str">
        <f t="shared" si="134"/>
        <v/>
      </c>
      <c r="C4322" s="120" t="s">
        <v>126</v>
      </c>
      <c r="D4322"/>
      <c r="E4322"/>
      <c r="F4322"/>
      <c r="G4322"/>
      <c r="H4322"/>
      <c r="I4322" s="21" t="str">
        <f t="shared" si="135"/>
        <v/>
      </c>
      <c r="L4322" s="24"/>
      <c r="M4322" s="24"/>
    </row>
    <row r="4323" spans="1:13">
      <c r="A4323" s="14" t="str">
        <f t="shared" si="134"/>
        <v/>
      </c>
      <c r="C4323" s="120" t="s">
        <v>128</v>
      </c>
      <c r="D4323"/>
      <c r="E4323"/>
      <c r="F4323"/>
      <c r="G4323"/>
      <c r="H4323"/>
      <c r="I4323" s="21" t="str">
        <f t="shared" si="135"/>
        <v/>
      </c>
      <c r="L4323" s="24"/>
      <c r="M4323" s="24"/>
    </row>
    <row r="4324" spans="1:13">
      <c r="A4324" s="10" t="str">
        <f t="shared" si="134"/>
        <v/>
      </c>
      <c r="C4324" s="120" t="s">
        <v>280</v>
      </c>
      <c r="D4324"/>
      <c r="E4324"/>
      <c r="F4324"/>
      <c r="G4324"/>
      <c r="H4324"/>
      <c r="I4324" s="21" t="str">
        <f t="shared" si="135"/>
        <v/>
      </c>
      <c r="L4324" s="24"/>
      <c r="M4324" s="24"/>
    </row>
    <row r="4325" spans="1:13">
      <c r="A4325" s="14" t="str">
        <f t="shared" si="134"/>
        <v/>
      </c>
      <c r="C4325" s="120" t="s">
        <v>282</v>
      </c>
      <c r="D4325"/>
      <c r="E4325"/>
      <c r="F4325"/>
      <c r="G4325"/>
      <c r="H4325"/>
      <c r="I4325" s="21" t="str">
        <f t="shared" si="135"/>
        <v/>
      </c>
      <c r="L4325" s="24"/>
      <c r="M4325" s="24"/>
    </row>
    <row r="4326" spans="1:13">
      <c r="A4326" s="10" t="str">
        <f t="shared" si="134"/>
        <v/>
      </c>
      <c r="C4326" s="120" t="s">
        <v>284</v>
      </c>
      <c r="D4326"/>
      <c r="E4326"/>
      <c r="F4326"/>
      <c r="G4326"/>
      <c r="H4326"/>
      <c r="I4326" s="21" t="str">
        <f t="shared" si="135"/>
        <v/>
      </c>
      <c r="L4326" s="24"/>
      <c r="M4326" s="24"/>
    </row>
    <row r="4327" spans="1:13">
      <c r="A4327" s="14" t="str">
        <f t="shared" si="134"/>
        <v/>
      </c>
      <c r="C4327" s="120" t="s">
        <v>286</v>
      </c>
      <c r="D4327"/>
      <c r="E4327"/>
      <c r="F4327"/>
      <c r="G4327"/>
      <c r="H4327"/>
      <c r="I4327" s="21" t="str">
        <f t="shared" si="135"/>
        <v/>
      </c>
      <c r="L4327" s="24"/>
      <c r="M4327" s="24"/>
    </row>
    <row r="4328" spans="1:13">
      <c r="A4328" s="10" t="str">
        <f t="shared" si="134"/>
        <v/>
      </c>
      <c r="C4328" s="120" t="s">
        <v>126</v>
      </c>
      <c r="D4328"/>
      <c r="E4328"/>
      <c r="F4328"/>
      <c r="G4328"/>
      <c r="H4328"/>
      <c r="I4328" s="21" t="str">
        <f t="shared" si="135"/>
        <v/>
      </c>
      <c r="L4328" s="24"/>
      <c r="M4328" s="24"/>
    </row>
    <row r="4329" spans="1:13">
      <c r="A4329" s="14" t="str">
        <f t="shared" si="134"/>
        <v/>
      </c>
      <c r="C4329" s="120" t="s">
        <v>128</v>
      </c>
      <c r="D4329"/>
      <c r="E4329"/>
      <c r="F4329"/>
      <c r="G4329"/>
      <c r="H4329"/>
      <c r="I4329" s="21" t="str">
        <f t="shared" si="135"/>
        <v/>
      </c>
      <c r="L4329" s="24"/>
      <c r="M4329" s="24"/>
    </row>
    <row r="4330" spans="1:13">
      <c r="A4330" s="10" t="str">
        <f t="shared" si="134"/>
        <v/>
      </c>
      <c r="C4330" s="120" t="s">
        <v>280</v>
      </c>
      <c r="D4330"/>
      <c r="E4330"/>
      <c r="F4330"/>
      <c r="G4330"/>
      <c r="H4330"/>
      <c r="I4330" s="21" t="str">
        <f t="shared" si="135"/>
        <v/>
      </c>
      <c r="L4330" s="24"/>
      <c r="M4330" s="24"/>
    </row>
    <row r="4331" spans="1:13">
      <c r="A4331" s="14" t="str">
        <f t="shared" si="134"/>
        <v/>
      </c>
      <c r="C4331" s="120" t="s">
        <v>282</v>
      </c>
      <c r="D4331"/>
      <c r="E4331"/>
      <c r="F4331"/>
      <c r="G4331"/>
      <c r="H4331"/>
      <c r="I4331" s="21" t="str">
        <f t="shared" si="135"/>
        <v/>
      </c>
      <c r="L4331" s="24"/>
      <c r="M4331" s="24"/>
    </row>
    <row r="4332" spans="1:13">
      <c r="A4332" s="10" t="str">
        <f t="shared" si="134"/>
        <v/>
      </c>
      <c r="C4332" s="120" t="s">
        <v>284</v>
      </c>
      <c r="D4332"/>
      <c r="E4332"/>
      <c r="F4332"/>
      <c r="G4332"/>
      <c r="H4332"/>
      <c r="I4332" s="21" t="str">
        <f t="shared" si="135"/>
        <v/>
      </c>
      <c r="L4332" s="24"/>
      <c r="M4332" s="24"/>
    </row>
    <row r="4333" spans="1:13">
      <c r="A4333" s="14" t="str">
        <f t="shared" si="134"/>
        <v/>
      </c>
      <c r="C4333" s="120" t="s">
        <v>286</v>
      </c>
      <c r="D4333"/>
      <c r="E4333"/>
      <c r="F4333"/>
      <c r="G4333"/>
      <c r="H4333"/>
      <c r="I4333" s="21" t="str">
        <f t="shared" si="135"/>
        <v/>
      </c>
      <c r="L4333" s="24"/>
      <c r="M4333" s="24"/>
    </row>
    <row r="4334" spans="1:13">
      <c r="A4334" s="10" t="str">
        <f t="shared" si="134"/>
        <v/>
      </c>
      <c r="C4334" s="120" t="s">
        <v>126</v>
      </c>
      <c r="D4334"/>
      <c r="E4334"/>
      <c r="F4334"/>
      <c r="G4334"/>
      <c r="H4334"/>
      <c r="I4334" s="21" t="str">
        <f t="shared" si="135"/>
        <v/>
      </c>
      <c r="L4334" s="24"/>
      <c r="M4334" s="24"/>
    </row>
    <row r="4335" spans="1:13">
      <c r="A4335" s="14" t="str">
        <f t="shared" si="134"/>
        <v/>
      </c>
      <c r="C4335" s="120" t="s">
        <v>128</v>
      </c>
      <c r="D4335"/>
      <c r="E4335"/>
      <c r="F4335"/>
      <c r="G4335"/>
      <c r="H4335"/>
      <c r="I4335" s="21" t="str">
        <f t="shared" si="135"/>
        <v/>
      </c>
      <c r="L4335" s="24"/>
      <c r="M4335" s="24"/>
    </row>
    <row r="4336" spans="1:13">
      <c r="A4336" s="10" t="str">
        <f t="shared" si="134"/>
        <v/>
      </c>
      <c r="C4336" s="120" t="s">
        <v>280</v>
      </c>
      <c r="D4336"/>
      <c r="E4336"/>
      <c r="F4336"/>
      <c r="G4336"/>
      <c r="H4336"/>
      <c r="I4336" s="21" t="str">
        <f t="shared" si="135"/>
        <v/>
      </c>
      <c r="L4336" s="24"/>
      <c r="M4336" s="24"/>
    </row>
    <row r="4337" spans="1:13">
      <c r="A4337" s="14" t="str">
        <f t="shared" si="134"/>
        <v/>
      </c>
      <c r="C4337" s="120" t="s">
        <v>282</v>
      </c>
      <c r="D4337"/>
      <c r="E4337"/>
      <c r="F4337"/>
      <c r="G4337"/>
      <c r="H4337"/>
      <c r="I4337" s="21" t="str">
        <f t="shared" si="135"/>
        <v/>
      </c>
      <c r="L4337" s="24"/>
      <c r="M4337" s="24"/>
    </row>
    <row r="4338" spans="1:13">
      <c r="A4338" s="10" t="str">
        <f t="shared" si="134"/>
        <v/>
      </c>
      <c r="C4338" s="120" t="s">
        <v>284</v>
      </c>
      <c r="D4338"/>
      <c r="E4338"/>
      <c r="F4338"/>
      <c r="G4338"/>
      <c r="H4338"/>
      <c r="I4338" s="21" t="str">
        <f t="shared" si="135"/>
        <v/>
      </c>
      <c r="L4338" s="24"/>
      <c r="M4338" s="24"/>
    </row>
    <row r="4339" spans="1:13">
      <c r="A4339" s="14" t="str">
        <f t="shared" si="134"/>
        <v/>
      </c>
      <c r="C4339" s="120" t="s">
        <v>286</v>
      </c>
      <c r="D4339"/>
      <c r="E4339"/>
      <c r="F4339"/>
      <c r="G4339"/>
      <c r="H4339"/>
      <c r="I4339" s="21" t="str">
        <f t="shared" si="135"/>
        <v/>
      </c>
      <c r="L4339" s="24"/>
      <c r="M4339" s="24"/>
    </row>
    <row r="4340" spans="1:13">
      <c r="A4340" s="10" t="str">
        <f t="shared" si="134"/>
        <v/>
      </c>
      <c r="C4340" s="120" t="s">
        <v>126</v>
      </c>
      <c r="D4340"/>
      <c r="E4340"/>
      <c r="F4340"/>
      <c r="G4340"/>
      <c r="H4340"/>
      <c r="I4340" s="21" t="str">
        <f t="shared" si="135"/>
        <v/>
      </c>
      <c r="L4340" s="24"/>
      <c r="M4340" s="24"/>
    </row>
    <row r="4341" spans="1:13">
      <c r="A4341" s="14" t="str">
        <f t="shared" si="134"/>
        <v/>
      </c>
      <c r="C4341" s="120" t="s">
        <v>128</v>
      </c>
      <c r="D4341"/>
      <c r="E4341"/>
      <c r="F4341"/>
      <c r="G4341"/>
      <c r="H4341"/>
      <c r="I4341" s="21" t="str">
        <f t="shared" si="135"/>
        <v/>
      </c>
      <c r="L4341" s="24"/>
      <c r="M4341" s="24"/>
    </row>
    <row r="4342" spans="1:13">
      <c r="A4342" s="10" t="str">
        <f t="shared" si="134"/>
        <v/>
      </c>
      <c r="C4342" s="120" t="s">
        <v>280</v>
      </c>
      <c r="D4342"/>
      <c r="E4342"/>
      <c r="F4342"/>
      <c r="G4342"/>
      <c r="H4342"/>
      <c r="I4342" s="21" t="str">
        <f t="shared" si="135"/>
        <v/>
      </c>
      <c r="L4342" s="24"/>
      <c r="M4342" s="24"/>
    </row>
    <row r="4343" spans="1:13">
      <c r="A4343" s="14" t="str">
        <f t="shared" si="134"/>
        <v/>
      </c>
      <c r="C4343" s="120" t="s">
        <v>282</v>
      </c>
      <c r="D4343"/>
      <c r="E4343"/>
      <c r="F4343"/>
      <c r="G4343"/>
      <c r="H4343"/>
      <c r="I4343" s="21" t="str">
        <f t="shared" si="135"/>
        <v/>
      </c>
      <c r="L4343" s="24"/>
      <c r="M4343" s="24"/>
    </row>
    <row r="4344" spans="1:13">
      <c r="A4344" s="10" t="str">
        <f t="shared" si="134"/>
        <v/>
      </c>
      <c r="C4344" s="120" t="s">
        <v>284</v>
      </c>
      <c r="D4344"/>
      <c r="E4344"/>
      <c r="F4344"/>
      <c r="G4344"/>
      <c r="H4344"/>
      <c r="I4344" s="21" t="str">
        <f t="shared" si="135"/>
        <v/>
      </c>
      <c r="L4344" s="24"/>
      <c r="M4344" s="24"/>
    </row>
    <row r="4345" spans="1:13">
      <c r="A4345" s="14" t="str">
        <f t="shared" si="134"/>
        <v/>
      </c>
      <c r="C4345" s="120" t="s">
        <v>286</v>
      </c>
      <c r="D4345"/>
      <c r="E4345"/>
      <c r="F4345"/>
      <c r="G4345"/>
      <c r="H4345"/>
      <c r="I4345" s="21" t="str">
        <f t="shared" si="135"/>
        <v/>
      </c>
      <c r="L4345" s="24"/>
      <c r="M4345" s="24"/>
    </row>
    <row r="4346" spans="1:13">
      <c r="A4346" s="10" t="str">
        <f t="shared" si="134"/>
        <v/>
      </c>
      <c r="C4346" s="120" t="s">
        <v>126</v>
      </c>
      <c r="D4346"/>
      <c r="E4346"/>
      <c r="F4346"/>
      <c r="G4346"/>
      <c r="H4346"/>
      <c r="I4346" s="21" t="str">
        <f t="shared" si="135"/>
        <v/>
      </c>
      <c r="L4346" s="24"/>
      <c r="M4346" s="24"/>
    </row>
    <row r="4347" spans="1:13">
      <c r="A4347" s="14" t="str">
        <f t="shared" si="134"/>
        <v/>
      </c>
      <c r="C4347" s="120" t="s">
        <v>128</v>
      </c>
      <c r="D4347"/>
      <c r="E4347"/>
      <c r="F4347"/>
      <c r="G4347"/>
      <c r="H4347"/>
      <c r="I4347" s="21" t="str">
        <f t="shared" si="135"/>
        <v/>
      </c>
      <c r="L4347" s="24"/>
      <c r="M4347" s="24"/>
    </row>
    <row r="4348" spans="1:13">
      <c r="A4348" s="10" t="str">
        <f t="shared" si="134"/>
        <v/>
      </c>
      <c r="C4348" s="120" t="s">
        <v>280</v>
      </c>
      <c r="D4348"/>
      <c r="E4348"/>
      <c r="F4348"/>
      <c r="G4348"/>
      <c r="H4348"/>
      <c r="I4348" s="21" t="str">
        <f t="shared" si="135"/>
        <v/>
      </c>
      <c r="L4348" s="24"/>
      <c r="M4348" s="24"/>
    </row>
    <row r="4349" spans="1:13">
      <c r="A4349" s="14" t="str">
        <f t="shared" si="134"/>
        <v/>
      </c>
      <c r="C4349" s="120" t="s">
        <v>282</v>
      </c>
      <c r="D4349"/>
      <c r="E4349"/>
      <c r="F4349"/>
      <c r="G4349"/>
      <c r="H4349"/>
      <c r="I4349" s="21" t="str">
        <f t="shared" si="135"/>
        <v/>
      </c>
      <c r="L4349" s="24"/>
      <c r="M4349" s="24"/>
    </row>
    <row r="4350" spans="1:13">
      <c r="A4350" s="10" t="str">
        <f t="shared" si="134"/>
        <v/>
      </c>
      <c r="C4350" s="120" t="s">
        <v>284</v>
      </c>
      <c r="D4350"/>
      <c r="E4350"/>
      <c r="F4350"/>
      <c r="G4350"/>
      <c r="H4350"/>
      <c r="I4350" s="21" t="str">
        <f t="shared" si="135"/>
        <v/>
      </c>
      <c r="L4350" s="24"/>
      <c r="M4350" s="24"/>
    </row>
    <row r="4351" spans="1:13">
      <c r="A4351" s="14" t="str">
        <f t="shared" si="134"/>
        <v/>
      </c>
      <c r="C4351" s="120" t="s">
        <v>286</v>
      </c>
      <c r="D4351"/>
      <c r="E4351"/>
      <c r="F4351"/>
      <c r="G4351"/>
      <c r="H4351"/>
      <c r="I4351" s="21" t="str">
        <f t="shared" si="135"/>
        <v/>
      </c>
      <c r="L4351" s="24"/>
      <c r="M4351" s="24"/>
    </row>
    <row r="4352" spans="1:13">
      <c r="A4352" s="10" t="str">
        <f t="shared" si="134"/>
        <v/>
      </c>
      <c r="C4352" s="120" t="s">
        <v>126</v>
      </c>
      <c r="D4352"/>
      <c r="E4352"/>
      <c r="F4352"/>
      <c r="G4352"/>
      <c r="H4352"/>
      <c r="I4352" s="21" t="str">
        <f t="shared" si="135"/>
        <v/>
      </c>
      <c r="L4352" s="24"/>
      <c r="M4352" s="24"/>
    </row>
    <row r="4353" spans="1:13">
      <c r="A4353" s="14" t="str">
        <f t="shared" si="134"/>
        <v/>
      </c>
      <c r="C4353" s="120" t="s">
        <v>128</v>
      </c>
      <c r="D4353"/>
      <c r="E4353"/>
      <c r="F4353"/>
      <c r="G4353"/>
      <c r="H4353"/>
      <c r="I4353" s="21" t="str">
        <f t="shared" si="135"/>
        <v/>
      </c>
      <c r="L4353" s="24"/>
      <c r="M4353" s="24"/>
    </row>
    <row r="4354" spans="1:13">
      <c r="A4354" s="10" t="str">
        <f t="shared" ref="A4354:A4417" si="136">IF(B4354&lt;&gt;"",ROW()-1,"")</f>
        <v/>
      </c>
      <c r="C4354" s="120" t="s">
        <v>280</v>
      </c>
      <c r="D4354"/>
      <c r="E4354"/>
      <c r="F4354"/>
      <c r="G4354"/>
      <c r="H4354"/>
      <c r="I4354" s="21" t="str">
        <f t="shared" ref="I4354:I4417" si="137">IF(AND(G4354&lt;&gt;"",H4354&lt;&gt;""),H4354-G4354,"")</f>
        <v/>
      </c>
      <c r="L4354" s="24"/>
      <c r="M4354" s="24"/>
    </row>
    <row r="4355" spans="1:13">
      <c r="A4355" s="14" t="str">
        <f t="shared" si="136"/>
        <v/>
      </c>
      <c r="C4355" s="120" t="s">
        <v>282</v>
      </c>
      <c r="D4355"/>
      <c r="E4355"/>
      <c r="F4355"/>
      <c r="G4355"/>
      <c r="H4355"/>
      <c r="I4355" s="21" t="str">
        <f t="shared" si="137"/>
        <v/>
      </c>
      <c r="L4355" s="24"/>
      <c r="M4355" s="24"/>
    </row>
    <row r="4356" spans="1:13">
      <c r="A4356" s="10" t="str">
        <f t="shared" si="136"/>
        <v/>
      </c>
      <c r="C4356" s="120" t="s">
        <v>284</v>
      </c>
      <c r="D4356"/>
      <c r="E4356"/>
      <c r="F4356"/>
      <c r="G4356"/>
      <c r="H4356"/>
      <c r="I4356" s="21" t="str">
        <f t="shared" si="137"/>
        <v/>
      </c>
      <c r="L4356" s="24"/>
      <c r="M4356" s="24"/>
    </row>
    <row r="4357" spans="1:13">
      <c r="A4357" s="14" t="str">
        <f t="shared" si="136"/>
        <v/>
      </c>
      <c r="C4357" s="120" t="s">
        <v>286</v>
      </c>
      <c r="D4357"/>
      <c r="E4357"/>
      <c r="F4357"/>
      <c r="G4357"/>
      <c r="H4357"/>
      <c r="I4357" s="21" t="str">
        <f t="shared" si="137"/>
        <v/>
      </c>
      <c r="L4357" s="24"/>
      <c r="M4357" s="24"/>
    </row>
    <row r="4358" spans="1:13">
      <c r="A4358" s="10" t="str">
        <f t="shared" si="136"/>
        <v/>
      </c>
      <c r="C4358" s="120" t="s">
        <v>126</v>
      </c>
      <c r="D4358"/>
      <c r="E4358"/>
      <c r="F4358"/>
      <c r="G4358"/>
      <c r="H4358"/>
      <c r="I4358" s="21" t="str">
        <f t="shared" si="137"/>
        <v/>
      </c>
      <c r="L4358" s="24"/>
      <c r="M4358" s="24"/>
    </row>
    <row r="4359" spans="1:13">
      <c r="A4359" s="14" t="str">
        <f t="shared" si="136"/>
        <v/>
      </c>
      <c r="C4359" s="120" t="s">
        <v>128</v>
      </c>
      <c r="D4359"/>
      <c r="E4359"/>
      <c r="F4359"/>
      <c r="G4359"/>
      <c r="H4359"/>
      <c r="I4359" s="21" t="str">
        <f t="shared" si="137"/>
        <v/>
      </c>
      <c r="L4359" s="24"/>
      <c r="M4359" s="24"/>
    </row>
    <row r="4360" spans="1:13">
      <c r="A4360" s="10" t="str">
        <f t="shared" si="136"/>
        <v/>
      </c>
      <c r="C4360" s="120" t="s">
        <v>280</v>
      </c>
      <c r="D4360"/>
      <c r="E4360"/>
      <c r="F4360"/>
      <c r="G4360"/>
      <c r="H4360"/>
      <c r="I4360" s="21" t="str">
        <f t="shared" si="137"/>
        <v/>
      </c>
      <c r="L4360" s="24"/>
      <c r="M4360" s="24"/>
    </row>
    <row r="4361" spans="1:13">
      <c r="A4361" s="14" t="str">
        <f t="shared" si="136"/>
        <v/>
      </c>
      <c r="C4361" s="120" t="s">
        <v>282</v>
      </c>
      <c r="D4361"/>
      <c r="E4361"/>
      <c r="F4361"/>
      <c r="G4361"/>
      <c r="H4361"/>
      <c r="I4361" s="21" t="str">
        <f t="shared" si="137"/>
        <v/>
      </c>
      <c r="L4361" s="24"/>
      <c r="M4361" s="24"/>
    </row>
    <row r="4362" spans="1:13">
      <c r="A4362" s="10" t="str">
        <f t="shared" si="136"/>
        <v/>
      </c>
      <c r="C4362" s="120" t="s">
        <v>284</v>
      </c>
      <c r="D4362"/>
      <c r="E4362"/>
      <c r="F4362"/>
      <c r="G4362"/>
      <c r="H4362"/>
      <c r="I4362" s="21" t="str">
        <f t="shared" si="137"/>
        <v/>
      </c>
      <c r="L4362" s="24"/>
      <c r="M4362" s="24"/>
    </row>
    <row r="4363" spans="1:13">
      <c r="A4363" s="14" t="str">
        <f t="shared" si="136"/>
        <v/>
      </c>
      <c r="C4363" s="120" t="s">
        <v>286</v>
      </c>
      <c r="D4363"/>
      <c r="E4363"/>
      <c r="F4363"/>
      <c r="G4363"/>
      <c r="H4363"/>
      <c r="I4363" s="21" t="str">
        <f t="shared" si="137"/>
        <v/>
      </c>
      <c r="L4363" s="24"/>
      <c r="M4363" s="24"/>
    </row>
    <row r="4364" spans="1:13">
      <c r="A4364" s="10" t="str">
        <f t="shared" si="136"/>
        <v/>
      </c>
      <c r="C4364" s="120" t="s">
        <v>126</v>
      </c>
      <c r="D4364"/>
      <c r="E4364"/>
      <c r="F4364"/>
      <c r="G4364"/>
      <c r="H4364"/>
      <c r="I4364" s="21" t="str">
        <f t="shared" si="137"/>
        <v/>
      </c>
      <c r="L4364" s="24"/>
      <c r="M4364" s="24"/>
    </row>
    <row r="4365" spans="1:13">
      <c r="A4365" s="14" t="str">
        <f t="shared" si="136"/>
        <v/>
      </c>
      <c r="C4365" s="120" t="s">
        <v>128</v>
      </c>
      <c r="D4365"/>
      <c r="E4365"/>
      <c r="F4365"/>
      <c r="G4365"/>
      <c r="H4365"/>
      <c r="I4365" s="21" t="str">
        <f t="shared" si="137"/>
        <v/>
      </c>
      <c r="L4365" s="24"/>
      <c r="M4365" s="24"/>
    </row>
    <row r="4366" spans="1:13">
      <c r="A4366" s="10" t="str">
        <f t="shared" si="136"/>
        <v/>
      </c>
      <c r="C4366" s="120" t="s">
        <v>280</v>
      </c>
      <c r="D4366"/>
      <c r="E4366"/>
      <c r="F4366"/>
      <c r="G4366"/>
      <c r="H4366"/>
      <c r="I4366" s="21" t="str">
        <f t="shared" si="137"/>
        <v/>
      </c>
      <c r="L4366" s="24"/>
      <c r="M4366" s="24"/>
    </row>
    <row r="4367" spans="1:13">
      <c r="A4367" s="14" t="str">
        <f t="shared" si="136"/>
        <v/>
      </c>
      <c r="C4367" s="120" t="s">
        <v>282</v>
      </c>
      <c r="D4367"/>
      <c r="E4367"/>
      <c r="F4367"/>
      <c r="G4367"/>
      <c r="H4367"/>
      <c r="I4367" s="21" t="str">
        <f t="shared" si="137"/>
        <v/>
      </c>
      <c r="L4367" s="24"/>
      <c r="M4367" s="24"/>
    </row>
    <row r="4368" spans="1:13">
      <c r="A4368" s="10" t="str">
        <f t="shared" si="136"/>
        <v/>
      </c>
      <c r="C4368" s="120" t="s">
        <v>284</v>
      </c>
      <c r="D4368"/>
      <c r="E4368"/>
      <c r="F4368"/>
      <c r="G4368"/>
      <c r="H4368"/>
      <c r="I4368" s="21" t="str">
        <f t="shared" si="137"/>
        <v/>
      </c>
      <c r="L4368" s="24"/>
      <c r="M4368" s="24"/>
    </row>
    <row r="4369" spans="1:13">
      <c r="A4369" s="14" t="str">
        <f t="shared" si="136"/>
        <v/>
      </c>
      <c r="C4369" s="120" t="s">
        <v>286</v>
      </c>
      <c r="D4369"/>
      <c r="E4369"/>
      <c r="F4369"/>
      <c r="G4369"/>
      <c r="H4369"/>
      <c r="I4369" s="21" t="str">
        <f t="shared" si="137"/>
        <v/>
      </c>
      <c r="L4369" s="24"/>
      <c r="M4369" s="24"/>
    </row>
    <row r="4370" spans="1:13">
      <c r="A4370" s="10" t="str">
        <f t="shared" si="136"/>
        <v/>
      </c>
      <c r="C4370" s="120" t="s">
        <v>126</v>
      </c>
      <c r="D4370"/>
      <c r="E4370"/>
      <c r="F4370"/>
      <c r="G4370"/>
      <c r="H4370"/>
      <c r="I4370" s="21" t="str">
        <f t="shared" si="137"/>
        <v/>
      </c>
      <c r="L4370" s="24"/>
      <c r="M4370" s="24"/>
    </row>
    <row r="4371" spans="1:13">
      <c r="A4371" s="14" t="str">
        <f t="shared" si="136"/>
        <v/>
      </c>
      <c r="C4371" s="120" t="s">
        <v>128</v>
      </c>
      <c r="D4371"/>
      <c r="E4371"/>
      <c r="F4371"/>
      <c r="G4371"/>
      <c r="H4371"/>
      <c r="I4371" s="21" t="str">
        <f t="shared" si="137"/>
        <v/>
      </c>
      <c r="L4371" s="24"/>
      <c r="M4371" s="24"/>
    </row>
    <row r="4372" spans="1:13">
      <c r="A4372" s="10" t="str">
        <f t="shared" si="136"/>
        <v/>
      </c>
      <c r="C4372" s="120" t="s">
        <v>280</v>
      </c>
      <c r="D4372"/>
      <c r="E4372"/>
      <c r="F4372"/>
      <c r="G4372"/>
      <c r="H4372"/>
      <c r="I4372" s="21" t="str">
        <f t="shared" si="137"/>
        <v/>
      </c>
      <c r="L4372" s="24"/>
      <c r="M4372" s="24"/>
    </row>
    <row r="4373" spans="1:13">
      <c r="A4373" s="14" t="str">
        <f t="shared" si="136"/>
        <v/>
      </c>
      <c r="C4373" s="120" t="s">
        <v>282</v>
      </c>
      <c r="D4373"/>
      <c r="E4373"/>
      <c r="F4373"/>
      <c r="G4373"/>
      <c r="H4373"/>
      <c r="I4373" s="21" t="str">
        <f t="shared" si="137"/>
        <v/>
      </c>
      <c r="L4373" s="24"/>
      <c r="M4373" s="24"/>
    </row>
    <row r="4374" spans="1:13">
      <c r="A4374" s="10" t="str">
        <f t="shared" si="136"/>
        <v/>
      </c>
      <c r="C4374" s="120" t="s">
        <v>284</v>
      </c>
      <c r="D4374"/>
      <c r="E4374"/>
      <c r="F4374"/>
      <c r="G4374"/>
      <c r="H4374"/>
      <c r="I4374" s="21" t="str">
        <f t="shared" si="137"/>
        <v/>
      </c>
      <c r="L4374" s="24"/>
      <c r="M4374" s="24"/>
    </row>
    <row r="4375" spans="1:13">
      <c r="A4375" s="14" t="str">
        <f t="shared" si="136"/>
        <v/>
      </c>
      <c r="C4375" s="120" t="s">
        <v>286</v>
      </c>
      <c r="D4375"/>
      <c r="E4375"/>
      <c r="F4375"/>
      <c r="G4375"/>
      <c r="H4375"/>
      <c r="I4375" s="21" t="str">
        <f t="shared" si="137"/>
        <v/>
      </c>
      <c r="L4375" s="24"/>
      <c r="M4375" s="24"/>
    </row>
    <row r="4376" spans="1:13">
      <c r="A4376" s="10" t="str">
        <f t="shared" si="136"/>
        <v/>
      </c>
      <c r="C4376" s="120" t="s">
        <v>126</v>
      </c>
      <c r="D4376"/>
      <c r="E4376"/>
      <c r="F4376"/>
      <c r="G4376"/>
      <c r="H4376"/>
      <c r="I4376" s="21" t="str">
        <f t="shared" si="137"/>
        <v/>
      </c>
      <c r="L4376" s="24"/>
      <c r="M4376" s="24"/>
    </row>
    <row r="4377" spans="1:13">
      <c r="A4377" s="14" t="str">
        <f t="shared" si="136"/>
        <v/>
      </c>
      <c r="C4377" s="120" t="s">
        <v>128</v>
      </c>
      <c r="D4377"/>
      <c r="E4377"/>
      <c r="F4377"/>
      <c r="G4377"/>
      <c r="H4377"/>
      <c r="I4377" s="21" t="str">
        <f t="shared" si="137"/>
        <v/>
      </c>
      <c r="L4377" s="24"/>
      <c r="M4377" s="24"/>
    </row>
    <row r="4378" spans="1:13">
      <c r="A4378" s="10" t="str">
        <f t="shared" si="136"/>
        <v/>
      </c>
      <c r="C4378" s="120" t="s">
        <v>280</v>
      </c>
      <c r="D4378"/>
      <c r="E4378"/>
      <c r="F4378"/>
      <c r="G4378"/>
      <c r="H4378"/>
      <c r="I4378" s="21" t="str">
        <f t="shared" si="137"/>
        <v/>
      </c>
      <c r="L4378" s="24"/>
      <c r="M4378" s="24"/>
    </row>
    <row r="4379" spans="1:13">
      <c r="A4379" s="14" t="str">
        <f t="shared" si="136"/>
        <v/>
      </c>
      <c r="C4379" s="120" t="s">
        <v>282</v>
      </c>
      <c r="D4379"/>
      <c r="E4379"/>
      <c r="F4379"/>
      <c r="G4379"/>
      <c r="H4379"/>
      <c r="I4379" s="21" t="str">
        <f t="shared" si="137"/>
        <v/>
      </c>
      <c r="L4379" s="24"/>
      <c r="M4379" s="24"/>
    </row>
    <row r="4380" spans="1:13">
      <c r="A4380" s="10" t="str">
        <f t="shared" si="136"/>
        <v/>
      </c>
      <c r="C4380" s="120" t="s">
        <v>284</v>
      </c>
      <c r="D4380"/>
      <c r="E4380"/>
      <c r="F4380"/>
      <c r="G4380"/>
      <c r="H4380"/>
      <c r="I4380" s="21" t="str">
        <f t="shared" si="137"/>
        <v/>
      </c>
      <c r="L4380" s="24"/>
      <c r="M4380" s="24"/>
    </row>
    <row r="4381" spans="1:13">
      <c r="A4381" s="14" t="str">
        <f t="shared" si="136"/>
        <v/>
      </c>
      <c r="C4381" s="120" t="s">
        <v>286</v>
      </c>
      <c r="D4381"/>
      <c r="E4381"/>
      <c r="F4381"/>
      <c r="G4381"/>
      <c r="H4381"/>
      <c r="I4381" s="21" t="str">
        <f t="shared" si="137"/>
        <v/>
      </c>
      <c r="L4381" s="24"/>
      <c r="M4381" s="24"/>
    </row>
    <row r="4382" spans="1:13">
      <c r="A4382" s="10" t="str">
        <f t="shared" si="136"/>
        <v/>
      </c>
      <c r="C4382" s="120" t="s">
        <v>126</v>
      </c>
      <c r="D4382"/>
      <c r="E4382"/>
      <c r="F4382"/>
      <c r="G4382"/>
      <c r="H4382"/>
      <c r="I4382" s="21" t="str">
        <f t="shared" si="137"/>
        <v/>
      </c>
      <c r="L4382" s="24"/>
      <c r="M4382" s="24"/>
    </row>
    <row r="4383" spans="1:13">
      <c r="A4383" s="14" t="str">
        <f t="shared" si="136"/>
        <v/>
      </c>
      <c r="C4383" s="120" t="s">
        <v>128</v>
      </c>
      <c r="D4383"/>
      <c r="E4383"/>
      <c r="F4383"/>
      <c r="G4383"/>
      <c r="H4383"/>
      <c r="I4383" s="21" t="str">
        <f t="shared" si="137"/>
        <v/>
      </c>
      <c r="L4383" s="24"/>
      <c r="M4383" s="24"/>
    </row>
    <row r="4384" spans="1:13">
      <c r="A4384" s="10" t="str">
        <f t="shared" si="136"/>
        <v/>
      </c>
      <c r="C4384" s="120" t="s">
        <v>280</v>
      </c>
      <c r="D4384"/>
      <c r="E4384"/>
      <c r="F4384"/>
      <c r="G4384"/>
      <c r="H4384"/>
      <c r="I4384" s="21" t="str">
        <f t="shared" si="137"/>
        <v/>
      </c>
      <c r="L4384" s="24"/>
      <c r="M4384" s="24"/>
    </row>
    <row r="4385" spans="1:13">
      <c r="A4385" s="14" t="str">
        <f t="shared" si="136"/>
        <v/>
      </c>
      <c r="C4385" s="120" t="s">
        <v>282</v>
      </c>
      <c r="D4385"/>
      <c r="E4385"/>
      <c r="F4385"/>
      <c r="G4385"/>
      <c r="H4385"/>
      <c r="I4385" s="21" t="str">
        <f t="shared" si="137"/>
        <v/>
      </c>
      <c r="L4385" s="24"/>
      <c r="M4385" s="24"/>
    </row>
    <row r="4386" spans="1:13">
      <c r="A4386" s="10" t="str">
        <f t="shared" si="136"/>
        <v/>
      </c>
      <c r="C4386" s="120" t="s">
        <v>284</v>
      </c>
      <c r="D4386"/>
      <c r="E4386"/>
      <c r="F4386"/>
      <c r="G4386"/>
      <c r="H4386"/>
      <c r="I4386" s="21" t="str">
        <f t="shared" si="137"/>
        <v/>
      </c>
      <c r="L4386" s="24"/>
      <c r="M4386" s="24"/>
    </row>
    <row r="4387" spans="1:13">
      <c r="A4387" s="14" t="str">
        <f t="shared" si="136"/>
        <v/>
      </c>
      <c r="C4387" s="120" t="s">
        <v>286</v>
      </c>
      <c r="D4387"/>
      <c r="E4387"/>
      <c r="F4387"/>
      <c r="G4387"/>
      <c r="H4387"/>
      <c r="I4387" s="21" t="str">
        <f t="shared" si="137"/>
        <v/>
      </c>
      <c r="L4387" s="24"/>
      <c r="M4387" s="24"/>
    </row>
    <row r="4388" spans="1:13">
      <c r="A4388" s="10" t="str">
        <f t="shared" si="136"/>
        <v/>
      </c>
      <c r="C4388" s="120" t="s">
        <v>126</v>
      </c>
      <c r="D4388"/>
      <c r="E4388"/>
      <c r="F4388"/>
      <c r="G4388"/>
      <c r="H4388"/>
      <c r="I4388" s="21" t="str">
        <f t="shared" si="137"/>
        <v/>
      </c>
      <c r="L4388" s="24"/>
      <c r="M4388" s="24"/>
    </row>
    <row r="4389" spans="1:13">
      <c r="A4389" s="14" t="str">
        <f t="shared" si="136"/>
        <v/>
      </c>
      <c r="C4389" s="120" t="s">
        <v>128</v>
      </c>
      <c r="D4389"/>
      <c r="E4389"/>
      <c r="F4389"/>
      <c r="G4389"/>
      <c r="H4389"/>
      <c r="I4389" s="21" t="str">
        <f t="shared" si="137"/>
        <v/>
      </c>
      <c r="L4389" s="24"/>
      <c r="M4389" s="24"/>
    </row>
    <row r="4390" spans="1:13">
      <c r="A4390" s="10" t="str">
        <f t="shared" si="136"/>
        <v/>
      </c>
      <c r="C4390" s="120" t="s">
        <v>280</v>
      </c>
      <c r="D4390"/>
      <c r="E4390"/>
      <c r="F4390"/>
      <c r="G4390"/>
      <c r="H4390"/>
      <c r="I4390" s="21" t="str">
        <f t="shared" si="137"/>
        <v/>
      </c>
      <c r="L4390" s="24"/>
      <c r="M4390" s="24"/>
    </row>
    <row r="4391" spans="1:13">
      <c r="A4391" s="14" t="str">
        <f t="shared" si="136"/>
        <v/>
      </c>
      <c r="C4391" s="120" t="s">
        <v>282</v>
      </c>
      <c r="D4391"/>
      <c r="E4391"/>
      <c r="F4391"/>
      <c r="G4391"/>
      <c r="H4391"/>
      <c r="I4391" s="21" t="str">
        <f t="shared" si="137"/>
        <v/>
      </c>
      <c r="L4391" s="24"/>
      <c r="M4391" s="24"/>
    </row>
    <row r="4392" spans="1:13">
      <c r="A4392" s="10" t="str">
        <f t="shared" si="136"/>
        <v/>
      </c>
      <c r="C4392" s="120" t="s">
        <v>284</v>
      </c>
      <c r="D4392"/>
      <c r="E4392"/>
      <c r="F4392"/>
      <c r="G4392"/>
      <c r="H4392"/>
      <c r="I4392" s="21" t="str">
        <f t="shared" si="137"/>
        <v/>
      </c>
      <c r="L4392" s="24"/>
      <c r="M4392" s="24"/>
    </row>
    <row r="4393" spans="1:13">
      <c r="A4393" s="14" t="str">
        <f t="shared" si="136"/>
        <v/>
      </c>
      <c r="C4393" s="120" t="s">
        <v>286</v>
      </c>
      <c r="D4393"/>
      <c r="E4393"/>
      <c r="F4393"/>
      <c r="G4393"/>
      <c r="H4393"/>
      <c r="I4393" s="21" t="str">
        <f t="shared" si="137"/>
        <v/>
      </c>
      <c r="L4393" s="24"/>
      <c r="M4393" s="24"/>
    </row>
    <row r="4394" spans="1:13">
      <c r="A4394" s="10" t="str">
        <f t="shared" si="136"/>
        <v/>
      </c>
      <c r="C4394" s="120" t="s">
        <v>126</v>
      </c>
      <c r="D4394"/>
      <c r="E4394"/>
      <c r="F4394"/>
      <c r="G4394"/>
      <c r="H4394"/>
      <c r="I4394" s="21" t="str">
        <f t="shared" si="137"/>
        <v/>
      </c>
      <c r="L4394" s="24"/>
      <c r="M4394" s="24"/>
    </row>
    <row r="4395" spans="1:13">
      <c r="A4395" s="14" t="str">
        <f t="shared" si="136"/>
        <v/>
      </c>
      <c r="C4395" s="120" t="s">
        <v>128</v>
      </c>
      <c r="D4395"/>
      <c r="E4395"/>
      <c r="F4395"/>
      <c r="G4395"/>
      <c r="H4395"/>
      <c r="I4395" s="21" t="str">
        <f t="shared" si="137"/>
        <v/>
      </c>
      <c r="L4395" s="24"/>
      <c r="M4395" s="24"/>
    </row>
    <row r="4396" spans="1:13">
      <c r="A4396" s="10" t="str">
        <f t="shared" si="136"/>
        <v/>
      </c>
      <c r="C4396" s="120" t="s">
        <v>280</v>
      </c>
      <c r="D4396"/>
      <c r="E4396"/>
      <c r="F4396"/>
      <c r="G4396"/>
      <c r="H4396"/>
      <c r="I4396" s="21" t="str">
        <f t="shared" si="137"/>
        <v/>
      </c>
      <c r="L4396" s="24"/>
      <c r="M4396" s="24"/>
    </row>
    <row r="4397" spans="1:13">
      <c r="A4397" s="14" t="str">
        <f t="shared" si="136"/>
        <v/>
      </c>
      <c r="C4397" s="120" t="s">
        <v>282</v>
      </c>
      <c r="D4397"/>
      <c r="E4397"/>
      <c r="F4397"/>
      <c r="G4397"/>
      <c r="H4397"/>
      <c r="I4397" s="21" t="str">
        <f t="shared" si="137"/>
        <v/>
      </c>
      <c r="L4397" s="24"/>
      <c r="M4397" s="24"/>
    </row>
    <row r="4398" spans="1:13">
      <c r="A4398" s="10" t="str">
        <f t="shared" si="136"/>
        <v/>
      </c>
      <c r="C4398" s="120" t="s">
        <v>284</v>
      </c>
      <c r="D4398"/>
      <c r="E4398"/>
      <c r="F4398"/>
      <c r="G4398"/>
      <c r="H4398"/>
      <c r="I4398" s="21" t="str">
        <f t="shared" si="137"/>
        <v/>
      </c>
      <c r="L4398" s="24"/>
      <c r="M4398" s="24"/>
    </row>
    <row r="4399" spans="1:13">
      <c r="A4399" s="14" t="str">
        <f t="shared" si="136"/>
        <v/>
      </c>
      <c r="C4399" s="120" t="s">
        <v>286</v>
      </c>
      <c r="D4399"/>
      <c r="E4399"/>
      <c r="F4399"/>
      <c r="G4399"/>
      <c r="H4399"/>
      <c r="I4399" s="21" t="str">
        <f t="shared" si="137"/>
        <v/>
      </c>
      <c r="L4399" s="24"/>
      <c r="M4399" s="24"/>
    </row>
    <row r="4400" spans="1:13">
      <c r="A4400" s="10" t="str">
        <f t="shared" si="136"/>
        <v/>
      </c>
      <c r="C4400" s="120" t="s">
        <v>126</v>
      </c>
      <c r="D4400"/>
      <c r="E4400"/>
      <c r="F4400"/>
      <c r="G4400"/>
      <c r="H4400"/>
      <c r="I4400" s="21" t="str">
        <f t="shared" si="137"/>
        <v/>
      </c>
      <c r="L4400" s="24"/>
      <c r="M4400" s="24"/>
    </row>
    <row r="4401" spans="1:13">
      <c r="A4401" s="14" t="str">
        <f t="shared" si="136"/>
        <v/>
      </c>
      <c r="C4401" s="120" t="s">
        <v>128</v>
      </c>
      <c r="D4401"/>
      <c r="E4401"/>
      <c r="F4401"/>
      <c r="G4401"/>
      <c r="H4401"/>
      <c r="I4401" s="21" t="str">
        <f t="shared" si="137"/>
        <v/>
      </c>
      <c r="L4401" s="24"/>
      <c r="M4401" s="24"/>
    </row>
    <row r="4402" spans="1:13">
      <c r="A4402" s="10" t="str">
        <f t="shared" si="136"/>
        <v/>
      </c>
      <c r="C4402" s="120" t="s">
        <v>280</v>
      </c>
      <c r="D4402"/>
      <c r="E4402"/>
      <c r="F4402"/>
      <c r="G4402"/>
      <c r="H4402"/>
      <c r="I4402" s="21" t="str">
        <f t="shared" si="137"/>
        <v/>
      </c>
      <c r="L4402" s="24"/>
      <c r="M4402" s="24"/>
    </row>
    <row r="4403" spans="1:13">
      <c r="A4403" s="14" t="str">
        <f t="shared" si="136"/>
        <v/>
      </c>
      <c r="C4403" s="120" t="s">
        <v>282</v>
      </c>
      <c r="D4403"/>
      <c r="E4403"/>
      <c r="F4403"/>
      <c r="G4403"/>
      <c r="H4403"/>
      <c r="I4403" s="21" t="str">
        <f t="shared" si="137"/>
        <v/>
      </c>
      <c r="L4403" s="24"/>
      <c r="M4403" s="24"/>
    </row>
    <row r="4404" spans="1:13">
      <c r="A4404" s="10" t="str">
        <f t="shared" si="136"/>
        <v/>
      </c>
      <c r="C4404" s="120" t="s">
        <v>284</v>
      </c>
      <c r="D4404"/>
      <c r="E4404"/>
      <c r="F4404"/>
      <c r="G4404"/>
      <c r="H4404"/>
      <c r="I4404" s="21" t="str">
        <f t="shared" si="137"/>
        <v/>
      </c>
      <c r="L4404" s="24"/>
      <c r="M4404" s="24"/>
    </row>
    <row r="4405" spans="1:13">
      <c r="A4405" s="14" t="str">
        <f t="shared" si="136"/>
        <v/>
      </c>
      <c r="C4405" s="120" t="s">
        <v>286</v>
      </c>
      <c r="D4405"/>
      <c r="E4405"/>
      <c r="F4405"/>
      <c r="G4405"/>
      <c r="H4405"/>
      <c r="I4405" s="21" t="str">
        <f t="shared" si="137"/>
        <v/>
      </c>
      <c r="L4405" s="24"/>
      <c r="M4405" s="24"/>
    </row>
    <row r="4406" spans="1:13">
      <c r="A4406" s="10" t="str">
        <f t="shared" si="136"/>
        <v/>
      </c>
      <c r="C4406" s="120" t="s">
        <v>126</v>
      </c>
      <c r="D4406"/>
      <c r="E4406"/>
      <c r="F4406"/>
      <c r="G4406"/>
      <c r="H4406"/>
      <c r="I4406" s="21" t="str">
        <f t="shared" si="137"/>
        <v/>
      </c>
      <c r="L4406" s="24"/>
      <c r="M4406" s="24"/>
    </row>
    <row r="4407" spans="1:13">
      <c r="A4407" s="14" t="str">
        <f t="shared" si="136"/>
        <v/>
      </c>
      <c r="C4407" s="120" t="s">
        <v>128</v>
      </c>
      <c r="D4407"/>
      <c r="E4407"/>
      <c r="F4407"/>
      <c r="G4407"/>
      <c r="H4407"/>
      <c r="I4407" s="21" t="str">
        <f t="shared" si="137"/>
        <v/>
      </c>
      <c r="L4407" s="24"/>
      <c r="M4407" s="24"/>
    </row>
    <row r="4408" spans="1:13">
      <c r="A4408" s="10" t="str">
        <f t="shared" si="136"/>
        <v/>
      </c>
      <c r="C4408" s="120" t="s">
        <v>280</v>
      </c>
      <c r="D4408"/>
      <c r="E4408"/>
      <c r="F4408"/>
      <c r="G4408"/>
      <c r="H4408"/>
      <c r="I4408" s="21" t="str">
        <f t="shared" si="137"/>
        <v/>
      </c>
      <c r="L4408" s="24"/>
      <c r="M4408" s="24"/>
    </row>
    <row r="4409" spans="1:13">
      <c r="A4409" s="14" t="str">
        <f t="shared" si="136"/>
        <v/>
      </c>
      <c r="C4409" s="120" t="s">
        <v>282</v>
      </c>
      <c r="D4409"/>
      <c r="E4409"/>
      <c r="F4409"/>
      <c r="G4409"/>
      <c r="H4409"/>
      <c r="I4409" s="21" t="str">
        <f t="shared" si="137"/>
        <v/>
      </c>
      <c r="L4409" s="24"/>
      <c r="M4409" s="24"/>
    </row>
    <row r="4410" spans="1:13">
      <c r="A4410" s="10" t="str">
        <f t="shared" si="136"/>
        <v/>
      </c>
      <c r="C4410" s="120" t="s">
        <v>284</v>
      </c>
      <c r="D4410"/>
      <c r="E4410"/>
      <c r="F4410"/>
      <c r="G4410"/>
      <c r="H4410"/>
      <c r="I4410" s="21" t="str">
        <f t="shared" si="137"/>
        <v/>
      </c>
      <c r="L4410" s="24"/>
      <c r="M4410" s="24"/>
    </row>
    <row r="4411" spans="1:13">
      <c r="A4411" s="14" t="str">
        <f t="shared" si="136"/>
        <v/>
      </c>
      <c r="C4411" s="120" t="s">
        <v>286</v>
      </c>
      <c r="D4411"/>
      <c r="E4411"/>
      <c r="F4411"/>
      <c r="G4411"/>
      <c r="H4411"/>
      <c r="I4411" s="21" t="str">
        <f t="shared" si="137"/>
        <v/>
      </c>
      <c r="L4411" s="24"/>
      <c r="M4411" s="24"/>
    </row>
    <row r="4412" spans="1:13">
      <c r="A4412" s="10" t="str">
        <f t="shared" si="136"/>
        <v/>
      </c>
      <c r="C4412" s="120" t="s">
        <v>126</v>
      </c>
      <c r="D4412"/>
      <c r="E4412"/>
      <c r="F4412"/>
      <c r="G4412"/>
      <c r="H4412"/>
      <c r="I4412" s="21" t="str">
        <f t="shared" si="137"/>
        <v/>
      </c>
      <c r="L4412" s="24"/>
      <c r="M4412" s="24"/>
    </row>
    <row r="4413" spans="1:13">
      <c r="A4413" s="14" t="str">
        <f t="shared" si="136"/>
        <v/>
      </c>
      <c r="C4413" s="120" t="s">
        <v>128</v>
      </c>
      <c r="D4413"/>
      <c r="E4413"/>
      <c r="F4413"/>
      <c r="G4413"/>
      <c r="H4413"/>
      <c r="I4413" s="21" t="str">
        <f t="shared" si="137"/>
        <v/>
      </c>
      <c r="L4413" s="24"/>
      <c r="M4413" s="24"/>
    </row>
    <row r="4414" spans="1:13">
      <c r="A4414" s="10" t="str">
        <f t="shared" si="136"/>
        <v/>
      </c>
      <c r="C4414" s="120" t="s">
        <v>280</v>
      </c>
      <c r="D4414"/>
      <c r="E4414"/>
      <c r="F4414"/>
      <c r="G4414"/>
      <c r="H4414"/>
      <c r="I4414" s="21" t="str">
        <f t="shared" si="137"/>
        <v/>
      </c>
      <c r="L4414" s="24"/>
      <c r="M4414" s="24"/>
    </row>
    <row r="4415" spans="1:13">
      <c r="A4415" s="14" t="str">
        <f t="shared" si="136"/>
        <v/>
      </c>
      <c r="C4415" s="120" t="s">
        <v>282</v>
      </c>
      <c r="D4415"/>
      <c r="E4415"/>
      <c r="F4415"/>
      <c r="G4415"/>
      <c r="H4415"/>
      <c r="I4415" s="21" t="str">
        <f t="shared" si="137"/>
        <v/>
      </c>
      <c r="L4415" s="24"/>
      <c r="M4415" s="24"/>
    </row>
    <row r="4416" spans="1:13">
      <c r="A4416" s="10" t="str">
        <f t="shared" si="136"/>
        <v/>
      </c>
      <c r="C4416" s="120" t="s">
        <v>284</v>
      </c>
      <c r="D4416"/>
      <c r="E4416"/>
      <c r="F4416"/>
      <c r="G4416"/>
      <c r="H4416"/>
      <c r="I4416" s="21" t="str">
        <f t="shared" si="137"/>
        <v/>
      </c>
      <c r="L4416" s="24"/>
      <c r="M4416" s="24"/>
    </row>
    <row r="4417" spans="1:13">
      <c r="A4417" s="14" t="str">
        <f t="shared" si="136"/>
        <v/>
      </c>
      <c r="C4417" s="120" t="s">
        <v>286</v>
      </c>
      <c r="D4417"/>
      <c r="E4417"/>
      <c r="F4417"/>
      <c r="G4417"/>
      <c r="H4417"/>
      <c r="I4417" s="21" t="str">
        <f t="shared" si="137"/>
        <v/>
      </c>
      <c r="L4417" s="24"/>
      <c r="M4417" s="24"/>
    </row>
    <row r="4418" spans="1:13">
      <c r="A4418" s="10" t="str">
        <f t="shared" ref="A4418:A4481" si="138">IF(B4418&lt;&gt;"",ROW()-1,"")</f>
        <v/>
      </c>
      <c r="C4418" s="120" t="s">
        <v>126</v>
      </c>
      <c r="D4418"/>
      <c r="E4418"/>
      <c r="F4418"/>
      <c r="G4418"/>
      <c r="H4418"/>
      <c r="I4418" s="21" t="str">
        <f t="shared" ref="I4418:I4481" si="139">IF(AND(G4418&lt;&gt;"",H4418&lt;&gt;""),H4418-G4418,"")</f>
        <v/>
      </c>
      <c r="L4418" s="24"/>
      <c r="M4418" s="24"/>
    </row>
    <row r="4419" spans="1:13">
      <c r="A4419" s="14" t="str">
        <f t="shared" si="138"/>
        <v/>
      </c>
      <c r="C4419" s="120" t="s">
        <v>128</v>
      </c>
      <c r="D4419"/>
      <c r="E4419"/>
      <c r="F4419"/>
      <c r="G4419"/>
      <c r="H4419"/>
      <c r="I4419" s="21" t="str">
        <f t="shared" si="139"/>
        <v/>
      </c>
      <c r="L4419" s="24"/>
      <c r="M4419" s="24"/>
    </row>
    <row r="4420" spans="1:13">
      <c r="A4420" s="10" t="str">
        <f t="shared" si="138"/>
        <v/>
      </c>
      <c r="C4420" s="120" t="s">
        <v>280</v>
      </c>
      <c r="D4420"/>
      <c r="E4420"/>
      <c r="F4420"/>
      <c r="G4420"/>
      <c r="H4420"/>
      <c r="I4420" s="21" t="str">
        <f t="shared" si="139"/>
        <v/>
      </c>
      <c r="L4420" s="24"/>
      <c r="M4420" s="24"/>
    </row>
    <row r="4421" spans="1:13">
      <c r="A4421" s="14" t="str">
        <f t="shared" si="138"/>
        <v/>
      </c>
      <c r="C4421" s="120" t="s">
        <v>282</v>
      </c>
      <c r="D4421"/>
      <c r="E4421"/>
      <c r="F4421"/>
      <c r="G4421"/>
      <c r="H4421"/>
      <c r="I4421" s="21" t="str">
        <f t="shared" si="139"/>
        <v/>
      </c>
      <c r="L4421" s="24"/>
      <c r="M4421" s="24"/>
    </row>
    <row r="4422" spans="1:13">
      <c r="A4422" s="10" t="str">
        <f t="shared" si="138"/>
        <v/>
      </c>
      <c r="C4422" s="120" t="s">
        <v>284</v>
      </c>
      <c r="D4422"/>
      <c r="E4422"/>
      <c r="F4422"/>
      <c r="G4422"/>
      <c r="H4422"/>
      <c r="I4422" s="21" t="str">
        <f t="shared" si="139"/>
        <v/>
      </c>
      <c r="L4422" s="24"/>
      <c r="M4422" s="24"/>
    </row>
    <row r="4423" spans="1:13">
      <c r="A4423" s="14" t="str">
        <f t="shared" si="138"/>
        <v/>
      </c>
      <c r="C4423" s="120" t="s">
        <v>286</v>
      </c>
      <c r="D4423"/>
      <c r="E4423"/>
      <c r="F4423"/>
      <c r="G4423"/>
      <c r="H4423"/>
      <c r="I4423" s="21" t="str">
        <f t="shared" si="139"/>
        <v/>
      </c>
      <c r="L4423" s="24"/>
      <c r="M4423" s="24"/>
    </row>
    <row r="4424" spans="1:13">
      <c r="A4424" s="10" t="str">
        <f t="shared" si="138"/>
        <v/>
      </c>
      <c r="C4424" s="120" t="s">
        <v>126</v>
      </c>
      <c r="D4424"/>
      <c r="E4424"/>
      <c r="F4424"/>
      <c r="G4424"/>
      <c r="H4424"/>
      <c r="I4424" s="21" t="str">
        <f t="shared" si="139"/>
        <v/>
      </c>
      <c r="L4424" s="24"/>
      <c r="M4424" s="24"/>
    </row>
    <row r="4425" spans="1:13">
      <c r="A4425" s="14" t="str">
        <f t="shared" si="138"/>
        <v/>
      </c>
      <c r="C4425" s="120" t="s">
        <v>128</v>
      </c>
      <c r="D4425"/>
      <c r="E4425"/>
      <c r="F4425"/>
      <c r="G4425"/>
      <c r="H4425"/>
      <c r="I4425" s="21" t="str">
        <f t="shared" si="139"/>
        <v/>
      </c>
      <c r="L4425" s="24"/>
      <c r="M4425" s="24"/>
    </row>
    <row r="4426" spans="1:13">
      <c r="A4426" s="10" t="str">
        <f t="shared" si="138"/>
        <v/>
      </c>
      <c r="C4426" s="120" t="s">
        <v>280</v>
      </c>
      <c r="D4426"/>
      <c r="E4426"/>
      <c r="F4426"/>
      <c r="G4426"/>
      <c r="H4426"/>
      <c r="I4426" s="21" t="str">
        <f t="shared" si="139"/>
        <v/>
      </c>
      <c r="L4426" s="24"/>
      <c r="M4426" s="24"/>
    </row>
    <row r="4427" spans="1:13">
      <c r="A4427" s="14" t="str">
        <f t="shared" si="138"/>
        <v/>
      </c>
      <c r="C4427" s="120" t="s">
        <v>282</v>
      </c>
      <c r="D4427"/>
      <c r="E4427"/>
      <c r="F4427"/>
      <c r="G4427"/>
      <c r="H4427"/>
      <c r="I4427" s="21" t="str">
        <f t="shared" si="139"/>
        <v/>
      </c>
      <c r="L4427" s="24"/>
      <c r="M4427" s="24"/>
    </row>
    <row r="4428" spans="1:13">
      <c r="A4428" s="10" t="str">
        <f t="shared" si="138"/>
        <v/>
      </c>
      <c r="C4428" s="120" t="s">
        <v>284</v>
      </c>
      <c r="D4428"/>
      <c r="E4428"/>
      <c r="F4428"/>
      <c r="G4428"/>
      <c r="H4428"/>
      <c r="I4428" s="21" t="str">
        <f t="shared" si="139"/>
        <v/>
      </c>
      <c r="L4428" s="24"/>
      <c r="M4428" s="24"/>
    </row>
    <row r="4429" spans="1:13">
      <c r="A4429" s="14" t="str">
        <f t="shared" si="138"/>
        <v/>
      </c>
      <c r="C4429" s="120" t="s">
        <v>286</v>
      </c>
      <c r="D4429"/>
      <c r="E4429"/>
      <c r="F4429"/>
      <c r="G4429"/>
      <c r="H4429"/>
      <c r="I4429" s="21" t="str">
        <f t="shared" si="139"/>
        <v/>
      </c>
      <c r="L4429" s="24"/>
      <c r="M4429" s="24"/>
    </row>
    <row r="4430" spans="1:13">
      <c r="A4430" s="10" t="str">
        <f t="shared" si="138"/>
        <v/>
      </c>
      <c r="C4430" s="120" t="s">
        <v>126</v>
      </c>
      <c r="D4430"/>
      <c r="E4430"/>
      <c r="F4430"/>
      <c r="G4430"/>
      <c r="H4430"/>
      <c r="I4430" s="21" t="str">
        <f t="shared" si="139"/>
        <v/>
      </c>
      <c r="L4430" s="24"/>
      <c r="M4430" s="24"/>
    </row>
    <row r="4431" spans="1:13">
      <c r="A4431" s="14" t="str">
        <f t="shared" si="138"/>
        <v/>
      </c>
      <c r="C4431" s="120" t="s">
        <v>128</v>
      </c>
      <c r="D4431"/>
      <c r="E4431"/>
      <c r="F4431"/>
      <c r="G4431"/>
      <c r="H4431"/>
      <c r="I4431" s="21" t="str">
        <f t="shared" si="139"/>
        <v/>
      </c>
      <c r="L4431" s="24"/>
      <c r="M4431" s="24"/>
    </row>
    <row r="4432" spans="1:13">
      <c r="A4432" s="10" t="str">
        <f t="shared" si="138"/>
        <v/>
      </c>
      <c r="C4432" s="120" t="s">
        <v>280</v>
      </c>
      <c r="D4432"/>
      <c r="E4432"/>
      <c r="F4432"/>
      <c r="G4432"/>
      <c r="H4432"/>
      <c r="I4432" s="21" t="str">
        <f t="shared" si="139"/>
        <v/>
      </c>
      <c r="L4432" s="24"/>
      <c r="M4432" s="24"/>
    </row>
    <row r="4433" spans="1:13">
      <c r="A4433" s="14" t="str">
        <f t="shared" si="138"/>
        <v/>
      </c>
      <c r="C4433" s="120" t="s">
        <v>282</v>
      </c>
      <c r="D4433"/>
      <c r="E4433"/>
      <c r="F4433"/>
      <c r="G4433"/>
      <c r="H4433"/>
      <c r="I4433" s="21" t="str">
        <f t="shared" si="139"/>
        <v/>
      </c>
      <c r="L4433" s="24"/>
      <c r="M4433" s="24"/>
    </row>
    <row r="4434" spans="1:13">
      <c r="A4434" s="10" t="str">
        <f t="shared" si="138"/>
        <v/>
      </c>
      <c r="C4434" s="120" t="s">
        <v>284</v>
      </c>
      <c r="D4434"/>
      <c r="E4434"/>
      <c r="F4434"/>
      <c r="G4434"/>
      <c r="H4434"/>
      <c r="I4434" s="21" t="str">
        <f t="shared" si="139"/>
        <v/>
      </c>
      <c r="L4434" s="24"/>
      <c r="M4434" s="24"/>
    </row>
    <row r="4435" spans="1:13">
      <c r="A4435" s="14" t="str">
        <f t="shared" si="138"/>
        <v/>
      </c>
      <c r="C4435" s="120" t="s">
        <v>286</v>
      </c>
      <c r="D4435"/>
      <c r="E4435"/>
      <c r="F4435"/>
      <c r="G4435"/>
      <c r="H4435"/>
      <c r="I4435" s="21" t="str">
        <f t="shared" si="139"/>
        <v/>
      </c>
      <c r="L4435" s="24"/>
      <c r="M4435" s="24"/>
    </row>
    <row r="4436" spans="1:13">
      <c r="A4436" s="10" t="str">
        <f t="shared" si="138"/>
        <v/>
      </c>
      <c r="C4436" s="120" t="s">
        <v>126</v>
      </c>
      <c r="D4436"/>
      <c r="E4436"/>
      <c r="F4436"/>
      <c r="G4436"/>
      <c r="H4436"/>
      <c r="I4436" s="21" t="str">
        <f t="shared" si="139"/>
        <v/>
      </c>
      <c r="L4436" s="24"/>
      <c r="M4436" s="24"/>
    </row>
    <row r="4437" spans="1:13">
      <c r="A4437" s="14" t="str">
        <f t="shared" si="138"/>
        <v/>
      </c>
      <c r="C4437" s="120" t="s">
        <v>128</v>
      </c>
      <c r="D4437"/>
      <c r="E4437"/>
      <c r="F4437"/>
      <c r="G4437"/>
      <c r="H4437"/>
      <c r="I4437" s="21" t="str">
        <f t="shared" si="139"/>
        <v/>
      </c>
      <c r="L4437" s="24"/>
      <c r="M4437" s="24"/>
    </row>
    <row r="4438" spans="1:13">
      <c r="A4438" s="10" t="str">
        <f t="shared" si="138"/>
        <v/>
      </c>
      <c r="C4438" s="120" t="s">
        <v>280</v>
      </c>
      <c r="D4438"/>
      <c r="E4438"/>
      <c r="F4438"/>
      <c r="G4438"/>
      <c r="H4438"/>
      <c r="I4438" s="21" t="str">
        <f t="shared" si="139"/>
        <v/>
      </c>
      <c r="L4438" s="24"/>
      <c r="M4438" s="24"/>
    </row>
    <row r="4439" spans="1:13">
      <c r="A4439" s="14" t="str">
        <f t="shared" si="138"/>
        <v/>
      </c>
      <c r="C4439" s="120" t="s">
        <v>282</v>
      </c>
      <c r="D4439"/>
      <c r="E4439"/>
      <c r="F4439"/>
      <c r="G4439"/>
      <c r="H4439"/>
      <c r="I4439" s="21" t="str">
        <f t="shared" si="139"/>
        <v/>
      </c>
      <c r="L4439" s="24"/>
      <c r="M4439" s="24"/>
    </row>
    <row r="4440" spans="1:13">
      <c r="A4440" s="10" t="str">
        <f t="shared" si="138"/>
        <v/>
      </c>
      <c r="C4440" s="120" t="s">
        <v>284</v>
      </c>
      <c r="D4440"/>
      <c r="E4440"/>
      <c r="F4440"/>
      <c r="G4440"/>
      <c r="H4440"/>
      <c r="I4440" s="21" t="str">
        <f t="shared" si="139"/>
        <v/>
      </c>
      <c r="L4440" s="24"/>
      <c r="M4440" s="24"/>
    </row>
    <row r="4441" spans="1:13">
      <c r="A4441" s="14" t="str">
        <f t="shared" si="138"/>
        <v/>
      </c>
      <c r="C4441" s="120" t="s">
        <v>286</v>
      </c>
      <c r="D4441"/>
      <c r="E4441"/>
      <c r="F4441"/>
      <c r="G4441"/>
      <c r="H4441"/>
      <c r="I4441" s="21" t="str">
        <f t="shared" si="139"/>
        <v/>
      </c>
      <c r="L4441" s="24"/>
      <c r="M4441" s="24"/>
    </row>
    <row r="4442" spans="1:13">
      <c r="A4442" s="10" t="str">
        <f t="shared" si="138"/>
        <v/>
      </c>
      <c r="C4442" s="120" t="s">
        <v>126</v>
      </c>
      <c r="D4442"/>
      <c r="E4442"/>
      <c r="F4442"/>
      <c r="G4442"/>
      <c r="H4442"/>
      <c r="I4442" s="21" t="str">
        <f t="shared" si="139"/>
        <v/>
      </c>
      <c r="L4442" s="24"/>
      <c r="M4442" s="24"/>
    </row>
    <row r="4443" spans="1:13">
      <c r="A4443" s="14" t="str">
        <f t="shared" si="138"/>
        <v/>
      </c>
      <c r="C4443" s="120" t="s">
        <v>128</v>
      </c>
      <c r="D4443"/>
      <c r="E4443"/>
      <c r="F4443"/>
      <c r="G4443"/>
      <c r="H4443"/>
      <c r="I4443" s="21" t="str">
        <f t="shared" si="139"/>
        <v/>
      </c>
      <c r="L4443" s="24"/>
      <c r="M4443" s="24"/>
    </row>
    <row r="4444" spans="1:13">
      <c r="A4444" s="10" t="str">
        <f t="shared" si="138"/>
        <v/>
      </c>
      <c r="C4444" s="120" t="s">
        <v>280</v>
      </c>
      <c r="D4444"/>
      <c r="E4444"/>
      <c r="F4444"/>
      <c r="G4444"/>
      <c r="H4444"/>
      <c r="I4444" s="21" t="str">
        <f t="shared" si="139"/>
        <v/>
      </c>
      <c r="L4444" s="24"/>
      <c r="M4444" s="24"/>
    </row>
    <row r="4445" spans="1:13">
      <c r="A4445" s="14" t="str">
        <f t="shared" si="138"/>
        <v/>
      </c>
      <c r="C4445" s="120" t="s">
        <v>282</v>
      </c>
      <c r="D4445"/>
      <c r="E4445"/>
      <c r="F4445"/>
      <c r="G4445"/>
      <c r="H4445"/>
      <c r="I4445" s="21" t="str">
        <f t="shared" si="139"/>
        <v/>
      </c>
      <c r="L4445" s="24"/>
      <c r="M4445" s="24"/>
    </row>
    <row r="4446" spans="1:13">
      <c r="A4446" s="10" t="str">
        <f t="shared" si="138"/>
        <v/>
      </c>
      <c r="C4446" s="120" t="s">
        <v>284</v>
      </c>
      <c r="D4446"/>
      <c r="E4446"/>
      <c r="F4446"/>
      <c r="G4446"/>
      <c r="H4446"/>
      <c r="I4446" s="21" t="str">
        <f t="shared" si="139"/>
        <v/>
      </c>
      <c r="L4446" s="24"/>
      <c r="M4446" s="24"/>
    </row>
    <row r="4447" spans="1:13">
      <c r="A4447" s="14" t="str">
        <f t="shared" si="138"/>
        <v/>
      </c>
      <c r="C4447" s="120" t="s">
        <v>286</v>
      </c>
      <c r="D4447"/>
      <c r="E4447"/>
      <c r="F4447"/>
      <c r="G4447"/>
      <c r="H4447"/>
      <c r="I4447" s="21" t="str">
        <f t="shared" si="139"/>
        <v/>
      </c>
      <c r="L4447" s="24"/>
      <c r="M4447" s="24"/>
    </row>
    <row r="4448" spans="1:13">
      <c r="A4448" s="10" t="str">
        <f t="shared" si="138"/>
        <v/>
      </c>
      <c r="C4448" s="120" t="s">
        <v>126</v>
      </c>
      <c r="D4448"/>
      <c r="E4448"/>
      <c r="F4448"/>
      <c r="G4448"/>
      <c r="H4448"/>
      <c r="I4448" s="21" t="str">
        <f t="shared" si="139"/>
        <v/>
      </c>
      <c r="L4448" s="24"/>
      <c r="M4448" s="24"/>
    </row>
    <row r="4449" spans="1:13">
      <c r="A4449" s="14" t="str">
        <f t="shared" si="138"/>
        <v/>
      </c>
      <c r="C4449" s="120" t="s">
        <v>128</v>
      </c>
      <c r="D4449"/>
      <c r="E4449"/>
      <c r="F4449"/>
      <c r="G4449"/>
      <c r="H4449"/>
      <c r="I4449" s="21" t="str">
        <f t="shared" si="139"/>
        <v/>
      </c>
      <c r="L4449" s="24"/>
      <c r="M4449" s="24"/>
    </row>
    <row r="4450" spans="1:13">
      <c r="A4450" s="10" t="str">
        <f t="shared" si="138"/>
        <v/>
      </c>
      <c r="C4450" s="120" t="s">
        <v>280</v>
      </c>
      <c r="D4450"/>
      <c r="E4450"/>
      <c r="F4450"/>
      <c r="G4450"/>
      <c r="H4450"/>
      <c r="I4450" s="21" t="str">
        <f t="shared" si="139"/>
        <v/>
      </c>
      <c r="L4450" s="24"/>
      <c r="M4450" s="24"/>
    </row>
    <row r="4451" spans="1:13">
      <c r="A4451" s="14" t="str">
        <f t="shared" si="138"/>
        <v/>
      </c>
      <c r="C4451" s="120" t="s">
        <v>282</v>
      </c>
      <c r="D4451"/>
      <c r="E4451"/>
      <c r="F4451"/>
      <c r="G4451"/>
      <c r="H4451"/>
      <c r="I4451" s="21" t="str">
        <f t="shared" si="139"/>
        <v/>
      </c>
      <c r="L4451" s="24"/>
      <c r="M4451" s="24"/>
    </row>
    <row r="4452" spans="1:13">
      <c r="A4452" s="10" t="str">
        <f t="shared" si="138"/>
        <v/>
      </c>
      <c r="C4452" s="120" t="s">
        <v>284</v>
      </c>
      <c r="D4452"/>
      <c r="E4452"/>
      <c r="F4452"/>
      <c r="G4452"/>
      <c r="H4452"/>
      <c r="I4452" s="21" t="str">
        <f t="shared" si="139"/>
        <v/>
      </c>
      <c r="L4452" s="24"/>
      <c r="M4452" s="24"/>
    </row>
    <row r="4453" spans="1:13">
      <c r="A4453" s="14" t="str">
        <f t="shared" si="138"/>
        <v/>
      </c>
      <c r="C4453" s="120" t="s">
        <v>286</v>
      </c>
      <c r="D4453"/>
      <c r="E4453"/>
      <c r="F4453"/>
      <c r="G4453"/>
      <c r="H4453"/>
      <c r="I4453" s="21" t="str">
        <f t="shared" si="139"/>
        <v/>
      </c>
      <c r="L4453" s="24"/>
      <c r="M4453" s="24"/>
    </row>
    <row r="4454" spans="1:13">
      <c r="A4454" s="10" t="str">
        <f t="shared" si="138"/>
        <v/>
      </c>
      <c r="C4454" s="120" t="s">
        <v>126</v>
      </c>
      <c r="D4454"/>
      <c r="E4454"/>
      <c r="F4454"/>
      <c r="G4454"/>
      <c r="H4454"/>
      <c r="I4454" s="21" t="str">
        <f t="shared" si="139"/>
        <v/>
      </c>
      <c r="L4454" s="24"/>
      <c r="M4454" s="24"/>
    </row>
    <row r="4455" spans="1:13">
      <c r="A4455" s="14" t="str">
        <f t="shared" si="138"/>
        <v/>
      </c>
      <c r="C4455" s="120" t="s">
        <v>128</v>
      </c>
      <c r="D4455"/>
      <c r="E4455"/>
      <c r="F4455"/>
      <c r="G4455"/>
      <c r="H4455"/>
      <c r="I4455" s="21" t="str">
        <f t="shared" si="139"/>
        <v/>
      </c>
      <c r="L4455" s="24"/>
      <c r="M4455" s="24"/>
    </row>
    <row r="4456" spans="1:13">
      <c r="A4456" s="10" t="str">
        <f t="shared" si="138"/>
        <v/>
      </c>
      <c r="C4456" s="120" t="s">
        <v>280</v>
      </c>
      <c r="D4456"/>
      <c r="E4456"/>
      <c r="F4456"/>
      <c r="G4456"/>
      <c r="H4456"/>
      <c r="I4456" s="21" t="str">
        <f t="shared" si="139"/>
        <v/>
      </c>
      <c r="L4456" s="24"/>
      <c r="M4456" s="24"/>
    </row>
    <row r="4457" spans="1:13">
      <c r="A4457" s="14" t="str">
        <f t="shared" si="138"/>
        <v/>
      </c>
      <c r="C4457" s="120" t="s">
        <v>282</v>
      </c>
      <c r="D4457"/>
      <c r="E4457"/>
      <c r="F4457"/>
      <c r="G4457"/>
      <c r="H4457"/>
      <c r="I4457" s="21" t="str">
        <f t="shared" si="139"/>
        <v/>
      </c>
      <c r="L4457" s="24"/>
      <c r="M4457" s="24"/>
    </row>
    <row r="4458" spans="1:13">
      <c r="A4458" s="10" t="str">
        <f t="shared" si="138"/>
        <v/>
      </c>
      <c r="C4458" s="120" t="s">
        <v>284</v>
      </c>
      <c r="D4458"/>
      <c r="E4458"/>
      <c r="F4458"/>
      <c r="G4458"/>
      <c r="H4458"/>
      <c r="I4458" s="21" t="str">
        <f t="shared" si="139"/>
        <v/>
      </c>
      <c r="L4458" s="24"/>
      <c r="M4458" s="24"/>
    </row>
    <row r="4459" spans="1:13">
      <c r="A4459" s="14" t="str">
        <f t="shared" si="138"/>
        <v/>
      </c>
      <c r="C4459" s="120" t="s">
        <v>286</v>
      </c>
      <c r="D4459"/>
      <c r="E4459"/>
      <c r="F4459"/>
      <c r="G4459"/>
      <c r="H4459"/>
      <c r="I4459" s="21" t="str">
        <f t="shared" si="139"/>
        <v/>
      </c>
      <c r="L4459" s="24"/>
      <c r="M4459" s="24"/>
    </row>
    <row r="4460" spans="1:13">
      <c r="A4460" s="10" t="str">
        <f t="shared" si="138"/>
        <v/>
      </c>
      <c r="C4460" s="120" t="s">
        <v>126</v>
      </c>
      <c r="D4460"/>
      <c r="E4460"/>
      <c r="F4460"/>
      <c r="G4460"/>
      <c r="H4460"/>
      <c r="I4460" s="21" t="str">
        <f t="shared" si="139"/>
        <v/>
      </c>
      <c r="L4460" s="24"/>
      <c r="M4460" s="24"/>
    </row>
    <row r="4461" spans="1:13">
      <c r="A4461" s="14" t="str">
        <f t="shared" si="138"/>
        <v/>
      </c>
      <c r="C4461" s="120" t="s">
        <v>128</v>
      </c>
      <c r="D4461"/>
      <c r="E4461"/>
      <c r="F4461"/>
      <c r="G4461"/>
      <c r="H4461"/>
      <c r="I4461" s="21" t="str">
        <f t="shared" si="139"/>
        <v/>
      </c>
      <c r="L4461" s="24"/>
      <c r="M4461" s="24"/>
    </row>
    <row r="4462" spans="1:13">
      <c r="A4462" s="10" t="str">
        <f t="shared" si="138"/>
        <v/>
      </c>
      <c r="C4462" s="120" t="s">
        <v>280</v>
      </c>
      <c r="D4462"/>
      <c r="E4462"/>
      <c r="F4462"/>
      <c r="G4462"/>
      <c r="H4462"/>
      <c r="I4462" s="21" t="str">
        <f t="shared" si="139"/>
        <v/>
      </c>
      <c r="L4462" s="24"/>
      <c r="M4462" s="24"/>
    </row>
    <row r="4463" spans="1:13">
      <c r="A4463" s="14" t="str">
        <f t="shared" si="138"/>
        <v/>
      </c>
      <c r="C4463" s="120" t="s">
        <v>282</v>
      </c>
      <c r="D4463"/>
      <c r="E4463"/>
      <c r="F4463"/>
      <c r="G4463"/>
      <c r="H4463"/>
      <c r="I4463" s="21" t="str">
        <f t="shared" si="139"/>
        <v/>
      </c>
      <c r="L4463" s="24"/>
      <c r="M4463" s="24"/>
    </row>
    <row r="4464" spans="1:13">
      <c r="A4464" s="10" t="str">
        <f t="shared" si="138"/>
        <v/>
      </c>
      <c r="C4464" s="120" t="s">
        <v>284</v>
      </c>
      <c r="D4464"/>
      <c r="E4464"/>
      <c r="F4464"/>
      <c r="G4464"/>
      <c r="H4464"/>
      <c r="I4464" s="21" t="str">
        <f t="shared" si="139"/>
        <v/>
      </c>
      <c r="L4464" s="24"/>
      <c r="M4464" s="24"/>
    </row>
    <row r="4465" spans="1:13">
      <c r="A4465" s="14" t="str">
        <f t="shared" si="138"/>
        <v/>
      </c>
      <c r="C4465" s="120" t="s">
        <v>286</v>
      </c>
      <c r="D4465"/>
      <c r="E4465"/>
      <c r="F4465"/>
      <c r="G4465"/>
      <c r="H4465"/>
      <c r="I4465" s="21" t="str">
        <f t="shared" si="139"/>
        <v/>
      </c>
      <c r="L4465" s="24"/>
      <c r="M4465" s="24"/>
    </row>
    <row r="4466" spans="1:13">
      <c r="A4466" s="10" t="str">
        <f t="shared" si="138"/>
        <v/>
      </c>
      <c r="C4466" s="120" t="s">
        <v>126</v>
      </c>
      <c r="D4466"/>
      <c r="E4466"/>
      <c r="F4466"/>
      <c r="G4466"/>
      <c r="H4466"/>
      <c r="I4466" s="21" t="str">
        <f t="shared" si="139"/>
        <v/>
      </c>
      <c r="L4466" s="24"/>
      <c r="M4466" s="24"/>
    </row>
    <row r="4467" spans="1:13">
      <c r="A4467" s="14" t="str">
        <f t="shared" si="138"/>
        <v/>
      </c>
      <c r="C4467" s="120" t="s">
        <v>128</v>
      </c>
      <c r="D4467"/>
      <c r="E4467"/>
      <c r="F4467"/>
      <c r="G4467"/>
      <c r="H4467"/>
      <c r="I4467" s="21" t="str">
        <f t="shared" si="139"/>
        <v/>
      </c>
      <c r="L4467" s="24"/>
      <c r="M4467" s="24"/>
    </row>
    <row r="4468" spans="1:13">
      <c r="A4468" s="10" t="str">
        <f t="shared" si="138"/>
        <v/>
      </c>
      <c r="C4468" s="120" t="s">
        <v>280</v>
      </c>
      <c r="D4468"/>
      <c r="E4468"/>
      <c r="F4468"/>
      <c r="G4468"/>
      <c r="H4468"/>
      <c r="I4468" s="21" t="str">
        <f t="shared" si="139"/>
        <v/>
      </c>
      <c r="L4468" s="24"/>
      <c r="M4468" s="24"/>
    </row>
    <row r="4469" spans="1:13">
      <c r="A4469" s="14" t="str">
        <f t="shared" si="138"/>
        <v/>
      </c>
      <c r="C4469" s="120" t="s">
        <v>282</v>
      </c>
      <c r="D4469"/>
      <c r="E4469"/>
      <c r="F4469"/>
      <c r="G4469"/>
      <c r="H4469"/>
      <c r="I4469" s="21" t="str">
        <f t="shared" si="139"/>
        <v/>
      </c>
      <c r="L4469" s="24"/>
      <c r="M4469" s="24"/>
    </row>
    <row r="4470" spans="1:13">
      <c r="A4470" s="10" t="str">
        <f t="shared" si="138"/>
        <v/>
      </c>
      <c r="C4470" s="120" t="s">
        <v>284</v>
      </c>
      <c r="D4470"/>
      <c r="E4470"/>
      <c r="F4470"/>
      <c r="G4470"/>
      <c r="H4470"/>
      <c r="I4470" s="21" t="str">
        <f t="shared" si="139"/>
        <v/>
      </c>
      <c r="L4470" s="24"/>
      <c r="M4470" s="24"/>
    </row>
    <row r="4471" spans="1:13">
      <c r="A4471" s="14" t="str">
        <f t="shared" si="138"/>
        <v/>
      </c>
      <c r="C4471" s="120" t="s">
        <v>286</v>
      </c>
      <c r="D4471"/>
      <c r="E4471"/>
      <c r="F4471"/>
      <c r="G4471"/>
      <c r="H4471"/>
      <c r="I4471" s="21" t="str">
        <f t="shared" si="139"/>
        <v/>
      </c>
      <c r="L4471" s="24"/>
      <c r="M4471" s="24"/>
    </row>
    <row r="4472" spans="1:13">
      <c r="A4472" s="10" t="str">
        <f t="shared" si="138"/>
        <v/>
      </c>
      <c r="C4472" s="120" t="s">
        <v>126</v>
      </c>
      <c r="D4472"/>
      <c r="E4472"/>
      <c r="F4472"/>
      <c r="G4472"/>
      <c r="H4472"/>
      <c r="I4472" s="21" t="str">
        <f t="shared" si="139"/>
        <v/>
      </c>
      <c r="L4472" s="24"/>
      <c r="M4472" s="24"/>
    </row>
    <row r="4473" spans="1:13">
      <c r="A4473" s="14" t="str">
        <f t="shared" si="138"/>
        <v/>
      </c>
      <c r="C4473" s="120" t="s">
        <v>128</v>
      </c>
      <c r="D4473"/>
      <c r="E4473"/>
      <c r="F4473"/>
      <c r="G4473"/>
      <c r="H4473"/>
      <c r="I4473" s="21" t="str">
        <f t="shared" si="139"/>
        <v/>
      </c>
      <c r="L4473" s="24"/>
      <c r="M4473" s="24"/>
    </row>
    <row r="4474" spans="1:13">
      <c r="A4474" s="10" t="str">
        <f t="shared" si="138"/>
        <v/>
      </c>
      <c r="C4474" s="120" t="s">
        <v>280</v>
      </c>
      <c r="D4474"/>
      <c r="E4474"/>
      <c r="F4474"/>
      <c r="G4474"/>
      <c r="H4474"/>
      <c r="I4474" s="21" t="str">
        <f t="shared" si="139"/>
        <v/>
      </c>
      <c r="L4474" s="24"/>
      <c r="M4474" s="24"/>
    </row>
    <row r="4475" spans="1:13">
      <c r="A4475" s="14" t="str">
        <f t="shared" si="138"/>
        <v/>
      </c>
      <c r="C4475" s="120" t="s">
        <v>282</v>
      </c>
      <c r="D4475"/>
      <c r="E4475"/>
      <c r="F4475"/>
      <c r="G4475"/>
      <c r="H4475"/>
      <c r="I4475" s="21" t="str">
        <f t="shared" si="139"/>
        <v/>
      </c>
      <c r="L4475" s="24"/>
      <c r="M4475" s="24"/>
    </row>
    <row r="4476" spans="1:13">
      <c r="A4476" s="10" t="str">
        <f t="shared" si="138"/>
        <v/>
      </c>
      <c r="C4476" s="120" t="s">
        <v>284</v>
      </c>
      <c r="D4476"/>
      <c r="E4476"/>
      <c r="F4476"/>
      <c r="G4476"/>
      <c r="H4476"/>
      <c r="I4476" s="21" t="str">
        <f t="shared" si="139"/>
        <v/>
      </c>
      <c r="L4476" s="24"/>
      <c r="M4476" s="24"/>
    </row>
    <row r="4477" spans="1:13">
      <c r="A4477" s="14" t="str">
        <f t="shared" si="138"/>
        <v/>
      </c>
      <c r="C4477" s="120" t="s">
        <v>286</v>
      </c>
      <c r="D4477"/>
      <c r="E4477"/>
      <c r="F4477"/>
      <c r="G4477"/>
      <c r="H4477"/>
      <c r="I4477" s="21" t="str">
        <f t="shared" si="139"/>
        <v/>
      </c>
      <c r="L4477" s="24"/>
      <c r="M4477" s="24"/>
    </row>
    <row r="4478" spans="1:13">
      <c r="A4478" s="10" t="str">
        <f t="shared" si="138"/>
        <v/>
      </c>
      <c r="C4478" s="120" t="s">
        <v>126</v>
      </c>
      <c r="D4478"/>
      <c r="E4478"/>
      <c r="F4478"/>
      <c r="G4478"/>
      <c r="H4478"/>
      <c r="I4478" s="21" t="str">
        <f t="shared" si="139"/>
        <v/>
      </c>
      <c r="L4478" s="24"/>
      <c r="M4478" s="24"/>
    </row>
    <row r="4479" spans="1:13">
      <c r="A4479" s="14" t="str">
        <f t="shared" si="138"/>
        <v/>
      </c>
      <c r="C4479" s="120" t="s">
        <v>128</v>
      </c>
      <c r="D4479"/>
      <c r="E4479"/>
      <c r="F4479"/>
      <c r="G4479"/>
      <c r="H4479"/>
      <c r="I4479" s="21" t="str">
        <f t="shared" si="139"/>
        <v/>
      </c>
      <c r="L4479" s="24"/>
      <c r="M4479" s="24"/>
    </row>
    <row r="4480" spans="1:13">
      <c r="A4480" s="10" t="str">
        <f t="shared" si="138"/>
        <v/>
      </c>
      <c r="C4480" s="120" t="s">
        <v>280</v>
      </c>
      <c r="D4480"/>
      <c r="E4480"/>
      <c r="F4480"/>
      <c r="G4480"/>
      <c r="H4480"/>
      <c r="I4480" s="21" t="str">
        <f t="shared" si="139"/>
        <v/>
      </c>
      <c r="L4480" s="24"/>
      <c r="M4480" s="24"/>
    </row>
    <row r="4481" spans="1:13">
      <c r="A4481" s="14" t="str">
        <f t="shared" si="138"/>
        <v/>
      </c>
      <c r="C4481" s="120" t="s">
        <v>282</v>
      </c>
      <c r="D4481"/>
      <c r="E4481"/>
      <c r="F4481"/>
      <c r="G4481"/>
      <c r="H4481"/>
      <c r="I4481" s="21" t="str">
        <f t="shared" si="139"/>
        <v/>
      </c>
      <c r="L4481" s="24"/>
      <c r="M4481" s="24"/>
    </row>
    <row r="4482" spans="1:13">
      <c r="A4482" s="10" t="str">
        <f t="shared" ref="A4482:A4545" si="140">IF(B4482&lt;&gt;"",ROW()-1,"")</f>
        <v/>
      </c>
      <c r="C4482" s="120" t="s">
        <v>284</v>
      </c>
      <c r="D4482"/>
      <c r="E4482"/>
      <c r="F4482"/>
      <c r="G4482"/>
      <c r="H4482"/>
      <c r="I4482" s="21" t="str">
        <f t="shared" ref="I4482:I4545" si="141">IF(AND(G4482&lt;&gt;"",H4482&lt;&gt;""),H4482-G4482,"")</f>
        <v/>
      </c>
      <c r="L4482" s="24"/>
      <c r="M4482" s="24"/>
    </row>
    <row r="4483" spans="1:13">
      <c r="A4483" s="14" t="str">
        <f t="shared" si="140"/>
        <v/>
      </c>
      <c r="C4483" s="120" t="s">
        <v>286</v>
      </c>
      <c r="D4483"/>
      <c r="E4483"/>
      <c r="F4483"/>
      <c r="G4483"/>
      <c r="H4483"/>
      <c r="I4483" s="21" t="str">
        <f t="shared" si="141"/>
        <v/>
      </c>
      <c r="L4483" s="24"/>
      <c r="M4483" s="24"/>
    </row>
    <row r="4484" spans="1:13">
      <c r="A4484" s="10" t="str">
        <f t="shared" si="140"/>
        <v/>
      </c>
      <c r="C4484" s="120" t="s">
        <v>126</v>
      </c>
      <c r="D4484"/>
      <c r="E4484"/>
      <c r="F4484"/>
      <c r="G4484"/>
      <c r="H4484"/>
      <c r="I4484" s="21" t="str">
        <f t="shared" si="141"/>
        <v/>
      </c>
      <c r="L4484" s="24"/>
      <c r="M4484" s="24"/>
    </row>
    <row r="4485" spans="1:13">
      <c r="A4485" s="14" t="str">
        <f t="shared" si="140"/>
        <v/>
      </c>
      <c r="C4485" s="120" t="s">
        <v>128</v>
      </c>
      <c r="D4485"/>
      <c r="E4485"/>
      <c r="F4485"/>
      <c r="G4485"/>
      <c r="H4485"/>
      <c r="I4485" s="21" t="str">
        <f t="shared" si="141"/>
        <v/>
      </c>
      <c r="L4485" s="24"/>
      <c r="M4485" s="24"/>
    </row>
    <row r="4486" spans="1:13">
      <c r="A4486" s="10" t="str">
        <f t="shared" si="140"/>
        <v/>
      </c>
      <c r="C4486" s="120" t="s">
        <v>280</v>
      </c>
      <c r="D4486"/>
      <c r="E4486"/>
      <c r="F4486"/>
      <c r="G4486"/>
      <c r="H4486"/>
      <c r="I4486" s="21" t="str">
        <f t="shared" si="141"/>
        <v/>
      </c>
      <c r="L4486" s="24"/>
      <c r="M4486" s="24"/>
    </row>
    <row r="4487" spans="1:13">
      <c r="A4487" s="14" t="str">
        <f t="shared" si="140"/>
        <v/>
      </c>
      <c r="C4487" s="120" t="s">
        <v>282</v>
      </c>
      <c r="D4487"/>
      <c r="E4487"/>
      <c r="F4487"/>
      <c r="G4487"/>
      <c r="H4487"/>
      <c r="I4487" s="21" t="str">
        <f t="shared" si="141"/>
        <v/>
      </c>
      <c r="L4487" s="24"/>
      <c r="M4487" s="24"/>
    </row>
    <row r="4488" spans="1:13">
      <c r="A4488" s="10" t="str">
        <f t="shared" si="140"/>
        <v/>
      </c>
      <c r="C4488" s="120" t="s">
        <v>284</v>
      </c>
      <c r="D4488"/>
      <c r="E4488"/>
      <c r="F4488"/>
      <c r="G4488"/>
      <c r="H4488"/>
      <c r="I4488" s="21" t="str">
        <f t="shared" si="141"/>
        <v/>
      </c>
      <c r="L4488" s="24"/>
      <c r="M4488" s="24"/>
    </row>
    <row r="4489" spans="1:13">
      <c r="A4489" s="14" t="str">
        <f t="shared" si="140"/>
        <v/>
      </c>
      <c r="C4489" s="120" t="s">
        <v>286</v>
      </c>
      <c r="D4489"/>
      <c r="E4489"/>
      <c r="F4489"/>
      <c r="G4489"/>
      <c r="H4489"/>
      <c r="I4489" s="21" t="str">
        <f t="shared" si="141"/>
        <v/>
      </c>
      <c r="L4489" s="24"/>
      <c r="M4489" s="24"/>
    </row>
    <row r="4490" spans="1:13">
      <c r="A4490" s="10" t="str">
        <f t="shared" si="140"/>
        <v/>
      </c>
      <c r="C4490" s="120" t="s">
        <v>126</v>
      </c>
      <c r="D4490"/>
      <c r="E4490"/>
      <c r="F4490"/>
      <c r="G4490"/>
      <c r="H4490"/>
      <c r="I4490" s="21" t="str">
        <f t="shared" si="141"/>
        <v/>
      </c>
      <c r="L4490" s="24"/>
      <c r="M4490" s="24"/>
    </row>
    <row r="4491" spans="1:13">
      <c r="A4491" s="14" t="str">
        <f t="shared" si="140"/>
        <v/>
      </c>
      <c r="C4491" s="120" t="s">
        <v>128</v>
      </c>
      <c r="D4491"/>
      <c r="E4491"/>
      <c r="F4491"/>
      <c r="G4491"/>
      <c r="H4491"/>
      <c r="I4491" s="21" t="str">
        <f t="shared" si="141"/>
        <v/>
      </c>
      <c r="L4491" s="24"/>
      <c r="M4491" s="24"/>
    </row>
    <row r="4492" spans="1:13">
      <c r="A4492" s="10" t="str">
        <f t="shared" si="140"/>
        <v/>
      </c>
      <c r="C4492" s="120" t="s">
        <v>280</v>
      </c>
      <c r="D4492"/>
      <c r="E4492"/>
      <c r="F4492"/>
      <c r="G4492"/>
      <c r="H4492"/>
      <c r="I4492" s="21" t="str">
        <f t="shared" si="141"/>
        <v/>
      </c>
      <c r="L4492" s="24"/>
      <c r="M4492" s="24"/>
    </row>
    <row r="4493" spans="1:13">
      <c r="A4493" s="14" t="str">
        <f t="shared" si="140"/>
        <v/>
      </c>
      <c r="C4493" s="120" t="s">
        <v>282</v>
      </c>
      <c r="D4493"/>
      <c r="E4493"/>
      <c r="F4493"/>
      <c r="G4493"/>
      <c r="H4493"/>
      <c r="I4493" s="21" t="str">
        <f t="shared" si="141"/>
        <v/>
      </c>
      <c r="L4493" s="24"/>
      <c r="M4493" s="24"/>
    </row>
    <row r="4494" spans="1:13">
      <c r="A4494" s="10" t="str">
        <f t="shared" si="140"/>
        <v/>
      </c>
      <c r="C4494" s="120" t="s">
        <v>284</v>
      </c>
      <c r="D4494"/>
      <c r="E4494"/>
      <c r="F4494"/>
      <c r="G4494"/>
      <c r="H4494"/>
      <c r="I4494" s="21" t="str">
        <f t="shared" si="141"/>
        <v/>
      </c>
      <c r="L4494" s="24"/>
      <c r="M4494" s="24"/>
    </row>
    <row r="4495" spans="1:13">
      <c r="A4495" s="14" t="str">
        <f t="shared" si="140"/>
        <v/>
      </c>
      <c r="C4495" s="120" t="s">
        <v>286</v>
      </c>
      <c r="D4495"/>
      <c r="E4495"/>
      <c r="F4495"/>
      <c r="G4495"/>
      <c r="H4495"/>
      <c r="I4495" s="21" t="str">
        <f t="shared" si="141"/>
        <v/>
      </c>
      <c r="L4495" s="24"/>
      <c r="M4495" s="24"/>
    </row>
    <row r="4496" spans="1:13">
      <c r="A4496" s="10" t="str">
        <f t="shared" si="140"/>
        <v/>
      </c>
      <c r="C4496" s="120" t="s">
        <v>126</v>
      </c>
      <c r="D4496"/>
      <c r="E4496"/>
      <c r="F4496"/>
      <c r="G4496"/>
      <c r="H4496"/>
      <c r="I4496" s="21" t="str">
        <f t="shared" si="141"/>
        <v/>
      </c>
      <c r="L4496" s="24"/>
      <c r="M4496" s="24"/>
    </row>
    <row r="4497" spans="1:13">
      <c r="A4497" s="14" t="str">
        <f t="shared" si="140"/>
        <v/>
      </c>
      <c r="C4497" s="120" t="s">
        <v>128</v>
      </c>
      <c r="D4497"/>
      <c r="E4497"/>
      <c r="F4497"/>
      <c r="G4497"/>
      <c r="H4497"/>
      <c r="I4497" s="21" t="str">
        <f t="shared" si="141"/>
        <v/>
      </c>
      <c r="L4497" s="24"/>
      <c r="M4497" s="24"/>
    </row>
    <row r="4498" spans="1:13">
      <c r="A4498" s="10" t="str">
        <f t="shared" si="140"/>
        <v/>
      </c>
      <c r="C4498" s="120" t="s">
        <v>280</v>
      </c>
      <c r="D4498"/>
      <c r="E4498"/>
      <c r="F4498"/>
      <c r="G4498"/>
      <c r="H4498"/>
      <c r="I4498" s="21" t="str">
        <f t="shared" si="141"/>
        <v/>
      </c>
      <c r="L4498" s="24"/>
      <c r="M4498" s="24"/>
    </row>
    <row r="4499" spans="1:13">
      <c r="A4499" s="14" t="str">
        <f t="shared" si="140"/>
        <v/>
      </c>
      <c r="C4499" s="120" t="s">
        <v>282</v>
      </c>
      <c r="D4499"/>
      <c r="E4499"/>
      <c r="F4499"/>
      <c r="G4499"/>
      <c r="H4499"/>
      <c r="I4499" s="21" t="str">
        <f t="shared" si="141"/>
        <v/>
      </c>
      <c r="L4499" s="24"/>
      <c r="M4499" s="24"/>
    </row>
    <row r="4500" spans="1:13">
      <c r="A4500" s="10" t="str">
        <f t="shared" si="140"/>
        <v/>
      </c>
      <c r="C4500" s="120" t="s">
        <v>284</v>
      </c>
      <c r="D4500"/>
      <c r="E4500"/>
      <c r="F4500"/>
      <c r="G4500"/>
      <c r="H4500"/>
      <c r="I4500" s="21" t="str">
        <f t="shared" si="141"/>
        <v/>
      </c>
      <c r="L4500" s="24"/>
      <c r="M4500" s="24"/>
    </row>
    <row r="4501" spans="1:13">
      <c r="A4501" s="14" t="str">
        <f t="shared" si="140"/>
        <v/>
      </c>
      <c r="C4501" s="120" t="s">
        <v>286</v>
      </c>
      <c r="D4501"/>
      <c r="E4501"/>
      <c r="F4501"/>
      <c r="G4501"/>
      <c r="H4501"/>
      <c r="I4501" s="21" t="str">
        <f t="shared" si="141"/>
        <v/>
      </c>
      <c r="L4501" s="24"/>
      <c r="M4501" s="24"/>
    </row>
    <row r="4502" spans="1:13">
      <c r="A4502" s="10" t="str">
        <f t="shared" si="140"/>
        <v/>
      </c>
      <c r="C4502" s="120" t="s">
        <v>126</v>
      </c>
      <c r="D4502"/>
      <c r="E4502"/>
      <c r="F4502"/>
      <c r="G4502"/>
      <c r="H4502"/>
      <c r="I4502" s="21" t="str">
        <f t="shared" si="141"/>
        <v/>
      </c>
      <c r="L4502" s="24"/>
      <c r="M4502" s="24"/>
    </row>
    <row r="4503" spans="1:13">
      <c r="A4503" s="14" t="str">
        <f t="shared" si="140"/>
        <v/>
      </c>
      <c r="C4503" s="120" t="s">
        <v>128</v>
      </c>
      <c r="D4503"/>
      <c r="E4503"/>
      <c r="F4503"/>
      <c r="G4503"/>
      <c r="H4503"/>
      <c r="I4503" s="21" t="str">
        <f t="shared" si="141"/>
        <v/>
      </c>
      <c r="L4503" s="24"/>
      <c r="M4503" s="24"/>
    </row>
    <row r="4504" spans="1:13">
      <c r="A4504" s="10" t="str">
        <f t="shared" si="140"/>
        <v/>
      </c>
      <c r="C4504" s="120" t="s">
        <v>280</v>
      </c>
      <c r="D4504"/>
      <c r="E4504"/>
      <c r="F4504"/>
      <c r="G4504"/>
      <c r="H4504"/>
      <c r="I4504" s="21" t="str">
        <f t="shared" si="141"/>
        <v/>
      </c>
      <c r="L4504" s="24"/>
      <c r="M4504" s="24"/>
    </row>
    <row r="4505" spans="1:13">
      <c r="A4505" s="14" t="str">
        <f t="shared" si="140"/>
        <v/>
      </c>
      <c r="C4505" s="120" t="s">
        <v>282</v>
      </c>
      <c r="D4505"/>
      <c r="E4505"/>
      <c r="F4505"/>
      <c r="G4505"/>
      <c r="H4505"/>
      <c r="I4505" s="21" t="str">
        <f t="shared" si="141"/>
        <v/>
      </c>
      <c r="L4505" s="24"/>
      <c r="M4505" s="24"/>
    </row>
    <row r="4506" spans="1:13">
      <c r="A4506" s="10" t="str">
        <f t="shared" si="140"/>
        <v/>
      </c>
      <c r="C4506" s="120" t="s">
        <v>284</v>
      </c>
      <c r="D4506"/>
      <c r="E4506"/>
      <c r="F4506"/>
      <c r="G4506"/>
      <c r="H4506"/>
      <c r="I4506" s="21" t="str">
        <f t="shared" si="141"/>
        <v/>
      </c>
      <c r="L4506" s="24"/>
      <c r="M4506" s="24"/>
    </row>
    <row r="4507" spans="1:13">
      <c r="A4507" s="14" t="str">
        <f t="shared" si="140"/>
        <v/>
      </c>
      <c r="C4507" s="120" t="s">
        <v>286</v>
      </c>
      <c r="D4507"/>
      <c r="E4507"/>
      <c r="F4507"/>
      <c r="G4507"/>
      <c r="H4507"/>
      <c r="I4507" s="21" t="str">
        <f t="shared" si="141"/>
        <v/>
      </c>
      <c r="L4507" s="24"/>
      <c r="M4507" s="24"/>
    </row>
    <row r="4508" spans="1:13">
      <c r="A4508" s="10" t="str">
        <f t="shared" si="140"/>
        <v/>
      </c>
      <c r="C4508" s="120" t="s">
        <v>126</v>
      </c>
      <c r="D4508"/>
      <c r="E4508"/>
      <c r="F4508"/>
      <c r="G4508"/>
      <c r="H4508"/>
      <c r="I4508" s="21" t="str">
        <f t="shared" si="141"/>
        <v/>
      </c>
      <c r="L4508" s="24"/>
      <c r="M4508" s="24"/>
    </row>
    <row r="4509" spans="1:13">
      <c r="A4509" s="14" t="str">
        <f t="shared" si="140"/>
        <v/>
      </c>
      <c r="C4509" s="120" t="s">
        <v>128</v>
      </c>
      <c r="D4509"/>
      <c r="E4509"/>
      <c r="F4509"/>
      <c r="G4509"/>
      <c r="H4509"/>
      <c r="I4509" s="21" t="str">
        <f t="shared" si="141"/>
        <v/>
      </c>
      <c r="L4509" s="24"/>
      <c r="M4509" s="24"/>
    </row>
    <row r="4510" spans="1:13">
      <c r="A4510" s="10" t="str">
        <f t="shared" si="140"/>
        <v/>
      </c>
      <c r="C4510" s="120" t="s">
        <v>280</v>
      </c>
      <c r="D4510"/>
      <c r="E4510"/>
      <c r="F4510"/>
      <c r="G4510"/>
      <c r="H4510"/>
      <c r="I4510" s="21" t="str">
        <f t="shared" si="141"/>
        <v/>
      </c>
      <c r="L4510" s="24"/>
      <c r="M4510" s="24"/>
    </row>
    <row r="4511" spans="1:13">
      <c r="A4511" s="14" t="str">
        <f t="shared" si="140"/>
        <v/>
      </c>
      <c r="C4511" s="120" t="s">
        <v>282</v>
      </c>
      <c r="D4511"/>
      <c r="E4511"/>
      <c r="F4511"/>
      <c r="G4511"/>
      <c r="H4511"/>
      <c r="I4511" s="21" t="str">
        <f t="shared" si="141"/>
        <v/>
      </c>
      <c r="L4511" s="24"/>
      <c r="M4511" s="24"/>
    </row>
    <row r="4512" spans="1:13">
      <c r="A4512" s="10" t="str">
        <f t="shared" si="140"/>
        <v/>
      </c>
      <c r="C4512" s="120" t="s">
        <v>284</v>
      </c>
      <c r="D4512"/>
      <c r="E4512"/>
      <c r="F4512"/>
      <c r="G4512"/>
      <c r="H4512"/>
      <c r="I4512" s="21" t="str">
        <f t="shared" si="141"/>
        <v/>
      </c>
      <c r="L4512" s="24"/>
      <c r="M4512" s="24"/>
    </row>
    <row r="4513" spans="1:13">
      <c r="A4513" s="14" t="str">
        <f t="shared" si="140"/>
        <v/>
      </c>
      <c r="C4513" s="120" t="s">
        <v>286</v>
      </c>
      <c r="D4513"/>
      <c r="E4513"/>
      <c r="F4513"/>
      <c r="G4513"/>
      <c r="H4513"/>
      <c r="I4513" s="21" t="str">
        <f t="shared" si="141"/>
        <v/>
      </c>
      <c r="L4513" s="24"/>
      <c r="M4513" s="24"/>
    </row>
    <row r="4514" spans="1:13">
      <c r="A4514" s="10" t="str">
        <f t="shared" si="140"/>
        <v/>
      </c>
      <c r="C4514" s="120" t="s">
        <v>126</v>
      </c>
      <c r="D4514"/>
      <c r="E4514"/>
      <c r="F4514"/>
      <c r="G4514"/>
      <c r="H4514"/>
      <c r="I4514" s="21" t="str">
        <f t="shared" si="141"/>
        <v/>
      </c>
      <c r="L4514" s="24"/>
      <c r="M4514" s="24"/>
    </row>
    <row r="4515" spans="1:13">
      <c r="A4515" s="14" t="str">
        <f t="shared" si="140"/>
        <v/>
      </c>
      <c r="C4515" s="120" t="s">
        <v>128</v>
      </c>
      <c r="D4515"/>
      <c r="E4515"/>
      <c r="F4515"/>
      <c r="G4515"/>
      <c r="H4515"/>
      <c r="I4515" s="21" t="str">
        <f t="shared" si="141"/>
        <v/>
      </c>
      <c r="L4515" s="24"/>
      <c r="M4515" s="24"/>
    </row>
    <row r="4516" spans="1:13">
      <c r="A4516" s="10" t="str">
        <f t="shared" si="140"/>
        <v/>
      </c>
      <c r="C4516" s="120" t="s">
        <v>280</v>
      </c>
      <c r="D4516"/>
      <c r="E4516"/>
      <c r="F4516"/>
      <c r="G4516"/>
      <c r="H4516"/>
      <c r="I4516" s="21" t="str">
        <f t="shared" si="141"/>
        <v/>
      </c>
      <c r="L4516" s="24"/>
      <c r="M4516" s="24"/>
    </row>
    <row r="4517" spans="1:13">
      <c r="A4517" s="14" t="str">
        <f t="shared" si="140"/>
        <v/>
      </c>
      <c r="C4517" s="120" t="s">
        <v>282</v>
      </c>
      <c r="D4517"/>
      <c r="E4517"/>
      <c r="F4517"/>
      <c r="G4517"/>
      <c r="H4517"/>
      <c r="I4517" s="21" t="str">
        <f t="shared" si="141"/>
        <v/>
      </c>
      <c r="L4517" s="24"/>
      <c r="M4517" s="24"/>
    </row>
    <row r="4518" spans="1:13">
      <c r="A4518" s="10" t="str">
        <f t="shared" si="140"/>
        <v/>
      </c>
      <c r="C4518" s="120" t="s">
        <v>284</v>
      </c>
      <c r="D4518"/>
      <c r="E4518"/>
      <c r="F4518"/>
      <c r="G4518"/>
      <c r="H4518"/>
      <c r="I4518" s="21" t="str">
        <f t="shared" si="141"/>
        <v/>
      </c>
      <c r="L4518" s="24"/>
      <c r="M4518" s="24"/>
    </row>
    <row r="4519" spans="1:13">
      <c r="A4519" s="14" t="str">
        <f t="shared" si="140"/>
        <v/>
      </c>
      <c r="C4519" s="120" t="s">
        <v>286</v>
      </c>
      <c r="D4519"/>
      <c r="E4519"/>
      <c r="F4519"/>
      <c r="G4519"/>
      <c r="H4519"/>
      <c r="I4519" s="21" t="str">
        <f t="shared" si="141"/>
        <v/>
      </c>
      <c r="L4519" s="24"/>
      <c r="M4519" s="24"/>
    </row>
    <row r="4520" spans="1:13">
      <c r="A4520" s="10" t="str">
        <f t="shared" si="140"/>
        <v/>
      </c>
      <c r="C4520" s="120" t="s">
        <v>126</v>
      </c>
      <c r="D4520"/>
      <c r="E4520"/>
      <c r="F4520"/>
      <c r="G4520"/>
      <c r="H4520"/>
      <c r="I4520" s="21" t="str">
        <f t="shared" si="141"/>
        <v/>
      </c>
      <c r="L4520" s="24"/>
      <c r="M4520" s="24"/>
    </row>
    <row r="4521" spans="1:13">
      <c r="A4521" s="14" t="str">
        <f t="shared" si="140"/>
        <v/>
      </c>
      <c r="C4521" s="120" t="s">
        <v>128</v>
      </c>
      <c r="D4521"/>
      <c r="E4521"/>
      <c r="F4521"/>
      <c r="G4521"/>
      <c r="H4521"/>
      <c r="I4521" s="21" t="str">
        <f t="shared" si="141"/>
        <v/>
      </c>
      <c r="L4521" s="24"/>
      <c r="M4521" s="24"/>
    </row>
    <row r="4522" spans="1:13">
      <c r="A4522" s="10" t="str">
        <f t="shared" si="140"/>
        <v/>
      </c>
      <c r="C4522" s="120" t="s">
        <v>280</v>
      </c>
      <c r="D4522"/>
      <c r="E4522"/>
      <c r="F4522"/>
      <c r="G4522"/>
      <c r="H4522"/>
      <c r="I4522" s="21" t="str">
        <f t="shared" si="141"/>
        <v/>
      </c>
      <c r="L4522" s="24"/>
      <c r="M4522" s="24"/>
    </row>
    <row r="4523" spans="1:13">
      <c r="A4523" s="14" t="str">
        <f t="shared" si="140"/>
        <v/>
      </c>
      <c r="C4523" s="120" t="s">
        <v>282</v>
      </c>
      <c r="D4523"/>
      <c r="E4523"/>
      <c r="F4523"/>
      <c r="G4523"/>
      <c r="H4523"/>
      <c r="I4523" s="21" t="str">
        <f t="shared" si="141"/>
        <v/>
      </c>
      <c r="L4523" s="24"/>
      <c r="M4523" s="24"/>
    </row>
    <row r="4524" spans="1:13">
      <c r="A4524" s="10" t="str">
        <f t="shared" si="140"/>
        <v/>
      </c>
      <c r="C4524" s="120" t="s">
        <v>284</v>
      </c>
      <c r="D4524"/>
      <c r="E4524"/>
      <c r="F4524"/>
      <c r="G4524"/>
      <c r="H4524"/>
      <c r="I4524" s="21" t="str">
        <f t="shared" si="141"/>
        <v/>
      </c>
      <c r="L4524" s="24"/>
      <c r="M4524" s="24"/>
    </row>
    <row r="4525" spans="1:13">
      <c r="A4525" s="14" t="str">
        <f t="shared" si="140"/>
        <v/>
      </c>
      <c r="C4525" s="120" t="s">
        <v>286</v>
      </c>
      <c r="D4525"/>
      <c r="E4525"/>
      <c r="F4525"/>
      <c r="G4525"/>
      <c r="H4525"/>
      <c r="I4525" s="21" t="str">
        <f t="shared" si="141"/>
        <v/>
      </c>
      <c r="L4525" s="24"/>
      <c r="M4525" s="24"/>
    </row>
    <row r="4526" spans="1:13">
      <c r="A4526" s="10" t="str">
        <f t="shared" si="140"/>
        <v/>
      </c>
      <c r="C4526" s="120" t="s">
        <v>126</v>
      </c>
      <c r="D4526"/>
      <c r="E4526"/>
      <c r="F4526"/>
      <c r="G4526"/>
      <c r="H4526"/>
      <c r="I4526" s="21" t="str">
        <f t="shared" si="141"/>
        <v/>
      </c>
      <c r="L4526" s="24"/>
      <c r="M4526" s="24"/>
    </row>
    <row r="4527" spans="1:13">
      <c r="A4527" s="14" t="str">
        <f t="shared" si="140"/>
        <v/>
      </c>
      <c r="C4527" s="120" t="s">
        <v>128</v>
      </c>
      <c r="D4527"/>
      <c r="E4527"/>
      <c r="F4527"/>
      <c r="G4527"/>
      <c r="H4527"/>
      <c r="I4527" s="21" t="str">
        <f t="shared" si="141"/>
        <v/>
      </c>
      <c r="L4527" s="24"/>
      <c r="M4527" s="24"/>
    </row>
    <row r="4528" spans="1:13">
      <c r="A4528" s="10" t="str">
        <f t="shared" si="140"/>
        <v/>
      </c>
      <c r="C4528" s="120" t="s">
        <v>280</v>
      </c>
      <c r="D4528"/>
      <c r="E4528"/>
      <c r="F4528"/>
      <c r="G4528"/>
      <c r="H4528"/>
      <c r="I4528" s="21" t="str">
        <f t="shared" si="141"/>
        <v/>
      </c>
      <c r="L4528" s="24"/>
      <c r="M4528" s="24"/>
    </row>
    <row r="4529" spans="1:13">
      <c r="A4529" s="14" t="str">
        <f t="shared" si="140"/>
        <v/>
      </c>
      <c r="C4529" s="120" t="s">
        <v>282</v>
      </c>
      <c r="D4529"/>
      <c r="E4529"/>
      <c r="F4529"/>
      <c r="G4529"/>
      <c r="H4529"/>
      <c r="I4529" s="21" t="str">
        <f t="shared" si="141"/>
        <v/>
      </c>
      <c r="L4529" s="24"/>
      <c r="M4529" s="24"/>
    </row>
    <row r="4530" spans="1:13">
      <c r="A4530" s="10" t="str">
        <f t="shared" si="140"/>
        <v/>
      </c>
      <c r="C4530" s="120" t="s">
        <v>284</v>
      </c>
      <c r="D4530"/>
      <c r="E4530"/>
      <c r="F4530"/>
      <c r="G4530"/>
      <c r="H4530"/>
      <c r="I4530" s="21" t="str">
        <f t="shared" si="141"/>
        <v/>
      </c>
      <c r="L4530" s="24"/>
      <c r="M4530" s="24"/>
    </row>
    <row r="4531" spans="1:13">
      <c r="A4531" s="14" t="str">
        <f t="shared" si="140"/>
        <v/>
      </c>
      <c r="C4531" s="120" t="s">
        <v>286</v>
      </c>
      <c r="D4531"/>
      <c r="E4531"/>
      <c r="F4531"/>
      <c r="G4531"/>
      <c r="H4531"/>
      <c r="I4531" s="21" t="str">
        <f t="shared" si="141"/>
        <v/>
      </c>
      <c r="L4531" s="24"/>
      <c r="M4531" s="24"/>
    </row>
    <row r="4532" spans="1:13">
      <c r="A4532" s="10" t="str">
        <f t="shared" si="140"/>
        <v/>
      </c>
      <c r="C4532" s="120" t="s">
        <v>126</v>
      </c>
      <c r="D4532"/>
      <c r="E4532"/>
      <c r="F4532"/>
      <c r="G4532"/>
      <c r="H4532"/>
      <c r="I4532" s="21" t="str">
        <f t="shared" si="141"/>
        <v/>
      </c>
      <c r="L4532" s="24"/>
      <c r="M4532" s="24"/>
    </row>
    <row r="4533" spans="1:13">
      <c r="A4533" s="14" t="str">
        <f t="shared" si="140"/>
        <v/>
      </c>
      <c r="C4533" s="120" t="s">
        <v>128</v>
      </c>
      <c r="D4533"/>
      <c r="E4533"/>
      <c r="F4533"/>
      <c r="G4533"/>
      <c r="H4533"/>
      <c r="I4533" s="21" t="str">
        <f t="shared" si="141"/>
        <v/>
      </c>
      <c r="L4533" s="24"/>
      <c r="M4533" s="24"/>
    </row>
    <row r="4534" spans="1:13">
      <c r="A4534" s="10" t="str">
        <f t="shared" si="140"/>
        <v/>
      </c>
      <c r="C4534" s="120" t="s">
        <v>280</v>
      </c>
      <c r="D4534"/>
      <c r="E4534"/>
      <c r="F4534"/>
      <c r="G4534"/>
      <c r="H4534"/>
      <c r="I4534" s="21" t="str">
        <f t="shared" si="141"/>
        <v/>
      </c>
      <c r="L4534" s="24"/>
      <c r="M4534" s="24"/>
    </row>
    <row r="4535" spans="1:13">
      <c r="A4535" s="14" t="str">
        <f t="shared" si="140"/>
        <v/>
      </c>
      <c r="C4535" s="120" t="s">
        <v>282</v>
      </c>
      <c r="D4535"/>
      <c r="E4535"/>
      <c r="F4535"/>
      <c r="G4535"/>
      <c r="H4535"/>
      <c r="I4535" s="21" t="str">
        <f t="shared" si="141"/>
        <v/>
      </c>
      <c r="L4535" s="24"/>
      <c r="M4535" s="24"/>
    </row>
    <row r="4536" spans="1:13">
      <c r="A4536" s="10" t="str">
        <f t="shared" si="140"/>
        <v/>
      </c>
      <c r="C4536" s="120" t="s">
        <v>284</v>
      </c>
      <c r="D4536"/>
      <c r="E4536"/>
      <c r="F4536"/>
      <c r="G4536"/>
      <c r="H4536"/>
      <c r="I4536" s="21" t="str">
        <f t="shared" si="141"/>
        <v/>
      </c>
      <c r="L4536" s="24"/>
      <c r="M4536" s="24"/>
    </row>
    <row r="4537" spans="1:13">
      <c r="A4537" s="14" t="str">
        <f t="shared" si="140"/>
        <v/>
      </c>
      <c r="C4537" s="120" t="s">
        <v>286</v>
      </c>
      <c r="D4537"/>
      <c r="E4537"/>
      <c r="F4537"/>
      <c r="G4537"/>
      <c r="H4537"/>
      <c r="I4537" s="21" t="str">
        <f t="shared" si="141"/>
        <v/>
      </c>
      <c r="L4537" s="24"/>
      <c r="M4537" s="24"/>
    </row>
    <row r="4538" spans="1:13">
      <c r="A4538" s="10" t="str">
        <f t="shared" si="140"/>
        <v/>
      </c>
      <c r="C4538" s="120" t="s">
        <v>126</v>
      </c>
      <c r="D4538"/>
      <c r="E4538"/>
      <c r="F4538"/>
      <c r="G4538"/>
      <c r="H4538"/>
      <c r="I4538" s="21" t="str">
        <f t="shared" si="141"/>
        <v/>
      </c>
      <c r="L4538" s="24"/>
      <c r="M4538" s="24"/>
    </row>
    <row r="4539" spans="1:13">
      <c r="A4539" s="14" t="str">
        <f t="shared" si="140"/>
        <v/>
      </c>
      <c r="C4539" s="120" t="s">
        <v>128</v>
      </c>
      <c r="D4539"/>
      <c r="E4539"/>
      <c r="F4539"/>
      <c r="G4539"/>
      <c r="H4539"/>
      <c r="I4539" s="21" t="str">
        <f t="shared" si="141"/>
        <v/>
      </c>
      <c r="L4539" s="24"/>
      <c r="M4539" s="24"/>
    </row>
    <row r="4540" spans="1:13">
      <c r="A4540" s="10" t="str">
        <f t="shared" si="140"/>
        <v/>
      </c>
      <c r="C4540" s="120" t="s">
        <v>280</v>
      </c>
      <c r="D4540"/>
      <c r="E4540"/>
      <c r="F4540"/>
      <c r="G4540"/>
      <c r="H4540"/>
      <c r="I4540" s="21" t="str">
        <f t="shared" si="141"/>
        <v/>
      </c>
      <c r="L4540" s="24"/>
      <c r="M4540" s="24"/>
    </row>
    <row r="4541" spans="1:13">
      <c r="A4541" s="14" t="str">
        <f t="shared" si="140"/>
        <v/>
      </c>
      <c r="C4541" s="120" t="s">
        <v>282</v>
      </c>
      <c r="D4541"/>
      <c r="E4541"/>
      <c r="F4541"/>
      <c r="G4541"/>
      <c r="H4541"/>
      <c r="I4541" s="21" t="str">
        <f t="shared" si="141"/>
        <v/>
      </c>
      <c r="L4541" s="24"/>
      <c r="M4541" s="24"/>
    </row>
    <row r="4542" spans="1:13">
      <c r="A4542" s="10" t="str">
        <f t="shared" si="140"/>
        <v/>
      </c>
      <c r="C4542" s="120" t="s">
        <v>284</v>
      </c>
      <c r="D4542"/>
      <c r="E4542"/>
      <c r="F4542"/>
      <c r="G4542"/>
      <c r="H4542"/>
      <c r="I4542" s="21" t="str">
        <f t="shared" si="141"/>
        <v/>
      </c>
      <c r="L4542" s="24"/>
      <c r="M4542" s="24"/>
    </row>
    <row r="4543" spans="1:13">
      <c r="A4543" s="14" t="str">
        <f t="shared" si="140"/>
        <v/>
      </c>
      <c r="C4543" s="120" t="s">
        <v>286</v>
      </c>
      <c r="D4543"/>
      <c r="E4543"/>
      <c r="F4543"/>
      <c r="G4543"/>
      <c r="H4543"/>
      <c r="I4543" s="21" t="str">
        <f t="shared" si="141"/>
        <v/>
      </c>
      <c r="L4543" s="24"/>
      <c r="M4543" s="24"/>
    </row>
    <row r="4544" spans="1:13">
      <c r="A4544" s="10" t="str">
        <f t="shared" si="140"/>
        <v/>
      </c>
      <c r="C4544" s="120" t="s">
        <v>126</v>
      </c>
      <c r="D4544"/>
      <c r="E4544"/>
      <c r="F4544"/>
      <c r="G4544"/>
      <c r="H4544"/>
      <c r="I4544" s="21" t="str">
        <f t="shared" si="141"/>
        <v/>
      </c>
      <c r="L4544" s="24"/>
      <c r="M4544" s="24"/>
    </row>
    <row r="4545" spans="1:13">
      <c r="A4545" s="14" t="str">
        <f t="shared" si="140"/>
        <v/>
      </c>
      <c r="C4545" s="120" t="s">
        <v>128</v>
      </c>
      <c r="D4545"/>
      <c r="E4545"/>
      <c r="F4545"/>
      <c r="G4545"/>
      <c r="H4545"/>
      <c r="I4545" s="21" t="str">
        <f t="shared" si="141"/>
        <v/>
      </c>
      <c r="L4545" s="24"/>
      <c r="M4545" s="24"/>
    </row>
    <row r="4546" spans="1:13">
      <c r="A4546" s="10" t="str">
        <f t="shared" ref="A4546:A4609" si="142">IF(B4546&lt;&gt;"",ROW()-1,"")</f>
        <v/>
      </c>
      <c r="C4546" s="120" t="s">
        <v>280</v>
      </c>
      <c r="D4546"/>
      <c r="E4546"/>
      <c r="F4546"/>
      <c r="G4546"/>
      <c r="H4546"/>
      <c r="I4546" s="21" t="str">
        <f t="shared" ref="I4546:I4609" si="143">IF(AND(G4546&lt;&gt;"",H4546&lt;&gt;""),H4546-G4546,"")</f>
        <v/>
      </c>
      <c r="L4546" s="24"/>
      <c r="M4546" s="24"/>
    </row>
    <row r="4547" spans="1:13">
      <c r="A4547" s="14" t="str">
        <f t="shared" si="142"/>
        <v/>
      </c>
      <c r="C4547" s="120" t="s">
        <v>282</v>
      </c>
      <c r="D4547"/>
      <c r="E4547"/>
      <c r="F4547"/>
      <c r="G4547"/>
      <c r="H4547"/>
      <c r="I4547" s="21" t="str">
        <f t="shared" si="143"/>
        <v/>
      </c>
      <c r="L4547" s="24"/>
      <c r="M4547" s="24"/>
    </row>
    <row r="4548" spans="1:13">
      <c r="A4548" s="10" t="str">
        <f t="shared" si="142"/>
        <v/>
      </c>
      <c r="C4548" s="120" t="s">
        <v>284</v>
      </c>
      <c r="D4548"/>
      <c r="E4548"/>
      <c r="F4548"/>
      <c r="G4548"/>
      <c r="H4548"/>
      <c r="I4548" s="21" t="str">
        <f t="shared" si="143"/>
        <v/>
      </c>
      <c r="L4548" s="24"/>
      <c r="M4548" s="24"/>
    </row>
    <row r="4549" spans="1:13">
      <c r="A4549" s="14" t="str">
        <f t="shared" si="142"/>
        <v/>
      </c>
      <c r="C4549" s="120" t="s">
        <v>286</v>
      </c>
      <c r="D4549"/>
      <c r="E4549"/>
      <c r="F4549"/>
      <c r="G4549"/>
      <c r="H4549"/>
      <c r="I4549" s="21" t="str">
        <f t="shared" si="143"/>
        <v/>
      </c>
      <c r="L4549" s="24"/>
      <c r="M4549" s="24"/>
    </row>
    <row r="4550" spans="1:13">
      <c r="A4550" s="10" t="str">
        <f t="shared" si="142"/>
        <v/>
      </c>
      <c r="C4550" s="120" t="s">
        <v>126</v>
      </c>
      <c r="D4550"/>
      <c r="E4550"/>
      <c r="F4550"/>
      <c r="G4550"/>
      <c r="H4550"/>
      <c r="I4550" s="21" t="str">
        <f t="shared" si="143"/>
        <v/>
      </c>
      <c r="L4550" s="24"/>
      <c r="M4550" s="24"/>
    </row>
    <row r="4551" spans="1:13">
      <c r="A4551" s="14" t="str">
        <f t="shared" si="142"/>
        <v/>
      </c>
      <c r="C4551" s="120" t="s">
        <v>128</v>
      </c>
      <c r="D4551"/>
      <c r="E4551"/>
      <c r="F4551"/>
      <c r="G4551"/>
      <c r="H4551"/>
      <c r="I4551" s="21" t="str">
        <f t="shared" si="143"/>
        <v/>
      </c>
      <c r="L4551" s="24"/>
      <c r="M4551" s="24"/>
    </row>
    <row r="4552" spans="1:13">
      <c r="A4552" s="10" t="str">
        <f t="shared" si="142"/>
        <v/>
      </c>
      <c r="C4552" s="120" t="s">
        <v>280</v>
      </c>
      <c r="D4552"/>
      <c r="E4552"/>
      <c r="F4552"/>
      <c r="G4552"/>
      <c r="H4552"/>
      <c r="I4552" s="21" t="str">
        <f t="shared" si="143"/>
        <v/>
      </c>
      <c r="L4552" s="24"/>
      <c r="M4552" s="24"/>
    </row>
    <row r="4553" spans="1:13">
      <c r="A4553" s="14" t="str">
        <f t="shared" si="142"/>
        <v/>
      </c>
      <c r="C4553" s="120" t="s">
        <v>282</v>
      </c>
      <c r="D4553"/>
      <c r="E4553"/>
      <c r="F4553"/>
      <c r="G4553"/>
      <c r="H4553"/>
      <c r="I4553" s="21" t="str">
        <f t="shared" si="143"/>
        <v/>
      </c>
      <c r="L4553" s="24"/>
      <c r="M4553" s="24"/>
    </row>
    <row r="4554" spans="1:13">
      <c r="A4554" s="10" t="str">
        <f t="shared" si="142"/>
        <v/>
      </c>
      <c r="C4554" s="120" t="s">
        <v>284</v>
      </c>
      <c r="D4554"/>
      <c r="E4554"/>
      <c r="F4554"/>
      <c r="G4554"/>
      <c r="H4554"/>
      <c r="I4554" s="21" t="str">
        <f t="shared" si="143"/>
        <v/>
      </c>
      <c r="L4554" s="24"/>
      <c r="M4554" s="24"/>
    </row>
    <row r="4555" spans="1:13">
      <c r="A4555" s="14" t="str">
        <f t="shared" si="142"/>
        <v/>
      </c>
      <c r="C4555" s="120" t="s">
        <v>286</v>
      </c>
      <c r="D4555"/>
      <c r="E4555"/>
      <c r="F4555"/>
      <c r="G4555"/>
      <c r="H4555"/>
      <c r="I4555" s="21" t="str">
        <f t="shared" si="143"/>
        <v/>
      </c>
      <c r="L4555" s="24"/>
      <c r="M4555" s="24"/>
    </row>
    <row r="4556" spans="1:13">
      <c r="A4556" s="10" t="str">
        <f t="shared" si="142"/>
        <v/>
      </c>
      <c r="C4556" s="120" t="s">
        <v>126</v>
      </c>
      <c r="D4556"/>
      <c r="E4556"/>
      <c r="F4556"/>
      <c r="G4556"/>
      <c r="H4556"/>
      <c r="I4556" s="21" t="str">
        <f t="shared" si="143"/>
        <v/>
      </c>
      <c r="L4556" s="24"/>
      <c r="M4556" s="24"/>
    </row>
    <row r="4557" spans="1:13">
      <c r="A4557" s="14" t="str">
        <f t="shared" si="142"/>
        <v/>
      </c>
      <c r="C4557" s="120" t="s">
        <v>128</v>
      </c>
      <c r="D4557"/>
      <c r="E4557"/>
      <c r="F4557"/>
      <c r="G4557"/>
      <c r="H4557"/>
      <c r="I4557" s="21" t="str">
        <f t="shared" si="143"/>
        <v/>
      </c>
      <c r="L4557" s="24"/>
      <c r="M4557" s="24"/>
    </row>
    <row r="4558" spans="1:13">
      <c r="A4558" s="10" t="str">
        <f t="shared" si="142"/>
        <v/>
      </c>
      <c r="C4558" s="120" t="s">
        <v>280</v>
      </c>
      <c r="D4558"/>
      <c r="E4558"/>
      <c r="F4558"/>
      <c r="G4558"/>
      <c r="H4558"/>
      <c r="I4558" s="21" t="str">
        <f t="shared" si="143"/>
        <v/>
      </c>
      <c r="L4558" s="24"/>
      <c r="M4558" s="24"/>
    </row>
    <row r="4559" spans="1:13">
      <c r="A4559" s="14" t="str">
        <f t="shared" si="142"/>
        <v/>
      </c>
      <c r="C4559" s="120" t="s">
        <v>282</v>
      </c>
      <c r="D4559"/>
      <c r="E4559"/>
      <c r="F4559"/>
      <c r="G4559"/>
      <c r="H4559"/>
      <c r="I4559" s="21" t="str">
        <f t="shared" si="143"/>
        <v/>
      </c>
      <c r="L4559" s="24"/>
      <c r="M4559" s="24"/>
    </row>
    <row r="4560" spans="1:13">
      <c r="A4560" s="10" t="str">
        <f t="shared" si="142"/>
        <v/>
      </c>
      <c r="C4560" s="120" t="s">
        <v>284</v>
      </c>
      <c r="D4560"/>
      <c r="E4560"/>
      <c r="F4560"/>
      <c r="G4560"/>
      <c r="H4560"/>
      <c r="I4560" s="21" t="str">
        <f t="shared" si="143"/>
        <v/>
      </c>
      <c r="L4560" s="24"/>
      <c r="M4560" s="24"/>
    </row>
    <row r="4561" spans="1:13">
      <c r="A4561" s="14" t="str">
        <f t="shared" si="142"/>
        <v/>
      </c>
      <c r="C4561" s="120" t="s">
        <v>286</v>
      </c>
      <c r="D4561"/>
      <c r="E4561"/>
      <c r="F4561"/>
      <c r="G4561"/>
      <c r="H4561"/>
      <c r="I4561" s="21" t="str">
        <f t="shared" si="143"/>
        <v/>
      </c>
      <c r="L4561" s="24"/>
      <c r="M4561" s="24"/>
    </row>
    <row r="4562" spans="1:13">
      <c r="A4562" s="10" t="str">
        <f t="shared" si="142"/>
        <v/>
      </c>
      <c r="C4562" s="120" t="s">
        <v>126</v>
      </c>
      <c r="D4562"/>
      <c r="E4562"/>
      <c r="F4562"/>
      <c r="G4562"/>
      <c r="H4562"/>
      <c r="I4562" s="21" t="str">
        <f t="shared" si="143"/>
        <v/>
      </c>
      <c r="L4562" s="24"/>
      <c r="M4562" s="24"/>
    </row>
    <row r="4563" spans="1:13">
      <c r="A4563" s="14" t="str">
        <f t="shared" si="142"/>
        <v/>
      </c>
      <c r="C4563" s="120" t="s">
        <v>128</v>
      </c>
      <c r="D4563"/>
      <c r="E4563"/>
      <c r="F4563"/>
      <c r="G4563"/>
      <c r="H4563"/>
      <c r="I4563" s="21" t="str">
        <f t="shared" si="143"/>
        <v/>
      </c>
      <c r="L4563" s="24"/>
      <c r="M4563" s="24"/>
    </row>
    <row r="4564" spans="1:13">
      <c r="A4564" s="10" t="str">
        <f t="shared" si="142"/>
        <v/>
      </c>
      <c r="C4564" s="120" t="s">
        <v>280</v>
      </c>
      <c r="D4564"/>
      <c r="E4564"/>
      <c r="F4564"/>
      <c r="G4564"/>
      <c r="H4564"/>
      <c r="I4564" s="21" t="str">
        <f t="shared" si="143"/>
        <v/>
      </c>
      <c r="L4564" s="24"/>
      <c r="M4564" s="24"/>
    </row>
    <row r="4565" spans="1:13">
      <c r="A4565" s="14" t="str">
        <f t="shared" si="142"/>
        <v/>
      </c>
      <c r="C4565" s="120" t="s">
        <v>282</v>
      </c>
      <c r="D4565"/>
      <c r="E4565"/>
      <c r="F4565"/>
      <c r="G4565"/>
      <c r="H4565"/>
      <c r="I4565" s="21" t="str">
        <f t="shared" si="143"/>
        <v/>
      </c>
      <c r="L4565" s="24"/>
      <c r="M4565" s="24"/>
    </row>
    <row r="4566" spans="1:13">
      <c r="A4566" s="10" t="str">
        <f t="shared" si="142"/>
        <v/>
      </c>
      <c r="C4566" s="120" t="s">
        <v>284</v>
      </c>
      <c r="D4566"/>
      <c r="E4566"/>
      <c r="F4566"/>
      <c r="G4566"/>
      <c r="H4566"/>
      <c r="I4566" s="21" t="str">
        <f t="shared" si="143"/>
        <v/>
      </c>
      <c r="L4566" s="24"/>
      <c r="M4566" s="24"/>
    </row>
    <row r="4567" spans="1:13">
      <c r="A4567" s="14" t="str">
        <f t="shared" si="142"/>
        <v/>
      </c>
      <c r="C4567" s="120" t="s">
        <v>286</v>
      </c>
      <c r="D4567"/>
      <c r="E4567"/>
      <c r="F4567"/>
      <c r="G4567"/>
      <c r="H4567"/>
      <c r="I4567" s="21" t="str">
        <f t="shared" si="143"/>
        <v/>
      </c>
      <c r="L4567" s="24"/>
      <c r="M4567" s="24"/>
    </row>
    <row r="4568" spans="1:13">
      <c r="A4568" s="10" t="str">
        <f t="shared" si="142"/>
        <v/>
      </c>
      <c r="C4568" s="120" t="s">
        <v>126</v>
      </c>
      <c r="D4568"/>
      <c r="E4568"/>
      <c r="F4568"/>
      <c r="G4568"/>
      <c r="H4568"/>
      <c r="I4568" s="21" t="str">
        <f t="shared" si="143"/>
        <v/>
      </c>
      <c r="L4568" s="24"/>
      <c r="M4568" s="24"/>
    </row>
    <row r="4569" spans="1:13">
      <c r="A4569" s="14" t="str">
        <f t="shared" si="142"/>
        <v/>
      </c>
      <c r="C4569" s="120" t="s">
        <v>128</v>
      </c>
      <c r="D4569"/>
      <c r="E4569"/>
      <c r="F4569"/>
      <c r="G4569"/>
      <c r="H4569"/>
      <c r="I4569" s="21" t="str">
        <f t="shared" si="143"/>
        <v/>
      </c>
      <c r="L4569" s="24"/>
      <c r="M4569" s="24"/>
    </row>
    <row r="4570" spans="1:13">
      <c r="A4570" s="10" t="str">
        <f t="shared" si="142"/>
        <v/>
      </c>
      <c r="C4570" s="120" t="s">
        <v>280</v>
      </c>
      <c r="D4570"/>
      <c r="E4570"/>
      <c r="F4570"/>
      <c r="G4570"/>
      <c r="H4570"/>
      <c r="I4570" s="21" t="str">
        <f t="shared" si="143"/>
        <v/>
      </c>
      <c r="L4570" s="24"/>
      <c r="M4570" s="24"/>
    </row>
    <row r="4571" spans="1:13">
      <c r="A4571" s="14" t="str">
        <f t="shared" si="142"/>
        <v/>
      </c>
      <c r="C4571" s="120" t="s">
        <v>282</v>
      </c>
      <c r="D4571"/>
      <c r="E4571"/>
      <c r="F4571"/>
      <c r="G4571"/>
      <c r="H4571"/>
      <c r="I4571" s="21" t="str">
        <f t="shared" si="143"/>
        <v/>
      </c>
      <c r="L4571" s="24"/>
      <c r="M4571" s="24"/>
    </row>
    <row r="4572" spans="1:13">
      <c r="A4572" s="10" t="str">
        <f t="shared" si="142"/>
        <v/>
      </c>
      <c r="C4572" s="120" t="s">
        <v>284</v>
      </c>
      <c r="D4572"/>
      <c r="E4572"/>
      <c r="F4572"/>
      <c r="G4572"/>
      <c r="H4572"/>
      <c r="I4572" s="21" t="str">
        <f t="shared" si="143"/>
        <v/>
      </c>
      <c r="L4572" s="24"/>
      <c r="M4572" s="24"/>
    </row>
    <row r="4573" spans="1:13">
      <c r="A4573" s="14" t="str">
        <f t="shared" si="142"/>
        <v/>
      </c>
      <c r="C4573" s="120" t="s">
        <v>286</v>
      </c>
      <c r="D4573"/>
      <c r="E4573"/>
      <c r="F4573"/>
      <c r="G4573"/>
      <c r="H4573"/>
      <c r="I4573" s="21" t="str">
        <f t="shared" si="143"/>
        <v/>
      </c>
      <c r="L4573" s="24"/>
      <c r="M4573" s="24"/>
    </row>
    <row r="4574" spans="1:13">
      <c r="A4574" s="10" t="str">
        <f t="shared" si="142"/>
        <v/>
      </c>
      <c r="C4574" s="120" t="s">
        <v>126</v>
      </c>
      <c r="D4574"/>
      <c r="E4574"/>
      <c r="F4574"/>
      <c r="G4574"/>
      <c r="H4574"/>
      <c r="I4574" s="21" t="str">
        <f t="shared" si="143"/>
        <v/>
      </c>
      <c r="L4574" s="24"/>
      <c r="M4574" s="24"/>
    </row>
    <row r="4575" spans="1:13">
      <c r="A4575" s="14" t="str">
        <f t="shared" si="142"/>
        <v/>
      </c>
      <c r="C4575" s="120" t="s">
        <v>128</v>
      </c>
      <c r="D4575"/>
      <c r="E4575"/>
      <c r="F4575"/>
      <c r="G4575"/>
      <c r="H4575"/>
      <c r="I4575" s="21" t="str">
        <f t="shared" si="143"/>
        <v/>
      </c>
      <c r="L4575" s="24"/>
      <c r="M4575" s="24"/>
    </row>
    <row r="4576" spans="1:13">
      <c r="A4576" s="10" t="str">
        <f t="shared" si="142"/>
        <v/>
      </c>
      <c r="C4576" s="120" t="s">
        <v>280</v>
      </c>
      <c r="D4576"/>
      <c r="E4576"/>
      <c r="F4576"/>
      <c r="G4576"/>
      <c r="H4576"/>
      <c r="I4576" s="21" t="str">
        <f t="shared" si="143"/>
        <v/>
      </c>
      <c r="L4576" s="24"/>
      <c r="M4576" s="24"/>
    </row>
    <row r="4577" spans="1:13">
      <c r="A4577" s="14" t="str">
        <f t="shared" si="142"/>
        <v/>
      </c>
      <c r="C4577" s="120" t="s">
        <v>282</v>
      </c>
      <c r="D4577"/>
      <c r="E4577"/>
      <c r="F4577"/>
      <c r="G4577"/>
      <c r="H4577"/>
      <c r="I4577" s="21" t="str">
        <f t="shared" si="143"/>
        <v/>
      </c>
      <c r="L4577" s="24"/>
      <c r="M4577" s="24"/>
    </row>
    <row r="4578" spans="1:13">
      <c r="A4578" s="10" t="str">
        <f t="shared" si="142"/>
        <v/>
      </c>
      <c r="C4578" s="120" t="s">
        <v>284</v>
      </c>
      <c r="D4578"/>
      <c r="E4578"/>
      <c r="F4578"/>
      <c r="G4578"/>
      <c r="H4578"/>
      <c r="I4578" s="21" t="str">
        <f t="shared" si="143"/>
        <v/>
      </c>
      <c r="L4578" s="24"/>
      <c r="M4578" s="24"/>
    </row>
    <row r="4579" spans="1:13">
      <c r="A4579" s="14" t="str">
        <f t="shared" si="142"/>
        <v/>
      </c>
      <c r="C4579" s="120" t="s">
        <v>286</v>
      </c>
      <c r="D4579"/>
      <c r="E4579"/>
      <c r="F4579"/>
      <c r="G4579"/>
      <c r="H4579"/>
      <c r="I4579" s="21" t="str">
        <f t="shared" si="143"/>
        <v/>
      </c>
      <c r="L4579" s="24"/>
      <c r="M4579" s="24"/>
    </row>
    <row r="4580" spans="1:13">
      <c r="A4580" s="10" t="str">
        <f t="shared" si="142"/>
        <v/>
      </c>
      <c r="C4580" s="120" t="s">
        <v>126</v>
      </c>
      <c r="D4580"/>
      <c r="E4580"/>
      <c r="F4580"/>
      <c r="G4580"/>
      <c r="H4580"/>
      <c r="I4580" s="21" t="str">
        <f t="shared" si="143"/>
        <v/>
      </c>
      <c r="L4580" s="24"/>
      <c r="M4580" s="24"/>
    </row>
    <row r="4581" spans="1:13">
      <c r="A4581" s="14" t="str">
        <f t="shared" si="142"/>
        <v/>
      </c>
      <c r="C4581" s="120" t="s">
        <v>128</v>
      </c>
      <c r="D4581"/>
      <c r="E4581"/>
      <c r="F4581"/>
      <c r="G4581"/>
      <c r="H4581"/>
      <c r="I4581" s="21" t="str">
        <f t="shared" si="143"/>
        <v/>
      </c>
      <c r="L4581" s="24"/>
      <c r="M4581" s="24"/>
    </row>
    <row r="4582" spans="1:13">
      <c r="A4582" s="10" t="str">
        <f t="shared" si="142"/>
        <v/>
      </c>
      <c r="C4582" s="120" t="s">
        <v>280</v>
      </c>
      <c r="D4582"/>
      <c r="E4582"/>
      <c r="F4582"/>
      <c r="G4582"/>
      <c r="H4582"/>
      <c r="I4582" s="21" t="str">
        <f t="shared" si="143"/>
        <v/>
      </c>
      <c r="L4582" s="24"/>
      <c r="M4582" s="24"/>
    </row>
    <row r="4583" spans="1:13">
      <c r="A4583" s="14" t="str">
        <f t="shared" si="142"/>
        <v/>
      </c>
      <c r="C4583" s="120" t="s">
        <v>282</v>
      </c>
      <c r="D4583"/>
      <c r="E4583"/>
      <c r="F4583"/>
      <c r="G4583"/>
      <c r="H4583"/>
      <c r="I4583" s="21" t="str">
        <f t="shared" si="143"/>
        <v/>
      </c>
      <c r="L4583" s="24"/>
      <c r="M4583" s="24"/>
    </row>
    <row r="4584" spans="1:13">
      <c r="A4584" s="10" t="str">
        <f t="shared" si="142"/>
        <v/>
      </c>
      <c r="C4584" s="120" t="s">
        <v>284</v>
      </c>
      <c r="D4584"/>
      <c r="E4584"/>
      <c r="F4584"/>
      <c r="G4584"/>
      <c r="H4584"/>
      <c r="I4584" s="21" t="str">
        <f t="shared" si="143"/>
        <v/>
      </c>
      <c r="L4584" s="24"/>
      <c r="M4584" s="24"/>
    </row>
    <row r="4585" spans="1:13">
      <c r="A4585" s="14" t="str">
        <f t="shared" si="142"/>
        <v/>
      </c>
      <c r="C4585" s="120" t="s">
        <v>286</v>
      </c>
      <c r="D4585"/>
      <c r="E4585"/>
      <c r="F4585"/>
      <c r="G4585"/>
      <c r="H4585"/>
      <c r="I4585" s="21" t="str">
        <f t="shared" si="143"/>
        <v/>
      </c>
      <c r="L4585" s="24"/>
      <c r="M4585" s="24"/>
    </row>
    <row r="4586" spans="1:13">
      <c r="A4586" s="10" t="str">
        <f t="shared" si="142"/>
        <v/>
      </c>
      <c r="C4586" s="120" t="s">
        <v>126</v>
      </c>
      <c r="D4586"/>
      <c r="E4586"/>
      <c r="F4586"/>
      <c r="G4586"/>
      <c r="H4586"/>
      <c r="I4586" s="21" t="str">
        <f t="shared" si="143"/>
        <v/>
      </c>
      <c r="L4586" s="24"/>
      <c r="M4586" s="24"/>
    </row>
    <row r="4587" spans="1:13">
      <c r="A4587" s="14" t="str">
        <f t="shared" si="142"/>
        <v/>
      </c>
      <c r="C4587" s="120" t="s">
        <v>128</v>
      </c>
      <c r="D4587"/>
      <c r="E4587"/>
      <c r="F4587"/>
      <c r="G4587"/>
      <c r="H4587"/>
      <c r="I4587" s="21" t="str">
        <f t="shared" si="143"/>
        <v/>
      </c>
      <c r="L4587" s="24"/>
      <c r="M4587" s="24"/>
    </row>
    <row r="4588" spans="1:13">
      <c r="A4588" s="10" t="str">
        <f t="shared" si="142"/>
        <v/>
      </c>
      <c r="C4588" s="120" t="s">
        <v>280</v>
      </c>
      <c r="D4588"/>
      <c r="E4588"/>
      <c r="F4588"/>
      <c r="G4588"/>
      <c r="H4588"/>
      <c r="I4588" s="21" t="str">
        <f t="shared" si="143"/>
        <v/>
      </c>
      <c r="L4588" s="24"/>
      <c r="M4588" s="24"/>
    </row>
    <row r="4589" spans="1:13">
      <c r="A4589" s="14" t="str">
        <f t="shared" si="142"/>
        <v/>
      </c>
      <c r="C4589" s="120" t="s">
        <v>282</v>
      </c>
      <c r="D4589"/>
      <c r="E4589"/>
      <c r="F4589"/>
      <c r="G4589"/>
      <c r="H4589"/>
      <c r="I4589" s="21" t="str">
        <f t="shared" si="143"/>
        <v/>
      </c>
      <c r="L4589" s="24"/>
      <c r="M4589" s="24"/>
    </row>
    <row r="4590" spans="1:13">
      <c r="A4590" s="10" t="str">
        <f t="shared" si="142"/>
        <v/>
      </c>
      <c r="C4590" s="120" t="s">
        <v>284</v>
      </c>
      <c r="D4590"/>
      <c r="E4590"/>
      <c r="F4590"/>
      <c r="G4590"/>
      <c r="H4590"/>
      <c r="I4590" s="21" t="str">
        <f t="shared" si="143"/>
        <v/>
      </c>
      <c r="L4590" s="24"/>
      <c r="M4590" s="24"/>
    </row>
    <row r="4591" spans="1:13">
      <c r="A4591" s="14" t="str">
        <f t="shared" si="142"/>
        <v/>
      </c>
      <c r="C4591" s="120" t="s">
        <v>286</v>
      </c>
      <c r="D4591"/>
      <c r="E4591"/>
      <c r="F4591"/>
      <c r="G4591"/>
      <c r="H4591"/>
      <c r="I4591" s="21" t="str">
        <f t="shared" si="143"/>
        <v/>
      </c>
      <c r="L4591" s="24"/>
      <c r="M4591" s="24"/>
    </row>
    <row r="4592" spans="1:13">
      <c r="A4592" s="10" t="str">
        <f t="shared" si="142"/>
        <v/>
      </c>
      <c r="C4592" s="120" t="s">
        <v>126</v>
      </c>
      <c r="D4592"/>
      <c r="E4592"/>
      <c r="F4592"/>
      <c r="G4592"/>
      <c r="H4592"/>
      <c r="I4592" s="21" t="str">
        <f t="shared" si="143"/>
        <v/>
      </c>
      <c r="L4592" s="24"/>
      <c r="M4592" s="24"/>
    </row>
    <row r="4593" spans="1:13">
      <c r="A4593" s="14" t="str">
        <f t="shared" si="142"/>
        <v/>
      </c>
      <c r="C4593" s="120" t="s">
        <v>128</v>
      </c>
      <c r="D4593"/>
      <c r="E4593"/>
      <c r="F4593"/>
      <c r="G4593"/>
      <c r="H4593"/>
      <c r="I4593" s="21" t="str">
        <f t="shared" si="143"/>
        <v/>
      </c>
      <c r="L4593" s="24"/>
      <c r="M4593" s="24"/>
    </row>
    <row r="4594" spans="1:13">
      <c r="A4594" s="10" t="str">
        <f t="shared" si="142"/>
        <v/>
      </c>
      <c r="C4594" s="120" t="s">
        <v>280</v>
      </c>
      <c r="D4594"/>
      <c r="E4594"/>
      <c r="F4594"/>
      <c r="G4594"/>
      <c r="H4594"/>
      <c r="I4594" s="21" t="str">
        <f t="shared" si="143"/>
        <v/>
      </c>
      <c r="L4594" s="24"/>
      <c r="M4594" s="24"/>
    </row>
    <row r="4595" spans="1:13">
      <c r="A4595" s="14" t="str">
        <f t="shared" si="142"/>
        <v/>
      </c>
      <c r="C4595" s="120" t="s">
        <v>282</v>
      </c>
      <c r="D4595"/>
      <c r="E4595"/>
      <c r="F4595"/>
      <c r="G4595"/>
      <c r="H4595"/>
      <c r="I4595" s="21" t="str">
        <f t="shared" si="143"/>
        <v/>
      </c>
      <c r="L4595" s="24"/>
      <c r="M4595" s="24"/>
    </row>
    <row r="4596" spans="1:13">
      <c r="A4596" s="10" t="str">
        <f t="shared" si="142"/>
        <v/>
      </c>
      <c r="C4596" s="120" t="s">
        <v>284</v>
      </c>
      <c r="D4596"/>
      <c r="E4596"/>
      <c r="F4596"/>
      <c r="G4596"/>
      <c r="H4596"/>
      <c r="I4596" s="21" t="str">
        <f t="shared" si="143"/>
        <v/>
      </c>
      <c r="L4596" s="24"/>
      <c r="M4596" s="24"/>
    </row>
    <row r="4597" spans="1:13">
      <c r="A4597" s="14" t="str">
        <f t="shared" si="142"/>
        <v/>
      </c>
      <c r="C4597" s="120" t="s">
        <v>286</v>
      </c>
      <c r="D4597"/>
      <c r="E4597"/>
      <c r="F4597"/>
      <c r="G4597"/>
      <c r="H4597"/>
      <c r="I4597" s="21" t="str">
        <f t="shared" si="143"/>
        <v/>
      </c>
      <c r="L4597" s="24"/>
      <c r="M4597" s="24"/>
    </row>
    <row r="4598" spans="1:13">
      <c r="A4598" s="10" t="str">
        <f t="shared" si="142"/>
        <v/>
      </c>
      <c r="C4598" s="120" t="s">
        <v>126</v>
      </c>
      <c r="D4598"/>
      <c r="E4598"/>
      <c r="F4598"/>
      <c r="G4598"/>
      <c r="H4598"/>
      <c r="I4598" s="21" t="str">
        <f t="shared" si="143"/>
        <v/>
      </c>
      <c r="L4598" s="24"/>
      <c r="M4598" s="24"/>
    </row>
    <row r="4599" spans="1:13">
      <c r="A4599" s="14" t="str">
        <f t="shared" si="142"/>
        <v/>
      </c>
      <c r="C4599" s="120" t="s">
        <v>128</v>
      </c>
      <c r="D4599"/>
      <c r="E4599"/>
      <c r="F4599"/>
      <c r="G4599"/>
      <c r="H4599"/>
      <c r="I4599" s="21" t="str">
        <f t="shared" si="143"/>
        <v/>
      </c>
      <c r="L4599" s="24"/>
      <c r="M4599" s="24"/>
    </row>
    <row r="4600" spans="1:13">
      <c r="A4600" s="10" t="str">
        <f t="shared" si="142"/>
        <v/>
      </c>
      <c r="C4600" s="120" t="s">
        <v>280</v>
      </c>
      <c r="D4600"/>
      <c r="E4600"/>
      <c r="F4600"/>
      <c r="G4600"/>
      <c r="H4600"/>
      <c r="I4600" s="21" t="str">
        <f t="shared" si="143"/>
        <v/>
      </c>
      <c r="L4600" s="24"/>
      <c r="M4600" s="24"/>
    </row>
    <row r="4601" spans="1:13">
      <c r="A4601" s="14" t="str">
        <f t="shared" si="142"/>
        <v/>
      </c>
      <c r="C4601" s="120" t="s">
        <v>282</v>
      </c>
      <c r="D4601"/>
      <c r="E4601"/>
      <c r="F4601"/>
      <c r="G4601"/>
      <c r="H4601"/>
      <c r="I4601" s="21" t="str">
        <f t="shared" si="143"/>
        <v/>
      </c>
      <c r="L4601" s="24"/>
      <c r="M4601" s="24"/>
    </row>
    <row r="4602" spans="1:13">
      <c r="A4602" s="10" t="str">
        <f t="shared" si="142"/>
        <v/>
      </c>
      <c r="C4602" s="120" t="s">
        <v>284</v>
      </c>
      <c r="D4602"/>
      <c r="E4602"/>
      <c r="F4602"/>
      <c r="G4602"/>
      <c r="H4602"/>
      <c r="I4602" s="21" t="str">
        <f t="shared" si="143"/>
        <v/>
      </c>
      <c r="L4602" s="24"/>
      <c r="M4602" s="24"/>
    </row>
    <row r="4603" spans="1:13">
      <c r="A4603" s="14" t="str">
        <f t="shared" si="142"/>
        <v/>
      </c>
      <c r="C4603" s="120" t="s">
        <v>286</v>
      </c>
      <c r="D4603"/>
      <c r="E4603"/>
      <c r="F4603"/>
      <c r="G4603"/>
      <c r="H4603"/>
      <c r="I4603" s="21" t="str">
        <f t="shared" si="143"/>
        <v/>
      </c>
      <c r="L4603" s="24"/>
      <c r="M4603" s="24"/>
    </row>
    <row r="4604" spans="1:13">
      <c r="A4604" s="10" t="str">
        <f t="shared" si="142"/>
        <v/>
      </c>
      <c r="C4604" s="120" t="s">
        <v>126</v>
      </c>
      <c r="D4604"/>
      <c r="E4604"/>
      <c r="F4604"/>
      <c r="G4604"/>
      <c r="H4604"/>
      <c r="I4604" s="21" t="str">
        <f t="shared" si="143"/>
        <v/>
      </c>
      <c r="L4604" s="24"/>
      <c r="M4604" s="24"/>
    </row>
    <row r="4605" spans="1:13">
      <c r="A4605" s="14" t="str">
        <f t="shared" si="142"/>
        <v/>
      </c>
      <c r="C4605" s="120" t="s">
        <v>128</v>
      </c>
      <c r="D4605"/>
      <c r="E4605"/>
      <c r="F4605"/>
      <c r="G4605"/>
      <c r="H4605"/>
      <c r="I4605" s="21" t="str">
        <f t="shared" si="143"/>
        <v/>
      </c>
      <c r="L4605" s="24"/>
      <c r="M4605" s="24"/>
    </row>
    <row r="4606" spans="1:13">
      <c r="A4606" s="10" t="str">
        <f t="shared" si="142"/>
        <v/>
      </c>
      <c r="C4606" s="120" t="s">
        <v>280</v>
      </c>
      <c r="D4606"/>
      <c r="E4606"/>
      <c r="F4606"/>
      <c r="G4606"/>
      <c r="H4606"/>
      <c r="I4606" s="21" t="str">
        <f t="shared" si="143"/>
        <v/>
      </c>
      <c r="L4606" s="24"/>
      <c r="M4606" s="24"/>
    </row>
    <row r="4607" spans="1:13">
      <c r="A4607" s="14" t="str">
        <f t="shared" si="142"/>
        <v/>
      </c>
      <c r="C4607" s="120" t="s">
        <v>282</v>
      </c>
      <c r="D4607"/>
      <c r="E4607"/>
      <c r="F4607"/>
      <c r="G4607"/>
      <c r="H4607"/>
      <c r="I4607" s="21" t="str">
        <f t="shared" si="143"/>
        <v/>
      </c>
      <c r="L4607" s="24"/>
      <c r="M4607" s="24"/>
    </row>
    <row r="4608" spans="1:13">
      <c r="A4608" s="10" t="str">
        <f t="shared" si="142"/>
        <v/>
      </c>
      <c r="C4608" s="120" t="s">
        <v>284</v>
      </c>
      <c r="D4608"/>
      <c r="E4608"/>
      <c r="F4608"/>
      <c r="G4608"/>
      <c r="H4608"/>
      <c r="I4608" s="21" t="str">
        <f t="shared" si="143"/>
        <v/>
      </c>
      <c r="L4608" s="24"/>
      <c r="M4608" s="24"/>
    </row>
    <row r="4609" spans="1:13">
      <c r="A4609" s="14" t="str">
        <f t="shared" si="142"/>
        <v/>
      </c>
      <c r="C4609" s="120" t="s">
        <v>286</v>
      </c>
      <c r="D4609"/>
      <c r="E4609"/>
      <c r="F4609"/>
      <c r="G4609"/>
      <c r="H4609"/>
      <c r="I4609" s="21" t="str">
        <f t="shared" si="143"/>
        <v/>
      </c>
      <c r="L4609" s="24"/>
      <c r="M4609" s="24"/>
    </row>
    <row r="4610" spans="1:13">
      <c r="A4610" s="10" t="str">
        <f t="shared" ref="A4610:A4673" si="144">IF(B4610&lt;&gt;"",ROW()-1,"")</f>
        <v/>
      </c>
      <c r="C4610" s="120" t="s">
        <v>126</v>
      </c>
      <c r="D4610"/>
      <c r="E4610"/>
      <c r="F4610"/>
      <c r="G4610"/>
      <c r="H4610"/>
      <c r="I4610" s="21" t="str">
        <f t="shared" ref="I4610:I4673" si="145">IF(AND(G4610&lt;&gt;"",H4610&lt;&gt;""),H4610-G4610,"")</f>
        <v/>
      </c>
      <c r="L4610" s="24"/>
      <c r="M4610" s="24"/>
    </row>
    <row r="4611" spans="1:13">
      <c r="A4611" s="14" t="str">
        <f t="shared" si="144"/>
        <v/>
      </c>
      <c r="C4611" s="120" t="s">
        <v>128</v>
      </c>
      <c r="D4611"/>
      <c r="E4611"/>
      <c r="F4611"/>
      <c r="G4611"/>
      <c r="H4611"/>
      <c r="I4611" s="21" t="str">
        <f t="shared" si="145"/>
        <v/>
      </c>
      <c r="L4611" s="24"/>
      <c r="M4611" s="24"/>
    </row>
    <row r="4612" spans="1:13">
      <c r="A4612" s="10" t="str">
        <f t="shared" si="144"/>
        <v/>
      </c>
      <c r="C4612" s="120" t="s">
        <v>280</v>
      </c>
      <c r="D4612"/>
      <c r="E4612"/>
      <c r="F4612"/>
      <c r="G4612"/>
      <c r="H4612"/>
      <c r="I4612" s="21" t="str">
        <f t="shared" si="145"/>
        <v/>
      </c>
      <c r="L4612" s="24"/>
      <c r="M4612" s="24"/>
    </row>
    <row r="4613" spans="1:13">
      <c r="A4613" s="14" t="str">
        <f t="shared" si="144"/>
        <v/>
      </c>
      <c r="C4613" s="120" t="s">
        <v>282</v>
      </c>
      <c r="D4613"/>
      <c r="E4613"/>
      <c r="F4613"/>
      <c r="G4613"/>
      <c r="H4613"/>
      <c r="I4613" s="21" t="str">
        <f t="shared" si="145"/>
        <v/>
      </c>
      <c r="L4613" s="24"/>
      <c r="M4613" s="24"/>
    </row>
    <row r="4614" spans="1:13">
      <c r="A4614" s="10" t="str">
        <f t="shared" si="144"/>
        <v/>
      </c>
      <c r="C4614" s="120" t="s">
        <v>284</v>
      </c>
      <c r="D4614"/>
      <c r="E4614"/>
      <c r="F4614"/>
      <c r="G4614"/>
      <c r="H4614"/>
      <c r="I4614" s="21" t="str">
        <f t="shared" si="145"/>
        <v/>
      </c>
      <c r="L4614" s="24"/>
      <c r="M4614" s="24"/>
    </row>
    <row r="4615" spans="1:13">
      <c r="A4615" s="14" t="str">
        <f t="shared" si="144"/>
        <v/>
      </c>
      <c r="C4615" s="120" t="s">
        <v>286</v>
      </c>
      <c r="D4615"/>
      <c r="E4615"/>
      <c r="F4615"/>
      <c r="G4615"/>
      <c r="H4615"/>
      <c r="I4615" s="21" t="str">
        <f t="shared" si="145"/>
        <v/>
      </c>
      <c r="L4615" s="24"/>
      <c r="M4615" s="24"/>
    </row>
    <row r="4616" spans="1:13">
      <c r="A4616" s="10" t="str">
        <f t="shared" si="144"/>
        <v/>
      </c>
      <c r="C4616" s="120" t="s">
        <v>126</v>
      </c>
      <c r="D4616"/>
      <c r="E4616"/>
      <c r="F4616"/>
      <c r="G4616"/>
      <c r="H4616"/>
      <c r="I4616" s="21" t="str">
        <f t="shared" si="145"/>
        <v/>
      </c>
      <c r="L4616" s="24"/>
      <c r="M4616" s="24"/>
    </row>
    <row r="4617" spans="1:13">
      <c r="A4617" s="14" t="str">
        <f t="shared" si="144"/>
        <v/>
      </c>
      <c r="C4617" s="120" t="s">
        <v>128</v>
      </c>
      <c r="D4617"/>
      <c r="E4617"/>
      <c r="F4617"/>
      <c r="G4617"/>
      <c r="H4617"/>
      <c r="I4617" s="21" t="str">
        <f t="shared" si="145"/>
        <v/>
      </c>
      <c r="L4617" s="24"/>
      <c r="M4617" s="24"/>
    </row>
    <row r="4618" spans="1:13">
      <c r="A4618" s="10" t="str">
        <f t="shared" si="144"/>
        <v/>
      </c>
      <c r="C4618" s="120" t="s">
        <v>280</v>
      </c>
      <c r="D4618"/>
      <c r="E4618"/>
      <c r="F4618"/>
      <c r="G4618"/>
      <c r="H4618"/>
      <c r="I4618" s="21" t="str">
        <f t="shared" si="145"/>
        <v/>
      </c>
      <c r="L4618" s="24"/>
      <c r="M4618" s="24"/>
    </row>
    <row r="4619" spans="1:13">
      <c r="A4619" s="14" t="str">
        <f t="shared" si="144"/>
        <v/>
      </c>
      <c r="C4619" s="120" t="s">
        <v>282</v>
      </c>
      <c r="D4619"/>
      <c r="E4619"/>
      <c r="F4619"/>
      <c r="G4619"/>
      <c r="H4619"/>
      <c r="I4619" s="21" t="str">
        <f t="shared" si="145"/>
        <v/>
      </c>
      <c r="L4619" s="24"/>
      <c r="M4619" s="24"/>
    </row>
    <row r="4620" spans="1:13">
      <c r="A4620" s="10" t="str">
        <f t="shared" si="144"/>
        <v/>
      </c>
      <c r="C4620" s="120" t="s">
        <v>284</v>
      </c>
      <c r="D4620"/>
      <c r="E4620"/>
      <c r="F4620"/>
      <c r="G4620"/>
      <c r="H4620"/>
      <c r="I4620" s="21" t="str">
        <f t="shared" si="145"/>
        <v/>
      </c>
      <c r="L4620" s="24"/>
      <c r="M4620" s="24"/>
    </row>
    <row r="4621" spans="1:13">
      <c r="A4621" s="14" t="str">
        <f t="shared" si="144"/>
        <v/>
      </c>
      <c r="C4621" s="120" t="s">
        <v>286</v>
      </c>
      <c r="D4621"/>
      <c r="E4621"/>
      <c r="F4621"/>
      <c r="G4621"/>
      <c r="H4621"/>
      <c r="I4621" s="21" t="str">
        <f t="shared" si="145"/>
        <v/>
      </c>
      <c r="L4621" s="24"/>
      <c r="M4621" s="24"/>
    </row>
    <row r="4622" spans="1:13">
      <c r="A4622" s="10" t="str">
        <f t="shared" si="144"/>
        <v/>
      </c>
      <c r="C4622" s="120" t="s">
        <v>126</v>
      </c>
      <c r="D4622"/>
      <c r="E4622"/>
      <c r="F4622"/>
      <c r="G4622"/>
      <c r="H4622"/>
      <c r="I4622" s="21" t="str">
        <f t="shared" si="145"/>
        <v/>
      </c>
      <c r="L4622" s="24"/>
      <c r="M4622" s="24"/>
    </row>
    <row r="4623" spans="1:13">
      <c r="A4623" s="14" t="str">
        <f t="shared" si="144"/>
        <v/>
      </c>
      <c r="C4623" s="120" t="s">
        <v>128</v>
      </c>
      <c r="D4623"/>
      <c r="E4623"/>
      <c r="F4623"/>
      <c r="G4623"/>
      <c r="H4623"/>
      <c r="I4623" s="21" t="str">
        <f t="shared" si="145"/>
        <v/>
      </c>
      <c r="L4623" s="24"/>
      <c r="M4623" s="24"/>
    </row>
    <row r="4624" spans="1:13">
      <c r="A4624" s="10" t="str">
        <f t="shared" si="144"/>
        <v/>
      </c>
      <c r="C4624" s="120" t="s">
        <v>280</v>
      </c>
      <c r="D4624"/>
      <c r="E4624"/>
      <c r="F4624"/>
      <c r="G4624"/>
      <c r="H4624"/>
      <c r="I4624" s="21" t="str">
        <f t="shared" si="145"/>
        <v/>
      </c>
      <c r="L4624" s="24"/>
      <c r="M4624" s="24"/>
    </row>
    <row r="4625" spans="1:13">
      <c r="A4625" s="14" t="str">
        <f t="shared" si="144"/>
        <v/>
      </c>
      <c r="C4625" s="120" t="s">
        <v>282</v>
      </c>
      <c r="D4625"/>
      <c r="E4625"/>
      <c r="F4625"/>
      <c r="G4625"/>
      <c r="H4625"/>
      <c r="I4625" s="21" t="str">
        <f t="shared" si="145"/>
        <v/>
      </c>
      <c r="L4625" s="24"/>
      <c r="M4625" s="24"/>
    </row>
    <row r="4626" spans="1:13">
      <c r="A4626" s="10" t="str">
        <f t="shared" si="144"/>
        <v/>
      </c>
      <c r="C4626" s="120" t="s">
        <v>284</v>
      </c>
      <c r="D4626"/>
      <c r="E4626"/>
      <c r="F4626"/>
      <c r="G4626"/>
      <c r="H4626"/>
      <c r="I4626" s="21" t="str">
        <f t="shared" si="145"/>
        <v/>
      </c>
      <c r="L4626" s="24"/>
      <c r="M4626" s="24"/>
    </row>
    <row r="4627" spans="1:13">
      <c r="A4627" s="14" t="str">
        <f t="shared" si="144"/>
        <v/>
      </c>
      <c r="C4627" s="120" t="s">
        <v>286</v>
      </c>
      <c r="D4627"/>
      <c r="E4627"/>
      <c r="F4627"/>
      <c r="G4627"/>
      <c r="H4627"/>
      <c r="I4627" s="21" t="str">
        <f t="shared" si="145"/>
        <v/>
      </c>
      <c r="L4627" s="24"/>
      <c r="M4627" s="24"/>
    </row>
    <row r="4628" spans="1:13">
      <c r="A4628" s="10" t="str">
        <f t="shared" si="144"/>
        <v/>
      </c>
      <c r="C4628" s="120" t="s">
        <v>126</v>
      </c>
      <c r="D4628"/>
      <c r="E4628"/>
      <c r="F4628"/>
      <c r="G4628"/>
      <c r="H4628"/>
      <c r="I4628" s="21" t="str">
        <f t="shared" si="145"/>
        <v/>
      </c>
      <c r="L4628" s="24"/>
      <c r="M4628" s="24"/>
    </row>
    <row r="4629" spans="1:13">
      <c r="A4629" s="14" t="str">
        <f t="shared" si="144"/>
        <v/>
      </c>
      <c r="C4629" s="120" t="s">
        <v>128</v>
      </c>
      <c r="D4629"/>
      <c r="E4629"/>
      <c r="F4629"/>
      <c r="G4629"/>
      <c r="H4629"/>
      <c r="I4629" s="21" t="str">
        <f t="shared" si="145"/>
        <v/>
      </c>
      <c r="L4629" s="24"/>
      <c r="M4629" s="24"/>
    </row>
    <row r="4630" spans="1:13">
      <c r="A4630" s="10" t="str">
        <f t="shared" si="144"/>
        <v/>
      </c>
      <c r="C4630" s="120" t="s">
        <v>280</v>
      </c>
      <c r="D4630"/>
      <c r="E4630"/>
      <c r="F4630"/>
      <c r="G4630"/>
      <c r="H4630"/>
      <c r="I4630" s="21" t="str">
        <f t="shared" si="145"/>
        <v/>
      </c>
      <c r="L4630" s="24"/>
      <c r="M4630" s="24"/>
    </row>
    <row r="4631" spans="1:13">
      <c r="A4631" s="14" t="str">
        <f t="shared" si="144"/>
        <v/>
      </c>
      <c r="C4631" s="120" t="s">
        <v>282</v>
      </c>
      <c r="D4631"/>
      <c r="E4631"/>
      <c r="F4631"/>
      <c r="G4631"/>
      <c r="H4631"/>
      <c r="I4631" s="21" t="str">
        <f t="shared" si="145"/>
        <v/>
      </c>
      <c r="L4631" s="24"/>
      <c r="M4631" s="24"/>
    </row>
    <row r="4632" spans="1:13">
      <c r="A4632" s="10" t="str">
        <f t="shared" si="144"/>
        <v/>
      </c>
      <c r="C4632" s="120" t="s">
        <v>284</v>
      </c>
      <c r="D4632"/>
      <c r="E4632"/>
      <c r="F4632"/>
      <c r="G4632"/>
      <c r="H4632"/>
      <c r="I4632" s="21" t="str">
        <f t="shared" si="145"/>
        <v/>
      </c>
      <c r="L4632" s="24"/>
      <c r="M4632" s="24"/>
    </row>
    <row r="4633" spans="1:13">
      <c r="A4633" s="14" t="str">
        <f t="shared" si="144"/>
        <v/>
      </c>
      <c r="C4633" s="120" t="s">
        <v>286</v>
      </c>
      <c r="D4633"/>
      <c r="E4633"/>
      <c r="F4633"/>
      <c r="G4633"/>
      <c r="H4633"/>
      <c r="I4633" s="21" t="str">
        <f t="shared" si="145"/>
        <v/>
      </c>
      <c r="L4633" s="24"/>
      <c r="M4633" s="24"/>
    </row>
    <row r="4634" spans="1:13">
      <c r="A4634" s="10" t="str">
        <f t="shared" si="144"/>
        <v/>
      </c>
      <c r="C4634" s="120" t="s">
        <v>126</v>
      </c>
      <c r="D4634"/>
      <c r="E4634"/>
      <c r="F4634"/>
      <c r="G4634"/>
      <c r="H4634"/>
      <c r="I4634" s="21" t="str">
        <f t="shared" si="145"/>
        <v/>
      </c>
      <c r="L4634" s="24"/>
      <c r="M4634" s="24"/>
    </row>
    <row r="4635" spans="1:13">
      <c r="A4635" s="14" t="str">
        <f t="shared" si="144"/>
        <v/>
      </c>
      <c r="C4635" s="120" t="s">
        <v>128</v>
      </c>
      <c r="D4635"/>
      <c r="E4635"/>
      <c r="F4635"/>
      <c r="G4635"/>
      <c r="H4635"/>
      <c r="I4635" s="21" t="str">
        <f t="shared" si="145"/>
        <v/>
      </c>
      <c r="L4635" s="24"/>
      <c r="M4635" s="24"/>
    </row>
    <row r="4636" spans="1:13">
      <c r="A4636" s="10" t="str">
        <f t="shared" si="144"/>
        <v/>
      </c>
      <c r="C4636" s="120" t="s">
        <v>280</v>
      </c>
      <c r="D4636"/>
      <c r="E4636"/>
      <c r="F4636"/>
      <c r="G4636"/>
      <c r="H4636"/>
      <c r="I4636" s="21" t="str">
        <f t="shared" si="145"/>
        <v/>
      </c>
      <c r="L4636" s="24"/>
      <c r="M4636" s="24"/>
    </row>
    <row r="4637" spans="1:13">
      <c r="A4637" s="14" t="str">
        <f t="shared" si="144"/>
        <v/>
      </c>
      <c r="C4637" s="120" t="s">
        <v>282</v>
      </c>
      <c r="D4637"/>
      <c r="E4637"/>
      <c r="F4637"/>
      <c r="G4637"/>
      <c r="H4637"/>
      <c r="I4637" s="21" t="str">
        <f t="shared" si="145"/>
        <v/>
      </c>
      <c r="L4637" s="24"/>
      <c r="M4637" s="24"/>
    </row>
    <row r="4638" spans="1:13">
      <c r="A4638" s="10" t="str">
        <f t="shared" si="144"/>
        <v/>
      </c>
      <c r="C4638" s="120" t="s">
        <v>284</v>
      </c>
      <c r="D4638"/>
      <c r="E4638"/>
      <c r="F4638"/>
      <c r="G4638"/>
      <c r="H4638"/>
      <c r="I4638" s="21" t="str">
        <f t="shared" si="145"/>
        <v/>
      </c>
      <c r="L4638" s="24"/>
      <c r="M4638" s="24"/>
    </row>
    <row r="4639" spans="1:13">
      <c r="A4639" s="14" t="str">
        <f t="shared" si="144"/>
        <v/>
      </c>
      <c r="C4639" s="120" t="s">
        <v>286</v>
      </c>
      <c r="D4639"/>
      <c r="E4639"/>
      <c r="F4639"/>
      <c r="G4639"/>
      <c r="H4639"/>
      <c r="I4639" s="21" t="str">
        <f t="shared" si="145"/>
        <v/>
      </c>
      <c r="L4639" s="24"/>
      <c r="M4639" s="24"/>
    </row>
    <row r="4640" spans="1:13">
      <c r="A4640" s="10" t="str">
        <f t="shared" si="144"/>
        <v/>
      </c>
      <c r="C4640" s="120" t="s">
        <v>126</v>
      </c>
      <c r="D4640"/>
      <c r="E4640"/>
      <c r="F4640"/>
      <c r="G4640"/>
      <c r="H4640"/>
      <c r="I4640" s="21" t="str">
        <f t="shared" si="145"/>
        <v/>
      </c>
      <c r="L4640" s="24"/>
      <c r="M4640" s="24"/>
    </row>
    <row r="4641" spans="1:13">
      <c r="A4641" s="14" t="str">
        <f t="shared" si="144"/>
        <v/>
      </c>
      <c r="C4641" s="120" t="s">
        <v>128</v>
      </c>
      <c r="D4641"/>
      <c r="E4641"/>
      <c r="F4641"/>
      <c r="G4641"/>
      <c r="H4641"/>
      <c r="I4641" s="21" t="str">
        <f t="shared" si="145"/>
        <v/>
      </c>
      <c r="L4641" s="24"/>
      <c r="M4641" s="24"/>
    </row>
    <row r="4642" spans="1:13">
      <c r="A4642" s="10" t="str">
        <f t="shared" si="144"/>
        <v/>
      </c>
      <c r="C4642" s="120" t="s">
        <v>280</v>
      </c>
      <c r="D4642"/>
      <c r="E4642"/>
      <c r="F4642"/>
      <c r="G4642"/>
      <c r="H4642"/>
      <c r="I4642" s="21" t="str">
        <f t="shared" si="145"/>
        <v/>
      </c>
      <c r="L4642" s="24"/>
      <c r="M4642" s="24"/>
    </row>
    <row r="4643" spans="1:13">
      <c r="A4643" s="14" t="str">
        <f t="shared" si="144"/>
        <v/>
      </c>
      <c r="C4643" s="120" t="s">
        <v>282</v>
      </c>
      <c r="D4643"/>
      <c r="E4643"/>
      <c r="F4643"/>
      <c r="G4643"/>
      <c r="H4643"/>
      <c r="I4643" s="21" t="str">
        <f t="shared" si="145"/>
        <v/>
      </c>
      <c r="L4643" s="24"/>
      <c r="M4643" s="24"/>
    </row>
    <row r="4644" spans="1:13">
      <c r="A4644" s="10" t="str">
        <f t="shared" si="144"/>
        <v/>
      </c>
      <c r="C4644" s="120" t="s">
        <v>284</v>
      </c>
      <c r="D4644"/>
      <c r="E4644"/>
      <c r="F4644"/>
      <c r="G4644"/>
      <c r="H4644"/>
      <c r="I4644" s="21" t="str">
        <f t="shared" si="145"/>
        <v/>
      </c>
      <c r="L4644" s="24"/>
      <c r="M4644" s="24"/>
    </row>
    <row r="4645" spans="1:13">
      <c r="A4645" s="14" t="str">
        <f t="shared" si="144"/>
        <v/>
      </c>
      <c r="C4645" s="120" t="s">
        <v>286</v>
      </c>
      <c r="D4645"/>
      <c r="E4645"/>
      <c r="F4645"/>
      <c r="G4645"/>
      <c r="H4645"/>
      <c r="I4645" s="21" t="str">
        <f t="shared" si="145"/>
        <v/>
      </c>
      <c r="L4645" s="24"/>
      <c r="M4645" s="24"/>
    </row>
    <row r="4646" spans="1:13">
      <c r="A4646" s="10" t="str">
        <f t="shared" si="144"/>
        <v/>
      </c>
      <c r="C4646" s="120" t="s">
        <v>126</v>
      </c>
      <c r="D4646"/>
      <c r="E4646"/>
      <c r="F4646"/>
      <c r="G4646"/>
      <c r="H4646"/>
      <c r="I4646" s="21" t="str">
        <f t="shared" si="145"/>
        <v/>
      </c>
      <c r="L4646" s="24"/>
      <c r="M4646" s="24"/>
    </row>
    <row r="4647" spans="1:13">
      <c r="A4647" s="14" t="str">
        <f t="shared" si="144"/>
        <v/>
      </c>
      <c r="C4647" s="120" t="s">
        <v>128</v>
      </c>
      <c r="D4647"/>
      <c r="E4647"/>
      <c r="F4647"/>
      <c r="G4647"/>
      <c r="H4647"/>
      <c r="I4647" s="21" t="str">
        <f t="shared" si="145"/>
        <v/>
      </c>
      <c r="L4647" s="24"/>
      <c r="M4647" s="24"/>
    </row>
    <row r="4648" spans="1:13">
      <c r="A4648" s="10" t="str">
        <f t="shared" si="144"/>
        <v/>
      </c>
      <c r="C4648" s="120" t="s">
        <v>280</v>
      </c>
      <c r="D4648"/>
      <c r="E4648"/>
      <c r="F4648"/>
      <c r="G4648"/>
      <c r="H4648"/>
      <c r="I4648" s="21" t="str">
        <f t="shared" si="145"/>
        <v/>
      </c>
      <c r="L4648" s="24"/>
      <c r="M4648" s="24"/>
    </row>
    <row r="4649" spans="1:13">
      <c r="A4649" s="14" t="str">
        <f t="shared" si="144"/>
        <v/>
      </c>
      <c r="C4649" s="120" t="s">
        <v>282</v>
      </c>
      <c r="D4649"/>
      <c r="E4649"/>
      <c r="F4649"/>
      <c r="G4649"/>
      <c r="H4649"/>
      <c r="I4649" s="21" t="str">
        <f t="shared" si="145"/>
        <v/>
      </c>
      <c r="L4649" s="24"/>
      <c r="M4649" s="24"/>
    </row>
    <row r="4650" spans="1:13">
      <c r="A4650" s="10" t="str">
        <f t="shared" si="144"/>
        <v/>
      </c>
      <c r="C4650" s="120" t="s">
        <v>284</v>
      </c>
      <c r="D4650"/>
      <c r="E4650"/>
      <c r="F4650"/>
      <c r="G4650"/>
      <c r="H4650"/>
      <c r="I4650" s="21" t="str">
        <f t="shared" si="145"/>
        <v/>
      </c>
      <c r="L4650" s="24"/>
      <c r="M4650" s="24"/>
    </row>
    <row r="4651" spans="1:13">
      <c r="A4651" s="14" t="str">
        <f t="shared" si="144"/>
        <v/>
      </c>
      <c r="C4651" s="120" t="s">
        <v>286</v>
      </c>
      <c r="D4651"/>
      <c r="E4651"/>
      <c r="F4651"/>
      <c r="G4651"/>
      <c r="H4651"/>
      <c r="I4651" s="21" t="str">
        <f t="shared" si="145"/>
        <v/>
      </c>
      <c r="L4651" s="24"/>
      <c r="M4651" s="24"/>
    </row>
    <row r="4652" spans="1:13">
      <c r="A4652" s="10" t="str">
        <f t="shared" si="144"/>
        <v/>
      </c>
      <c r="C4652" s="120" t="s">
        <v>126</v>
      </c>
      <c r="D4652"/>
      <c r="E4652"/>
      <c r="F4652"/>
      <c r="G4652"/>
      <c r="H4652"/>
      <c r="I4652" s="21" t="str">
        <f t="shared" si="145"/>
        <v/>
      </c>
      <c r="L4652" s="24"/>
      <c r="M4652" s="24"/>
    </row>
    <row r="4653" spans="1:13">
      <c r="A4653" s="14" t="str">
        <f t="shared" si="144"/>
        <v/>
      </c>
      <c r="C4653" s="120" t="s">
        <v>128</v>
      </c>
      <c r="D4653"/>
      <c r="E4653"/>
      <c r="F4653"/>
      <c r="G4653"/>
      <c r="H4653"/>
      <c r="I4653" s="21" t="str">
        <f t="shared" si="145"/>
        <v/>
      </c>
      <c r="L4653" s="24"/>
      <c r="M4653" s="24"/>
    </row>
    <row r="4654" spans="1:13">
      <c r="A4654" s="10" t="str">
        <f t="shared" si="144"/>
        <v/>
      </c>
      <c r="C4654" s="120" t="s">
        <v>280</v>
      </c>
      <c r="D4654"/>
      <c r="E4654"/>
      <c r="F4654"/>
      <c r="G4654"/>
      <c r="H4654"/>
      <c r="I4654" s="21" t="str">
        <f t="shared" si="145"/>
        <v/>
      </c>
      <c r="L4654" s="24"/>
      <c r="M4654" s="24"/>
    </row>
    <row r="4655" spans="1:13">
      <c r="A4655" s="14" t="str">
        <f t="shared" si="144"/>
        <v/>
      </c>
      <c r="C4655" s="120" t="s">
        <v>282</v>
      </c>
      <c r="D4655"/>
      <c r="E4655"/>
      <c r="F4655"/>
      <c r="G4655"/>
      <c r="H4655"/>
      <c r="I4655" s="21" t="str">
        <f t="shared" si="145"/>
        <v/>
      </c>
      <c r="L4655" s="24"/>
      <c r="M4655" s="24"/>
    </row>
    <row r="4656" spans="1:13">
      <c r="A4656" s="10" t="str">
        <f t="shared" si="144"/>
        <v/>
      </c>
      <c r="C4656" s="120" t="s">
        <v>284</v>
      </c>
      <c r="D4656"/>
      <c r="E4656"/>
      <c r="F4656"/>
      <c r="G4656"/>
      <c r="H4656"/>
      <c r="I4656" s="21" t="str">
        <f t="shared" si="145"/>
        <v/>
      </c>
      <c r="L4656" s="24"/>
      <c r="M4656" s="24"/>
    </row>
    <row r="4657" spans="1:13">
      <c r="A4657" s="14" t="str">
        <f t="shared" si="144"/>
        <v/>
      </c>
      <c r="C4657" s="120" t="s">
        <v>286</v>
      </c>
      <c r="D4657"/>
      <c r="E4657"/>
      <c r="F4657"/>
      <c r="G4657"/>
      <c r="H4657"/>
      <c r="I4657" s="21" t="str">
        <f t="shared" si="145"/>
        <v/>
      </c>
      <c r="L4657" s="24"/>
      <c r="M4657" s="24"/>
    </row>
    <row r="4658" spans="1:13">
      <c r="A4658" s="10" t="str">
        <f t="shared" si="144"/>
        <v/>
      </c>
      <c r="C4658" s="120" t="s">
        <v>126</v>
      </c>
      <c r="D4658"/>
      <c r="E4658"/>
      <c r="F4658"/>
      <c r="G4658"/>
      <c r="H4658"/>
      <c r="I4658" s="21" t="str">
        <f t="shared" si="145"/>
        <v/>
      </c>
      <c r="L4658" s="24"/>
      <c r="M4658" s="24"/>
    </row>
    <row r="4659" spans="1:13">
      <c r="A4659" s="14" t="str">
        <f t="shared" si="144"/>
        <v/>
      </c>
      <c r="C4659" s="120" t="s">
        <v>128</v>
      </c>
      <c r="D4659"/>
      <c r="E4659"/>
      <c r="F4659"/>
      <c r="G4659"/>
      <c r="H4659"/>
      <c r="I4659" s="21" t="str">
        <f t="shared" si="145"/>
        <v/>
      </c>
      <c r="L4659" s="24"/>
      <c r="M4659" s="24"/>
    </row>
    <row r="4660" spans="1:13">
      <c r="A4660" s="10" t="str">
        <f t="shared" si="144"/>
        <v/>
      </c>
      <c r="C4660" s="120" t="s">
        <v>280</v>
      </c>
      <c r="D4660"/>
      <c r="E4660"/>
      <c r="F4660"/>
      <c r="G4660"/>
      <c r="H4660"/>
      <c r="I4660" s="21" t="str">
        <f t="shared" si="145"/>
        <v/>
      </c>
      <c r="L4660" s="24"/>
      <c r="M4660" s="24"/>
    </row>
    <row r="4661" spans="1:13">
      <c r="A4661" s="14" t="str">
        <f t="shared" si="144"/>
        <v/>
      </c>
      <c r="C4661" s="120" t="s">
        <v>282</v>
      </c>
      <c r="D4661"/>
      <c r="E4661"/>
      <c r="F4661"/>
      <c r="G4661"/>
      <c r="H4661"/>
      <c r="I4661" s="21" t="str">
        <f t="shared" si="145"/>
        <v/>
      </c>
      <c r="L4661" s="24"/>
      <c r="M4661" s="24"/>
    </row>
    <row r="4662" spans="1:13">
      <c r="A4662" s="10" t="str">
        <f t="shared" si="144"/>
        <v/>
      </c>
      <c r="C4662" s="120" t="s">
        <v>284</v>
      </c>
      <c r="D4662"/>
      <c r="E4662"/>
      <c r="F4662"/>
      <c r="G4662"/>
      <c r="H4662"/>
      <c r="I4662" s="21" t="str">
        <f t="shared" si="145"/>
        <v/>
      </c>
      <c r="L4662" s="24"/>
      <c r="M4662" s="24"/>
    </row>
    <row r="4663" spans="1:13">
      <c r="A4663" s="14" t="str">
        <f t="shared" si="144"/>
        <v/>
      </c>
      <c r="C4663" s="120" t="s">
        <v>286</v>
      </c>
      <c r="D4663"/>
      <c r="E4663"/>
      <c r="F4663"/>
      <c r="G4663"/>
      <c r="H4663"/>
      <c r="I4663" s="21" t="str">
        <f t="shared" si="145"/>
        <v/>
      </c>
      <c r="L4663" s="24"/>
      <c r="M4663" s="24"/>
    </row>
    <row r="4664" spans="1:13">
      <c r="A4664" s="10" t="str">
        <f t="shared" si="144"/>
        <v/>
      </c>
      <c r="C4664" s="120" t="s">
        <v>126</v>
      </c>
      <c r="D4664"/>
      <c r="E4664"/>
      <c r="F4664"/>
      <c r="G4664"/>
      <c r="H4664"/>
      <c r="I4664" s="21" t="str">
        <f t="shared" si="145"/>
        <v/>
      </c>
      <c r="L4664" s="24"/>
      <c r="M4664" s="24"/>
    </row>
    <row r="4665" spans="1:13">
      <c r="A4665" s="14" t="str">
        <f t="shared" si="144"/>
        <v/>
      </c>
      <c r="C4665" s="120" t="s">
        <v>128</v>
      </c>
      <c r="D4665"/>
      <c r="E4665"/>
      <c r="F4665"/>
      <c r="G4665"/>
      <c r="H4665"/>
      <c r="I4665" s="21" t="str">
        <f t="shared" si="145"/>
        <v/>
      </c>
      <c r="L4665" s="24"/>
      <c r="M4665" s="24"/>
    </row>
    <row r="4666" spans="1:13">
      <c r="A4666" s="10" t="str">
        <f t="shared" si="144"/>
        <v/>
      </c>
      <c r="C4666" s="120" t="s">
        <v>280</v>
      </c>
      <c r="D4666"/>
      <c r="E4666"/>
      <c r="F4666"/>
      <c r="G4666"/>
      <c r="H4666"/>
      <c r="I4666" s="21" t="str">
        <f t="shared" si="145"/>
        <v/>
      </c>
      <c r="L4666" s="24"/>
      <c r="M4666" s="24"/>
    </row>
    <row r="4667" spans="1:13">
      <c r="A4667" s="14" t="str">
        <f t="shared" si="144"/>
        <v/>
      </c>
      <c r="C4667" s="120" t="s">
        <v>282</v>
      </c>
      <c r="D4667"/>
      <c r="E4667"/>
      <c r="F4667"/>
      <c r="G4667"/>
      <c r="H4667"/>
      <c r="I4667" s="21" t="str">
        <f t="shared" si="145"/>
        <v/>
      </c>
      <c r="L4667" s="24"/>
      <c r="M4667" s="24"/>
    </row>
    <row r="4668" spans="1:13">
      <c r="A4668" s="10" t="str">
        <f t="shared" si="144"/>
        <v/>
      </c>
      <c r="C4668" s="120" t="s">
        <v>284</v>
      </c>
      <c r="D4668"/>
      <c r="E4668"/>
      <c r="F4668"/>
      <c r="G4668"/>
      <c r="H4668"/>
      <c r="I4668" s="21" t="str">
        <f t="shared" si="145"/>
        <v/>
      </c>
      <c r="L4668" s="24"/>
      <c r="M4668" s="24"/>
    </row>
    <row r="4669" spans="1:13">
      <c r="A4669" s="14" t="str">
        <f t="shared" si="144"/>
        <v/>
      </c>
      <c r="C4669" s="120" t="s">
        <v>286</v>
      </c>
      <c r="D4669"/>
      <c r="E4669"/>
      <c r="F4669"/>
      <c r="G4669"/>
      <c r="H4669"/>
      <c r="I4669" s="21" t="str">
        <f t="shared" si="145"/>
        <v/>
      </c>
      <c r="L4669" s="24"/>
      <c r="M4669" s="24"/>
    </row>
    <row r="4670" spans="1:13">
      <c r="A4670" s="10" t="str">
        <f t="shared" si="144"/>
        <v/>
      </c>
      <c r="C4670" s="120" t="s">
        <v>126</v>
      </c>
      <c r="D4670"/>
      <c r="E4670"/>
      <c r="F4670"/>
      <c r="G4670"/>
      <c r="H4670"/>
      <c r="I4670" s="21" t="str">
        <f t="shared" si="145"/>
        <v/>
      </c>
      <c r="L4670" s="24"/>
      <c r="M4670" s="24"/>
    </row>
    <row r="4671" spans="1:13">
      <c r="A4671" s="14" t="str">
        <f t="shared" si="144"/>
        <v/>
      </c>
      <c r="C4671" s="120" t="s">
        <v>128</v>
      </c>
      <c r="D4671"/>
      <c r="E4671"/>
      <c r="F4671"/>
      <c r="G4671"/>
      <c r="H4671"/>
      <c r="I4671" s="21" t="str">
        <f t="shared" si="145"/>
        <v/>
      </c>
      <c r="L4671" s="24"/>
      <c r="M4671" s="24"/>
    </row>
    <row r="4672" spans="1:13">
      <c r="A4672" s="10" t="str">
        <f t="shared" si="144"/>
        <v/>
      </c>
      <c r="C4672" s="120" t="s">
        <v>280</v>
      </c>
      <c r="D4672"/>
      <c r="E4672"/>
      <c r="F4672"/>
      <c r="G4672"/>
      <c r="H4672"/>
      <c r="I4672" s="21" t="str">
        <f t="shared" si="145"/>
        <v/>
      </c>
      <c r="L4672" s="24"/>
      <c r="M4672" s="24"/>
    </row>
    <row r="4673" spans="1:13">
      <c r="A4673" s="14" t="str">
        <f t="shared" si="144"/>
        <v/>
      </c>
      <c r="C4673" s="120" t="s">
        <v>282</v>
      </c>
      <c r="D4673"/>
      <c r="E4673"/>
      <c r="F4673"/>
      <c r="G4673"/>
      <c r="H4673"/>
      <c r="I4673" s="21" t="str">
        <f t="shared" si="145"/>
        <v/>
      </c>
      <c r="L4673" s="24"/>
      <c r="M4673" s="24"/>
    </row>
    <row r="4674" spans="1:13">
      <c r="A4674" s="10" t="str">
        <f t="shared" ref="A4674:A4737" si="146">IF(B4674&lt;&gt;"",ROW()-1,"")</f>
        <v/>
      </c>
      <c r="C4674" s="120" t="s">
        <v>284</v>
      </c>
      <c r="D4674"/>
      <c r="E4674"/>
      <c r="F4674"/>
      <c r="G4674"/>
      <c r="H4674"/>
      <c r="I4674" s="21" t="str">
        <f t="shared" ref="I4674:I4737" si="147">IF(AND(G4674&lt;&gt;"",H4674&lt;&gt;""),H4674-G4674,"")</f>
        <v/>
      </c>
      <c r="L4674" s="24"/>
      <c r="M4674" s="24"/>
    </row>
    <row r="4675" spans="1:13">
      <c r="A4675" s="14" t="str">
        <f t="shared" si="146"/>
        <v/>
      </c>
      <c r="C4675" s="120" t="s">
        <v>286</v>
      </c>
      <c r="D4675"/>
      <c r="E4675"/>
      <c r="F4675"/>
      <c r="G4675"/>
      <c r="H4675"/>
      <c r="I4675" s="21" t="str">
        <f t="shared" si="147"/>
        <v/>
      </c>
      <c r="L4675" s="24"/>
      <c r="M4675" s="24"/>
    </row>
    <row r="4676" spans="1:13">
      <c r="A4676" s="10" t="str">
        <f t="shared" si="146"/>
        <v/>
      </c>
      <c r="C4676" s="120" t="s">
        <v>126</v>
      </c>
      <c r="D4676"/>
      <c r="E4676"/>
      <c r="F4676"/>
      <c r="G4676"/>
      <c r="H4676"/>
      <c r="I4676" s="21" t="str">
        <f t="shared" si="147"/>
        <v/>
      </c>
      <c r="L4676" s="24"/>
      <c r="M4676" s="24"/>
    </row>
    <row r="4677" spans="1:13">
      <c r="A4677" s="14" t="str">
        <f t="shared" si="146"/>
        <v/>
      </c>
      <c r="C4677" s="120" t="s">
        <v>128</v>
      </c>
      <c r="D4677"/>
      <c r="E4677"/>
      <c r="F4677"/>
      <c r="G4677"/>
      <c r="H4677"/>
      <c r="I4677" s="21" t="str">
        <f t="shared" si="147"/>
        <v/>
      </c>
      <c r="L4677" s="24"/>
      <c r="M4677" s="24"/>
    </row>
    <row r="4678" spans="1:13">
      <c r="A4678" s="10" t="str">
        <f t="shared" si="146"/>
        <v/>
      </c>
      <c r="C4678" s="120" t="s">
        <v>280</v>
      </c>
      <c r="D4678"/>
      <c r="E4678"/>
      <c r="F4678"/>
      <c r="G4678"/>
      <c r="H4678"/>
      <c r="I4678" s="21" t="str">
        <f t="shared" si="147"/>
        <v/>
      </c>
      <c r="L4678" s="24"/>
      <c r="M4678" s="24"/>
    </row>
    <row r="4679" spans="1:13">
      <c r="A4679" s="14" t="str">
        <f t="shared" si="146"/>
        <v/>
      </c>
      <c r="C4679" s="120" t="s">
        <v>282</v>
      </c>
      <c r="D4679"/>
      <c r="E4679"/>
      <c r="F4679"/>
      <c r="G4679"/>
      <c r="H4679"/>
      <c r="I4679" s="21" t="str">
        <f t="shared" si="147"/>
        <v/>
      </c>
      <c r="L4679" s="24"/>
      <c r="M4679" s="24"/>
    </row>
    <row r="4680" spans="1:13">
      <c r="A4680" s="10" t="str">
        <f t="shared" si="146"/>
        <v/>
      </c>
      <c r="C4680" s="120" t="s">
        <v>284</v>
      </c>
      <c r="D4680"/>
      <c r="E4680"/>
      <c r="F4680"/>
      <c r="G4680"/>
      <c r="H4680"/>
      <c r="I4680" s="21" t="str">
        <f t="shared" si="147"/>
        <v/>
      </c>
      <c r="L4680" s="24"/>
      <c r="M4680" s="24"/>
    </row>
    <row r="4681" spans="1:13">
      <c r="A4681" s="14" t="str">
        <f t="shared" si="146"/>
        <v/>
      </c>
      <c r="C4681" s="120" t="s">
        <v>286</v>
      </c>
      <c r="D4681"/>
      <c r="E4681"/>
      <c r="F4681"/>
      <c r="G4681"/>
      <c r="H4681"/>
      <c r="I4681" s="21" t="str">
        <f t="shared" si="147"/>
        <v/>
      </c>
      <c r="L4681" s="24"/>
      <c r="M4681" s="24"/>
    </row>
    <row r="4682" spans="1:13">
      <c r="A4682" s="10" t="str">
        <f t="shared" si="146"/>
        <v/>
      </c>
      <c r="C4682" s="120" t="s">
        <v>126</v>
      </c>
      <c r="D4682"/>
      <c r="E4682"/>
      <c r="F4682"/>
      <c r="G4682"/>
      <c r="H4682"/>
      <c r="I4682" s="21" t="str">
        <f t="shared" si="147"/>
        <v/>
      </c>
      <c r="L4682" s="24"/>
      <c r="M4682" s="24"/>
    </row>
    <row r="4683" spans="1:13">
      <c r="A4683" s="14" t="str">
        <f t="shared" si="146"/>
        <v/>
      </c>
      <c r="C4683" s="120" t="s">
        <v>128</v>
      </c>
      <c r="D4683"/>
      <c r="E4683"/>
      <c r="F4683"/>
      <c r="G4683"/>
      <c r="H4683"/>
      <c r="I4683" s="21" t="str">
        <f t="shared" si="147"/>
        <v/>
      </c>
      <c r="L4683" s="24"/>
      <c r="M4683" s="24"/>
    </row>
    <row r="4684" spans="1:13">
      <c r="A4684" s="10" t="str">
        <f t="shared" si="146"/>
        <v/>
      </c>
      <c r="C4684" s="120" t="s">
        <v>280</v>
      </c>
      <c r="D4684"/>
      <c r="E4684"/>
      <c r="F4684"/>
      <c r="G4684"/>
      <c r="H4684"/>
      <c r="I4684" s="21" t="str">
        <f t="shared" si="147"/>
        <v/>
      </c>
      <c r="L4684" s="24"/>
      <c r="M4684" s="24"/>
    </row>
    <row r="4685" spans="1:13">
      <c r="A4685" s="14" t="str">
        <f t="shared" si="146"/>
        <v/>
      </c>
      <c r="C4685" s="120" t="s">
        <v>282</v>
      </c>
      <c r="D4685"/>
      <c r="E4685"/>
      <c r="F4685"/>
      <c r="G4685"/>
      <c r="H4685"/>
      <c r="I4685" s="21" t="str">
        <f t="shared" si="147"/>
        <v/>
      </c>
      <c r="L4685" s="24"/>
      <c r="M4685" s="24"/>
    </row>
    <row r="4686" spans="1:13">
      <c r="A4686" s="10" t="str">
        <f t="shared" si="146"/>
        <v/>
      </c>
      <c r="C4686" s="120" t="s">
        <v>284</v>
      </c>
      <c r="D4686"/>
      <c r="E4686"/>
      <c r="F4686"/>
      <c r="G4686"/>
      <c r="H4686"/>
      <c r="I4686" s="21" t="str">
        <f t="shared" si="147"/>
        <v/>
      </c>
      <c r="L4686" s="24"/>
      <c r="M4686" s="24"/>
    </row>
    <row r="4687" spans="1:13">
      <c r="A4687" s="14" t="str">
        <f t="shared" si="146"/>
        <v/>
      </c>
      <c r="C4687" s="120" t="s">
        <v>286</v>
      </c>
      <c r="D4687"/>
      <c r="E4687"/>
      <c r="F4687"/>
      <c r="G4687"/>
      <c r="H4687"/>
      <c r="I4687" s="21" t="str">
        <f t="shared" si="147"/>
        <v/>
      </c>
      <c r="L4687" s="24"/>
      <c r="M4687" s="24"/>
    </row>
    <row r="4688" spans="1:13">
      <c r="A4688" s="10" t="str">
        <f t="shared" si="146"/>
        <v/>
      </c>
      <c r="C4688" s="120" t="s">
        <v>126</v>
      </c>
      <c r="D4688"/>
      <c r="E4688"/>
      <c r="F4688"/>
      <c r="G4688"/>
      <c r="H4688"/>
      <c r="I4688" s="21" t="str">
        <f t="shared" si="147"/>
        <v/>
      </c>
      <c r="L4688" s="24"/>
      <c r="M4688" s="24"/>
    </row>
    <row r="4689" spans="1:13">
      <c r="A4689" s="14" t="str">
        <f t="shared" si="146"/>
        <v/>
      </c>
      <c r="C4689" s="120" t="s">
        <v>128</v>
      </c>
      <c r="D4689"/>
      <c r="E4689"/>
      <c r="F4689"/>
      <c r="G4689"/>
      <c r="H4689"/>
      <c r="I4689" s="21" t="str">
        <f t="shared" si="147"/>
        <v/>
      </c>
      <c r="L4689" s="24"/>
      <c r="M4689" s="24"/>
    </row>
    <row r="4690" spans="1:13">
      <c r="A4690" s="10" t="str">
        <f t="shared" si="146"/>
        <v/>
      </c>
      <c r="C4690" s="120" t="s">
        <v>280</v>
      </c>
      <c r="D4690"/>
      <c r="E4690"/>
      <c r="F4690"/>
      <c r="G4690"/>
      <c r="H4690"/>
      <c r="I4690" s="21" t="str">
        <f t="shared" si="147"/>
        <v/>
      </c>
      <c r="L4690" s="24"/>
      <c r="M4690" s="24"/>
    </row>
    <row r="4691" spans="1:13">
      <c r="A4691" s="14" t="str">
        <f t="shared" si="146"/>
        <v/>
      </c>
      <c r="C4691" s="120" t="s">
        <v>282</v>
      </c>
      <c r="D4691"/>
      <c r="E4691"/>
      <c r="F4691"/>
      <c r="G4691"/>
      <c r="H4691"/>
      <c r="I4691" s="21" t="str">
        <f t="shared" si="147"/>
        <v/>
      </c>
      <c r="L4691" s="24"/>
      <c r="M4691" s="24"/>
    </row>
    <row r="4692" spans="1:13">
      <c r="A4692" s="10" t="str">
        <f t="shared" si="146"/>
        <v/>
      </c>
      <c r="C4692" s="120" t="s">
        <v>284</v>
      </c>
      <c r="D4692"/>
      <c r="E4692"/>
      <c r="F4692"/>
      <c r="G4692"/>
      <c r="H4692"/>
      <c r="I4692" s="21" t="str">
        <f t="shared" si="147"/>
        <v/>
      </c>
      <c r="L4692" s="24"/>
      <c r="M4692" s="24"/>
    </row>
    <row r="4693" spans="1:13">
      <c r="A4693" s="14" t="str">
        <f t="shared" si="146"/>
        <v/>
      </c>
      <c r="C4693" s="120" t="s">
        <v>286</v>
      </c>
      <c r="D4693"/>
      <c r="E4693"/>
      <c r="F4693"/>
      <c r="G4693"/>
      <c r="H4693"/>
      <c r="I4693" s="21" t="str">
        <f t="shared" si="147"/>
        <v/>
      </c>
      <c r="L4693" s="24"/>
      <c r="M4693" s="24"/>
    </row>
    <row r="4694" spans="1:13">
      <c r="A4694" s="10" t="str">
        <f t="shared" si="146"/>
        <v/>
      </c>
      <c r="C4694" s="120" t="s">
        <v>126</v>
      </c>
      <c r="D4694"/>
      <c r="E4694"/>
      <c r="F4694"/>
      <c r="G4694"/>
      <c r="H4694"/>
      <c r="I4694" s="21" t="str">
        <f t="shared" si="147"/>
        <v/>
      </c>
      <c r="L4694" s="24"/>
      <c r="M4694" s="24"/>
    </row>
    <row r="4695" spans="1:13">
      <c r="A4695" s="14" t="str">
        <f t="shared" si="146"/>
        <v/>
      </c>
      <c r="C4695" s="120" t="s">
        <v>128</v>
      </c>
      <c r="D4695"/>
      <c r="E4695"/>
      <c r="F4695"/>
      <c r="G4695"/>
      <c r="H4695"/>
      <c r="I4695" s="21" t="str">
        <f t="shared" si="147"/>
        <v/>
      </c>
      <c r="L4695" s="24"/>
      <c r="M4695" s="24"/>
    </row>
    <row r="4696" spans="1:13">
      <c r="A4696" s="10" t="str">
        <f t="shared" si="146"/>
        <v/>
      </c>
      <c r="C4696" s="120" t="s">
        <v>280</v>
      </c>
      <c r="D4696"/>
      <c r="E4696"/>
      <c r="F4696"/>
      <c r="G4696"/>
      <c r="H4696"/>
      <c r="I4696" s="21" t="str">
        <f t="shared" si="147"/>
        <v/>
      </c>
      <c r="L4696" s="24"/>
      <c r="M4696" s="24"/>
    </row>
    <row r="4697" spans="1:13">
      <c r="A4697" s="14" t="str">
        <f t="shared" si="146"/>
        <v/>
      </c>
      <c r="C4697" s="120" t="s">
        <v>282</v>
      </c>
      <c r="D4697"/>
      <c r="E4697"/>
      <c r="F4697"/>
      <c r="G4697"/>
      <c r="H4697"/>
      <c r="I4697" s="21" t="str">
        <f t="shared" si="147"/>
        <v/>
      </c>
      <c r="L4697" s="24"/>
      <c r="M4697" s="24"/>
    </row>
    <row r="4698" spans="1:13">
      <c r="A4698" s="10" t="str">
        <f t="shared" si="146"/>
        <v/>
      </c>
      <c r="C4698" s="120" t="s">
        <v>284</v>
      </c>
      <c r="D4698"/>
      <c r="E4698"/>
      <c r="F4698"/>
      <c r="G4698"/>
      <c r="H4698"/>
      <c r="I4698" s="21" t="str">
        <f t="shared" si="147"/>
        <v/>
      </c>
      <c r="L4698" s="24"/>
      <c r="M4698" s="24"/>
    </row>
    <row r="4699" spans="1:13">
      <c r="A4699" s="14" t="str">
        <f t="shared" si="146"/>
        <v/>
      </c>
      <c r="C4699" s="120" t="s">
        <v>286</v>
      </c>
      <c r="D4699"/>
      <c r="E4699"/>
      <c r="F4699"/>
      <c r="G4699"/>
      <c r="H4699"/>
      <c r="I4699" s="21" t="str">
        <f t="shared" si="147"/>
        <v/>
      </c>
      <c r="L4699" s="24"/>
      <c r="M4699" s="24"/>
    </row>
    <row r="4700" spans="1:13">
      <c r="A4700" s="10" t="str">
        <f t="shared" si="146"/>
        <v/>
      </c>
      <c r="C4700" s="120" t="s">
        <v>126</v>
      </c>
      <c r="D4700"/>
      <c r="E4700"/>
      <c r="F4700"/>
      <c r="G4700"/>
      <c r="H4700"/>
      <c r="I4700" s="21" t="str">
        <f t="shared" si="147"/>
        <v/>
      </c>
      <c r="L4700" s="24"/>
      <c r="M4700" s="24"/>
    </row>
    <row r="4701" spans="1:13">
      <c r="A4701" s="14" t="str">
        <f t="shared" si="146"/>
        <v/>
      </c>
      <c r="C4701" s="120" t="s">
        <v>128</v>
      </c>
      <c r="D4701"/>
      <c r="E4701"/>
      <c r="F4701"/>
      <c r="G4701"/>
      <c r="H4701"/>
      <c r="I4701" s="21" t="str">
        <f t="shared" si="147"/>
        <v/>
      </c>
      <c r="L4701" s="24"/>
      <c r="M4701" s="24"/>
    </row>
    <row r="4702" spans="1:13">
      <c r="A4702" s="10" t="str">
        <f t="shared" si="146"/>
        <v/>
      </c>
      <c r="C4702" s="120" t="s">
        <v>280</v>
      </c>
      <c r="D4702"/>
      <c r="E4702"/>
      <c r="F4702"/>
      <c r="G4702"/>
      <c r="H4702"/>
      <c r="I4702" s="21" t="str">
        <f t="shared" si="147"/>
        <v/>
      </c>
      <c r="L4702" s="24"/>
      <c r="M4702" s="24"/>
    </row>
    <row r="4703" spans="1:13">
      <c r="A4703" s="14" t="str">
        <f t="shared" si="146"/>
        <v/>
      </c>
      <c r="C4703" s="120" t="s">
        <v>282</v>
      </c>
      <c r="D4703"/>
      <c r="E4703"/>
      <c r="F4703"/>
      <c r="G4703"/>
      <c r="H4703"/>
      <c r="I4703" s="21" t="str">
        <f t="shared" si="147"/>
        <v/>
      </c>
      <c r="L4703" s="24"/>
      <c r="M4703" s="24"/>
    </row>
    <row r="4704" spans="1:13">
      <c r="A4704" s="10" t="str">
        <f t="shared" si="146"/>
        <v/>
      </c>
      <c r="C4704" s="120" t="s">
        <v>284</v>
      </c>
      <c r="D4704"/>
      <c r="E4704"/>
      <c r="F4704"/>
      <c r="G4704"/>
      <c r="H4704"/>
      <c r="I4704" s="21" t="str">
        <f t="shared" si="147"/>
        <v/>
      </c>
      <c r="L4704" s="24"/>
      <c r="M4704" s="24"/>
    </row>
    <row r="4705" spans="1:13">
      <c r="A4705" s="14" t="str">
        <f t="shared" si="146"/>
        <v/>
      </c>
      <c r="C4705" s="120" t="s">
        <v>286</v>
      </c>
      <c r="D4705"/>
      <c r="E4705"/>
      <c r="F4705"/>
      <c r="G4705"/>
      <c r="H4705"/>
      <c r="I4705" s="21" t="str">
        <f t="shared" si="147"/>
        <v/>
      </c>
      <c r="L4705" s="24"/>
      <c r="M4705" s="24"/>
    </row>
    <row r="4706" spans="1:13">
      <c r="A4706" s="10" t="str">
        <f t="shared" si="146"/>
        <v/>
      </c>
      <c r="C4706" s="120" t="s">
        <v>126</v>
      </c>
      <c r="D4706"/>
      <c r="E4706"/>
      <c r="F4706"/>
      <c r="G4706"/>
      <c r="H4706"/>
      <c r="I4706" s="21" t="str">
        <f t="shared" si="147"/>
        <v/>
      </c>
      <c r="L4706" s="24"/>
      <c r="M4706" s="24"/>
    </row>
    <row r="4707" spans="1:13">
      <c r="A4707" s="14" t="str">
        <f t="shared" si="146"/>
        <v/>
      </c>
      <c r="C4707" s="120" t="s">
        <v>128</v>
      </c>
      <c r="D4707"/>
      <c r="E4707"/>
      <c r="F4707"/>
      <c r="G4707"/>
      <c r="H4707"/>
      <c r="I4707" s="21" t="str">
        <f t="shared" si="147"/>
        <v/>
      </c>
      <c r="L4707" s="24"/>
      <c r="M4707" s="24"/>
    </row>
    <row r="4708" spans="1:13">
      <c r="A4708" s="10" t="str">
        <f t="shared" si="146"/>
        <v/>
      </c>
      <c r="C4708" s="120" t="s">
        <v>280</v>
      </c>
      <c r="D4708"/>
      <c r="E4708"/>
      <c r="F4708"/>
      <c r="G4708"/>
      <c r="H4708"/>
      <c r="I4708" s="21" t="str">
        <f t="shared" si="147"/>
        <v/>
      </c>
      <c r="L4708" s="24"/>
      <c r="M4708" s="24"/>
    </row>
    <row r="4709" spans="1:13">
      <c r="A4709" s="14" t="str">
        <f t="shared" si="146"/>
        <v/>
      </c>
      <c r="C4709" s="120" t="s">
        <v>282</v>
      </c>
      <c r="D4709"/>
      <c r="E4709"/>
      <c r="F4709"/>
      <c r="G4709"/>
      <c r="H4709"/>
      <c r="I4709" s="21" t="str">
        <f t="shared" si="147"/>
        <v/>
      </c>
      <c r="L4709" s="24"/>
      <c r="M4709" s="24"/>
    </row>
    <row r="4710" spans="1:13">
      <c r="A4710" s="10" t="str">
        <f t="shared" si="146"/>
        <v/>
      </c>
      <c r="C4710" s="120" t="s">
        <v>284</v>
      </c>
      <c r="D4710"/>
      <c r="E4710"/>
      <c r="F4710"/>
      <c r="G4710"/>
      <c r="H4710"/>
      <c r="I4710" s="21" t="str">
        <f t="shared" si="147"/>
        <v/>
      </c>
      <c r="L4710" s="24"/>
      <c r="M4710" s="24"/>
    </row>
    <row r="4711" spans="1:13">
      <c r="A4711" s="14" t="str">
        <f t="shared" si="146"/>
        <v/>
      </c>
      <c r="C4711" s="120" t="s">
        <v>286</v>
      </c>
      <c r="D4711"/>
      <c r="E4711"/>
      <c r="F4711"/>
      <c r="G4711"/>
      <c r="H4711"/>
      <c r="I4711" s="21" t="str">
        <f t="shared" si="147"/>
        <v/>
      </c>
      <c r="L4711" s="24"/>
      <c r="M4711" s="24"/>
    </row>
    <row r="4712" spans="1:13">
      <c r="A4712" s="10" t="str">
        <f t="shared" si="146"/>
        <v/>
      </c>
      <c r="C4712" s="120" t="s">
        <v>126</v>
      </c>
      <c r="D4712"/>
      <c r="E4712"/>
      <c r="F4712"/>
      <c r="G4712"/>
      <c r="H4712"/>
      <c r="I4712" s="21" t="str">
        <f t="shared" si="147"/>
        <v/>
      </c>
      <c r="L4712" s="24"/>
      <c r="M4712" s="24"/>
    </row>
    <row r="4713" spans="1:13">
      <c r="A4713" s="14" t="str">
        <f t="shared" si="146"/>
        <v/>
      </c>
      <c r="C4713" s="120" t="s">
        <v>128</v>
      </c>
      <c r="D4713"/>
      <c r="E4713"/>
      <c r="F4713"/>
      <c r="G4713"/>
      <c r="H4713"/>
      <c r="I4713" s="21" t="str">
        <f t="shared" si="147"/>
        <v/>
      </c>
      <c r="L4713" s="24"/>
      <c r="M4713" s="24"/>
    </row>
    <row r="4714" spans="1:13">
      <c r="A4714" s="10" t="str">
        <f t="shared" si="146"/>
        <v/>
      </c>
      <c r="C4714" s="120" t="s">
        <v>280</v>
      </c>
      <c r="D4714"/>
      <c r="E4714"/>
      <c r="F4714"/>
      <c r="G4714"/>
      <c r="H4714"/>
      <c r="I4714" s="21" t="str">
        <f t="shared" si="147"/>
        <v/>
      </c>
      <c r="L4714" s="24"/>
      <c r="M4714" s="24"/>
    </row>
    <row r="4715" spans="1:13">
      <c r="A4715" s="14" t="str">
        <f t="shared" si="146"/>
        <v/>
      </c>
      <c r="C4715" s="120" t="s">
        <v>282</v>
      </c>
      <c r="D4715"/>
      <c r="E4715"/>
      <c r="F4715"/>
      <c r="G4715"/>
      <c r="H4715"/>
      <c r="I4715" s="21" t="str">
        <f t="shared" si="147"/>
        <v/>
      </c>
      <c r="L4715" s="24"/>
      <c r="M4715" s="24"/>
    </row>
    <row r="4716" spans="1:13">
      <c r="A4716" s="10" t="str">
        <f t="shared" si="146"/>
        <v/>
      </c>
      <c r="C4716" s="120" t="s">
        <v>284</v>
      </c>
      <c r="D4716"/>
      <c r="E4716"/>
      <c r="F4716"/>
      <c r="G4716"/>
      <c r="H4716"/>
      <c r="I4716" s="21" t="str">
        <f t="shared" si="147"/>
        <v/>
      </c>
      <c r="L4716" s="24"/>
      <c r="M4716" s="24"/>
    </row>
    <row r="4717" spans="1:13">
      <c r="A4717" s="14" t="str">
        <f t="shared" si="146"/>
        <v/>
      </c>
      <c r="C4717" s="120" t="s">
        <v>286</v>
      </c>
      <c r="D4717"/>
      <c r="E4717"/>
      <c r="F4717"/>
      <c r="G4717"/>
      <c r="H4717"/>
      <c r="I4717" s="21" t="str">
        <f t="shared" si="147"/>
        <v/>
      </c>
      <c r="L4717" s="24"/>
      <c r="M4717" s="24"/>
    </row>
    <row r="4718" spans="1:13">
      <c r="A4718" s="10" t="str">
        <f t="shared" si="146"/>
        <v/>
      </c>
      <c r="C4718" s="120" t="s">
        <v>126</v>
      </c>
      <c r="D4718"/>
      <c r="E4718"/>
      <c r="F4718"/>
      <c r="G4718"/>
      <c r="H4718"/>
      <c r="I4718" s="21" t="str">
        <f t="shared" si="147"/>
        <v/>
      </c>
      <c r="L4718" s="24"/>
      <c r="M4718" s="24"/>
    </row>
    <row r="4719" spans="1:13">
      <c r="A4719" s="14" t="str">
        <f t="shared" si="146"/>
        <v/>
      </c>
      <c r="C4719" s="120" t="s">
        <v>128</v>
      </c>
      <c r="D4719"/>
      <c r="E4719"/>
      <c r="F4719"/>
      <c r="G4719"/>
      <c r="H4719"/>
      <c r="I4719" s="21" t="str">
        <f t="shared" si="147"/>
        <v/>
      </c>
      <c r="L4719" s="24"/>
      <c r="M4719" s="24"/>
    </row>
    <row r="4720" spans="1:13">
      <c r="A4720" s="10" t="str">
        <f t="shared" si="146"/>
        <v/>
      </c>
      <c r="C4720" s="120" t="s">
        <v>280</v>
      </c>
      <c r="D4720"/>
      <c r="E4720"/>
      <c r="F4720"/>
      <c r="G4720"/>
      <c r="H4720"/>
      <c r="I4720" s="21" t="str">
        <f t="shared" si="147"/>
        <v/>
      </c>
      <c r="L4720" s="24"/>
      <c r="M4720" s="24"/>
    </row>
    <row r="4721" spans="1:13">
      <c r="A4721" s="14" t="str">
        <f t="shared" si="146"/>
        <v/>
      </c>
      <c r="C4721" s="120" t="s">
        <v>282</v>
      </c>
      <c r="D4721"/>
      <c r="E4721"/>
      <c r="F4721"/>
      <c r="G4721"/>
      <c r="H4721"/>
      <c r="I4721" s="21" t="str">
        <f t="shared" si="147"/>
        <v/>
      </c>
      <c r="L4721" s="24"/>
      <c r="M4721" s="24"/>
    </row>
    <row r="4722" spans="1:13">
      <c r="A4722" s="10" t="str">
        <f t="shared" si="146"/>
        <v/>
      </c>
      <c r="C4722" s="120" t="s">
        <v>284</v>
      </c>
      <c r="D4722"/>
      <c r="E4722"/>
      <c r="F4722"/>
      <c r="G4722"/>
      <c r="H4722"/>
      <c r="I4722" s="21" t="str">
        <f t="shared" si="147"/>
        <v/>
      </c>
      <c r="L4722" s="24"/>
      <c r="M4722" s="24"/>
    </row>
    <row r="4723" spans="1:13">
      <c r="A4723" s="14" t="str">
        <f t="shared" si="146"/>
        <v/>
      </c>
      <c r="C4723" s="120" t="s">
        <v>286</v>
      </c>
      <c r="D4723"/>
      <c r="E4723"/>
      <c r="F4723"/>
      <c r="G4723"/>
      <c r="H4723"/>
      <c r="I4723" s="21" t="str">
        <f t="shared" si="147"/>
        <v/>
      </c>
      <c r="L4723" s="24"/>
      <c r="M4723" s="24"/>
    </row>
    <row r="4724" spans="1:13">
      <c r="A4724" s="10" t="str">
        <f t="shared" si="146"/>
        <v/>
      </c>
      <c r="C4724" s="120" t="s">
        <v>126</v>
      </c>
      <c r="D4724"/>
      <c r="E4724"/>
      <c r="F4724"/>
      <c r="G4724"/>
      <c r="H4724"/>
      <c r="I4724" s="21" t="str">
        <f t="shared" si="147"/>
        <v/>
      </c>
      <c r="L4724" s="24"/>
      <c r="M4724" s="24"/>
    </row>
    <row r="4725" spans="1:13">
      <c r="A4725" s="14" t="str">
        <f t="shared" si="146"/>
        <v/>
      </c>
      <c r="C4725" s="120" t="s">
        <v>128</v>
      </c>
      <c r="D4725"/>
      <c r="E4725"/>
      <c r="F4725"/>
      <c r="G4725"/>
      <c r="H4725"/>
      <c r="I4725" s="21" t="str">
        <f t="shared" si="147"/>
        <v/>
      </c>
      <c r="L4725" s="24"/>
      <c r="M4725" s="24"/>
    </row>
    <row r="4726" spans="1:13">
      <c r="A4726" s="10" t="str">
        <f t="shared" si="146"/>
        <v/>
      </c>
      <c r="C4726" s="120" t="s">
        <v>280</v>
      </c>
      <c r="D4726"/>
      <c r="E4726"/>
      <c r="F4726"/>
      <c r="G4726"/>
      <c r="H4726"/>
      <c r="I4726" s="21" t="str">
        <f t="shared" si="147"/>
        <v/>
      </c>
      <c r="L4726" s="24"/>
      <c r="M4726" s="24"/>
    </row>
    <row r="4727" spans="1:13">
      <c r="A4727" s="14" t="str">
        <f t="shared" si="146"/>
        <v/>
      </c>
      <c r="C4727" s="120" t="s">
        <v>282</v>
      </c>
      <c r="D4727"/>
      <c r="E4727"/>
      <c r="F4727"/>
      <c r="G4727"/>
      <c r="H4727"/>
      <c r="I4727" s="21" t="str">
        <f t="shared" si="147"/>
        <v/>
      </c>
      <c r="L4727" s="24"/>
      <c r="M4727" s="24"/>
    </row>
    <row r="4728" spans="1:13">
      <c r="A4728" s="10" t="str">
        <f t="shared" si="146"/>
        <v/>
      </c>
      <c r="C4728" s="120" t="s">
        <v>284</v>
      </c>
      <c r="D4728"/>
      <c r="E4728"/>
      <c r="F4728"/>
      <c r="G4728"/>
      <c r="H4728"/>
      <c r="I4728" s="21" t="str">
        <f t="shared" si="147"/>
        <v/>
      </c>
      <c r="L4728" s="24"/>
      <c r="M4728" s="24"/>
    </row>
    <row r="4729" spans="1:13">
      <c r="A4729" s="14" t="str">
        <f t="shared" si="146"/>
        <v/>
      </c>
      <c r="C4729" s="120" t="s">
        <v>286</v>
      </c>
      <c r="D4729"/>
      <c r="E4729"/>
      <c r="F4729"/>
      <c r="G4729"/>
      <c r="H4729"/>
      <c r="I4729" s="21" t="str">
        <f t="shared" si="147"/>
        <v/>
      </c>
      <c r="L4729" s="24"/>
      <c r="M4729" s="24"/>
    </row>
    <row r="4730" spans="1:13">
      <c r="A4730" s="10" t="str">
        <f t="shared" si="146"/>
        <v/>
      </c>
      <c r="C4730" s="120" t="s">
        <v>126</v>
      </c>
      <c r="D4730"/>
      <c r="E4730"/>
      <c r="F4730"/>
      <c r="G4730"/>
      <c r="H4730"/>
      <c r="I4730" s="21" t="str">
        <f t="shared" si="147"/>
        <v/>
      </c>
      <c r="L4730" s="24"/>
      <c r="M4730" s="24"/>
    </row>
    <row r="4731" spans="1:13">
      <c r="A4731" s="14" t="str">
        <f t="shared" si="146"/>
        <v/>
      </c>
      <c r="C4731" s="120" t="s">
        <v>128</v>
      </c>
      <c r="D4731"/>
      <c r="E4731"/>
      <c r="F4731"/>
      <c r="G4731"/>
      <c r="H4731"/>
      <c r="I4731" s="21" t="str">
        <f t="shared" si="147"/>
        <v/>
      </c>
      <c r="L4731" s="24"/>
      <c r="M4731" s="24"/>
    </row>
    <row r="4732" spans="1:13">
      <c r="A4732" s="10" t="str">
        <f t="shared" si="146"/>
        <v/>
      </c>
      <c r="C4732" s="120" t="s">
        <v>280</v>
      </c>
      <c r="D4732"/>
      <c r="E4732"/>
      <c r="F4732"/>
      <c r="G4732"/>
      <c r="H4732"/>
      <c r="I4732" s="21" t="str">
        <f t="shared" si="147"/>
        <v/>
      </c>
      <c r="L4732" s="24"/>
      <c r="M4732" s="24"/>
    </row>
    <row r="4733" spans="1:13">
      <c r="A4733" s="14" t="str">
        <f t="shared" si="146"/>
        <v/>
      </c>
      <c r="C4733" s="120" t="s">
        <v>282</v>
      </c>
      <c r="D4733"/>
      <c r="E4733"/>
      <c r="F4733"/>
      <c r="G4733"/>
      <c r="H4733"/>
      <c r="I4733" s="21" t="str">
        <f t="shared" si="147"/>
        <v/>
      </c>
      <c r="L4733" s="24"/>
      <c r="M4733" s="24"/>
    </row>
    <row r="4734" spans="1:13">
      <c r="A4734" s="10" t="str">
        <f t="shared" si="146"/>
        <v/>
      </c>
      <c r="C4734" s="120" t="s">
        <v>284</v>
      </c>
      <c r="D4734"/>
      <c r="E4734"/>
      <c r="F4734"/>
      <c r="G4734"/>
      <c r="H4734"/>
      <c r="I4734" s="21" t="str">
        <f t="shared" si="147"/>
        <v/>
      </c>
      <c r="L4734" s="24"/>
      <c r="M4734" s="24"/>
    </row>
    <row r="4735" spans="1:13">
      <c r="A4735" s="14" t="str">
        <f t="shared" si="146"/>
        <v/>
      </c>
      <c r="C4735" s="120" t="s">
        <v>286</v>
      </c>
      <c r="D4735"/>
      <c r="E4735"/>
      <c r="F4735"/>
      <c r="G4735"/>
      <c r="H4735"/>
      <c r="I4735" s="21" t="str">
        <f t="shared" si="147"/>
        <v/>
      </c>
      <c r="L4735" s="24"/>
      <c r="M4735" s="24"/>
    </row>
    <row r="4736" spans="1:13">
      <c r="A4736" s="10" t="str">
        <f t="shared" si="146"/>
        <v/>
      </c>
      <c r="C4736" s="120" t="s">
        <v>126</v>
      </c>
      <c r="D4736"/>
      <c r="E4736"/>
      <c r="F4736"/>
      <c r="G4736"/>
      <c r="H4736"/>
      <c r="I4736" s="21" t="str">
        <f t="shared" si="147"/>
        <v/>
      </c>
      <c r="L4736" s="24"/>
      <c r="M4736" s="24"/>
    </row>
    <row r="4737" spans="1:13">
      <c r="A4737" s="14" t="str">
        <f t="shared" si="146"/>
        <v/>
      </c>
      <c r="C4737" s="120" t="s">
        <v>128</v>
      </c>
      <c r="D4737"/>
      <c r="E4737"/>
      <c r="F4737"/>
      <c r="G4737"/>
      <c r="H4737"/>
      <c r="I4737" s="21" t="str">
        <f t="shared" si="147"/>
        <v/>
      </c>
      <c r="L4737" s="24"/>
      <c r="M4737" s="24"/>
    </row>
    <row r="4738" spans="1:13">
      <c r="A4738" s="10" t="str">
        <f t="shared" ref="A4738:A4801" si="148">IF(B4738&lt;&gt;"",ROW()-1,"")</f>
        <v/>
      </c>
      <c r="C4738" s="120" t="s">
        <v>280</v>
      </c>
      <c r="D4738"/>
      <c r="E4738"/>
      <c r="F4738"/>
      <c r="G4738"/>
      <c r="H4738"/>
      <c r="I4738" s="21" t="str">
        <f t="shared" ref="I4738:I4801" si="149">IF(AND(G4738&lt;&gt;"",H4738&lt;&gt;""),H4738-G4738,"")</f>
        <v/>
      </c>
      <c r="L4738" s="24"/>
      <c r="M4738" s="24"/>
    </row>
    <row r="4739" spans="1:13">
      <c r="A4739" s="14" t="str">
        <f t="shared" si="148"/>
        <v/>
      </c>
      <c r="C4739" s="120" t="s">
        <v>282</v>
      </c>
      <c r="D4739"/>
      <c r="E4739"/>
      <c r="F4739"/>
      <c r="G4739"/>
      <c r="H4739"/>
      <c r="I4739" s="21" t="str">
        <f t="shared" si="149"/>
        <v/>
      </c>
      <c r="L4739" s="24"/>
      <c r="M4739" s="24"/>
    </row>
    <row r="4740" spans="1:13">
      <c r="A4740" s="10" t="str">
        <f t="shared" si="148"/>
        <v/>
      </c>
      <c r="C4740" s="120" t="s">
        <v>284</v>
      </c>
      <c r="D4740"/>
      <c r="E4740"/>
      <c r="F4740"/>
      <c r="G4740"/>
      <c r="H4740"/>
      <c r="I4740" s="21" t="str">
        <f t="shared" si="149"/>
        <v/>
      </c>
      <c r="L4740" s="24"/>
      <c r="M4740" s="24"/>
    </row>
    <row r="4741" spans="1:13">
      <c r="A4741" s="14" t="str">
        <f t="shared" si="148"/>
        <v/>
      </c>
      <c r="C4741" s="120" t="s">
        <v>286</v>
      </c>
      <c r="D4741"/>
      <c r="E4741"/>
      <c r="F4741"/>
      <c r="G4741"/>
      <c r="H4741"/>
      <c r="I4741" s="21" t="str">
        <f t="shared" si="149"/>
        <v/>
      </c>
      <c r="L4741" s="24"/>
      <c r="M4741" s="24"/>
    </row>
    <row r="4742" spans="1:13">
      <c r="A4742" s="10" t="str">
        <f t="shared" si="148"/>
        <v/>
      </c>
      <c r="C4742" s="120" t="s">
        <v>126</v>
      </c>
      <c r="D4742"/>
      <c r="E4742"/>
      <c r="F4742"/>
      <c r="G4742"/>
      <c r="H4742"/>
      <c r="I4742" s="21" t="str">
        <f t="shared" si="149"/>
        <v/>
      </c>
      <c r="L4742" s="24"/>
      <c r="M4742" s="24"/>
    </row>
    <row r="4743" spans="1:13">
      <c r="A4743" s="14" t="str">
        <f t="shared" si="148"/>
        <v/>
      </c>
      <c r="C4743" s="120" t="s">
        <v>128</v>
      </c>
      <c r="D4743"/>
      <c r="E4743"/>
      <c r="F4743"/>
      <c r="G4743"/>
      <c r="H4743"/>
      <c r="I4743" s="21" t="str">
        <f t="shared" si="149"/>
        <v/>
      </c>
      <c r="L4743" s="24"/>
      <c r="M4743" s="24"/>
    </row>
    <row r="4744" spans="1:13">
      <c r="A4744" s="10" t="str">
        <f t="shared" si="148"/>
        <v/>
      </c>
      <c r="C4744" s="120" t="s">
        <v>280</v>
      </c>
      <c r="D4744"/>
      <c r="E4744"/>
      <c r="F4744"/>
      <c r="G4744"/>
      <c r="H4744"/>
      <c r="I4744" s="21" t="str">
        <f t="shared" si="149"/>
        <v/>
      </c>
      <c r="L4744" s="24"/>
      <c r="M4744" s="24"/>
    </row>
    <row r="4745" spans="1:13">
      <c r="A4745" s="14" t="str">
        <f t="shared" si="148"/>
        <v/>
      </c>
      <c r="C4745" s="120" t="s">
        <v>282</v>
      </c>
      <c r="D4745"/>
      <c r="E4745"/>
      <c r="F4745"/>
      <c r="G4745"/>
      <c r="H4745"/>
      <c r="I4745" s="21" t="str">
        <f t="shared" si="149"/>
        <v/>
      </c>
      <c r="L4745" s="24"/>
      <c r="M4745" s="24"/>
    </row>
    <row r="4746" spans="1:13">
      <c r="A4746" s="10" t="str">
        <f t="shared" si="148"/>
        <v/>
      </c>
      <c r="C4746" s="120" t="s">
        <v>284</v>
      </c>
      <c r="D4746"/>
      <c r="E4746"/>
      <c r="F4746"/>
      <c r="G4746"/>
      <c r="H4746"/>
      <c r="I4746" s="21" t="str">
        <f t="shared" si="149"/>
        <v/>
      </c>
      <c r="L4746" s="24"/>
      <c r="M4746" s="24"/>
    </row>
    <row r="4747" spans="1:13">
      <c r="A4747" s="14" t="str">
        <f t="shared" si="148"/>
        <v/>
      </c>
      <c r="C4747" s="120" t="s">
        <v>286</v>
      </c>
      <c r="D4747"/>
      <c r="E4747"/>
      <c r="F4747"/>
      <c r="G4747"/>
      <c r="H4747"/>
      <c r="I4747" s="21" t="str">
        <f t="shared" si="149"/>
        <v/>
      </c>
      <c r="L4747" s="24"/>
      <c r="M4747" s="24"/>
    </row>
    <row r="4748" spans="1:13">
      <c r="A4748" s="10" t="str">
        <f t="shared" si="148"/>
        <v/>
      </c>
      <c r="C4748" s="120" t="s">
        <v>126</v>
      </c>
      <c r="D4748"/>
      <c r="E4748"/>
      <c r="F4748"/>
      <c r="G4748"/>
      <c r="H4748"/>
      <c r="I4748" s="21" t="str">
        <f t="shared" si="149"/>
        <v/>
      </c>
      <c r="L4748" s="24"/>
      <c r="M4748" s="24"/>
    </row>
    <row r="4749" spans="1:13">
      <c r="A4749" s="14" t="str">
        <f t="shared" si="148"/>
        <v/>
      </c>
      <c r="C4749" s="120" t="s">
        <v>128</v>
      </c>
      <c r="D4749"/>
      <c r="E4749"/>
      <c r="F4749"/>
      <c r="G4749"/>
      <c r="H4749"/>
      <c r="I4749" s="21" t="str">
        <f t="shared" si="149"/>
        <v/>
      </c>
      <c r="L4749" s="24"/>
      <c r="M4749" s="24"/>
    </row>
    <row r="4750" spans="1:13">
      <c r="A4750" s="10" t="str">
        <f t="shared" si="148"/>
        <v/>
      </c>
      <c r="C4750" s="120" t="s">
        <v>280</v>
      </c>
      <c r="D4750"/>
      <c r="E4750"/>
      <c r="F4750"/>
      <c r="G4750"/>
      <c r="H4750"/>
      <c r="I4750" s="21" t="str">
        <f t="shared" si="149"/>
        <v/>
      </c>
      <c r="L4750" s="24"/>
      <c r="M4750" s="24"/>
    </row>
    <row r="4751" spans="1:13">
      <c r="A4751" s="14" t="str">
        <f t="shared" si="148"/>
        <v/>
      </c>
      <c r="C4751" s="120" t="s">
        <v>282</v>
      </c>
      <c r="D4751"/>
      <c r="E4751"/>
      <c r="F4751"/>
      <c r="G4751"/>
      <c r="H4751"/>
      <c r="I4751" s="21" t="str">
        <f t="shared" si="149"/>
        <v/>
      </c>
      <c r="L4751" s="24"/>
      <c r="M4751" s="24"/>
    </row>
    <row r="4752" spans="1:13">
      <c r="A4752" s="10" t="str">
        <f t="shared" si="148"/>
        <v/>
      </c>
      <c r="C4752" s="120" t="s">
        <v>284</v>
      </c>
      <c r="D4752"/>
      <c r="E4752"/>
      <c r="F4752"/>
      <c r="G4752"/>
      <c r="H4752"/>
      <c r="I4752" s="21" t="str">
        <f t="shared" si="149"/>
        <v/>
      </c>
      <c r="L4752" s="24"/>
      <c r="M4752" s="24"/>
    </row>
    <row r="4753" spans="1:13">
      <c r="A4753" s="14" t="str">
        <f t="shared" si="148"/>
        <v/>
      </c>
      <c r="C4753" s="120" t="s">
        <v>286</v>
      </c>
      <c r="D4753"/>
      <c r="E4753"/>
      <c r="F4753"/>
      <c r="G4753"/>
      <c r="H4753"/>
      <c r="I4753" s="21" t="str">
        <f t="shared" si="149"/>
        <v/>
      </c>
      <c r="L4753" s="24"/>
      <c r="M4753" s="24"/>
    </row>
    <row r="4754" spans="1:13">
      <c r="A4754" s="10" t="str">
        <f t="shared" si="148"/>
        <v/>
      </c>
      <c r="C4754" s="120" t="s">
        <v>126</v>
      </c>
      <c r="D4754"/>
      <c r="E4754"/>
      <c r="F4754"/>
      <c r="G4754"/>
      <c r="H4754"/>
      <c r="I4754" s="21" t="str">
        <f t="shared" si="149"/>
        <v/>
      </c>
      <c r="L4754" s="24"/>
      <c r="M4754" s="24"/>
    </row>
    <row r="4755" spans="1:13">
      <c r="A4755" s="14" t="str">
        <f t="shared" si="148"/>
        <v/>
      </c>
      <c r="C4755" s="120" t="s">
        <v>128</v>
      </c>
      <c r="D4755"/>
      <c r="E4755"/>
      <c r="F4755"/>
      <c r="G4755"/>
      <c r="H4755"/>
      <c r="I4755" s="21" t="str">
        <f t="shared" si="149"/>
        <v/>
      </c>
      <c r="L4755" s="24"/>
      <c r="M4755" s="24"/>
    </row>
    <row r="4756" spans="1:13">
      <c r="A4756" s="10" t="str">
        <f t="shared" si="148"/>
        <v/>
      </c>
      <c r="C4756" s="120" t="s">
        <v>280</v>
      </c>
      <c r="D4756"/>
      <c r="E4756"/>
      <c r="F4756"/>
      <c r="G4756"/>
      <c r="H4756"/>
      <c r="I4756" s="21" t="str">
        <f t="shared" si="149"/>
        <v/>
      </c>
      <c r="L4756" s="24"/>
      <c r="M4756" s="24"/>
    </row>
    <row r="4757" spans="1:13">
      <c r="A4757" s="14" t="str">
        <f t="shared" si="148"/>
        <v/>
      </c>
      <c r="C4757" s="120" t="s">
        <v>282</v>
      </c>
      <c r="D4757"/>
      <c r="E4757"/>
      <c r="F4757"/>
      <c r="G4757"/>
      <c r="H4757"/>
      <c r="I4757" s="21" t="str">
        <f t="shared" si="149"/>
        <v/>
      </c>
      <c r="L4757" s="24"/>
      <c r="M4757" s="24"/>
    </row>
    <row r="4758" spans="1:13">
      <c r="A4758" s="10" t="str">
        <f t="shared" si="148"/>
        <v/>
      </c>
      <c r="C4758" s="120" t="s">
        <v>284</v>
      </c>
      <c r="D4758"/>
      <c r="E4758"/>
      <c r="F4758"/>
      <c r="G4758"/>
      <c r="H4758"/>
      <c r="I4758" s="21" t="str">
        <f t="shared" si="149"/>
        <v/>
      </c>
      <c r="L4758" s="24"/>
      <c r="M4758" s="24"/>
    </row>
    <row r="4759" spans="1:13">
      <c r="A4759" s="14" t="str">
        <f t="shared" si="148"/>
        <v/>
      </c>
      <c r="C4759" s="120" t="s">
        <v>286</v>
      </c>
      <c r="D4759"/>
      <c r="E4759"/>
      <c r="F4759"/>
      <c r="G4759"/>
      <c r="H4759"/>
      <c r="I4759" s="21" t="str">
        <f t="shared" si="149"/>
        <v/>
      </c>
      <c r="L4759" s="24"/>
      <c r="M4759" s="24"/>
    </row>
    <row r="4760" spans="1:13">
      <c r="A4760" s="10" t="str">
        <f t="shared" si="148"/>
        <v/>
      </c>
      <c r="C4760" s="120" t="s">
        <v>126</v>
      </c>
      <c r="D4760"/>
      <c r="E4760"/>
      <c r="F4760"/>
      <c r="G4760"/>
      <c r="H4760"/>
      <c r="I4760" s="21" t="str">
        <f t="shared" si="149"/>
        <v/>
      </c>
      <c r="L4760" s="24"/>
      <c r="M4760" s="24"/>
    </row>
    <row r="4761" spans="1:13">
      <c r="A4761" s="14" t="str">
        <f t="shared" si="148"/>
        <v/>
      </c>
      <c r="C4761" s="120" t="s">
        <v>128</v>
      </c>
      <c r="D4761"/>
      <c r="E4761"/>
      <c r="F4761"/>
      <c r="G4761"/>
      <c r="H4761"/>
      <c r="I4761" s="21" t="str">
        <f t="shared" si="149"/>
        <v/>
      </c>
      <c r="L4761" s="24"/>
      <c r="M4761" s="24"/>
    </row>
    <row r="4762" spans="1:13">
      <c r="A4762" s="10" t="str">
        <f t="shared" si="148"/>
        <v/>
      </c>
      <c r="C4762" s="120" t="s">
        <v>280</v>
      </c>
      <c r="D4762"/>
      <c r="E4762"/>
      <c r="F4762"/>
      <c r="G4762"/>
      <c r="H4762"/>
      <c r="I4762" s="21" t="str">
        <f t="shared" si="149"/>
        <v/>
      </c>
      <c r="L4762" s="24"/>
      <c r="M4762" s="24"/>
    </row>
    <row r="4763" spans="1:13">
      <c r="A4763" s="14" t="str">
        <f t="shared" si="148"/>
        <v/>
      </c>
      <c r="C4763" s="120" t="s">
        <v>282</v>
      </c>
      <c r="D4763"/>
      <c r="E4763"/>
      <c r="F4763"/>
      <c r="G4763"/>
      <c r="H4763"/>
      <c r="I4763" s="21" t="str">
        <f t="shared" si="149"/>
        <v/>
      </c>
      <c r="L4763" s="24"/>
      <c r="M4763" s="24"/>
    </row>
    <row r="4764" spans="1:13">
      <c r="A4764" s="10" t="str">
        <f t="shared" si="148"/>
        <v/>
      </c>
      <c r="C4764" s="120" t="s">
        <v>284</v>
      </c>
      <c r="D4764"/>
      <c r="E4764"/>
      <c r="F4764"/>
      <c r="G4764"/>
      <c r="H4764"/>
      <c r="I4764" s="21" t="str">
        <f t="shared" si="149"/>
        <v/>
      </c>
      <c r="L4764" s="24"/>
      <c r="M4764" s="24"/>
    </row>
    <row r="4765" spans="1:13">
      <c r="A4765" s="14" t="str">
        <f t="shared" si="148"/>
        <v/>
      </c>
      <c r="C4765" s="120" t="s">
        <v>286</v>
      </c>
      <c r="D4765"/>
      <c r="E4765"/>
      <c r="F4765"/>
      <c r="G4765"/>
      <c r="H4765"/>
      <c r="I4765" s="21" t="str">
        <f t="shared" si="149"/>
        <v/>
      </c>
      <c r="L4765" s="24"/>
      <c r="M4765" s="24"/>
    </row>
    <row r="4766" spans="1:13">
      <c r="A4766" s="10" t="str">
        <f t="shared" si="148"/>
        <v/>
      </c>
      <c r="C4766" s="120" t="s">
        <v>126</v>
      </c>
      <c r="D4766"/>
      <c r="E4766"/>
      <c r="F4766"/>
      <c r="G4766"/>
      <c r="H4766"/>
      <c r="I4766" s="21" t="str">
        <f t="shared" si="149"/>
        <v/>
      </c>
      <c r="L4766" s="24"/>
      <c r="M4766" s="24"/>
    </row>
    <row r="4767" spans="1:13">
      <c r="A4767" s="14" t="str">
        <f t="shared" si="148"/>
        <v/>
      </c>
      <c r="C4767" s="120" t="s">
        <v>128</v>
      </c>
      <c r="D4767"/>
      <c r="E4767"/>
      <c r="F4767"/>
      <c r="G4767"/>
      <c r="H4767"/>
      <c r="I4767" s="21" t="str">
        <f t="shared" si="149"/>
        <v/>
      </c>
      <c r="L4767" s="24"/>
      <c r="M4767" s="24"/>
    </row>
    <row r="4768" spans="1:13">
      <c r="A4768" s="10" t="str">
        <f t="shared" si="148"/>
        <v/>
      </c>
      <c r="C4768" s="120" t="s">
        <v>280</v>
      </c>
      <c r="D4768"/>
      <c r="E4768"/>
      <c r="F4768"/>
      <c r="G4768"/>
      <c r="H4768"/>
      <c r="I4768" s="21" t="str">
        <f t="shared" si="149"/>
        <v/>
      </c>
      <c r="L4768" s="24"/>
      <c r="M4768" s="24"/>
    </row>
    <row r="4769" spans="1:13">
      <c r="A4769" s="14" t="str">
        <f t="shared" si="148"/>
        <v/>
      </c>
      <c r="C4769" s="120" t="s">
        <v>282</v>
      </c>
      <c r="D4769"/>
      <c r="E4769"/>
      <c r="F4769"/>
      <c r="G4769"/>
      <c r="H4769"/>
      <c r="I4769" s="21" t="str">
        <f t="shared" si="149"/>
        <v/>
      </c>
      <c r="L4769" s="24"/>
      <c r="M4769" s="24"/>
    </row>
    <row r="4770" spans="1:13">
      <c r="A4770" s="10" t="str">
        <f t="shared" si="148"/>
        <v/>
      </c>
      <c r="C4770" s="120" t="s">
        <v>284</v>
      </c>
      <c r="D4770"/>
      <c r="E4770"/>
      <c r="F4770"/>
      <c r="G4770"/>
      <c r="H4770"/>
      <c r="I4770" s="21" t="str">
        <f t="shared" si="149"/>
        <v/>
      </c>
      <c r="L4770" s="24"/>
      <c r="M4770" s="24"/>
    </row>
    <row r="4771" spans="1:13">
      <c r="A4771" s="14" t="str">
        <f t="shared" si="148"/>
        <v/>
      </c>
      <c r="C4771" s="120" t="s">
        <v>286</v>
      </c>
      <c r="D4771"/>
      <c r="E4771"/>
      <c r="F4771"/>
      <c r="G4771"/>
      <c r="H4771"/>
      <c r="I4771" s="21" t="str">
        <f t="shared" si="149"/>
        <v/>
      </c>
      <c r="L4771" s="24"/>
      <c r="M4771" s="24"/>
    </row>
    <row r="4772" spans="1:13">
      <c r="A4772" s="10" t="str">
        <f t="shared" si="148"/>
        <v/>
      </c>
      <c r="C4772" s="120" t="s">
        <v>126</v>
      </c>
      <c r="D4772"/>
      <c r="E4772"/>
      <c r="F4772"/>
      <c r="G4772"/>
      <c r="H4772"/>
      <c r="I4772" s="21" t="str">
        <f t="shared" si="149"/>
        <v/>
      </c>
      <c r="L4772" s="24"/>
      <c r="M4772" s="24"/>
    </row>
    <row r="4773" spans="1:13">
      <c r="A4773" s="14" t="str">
        <f t="shared" si="148"/>
        <v/>
      </c>
      <c r="C4773" s="120" t="s">
        <v>128</v>
      </c>
      <c r="D4773"/>
      <c r="E4773"/>
      <c r="F4773"/>
      <c r="G4773"/>
      <c r="H4773"/>
      <c r="I4773" s="21" t="str">
        <f t="shared" si="149"/>
        <v/>
      </c>
      <c r="L4773" s="24"/>
      <c r="M4773" s="24"/>
    </row>
    <row r="4774" spans="1:13">
      <c r="A4774" s="10" t="str">
        <f t="shared" si="148"/>
        <v/>
      </c>
      <c r="C4774" s="120" t="s">
        <v>280</v>
      </c>
      <c r="D4774"/>
      <c r="E4774"/>
      <c r="F4774"/>
      <c r="G4774"/>
      <c r="H4774"/>
      <c r="I4774" s="21" t="str">
        <f t="shared" si="149"/>
        <v/>
      </c>
      <c r="L4774" s="24"/>
      <c r="M4774" s="24"/>
    </row>
    <row r="4775" spans="1:13">
      <c r="A4775" s="14" t="str">
        <f t="shared" si="148"/>
        <v/>
      </c>
      <c r="C4775" s="120" t="s">
        <v>282</v>
      </c>
      <c r="D4775"/>
      <c r="E4775"/>
      <c r="F4775"/>
      <c r="G4775"/>
      <c r="H4775"/>
      <c r="I4775" s="21" t="str">
        <f t="shared" si="149"/>
        <v/>
      </c>
      <c r="L4775" s="24"/>
      <c r="M4775" s="24"/>
    </row>
    <row r="4776" spans="1:13">
      <c r="A4776" s="10" t="str">
        <f t="shared" si="148"/>
        <v/>
      </c>
      <c r="C4776" s="120" t="s">
        <v>284</v>
      </c>
      <c r="D4776"/>
      <c r="E4776"/>
      <c r="F4776"/>
      <c r="G4776"/>
      <c r="H4776"/>
      <c r="I4776" s="21" t="str">
        <f t="shared" si="149"/>
        <v/>
      </c>
      <c r="L4776" s="24"/>
      <c r="M4776" s="24"/>
    </row>
    <row r="4777" spans="1:13">
      <c r="A4777" s="14" t="str">
        <f t="shared" si="148"/>
        <v/>
      </c>
      <c r="C4777" s="120" t="s">
        <v>286</v>
      </c>
      <c r="D4777"/>
      <c r="E4777"/>
      <c r="F4777"/>
      <c r="G4777"/>
      <c r="H4777"/>
      <c r="I4777" s="21" t="str">
        <f t="shared" si="149"/>
        <v/>
      </c>
      <c r="L4777" s="24"/>
      <c r="M4777" s="24"/>
    </row>
    <row r="4778" spans="1:13">
      <c r="A4778" s="10" t="str">
        <f t="shared" si="148"/>
        <v/>
      </c>
      <c r="C4778" s="120" t="s">
        <v>126</v>
      </c>
      <c r="D4778"/>
      <c r="E4778"/>
      <c r="F4778"/>
      <c r="G4778"/>
      <c r="H4778"/>
      <c r="I4778" s="21" t="str">
        <f t="shared" si="149"/>
        <v/>
      </c>
      <c r="L4778" s="24"/>
      <c r="M4778" s="24"/>
    </row>
    <row r="4779" spans="1:13">
      <c r="A4779" s="14" t="str">
        <f t="shared" si="148"/>
        <v/>
      </c>
      <c r="C4779" s="120" t="s">
        <v>128</v>
      </c>
      <c r="D4779"/>
      <c r="E4779"/>
      <c r="F4779"/>
      <c r="G4779"/>
      <c r="H4779"/>
      <c r="I4779" s="21" t="str">
        <f t="shared" si="149"/>
        <v/>
      </c>
      <c r="L4779" s="24"/>
      <c r="M4779" s="24"/>
    </row>
    <row r="4780" spans="1:13">
      <c r="A4780" s="10" t="str">
        <f t="shared" si="148"/>
        <v/>
      </c>
      <c r="C4780" s="120" t="s">
        <v>280</v>
      </c>
      <c r="D4780"/>
      <c r="E4780"/>
      <c r="F4780"/>
      <c r="G4780"/>
      <c r="H4780"/>
      <c r="I4780" s="21" t="str">
        <f t="shared" si="149"/>
        <v/>
      </c>
      <c r="L4780" s="24"/>
      <c r="M4780" s="24"/>
    </row>
    <row r="4781" spans="1:13">
      <c r="A4781" s="14" t="str">
        <f t="shared" si="148"/>
        <v/>
      </c>
      <c r="C4781" s="120" t="s">
        <v>282</v>
      </c>
      <c r="D4781"/>
      <c r="E4781"/>
      <c r="F4781"/>
      <c r="G4781"/>
      <c r="H4781"/>
      <c r="I4781" s="21" t="str">
        <f t="shared" si="149"/>
        <v/>
      </c>
      <c r="L4781" s="24"/>
      <c r="M4781" s="24"/>
    </row>
    <row r="4782" spans="1:13">
      <c r="A4782" s="10" t="str">
        <f t="shared" si="148"/>
        <v/>
      </c>
      <c r="C4782" s="120" t="s">
        <v>284</v>
      </c>
      <c r="D4782"/>
      <c r="E4782"/>
      <c r="F4782"/>
      <c r="G4782"/>
      <c r="H4782"/>
      <c r="I4782" s="21" t="str">
        <f t="shared" si="149"/>
        <v/>
      </c>
      <c r="L4782" s="24"/>
      <c r="M4782" s="24"/>
    </row>
    <row r="4783" spans="1:13">
      <c r="A4783" s="14" t="str">
        <f t="shared" si="148"/>
        <v/>
      </c>
      <c r="C4783" s="120" t="s">
        <v>286</v>
      </c>
      <c r="D4783"/>
      <c r="E4783"/>
      <c r="F4783"/>
      <c r="G4783"/>
      <c r="H4783"/>
      <c r="I4783" s="21" t="str">
        <f t="shared" si="149"/>
        <v/>
      </c>
      <c r="L4783" s="24"/>
      <c r="M4783" s="24"/>
    </row>
    <row r="4784" spans="1:13">
      <c r="A4784" s="10" t="str">
        <f t="shared" si="148"/>
        <v/>
      </c>
      <c r="C4784" s="120" t="s">
        <v>126</v>
      </c>
      <c r="D4784"/>
      <c r="E4784"/>
      <c r="F4784"/>
      <c r="G4784"/>
      <c r="H4784"/>
      <c r="I4784" s="21" t="str">
        <f t="shared" si="149"/>
        <v/>
      </c>
      <c r="L4784" s="24"/>
      <c r="M4784" s="24"/>
    </row>
    <row r="4785" spans="1:13">
      <c r="A4785" s="14" t="str">
        <f t="shared" si="148"/>
        <v/>
      </c>
      <c r="C4785" s="120" t="s">
        <v>128</v>
      </c>
      <c r="D4785"/>
      <c r="E4785"/>
      <c r="F4785"/>
      <c r="G4785"/>
      <c r="H4785"/>
      <c r="I4785" s="21" t="str">
        <f t="shared" si="149"/>
        <v/>
      </c>
      <c r="L4785" s="24"/>
      <c r="M4785" s="24"/>
    </row>
    <row r="4786" spans="1:13">
      <c r="A4786" s="10" t="str">
        <f t="shared" si="148"/>
        <v/>
      </c>
      <c r="C4786" s="120" t="s">
        <v>280</v>
      </c>
      <c r="D4786"/>
      <c r="E4786"/>
      <c r="F4786"/>
      <c r="G4786"/>
      <c r="H4786"/>
      <c r="I4786" s="21" t="str">
        <f t="shared" si="149"/>
        <v/>
      </c>
      <c r="L4786" s="24"/>
      <c r="M4786" s="24"/>
    </row>
    <row r="4787" spans="1:13">
      <c r="A4787" s="14" t="str">
        <f t="shared" si="148"/>
        <v/>
      </c>
      <c r="C4787" s="120" t="s">
        <v>282</v>
      </c>
      <c r="D4787"/>
      <c r="E4787"/>
      <c r="F4787"/>
      <c r="G4787"/>
      <c r="H4787"/>
      <c r="I4787" s="21" t="str">
        <f t="shared" si="149"/>
        <v/>
      </c>
      <c r="L4787" s="24"/>
      <c r="M4787" s="24"/>
    </row>
    <row r="4788" spans="1:13">
      <c r="A4788" s="10" t="str">
        <f t="shared" si="148"/>
        <v/>
      </c>
      <c r="C4788" s="120" t="s">
        <v>284</v>
      </c>
      <c r="D4788"/>
      <c r="E4788"/>
      <c r="F4788"/>
      <c r="G4788"/>
      <c r="H4788"/>
      <c r="I4788" s="21" t="str">
        <f t="shared" si="149"/>
        <v/>
      </c>
      <c r="L4788" s="24"/>
      <c r="M4788" s="24"/>
    </row>
    <row r="4789" spans="1:13">
      <c r="A4789" s="14" t="str">
        <f t="shared" si="148"/>
        <v/>
      </c>
      <c r="C4789" s="120" t="s">
        <v>286</v>
      </c>
      <c r="D4789"/>
      <c r="E4789"/>
      <c r="F4789"/>
      <c r="G4789"/>
      <c r="H4789"/>
      <c r="I4789" s="21" t="str">
        <f t="shared" si="149"/>
        <v/>
      </c>
      <c r="L4789" s="24"/>
      <c r="M4789" s="24"/>
    </row>
    <row r="4790" spans="1:13">
      <c r="A4790" s="10" t="str">
        <f t="shared" si="148"/>
        <v/>
      </c>
      <c r="C4790" s="120" t="s">
        <v>126</v>
      </c>
      <c r="D4790"/>
      <c r="E4790"/>
      <c r="F4790"/>
      <c r="G4790"/>
      <c r="H4790"/>
      <c r="I4790" s="21" t="str">
        <f t="shared" si="149"/>
        <v/>
      </c>
      <c r="L4790" s="24"/>
      <c r="M4790" s="24"/>
    </row>
    <row r="4791" spans="1:13">
      <c r="A4791" s="14" t="str">
        <f t="shared" si="148"/>
        <v/>
      </c>
      <c r="C4791" s="120" t="s">
        <v>128</v>
      </c>
      <c r="D4791"/>
      <c r="E4791"/>
      <c r="F4791"/>
      <c r="G4791"/>
      <c r="H4791"/>
      <c r="I4791" s="21" t="str">
        <f t="shared" si="149"/>
        <v/>
      </c>
      <c r="L4791" s="24"/>
      <c r="M4791" s="24"/>
    </row>
    <row r="4792" spans="1:13">
      <c r="A4792" s="10" t="str">
        <f t="shared" si="148"/>
        <v/>
      </c>
      <c r="C4792" s="120" t="s">
        <v>280</v>
      </c>
      <c r="D4792"/>
      <c r="E4792"/>
      <c r="F4792"/>
      <c r="G4792"/>
      <c r="H4792"/>
      <c r="I4792" s="21" t="str">
        <f t="shared" si="149"/>
        <v/>
      </c>
      <c r="L4792" s="24"/>
      <c r="M4792" s="24"/>
    </row>
    <row r="4793" spans="1:13">
      <c r="A4793" s="14" t="str">
        <f t="shared" si="148"/>
        <v/>
      </c>
      <c r="C4793" s="120" t="s">
        <v>282</v>
      </c>
      <c r="D4793"/>
      <c r="E4793"/>
      <c r="F4793"/>
      <c r="G4793"/>
      <c r="H4793"/>
      <c r="I4793" s="21" t="str">
        <f t="shared" si="149"/>
        <v/>
      </c>
      <c r="L4793" s="24"/>
      <c r="M4793" s="24"/>
    </row>
    <row r="4794" spans="1:13">
      <c r="A4794" s="10" t="str">
        <f t="shared" si="148"/>
        <v/>
      </c>
      <c r="C4794" s="120" t="s">
        <v>284</v>
      </c>
      <c r="D4794"/>
      <c r="E4794"/>
      <c r="F4794"/>
      <c r="G4794"/>
      <c r="H4794"/>
      <c r="I4794" s="21" t="str">
        <f t="shared" si="149"/>
        <v/>
      </c>
      <c r="L4794" s="24"/>
      <c r="M4794" s="24"/>
    </row>
    <row r="4795" spans="1:13">
      <c r="A4795" s="14" t="str">
        <f t="shared" si="148"/>
        <v/>
      </c>
      <c r="C4795" s="120" t="s">
        <v>286</v>
      </c>
      <c r="D4795"/>
      <c r="E4795"/>
      <c r="F4795"/>
      <c r="G4795"/>
      <c r="H4795"/>
      <c r="I4795" s="21" t="str">
        <f t="shared" si="149"/>
        <v/>
      </c>
      <c r="L4795" s="24"/>
      <c r="M4795" s="24"/>
    </row>
    <row r="4796" spans="1:13">
      <c r="A4796" s="10" t="str">
        <f t="shared" si="148"/>
        <v/>
      </c>
      <c r="C4796" s="120" t="s">
        <v>126</v>
      </c>
      <c r="D4796"/>
      <c r="E4796"/>
      <c r="F4796"/>
      <c r="G4796"/>
      <c r="H4796"/>
      <c r="I4796" s="21" t="str">
        <f t="shared" si="149"/>
        <v/>
      </c>
      <c r="L4796" s="24"/>
      <c r="M4796" s="24"/>
    </row>
    <row r="4797" spans="1:13">
      <c r="A4797" s="14" t="str">
        <f t="shared" si="148"/>
        <v/>
      </c>
      <c r="C4797" s="120" t="s">
        <v>128</v>
      </c>
      <c r="D4797"/>
      <c r="E4797"/>
      <c r="F4797"/>
      <c r="G4797"/>
      <c r="H4797"/>
      <c r="I4797" s="21" t="str">
        <f t="shared" si="149"/>
        <v/>
      </c>
      <c r="L4797" s="24"/>
      <c r="M4797" s="24"/>
    </row>
    <row r="4798" spans="1:13">
      <c r="A4798" s="10" t="str">
        <f t="shared" si="148"/>
        <v/>
      </c>
      <c r="C4798" s="120" t="s">
        <v>280</v>
      </c>
      <c r="D4798"/>
      <c r="E4798"/>
      <c r="F4798"/>
      <c r="G4798"/>
      <c r="H4798"/>
      <c r="I4798" s="21" t="str">
        <f t="shared" si="149"/>
        <v/>
      </c>
      <c r="L4798" s="24"/>
      <c r="M4798" s="24"/>
    </row>
    <row r="4799" spans="1:13">
      <c r="A4799" s="14" t="str">
        <f t="shared" si="148"/>
        <v/>
      </c>
      <c r="C4799" s="120" t="s">
        <v>282</v>
      </c>
      <c r="D4799"/>
      <c r="E4799"/>
      <c r="F4799"/>
      <c r="G4799"/>
      <c r="H4799"/>
      <c r="I4799" s="21" t="str">
        <f t="shared" si="149"/>
        <v/>
      </c>
      <c r="L4799" s="24"/>
      <c r="M4799" s="24"/>
    </row>
    <row r="4800" spans="1:13">
      <c r="A4800" s="10" t="str">
        <f t="shared" si="148"/>
        <v/>
      </c>
      <c r="C4800" s="120" t="s">
        <v>284</v>
      </c>
      <c r="D4800"/>
      <c r="E4800"/>
      <c r="F4800"/>
      <c r="G4800"/>
      <c r="H4800"/>
      <c r="I4800" s="21" t="str">
        <f t="shared" si="149"/>
        <v/>
      </c>
      <c r="L4800" s="24"/>
      <c r="M4800" s="24"/>
    </row>
    <row r="4801" spans="1:13">
      <c r="A4801" s="14" t="str">
        <f t="shared" si="148"/>
        <v/>
      </c>
      <c r="C4801" s="120" t="s">
        <v>286</v>
      </c>
      <c r="D4801"/>
      <c r="E4801"/>
      <c r="F4801"/>
      <c r="G4801"/>
      <c r="H4801"/>
      <c r="I4801" s="21" t="str">
        <f t="shared" si="149"/>
        <v/>
      </c>
      <c r="L4801" s="24"/>
      <c r="M4801" s="24"/>
    </row>
    <row r="4802" spans="1:13">
      <c r="A4802" s="10" t="str">
        <f t="shared" ref="A4802:A4865" si="150">IF(B4802&lt;&gt;"",ROW()-1,"")</f>
        <v/>
      </c>
      <c r="C4802" s="120" t="s">
        <v>126</v>
      </c>
      <c r="D4802"/>
      <c r="E4802"/>
      <c r="F4802"/>
      <c r="G4802"/>
      <c r="H4802"/>
      <c r="I4802" s="21" t="str">
        <f t="shared" ref="I4802:I4865" si="151">IF(AND(G4802&lt;&gt;"",H4802&lt;&gt;""),H4802-G4802,"")</f>
        <v/>
      </c>
      <c r="L4802" s="24"/>
      <c r="M4802" s="24"/>
    </row>
    <row r="4803" spans="1:13">
      <c r="A4803" s="14" t="str">
        <f t="shared" si="150"/>
        <v/>
      </c>
      <c r="C4803" s="120" t="s">
        <v>128</v>
      </c>
      <c r="D4803"/>
      <c r="E4803"/>
      <c r="F4803"/>
      <c r="G4803"/>
      <c r="H4803"/>
      <c r="I4803" s="21" t="str">
        <f t="shared" si="151"/>
        <v/>
      </c>
      <c r="L4803" s="24"/>
      <c r="M4803" s="24"/>
    </row>
    <row r="4804" spans="1:13">
      <c r="A4804" s="10" t="str">
        <f t="shared" si="150"/>
        <v/>
      </c>
      <c r="C4804" s="120" t="s">
        <v>280</v>
      </c>
      <c r="D4804"/>
      <c r="E4804"/>
      <c r="F4804"/>
      <c r="G4804"/>
      <c r="H4804"/>
      <c r="I4804" s="21" t="str">
        <f t="shared" si="151"/>
        <v/>
      </c>
      <c r="L4804" s="24"/>
      <c r="M4804" s="24"/>
    </row>
    <row r="4805" spans="1:13">
      <c r="A4805" s="14" t="str">
        <f t="shared" si="150"/>
        <v/>
      </c>
      <c r="C4805" s="120" t="s">
        <v>282</v>
      </c>
      <c r="D4805"/>
      <c r="E4805"/>
      <c r="F4805"/>
      <c r="G4805"/>
      <c r="H4805"/>
      <c r="I4805" s="21" t="str">
        <f t="shared" si="151"/>
        <v/>
      </c>
      <c r="L4805" s="24"/>
      <c r="M4805" s="24"/>
    </row>
    <row r="4806" spans="1:13">
      <c r="A4806" s="10" t="str">
        <f t="shared" si="150"/>
        <v/>
      </c>
      <c r="C4806" s="120" t="s">
        <v>284</v>
      </c>
      <c r="D4806"/>
      <c r="E4806"/>
      <c r="F4806"/>
      <c r="G4806"/>
      <c r="H4806"/>
      <c r="I4806" s="21" t="str">
        <f t="shared" si="151"/>
        <v/>
      </c>
      <c r="L4806" s="24"/>
      <c r="M4806" s="24"/>
    </row>
    <row r="4807" spans="1:13">
      <c r="A4807" s="14" t="str">
        <f t="shared" si="150"/>
        <v/>
      </c>
      <c r="C4807" s="120" t="s">
        <v>286</v>
      </c>
      <c r="D4807"/>
      <c r="E4807"/>
      <c r="F4807"/>
      <c r="G4807"/>
      <c r="H4807"/>
      <c r="I4807" s="21" t="str">
        <f t="shared" si="151"/>
        <v/>
      </c>
      <c r="L4807" s="24"/>
      <c r="M4807" s="24"/>
    </row>
    <row r="4808" spans="1:13">
      <c r="A4808" s="10" t="str">
        <f t="shared" si="150"/>
        <v/>
      </c>
      <c r="C4808" s="120" t="s">
        <v>126</v>
      </c>
      <c r="D4808"/>
      <c r="E4808"/>
      <c r="F4808"/>
      <c r="G4808"/>
      <c r="H4808"/>
      <c r="I4808" s="21" t="str">
        <f t="shared" si="151"/>
        <v/>
      </c>
      <c r="L4808" s="24"/>
      <c r="M4808" s="24"/>
    </row>
    <row r="4809" spans="1:13">
      <c r="A4809" s="14" t="str">
        <f t="shared" si="150"/>
        <v/>
      </c>
      <c r="C4809" s="120" t="s">
        <v>128</v>
      </c>
      <c r="D4809"/>
      <c r="E4809"/>
      <c r="F4809"/>
      <c r="G4809"/>
      <c r="H4809"/>
      <c r="I4809" s="21" t="str">
        <f t="shared" si="151"/>
        <v/>
      </c>
      <c r="L4809" s="24"/>
      <c r="M4809" s="24"/>
    </row>
    <row r="4810" spans="1:13">
      <c r="A4810" s="10" t="str">
        <f t="shared" si="150"/>
        <v/>
      </c>
      <c r="C4810" s="120" t="s">
        <v>280</v>
      </c>
      <c r="D4810"/>
      <c r="E4810"/>
      <c r="F4810"/>
      <c r="G4810"/>
      <c r="H4810"/>
      <c r="I4810" s="21" t="str">
        <f t="shared" si="151"/>
        <v/>
      </c>
      <c r="L4810" s="24"/>
      <c r="M4810" s="24"/>
    </row>
    <row r="4811" spans="1:13">
      <c r="A4811" s="14" t="str">
        <f t="shared" si="150"/>
        <v/>
      </c>
      <c r="C4811" s="120" t="s">
        <v>282</v>
      </c>
      <c r="D4811"/>
      <c r="E4811"/>
      <c r="F4811"/>
      <c r="G4811"/>
      <c r="H4811"/>
      <c r="I4811" s="21" t="str">
        <f t="shared" si="151"/>
        <v/>
      </c>
      <c r="L4811" s="24"/>
      <c r="M4811" s="24"/>
    </row>
    <row r="4812" spans="1:13">
      <c r="A4812" s="10" t="str">
        <f t="shared" si="150"/>
        <v/>
      </c>
      <c r="C4812" s="120" t="s">
        <v>284</v>
      </c>
      <c r="D4812"/>
      <c r="E4812"/>
      <c r="F4812"/>
      <c r="G4812"/>
      <c r="H4812"/>
      <c r="I4812" s="21" t="str">
        <f t="shared" si="151"/>
        <v/>
      </c>
      <c r="L4812" s="24"/>
      <c r="M4812" s="24"/>
    </row>
    <row r="4813" spans="1:13">
      <c r="A4813" s="14" t="str">
        <f t="shared" si="150"/>
        <v/>
      </c>
      <c r="C4813" s="120" t="s">
        <v>286</v>
      </c>
      <c r="D4813"/>
      <c r="E4813"/>
      <c r="F4813"/>
      <c r="G4813"/>
      <c r="H4813"/>
      <c r="I4813" s="21" t="str">
        <f t="shared" si="151"/>
        <v/>
      </c>
      <c r="L4813" s="24"/>
      <c r="M4813" s="24"/>
    </row>
    <row r="4814" spans="1:13">
      <c r="A4814" s="10" t="str">
        <f t="shared" si="150"/>
        <v/>
      </c>
      <c r="C4814" s="120" t="s">
        <v>126</v>
      </c>
      <c r="D4814"/>
      <c r="E4814"/>
      <c r="F4814"/>
      <c r="G4814"/>
      <c r="H4814"/>
      <c r="I4814" s="21" t="str">
        <f t="shared" si="151"/>
        <v/>
      </c>
      <c r="L4814" s="24"/>
      <c r="M4814" s="24"/>
    </row>
    <row r="4815" spans="1:13">
      <c r="A4815" s="14" t="str">
        <f t="shared" si="150"/>
        <v/>
      </c>
      <c r="C4815" s="120" t="s">
        <v>128</v>
      </c>
      <c r="D4815"/>
      <c r="E4815"/>
      <c r="F4815"/>
      <c r="G4815"/>
      <c r="H4815"/>
      <c r="I4815" s="21" t="str">
        <f t="shared" si="151"/>
        <v/>
      </c>
      <c r="L4815" s="24"/>
      <c r="M4815" s="24"/>
    </row>
    <row r="4816" spans="1:13">
      <c r="A4816" s="10" t="str">
        <f t="shared" si="150"/>
        <v/>
      </c>
      <c r="C4816" s="120" t="s">
        <v>280</v>
      </c>
      <c r="D4816"/>
      <c r="E4816"/>
      <c r="F4816"/>
      <c r="G4816"/>
      <c r="H4816"/>
      <c r="I4816" s="21" t="str">
        <f t="shared" si="151"/>
        <v/>
      </c>
      <c r="L4816" s="24"/>
      <c r="M4816" s="24"/>
    </row>
    <row r="4817" spans="1:13">
      <c r="A4817" s="14" t="str">
        <f t="shared" si="150"/>
        <v/>
      </c>
      <c r="C4817" s="120" t="s">
        <v>282</v>
      </c>
      <c r="D4817"/>
      <c r="E4817"/>
      <c r="F4817"/>
      <c r="G4817"/>
      <c r="H4817"/>
      <c r="I4817" s="21" t="str">
        <f t="shared" si="151"/>
        <v/>
      </c>
      <c r="L4817" s="24"/>
      <c r="M4817" s="24"/>
    </row>
    <row r="4818" spans="1:13">
      <c r="A4818" s="10" t="str">
        <f t="shared" si="150"/>
        <v/>
      </c>
      <c r="C4818" s="120" t="s">
        <v>284</v>
      </c>
      <c r="D4818"/>
      <c r="E4818"/>
      <c r="F4818"/>
      <c r="G4818"/>
      <c r="H4818"/>
      <c r="I4818" s="21" t="str">
        <f t="shared" si="151"/>
        <v/>
      </c>
      <c r="L4818" s="24"/>
      <c r="M4818" s="24"/>
    </row>
    <row r="4819" spans="1:13">
      <c r="A4819" s="14" t="str">
        <f t="shared" si="150"/>
        <v/>
      </c>
      <c r="C4819" s="120" t="s">
        <v>286</v>
      </c>
      <c r="D4819"/>
      <c r="E4819"/>
      <c r="F4819"/>
      <c r="G4819"/>
      <c r="H4819"/>
      <c r="I4819" s="21" t="str">
        <f t="shared" si="151"/>
        <v/>
      </c>
      <c r="L4819" s="24"/>
      <c r="M4819" s="24"/>
    </row>
    <row r="4820" spans="1:13">
      <c r="A4820" s="10" t="str">
        <f t="shared" si="150"/>
        <v/>
      </c>
      <c r="C4820" s="120" t="s">
        <v>126</v>
      </c>
      <c r="D4820"/>
      <c r="E4820"/>
      <c r="F4820"/>
      <c r="G4820"/>
      <c r="H4820"/>
      <c r="I4820" s="21" t="str">
        <f t="shared" si="151"/>
        <v/>
      </c>
      <c r="L4820" s="24"/>
      <c r="M4820" s="24"/>
    </row>
    <row r="4821" spans="1:13">
      <c r="A4821" s="14" t="str">
        <f t="shared" si="150"/>
        <v/>
      </c>
      <c r="C4821" s="120" t="s">
        <v>128</v>
      </c>
      <c r="D4821"/>
      <c r="E4821"/>
      <c r="F4821"/>
      <c r="G4821"/>
      <c r="H4821"/>
      <c r="I4821" s="21" t="str">
        <f t="shared" si="151"/>
        <v/>
      </c>
      <c r="L4821" s="24"/>
      <c r="M4821" s="24"/>
    </row>
    <row r="4822" spans="1:13">
      <c r="A4822" s="10" t="str">
        <f t="shared" si="150"/>
        <v/>
      </c>
      <c r="C4822" s="120" t="s">
        <v>280</v>
      </c>
      <c r="D4822"/>
      <c r="E4822"/>
      <c r="F4822"/>
      <c r="G4822"/>
      <c r="H4822"/>
      <c r="I4822" s="21" t="str">
        <f t="shared" si="151"/>
        <v/>
      </c>
      <c r="L4822" s="24"/>
      <c r="M4822" s="24"/>
    </row>
    <row r="4823" spans="1:13">
      <c r="A4823" s="14" t="str">
        <f t="shared" si="150"/>
        <v/>
      </c>
      <c r="C4823" s="120" t="s">
        <v>282</v>
      </c>
      <c r="D4823"/>
      <c r="E4823"/>
      <c r="F4823"/>
      <c r="G4823"/>
      <c r="H4823"/>
      <c r="I4823" s="21" t="str">
        <f t="shared" si="151"/>
        <v/>
      </c>
      <c r="L4823" s="24"/>
      <c r="M4823" s="24"/>
    </row>
    <row r="4824" spans="1:13">
      <c r="A4824" s="10" t="str">
        <f t="shared" si="150"/>
        <v/>
      </c>
      <c r="C4824" s="120" t="s">
        <v>284</v>
      </c>
      <c r="D4824"/>
      <c r="E4824"/>
      <c r="F4824"/>
      <c r="G4824"/>
      <c r="H4824"/>
      <c r="I4824" s="21" t="str">
        <f t="shared" si="151"/>
        <v/>
      </c>
      <c r="L4824" s="24"/>
      <c r="M4824" s="24"/>
    </row>
    <row r="4825" spans="1:13">
      <c r="A4825" s="14" t="str">
        <f t="shared" si="150"/>
        <v/>
      </c>
      <c r="C4825" s="120" t="s">
        <v>286</v>
      </c>
      <c r="D4825"/>
      <c r="E4825"/>
      <c r="F4825"/>
      <c r="G4825"/>
      <c r="H4825"/>
      <c r="I4825" s="21" t="str">
        <f t="shared" si="151"/>
        <v/>
      </c>
      <c r="L4825" s="24"/>
      <c r="M4825" s="24"/>
    </row>
    <row r="4826" spans="1:13">
      <c r="A4826" s="10" t="str">
        <f t="shared" si="150"/>
        <v/>
      </c>
      <c r="C4826" s="120" t="s">
        <v>126</v>
      </c>
      <c r="D4826"/>
      <c r="E4826"/>
      <c r="F4826"/>
      <c r="G4826"/>
      <c r="H4826"/>
      <c r="I4826" s="21" t="str">
        <f t="shared" si="151"/>
        <v/>
      </c>
      <c r="L4826" s="24"/>
      <c r="M4826" s="24"/>
    </row>
    <row r="4827" spans="1:13">
      <c r="A4827" s="14" t="str">
        <f t="shared" si="150"/>
        <v/>
      </c>
      <c r="C4827" s="120" t="s">
        <v>128</v>
      </c>
      <c r="D4827"/>
      <c r="E4827"/>
      <c r="F4827"/>
      <c r="G4827"/>
      <c r="H4827"/>
      <c r="I4827" s="21" t="str">
        <f t="shared" si="151"/>
        <v/>
      </c>
      <c r="L4827" s="24"/>
      <c r="M4827" s="24"/>
    </row>
    <row r="4828" spans="1:13">
      <c r="A4828" s="10" t="str">
        <f t="shared" si="150"/>
        <v/>
      </c>
      <c r="C4828" s="120" t="s">
        <v>280</v>
      </c>
      <c r="D4828"/>
      <c r="E4828"/>
      <c r="F4828"/>
      <c r="G4828"/>
      <c r="H4828"/>
      <c r="I4828" s="21" t="str">
        <f t="shared" si="151"/>
        <v/>
      </c>
      <c r="L4828" s="24"/>
      <c r="M4828" s="24"/>
    </row>
    <row r="4829" spans="1:13">
      <c r="A4829" s="14" t="str">
        <f t="shared" si="150"/>
        <v/>
      </c>
      <c r="C4829" s="120" t="s">
        <v>282</v>
      </c>
      <c r="D4829"/>
      <c r="E4829"/>
      <c r="F4829"/>
      <c r="G4829"/>
      <c r="H4829"/>
      <c r="I4829" s="21" t="str">
        <f t="shared" si="151"/>
        <v/>
      </c>
      <c r="L4829" s="24"/>
      <c r="M4829" s="24"/>
    </row>
    <row r="4830" spans="1:13">
      <c r="A4830" s="10" t="str">
        <f t="shared" si="150"/>
        <v/>
      </c>
      <c r="C4830" s="120" t="s">
        <v>284</v>
      </c>
      <c r="D4830"/>
      <c r="E4830"/>
      <c r="F4830"/>
      <c r="G4830"/>
      <c r="H4830"/>
      <c r="I4830" s="21" t="str">
        <f t="shared" si="151"/>
        <v/>
      </c>
      <c r="L4830" s="24"/>
      <c r="M4830" s="24"/>
    </row>
    <row r="4831" spans="1:13">
      <c r="A4831" s="14" t="str">
        <f t="shared" si="150"/>
        <v/>
      </c>
      <c r="C4831" s="120" t="s">
        <v>286</v>
      </c>
      <c r="D4831"/>
      <c r="E4831"/>
      <c r="F4831"/>
      <c r="G4831"/>
      <c r="H4831"/>
      <c r="I4831" s="21" t="str">
        <f t="shared" si="151"/>
        <v/>
      </c>
      <c r="L4831" s="24"/>
      <c r="M4831" s="24"/>
    </row>
    <row r="4832" spans="1:13">
      <c r="A4832" s="10" t="str">
        <f t="shared" si="150"/>
        <v/>
      </c>
      <c r="C4832" s="120" t="s">
        <v>126</v>
      </c>
      <c r="D4832"/>
      <c r="E4832"/>
      <c r="F4832"/>
      <c r="G4832"/>
      <c r="H4832"/>
      <c r="I4832" s="21" t="str">
        <f t="shared" si="151"/>
        <v/>
      </c>
      <c r="L4832" s="24"/>
      <c r="M4832" s="24"/>
    </row>
    <row r="4833" spans="1:13">
      <c r="A4833" s="14" t="str">
        <f t="shared" si="150"/>
        <v/>
      </c>
      <c r="C4833" s="120" t="s">
        <v>128</v>
      </c>
      <c r="D4833"/>
      <c r="E4833"/>
      <c r="F4833"/>
      <c r="G4833"/>
      <c r="H4833"/>
      <c r="I4833" s="21" t="str">
        <f t="shared" si="151"/>
        <v/>
      </c>
      <c r="L4833" s="24"/>
      <c r="M4833" s="24"/>
    </row>
    <row r="4834" spans="1:13">
      <c r="A4834" s="10" t="str">
        <f t="shared" si="150"/>
        <v/>
      </c>
      <c r="C4834" s="120" t="s">
        <v>280</v>
      </c>
      <c r="D4834"/>
      <c r="E4834"/>
      <c r="F4834"/>
      <c r="G4834"/>
      <c r="H4834"/>
      <c r="I4834" s="21" t="str">
        <f t="shared" si="151"/>
        <v/>
      </c>
      <c r="L4834" s="24"/>
      <c r="M4834" s="24"/>
    </row>
    <row r="4835" spans="1:13">
      <c r="A4835" s="14" t="str">
        <f t="shared" si="150"/>
        <v/>
      </c>
      <c r="C4835" s="120" t="s">
        <v>282</v>
      </c>
      <c r="D4835"/>
      <c r="E4835"/>
      <c r="F4835"/>
      <c r="G4835"/>
      <c r="H4835"/>
      <c r="I4835" s="21" t="str">
        <f t="shared" si="151"/>
        <v/>
      </c>
      <c r="L4835" s="24"/>
      <c r="M4835" s="24"/>
    </row>
    <row r="4836" spans="1:13">
      <c r="A4836" s="10" t="str">
        <f t="shared" si="150"/>
        <v/>
      </c>
      <c r="C4836" s="120" t="s">
        <v>284</v>
      </c>
      <c r="D4836"/>
      <c r="E4836"/>
      <c r="F4836"/>
      <c r="G4836"/>
      <c r="H4836"/>
      <c r="I4836" s="21" t="str">
        <f t="shared" si="151"/>
        <v/>
      </c>
      <c r="L4836" s="24"/>
      <c r="M4836" s="24"/>
    </row>
    <row r="4837" spans="1:13">
      <c r="A4837" s="14" t="str">
        <f t="shared" si="150"/>
        <v/>
      </c>
      <c r="C4837" s="120" t="s">
        <v>286</v>
      </c>
      <c r="D4837"/>
      <c r="E4837"/>
      <c r="F4837"/>
      <c r="G4837"/>
      <c r="H4837"/>
      <c r="I4837" s="21" t="str">
        <f t="shared" si="151"/>
        <v/>
      </c>
      <c r="L4837" s="24"/>
      <c r="M4837" s="24"/>
    </row>
    <row r="4838" spans="1:13">
      <c r="A4838" s="10" t="str">
        <f t="shared" si="150"/>
        <v/>
      </c>
      <c r="C4838" s="120" t="s">
        <v>126</v>
      </c>
      <c r="D4838"/>
      <c r="E4838"/>
      <c r="F4838"/>
      <c r="G4838"/>
      <c r="H4838"/>
      <c r="I4838" s="21" t="str">
        <f t="shared" si="151"/>
        <v/>
      </c>
      <c r="L4838" s="24"/>
      <c r="M4838" s="24"/>
    </row>
    <row r="4839" spans="1:13">
      <c r="A4839" s="14" t="str">
        <f t="shared" si="150"/>
        <v/>
      </c>
      <c r="C4839" s="120" t="s">
        <v>128</v>
      </c>
      <c r="D4839"/>
      <c r="E4839"/>
      <c r="F4839"/>
      <c r="G4839"/>
      <c r="H4839"/>
      <c r="I4839" s="21" t="str">
        <f t="shared" si="151"/>
        <v/>
      </c>
      <c r="L4839" s="24"/>
      <c r="M4839" s="24"/>
    </row>
    <row r="4840" spans="1:13">
      <c r="A4840" s="10" t="str">
        <f t="shared" si="150"/>
        <v/>
      </c>
      <c r="C4840" s="120" t="s">
        <v>280</v>
      </c>
      <c r="D4840"/>
      <c r="E4840"/>
      <c r="F4840"/>
      <c r="G4840"/>
      <c r="H4840"/>
      <c r="I4840" s="21" t="str">
        <f t="shared" si="151"/>
        <v/>
      </c>
      <c r="L4840" s="24"/>
      <c r="M4840" s="24"/>
    </row>
    <row r="4841" spans="1:13">
      <c r="A4841" s="14" t="str">
        <f t="shared" si="150"/>
        <v/>
      </c>
      <c r="C4841" s="120" t="s">
        <v>282</v>
      </c>
      <c r="D4841"/>
      <c r="E4841"/>
      <c r="F4841"/>
      <c r="G4841"/>
      <c r="H4841"/>
      <c r="I4841" s="21" t="str">
        <f t="shared" si="151"/>
        <v/>
      </c>
      <c r="L4841" s="24"/>
      <c r="M4841" s="24"/>
    </row>
    <row r="4842" spans="1:13">
      <c r="A4842" s="10" t="str">
        <f t="shared" si="150"/>
        <v/>
      </c>
      <c r="C4842" s="120" t="s">
        <v>284</v>
      </c>
      <c r="D4842"/>
      <c r="E4842"/>
      <c r="F4842"/>
      <c r="G4842"/>
      <c r="H4842"/>
      <c r="I4842" s="21" t="str">
        <f t="shared" si="151"/>
        <v/>
      </c>
      <c r="L4842" s="24"/>
      <c r="M4842" s="24"/>
    </row>
    <row r="4843" spans="1:13">
      <c r="A4843" s="14" t="str">
        <f t="shared" si="150"/>
        <v/>
      </c>
      <c r="C4843" s="120" t="s">
        <v>286</v>
      </c>
      <c r="D4843"/>
      <c r="E4843"/>
      <c r="F4843"/>
      <c r="G4843"/>
      <c r="H4843"/>
      <c r="I4843" s="21" t="str">
        <f t="shared" si="151"/>
        <v/>
      </c>
      <c r="L4843" s="24"/>
      <c r="M4843" s="24"/>
    </row>
    <row r="4844" spans="1:13">
      <c r="A4844" s="10" t="str">
        <f t="shared" si="150"/>
        <v/>
      </c>
      <c r="C4844" s="120" t="s">
        <v>126</v>
      </c>
      <c r="D4844"/>
      <c r="E4844"/>
      <c r="F4844"/>
      <c r="G4844"/>
      <c r="H4844"/>
      <c r="I4844" s="21" t="str">
        <f t="shared" si="151"/>
        <v/>
      </c>
      <c r="L4844" s="24"/>
      <c r="M4844" s="24"/>
    </row>
    <row r="4845" spans="1:13">
      <c r="A4845" s="14" t="str">
        <f t="shared" si="150"/>
        <v/>
      </c>
      <c r="C4845" s="120" t="s">
        <v>128</v>
      </c>
      <c r="D4845"/>
      <c r="E4845"/>
      <c r="F4845"/>
      <c r="G4845"/>
      <c r="H4845"/>
      <c r="I4845" s="21" t="str">
        <f t="shared" si="151"/>
        <v/>
      </c>
      <c r="L4845" s="24"/>
      <c r="M4845" s="24"/>
    </row>
    <row r="4846" spans="1:13">
      <c r="A4846" s="10" t="str">
        <f t="shared" si="150"/>
        <v/>
      </c>
      <c r="C4846" s="120" t="s">
        <v>280</v>
      </c>
      <c r="D4846"/>
      <c r="E4846"/>
      <c r="F4846"/>
      <c r="G4846"/>
      <c r="H4846"/>
      <c r="I4846" s="21" t="str">
        <f t="shared" si="151"/>
        <v/>
      </c>
      <c r="L4846" s="24"/>
      <c r="M4846" s="24"/>
    </row>
    <row r="4847" spans="1:13">
      <c r="A4847" s="14" t="str">
        <f t="shared" si="150"/>
        <v/>
      </c>
      <c r="C4847" s="120" t="s">
        <v>282</v>
      </c>
      <c r="D4847"/>
      <c r="E4847"/>
      <c r="F4847"/>
      <c r="G4847"/>
      <c r="H4847"/>
      <c r="I4847" s="21" t="str">
        <f t="shared" si="151"/>
        <v/>
      </c>
      <c r="L4847" s="24"/>
      <c r="M4847" s="24"/>
    </row>
    <row r="4848" spans="1:13">
      <c r="A4848" s="10" t="str">
        <f t="shared" si="150"/>
        <v/>
      </c>
      <c r="C4848" s="120" t="s">
        <v>284</v>
      </c>
      <c r="D4848"/>
      <c r="E4848"/>
      <c r="F4848"/>
      <c r="G4848"/>
      <c r="H4848"/>
      <c r="I4848" s="21" t="str">
        <f t="shared" si="151"/>
        <v/>
      </c>
      <c r="L4848" s="24"/>
      <c r="M4848" s="24"/>
    </row>
    <row r="4849" spans="1:13">
      <c r="A4849" s="14" t="str">
        <f t="shared" si="150"/>
        <v/>
      </c>
      <c r="C4849" s="120" t="s">
        <v>286</v>
      </c>
      <c r="D4849"/>
      <c r="E4849"/>
      <c r="F4849"/>
      <c r="G4849"/>
      <c r="H4849"/>
      <c r="I4849" s="21" t="str">
        <f t="shared" si="151"/>
        <v/>
      </c>
      <c r="L4849" s="24"/>
      <c r="M4849" s="24"/>
    </row>
    <row r="4850" spans="1:13">
      <c r="A4850" s="10" t="str">
        <f t="shared" si="150"/>
        <v/>
      </c>
      <c r="C4850" s="120" t="s">
        <v>126</v>
      </c>
      <c r="D4850"/>
      <c r="E4850"/>
      <c r="F4850"/>
      <c r="G4850"/>
      <c r="H4850"/>
      <c r="I4850" s="21" t="str">
        <f t="shared" si="151"/>
        <v/>
      </c>
      <c r="L4850" s="24"/>
      <c r="M4850" s="24"/>
    </row>
    <row r="4851" spans="1:13">
      <c r="A4851" s="14" t="str">
        <f t="shared" si="150"/>
        <v/>
      </c>
      <c r="C4851" s="120" t="s">
        <v>128</v>
      </c>
      <c r="D4851"/>
      <c r="E4851"/>
      <c r="F4851"/>
      <c r="G4851"/>
      <c r="H4851"/>
      <c r="I4851" s="21" t="str">
        <f t="shared" si="151"/>
        <v/>
      </c>
      <c r="L4851" s="24"/>
      <c r="M4851" s="24"/>
    </row>
    <row r="4852" spans="1:13">
      <c r="A4852" s="10" t="str">
        <f t="shared" si="150"/>
        <v/>
      </c>
      <c r="C4852" s="120" t="s">
        <v>280</v>
      </c>
      <c r="D4852"/>
      <c r="E4852"/>
      <c r="F4852"/>
      <c r="G4852"/>
      <c r="H4852"/>
      <c r="I4852" s="21" t="str">
        <f t="shared" si="151"/>
        <v/>
      </c>
      <c r="L4852" s="24"/>
      <c r="M4852" s="24"/>
    </row>
    <row r="4853" spans="1:13">
      <c r="A4853" s="14" t="str">
        <f t="shared" si="150"/>
        <v/>
      </c>
      <c r="C4853" s="120" t="s">
        <v>282</v>
      </c>
      <c r="D4853"/>
      <c r="E4853"/>
      <c r="F4853"/>
      <c r="G4853"/>
      <c r="H4853"/>
      <c r="I4853" s="21" t="str">
        <f t="shared" si="151"/>
        <v/>
      </c>
      <c r="L4853" s="24"/>
      <c r="M4853" s="24"/>
    </row>
    <row r="4854" spans="1:13">
      <c r="A4854" s="10" t="str">
        <f t="shared" si="150"/>
        <v/>
      </c>
      <c r="C4854" s="120" t="s">
        <v>284</v>
      </c>
      <c r="D4854"/>
      <c r="E4854"/>
      <c r="F4854"/>
      <c r="G4854"/>
      <c r="H4854"/>
      <c r="I4854" s="21" t="str">
        <f t="shared" si="151"/>
        <v/>
      </c>
      <c r="L4854" s="24"/>
      <c r="M4854" s="24"/>
    </row>
    <row r="4855" spans="1:13">
      <c r="A4855" s="14" t="str">
        <f t="shared" si="150"/>
        <v/>
      </c>
      <c r="C4855" s="120" t="s">
        <v>286</v>
      </c>
      <c r="D4855"/>
      <c r="E4855"/>
      <c r="F4855"/>
      <c r="G4855"/>
      <c r="H4855"/>
      <c r="I4855" s="21" t="str">
        <f t="shared" si="151"/>
        <v/>
      </c>
      <c r="L4855" s="24"/>
      <c r="M4855" s="24"/>
    </row>
    <row r="4856" spans="1:13">
      <c r="A4856" s="10" t="str">
        <f t="shared" si="150"/>
        <v/>
      </c>
      <c r="C4856" s="120" t="s">
        <v>126</v>
      </c>
      <c r="D4856"/>
      <c r="E4856"/>
      <c r="F4856"/>
      <c r="G4856"/>
      <c r="H4856"/>
      <c r="I4856" s="21" t="str">
        <f t="shared" si="151"/>
        <v/>
      </c>
      <c r="L4856" s="24"/>
      <c r="M4856" s="24"/>
    </row>
    <row r="4857" spans="1:13">
      <c r="A4857" s="14" t="str">
        <f t="shared" si="150"/>
        <v/>
      </c>
      <c r="C4857" s="120" t="s">
        <v>128</v>
      </c>
      <c r="D4857"/>
      <c r="E4857"/>
      <c r="F4857"/>
      <c r="G4857"/>
      <c r="H4857"/>
      <c r="I4857" s="21" t="str">
        <f t="shared" si="151"/>
        <v/>
      </c>
      <c r="L4857" s="24"/>
      <c r="M4857" s="24"/>
    </row>
    <row r="4858" spans="1:13">
      <c r="A4858" s="10" t="str">
        <f t="shared" si="150"/>
        <v/>
      </c>
      <c r="C4858" s="120" t="s">
        <v>280</v>
      </c>
      <c r="D4858"/>
      <c r="E4858"/>
      <c r="F4858"/>
      <c r="G4858"/>
      <c r="H4858"/>
      <c r="I4858" s="21" t="str">
        <f t="shared" si="151"/>
        <v/>
      </c>
      <c r="L4858" s="24"/>
      <c r="M4858" s="24"/>
    </row>
    <row r="4859" spans="1:13">
      <c r="A4859" s="14" t="str">
        <f t="shared" si="150"/>
        <v/>
      </c>
      <c r="C4859" s="120" t="s">
        <v>282</v>
      </c>
      <c r="D4859"/>
      <c r="E4859"/>
      <c r="F4859"/>
      <c r="G4859"/>
      <c r="H4859"/>
      <c r="I4859" s="21" t="str">
        <f t="shared" si="151"/>
        <v/>
      </c>
      <c r="L4859" s="24"/>
      <c r="M4859" s="24"/>
    </row>
    <row r="4860" spans="1:13">
      <c r="A4860" s="10" t="str">
        <f t="shared" si="150"/>
        <v/>
      </c>
      <c r="C4860" s="120" t="s">
        <v>284</v>
      </c>
      <c r="D4860"/>
      <c r="E4860"/>
      <c r="F4860"/>
      <c r="G4860"/>
      <c r="H4860"/>
      <c r="I4860" s="21" t="str">
        <f t="shared" si="151"/>
        <v/>
      </c>
      <c r="L4860" s="24"/>
      <c r="M4860" s="24"/>
    </row>
    <row r="4861" spans="1:13">
      <c r="A4861" s="14" t="str">
        <f t="shared" si="150"/>
        <v/>
      </c>
      <c r="C4861" s="120" t="s">
        <v>286</v>
      </c>
      <c r="D4861"/>
      <c r="E4861"/>
      <c r="F4861"/>
      <c r="G4861"/>
      <c r="H4861"/>
      <c r="I4861" s="21" t="str">
        <f t="shared" si="151"/>
        <v/>
      </c>
      <c r="L4861" s="24"/>
      <c r="M4861" s="24"/>
    </row>
    <row r="4862" spans="1:13">
      <c r="A4862" s="10" t="str">
        <f t="shared" si="150"/>
        <v/>
      </c>
      <c r="C4862" s="120" t="s">
        <v>126</v>
      </c>
      <c r="D4862"/>
      <c r="E4862"/>
      <c r="F4862"/>
      <c r="G4862"/>
      <c r="H4862"/>
      <c r="I4862" s="21" t="str">
        <f t="shared" si="151"/>
        <v/>
      </c>
      <c r="L4862" s="24"/>
      <c r="M4862" s="24"/>
    </row>
    <row r="4863" spans="1:13">
      <c r="A4863" s="14" t="str">
        <f t="shared" si="150"/>
        <v/>
      </c>
      <c r="C4863" s="120" t="s">
        <v>128</v>
      </c>
      <c r="D4863"/>
      <c r="E4863"/>
      <c r="F4863"/>
      <c r="G4863"/>
      <c r="H4863"/>
      <c r="I4863" s="21" t="str">
        <f t="shared" si="151"/>
        <v/>
      </c>
      <c r="L4863" s="24"/>
      <c r="M4863" s="24"/>
    </row>
    <row r="4864" spans="1:13">
      <c r="A4864" s="10" t="str">
        <f t="shared" si="150"/>
        <v/>
      </c>
      <c r="C4864" s="120" t="s">
        <v>280</v>
      </c>
      <c r="D4864"/>
      <c r="E4864"/>
      <c r="F4864"/>
      <c r="G4864"/>
      <c r="H4864"/>
      <c r="I4864" s="21" t="str">
        <f t="shared" si="151"/>
        <v/>
      </c>
      <c r="L4864" s="24"/>
      <c r="M4864" s="24"/>
    </row>
    <row r="4865" spans="1:13">
      <c r="A4865" s="14" t="str">
        <f t="shared" si="150"/>
        <v/>
      </c>
      <c r="C4865" s="120" t="s">
        <v>282</v>
      </c>
      <c r="D4865"/>
      <c r="E4865"/>
      <c r="F4865"/>
      <c r="G4865"/>
      <c r="H4865"/>
      <c r="I4865" s="21" t="str">
        <f t="shared" si="151"/>
        <v/>
      </c>
      <c r="L4865" s="24"/>
      <c r="M4865" s="24"/>
    </row>
    <row r="4866" spans="1:13">
      <c r="A4866" s="10" t="str">
        <f t="shared" ref="A4866:A4929" si="152">IF(B4866&lt;&gt;"",ROW()-1,"")</f>
        <v/>
      </c>
      <c r="C4866" s="120" t="s">
        <v>284</v>
      </c>
      <c r="D4866"/>
      <c r="E4866"/>
      <c r="F4866"/>
      <c r="G4866"/>
      <c r="H4866"/>
      <c r="I4866" s="21" t="str">
        <f t="shared" ref="I4866:I4929" si="153">IF(AND(G4866&lt;&gt;"",H4866&lt;&gt;""),H4866-G4866,"")</f>
        <v/>
      </c>
      <c r="L4866" s="24"/>
      <c r="M4866" s="24"/>
    </row>
    <row r="4867" spans="1:13">
      <c r="A4867" s="14" t="str">
        <f t="shared" si="152"/>
        <v/>
      </c>
      <c r="C4867" s="120" t="s">
        <v>286</v>
      </c>
      <c r="D4867"/>
      <c r="E4867"/>
      <c r="F4867"/>
      <c r="G4867"/>
      <c r="H4867"/>
      <c r="I4867" s="21" t="str">
        <f t="shared" si="153"/>
        <v/>
      </c>
      <c r="L4867" s="24"/>
      <c r="M4867" s="24"/>
    </row>
    <row r="4868" spans="1:13">
      <c r="A4868" s="10" t="str">
        <f t="shared" si="152"/>
        <v/>
      </c>
      <c r="C4868" s="120" t="s">
        <v>126</v>
      </c>
      <c r="D4868"/>
      <c r="E4868"/>
      <c r="F4868"/>
      <c r="G4868"/>
      <c r="H4868"/>
      <c r="I4868" s="21" t="str">
        <f t="shared" si="153"/>
        <v/>
      </c>
      <c r="L4868" s="24"/>
      <c r="M4868" s="24"/>
    </row>
    <row r="4869" spans="1:13">
      <c r="A4869" s="14" t="str">
        <f t="shared" si="152"/>
        <v/>
      </c>
      <c r="C4869" s="120" t="s">
        <v>128</v>
      </c>
      <c r="D4869"/>
      <c r="E4869"/>
      <c r="F4869"/>
      <c r="G4869"/>
      <c r="H4869"/>
      <c r="I4869" s="21" t="str">
        <f t="shared" si="153"/>
        <v/>
      </c>
      <c r="L4869" s="24"/>
      <c r="M4869" s="24"/>
    </row>
    <row r="4870" spans="1:13">
      <c r="A4870" s="10" t="str">
        <f t="shared" si="152"/>
        <v/>
      </c>
      <c r="C4870" s="120" t="s">
        <v>280</v>
      </c>
      <c r="D4870"/>
      <c r="E4870"/>
      <c r="F4870"/>
      <c r="G4870"/>
      <c r="H4870"/>
      <c r="I4870" s="21" t="str">
        <f t="shared" si="153"/>
        <v/>
      </c>
      <c r="L4870" s="24"/>
      <c r="M4870" s="24"/>
    </row>
    <row r="4871" spans="1:13">
      <c r="A4871" s="14" t="str">
        <f t="shared" si="152"/>
        <v/>
      </c>
      <c r="C4871" s="120" t="s">
        <v>282</v>
      </c>
      <c r="D4871"/>
      <c r="E4871"/>
      <c r="F4871"/>
      <c r="G4871"/>
      <c r="H4871"/>
      <c r="I4871" s="21" t="str">
        <f t="shared" si="153"/>
        <v/>
      </c>
      <c r="L4871" s="24"/>
      <c r="M4871" s="24"/>
    </row>
    <row r="4872" spans="1:13">
      <c r="A4872" s="10" t="str">
        <f t="shared" si="152"/>
        <v/>
      </c>
      <c r="C4872" s="120" t="s">
        <v>284</v>
      </c>
      <c r="D4872"/>
      <c r="E4872"/>
      <c r="F4872"/>
      <c r="G4872"/>
      <c r="H4872"/>
      <c r="I4872" s="21" t="str">
        <f t="shared" si="153"/>
        <v/>
      </c>
      <c r="L4872" s="24"/>
      <c r="M4872" s="24"/>
    </row>
    <row r="4873" spans="1:13">
      <c r="A4873" s="14" t="str">
        <f t="shared" si="152"/>
        <v/>
      </c>
      <c r="C4873" s="120" t="s">
        <v>286</v>
      </c>
      <c r="D4873"/>
      <c r="E4873"/>
      <c r="F4873"/>
      <c r="G4873"/>
      <c r="H4873"/>
      <c r="I4873" s="21" t="str">
        <f t="shared" si="153"/>
        <v/>
      </c>
      <c r="L4873" s="24"/>
      <c r="M4873" s="24"/>
    </row>
    <row r="4874" spans="1:13">
      <c r="A4874" s="10" t="str">
        <f t="shared" si="152"/>
        <v/>
      </c>
      <c r="C4874" s="120" t="s">
        <v>126</v>
      </c>
      <c r="D4874"/>
      <c r="E4874"/>
      <c r="F4874"/>
      <c r="G4874"/>
      <c r="H4874"/>
      <c r="I4874" s="21" t="str">
        <f t="shared" si="153"/>
        <v/>
      </c>
      <c r="L4874" s="24"/>
      <c r="M4874" s="24"/>
    </row>
    <row r="4875" spans="1:13">
      <c r="A4875" s="14" t="str">
        <f t="shared" si="152"/>
        <v/>
      </c>
      <c r="C4875" s="120" t="s">
        <v>128</v>
      </c>
      <c r="D4875"/>
      <c r="E4875"/>
      <c r="F4875"/>
      <c r="G4875"/>
      <c r="H4875"/>
      <c r="I4875" s="21" t="str">
        <f t="shared" si="153"/>
        <v/>
      </c>
      <c r="L4875" s="24"/>
      <c r="M4875" s="24"/>
    </row>
    <row r="4876" spans="1:13">
      <c r="A4876" s="10" t="str">
        <f t="shared" si="152"/>
        <v/>
      </c>
      <c r="C4876" s="120" t="s">
        <v>280</v>
      </c>
      <c r="D4876"/>
      <c r="E4876"/>
      <c r="F4876"/>
      <c r="G4876"/>
      <c r="H4876"/>
      <c r="I4876" s="21" t="str">
        <f t="shared" si="153"/>
        <v/>
      </c>
      <c r="L4876" s="24"/>
      <c r="M4876" s="24"/>
    </row>
    <row r="4877" spans="1:13">
      <c r="A4877" s="14" t="str">
        <f t="shared" si="152"/>
        <v/>
      </c>
      <c r="C4877" s="120" t="s">
        <v>282</v>
      </c>
      <c r="D4877"/>
      <c r="E4877"/>
      <c r="F4877"/>
      <c r="G4877"/>
      <c r="H4877"/>
      <c r="I4877" s="21" t="str">
        <f t="shared" si="153"/>
        <v/>
      </c>
      <c r="L4877" s="24"/>
      <c r="M4877" s="24"/>
    </row>
    <row r="4878" spans="1:13">
      <c r="A4878" s="10" t="str">
        <f t="shared" si="152"/>
        <v/>
      </c>
      <c r="C4878" s="120" t="s">
        <v>284</v>
      </c>
      <c r="D4878"/>
      <c r="E4878"/>
      <c r="F4878"/>
      <c r="G4878"/>
      <c r="H4878"/>
      <c r="I4878" s="21" t="str">
        <f t="shared" si="153"/>
        <v/>
      </c>
      <c r="L4878" s="24"/>
      <c r="M4878" s="24"/>
    </row>
    <row r="4879" spans="1:13">
      <c r="A4879" s="14" t="str">
        <f t="shared" si="152"/>
        <v/>
      </c>
      <c r="C4879" s="120" t="s">
        <v>286</v>
      </c>
      <c r="D4879"/>
      <c r="E4879"/>
      <c r="F4879"/>
      <c r="G4879"/>
      <c r="H4879"/>
      <c r="I4879" s="21" t="str">
        <f t="shared" si="153"/>
        <v/>
      </c>
      <c r="L4879" s="24"/>
      <c r="M4879" s="24"/>
    </row>
    <row r="4880" spans="1:13">
      <c r="A4880" s="10" t="str">
        <f t="shared" si="152"/>
        <v/>
      </c>
      <c r="C4880" s="120" t="s">
        <v>126</v>
      </c>
      <c r="D4880"/>
      <c r="E4880"/>
      <c r="F4880"/>
      <c r="G4880"/>
      <c r="H4880"/>
      <c r="I4880" s="21" t="str">
        <f t="shared" si="153"/>
        <v/>
      </c>
      <c r="L4880" s="24"/>
      <c r="M4880" s="24"/>
    </row>
    <row r="4881" spans="1:13">
      <c r="A4881" s="14" t="str">
        <f t="shared" si="152"/>
        <v/>
      </c>
      <c r="C4881" s="120" t="s">
        <v>128</v>
      </c>
      <c r="D4881"/>
      <c r="E4881"/>
      <c r="F4881"/>
      <c r="G4881"/>
      <c r="H4881"/>
      <c r="I4881" s="21" t="str">
        <f t="shared" si="153"/>
        <v/>
      </c>
      <c r="L4881" s="24"/>
      <c r="M4881" s="24"/>
    </row>
    <row r="4882" spans="1:13">
      <c r="A4882" s="10" t="str">
        <f t="shared" si="152"/>
        <v/>
      </c>
      <c r="C4882" s="120" t="s">
        <v>280</v>
      </c>
      <c r="D4882"/>
      <c r="E4882"/>
      <c r="F4882"/>
      <c r="G4882"/>
      <c r="H4882"/>
      <c r="I4882" s="21" t="str">
        <f t="shared" si="153"/>
        <v/>
      </c>
      <c r="L4882" s="24"/>
      <c r="M4882" s="24"/>
    </row>
    <row r="4883" spans="1:13">
      <c r="A4883" s="14" t="str">
        <f t="shared" si="152"/>
        <v/>
      </c>
      <c r="C4883" s="120" t="s">
        <v>282</v>
      </c>
      <c r="D4883"/>
      <c r="E4883"/>
      <c r="F4883"/>
      <c r="G4883"/>
      <c r="H4883"/>
      <c r="I4883" s="21" t="str">
        <f t="shared" si="153"/>
        <v/>
      </c>
      <c r="L4883" s="24"/>
      <c r="M4883" s="24"/>
    </row>
    <row r="4884" spans="1:13">
      <c r="A4884" s="10" t="str">
        <f t="shared" si="152"/>
        <v/>
      </c>
      <c r="C4884" s="120" t="s">
        <v>284</v>
      </c>
      <c r="D4884"/>
      <c r="E4884"/>
      <c r="F4884"/>
      <c r="G4884"/>
      <c r="H4884"/>
      <c r="I4884" s="21" t="str">
        <f t="shared" si="153"/>
        <v/>
      </c>
      <c r="L4884" s="24"/>
      <c r="M4884" s="24"/>
    </row>
    <row r="4885" spans="1:13">
      <c r="A4885" s="14" t="str">
        <f t="shared" si="152"/>
        <v/>
      </c>
      <c r="C4885" s="120" t="s">
        <v>286</v>
      </c>
      <c r="D4885"/>
      <c r="E4885"/>
      <c r="F4885"/>
      <c r="G4885"/>
      <c r="H4885"/>
      <c r="I4885" s="21" t="str">
        <f t="shared" si="153"/>
        <v/>
      </c>
      <c r="L4885" s="24"/>
      <c r="M4885" s="24"/>
    </row>
    <row r="4886" spans="1:13">
      <c r="A4886" s="10" t="str">
        <f t="shared" si="152"/>
        <v/>
      </c>
      <c r="C4886" s="120" t="s">
        <v>126</v>
      </c>
      <c r="D4886"/>
      <c r="E4886"/>
      <c r="F4886"/>
      <c r="G4886"/>
      <c r="H4886"/>
      <c r="I4886" s="21" t="str">
        <f t="shared" si="153"/>
        <v/>
      </c>
      <c r="L4886" s="24"/>
      <c r="M4886" s="24"/>
    </row>
    <row r="4887" spans="1:13">
      <c r="A4887" s="14" t="str">
        <f t="shared" si="152"/>
        <v/>
      </c>
      <c r="C4887" s="120" t="s">
        <v>128</v>
      </c>
      <c r="D4887"/>
      <c r="E4887"/>
      <c r="F4887"/>
      <c r="G4887"/>
      <c r="H4887"/>
      <c r="I4887" s="21" t="str">
        <f t="shared" si="153"/>
        <v/>
      </c>
      <c r="L4887" s="24"/>
      <c r="M4887" s="24"/>
    </row>
    <row r="4888" spans="1:13">
      <c r="A4888" s="10" t="str">
        <f t="shared" si="152"/>
        <v/>
      </c>
      <c r="C4888" s="120" t="s">
        <v>280</v>
      </c>
      <c r="D4888"/>
      <c r="E4888"/>
      <c r="F4888"/>
      <c r="G4888"/>
      <c r="H4888"/>
      <c r="I4888" s="21" t="str">
        <f t="shared" si="153"/>
        <v/>
      </c>
      <c r="L4888" s="24"/>
      <c r="M4888" s="24"/>
    </row>
    <row r="4889" spans="1:13">
      <c r="A4889" s="14" t="str">
        <f t="shared" si="152"/>
        <v/>
      </c>
      <c r="C4889" s="120" t="s">
        <v>282</v>
      </c>
      <c r="D4889"/>
      <c r="E4889"/>
      <c r="F4889"/>
      <c r="G4889"/>
      <c r="H4889"/>
      <c r="I4889" s="21" t="str">
        <f t="shared" si="153"/>
        <v/>
      </c>
      <c r="L4889" s="24"/>
      <c r="M4889" s="24"/>
    </row>
    <row r="4890" spans="1:13">
      <c r="A4890" s="10" t="str">
        <f t="shared" si="152"/>
        <v/>
      </c>
      <c r="C4890" s="120" t="s">
        <v>284</v>
      </c>
      <c r="D4890"/>
      <c r="E4890"/>
      <c r="F4890"/>
      <c r="G4890"/>
      <c r="H4890"/>
      <c r="I4890" s="21" t="str">
        <f t="shared" si="153"/>
        <v/>
      </c>
      <c r="L4890" s="24"/>
      <c r="M4890" s="24"/>
    </row>
    <row r="4891" spans="1:13">
      <c r="A4891" s="14" t="str">
        <f t="shared" si="152"/>
        <v/>
      </c>
      <c r="C4891" s="120" t="s">
        <v>286</v>
      </c>
      <c r="D4891"/>
      <c r="E4891"/>
      <c r="F4891"/>
      <c r="G4891"/>
      <c r="H4891"/>
      <c r="I4891" s="21" t="str">
        <f t="shared" si="153"/>
        <v/>
      </c>
      <c r="L4891" s="24"/>
      <c r="M4891" s="24"/>
    </row>
    <row r="4892" spans="1:13">
      <c r="A4892" s="10" t="str">
        <f t="shared" si="152"/>
        <v/>
      </c>
      <c r="C4892" s="120" t="s">
        <v>126</v>
      </c>
      <c r="D4892"/>
      <c r="E4892"/>
      <c r="F4892"/>
      <c r="G4892"/>
      <c r="H4892"/>
      <c r="I4892" s="21" t="str">
        <f t="shared" si="153"/>
        <v/>
      </c>
      <c r="L4892" s="24"/>
      <c r="M4892" s="24"/>
    </row>
    <row r="4893" spans="1:13">
      <c r="A4893" s="14" t="str">
        <f t="shared" si="152"/>
        <v/>
      </c>
      <c r="C4893" s="120" t="s">
        <v>128</v>
      </c>
      <c r="D4893"/>
      <c r="E4893"/>
      <c r="F4893"/>
      <c r="G4893"/>
      <c r="H4893"/>
      <c r="I4893" s="21" t="str">
        <f t="shared" si="153"/>
        <v/>
      </c>
      <c r="L4893" s="24"/>
      <c r="M4893" s="24"/>
    </row>
    <row r="4894" spans="1:13">
      <c r="A4894" s="10" t="str">
        <f t="shared" si="152"/>
        <v/>
      </c>
      <c r="C4894" s="120" t="s">
        <v>280</v>
      </c>
      <c r="D4894"/>
      <c r="E4894"/>
      <c r="F4894"/>
      <c r="G4894"/>
      <c r="H4894"/>
      <c r="I4894" s="21" t="str">
        <f t="shared" si="153"/>
        <v/>
      </c>
      <c r="L4894" s="24"/>
      <c r="M4894" s="24"/>
    </row>
    <row r="4895" spans="1:13">
      <c r="A4895" s="14" t="str">
        <f t="shared" si="152"/>
        <v/>
      </c>
      <c r="C4895" s="120" t="s">
        <v>282</v>
      </c>
      <c r="D4895"/>
      <c r="E4895"/>
      <c r="F4895"/>
      <c r="G4895"/>
      <c r="H4895"/>
      <c r="I4895" s="21" t="str">
        <f t="shared" si="153"/>
        <v/>
      </c>
      <c r="L4895" s="24"/>
      <c r="M4895" s="24"/>
    </row>
    <row r="4896" spans="1:13">
      <c r="A4896" s="10" t="str">
        <f t="shared" si="152"/>
        <v/>
      </c>
      <c r="C4896" s="120" t="s">
        <v>284</v>
      </c>
      <c r="D4896"/>
      <c r="E4896"/>
      <c r="F4896"/>
      <c r="G4896"/>
      <c r="H4896"/>
      <c r="I4896" s="21" t="str">
        <f t="shared" si="153"/>
        <v/>
      </c>
      <c r="L4896" s="24"/>
      <c r="M4896" s="24"/>
    </row>
    <row r="4897" spans="1:13">
      <c r="A4897" s="14" t="str">
        <f t="shared" si="152"/>
        <v/>
      </c>
      <c r="C4897" s="120" t="s">
        <v>286</v>
      </c>
      <c r="D4897"/>
      <c r="E4897"/>
      <c r="F4897"/>
      <c r="G4897"/>
      <c r="H4897"/>
      <c r="I4897" s="21" t="str">
        <f t="shared" si="153"/>
        <v/>
      </c>
      <c r="L4897" s="24"/>
      <c r="M4897" s="24"/>
    </row>
    <row r="4898" spans="1:13">
      <c r="A4898" s="10" t="str">
        <f t="shared" si="152"/>
        <v/>
      </c>
      <c r="C4898" s="120" t="s">
        <v>126</v>
      </c>
      <c r="D4898"/>
      <c r="E4898"/>
      <c r="F4898"/>
      <c r="G4898"/>
      <c r="H4898"/>
      <c r="I4898" s="21" t="str">
        <f t="shared" si="153"/>
        <v/>
      </c>
      <c r="L4898" s="24"/>
      <c r="M4898" s="24"/>
    </row>
    <row r="4899" spans="1:13">
      <c r="A4899" s="14" t="str">
        <f t="shared" si="152"/>
        <v/>
      </c>
      <c r="C4899" s="120" t="s">
        <v>128</v>
      </c>
      <c r="D4899"/>
      <c r="E4899"/>
      <c r="F4899"/>
      <c r="G4899"/>
      <c r="H4899"/>
      <c r="I4899" s="21" t="str">
        <f t="shared" si="153"/>
        <v/>
      </c>
      <c r="L4899" s="24"/>
      <c r="M4899" s="24"/>
    </row>
    <row r="4900" spans="1:13">
      <c r="A4900" s="10" t="str">
        <f t="shared" si="152"/>
        <v/>
      </c>
      <c r="C4900" s="120" t="s">
        <v>280</v>
      </c>
      <c r="D4900"/>
      <c r="E4900"/>
      <c r="F4900"/>
      <c r="G4900"/>
      <c r="H4900"/>
      <c r="I4900" s="21" t="str">
        <f t="shared" si="153"/>
        <v/>
      </c>
      <c r="L4900" s="24"/>
      <c r="M4900" s="24"/>
    </row>
    <row r="4901" spans="1:13">
      <c r="A4901" s="14" t="str">
        <f t="shared" si="152"/>
        <v/>
      </c>
      <c r="C4901" s="120" t="s">
        <v>282</v>
      </c>
      <c r="D4901"/>
      <c r="E4901"/>
      <c r="F4901"/>
      <c r="G4901"/>
      <c r="H4901"/>
      <c r="I4901" s="21" t="str">
        <f t="shared" si="153"/>
        <v/>
      </c>
      <c r="L4901" s="24"/>
      <c r="M4901" s="24"/>
    </row>
    <row r="4902" spans="1:13">
      <c r="A4902" s="10" t="str">
        <f t="shared" si="152"/>
        <v/>
      </c>
      <c r="C4902" s="120" t="s">
        <v>284</v>
      </c>
      <c r="D4902"/>
      <c r="E4902"/>
      <c r="F4902"/>
      <c r="G4902"/>
      <c r="H4902"/>
      <c r="I4902" s="21" t="str">
        <f t="shared" si="153"/>
        <v/>
      </c>
      <c r="L4902" s="24"/>
      <c r="M4902" s="24"/>
    </row>
    <row r="4903" spans="1:13">
      <c r="A4903" s="14" t="str">
        <f t="shared" si="152"/>
        <v/>
      </c>
      <c r="C4903" s="120" t="s">
        <v>286</v>
      </c>
      <c r="D4903"/>
      <c r="E4903"/>
      <c r="F4903"/>
      <c r="G4903"/>
      <c r="H4903"/>
      <c r="I4903" s="21" t="str">
        <f t="shared" si="153"/>
        <v/>
      </c>
      <c r="L4903" s="24"/>
      <c r="M4903" s="24"/>
    </row>
    <row r="4904" spans="1:13">
      <c r="A4904" s="10" t="str">
        <f t="shared" si="152"/>
        <v/>
      </c>
      <c r="C4904" s="120" t="s">
        <v>126</v>
      </c>
      <c r="D4904"/>
      <c r="E4904"/>
      <c r="F4904"/>
      <c r="G4904"/>
      <c r="H4904"/>
      <c r="I4904" s="21" t="str">
        <f t="shared" si="153"/>
        <v/>
      </c>
      <c r="L4904" s="24"/>
      <c r="M4904" s="24"/>
    </row>
    <row r="4905" spans="1:13">
      <c r="A4905" s="14" t="str">
        <f t="shared" si="152"/>
        <v/>
      </c>
      <c r="C4905" s="120" t="s">
        <v>128</v>
      </c>
      <c r="D4905"/>
      <c r="E4905"/>
      <c r="F4905"/>
      <c r="G4905"/>
      <c r="H4905"/>
      <c r="I4905" s="21" t="str">
        <f t="shared" si="153"/>
        <v/>
      </c>
      <c r="L4905" s="24"/>
      <c r="M4905" s="24"/>
    </row>
    <row r="4906" spans="1:13">
      <c r="A4906" s="10" t="str">
        <f t="shared" si="152"/>
        <v/>
      </c>
      <c r="C4906" s="120" t="s">
        <v>280</v>
      </c>
      <c r="D4906"/>
      <c r="E4906"/>
      <c r="F4906"/>
      <c r="G4906"/>
      <c r="H4906"/>
      <c r="I4906" s="21" t="str">
        <f t="shared" si="153"/>
        <v/>
      </c>
      <c r="L4906" s="24"/>
      <c r="M4906" s="24"/>
    </row>
    <row r="4907" spans="1:13">
      <c r="A4907" s="14" t="str">
        <f t="shared" si="152"/>
        <v/>
      </c>
      <c r="C4907" s="120" t="s">
        <v>282</v>
      </c>
      <c r="D4907"/>
      <c r="E4907"/>
      <c r="F4907"/>
      <c r="G4907"/>
      <c r="H4907"/>
      <c r="I4907" s="21" t="str">
        <f t="shared" si="153"/>
        <v/>
      </c>
      <c r="L4907" s="24"/>
      <c r="M4907" s="24"/>
    </row>
    <row r="4908" spans="1:13">
      <c r="A4908" s="10" t="str">
        <f t="shared" si="152"/>
        <v/>
      </c>
      <c r="C4908" s="120" t="s">
        <v>284</v>
      </c>
      <c r="D4908"/>
      <c r="E4908"/>
      <c r="F4908"/>
      <c r="G4908"/>
      <c r="H4908"/>
      <c r="I4908" s="21" t="str">
        <f t="shared" si="153"/>
        <v/>
      </c>
      <c r="L4908" s="24"/>
      <c r="M4908" s="24"/>
    </row>
    <row r="4909" spans="1:13">
      <c r="A4909" s="14" t="str">
        <f t="shared" si="152"/>
        <v/>
      </c>
      <c r="C4909" s="120" t="s">
        <v>286</v>
      </c>
      <c r="D4909"/>
      <c r="E4909"/>
      <c r="F4909"/>
      <c r="G4909"/>
      <c r="H4909"/>
      <c r="I4909" s="21" t="str">
        <f t="shared" si="153"/>
        <v/>
      </c>
      <c r="L4909" s="24"/>
      <c r="M4909" s="24"/>
    </row>
    <row r="4910" spans="1:13">
      <c r="A4910" s="10" t="str">
        <f t="shared" si="152"/>
        <v/>
      </c>
      <c r="C4910" s="120" t="s">
        <v>126</v>
      </c>
      <c r="D4910"/>
      <c r="E4910"/>
      <c r="F4910"/>
      <c r="G4910"/>
      <c r="H4910"/>
      <c r="I4910" s="21" t="str">
        <f t="shared" si="153"/>
        <v/>
      </c>
      <c r="L4910" s="24"/>
      <c r="M4910" s="24"/>
    </row>
    <row r="4911" spans="1:13">
      <c r="A4911" s="14" t="str">
        <f t="shared" si="152"/>
        <v/>
      </c>
      <c r="C4911" s="120" t="s">
        <v>128</v>
      </c>
      <c r="D4911"/>
      <c r="E4911"/>
      <c r="F4911"/>
      <c r="G4911"/>
      <c r="H4911"/>
      <c r="I4911" s="21" t="str">
        <f t="shared" si="153"/>
        <v/>
      </c>
      <c r="L4911" s="24"/>
      <c r="M4911" s="24"/>
    </row>
    <row r="4912" spans="1:13">
      <c r="A4912" s="10" t="str">
        <f t="shared" si="152"/>
        <v/>
      </c>
      <c r="C4912" s="120" t="s">
        <v>280</v>
      </c>
      <c r="D4912"/>
      <c r="E4912"/>
      <c r="F4912"/>
      <c r="G4912"/>
      <c r="H4912"/>
      <c r="I4912" s="21" t="str">
        <f t="shared" si="153"/>
        <v/>
      </c>
      <c r="L4912" s="24"/>
      <c r="M4912" s="24"/>
    </row>
    <row r="4913" spans="1:13">
      <c r="A4913" s="14" t="str">
        <f t="shared" si="152"/>
        <v/>
      </c>
      <c r="C4913" s="120" t="s">
        <v>282</v>
      </c>
      <c r="D4913"/>
      <c r="E4913"/>
      <c r="F4913"/>
      <c r="G4913"/>
      <c r="H4913"/>
      <c r="I4913" s="21" t="str">
        <f t="shared" si="153"/>
        <v/>
      </c>
      <c r="L4913" s="24"/>
      <c r="M4913" s="24"/>
    </row>
    <row r="4914" spans="1:13">
      <c r="A4914" s="10" t="str">
        <f t="shared" si="152"/>
        <v/>
      </c>
      <c r="C4914" s="120" t="s">
        <v>284</v>
      </c>
      <c r="D4914"/>
      <c r="E4914"/>
      <c r="F4914"/>
      <c r="G4914"/>
      <c r="H4914"/>
      <c r="I4914" s="21" t="str">
        <f t="shared" si="153"/>
        <v/>
      </c>
      <c r="L4914" s="24"/>
      <c r="M4914" s="24"/>
    </row>
    <row r="4915" spans="1:13">
      <c r="A4915" s="14" t="str">
        <f t="shared" si="152"/>
        <v/>
      </c>
      <c r="C4915" s="120" t="s">
        <v>286</v>
      </c>
      <c r="D4915"/>
      <c r="E4915"/>
      <c r="F4915"/>
      <c r="G4915"/>
      <c r="H4915"/>
      <c r="I4915" s="21" t="str">
        <f t="shared" si="153"/>
        <v/>
      </c>
      <c r="L4915" s="24"/>
      <c r="M4915" s="24"/>
    </row>
    <row r="4916" spans="1:13">
      <c r="A4916" s="10" t="str">
        <f t="shared" si="152"/>
        <v/>
      </c>
      <c r="C4916" s="120" t="s">
        <v>126</v>
      </c>
      <c r="D4916"/>
      <c r="E4916"/>
      <c r="F4916"/>
      <c r="G4916"/>
      <c r="H4916"/>
      <c r="I4916" s="21" t="str">
        <f t="shared" si="153"/>
        <v/>
      </c>
      <c r="L4916" s="24"/>
      <c r="M4916" s="24"/>
    </row>
    <row r="4917" spans="1:13">
      <c r="A4917" s="14" t="str">
        <f t="shared" si="152"/>
        <v/>
      </c>
      <c r="C4917" s="120" t="s">
        <v>128</v>
      </c>
      <c r="D4917"/>
      <c r="E4917"/>
      <c r="F4917"/>
      <c r="G4917"/>
      <c r="H4917"/>
      <c r="I4917" s="21" t="str">
        <f t="shared" si="153"/>
        <v/>
      </c>
      <c r="L4917" s="24"/>
      <c r="M4917" s="24"/>
    </row>
    <row r="4918" spans="1:13">
      <c r="A4918" s="10" t="str">
        <f t="shared" si="152"/>
        <v/>
      </c>
      <c r="C4918" s="120" t="s">
        <v>280</v>
      </c>
      <c r="D4918"/>
      <c r="E4918"/>
      <c r="F4918"/>
      <c r="G4918"/>
      <c r="H4918"/>
      <c r="I4918" s="21" t="str">
        <f t="shared" si="153"/>
        <v/>
      </c>
      <c r="L4918" s="24"/>
      <c r="M4918" s="24"/>
    </row>
    <row r="4919" spans="1:13">
      <c r="A4919" s="14" t="str">
        <f t="shared" si="152"/>
        <v/>
      </c>
      <c r="C4919" s="120" t="s">
        <v>282</v>
      </c>
      <c r="D4919"/>
      <c r="E4919"/>
      <c r="F4919"/>
      <c r="G4919"/>
      <c r="H4919"/>
      <c r="I4919" s="21" t="str">
        <f t="shared" si="153"/>
        <v/>
      </c>
      <c r="L4919" s="24"/>
      <c r="M4919" s="24"/>
    </row>
    <row r="4920" spans="1:13">
      <c r="A4920" s="10" t="str">
        <f t="shared" si="152"/>
        <v/>
      </c>
      <c r="C4920" s="120" t="s">
        <v>284</v>
      </c>
      <c r="D4920"/>
      <c r="E4920"/>
      <c r="F4920"/>
      <c r="G4920"/>
      <c r="H4920"/>
      <c r="I4920" s="21" t="str">
        <f t="shared" si="153"/>
        <v/>
      </c>
      <c r="L4920" s="24"/>
      <c r="M4920" s="24"/>
    </row>
    <row r="4921" spans="1:13">
      <c r="A4921" s="14" t="str">
        <f t="shared" si="152"/>
        <v/>
      </c>
      <c r="C4921" s="120" t="s">
        <v>286</v>
      </c>
      <c r="D4921"/>
      <c r="E4921"/>
      <c r="F4921"/>
      <c r="G4921"/>
      <c r="H4921"/>
      <c r="I4921" s="21" t="str">
        <f t="shared" si="153"/>
        <v/>
      </c>
      <c r="L4921" s="24"/>
      <c r="M4921" s="24"/>
    </row>
    <row r="4922" spans="1:13">
      <c r="A4922" s="10" t="str">
        <f t="shared" si="152"/>
        <v/>
      </c>
      <c r="C4922" s="120" t="s">
        <v>126</v>
      </c>
      <c r="D4922"/>
      <c r="E4922"/>
      <c r="F4922"/>
      <c r="G4922"/>
      <c r="H4922"/>
      <c r="I4922" s="21" t="str">
        <f t="shared" si="153"/>
        <v/>
      </c>
      <c r="L4922" s="24"/>
      <c r="M4922" s="24"/>
    </row>
    <row r="4923" spans="1:13">
      <c r="A4923" s="14" t="str">
        <f t="shared" si="152"/>
        <v/>
      </c>
      <c r="C4923" s="120" t="s">
        <v>128</v>
      </c>
      <c r="D4923"/>
      <c r="E4923"/>
      <c r="F4923"/>
      <c r="G4923"/>
      <c r="H4923"/>
      <c r="I4923" s="21" t="str">
        <f t="shared" si="153"/>
        <v/>
      </c>
      <c r="L4923" s="24"/>
      <c r="M4923" s="24"/>
    </row>
    <row r="4924" spans="1:13">
      <c r="A4924" s="10" t="str">
        <f t="shared" si="152"/>
        <v/>
      </c>
      <c r="C4924" s="120" t="s">
        <v>280</v>
      </c>
      <c r="D4924"/>
      <c r="E4924"/>
      <c r="F4924"/>
      <c r="G4924"/>
      <c r="H4924"/>
      <c r="I4924" s="21" t="str">
        <f t="shared" si="153"/>
        <v/>
      </c>
      <c r="L4924" s="24"/>
      <c r="M4924" s="24"/>
    </row>
    <row r="4925" spans="1:13">
      <c r="A4925" s="14" t="str">
        <f t="shared" si="152"/>
        <v/>
      </c>
      <c r="C4925" s="120" t="s">
        <v>282</v>
      </c>
      <c r="D4925"/>
      <c r="E4925"/>
      <c r="F4925"/>
      <c r="G4925"/>
      <c r="H4925"/>
      <c r="I4925" s="21" t="str">
        <f t="shared" si="153"/>
        <v/>
      </c>
      <c r="L4925" s="24"/>
      <c r="M4925" s="24"/>
    </row>
    <row r="4926" spans="1:13">
      <c r="A4926" s="10" t="str">
        <f t="shared" si="152"/>
        <v/>
      </c>
      <c r="C4926" s="120" t="s">
        <v>284</v>
      </c>
      <c r="D4926"/>
      <c r="E4926"/>
      <c r="F4926"/>
      <c r="G4926"/>
      <c r="H4926"/>
      <c r="I4926" s="21" t="str">
        <f t="shared" si="153"/>
        <v/>
      </c>
      <c r="L4926" s="24"/>
      <c r="M4926" s="24"/>
    </row>
    <row r="4927" spans="1:13">
      <c r="A4927" s="14" t="str">
        <f t="shared" si="152"/>
        <v/>
      </c>
      <c r="C4927" s="120" t="s">
        <v>286</v>
      </c>
      <c r="D4927"/>
      <c r="E4927"/>
      <c r="F4927"/>
      <c r="G4927"/>
      <c r="H4927"/>
      <c r="I4927" s="21" t="str">
        <f t="shared" si="153"/>
        <v/>
      </c>
      <c r="L4927" s="24"/>
      <c r="M4927" s="24"/>
    </row>
    <row r="4928" spans="1:13">
      <c r="A4928" s="10" t="str">
        <f t="shared" si="152"/>
        <v/>
      </c>
      <c r="C4928" s="120" t="s">
        <v>126</v>
      </c>
      <c r="D4928"/>
      <c r="E4928"/>
      <c r="F4928"/>
      <c r="G4928"/>
      <c r="H4928"/>
      <c r="I4928" s="21" t="str">
        <f t="shared" si="153"/>
        <v/>
      </c>
      <c r="L4928" s="24"/>
      <c r="M4928" s="24"/>
    </row>
    <row r="4929" spans="1:13">
      <c r="A4929" s="14" t="str">
        <f t="shared" si="152"/>
        <v/>
      </c>
      <c r="C4929" s="120" t="s">
        <v>128</v>
      </c>
      <c r="D4929"/>
      <c r="E4929"/>
      <c r="F4929"/>
      <c r="G4929"/>
      <c r="H4929"/>
      <c r="I4929" s="21" t="str">
        <f t="shared" si="153"/>
        <v/>
      </c>
      <c r="L4929" s="24"/>
      <c r="M4929" s="24"/>
    </row>
    <row r="4930" spans="1:13">
      <c r="A4930" s="10" t="str">
        <f t="shared" ref="A4930:A4993" si="154">IF(B4930&lt;&gt;"",ROW()-1,"")</f>
        <v/>
      </c>
      <c r="C4930" s="120" t="s">
        <v>280</v>
      </c>
      <c r="D4930"/>
      <c r="E4930"/>
      <c r="F4930"/>
      <c r="G4930"/>
      <c r="H4930"/>
      <c r="I4930" s="21" t="str">
        <f t="shared" ref="I4930:I4993" si="155">IF(AND(G4930&lt;&gt;"",H4930&lt;&gt;""),H4930-G4930,"")</f>
        <v/>
      </c>
      <c r="L4930" s="24"/>
      <c r="M4930" s="24"/>
    </row>
    <row r="4931" spans="1:13">
      <c r="A4931" s="14" t="str">
        <f t="shared" si="154"/>
        <v/>
      </c>
      <c r="C4931" s="120" t="s">
        <v>282</v>
      </c>
      <c r="D4931"/>
      <c r="E4931"/>
      <c r="F4931"/>
      <c r="G4931"/>
      <c r="H4931"/>
      <c r="I4931" s="21" t="str">
        <f t="shared" si="155"/>
        <v/>
      </c>
      <c r="L4931" s="24"/>
      <c r="M4931" s="24"/>
    </row>
    <row r="4932" spans="1:13">
      <c r="A4932" s="10" t="str">
        <f t="shared" si="154"/>
        <v/>
      </c>
      <c r="C4932" s="120" t="s">
        <v>284</v>
      </c>
      <c r="D4932"/>
      <c r="E4932"/>
      <c r="F4932"/>
      <c r="G4932"/>
      <c r="H4932"/>
      <c r="I4932" s="21" t="str">
        <f t="shared" si="155"/>
        <v/>
      </c>
      <c r="L4932" s="24"/>
      <c r="M4932" s="24"/>
    </row>
    <row r="4933" spans="1:13">
      <c r="A4933" s="14" t="str">
        <f t="shared" si="154"/>
        <v/>
      </c>
      <c r="C4933" s="120" t="s">
        <v>286</v>
      </c>
      <c r="D4933"/>
      <c r="E4933"/>
      <c r="F4933"/>
      <c r="G4933"/>
      <c r="H4933"/>
      <c r="I4933" s="21" t="str">
        <f t="shared" si="155"/>
        <v/>
      </c>
      <c r="L4933" s="24"/>
      <c r="M4933" s="24"/>
    </row>
    <row r="4934" spans="1:13">
      <c r="A4934" s="10" t="str">
        <f t="shared" si="154"/>
        <v/>
      </c>
      <c r="C4934" s="120" t="s">
        <v>126</v>
      </c>
      <c r="D4934"/>
      <c r="E4934"/>
      <c r="F4934"/>
      <c r="G4934"/>
      <c r="H4934"/>
      <c r="I4934" s="21" t="str">
        <f t="shared" si="155"/>
        <v/>
      </c>
      <c r="L4934" s="24"/>
      <c r="M4934" s="24"/>
    </row>
    <row r="4935" spans="1:13">
      <c r="A4935" s="14" t="str">
        <f t="shared" si="154"/>
        <v/>
      </c>
      <c r="C4935" s="120" t="s">
        <v>128</v>
      </c>
      <c r="D4935"/>
      <c r="E4935"/>
      <c r="F4935"/>
      <c r="G4935"/>
      <c r="H4935"/>
      <c r="I4935" s="21" t="str">
        <f t="shared" si="155"/>
        <v/>
      </c>
      <c r="L4935" s="24"/>
      <c r="M4935" s="24"/>
    </row>
    <row r="4936" spans="1:13">
      <c r="A4936" s="10" t="str">
        <f t="shared" si="154"/>
        <v/>
      </c>
      <c r="C4936" s="120" t="s">
        <v>280</v>
      </c>
      <c r="D4936"/>
      <c r="E4936"/>
      <c r="F4936"/>
      <c r="G4936"/>
      <c r="H4936"/>
      <c r="I4936" s="21" t="str">
        <f t="shared" si="155"/>
        <v/>
      </c>
      <c r="L4936" s="24"/>
      <c r="M4936" s="24"/>
    </row>
    <row r="4937" spans="1:13">
      <c r="A4937" s="14" t="str">
        <f t="shared" si="154"/>
        <v/>
      </c>
      <c r="C4937" s="120" t="s">
        <v>282</v>
      </c>
      <c r="D4937"/>
      <c r="E4937"/>
      <c r="F4937"/>
      <c r="G4937"/>
      <c r="H4937"/>
      <c r="I4937" s="21" t="str">
        <f t="shared" si="155"/>
        <v/>
      </c>
      <c r="L4937" s="24"/>
      <c r="M4937" s="24"/>
    </row>
    <row r="4938" spans="1:13">
      <c r="A4938" s="10" t="str">
        <f t="shared" si="154"/>
        <v/>
      </c>
      <c r="C4938" s="120" t="s">
        <v>284</v>
      </c>
      <c r="D4938"/>
      <c r="E4938"/>
      <c r="F4938"/>
      <c r="G4938"/>
      <c r="H4938"/>
      <c r="I4938" s="21" t="str">
        <f t="shared" si="155"/>
        <v/>
      </c>
      <c r="L4938" s="24"/>
      <c r="M4938" s="24"/>
    </row>
    <row r="4939" spans="1:13">
      <c r="A4939" s="14" t="str">
        <f t="shared" si="154"/>
        <v/>
      </c>
      <c r="C4939" s="120" t="s">
        <v>286</v>
      </c>
      <c r="D4939"/>
      <c r="E4939"/>
      <c r="F4939"/>
      <c r="G4939"/>
      <c r="H4939"/>
      <c r="I4939" s="21" t="str">
        <f t="shared" si="155"/>
        <v/>
      </c>
      <c r="L4939" s="24"/>
      <c r="M4939" s="24"/>
    </row>
    <row r="4940" spans="1:13">
      <c r="A4940" s="10" t="str">
        <f t="shared" si="154"/>
        <v/>
      </c>
      <c r="C4940" s="120" t="s">
        <v>126</v>
      </c>
      <c r="D4940"/>
      <c r="E4940"/>
      <c r="F4940"/>
      <c r="G4940"/>
      <c r="H4940"/>
      <c r="I4940" s="21" t="str">
        <f t="shared" si="155"/>
        <v/>
      </c>
      <c r="L4940" s="24"/>
      <c r="M4940" s="24"/>
    </row>
    <row r="4941" spans="1:13">
      <c r="A4941" s="14" t="str">
        <f t="shared" si="154"/>
        <v/>
      </c>
      <c r="C4941" s="120" t="s">
        <v>128</v>
      </c>
      <c r="D4941"/>
      <c r="E4941"/>
      <c r="F4941"/>
      <c r="G4941"/>
      <c r="H4941"/>
      <c r="I4941" s="21" t="str">
        <f t="shared" si="155"/>
        <v/>
      </c>
      <c r="L4941" s="24"/>
      <c r="M4941" s="24"/>
    </row>
    <row r="4942" spans="1:13">
      <c r="A4942" s="10" t="str">
        <f t="shared" si="154"/>
        <v/>
      </c>
      <c r="C4942" s="120" t="s">
        <v>280</v>
      </c>
      <c r="D4942"/>
      <c r="E4942"/>
      <c r="F4942"/>
      <c r="G4942"/>
      <c r="H4942"/>
      <c r="I4942" s="21" t="str">
        <f t="shared" si="155"/>
        <v/>
      </c>
      <c r="L4942" s="24"/>
      <c r="M4942" s="24"/>
    </row>
    <row r="4943" spans="1:13">
      <c r="A4943" s="14" t="str">
        <f t="shared" si="154"/>
        <v/>
      </c>
      <c r="C4943" s="120" t="s">
        <v>282</v>
      </c>
      <c r="D4943"/>
      <c r="E4943"/>
      <c r="F4943"/>
      <c r="G4943"/>
      <c r="H4943"/>
      <c r="I4943" s="21" t="str">
        <f t="shared" si="155"/>
        <v/>
      </c>
      <c r="L4943" s="24"/>
      <c r="M4943" s="24"/>
    </row>
    <row r="4944" spans="1:13">
      <c r="A4944" s="10" t="str">
        <f t="shared" si="154"/>
        <v/>
      </c>
      <c r="C4944" s="120" t="s">
        <v>284</v>
      </c>
      <c r="D4944"/>
      <c r="E4944"/>
      <c r="F4944"/>
      <c r="G4944"/>
      <c r="H4944"/>
      <c r="I4944" s="21" t="str">
        <f t="shared" si="155"/>
        <v/>
      </c>
      <c r="L4944" s="24"/>
      <c r="M4944" s="24"/>
    </row>
    <row r="4945" spans="1:13">
      <c r="A4945" s="14" t="str">
        <f t="shared" si="154"/>
        <v/>
      </c>
      <c r="C4945" s="120" t="s">
        <v>286</v>
      </c>
      <c r="D4945"/>
      <c r="E4945"/>
      <c r="F4945"/>
      <c r="G4945"/>
      <c r="H4945"/>
      <c r="I4945" s="21" t="str">
        <f t="shared" si="155"/>
        <v/>
      </c>
      <c r="L4945" s="24"/>
      <c r="M4945" s="24"/>
    </row>
    <row r="4946" spans="1:13">
      <c r="A4946" s="10" t="str">
        <f t="shared" si="154"/>
        <v/>
      </c>
      <c r="C4946" s="120" t="s">
        <v>126</v>
      </c>
      <c r="D4946"/>
      <c r="E4946"/>
      <c r="F4946"/>
      <c r="G4946"/>
      <c r="H4946"/>
      <c r="I4946" s="21" t="str">
        <f t="shared" si="155"/>
        <v/>
      </c>
      <c r="L4946" s="24"/>
      <c r="M4946" s="24"/>
    </row>
    <row r="4947" spans="1:13">
      <c r="A4947" s="14" t="str">
        <f t="shared" si="154"/>
        <v/>
      </c>
      <c r="C4947" s="120" t="s">
        <v>128</v>
      </c>
      <c r="D4947"/>
      <c r="E4947"/>
      <c r="F4947"/>
      <c r="G4947"/>
      <c r="H4947"/>
      <c r="I4947" s="21" t="str">
        <f t="shared" si="155"/>
        <v/>
      </c>
      <c r="L4947" s="24"/>
      <c r="M4947" s="24"/>
    </row>
    <row r="4948" spans="1:13">
      <c r="A4948" s="10" t="str">
        <f t="shared" si="154"/>
        <v/>
      </c>
      <c r="C4948" s="120" t="s">
        <v>280</v>
      </c>
      <c r="D4948"/>
      <c r="E4948"/>
      <c r="F4948"/>
      <c r="G4948"/>
      <c r="H4948"/>
      <c r="I4948" s="21" t="str">
        <f t="shared" si="155"/>
        <v/>
      </c>
      <c r="L4948" s="24"/>
      <c r="M4948" s="24"/>
    </row>
    <row r="4949" spans="1:13">
      <c r="A4949" s="14" t="str">
        <f t="shared" si="154"/>
        <v/>
      </c>
      <c r="C4949" s="120" t="s">
        <v>282</v>
      </c>
      <c r="D4949"/>
      <c r="E4949"/>
      <c r="F4949"/>
      <c r="G4949"/>
      <c r="H4949"/>
      <c r="I4949" s="21" t="str">
        <f t="shared" si="155"/>
        <v/>
      </c>
      <c r="L4949" s="24"/>
      <c r="M4949" s="24"/>
    </row>
    <row r="4950" spans="1:13">
      <c r="A4950" s="10" t="str">
        <f t="shared" si="154"/>
        <v/>
      </c>
      <c r="C4950" s="120" t="s">
        <v>284</v>
      </c>
      <c r="D4950"/>
      <c r="E4950"/>
      <c r="F4950"/>
      <c r="G4950"/>
      <c r="H4950"/>
      <c r="I4950" s="21" t="str">
        <f t="shared" si="155"/>
        <v/>
      </c>
      <c r="L4950" s="24"/>
      <c r="M4950" s="24"/>
    </row>
    <row r="4951" spans="1:13">
      <c r="A4951" s="14" t="str">
        <f t="shared" si="154"/>
        <v/>
      </c>
      <c r="C4951" s="120" t="s">
        <v>286</v>
      </c>
      <c r="D4951"/>
      <c r="E4951"/>
      <c r="F4951"/>
      <c r="G4951"/>
      <c r="H4951"/>
      <c r="I4951" s="21" t="str">
        <f t="shared" si="155"/>
        <v/>
      </c>
      <c r="L4951" s="24"/>
      <c r="M4951" s="24"/>
    </row>
    <row r="4952" spans="1:13">
      <c r="A4952" s="10" t="str">
        <f t="shared" si="154"/>
        <v/>
      </c>
      <c r="C4952" s="120" t="s">
        <v>126</v>
      </c>
      <c r="D4952"/>
      <c r="E4952"/>
      <c r="F4952"/>
      <c r="G4952"/>
      <c r="H4952"/>
      <c r="I4952" s="21" t="str">
        <f t="shared" si="155"/>
        <v/>
      </c>
      <c r="L4952" s="24"/>
      <c r="M4952" s="24"/>
    </row>
    <row r="4953" spans="1:13">
      <c r="A4953" s="14" t="str">
        <f t="shared" si="154"/>
        <v/>
      </c>
      <c r="C4953" s="120" t="s">
        <v>128</v>
      </c>
      <c r="D4953"/>
      <c r="E4953"/>
      <c r="F4953"/>
      <c r="G4953"/>
      <c r="H4953"/>
      <c r="I4953" s="21" t="str">
        <f t="shared" si="155"/>
        <v/>
      </c>
      <c r="L4953" s="24"/>
      <c r="M4953" s="24"/>
    </row>
    <row r="4954" spans="1:13">
      <c r="A4954" s="10" t="str">
        <f t="shared" si="154"/>
        <v/>
      </c>
      <c r="C4954" s="120" t="s">
        <v>280</v>
      </c>
      <c r="D4954"/>
      <c r="E4954"/>
      <c r="F4954"/>
      <c r="G4954"/>
      <c r="H4954"/>
      <c r="I4954" s="21" t="str">
        <f t="shared" si="155"/>
        <v/>
      </c>
      <c r="L4954" s="24"/>
      <c r="M4954" s="24"/>
    </row>
    <row r="4955" spans="1:13">
      <c r="A4955" s="14" t="str">
        <f t="shared" si="154"/>
        <v/>
      </c>
      <c r="C4955" s="120" t="s">
        <v>282</v>
      </c>
      <c r="D4955"/>
      <c r="E4955"/>
      <c r="F4955"/>
      <c r="G4955"/>
      <c r="H4955"/>
      <c r="I4955" s="21" t="str">
        <f t="shared" si="155"/>
        <v/>
      </c>
      <c r="L4955" s="24"/>
      <c r="M4955" s="24"/>
    </row>
    <row r="4956" spans="1:13">
      <c r="A4956" s="10" t="str">
        <f t="shared" si="154"/>
        <v/>
      </c>
      <c r="C4956" s="120" t="s">
        <v>284</v>
      </c>
      <c r="D4956"/>
      <c r="E4956"/>
      <c r="F4956"/>
      <c r="G4956"/>
      <c r="H4956"/>
      <c r="I4956" s="21" t="str">
        <f t="shared" si="155"/>
        <v/>
      </c>
      <c r="L4956" s="24"/>
      <c r="M4956" s="24"/>
    </row>
    <row r="4957" spans="1:13">
      <c r="A4957" s="14" t="str">
        <f t="shared" si="154"/>
        <v/>
      </c>
      <c r="C4957" s="120" t="s">
        <v>286</v>
      </c>
      <c r="D4957"/>
      <c r="E4957"/>
      <c r="F4957"/>
      <c r="G4957"/>
      <c r="H4957"/>
      <c r="I4957" s="21" t="str">
        <f t="shared" si="155"/>
        <v/>
      </c>
      <c r="L4957" s="24"/>
      <c r="M4957" s="24"/>
    </row>
    <row r="4958" spans="1:13">
      <c r="A4958" s="10" t="str">
        <f t="shared" si="154"/>
        <v/>
      </c>
      <c r="C4958" s="120" t="s">
        <v>126</v>
      </c>
      <c r="D4958"/>
      <c r="E4958"/>
      <c r="F4958"/>
      <c r="G4958"/>
      <c r="H4958"/>
      <c r="I4958" s="21" t="str">
        <f t="shared" si="155"/>
        <v/>
      </c>
      <c r="L4958" s="24"/>
      <c r="M4958" s="24"/>
    </row>
    <row r="4959" spans="1:13">
      <c r="A4959" s="14" t="str">
        <f t="shared" si="154"/>
        <v/>
      </c>
      <c r="C4959" s="120" t="s">
        <v>128</v>
      </c>
      <c r="D4959"/>
      <c r="E4959"/>
      <c r="F4959"/>
      <c r="G4959"/>
      <c r="H4959"/>
      <c r="I4959" s="21" t="str">
        <f t="shared" si="155"/>
        <v/>
      </c>
      <c r="L4959" s="24"/>
      <c r="M4959" s="24"/>
    </row>
    <row r="4960" spans="1:13">
      <c r="A4960" s="10" t="str">
        <f t="shared" si="154"/>
        <v/>
      </c>
      <c r="C4960" s="120" t="s">
        <v>280</v>
      </c>
      <c r="D4960"/>
      <c r="E4960"/>
      <c r="F4960"/>
      <c r="G4960"/>
      <c r="H4960"/>
      <c r="I4960" s="21" t="str">
        <f t="shared" si="155"/>
        <v/>
      </c>
      <c r="L4960" s="24"/>
      <c r="M4960" s="24"/>
    </row>
    <row r="4961" spans="1:13">
      <c r="A4961" s="14" t="str">
        <f t="shared" si="154"/>
        <v/>
      </c>
      <c r="C4961" s="120" t="s">
        <v>282</v>
      </c>
      <c r="D4961"/>
      <c r="E4961"/>
      <c r="F4961"/>
      <c r="G4961"/>
      <c r="H4961"/>
      <c r="I4961" s="21" t="str">
        <f t="shared" si="155"/>
        <v/>
      </c>
      <c r="L4961" s="24"/>
      <c r="M4961" s="24"/>
    </row>
    <row r="4962" spans="1:13">
      <c r="A4962" s="10" t="str">
        <f t="shared" si="154"/>
        <v/>
      </c>
      <c r="C4962" s="120" t="s">
        <v>284</v>
      </c>
      <c r="D4962"/>
      <c r="E4962"/>
      <c r="F4962"/>
      <c r="G4962"/>
      <c r="H4962"/>
      <c r="I4962" s="21" t="str">
        <f t="shared" si="155"/>
        <v/>
      </c>
      <c r="L4962" s="24"/>
      <c r="M4962" s="24"/>
    </row>
    <row r="4963" spans="1:13">
      <c r="A4963" s="14" t="str">
        <f t="shared" si="154"/>
        <v/>
      </c>
      <c r="C4963" s="120" t="s">
        <v>286</v>
      </c>
      <c r="D4963"/>
      <c r="E4963"/>
      <c r="F4963"/>
      <c r="G4963"/>
      <c r="H4963"/>
      <c r="I4963" s="21" t="str">
        <f t="shared" si="155"/>
        <v/>
      </c>
      <c r="L4963" s="24"/>
      <c r="M4963" s="24"/>
    </row>
    <row r="4964" spans="1:13">
      <c r="A4964" s="10" t="str">
        <f t="shared" si="154"/>
        <v/>
      </c>
      <c r="C4964" s="120" t="s">
        <v>126</v>
      </c>
      <c r="D4964"/>
      <c r="E4964"/>
      <c r="F4964"/>
      <c r="G4964"/>
      <c r="H4964"/>
      <c r="I4964" s="21" t="str">
        <f t="shared" si="155"/>
        <v/>
      </c>
      <c r="L4964" s="24"/>
      <c r="M4964" s="24"/>
    </row>
    <row r="4965" spans="1:13">
      <c r="A4965" s="14" t="str">
        <f t="shared" si="154"/>
        <v/>
      </c>
      <c r="C4965" s="120" t="s">
        <v>128</v>
      </c>
      <c r="D4965"/>
      <c r="E4965"/>
      <c r="F4965"/>
      <c r="G4965"/>
      <c r="H4965"/>
      <c r="I4965" s="21" t="str">
        <f t="shared" si="155"/>
        <v/>
      </c>
      <c r="L4965" s="24"/>
      <c r="M4965" s="24"/>
    </row>
    <row r="4966" spans="1:13">
      <c r="A4966" s="10" t="str">
        <f t="shared" si="154"/>
        <v/>
      </c>
      <c r="C4966" s="120" t="s">
        <v>280</v>
      </c>
      <c r="D4966"/>
      <c r="E4966"/>
      <c r="F4966"/>
      <c r="G4966"/>
      <c r="H4966"/>
      <c r="I4966" s="21" t="str">
        <f t="shared" si="155"/>
        <v/>
      </c>
      <c r="L4966" s="24"/>
      <c r="M4966" s="24"/>
    </row>
    <row r="4967" spans="1:13">
      <c r="A4967" s="14" t="str">
        <f t="shared" si="154"/>
        <v/>
      </c>
      <c r="C4967" s="120" t="s">
        <v>282</v>
      </c>
      <c r="D4967"/>
      <c r="E4967"/>
      <c r="F4967"/>
      <c r="G4967"/>
      <c r="H4967"/>
      <c r="I4967" s="21" t="str">
        <f t="shared" si="155"/>
        <v/>
      </c>
      <c r="L4967" s="24"/>
      <c r="M4967" s="24"/>
    </row>
    <row r="4968" spans="1:13">
      <c r="A4968" s="10" t="str">
        <f t="shared" si="154"/>
        <v/>
      </c>
      <c r="C4968" s="120" t="s">
        <v>284</v>
      </c>
      <c r="D4968"/>
      <c r="E4968"/>
      <c r="F4968"/>
      <c r="G4968"/>
      <c r="H4968"/>
      <c r="I4968" s="21" t="str">
        <f t="shared" si="155"/>
        <v/>
      </c>
      <c r="L4968" s="24"/>
      <c r="M4968" s="24"/>
    </row>
    <row r="4969" spans="1:13">
      <c r="A4969" s="14" t="str">
        <f t="shared" si="154"/>
        <v/>
      </c>
      <c r="C4969" s="120" t="s">
        <v>286</v>
      </c>
      <c r="D4969"/>
      <c r="E4969"/>
      <c r="F4969"/>
      <c r="G4969"/>
      <c r="H4969"/>
      <c r="I4969" s="21" t="str">
        <f t="shared" si="155"/>
        <v/>
      </c>
      <c r="L4969" s="24"/>
      <c r="M4969" s="24"/>
    </row>
    <row r="4970" spans="1:13">
      <c r="A4970" s="10" t="str">
        <f t="shared" si="154"/>
        <v/>
      </c>
      <c r="C4970" s="120" t="s">
        <v>126</v>
      </c>
      <c r="D4970"/>
      <c r="E4970"/>
      <c r="F4970"/>
      <c r="G4970"/>
      <c r="H4970"/>
      <c r="I4970" s="21" t="str">
        <f t="shared" si="155"/>
        <v/>
      </c>
      <c r="L4970" s="24"/>
      <c r="M4970" s="24"/>
    </row>
    <row r="4971" spans="1:13">
      <c r="A4971" s="14" t="str">
        <f t="shared" si="154"/>
        <v/>
      </c>
      <c r="C4971" s="120" t="s">
        <v>128</v>
      </c>
      <c r="D4971"/>
      <c r="E4971"/>
      <c r="F4971"/>
      <c r="G4971"/>
      <c r="H4971"/>
      <c r="I4971" s="21" t="str">
        <f t="shared" si="155"/>
        <v/>
      </c>
      <c r="L4971" s="24"/>
      <c r="M4971" s="24"/>
    </row>
    <row r="4972" spans="1:13">
      <c r="A4972" s="10" t="str">
        <f t="shared" si="154"/>
        <v/>
      </c>
      <c r="C4972" s="120" t="s">
        <v>280</v>
      </c>
      <c r="D4972"/>
      <c r="E4972"/>
      <c r="F4972"/>
      <c r="G4972"/>
      <c r="H4972"/>
      <c r="I4972" s="21" t="str">
        <f t="shared" si="155"/>
        <v/>
      </c>
      <c r="L4972" s="24"/>
      <c r="M4972" s="24"/>
    </row>
    <row r="4973" spans="1:13">
      <c r="A4973" s="14" t="str">
        <f t="shared" si="154"/>
        <v/>
      </c>
      <c r="C4973" s="120" t="s">
        <v>282</v>
      </c>
      <c r="D4973"/>
      <c r="E4973"/>
      <c r="F4973"/>
      <c r="G4973"/>
      <c r="H4973"/>
      <c r="I4973" s="21" t="str">
        <f t="shared" si="155"/>
        <v/>
      </c>
      <c r="L4973" s="24"/>
      <c r="M4973" s="24"/>
    </row>
    <row r="4974" spans="1:13">
      <c r="A4974" s="10" t="str">
        <f t="shared" si="154"/>
        <v/>
      </c>
      <c r="C4974" s="120" t="s">
        <v>284</v>
      </c>
      <c r="D4974"/>
      <c r="E4974"/>
      <c r="F4974"/>
      <c r="G4974"/>
      <c r="H4974"/>
      <c r="I4974" s="21" t="str">
        <f t="shared" si="155"/>
        <v/>
      </c>
      <c r="L4974" s="24"/>
      <c r="M4974" s="24"/>
    </row>
    <row r="4975" spans="1:13">
      <c r="A4975" s="14" t="str">
        <f t="shared" si="154"/>
        <v/>
      </c>
      <c r="C4975" s="120" t="s">
        <v>286</v>
      </c>
      <c r="D4975"/>
      <c r="E4975"/>
      <c r="F4975"/>
      <c r="G4975"/>
      <c r="H4975"/>
      <c r="I4975" s="21" t="str">
        <f t="shared" si="155"/>
        <v/>
      </c>
      <c r="L4975" s="24"/>
      <c r="M4975" s="24"/>
    </row>
    <row r="4976" spans="1:13">
      <c r="A4976" s="10" t="str">
        <f t="shared" si="154"/>
        <v/>
      </c>
      <c r="C4976" s="120" t="s">
        <v>126</v>
      </c>
      <c r="D4976"/>
      <c r="E4976"/>
      <c r="F4976"/>
      <c r="G4976"/>
      <c r="H4976"/>
      <c r="I4976" s="21" t="str">
        <f t="shared" si="155"/>
        <v/>
      </c>
      <c r="L4976" s="24"/>
      <c r="M4976" s="24"/>
    </row>
    <row r="4977" spans="1:13">
      <c r="A4977" s="14" t="str">
        <f t="shared" si="154"/>
        <v/>
      </c>
      <c r="C4977" s="120" t="s">
        <v>128</v>
      </c>
      <c r="D4977"/>
      <c r="E4977"/>
      <c r="F4977"/>
      <c r="G4977"/>
      <c r="H4977"/>
      <c r="I4977" s="21" t="str">
        <f t="shared" si="155"/>
        <v/>
      </c>
      <c r="L4977" s="24"/>
      <c r="M4977" s="24"/>
    </row>
    <row r="4978" spans="1:13">
      <c r="A4978" s="10" t="str">
        <f t="shared" si="154"/>
        <v/>
      </c>
      <c r="C4978" s="120" t="s">
        <v>280</v>
      </c>
      <c r="D4978"/>
      <c r="E4978"/>
      <c r="F4978"/>
      <c r="G4978"/>
      <c r="H4978"/>
      <c r="I4978" s="21" t="str">
        <f t="shared" si="155"/>
        <v/>
      </c>
      <c r="L4978" s="24"/>
      <c r="M4978" s="24"/>
    </row>
    <row r="4979" spans="1:13">
      <c r="A4979" s="14" t="str">
        <f t="shared" si="154"/>
        <v/>
      </c>
      <c r="C4979" s="120" t="s">
        <v>282</v>
      </c>
      <c r="D4979"/>
      <c r="E4979"/>
      <c r="F4979"/>
      <c r="G4979"/>
      <c r="H4979"/>
      <c r="I4979" s="21" t="str">
        <f t="shared" si="155"/>
        <v/>
      </c>
      <c r="L4979" s="24"/>
      <c r="M4979" s="24"/>
    </row>
    <row r="4980" spans="1:13">
      <c r="A4980" s="10" t="str">
        <f t="shared" si="154"/>
        <v/>
      </c>
      <c r="C4980" s="120" t="s">
        <v>284</v>
      </c>
      <c r="D4980"/>
      <c r="E4980"/>
      <c r="F4980"/>
      <c r="G4980"/>
      <c r="H4980"/>
      <c r="I4980" s="21" t="str">
        <f t="shared" si="155"/>
        <v/>
      </c>
      <c r="L4980" s="24"/>
      <c r="M4980" s="24"/>
    </row>
    <row r="4981" spans="1:13">
      <c r="A4981" s="14" t="str">
        <f t="shared" si="154"/>
        <v/>
      </c>
      <c r="C4981" s="120" t="s">
        <v>286</v>
      </c>
      <c r="D4981"/>
      <c r="E4981"/>
      <c r="F4981"/>
      <c r="G4981"/>
      <c r="H4981"/>
      <c r="I4981" s="21" t="str">
        <f t="shared" si="155"/>
        <v/>
      </c>
      <c r="L4981" s="24"/>
      <c r="M4981" s="24"/>
    </row>
    <row r="4982" spans="1:13">
      <c r="A4982" s="10" t="str">
        <f t="shared" si="154"/>
        <v/>
      </c>
      <c r="C4982" s="120" t="s">
        <v>126</v>
      </c>
      <c r="D4982"/>
      <c r="E4982"/>
      <c r="F4982"/>
      <c r="G4982"/>
      <c r="H4982"/>
      <c r="I4982" s="21" t="str">
        <f t="shared" si="155"/>
        <v/>
      </c>
      <c r="L4982" s="24"/>
      <c r="M4982" s="24"/>
    </row>
    <row r="4983" spans="1:13">
      <c r="A4983" s="14" t="str">
        <f t="shared" si="154"/>
        <v/>
      </c>
      <c r="C4983" s="120" t="s">
        <v>128</v>
      </c>
      <c r="D4983"/>
      <c r="E4983"/>
      <c r="F4983"/>
      <c r="G4983"/>
      <c r="H4983"/>
      <c r="I4983" s="21" t="str">
        <f t="shared" si="155"/>
        <v/>
      </c>
      <c r="L4983" s="24"/>
      <c r="M4983" s="24"/>
    </row>
    <row r="4984" spans="1:13">
      <c r="A4984" s="10" t="str">
        <f t="shared" si="154"/>
        <v/>
      </c>
      <c r="C4984" s="120" t="s">
        <v>280</v>
      </c>
      <c r="D4984"/>
      <c r="E4984"/>
      <c r="F4984"/>
      <c r="G4984"/>
      <c r="H4984"/>
      <c r="I4984" s="21" t="str">
        <f t="shared" si="155"/>
        <v/>
      </c>
      <c r="L4984" s="24"/>
      <c r="M4984" s="24"/>
    </row>
    <row r="4985" spans="1:13">
      <c r="A4985" s="14" t="str">
        <f t="shared" si="154"/>
        <v/>
      </c>
      <c r="C4985" s="120" t="s">
        <v>282</v>
      </c>
      <c r="D4985"/>
      <c r="E4985"/>
      <c r="F4985"/>
      <c r="G4985"/>
      <c r="H4985"/>
      <c r="I4985" s="21" t="str">
        <f t="shared" si="155"/>
        <v/>
      </c>
      <c r="L4985" s="24"/>
      <c r="M4985" s="24"/>
    </row>
    <row r="4986" spans="1:13">
      <c r="A4986" s="10" t="str">
        <f t="shared" si="154"/>
        <v/>
      </c>
      <c r="C4986" s="120" t="s">
        <v>284</v>
      </c>
      <c r="D4986"/>
      <c r="E4986"/>
      <c r="F4986"/>
      <c r="G4986"/>
      <c r="H4986"/>
      <c r="I4986" s="21" t="str">
        <f t="shared" si="155"/>
        <v/>
      </c>
      <c r="L4986" s="24"/>
      <c r="M4986" s="24"/>
    </row>
    <row r="4987" spans="1:13">
      <c r="A4987" s="14" t="str">
        <f t="shared" si="154"/>
        <v/>
      </c>
      <c r="C4987" s="120" t="s">
        <v>286</v>
      </c>
      <c r="D4987"/>
      <c r="E4987"/>
      <c r="F4987"/>
      <c r="G4987"/>
      <c r="H4987"/>
      <c r="I4987" s="21" t="str">
        <f t="shared" si="155"/>
        <v/>
      </c>
      <c r="L4987" s="24"/>
      <c r="M4987" s="24"/>
    </row>
    <row r="4988" spans="1:13">
      <c r="A4988" s="10" t="str">
        <f t="shared" si="154"/>
        <v/>
      </c>
      <c r="C4988" s="120" t="s">
        <v>126</v>
      </c>
      <c r="D4988"/>
      <c r="E4988"/>
      <c r="F4988"/>
      <c r="G4988"/>
      <c r="H4988"/>
      <c r="I4988" s="21" t="str">
        <f t="shared" si="155"/>
        <v/>
      </c>
      <c r="L4988" s="24"/>
      <c r="M4988" s="24"/>
    </row>
    <row r="4989" spans="1:13">
      <c r="A4989" s="14" t="str">
        <f t="shared" si="154"/>
        <v/>
      </c>
      <c r="C4989" s="120" t="s">
        <v>128</v>
      </c>
      <c r="D4989"/>
      <c r="E4989"/>
      <c r="F4989"/>
      <c r="G4989"/>
      <c r="H4989"/>
      <c r="I4989" s="21" t="str">
        <f t="shared" si="155"/>
        <v/>
      </c>
      <c r="L4989" s="24"/>
      <c r="M4989" s="24"/>
    </row>
    <row r="4990" spans="1:13">
      <c r="A4990" s="10" t="str">
        <f t="shared" si="154"/>
        <v/>
      </c>
      <c r="C4990" s="120" t="s">
        <v>280</v>
      </c>
      <c r="D4990"/>
      <c r="E4990"/>
      <c r="F4990"/>
      <c r="G4990"/>
      <c r="H4990"/>
      <c r="I4990" s="21" t="str">
        <f t="shared" si="155"/>
        <v/>
      </c>
      <c r="L4990" s="24"/>
      <c r="M4990" s="24"/>
    </row>
    <row r="4991" spans="1:13">
      <c r="A4991" s="14" t="str">
        <f t="shared" si="154"/>
        <v/>
      </c>
      <c r="C4991" s="120" t="s">
        <v>282</v>
      </c>
      <c r="D4991"/>
      <c r="E4991"/>
      <c r="F4991"/>
      <c r="G4991"/>
      <c r="H4991"/>
      <c r="I4991" s="21" t="str">
        <f t="shared" si="155"/>
        <v/>
      </c>
      <c r="L4991" s="24"/>
      <c r="M4991" s="24"/>
    </row>
    <row r="4992" spans="1:13">
      <c r="A4992" s="10" t="str">
        <f t="shared" si="154"/>
        <v/>
      </c>
      <c r="C4992" s="120" t="s">
        <v>284</v>
      </c>
      <c r="D4992"/>
      <c r="E4992"/>
      <c r="F4992"/>
      <c r="G4992"/>
      <c r="H4992"/>
      <c r="I4992" s="21" t="str">
        <f t="shared" si="155"/>
        <v/>
      </c>
      <c r="L4992" s="24"/>
      <c r="M4992" s="24"/>
    </row>
    <row r="4993" spans="1:13">
      <c r="A4993" s="14" t="str">
        <f t="shared" si="154"/>
        <v/>
      </c>
      <c r="C4993" s="120" t="s">
        <v>286</v>
      </c>
      <c r="D4993"/>
      <c r="E4993"/>
      <c r="F4993"/>
      <c r="G4993"/>
      <c r="H4993"/>
      <c r="I4993" s="21" t="str">
        <f t="shared" si="155"/>
        <v/>
      </c>
      <c r="L4993" s="24"/>
      <c r="M4993" s="24"/>
    </row>
    <row r="4994" spans="1:13">
      <c r="A4994" s="10" t="str">
        <f t="shared" ref="A4994:A5001" si="156">IF(B4994&lt;&gt;"",ROW()-1,"")</f>
        <v/>
      </c>
      <c r="C4994" s="120" t="s">
        <v>126</v>
      </c>
      <c r="D4994"/>
      <c r="E4994"/>
      <c r="F4994"/>
      <c r="G4994"/>
      <c r="H4994"/>
      <c r="I4994" s="21" t="str">
        <f t="shared" ref="I4994:I5001" si="157">IF(AND(G4994&lt;&gt;"",H4994&lt;&gt;""),H4994-G4994,"")</f>
        <v/>
      </c>
      <c r="L4994" s="24"/>
      <c r="M4994" s="24"/>
    </row>
    <row r="4995" spans="1:13">
      <c r="A4995" s="14" t="str">
        <f t="shared" si="156"/>
        <v/>
      </c>
      <c r="C4995" s="120" t="s">
        <v>128</v>
      </c>
      <c r="D4995"/>
      <c r="E4995"/>
      <c r="F4995"/>
      <c r="G4995"/>
      <c r="H4995"/>
      <c r="I4995" s="21" t="str">
        <f t="shared" si="157"/>
        <v/>
      </c>
      <c r="L4995" s="24"/>
      <c r="M4995" s="24"/>
    </row>
    <row r="4996" spans="1:13">
      <c r="A4996" s="10" t="str">
        <f t="shared" si="156"/>
        <v/>
      </c>
      <c r="C4996" s="120" t="s">
        <v>280</v>
      </c>
      <c r="D4996"/>
      <c r="E4996"/>
      <c r="F4996"/>
      <c r="G4996"/>
      <c r="H4996"/>
      <c r="I4996" s="21" t="str">
        <f t="shared" si="157"/>
        <v/>
      </c>
      <c r="L4996" s="24"/>
      <c r="M4996" s="24"/>
    </row>
    <row r="4997" spans="1:13">
      <c r="A4997" s="14" t="str">
        <f t="shared" si="156"/>
        <v/>
      </c>
      <c r="C4997" s="120" t="s">
        <v>282</v>
      </c>
      <c r="D4997"/>
      <c r="E4997"/>
      <c r="F4997"/>
      <c r="G4997"/>
      <c r="H4997"/>
      <c r="I4997" s="21" t="str">
        <f t="shared" si="157"/>
        <v/>
      </c>
      <c r="L4997" s="24"/>
      <c r="M4997" s="24"/>
    </row>
    <row r="4998" spans="1:13">
      <c r="A4998" s="10" t="str">
        <f t="shared" si="156"/>
        <v/>
      </c>
      <c r="C4998" s="120" t="s">
        <v>284</v>
      </c>
      <c r="D4998"/>
      <c r="E4998"/>
      <c r="F4998"/>
      <c r="G4998"/>
      <c r="H4998"/>
      <c r="I4998" s="21" t="str">
        <f t="shared" si="157"/>
        <v/>
      </c>
      <c r="L4998" s="24"/>
      <c r="M4998" s="24"/>
    </row>
    <row r="4999" spans="1:13">
      <c r="A4999" s="14" t="str">
        <f t="shared" si="156"/>
        <v/>
      </c>
      <c r="C4999" s="120" t="s">
        <v>286</v>
      </c>
      <c r="D4999"/>
      <c r="E4999"/>
      <c r="F4999"/>
      <c r="G4999"/>
      <c r="H4999"/>
      <c r="I4999" s="21" t="str">
        <f t="shared" si="157"/>
        <v/>
      </c>
      <c r="L4999" s="24"/>
      <c r="M4999" s="24"/>
    </row>
    <row r="5000" spans="1:13">
      <c r="A5000" s="10" t="str">
        <f t="shared" si="156"/>
        <v/>
      </c>
      <c r="C5000" s="120" t="s">
        <v>126</v>
      </c>
      <c r="D5000"/>
      <c r="E5000"/>
      <c r="F5000"/>
      <c r="G5000"/>
      <c r="H5000"/>
      <c r="I5000" s="21" t="str">
        <f t="shared" si="157"/>
        <v/>
      </c>
      <c r="L5000" s="24"/>
      <c r="M5000" s="24"/>
    </row>
    <row r="5001" spans="1:13">
      <c r="A5001" s="14" t="str">
        <f t="shared" si="156"/>
        <v/>
      </c>
      <c r="C5001" s="120" t="s">
        <v>128</v>
      </c>
      <c r="D5001"/>
      <c r="E5001"/>
      <c r="F5001"/>
      <c r="G5001"/>
      <c r="H5001"/>
      <c r="I5001" s="21" t="str">
        <f t="shared" si="157"/>
        <v/>
      </c>
      <c r="L5001" s="24"/>
      <c r="M5001" s="24"/>
    </row>
  </sheetData>
  <conditionalFormatting sqref="B2">
    <cfRule type="duplicateValues" dxfId="1" priority="474"/>
  </conditionalFormatting>
  <conditionalFormatting sqref="B3">
    <cfRule type="duplicateValues" dxfId="1" priority="473"/>
  </conditionalFormatting>
  <conditionalFormatting sqref="B4">
    <cfRule type="duplicateValues" dxfId="1" priority="472"/>
  </conditionalFormatting>
  <conditionalFormatting sqref="B5">
    <cfRule type="duplicateValues" dxfId="1" priority="471"/>
  </conditionalFormatting>
  <conditionalFormatting sqref="B6">
    <cfRule type="duplicateValues" dxfId="1" priority="470"/>
  </conditionalFormatting>
  <conditionalFormatting sqref="B7">
    <cfRule type="duplicateValues" dxfId="1" priority="469"/>
  </conditionalFormatting>
  <conditionalFormatting sqref="B8">
    <cfRule type="duplicateValues" dxfId="1" priority="468"/>
  </conditionalFormatting>
  <conditionalFormatting sqref="B9">
    <cfRule type="duplicateValues" dxfId="1" priority="467"/>
  </conditionalFormatting>
  <conditionalFormatting sqref="B10">
    <cfRule type="duplicateValues" dxfId="1" priority="466"/>
  </conditionalFormatting>
  <conditionalFormatting sqref="B11">
    <cfRule type="duplicateValues" dxfId="1" priority="465"/>
  </conditionalFormatting>
  <conditionalFormatting sqref="B12">
    <cfRule type="duplicateValues" dxfId="1" priority="464"/>
  </conditionalFormatting>
  <conditionalFormatting sqref="B13">
    <cfRule type="duplicateValues" dxfId="1" priority="463"/>
  </conditionalFormatting>
  <conditionalFormatting sqref="B14">
    <cfRule type="duplicateValues" dxfId="1" priority="462"/>
  </conditionalFormatting>
  <conditionalFormatting sqref="B15">
    <cfRule type="duplicateValues" dxfId="1" priority="461"/>
  </conditionalFormatting>
  <conditionalFormatting sqref="B16">
    <cfRule type="duplicateValues" dxfId="1" priority="460"/>
  </conditionalFormatting>
  <conditionalFormatting sqref="B17">
    <cfRule type="duplicateValues" dxfId="1" priority="459"/>
  </conditionalFormatting>
  <conditionalFormatting sqref="B18">
    <cfRule type="duplicateValues" dxfId="1" priority="458"/>
  </conditionalFormatting>
  <conditionalFormatting sqref="B19">
    <cfRule type="duplicateValues" dxfId="1" priority="457"/>
  </conditionalFormatting>
  <conditionalFormatting sqref="B20">
    <cfRule type="duplicateValues" dxfId="1" priority="456"/>
  </conditionalFormatting>
  <conditionalFormatting sqref="B21">
    <cfRule type="duplicateValues" dxfId="1" priority="455"/>
  </conditionalFormatting>
  <conditionalFormatting sqref="B22">
    <cfRule type="duplicateValues" dxfId="1" priority="454"/>
  </conditionalFormatting>
  <conditionalFormatting sqref="B23">
    <cfRule type="duplicateValues" dxfId="1" priority="453"/>
  </conditionalFormatting>
  <conditionalFormatting sqref="B24">
    <cfRule type="duplicateValues" dxfId="1" priority="452"/>
  </conditionalFormatting>
  <conditionalFormatting sqref="B25">
    <cfRule type="duplicateValues" dxfId="1" priority="451"/>
  </conditionalFormatting>
  <conditionalFormatting sqref="B26">
    <cfRule type="duplicateValues" dxfId="1" priority="450"/>
  </conditionalFormatting>
  <conditionalFormatting sqref="B27">
    <cfRule type="duplicateValues" dxfId="1" priority="449"/>
  </conditionalFormatting>
  <conditionalFormatting sqref="B28">
    <cfRule type="duplicateValues" dxfId="1" priority="448"/>
  </conditionalFormatting>
  <conditionalFormatting sqref="B29">
    <cfRule type="duplicateValues" dxfId="1" priority="447"/>
  </conditionalFormatting>
  <conditionalFormatting sqref="B30">
    <cfRule type="duplicateValues" dxfId="1" priority="446"/>
  </conditionalFormatting>
  <conditionalFormatting sqref="B31">
    <cfRule type="duplicateValues" dxfId="1" priority="445"/>
  </conditionalFormatting>
  <conditionalFormatting sqref="B32">
    <cfRule type="duplicateValues" dxfId="1" priority="444"/>
  </conditionalFormatting>
  <conditionalFormatting sqref="B33">
    <cfRule type="duplicateValues" dxfId="1" priority="443"/>
  </conditionalFormatting>
  <conditionalFormatting sqref="B34">
    <cfRule type="duplicateValues" dxfId="1" priority="442"/>
  </conditionalFormatting>
  <conditionalFormatting sqref="B35">
    <cfRule type="duplicateValues" dxfId="1" priority="441"/>
  </conditionalFormatting>
  <conditionalFormatting sqref="B36">
    <cfRule type="duplicateValues" dxfId="1" priority="440"/>
  </conditionalFormatting>
  <conditionalFormatting sqref="B37">
    <cfRule type="duplicateValues" dxfId="1" priority="439"/>
  </conditionalFormatting>
  <conditionalFormatting sqref="B38">
    <cfRule type="duplicateValues" dxfId="1" priority="438"/>
  </conditionalFormatting>
  <conditionalFormatting sqref="B39">
    <cfRule type="duplicateValues" dxfId="1" priority="437"/>
  </conditionalFormatting>
  <conditionalFormatting sqref="B40">
    <cfRule type="duplicateValues" dxfId="1" priority="436"/>
  </conditionalFormatting>
  <conditionalFormatting sqref="B41">
    <cfRule type="duplicateValues" dxfId="1" priority="435"/>
  </conditionalFormatting>
  <conditionalFormatting sqref="B42">
    <cfRule type="duplicateValues" dxfId="1" priority="434"/>
  </conditionalFormatting>
  <conditionalFormatting sqref="B43">
    <cfRule type="duplicateValues" dxfId="1" priority="433"/>
  </conditionalFormatting>
  <conditionalFormatting sqref="B44">
    <cfRule type="duplicateValues" dxfId="1" priority="432"/>
  </conditionalFormatting>
  <conditionalFormatting sqref="B45">
    <cfRule type="duplicateValues" dxfId="1" priority="431"/>
  </conditionalFormatting>
  <conditionalFormatting sqref="B46">
    <cfRule type="duplicateValues" dxfId="1" priority="430"/>
  </conditionalFormatting>
  <conditionalFormatting sqref="B47">
    <cfRule type="duplicateValues" dxfId="1" priority="429"/>
  </conditionalFormatting>
  <conditionalFormatting sqref="B48">
    <cfRule type="duplicateValues" dxfId="1" priority="428"/>
  </conditionalFormatting>
  <conditionalFormatting sqref="B49">
    <cfRule type="duplicateValues" dxfId="1" priority="427"/>
  </conditionalFormatting>
  <conditionalFormatting sqref="B50">
    <cfRule type="duplicateValues" dxfId="1" priority="426"/>
  </conditionalFormatting>
  <conditionalFormatting sqref="B51">
    <cfRule type="duplicateValues" dxfId="1" priority="425"/>
  </conditionalFormatting>
  <conditionalFormatting sqref="B52">
    <cfRule type="duplicateValues" dxfId="1" priority="424"/>
  </conditionalFormatting>
  <conditionalFormatting sqref="B53">
    <cfRule type="duplicateValues" dxfId="1" priority="423"/>
  </conditionalFormatting>
  <conditionalFormatting sqref="B54">
    <cfRule type="duplicateValues" dxfId="1" priority="422"/>
  </conditionalFormatting>
  <conditionalFormatting sqref="B55">
    <cfRule type="duplicateValues" dxfId="1" priority="421"/>
  </conditionalFormatting>
  <conditionalFormatting sqref="B56">
    <cfRule type="duplicateValues" dxfId="1" priority="420"/>
  </conditionalFormatting>
  <conditionalFormatting sqref="B57">
    <cfRule type="duplicateValues" dxfId="1" priority="419"/>
  </conditionalFormatting>
  <conditionalFormatting sqref="B58">
    <cfRule type="duplicateValues" dxfId="1" priority="418"/>
  </conditionalFormatting>
  <conditionalFormatting sqref="B59">
    <cfRule type="duplicateValues" dxfId="1" priority="417"/>
  </conditionalFormatting>
  <conditionalFormatting sqref="B60">
    <cfRule type="duplicateValues" dxfId="1" priority="416"/>
  </conditionalFormatting>
  <conditionalFormatting sqref="B61">
    <cfRule type="duplicateValues" dxfId="1" priority="415"/>
  </conditionalFormatting>
  <conditionalFormatting sqref="B62">
    <cfRule type="duplicateValues" dxfId="1" priority="414"/>
  </conditionalFormatting>
  <conditionalFormatting sqref="B63">
    <cfRule type="duplicateValues" dxfId="1" priority="413"/>
  </conditionalFormatting>
  <conditionalFormatting sqref="B64">
    <cfRule type="duplicateValues" dxfId="1" priority="412"/>
  </conditionalFormatting>
  <conditionalFormatting sqref="B65">
    <cfRule type="duplicateValues" dxfId="1" priority="411"/>
  </conditionalFormatting>
  <conditionalFormatting sqref="B66">
    <cfRule type="duplicateValues" dxfId="1" priority="410"/>
  </conditionalFormatting>
  <conditionalFormatting sqref="B67">
    <cfRule type="duplicateValues" dxfId="1" priority="409"/>
  </conditionalFormatting>
  <conditionalFormatting sqref="B68">
    <cfRule type="duplicateValues" dxfId="1" priority="408"/>
  </conditionalFormatting>
  <conditionalFormatting sqref="B69">
    <cfRule type="duplicateValues" dxfId="1" priority="407"/>
  </conditionalFormatting>
  <conditionalFormatting sqref="B70">
    <cfRule type="duplicateValues" dxfId="1" priority="406"/>
  </conditionalFormatting>
  <conditionalFormatting sqref="B71">
    <cfRule type="duplicateValues" dxfId="1" priority="405"/>
  </conditionalFormatting>
  <conditionalFormatting sqref="B72">
    <cfRule type="duplicateValues" dxfId="1" priority="404"/>
  </conditionalFormatting>
  <conditionalFormatting sqref="B73">
    <cfRule type="duplicateValues" dxfId="1" priority="403"/>
  </conditionalFormatting>
  <conditionalFormatting sqref="B74">
    <cfRule type="duplicateValues" dxfId="1" priority="402"/>
  </conditionalFormatting>
  <conditionalFormatting sqref="B75">
    <cfRule type="duplicateValues" dxfId="1" priority="401"/>
  </conditionalFormatting>
  <conditionalFormatting sqref="B76">
    <cfRule type="duplicateValues" dxfId="1" priority="400"/>
  </conditionalFormatting>
  <conditionalFormatting sqref="B77">
    <cfRule type="duplicateValues" dxfId="1" priority="399"/>
  </conditionalFormatting>
  <conditionalFormatting sqref="B78">
    <cfRule type="duplicateValues" dxfId="1" priority="398"/>
  </conditionalFormatting>
  <conditionalFormatting sqref="B79">
    <cfRule type="duplicateValues" dxfId="1" priority="397"/>
  </conditionalFormatting>
  <conditionalFormatting sqref="B80">
    <cfRule type="duplicateValues" dxfId="1" priority="396"/>
  </conditionalFormatting>
  <conditionalFormatting sqref="B81">
    <cfRule type="duplicateValues" dxfId="1" priority="395"/>
  </conditionalFormatting>
  <conditionalFormatting sqref="B82">
    <cfRule type="duplicateValues" dxfId="1" priority="394"/>
  </conditionalFormatting>
  <conditionalFormatting sqref="B83">
    <cfRule type="duplicateValues" dxfId="1" priority="393"/>
  </conditionalFormatting>
  <conditionalFormatting sqref="B84">
    <cfRule type="duplicateValues" dxfId="1" priority="392"/>
  </conditionalFormatting>
  <conditionalFormatting sqref="B85">
    <cfRule type="duplicateValues" dxfId="1" priority="391"/>
  </conditionalFormatting>
  <conditionalFormatting sqref="B86">
    <cfRule type="duplicateValues" dxfId="1" priority="390"/>
  </conditionalFormatting>
  <conditionalFormatting sqref="B87">
    <cfRule type="duplicateValues" dxfId="1" priority="389"/>
  </conditionalFormatting>
  <conditionalFormatting sqref="B88">
    <cfRule type="duplicateValues" dxfId="1" priority="388"/>
  </conditionalFormatting>
  <conditionalFormatting sqref="B89">
    <cfRule type="duplicateValues" dxfId="1" priority="387"/>
  </conditionalFormatting>
  <conditionalFormatting sqref="B90">
    <cfRule type="duplicateValues" dxfId="1" priority="386"/>
  </conditionalFormatting>
  <conditionalFormatting sqref="B91">
    <cfRule type="duplicateValues" dxfId="1" priority="385"/>
  </conditionalFormatting>
  <conditionalFormatting sqref="B92">
    <cfRule type="duplicateValues" dxfId="1" priority="384"/>
  </conditionalFormatting>
  <conditionalFormatting sqref="B93">
    <cfRule type="duplicateValues" dxfId="1" priority="383"/>
  </conditionalFormatting>
  <conditionalFormatting sqref="B94">
    <cfRule type="duplicateValues" dxfId="1" priority="382"/>
  </conditionalFormatting>
  <conditionalFormatting sqref="B95">
    <cfRule type="duplicateValues" dxfId="1" priority="381"/>
  </conditionalFormatting>
  <conditionalFormatting sqref="B96">
    <cfRule type="duplicateValues" dxfId="1" priority="380"/>
  </conditionalFormatting>
  <conditionalFormatting sqref="B97">
    <cfRule type="duplicateValues" dxfId="1" priority="379"/>
  </conditionalFormatting>
  <conditionalFormatting sqref="B98">
    <cfRule type="duplicateValues" dxfId="1" priority="378"/>
  </conditionalFormatting>
  <conditionalFormatting sqref="B99">
    <cfRule type="duplicateValues" dxfId="1" priority="377"/>
  </conditionalFormatting>
  <conditionalFormatting sqref="B100">
    <cfRule type="duplicateValues" dxfId="1" priority="376"/>
  </conditionalFormatting>
  <conditionalFormatting sqref="B101">
    <cfRule type="duplicateValues" dxfId="1" priority="375"/>
  </conditionalFormatting>
  <conditionalFormatting sqref="B102">
    <cfRule type="duplicateValues" dxfId="1" priority="374"/>
  </conditionalFormatting>
  <conditionalFormatting sqref="B103">
    <cfRule type="duplicateValues" dxfId="1" priority="373"/>
  </conditionalFormatting>
  <conditionalFormatting sqref="B104">
    <cfRule type="duplicateValues" dxfId="1" priority="372"/>
  </conditionalFormatting>
  <conditionalFormatting sqref="B105">
    <cfRule type="duplicateValues" dxfId="1" priority="371"/>
  </conditionalFormatting>
  <conditionalFormatting sqref="B106">
    <cfRule type="duplicateValues" dxfId="1" priority="370"/>
  </conditionalFormatting>
  <conditionalFormatting sqref="B107">
    <cfRule type="duplicateValues" dxfId="1" priority="369"/>
  </conditionalFormatting>
  <conditionalFormatting sqref="B108">
    <cfRule type="duplicateValues" dxfId="1" priority="368"/>
  </conditionalFormatting>
  <conditionalFormatting sqref="B109">
    <cfRule type="duplicateValues" dxfId="1" priority="367"/>
  </conditionalFormatting>
  <conditionalFormatting sqref="B110">
    <cfRule type="duplicateValues" dxfId="1" priority="366"/>
  </conditionalFormatting>
  <conditionalFormatting sqref="B111">
    <cfRule type="duplicateValues" dxfId="1" priority="365"/>
  </conditionalFormatting>
  <conditionalFormatting sqref="B112">
    <cfRule type="duplicateValues" dxfId="1" priority="364"/>
  </conditionalFormatting>
  <conditionalFormatting sqref="B113">
    <cfRule type="duplicateValues" dxfId="1" priority="363"/>
  </conditionalFormatting>
  <conditionalFormatting sqref="B114">
    <cfRule type="duplicateValues" dxfId="1" priority="362"/>
  </conditionalFormatting>
  <conditionalFormatting sqref="B115">
    <cfRule type="duplicateValues" dxfId="1" priority="361"/>
  </conditionalFormatting>
  <conditionalFormatting sqref="B116">
    <cfRule type="duplicateValues" dxfId="1" priority="360"/>
  </conditionalFormatting>
  <conditionalFormatting sqref="B117">
    <cfRule type="duplicateValues" dxfId="1" priority="359"/>
  </conditionalFormatting>
  <conditionalFormatting sqref="B118">
    <cfRule type="duplicateValues" dxfId="1" priority="358"/>
  </conditionalFormatting>
  <conditionalFormatting sqref="B119">
    <cfRule type="duplicateValues" dxfId="1" priority="357"/>
  </conditionalFormatting>
  <conditionalFormatting sqref="B120">
    <cfRule type="duplicateValues" dxfId="1" priority="356"/>
  </conditionalFormatting>
  <conditionalFormatting sqref="B121">
    <cfRule type="duplicateValues" dxfId="1" priority="355"/>
  </conditionalFormatting>
  <conditionalFormatting sqref="B122">
    <cfRule type="duplicateValues" dxfId="1" priority="354"/>
  </conditionalFormatting>
  <conditionalFormatting sqref="B123">
    <cfRule type="duplicateValues" dxfId="1" priority="353"/>
  </conditionalFormatting>
  <conditionalFormatting sqref="B124">
    <cfRule type="duplicateValues" dxfId="1" priority="352"/>
  </conditionalFormatting>
  <conditionalFormatting sqref="B125">
    <cfRule type="duplicateValues" dxfId="1" priority="351"/>
  </conditionalFormatting>
  <conditionalFormatting sqref="B126">
    <cfRule type="duplicateValues" dxfId="1" priority="350"/>
  </conditionalFormatting>
  <conditionalFormatting sqref="B127">
    <cfRule type="duplicateValues" dxfId="1" priority="349"/>
  </conditionalFormatting>
  <conditionalFormatting sqref="B128">
    <cfRule type="duplicateValues" dxfId="1" priority="348"/>
  </conditionalFormatting>
  <conditionalFormatting sqref="B129">
    <cfRule type="duplicateValues" dxfId="1" priority="347"/>
  </conditionalFormatting>
  <conditionalFormatting sqref="B130">
    <cfRule type="duplicateValues" dxfId="1" priority="346"/>
  </conditionalFormatting>
  <conditionalFormatting sqref="B131">
    <cfRule type="duplicateValues" dxfId="1" priority="345"/>
  </conditionalFormatting>
  <conditionalFormatting sqref="B132">
    <cfRule type="duplicateValues" dxfId="1" priority="344"/>
  </conditionalFormatting>
  <conditionalFormatting sqref="B133">
    <cfRule type="duplicateValues" dxfId="1" priority="343"/>
  </conditionalFormatting>
  <conditionalFormatting sqref="B134">
    <cfRule type="duplicateValues" dxfId="1" priority="342"/>
  </conditionalFormatting>
  <conditionalFormatting sqref="B135">
    <cfRule type="duplicateValues" dxfId="1" priority="341"/>
  </conditionalFormatting>
  <conditionalFormatting sqref="B136">
    <cfRule type="duplicateValues" dxfId="1" priority="340"/>
  </conditionalFormatting>
  <conditionalFormatting sqref="B137">
    <cfRule type="duplicateValues" dxfId="1" priority="339"/>
  </conditionalFormatting>
  <conditionalFormatting sqref="B138">
    <cfRule type="duplicateValues" dxfId="1" priority="338"/>
  </conditionalFormatting>
  <conditionalFormatting sqref="B139">
    <cfRule type="duplicateValues" dxfId="1" priority="337"/>
  </conditionalFormatting>
  <conditionalFormatting sqref="B140">
    <cfRule type="duplicateValues" dxfId="1" priority="336"/>
  </conditionalFormatting>
  <conditionalFormatting sqref="B141">
    <cfRule type="duplicateValues" dxfId="1" priority="335"/>
  </conditionalFormatting>
  <conditionalFormatting sqref="B142">
    <cfRule type="duplicateValues" dxfId="1" priority="334"/>
  </conditionalFormatting>
  <conditionalFormatting sqref="B143">
    <cfRule type="duplicateValues" dxfId="1" priority="333"/>
  </conditionalFormatting>
  <conditionalFormatting sqref="B144">
    <cfRule type="duplicateValues" dxfId="1" priority="332"/>
  </conditionalFormatting>
  <conditionalFormatting sqref="B145">
    <cfRule type="duplicateValues" dxfId="1" priority="331"/>
  </conditionalFormatting>
  <conditionalFormatting sqref="B146">
    <cfRule type="duplicateValues" dxfId="1" priority="330"/>
  </conditionalFormatting>
  <conditionalFormatting sqref="B147">
    <cfRule type="duplicateValues" dxfId="1" priority="329"/>
  </conditionalFormatting>
  <conditionalFormatting sqref="B148">
    <cfRule type="duplicateValues" dxfId="1" priority="328"/>
  </conditionalFormatting>
  <conditionalFormatting sqref="B149">
    <cfRule type="duplicateValues" dxfId="1" priority="327"/>
  </conditionalFormatting>
  <conditionalFormatting sqref="B150">
    <cfRule type="duplicateValues" dxfId="1" priority="326"/>
  </conditionalFormatting>
  <conditionalFormatting sqref="B151">
    <cfRule type="duplicateValues" dxfId="1" priority="325"/>
  </conditionalFormatting>
  <conditionalFormatting sqref="B152">
    <cfRule type="duplicateValues" dxfId="1" priority="324"/>
  </conditionalFormatting>
  <conditionalFormatting sqref="B153">
    <cfRule type="duplicateValues" dxfId="1" priority="323"/>
  </conditionalFormatting>
  <conditionalFormatting sqref="B154">
    <cfRule type="duplicateValues" dxfId="1" priority="322"/>
  </conditionalFormatting>
  <conditionalFormatting sqref="B155">
    <cfRule type="duplicateValues" dxfId="1" priority="321"/>
  </conditionalFormatting>
  <conditionalFormatting sqref="B156">
    <cfRule type="duplicateValues" dxfId="1" priority="320"/>
  </conditionalFormatting>
  <conditionalFormatting sqref="B157">
    <cfRule type="duplicateValues" dxfId="1" priority="319"/>
  </conditionalFormatting>
  <conditionalFormatting sqref="B158">
    <cfRule type="duplicateValues" dxfId="1" priority="318"/>
  </conditionalFormatting>
  <conditionalFormatting sqref="B159">
    <cfRule type="duplicateValues" dxfId="1" priority="317"/>
  </conditionalFormatting>
  <conditionalFormatting sqref="B160">
    <cfRule type="duplicateValues" dxfId="1" priority="316"/>
  </conditionalFormatting>
  <conditionalFormatting sqref="B161">
    <cfRule type="duplicateValues" dxfId="1" priority="315"/>
  </conditionalFormatting>
  <conditionalFormatting sqref="B162">
    <cfRule type="duplicateValues" dxfId="1" priority="314"/>
  </conditionalFormatting>
  <conditionalFormatting sqref="B163">
    <cfRule type="duplicateValues" dxfId="1" priority="313"/>
  </conditionalFormatting>
  <conditionalFormatting sqref="B164">
    <cfRule type="duplicateValues" dxfId="1" priority="312"/>
  </conditionalFormatting>
  <conditionalFormatting sqref="B165">
    <cfRule type="duplicateValues" dxfId="1" priority="311"/>
  </conditionalFormatting>
  <conditionalFormatting sqref="B166">
    <cfRule type="duplicateValues" dxfId="1" priority="310"/>
  </conditionalFormatting>
  <conditionalFormatting sqref="B167">
    <cfRule type="duplicateValues" dxfId="1" priority="309"/>
  </conditionalFormatting>
  <conditionalFormatting sqref="B168">
    <cfRule type="duplicateValues" dxfId="1" priority="308"/>
  </conditionalFormatting>
  <conditionalFormatting sqref="B169">
    <cfRule type="duplicateValues" dxfId="1" priority="307"/>
  </conditionalFormatting>
  <conditionalFormatting sqref="B170">
    <cfRule type="duplicateValues" dxfId="1" priority="306"/>
  </conditionalFormatting>
  <conditionalFormatting sqref="B171">
    <cfRule type="duplicateValues" dxfId="1" priority="305"/>
  </conditionalFormatting>
  <conditionalFormatting sqref="B172">
    <cfRule type="duplicateValues" dxfId="1" priority="304"/>
  </conditionalFormatting>
  <conditionalFormatting sqref="B173">
    <cfRule type="duplicateValues" dxfId="1" priority="303"/>
  </conditionalFormatting>
  <conditionalFormatting sqref="B174">
    <cfRule type="duplicateValues" dxfId="1" priority="302"/>
  </conditionalFormatting>
  <conditionalFormatting sqref="B175">
    <cfRule type="duplicateValues" dxfId="1" priority="301"/>
  </conditionalFormatting>
  <conditionalFormatting sqref="B176">
    <cfRule type="duplicateValues" dxfId="1" priority="300"/>
  </conditionalFormatting>
  <conditionalFormatting sqref="B177">
    <cfRule type="duplicateValues" dxfId="1" priority="299"/>
  </conditionalFormatting>
  <conditionalFormatting sqref="B178">
    <cfRule type="duplicateValues" dxfId="1" priority="298"/>
  </conditionalFormatting>
  <conditionalFormatting sqref="B179">
    <cfRule type="duplicateValues" dxfId="1" priority="297"/>
  </conditionalFormatting>
  <conditionalFormatting sqref="B180">
    <cfRule type="duplicateValues" dxfId="1" priority="296"/>
  </conditionalFormatting>
  <conditionalFormatting sqref="B181">
    <cfRule type="duplicateValues" dxfId="1" priority="295"/>
  </conditionalFormatting>
  <conditionalFormatting sqref="B182">
    <cfRule type="duplicateValues" dxfId="1" priority="294"/>
  </conditionalFormatting>
  <conditionalFormatting sqref="B183">
    <cfRule type="duplicateValues" dxfId="1" priority="293"/>
  </conditionalFormatting>
  <conditionalFormatting sqref="B184">
    <cfRule type="duplicateValues" dxfId="1" priority="292"/>
  </conditionalFormatting>
  <conditionalFormatting sqref="B185">
    <cfRule type="duplicateValues" dxfId="1" priority="291"/>
  </conditionalFormatting>
  <conditionalFormatting sqref="B186">
    <cfRule type="duplicateValues" dxfId="1" priority="290"/>
  </conditionalFormatting>
  <conditionalFormatting sqref="B187">
    <cfRule type="duplicateValues" dxfId="1" priority="289"/>
  </conditionalFormatting>
  <conditionalFormatting sqref="B188">
    <cfRule type="duplicateValues" dxfId="1" priority="288"/>
  </conditionalFormatting>
  <conditionalFormatting sqref="B189">
    <cfRule type="duplicateValues" dxfId="1" priority="287"/>
  </conditionalFormatting>
  <conditionalFormatting sqref="B190">
    <cfRule type="duplicateValues" dxfId="1" priority="286"/>
  </conditionalFormatting>
  <conditionalFormatting sqref="B191">
    <cfRule type="duplicateValues" dxfId="1" priority="285"/>
  </conditionalFormatting>
  <conditionalFormatting sqref="B192">
    <cfRule type="duplicateValues" dxfId="1" priority="284"/>
  </conditionalFormatting>
  <conditionalFormatting sqref="B193">
    <cfRule type="duplicateValues" dxfId="1" priority="283"/>
  </conditionalFormatting>
  <conditionalFormatting sqref="B194">
    <cfRule type="duplicateValues" dxfId="1" priority="282"/>
  </conditionalFormatting>
  <conditionalFormatting sqref="B195">
    <cfRule type="duplicateValues" dxfId="1" priority="281"/>
  </conditionalFormatting>
  <conditionalFormatting sqref="B196">
    <cfRule type="duplicateValues" dxfId="1" priority="280"/>
  </conditionalFormatting>
  <conditionalFormatting sqref="B197">
    <cfRule type="duplicateValues" dxfId="1" priority="279"/>
  </conditionalFormatting>
  <conditionalFormatting sqref="B198">
    <cfRule type="duplicateValues" dxfId="1" priority="278"/>
  </conditionalFormatting>
  <conditionalFormatting sqref="B199">
    <cfRule type="duplicateValues" dxfId="1" priority="277"/>
  </conditionalFormatting>
  <conditionalFormatting sqref="B200">
    <cfRule type="duplicateValues" dxfId="1" priority="276"/>
  </conditionalFormatting>
  <conditionalFormatting sqref="B201">
    <cfRule type="duplicateValues" dxfId="1" priority="275"/>
  </conditionalFormatting>
  <conditionalFormatting sqref="B202">
    <cfRule type="duplicateValues" dxfId="1" priority="274"/>
  </conditionalFormatting>
  <conditionalFormatting sqref="B203">
    <cfRule type="duplicateValues" dxfId="1" priority="273"/>
  </conditionalFormatting>
  <conditionalFormatting sqref="B204">
    <cfRule type="duplicateValues" dxfId="1" priority="272"/>
  </conditionalFormatting>
  <conditionalFormatting sqref="B205">
    <cfRule type="duplicateValues" dxfId="1" priority="271"/>
  </conditionalFormatting>
  <conditionalFormatting sqref="B206">
    <cfRule type="duplicateValues" dxfId="1" priority="270"/>
  </conditionalFormatting>
  <conditionalFormatting sqref="B207">
    <cfRule type="duplicateValues" dxfId="1" priority="269"/>
  </conditionalFormatting>
  <conditionalFormatting sqref="B208">
    <cfRule type="duplicateValues" dxfId="1" priority="268"/>
  </conditionalFormatting>
  <conditionalFormatting sqref="B209">
    <cfRule type="duplicateValues" dxfId="1" priority="267"/>
  </conditionalFormatting>
  <conditionalFormatting sqref="B210">
    <cfRule type="duplicateValues" dxfId="1" priority="266"/>
  </conditionalFormatting>
  <conditionalFormatting sqref="B211">
    <cfRule type="duplicateValues" dxfId="1" priority="265"/>
  </conditionalFormatting>
  <conditionalFormatting sqref="B212">
    <cfRule type="duplicateValues" dxfId="1" priority="264"/>
  </conditionalFormatting>
  <conditionalFormatting sqref="B213">
    <cfRule type="duplicateValues" dxfId="1" priority="263"/>
  </conditionalFormatting>
  <conditionalFormatting sqref="B214">
    <cfRule type="duplicateValues" dxfId="1" priority="262"/>
  </conditionalFormatting>
  <conditionalFormatting sqref="B215">
    <cfRule type="duplicateValues" dxfId="1" priority="261"/>
  </conditionalFormatting>
  <conditionalFormatting sqref="B216">
    <cfRule type="duplicateValues" dxfId="1" priority="260"/>
  </conditionalFormatting>
  <conditionalFormatting sqref="B217">
    <cfRule type="duplicateValues" dxfId="1" priority="259"/>
  </conditionalFormatting>
  <conditionalFormatting sqref="B218">
    <cfRule type="duplicateValues" dxfId="1" priority="258"/>
  </conditionalFormatting>
  <conditionalFormatting sqref="B219">
    <cfRule type="duplicateValues" dxfId="1" priority="257"/>
  </conditionalFormatting>
  <conditionalFormatting sqref="B220">
    <cfRule type="duplicateValues" dxfId="1" priority="256"/>
  </conditionalFormatting>
  <conditionalFormatting sqref="B221">
    <cfRule type="duplicateValues" dxfId="1" priority="255"/>
  </conditionalFormatting>
  <conditionalFormatting sqref="B222">
    <cfRule type="duplicateValues" dxfId="1" priority="254"/>
  </conditionalFormatting>
  <conditionalFormatting sqref="B223">
    <cfRule type="duplicateValues" dxfId="1" priority="253"/>
  </conditionalFormatting>
  <conditionalFormatting sqref="B224">
    <cfRule type="duplicateValues" dxfId="1" priority="252"/>
  </conditionalFormatting>
  <conditionalFormatting sqref="B225">
    <cfRule type="duplicateValues" dxfId="1" priority="251"/>
  </conditionalFormatting>
  <conditionalFormatting sqref="B226">
    <cfRule type="duplicateValues" dxfId="1" priority="250"/>
  </conditionalFormatting>
  <conditionalFormatting sqref="B227">
    <cfRule type="duplicateValues" dxfId="1" priority="249"/>
  </conditionalFormatting>
  <conditionalFormatting sqref="B228">
    <cfRule type="duplicateValues" dxfId="1" priority="248"/>
  </conditionalFormatting>
  <conditionalFormatting sqref="B229">
    <cfRule type="duplicateValues" dxfId="1" priority="247"/>
  </conditionalFormatting>
  <conditionalFormatting sqref="B230">
    <cfRule type="duplicateValues" dxfId="1" priority="246"/>
  </conditionalFormatting>
  <conditionalFormatting sqref="B231">
    <cfRule type="duplicateValues" dxfId="1" priority="245"/>
  </conditionalFormatting>
  <conditionalFormatting sqref="B232">
    <cfRule type="duplicateValues" dxfId="1" priority="244"/>
  </conditionalFormatting>
  <conditionalFormatting sqref="B233">
    <cfRule type="duplicateValues" dxfId="1" priority="243"/>
  </conditionalFormatting>
  <conditionalFormatting sqref="B234">
    <cfRule type="duplicateValues" dxfId="1" priority="242"/>
  </conditionalFormatting>
  <conditionalFormatting sqref="B235">
    <cfRule type="duplicateValues" dxfId="1" priority="241"/>
  </conditionalFormatting>
  <conditionalFormatting sqref="B236">
    <cfRule type="duplicateValues" dxfId="1" priority="240"/>
  </conditionalFormatting>
  <conditionalFormatting sqref="B237">
    <cfRule type="duplicateValues" dxfId="1" priority="239"/>
  </conditionalFormatting>
  <conditionalFormatting sqref="B238">
    <cfRule type="duplicateValues" dxfId="1" priority="238"/>
  </conditionalFormatting>
  <conditionalFormatting sqref="B239">
    <cfRule type="duplicateValues" dxfId="1" priority="237"/>
  </conditionalFormatting>
  <conditionalFormatting sqref="B240">
    <cfRule type="duplicateValues" dxfId="1" priority="236"/>
  </conditionalFormatting>
  <conditionalFormatting sqref="B241">
    <cfRule type="duplicateValues" dxfId="1" priority="235"/>
  </conditionalFormatting>
  <conditionalFormatting sqref="B242">
    <cfRule type="duplicateValues" dxfId="1" priority="234"/>
  </conditionalFormatting>
  <conditionalFormatting sqref="B243">
    <cfRule type="duplicateValues" dxfId="1" priority="233"/>
  </conditionalFormatting>
  <conditionalFormatting sqref="B244">
    <cfRule type="duplicateValues" dxfId="1" priority="232"/>
  </conditionalFormatting>
  <conditionalFormatting sqref="B245">
    <cfRule type="duplicateValues" dxfId="1" priority="231"/>
  </conditionalFormatting>
  <conditionalFormatting sqref="B246">
    <cfRule type="duplicateValues" dxfId="1" priority="230"/>
  </conditionalFormatting>
  <conditionalFormatting sqref="B247">
    <cfRule type="duplicateValues" dxfId="1" priority="229"/>
  </conditionalFormatting>
  <conditionalFormatting sqref="B248">
    <cfRule type="duplicateValues" dxfId="1" priority="228"/>
  </conditionalFormatting>
  <conditionalFormatting sqref="B249">
    <cfRule type="duplicateValues" dxfId="1" priority="227"/>
  </conditionalFormatting>
  <conditionalFormatting sqref="B250">
    <cfRule type="duplicateValues" dxfId="1" priority="226"/>
  </conditionalFormatting>
  <conditionalFormatting sqref="B251">
    <cfRule type="duplicateValues" dxfId="1" priority="225"/>
  </conditionalFormatting>
  <conditionalFormatting sqref="B252">
    <cfRule type="duplicateValues" dxfId="1" priority="224"/>
  </conditionalFormatting>
  <conditionalFormatting sqref="B253">
    <cfRule type="duplicateValues" dxfId="1" priority="223"/>
  </conditionalFormatting>
  <conditionalFormatting sqref="B254">
    <cfRule type="duplicateValues" dxfId="1" priority="222"/>
  </conditionalFormatting>
  <conditionalFormatting sqref="B255">
    <cfRule type="duplicateValues" dxfId="1" priority="221"/>
  </conditionalFormatting>
  <conditionalFormatting sqref="B256">
    <cfRule type="duplicateValues" dxfId="1" priority="220"/>
  </conditionalFormatting>
  <conditionalFormatting sqref="B257">
    <cfRule type="duplicateValues" dxfId="1" priority="219"/>
  </conditionalFormatting>
  <conditionalFormatting sqref="B258">
    <cfRule type="duplicateValues" dxfId="1" priority="218"/>
  </conditionalFormatting>
  <conditionalFormatting sqref="B259">
    <cfRule type="duplicateValues" dxfId="1" priority="217"/>
  </conditionalFormatting>
  <conditionalFormatting sqref="B260">
    <cfRule type="duplicateValues" dxfId="1" priority="216"/>
  </conditionalFormatting>
  <conditionalFormatting sqref="B261">
    <cfRule type="duplicateValues" dxfId="1" priority="215"/>
  </conditionalFormatting>
  <conditionalFormatting sqref="B262">
    <cfRule type="duplicateValues" dxfId="1" priority="214"/>
  </conditionalFormatting>
  <conditionalFormatting sqref="B263">
    <cfRule type="duplicateValues" dxfId="1" priority="213"/>
  </conditionalFormatting>
  <conditionalFormatting sqref="B264">
    <cfRule type="duplicateValues" dxfId="1" priority="212"/>
  </conditionalFormatting>
  <conditionalFormatting sqref="B265">
    <cfRule type="duplicateValues" dxfId="1" priority="211"/>
  </conditionalFormatting>
  <conditionalFormatting sqref="B266">
    <cfRule type="duplicateValues" dxfId="1" priority="210"/>
  </conditionalFormatting>
  <conditionalFormatting sqref="B267">
    <cfRule type="duplicateValues" dxfId="1" priority="209"/>
  </conditionalFormatting>
  <conditionalFormatting sqref="B268">
    <cfRule type="duplicateValues" dxfId="1" priority="208"/>
  </conditionalFormatting>
  <conditionalFormatting sqref="B269">
    <cfRule type="duplicateValues" dxfId="1" priority="207"/>
  </conditionalFormatting>
  <conditionalFormatting sqref="B270">
    <cfRule type="duplicateValues" dxfId="1" priority="206"/>
  </conditionalFormatting>
  <conditionalFormatting sqref="B271">
    <cfRule type="duplicateValues" dxfId="1" priority="205"/>
  </conditionalFormatting>
  <conditionalFormatting sqref="B272">
    <cfRule type="duplicateValues" dxfId="1" priority="204"/>
  </conditionalFormatting>
  <conditionalFormatting sqref="B273">
    <cfRule type="duplicateValues" dxfId="1" priority="203"/>
  </conditionalFormatting>
  <conditionalFormatting sqref="B274">
    <cfRule type="duplicateValues" dxfId="1" priority="202"/>
  </conditionalFormatting>
  <conditionalFormatting sqref="B275">
    <cfRule type="duplicateValues" dxfId="1" priority="201"/>
  </conditionalFormatting>
  <conditionalFormatting sqref="B276">
    <cfRule type="duplicateValues" dxfId="1" priority="200"/>
  </conditionalFormatting>
  <conditionalFormatting sqref="B277">
    <cfRule type="duplicateValues" dxfId="1" priority="199"/>
  </conditionalFormatting>
  <conditionalFormatting sqref="B278">
    <cfRule type="duplicateValues" dxfId="1" priority="198"/>
  </conditionalFormatting>
  <conditionalFormatting sqref="B279">
    <cfRule type="duplicateValues" dxfId="1" priority="197"/>
  </conditionalFormatting>
  <conditionalFormatting sqref="B280">
    <cfRule type="duplicateValues" dxfId="1" priority="196"/>
  </conditionalFormatting>
  <conditionalFormatting sqref="B281">
    <cfRule type="duplicateValues" dxfId="1" priority="195"/>
  </conditionalFormatting>
  <conditionalFormatting sqref="B282">
    <cfRule type="duplicateValues" dxfId="1" priority="194"/>
  </conditionalFormatting>
  <conditionalFormatting sqref="B283">
    <cfRule type="duplicateValues" dxfId="1" priority="193"/>
  </conditionalFormatting>
  <conditionalFormatting sqref="B284">
    <cfRule type="duplicateValues" dxfId="1" priority="192"/>
  </conditionalFormatting>
  <conditionalFormatting sqref="B285">
    <cfRule type="duplicateValues" dxfId="1" priority="191"/>
  </conditionalFormatting>
  <conditionalFormatting sqref="B286">
    <cfRule type="duplicateValues" dxfId="1" priority="190"/>
  </conditionalFormatting>
  <conditionalFormatting sqref="B287">
    <cfRule type="duplicateValues" dxfId="1" priority="189"/>
  </conditionalFormatting>
  <conditionalFormatting sqref="B288">
    <cfRule type="duplicateValues" dxfId="1" priority="188"/>
  </conditionalFormatting>
  <conditionalFormatting sqref="B289">
    <cfRule type="duplicateValues" dxfId="1" priority="187"/>
  </conditionalFormatting>
  <conditionalFormatting sqref="B290">
    <cfRule type="duplicateValues" dxfId="1" priority="186"/>
  </conditionalFormatting>
  <conditionalFormatting sqref="B291">
    <cfRule type="duplicateValues" dxfId="1" priority="185"/>
  </conditionalFormatting>
  <conditionalFormatting sqref="B292">
    <cfRule type="duplicateValues" dxfId="1" priority="184"/>
  </conditionalFormatting>
  <conditionalFormatting sqref="B293">
    <cfRule type="duplicateValues" dxfId="1" priority="183"/>
  </conditionalFormatting>
  <conditionalFormatting sqref="B294">
    <cfRule type="duplicateValues" dxfId="1" priority="182"/>
  </conditionalFormatting>
  <conditionalFormatting sqref="B295">
    <cfRule type="duplicateValues" dxfId="1" priority="181"/>
  </conditionalFormatting>
  <conditionalFormatting sqref="B296">
    <cfRule type="duplicateValues" dxfId="1" priority="180"/>
  </conditionalFormatting>
  <conditionalFormatting sqref="B297">
    <cfRule type="duplicateValues" dxfId="1" priority="179"/>
  </conditionalFormatting>
  <conditionalFormatting sqref="B298">
    <cfRule type="duplicateValues" dxfId="1" priority="178"/>
  </conditionalFormatting>
  <conditionalFormatting sqref="B299">
    <cfRule type="duplicateValues" dxfId="1" priority="177"/>
  </conditionalFormatting>
  <conditionalFormatting sqref="B300">
    <cfRule type="duplicateValues" dxfId="1" priority="176"/>
  </conditionalFormatting>
  <conditionalFormatting sqref="B301">
    <cfRule type="duplicateValues" dxfId="1" priority="175"/>
  </conditionalFormatting>
  <conditionalFormatting sqref="B302">
    <cfRule type="duplicateValues" dxfId="1" priority="174"/>
  </conditionalFormatting>
  <conditionalFormatting sqref="B303">
    <cfRule type="duplicateValues" dxfId="1" priority="173"/>
  </conditionalFormatting>
  <conditionalFormatting sqref="B304">
    <cfRule type="duplicateValues" dxfId="1" priority="172"/>
  </conditionalFormatting>
  <conditionalFormatting sqref="B305">
    <cfRule type="duplicateValues" dxfId="1" priority="171"/>
  </conditionalFormatting>
  <conditionalFormatting sqref="B306">
    <cfRule type="duplicateValues" dxfId="1" priority="170"/>
  </conditionalFormatting>
  <conditionalFormatting sqref="B307">
    <cfRule type="duplicateValues" dxfId="1" priority="169"/>
  </conditionalFormatting>
  <conditionalFormatting sqref="B308">
    <cfRule type="duplicateValues" dxfId="1" priority="168"/>
  </conditionalFormatting>
  <conditionalFormatting sqref="B309">
    <cfRule type="duplicateValues" dxfId="1" priority="167"/>
  </conditionalFormatting>
  <conditionalFormatting sqref="B310">
    <cfRule type="duplicateValues" dxfId="1" priority="166"/>
  </conditionalFormatting>
  <conditionalFormatting sqref="B311">
    <cfRule type="duplicateValues" dxfId="1" priority="165"/>
  </conditionalFormatting>
  <conditionalFormatting sqref="B312">
    <cfRule type="duplicateValues" dxfId="1" priority="164"/>
  </conditionalFormatting>
  <conditionalFormatting sqref="B313">
    <cfRule type="duplicateValues" dxfId="1" priority="163"/>
  </conditionalFormatting>
  <conditionalFormatting sqref="B314">
    <cfRule type="duplicateValues" dxfId="1" priority="162"/>
  </conditionalFormatting>
  <conditionalFormatting sqref="B315">
    <cfRule type="duplicateValues" dxfId="1" priority="161"/>
  </conditionalFormatting>
  <conditionalFormatting sqref="B316">
    <cfRule type="duplicateValues" dxfId="1" priority="160"/>
  </conditionalFormatting>
  <conditionalFormatting sqref="B317">
    <cfRule type="duplicateValues" dxfId="1" priority="159"/>
  </conditionalFormatting>
  <conditionalFormatting sqref="B318">
    <cfRule type="duplicateValues" dxfId="1" priority="158"/>
  </conditionalFormatting>
  <conditionalFormatting sqref="B319">
    <cfRule type="duplicateValues" dxfId="1" priority="157"/>
  </conditionalFormatting>
  <conditionalFormatting sqref="B320">
    <cfRule type="duplicateValues" dxfId="1" priority="156"/>
  </conditionalFormatting>
  <conditionalFormatting sqref="B321">
    <cfRule type="duplicateValues" dxfId="1" priority="155"/>
  </conditionalFormatting>
  <conditionalFormatting sqref="B322">
    <cfRule type="duplicateValues" dxfId="1" priority="154"/>
  </conditionalFormatting>
  <conditionalFormatting sqref="B323">
    <cfRule type="duplicateValues" dxfId="1" priority="153"/>
  </conditionalFormatting>
  <conditionalFormatting sqref="B324">
    <cfRule type="duplicateValues" dxfId="1" priority="152"/>
  </conditionalFormatting>
  <conditionalFormatting sqref="B325">
    <cfRule type="duplicateValues" dxfId="1" priority="151"/>
  </conditionalFormatting>
  <conditionalFormatting sqref="B326">
    <cfRule type="duplicateValues" dxfId="1" priority="150"/>
  </conditionalFormatting>
  <conditionalFormatting sqref="B327">
    <cfRule type="duplicateValues" dxfId="1" priority="149"/>
  </conditionalFormatting>
  <conditionalFormatting sqref="B328">
    <cfRule type="duplicateValues" dxfId="1" priority="148"/>
  </conditionalFormatting>
  <conditionalFormatting sqref="B329">
    <cfRule type="duplicateValues" dxfId="1" priority="147"/>
  </conditionalFormatting>
  <conditionalFormatting sqref="B330">
    <cfRule type="duplicateValues" dxfId="1" priority="146"/>
  </conditionalFormatting>
  <conditionalFormatting sqref="B331">
    <cfRule type="duplicateValues" dxfId="1" priority="145"/>
  </conditionalFormatting>
  <conditionalFormatting sqref="B332">
    <cfRule type="duplicateValues" dxfId="1" priority="144"/>
  </conditionalFormatting>
  <conditionalFormatting sqref="B333">
    <cfRule type="duplicateValues" dxfId="1" priority="143"/>
  </conditionalFormatting>
  <conditionalFormatting sqref="B334">
    <cfRule type="duplicateValues" dxfId="1" priority="142"/>
  </conditionalFormatting>
  <conditionalFormatting sqref="B335">
    <cfRule type="duplicateValues" dxfId="1" priority="141"/>
  </conditionalFormatting>
  <conditionalFormatting sqref="B336">
    <cfRule type="duplicateValues" dxfId="1" priority="140"/>
  </conditionalFormatting>
  <conditionalFormatting sqref="B337">
    <cfRule type="duplicateValues" dxfId="1" priority="139"/>
  </conditionalFormatting>
  <conditionalFormatting sqref="B338">
    <cfRule type="duplicateValues" dxfId="1" priority="138"/>
  </conditionalFormatting>
  <conditionalFormatting sqref="B339">
    <cfRule type="duplicateValues" dxfId="1" priority="137"/>
  </conditionalFormatting>
  <conditionalFormatting sqref="B340">
    <cfRule type="duplicateValues" dxfId="1" priority="136"/>
  </conditionalFormatting>
  <conditionalFormatting sqref="B341">
    <cfRule type="duplicateValues" dxfId="1" priority="135"/>
  </conditionalFormatting>
  <conditionalFormatting sqref="B342">
    <cfRule type="duplicateValues" dxfId="1" priority="134"/>
  </conditionalFormatting>
  <conditionalFormatting sqref="B343">
    <cfRule type="duplicateValues" dxfId="1" priority="133"/>
  </conditionalFormatting>
  <conditionalFormatting sqref="B344">
    <cfRule type="duplicateValues" dxfId="1" priority="132"/>
  </conditionalFormatting>
  <conditionalFormatting sqref="B345">
    <cfRule type="duplicateValues" dxfId="1" priority="131"/>
  </conditionalFormatting>
  <conditionalFormatting sqref="B346">
    <cfRule type="duplicateValues" dxfId="1" priority="130"/>
  </conditionalFormatting>
  <conditionalFormatting sqref="B347">
    <cfRule type="duplicateValues" dxfId="1" priority="129"/>
  </conditionalFormatting>
  <conditionalFormatting sqref="B348">
    <cfRule type="duplicateValues" dxfId="1" priority="128"/>
  </conditionalFormatting>
  <conditionalFormatting sqref="B349">
    <cfRule type="duplicateValues" dxfId="1" priority="127"/>
  </conditionalFormatting>
  <conditionalFormatting sqref="B350">
    <cfRule type="duplicateValues" dxfId="1" priority="126"/>
  </conditionalFormatting>
  <conditionalFormatting sqref="B351">
    <cfRule type="duplicateValues" dxfId="1" priority="125"/>
  </conditionalFormatting>
  <conditionalFormatting sqref="B352">
    <cfRule type="duplicateValues" dxfId="1" priority="124"/>
  </conditionalFormatting>
  <conditionalFormatting sqref="B353">
    <cfRule type="duplicateValues" dxfId="1" priority="123"/>
  </conditionalFormatting>
  <conditionalFormatting sqref="B354">
    <cfRule type="duplicateValues" dxfId="1" priority="122"/>
  </conditionalFormatting>
  <conditionalFormatting sqref="B355">
    <cfRule type="duplicateValues" dxfId="1" priority="121"/>
  </conditionalFormatting>
  <conditionalFormatting sqref="B356">
    <cfRule type="duplicateValues" dxfId="1" priority="120"/>
  </conditionalFormatting>
  <conditionalFormatting sqref="B357">
    <cfRule type="duplicateValues" dxfId="1" priority="119"/>
  </conditionalFormatting>
  <conditionalFormatting sqref="B358">
    <cfRule type="duplicateValues" dxfId="1" priority="118"/>
  </conditionalFormatting>
  <conditionalFormatting sqref="B359">
    <cfRule type="duplicateValues" dxfId="1" priority="117"/>
  </conditionalFormatting>
  <conditionalFormatting sqref="B360">
    <cfRule type="duplicateValues" dxfId="1" priority="116"/>
  </conditionalFormatting>
  <conditionalFormatting sqref="B361">
    <cfRule type="duplicateValues" dxfId="1" priority="115"/>
  </conditionalFormatting>
  <conditionalFormatting sqref="B362">
    <cfRule type="duplicateValues" dxfId="1" priority="114"/>
  </conditionalFormatting>
  <conditionalFormatting sqref="B363">
    <cfRule type="duplicateValues" dxfId="1" priority="113"/>
  </conditionalFormatting>
  <conditionalFormatting sqref="B364">
    <cfRule type="duplicateValues" dxfId="1" priority="112"/>
  </conditionalFormatting>
  <conditionalFormatting sqref="B365">
    <cfRule type="duplicateValues" dxfId="1" priority="111"/>
  </conditionalFormatting>
  <conditionalFormatting sqref="B366">
    <cfRule type="duplicateValues" dxfId="1" priority="110"/>
  </conditionalFormatting>
  <conditionalFormatting sqref="B367">
    <cfRule type="duplicateValues" dxfId="1" priority="109"/>
  </conditionalFormatting>
  <conditionalFormatting sqref="B368">
    <cfRule type="duplicateValues" dxfId="1" priority="108"/>
  </conditionalFormatting>
  <conditionalFormatting sqref="B369">
    <cfRule type="duplicateValues" dxfId="1" priority="107"/>
  </conditionalFormatting>
  <conditionalFormatting sqref="B370">
    <cfRule type="duplicateValues" dxfId="1" priority="106"/>
  </conditionalFormatting>
  <conditionalFormatting sqref="B371">
    <cfRule type="duplicateValues" dxfId="1" priority="105"/>
  </conditionalFormatting>
  <conditionalFormatting sqref="B372">
    <cfRule type="duplicateValues" dxfId="1" priority="104"/>
  </conditionalFormatting>
  <conditionalFormatting sqref="B373">
    <cfRule type="duplicateValues" dxfId="1" priority="103"/>
  </conditionalFormatting>
  <conditionalFormatting sqref="B374">
    <cfRule type="duplicateValues" dxfId="1" priority="102"/>
  </conditionalFormatting>
  <conditionalFormatting sqref="B375">
    <cfRule type="duplicateValues" dxfId="1" priority="101"/>
  </conditionalFormatting>
  <conditionalFormatting sqref="B376">
    <cfRule type="duplicateValues" dxfId="1" priority="100"/>
  </conditionalFormatting>
  <conditionalFormatting sqref="B377">
    <cfRule type="duplicateValues" dxfId="1" priority="99"/>
  </conditionalFormatting>
  <conditionalFormatting sqref="B378">
    <cfRule type="duplicateValues" dxfId="1" priority="98"/>
  </conditionalFormatting>
  <conditionalFormatting sqref="B379">
    <cfRule type="duplicateValues" dxfId="1" priority="97"/>
  </conditionalFormatting>
  <conditionalFormatting sqref="B380">
    <cfRule type="duplicateValues" dxfId="1" priority="96"/>
  </conditionalFormatting>
  <conditionalFormatting sqref="B381">
    <cfRule type="duplicateValues" dxfId="1" priority="95"/>
  </conditionalFormatting>
  <conditionalFormatting sqref="B382">
    <cfRule type="duplicateValues" dxfId="1" priority="94"/>
  </conditionalFormatting>
  <conditionalFormatting sqref="B383">
    <cfRule type="duplicateValues" dxfId="1" priority="93"/>
  </conditionalFormatting>
  <conditionalFormatting sqref="B384">
    <cfRule type="duplicateValues" dxfId="1" priority="92"/>
  </conditionalFormatting>
  <conditionalFormatting sqref="B385">
    <cfRule type="duplicateValues" dxfId="1" priority="91"/>
  </conditionalFormatting>
  <conditionalFormatting sqref="B386">
    <cfRule type="duplicateValues" dxfId="1" priority="90"/>
  </conditionalFormatting>
  <conditionalFormatting sqref="B387">
    <cfRule type="duplicateValues" dxfId="1" priority="89"/>
  </conditionalFormatting>
  <conditionalFormatting sqref="B388">
    <cfRule type="duplicateValues" dxfId="1" priority="88"/>
  </conditionalFormatting>
  <conditionalFormatting sqref="B389">
    <cfRule type="duplicateValues" dxfId="1" priority="87"/>
  </conditionalFormatting>
  <conditionalFormatting sqref="B390">
    <cfRule type="duplicateValues" dxfId="1" priority="86"/>
  </conditionalFormatting>
  <conditionalFormatting sqref="B391">
    <cfRule type="duplicateValues" dxfId="1" priority="85"/>
  </conditionalFormatting>
  <conditionalFormatting sqref="B392">
    <cfRule type="duplicateValues" dxfId="1" priority="84"/>
  </conditionalFormatting>
  <conditionalFormatting sqref="B393">
    <cfRule type="duplicateValues" dxfId="1" priority="83"/>
  </conditionalFormatting>
  <conditionalFormatting sqref="B394">
    <cfRule type="duplicateValues" dxfId="1" priority="82"/>
  </conditionalFormatting>
  <conditionalFormatting sqref="B395">
    <cfRule type="duplicateValues" dxfId="1" priority="81"/>
  </conditionalFormatting>
  <conditionalFormatting sqref="B396">
    <cfRule type="duplicateValues" dxfId="1" priority="80"/>
  </conditionalFormatting>
  <conditionalFormatting sqref="B397">
    <cfRule type="duplicateValues" dxfId="1" priority="79"/>
  </conditionalFormatting>
  <conditionalFormatting sqref="B398">
    <cfRule type="duplicateValues" dxfId="1" priority="78"/>
  </conditionalFormatting>
  <conditionalFormatting sqref="B399">
    <cfRule type="duplicateValues" dxfId="1" priority="77"/>
  </conditionalFormatting>
  <conditionalFormatting sqref="B400">
    <cfRule type="duplicateValues" dxfId="1" priority="76"/>
  </conditionalFormatting>
  <conditionalFormatting sqref="B401">
    <cfRule type="duplicateValues" dxfId="1" priority="75"/>
  </conditionalFormatting>
  <conditionalFormatting sqref="B402">
    <cfRule type="duplicateValues" dxfId="1" priority="74"/>
  </conditionalFormatting>
  <conditionalFormatting sqref="B403">
    <cfRule type="duplicateValues" dxfId="1" priority="73"/>
  </conditionalFormatting>
  <conditionalFormatting sqref="B404">
    <cfRule type="duplicateValues" dxfId="1" priority="72"/>
  </conditionalFormatting>
  <conditionalFormatting sqref="B405">
    <cfRule type="duplicateValues" dxfId="1" priority="71"/>
  </conditionalFormatting>
  <conditionalFormatting sqref="B406">
    <cfRule type="duplicateValues" dxfId="1" priority="70"/>
  </conditionalFormatting>
  <conditionalFormatting sqref="B407">
    <cfRule type="duplicateValues" dxfId="1" priority="69"/>
  </conditionalFormatting>
  <conditionalFormatting sqref="B408">
    <cfRule type="duplicateValues" dxfId="1" priority="68"/>
  </conditionalFormatting>
  <conditionalFormatting sqref="B409">
    <cfRule type="duplicateValues" dxfId="1" priority="67"/>
  </conditionalFormatting>
  <conditionalFormatting sqref="B410">
    <cfRule type="duplicateValues" dxfId="1" priority="66"/>
  </conditionalFormatting>
  <conditionalFormatting sqref="B411">
    <cfRule type="duplicateValues" dxfId="1" priority="65"/>
  </conditionalFormatting>
  <conditionalFormatting sqref="B412">
    <cfRule type="duplicateValues" dxfId="1" priority="64"/>
  </conditionalFormatting>
  <conditionalFormatting sqref="B413">
    <cfRule type="duplicateValues" dxfId="1" priority="63"/>
  </conditionalFormatting>
  <conditionalFormatting sqref="B414">
    <cfRule type="duplicateValues" dxfId="1" priority="62"/>
  </conditionalFormatting>
  <conditionalFormatting sqref="B415">
    <cfRule type="duplicateValues" dxfId="1" priority="61"/>
  </conditionalFormatting>
  <conditionalFormatting sqref="B416">
    <cfRule type="duplicateValues" dxfId="1" priority="60"/>
  </conditionalFormatting>
  <conditionalFormatting sqref="B417">
    <cfRule type="duplicateValues" dxfId="1" priority="59"/>
  </conditionalFormatting>
  <conditionalFormatting sqref="B418">
    <cfRule type="duplicateValues" dxfId="1" priority="58"/>
  </conditionalFormatting>
  <conditionalFormatting sqref="B419">
    <cfRule type="duplicateValues" dxfId="1" priority="57"/>
  </conditionalFormatting>
  <conditionalFormatting sqref="B420">
    <cfRule type="duplicateValues" dxfId="1" priority="56"/>
  </conditionalFormatting>
  <conditionalFormatting sqref="B421">
    <cfRule type="duplicateValues" dxfId="1" priority="55"/>
  </conditionalFormatting>
  <conditionalFormatting sqref="B422">
    <cfRule type="duplicateValues" dxfId="1" priority="54"/>
  </conditionalFormatting>
  <conditionalFormatting sqref="B423">
    <cfRule type="duplicateValues" dxfId="1" priority="53"/>
  </conditionalFormatting>
  <conditionalFormatting sqref="B424">
    <cfRule type="duplicateValues" dxfId="1" priority="52"/>
  </conditionalFormatting>
  <conditionalFormatting sqref="B425">
    <cfRule type="duplicateValues" dxfId="1" priority="51"/>
  </conditionalFormatting>
  <conditionalFormatting sqref="B426">
    <cfRule type="duplicateValues" dxfId="1" priority="50"/>
  </conditionalFormatting>
  <conditionalFormatting sqref="B427">
    <cfRule type="duplicateValues" dxfId="1" priority="49"/>
  </conditionalFormatting>
  <conditionalFormatting sqref="B428">
    <cfRule type="duplicateValues" dxfId="1" priority="48"/>
  </conditionalFormatting>
  <conditionalFormatting sqref="B429">
    <cfRule type="duplicateValues" dxfId="1" priority="47"/>
  </conditionalFormatting>
  <conditionalFormatting sqref="B430">
    <cfRule type="duplicateValues" dxfId="1" priority="46"/>
  </conditionalFormatting>
  <conditionalFormatting sqref="B431">
    <cfRule type="duplicateValues" dxfId="1" priority="45"/>
  </conditionalFormatting>
  <conditionalFormatting sqref="B432">
    <cfRule type="duplicateValues" dxfId="1" priority="44"/>
  </conditionalFormatting>
  <conditionalFormatting sqref="B433">
    <cfRule type="duplicateValues" dxfId="1" priority="43"/>
  </conditionalFormatting>
  <conditionalFormatting sqref="B434">
    <cfRule type="duplicateValues" dxfId="1" priority="42"/>
  </conditionalFormatting>
  <conditionalFormatting sqref="B435">
    <cfRule type="duplicateValues" dxfId="1" priority="41"/>
  </conditionalFormatting>
  <conditionalFormatting sqref="B436">
    <cfRule type="duplicateValues" dxfId="1" priority="40"/>
  </conditionalFormatting>
  <conditionalFormatting sqref="B437">
    <cfRule type="duplicateValues" dxfId="1" priority="39"/>
  </conditionalFormatting>
  <conditionalFormatting sqref="B438">
    <cfRule type="duplicateValues" dxfId="1" priority="38"/>
  </conditionalFormatting>
  <conditionalFormatting sqref="B439">
    <cfRule type="duplicateValues" dxfId="1" priority="37"/>
  </conditionalFormatting>
  <conditionalFormatting sqref="B440">
    <cfRule type="duplicateValues" dxfId="1" priority="36"/>
  </conditionalFormatting>
  <conditionalFormatting sqref="B441">
    <cfRule type="duplicateValues" dxfId="1" priority="35"/>
  </conditionalFormatting>
  <conditionalFormatting sqref="B442">
    <cfRule type="duplicateValues" dxfId="1" priority="34"/>
  </conditionalFormatting>
  <conditionalFormatting sqref="B443">
    <cfRule type="duplicateValues" dxfId="1" priority="33"/>
  </conditionalFormatting>
  <conditionalFormatting sqref="B444">
    <cfRule type="duplicateValues" dxfId="1" priority="32"/>
  </conditionalFormatting>
  <conditionalFormatting sqref="B445">
    <cfRule type="duplicateValues" dxfId="1" priority="31"/>
  </conditionalFormatting>
  <conditionalFormatting sqref="B446">
    <cfRule type="duplicateValues" dxfId="1" priority="30"/>
  </conditionalFormatting>
  <conditionalFormatting sqref="B447">
    <cfRule type="duplicateValues" dxfId="1" priority="29"/>
  </conditionalFormatting>
  <conditionalFormatting sqref="B448">
    <cfRule type="duplicateValues" dxfId="1" priority="28"/>
  </conditionalFormatting>
  <conditionalFormatting sqref="B449">
    <cfRule type="duplicateValues" dxfId="1" priority="27"/>
  </conditionalFormatting>
  <conditionalFormatting sqref="B450">
    <cfRule type="duplicateValues" dxfId="1" priority="26"/>
  </conditionalFormatting>
  <conditionalFormatting sqref="B451">
    <cfRule type="duplicateValues" dxfId="1" priority="25"/>
  </conditionalFormatting>
  <conditionalFormatting sqref="B452">
    <cfRule type="duplicateValues" dxfId="1" priority="24"/>
  </conditionalFormatting>
  <conditionalFormatting sqref="B453">
    <cfRule type="duplicateValues" dxfId="1" priority="23"/>
  </conditionalFormatting>
  <conditionalFormatting sqref="B454">
    <cfRule type="duplicateValues" dxfId="1" priority="22"/>
  </conditionalFormatting>
  <conditionalFormatting sqref="B455">
    <cfRule type="duplicateValues" dxfId="1" priority="21"/>
  </conditionalFormatting>
  <conditionalFormatting sqref="B456">
    <cfRule type="duplicateValues" dxfId="1" priority="20"/>
  </conditionalFormatting>
  <conditionalFormatting sqref="B457">
    <cfRule type="duplicateValues" dxfId="1" priority="19"/>
  </conditionalFormatting>
  <conditionalFormatting sqref="B458">
    <cfRule type="duplicateValues" dxfId="1" priority="18"/>
  </conditionalFormatting>
  <conditionalFormatting sqref="B459">
    <cfRule type="duplicateValues" dxfId="1" priority="17"/>
  </conditionalFormatting>
  <conditionalFormatting sqref="B460">
    <cfRule type="duplicateValues" dxfId="1" priority="16"/>
  </conditionalFormatting>
  <conditionalFormatting sqref="B461">
    <cfRule type="duplicateValues" dxfId="1" priority="15"/>
  </conditionalFormatting>
  <conditionalFormatting sqref="B462">
    <cfRule type="duplicateValues" dxfId="1" priority="14"/>
  </conditionalFormatting>
  <conditionalFormatting sqref="B463">
    <cfRule type="duplicateValues" dxfId="1" priority="13"/>
  </conditionalFormatting>
  <conditionalFormatting sqref="B464">
    <cfRule type="duplicateValues" dxfId="1" priority="12"/>
  </conditionalFormatting>
  <conditionalFormatting sqref="B465">
    <cfRule type="duplicateValues" dxfId="1" priority="11"/>
  </conditionalFormatting>
  <conditionalFormatting sqref="B466">
    <cfRule type="duplicateValues" dxfId="1" priority="10"/>
  </conditionalFormatting>
  <conditionalFormatting sqref="B467">
    <cfRule type="duplicateValues" dxfId="1" priority="9"/>
  </conditionalFormatting>
  <conditionalFormatting sqref="B468">
    <cfRule type="duplicateValues" dxfId="1" priority="8"/>
  </conditionalFormatting>
  <conditionalFormatting sqref="B469">
    <cfRule type="duplicateValues" dxfId="1" priority="7"/>
  </conditionalFormatting>
  <conditionalFormatting sqref="B470">
    <cfRule type="duplicateValues" dxfId="1" priority="6"/>
  </conditionalFormatting>
  <conditionalFormatting sqref="B471">
    <cfRule type="duplicateValues" dxfId="1" priority="5"/>
  </conditionalFormatting>
  <conditionalFormatting sqref="B472">
    <cfRule type="duplicateValues" dxfId="1" priority="4"/>
  </conditionalFormatting>
  <conditionalFormatting sqref="B473">
    <cfRule type="duplicateValues" dxfId="1" priority="3"/>
  </conditionalFormatting>
  <conditionalFormatting sqref="B474">
    <cfRule type="duplicateValues" dxfId="1" priority="2"/>
  </conditionalFormatting>
  <conditionalFormatting sqref="B475">
    <cfRule type="duplicateValues" dxfId="1" priority="1"/>
  </conditionalFormatting>
  <dataValidations count="1">
    <dataValidation type="list" allowBlank="1" errorTitle="是否结算" sqref="L2:L5001">
      <formula1>是,否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6D11"/>
  </sheetPr>
  <dimension ref="A1:K5001"/>
  <sheetViews>
    <sheetView tabSelected="1" workbookViewId="0">
      <pane ySplit="1" topLeftCell="A2" activePane="bottomLeft" state="frozen"/>
      <selection/>
      <selection pane="bottomLeft" activeCell="O8" sqref="O8"/>
    </sheetView>
  </sheetViews>
  <sheetFormatPr defaultColWidth="9" defaultRowHeight="16.8"/>
  <cols>
    <col min="1" max="1" width="6" customWidth="1"/>
    <col min="2" max="2" width="8" style="4" customWidth="1"/>
    <col min="3" max="3" width="14" customWidth="1"/>
    <col min="4" max="4" width="10" style="4" customWidth="1"/>
    <col min="5" max="5" width="10.75" style="4" customWidth="1"/>
    <col min="6" max="6" width="10" style="4" customWidth="1"/>
    <col min="7" max="7" width="20.1153846153846" style="5" customWidth="1"/>
    <col min="8" max="8" width="8" customWidth="1"/>
    <col min="9" max="9" width="8" style="4" customWidth="1"/>
    <col min="10" max="10" width="10" customWidth="1"/>
    <col min="11" max="11" width="12" customWidth="1"/>
  </cols>
  <sheetData>
    <row r="1" ht="31" spans="1:11">
      <c r="A1" s="6" t="s">
        <v>87</v>
      </c>
      <c r="B1" s="7" t="s">
        <v>89</v>
      </c>
      <c r="C1" s="6" t="s">
        <v>90</v>
      </c>
      <c r="D1" s="7" t="s">
        <v>69</v>
      </c>
      <c r="E1" s="8" t="s">
        <v>77</v>
      </c>
      <c r="F1" s="7" t="s">
        <v>91</v>
      </c>
      <c r="G1" s="9" t="s">
        <v>3404</v>
      </c>
      <c r="H1" s="6" t="s">
        <v>92</v>
      </c>
      <c r="I1" s="7" t="s">
        <v>98</v>
      </c>
      <c r="J1" s="6" t="s">
        <v>3406</v>
      </c>
      <c r="K1" s="6" t="s">
        <v>3949</v>
      </c>
    </row>
    <row r="2" ht="18" spans="1:11">
      <c r="A2" s="10">
        <f t="shared" ref="A2:A65" si="0">IF(B2&lt;&gt;"",ROW()-1,"")</f>
        <v>1</v>
      </c>
      <c r="B2" s="11" t="s">
        <v>3950</v>
      </c>
      <c r="C2" s="10" t="str">
        <f>IFERROR(INDEX(面试清单!D:D,MATCH(1,面试清单!P:P,0)),"")</f>
        <v/>
      </c>
      <c r="D2" s="11" t="s">
        <v>42</v>
      </c>
      <c r="E2" s="11" t="s">
        <v>62</v>
      </c>
      <c r="F2" s="11" t="s">
        <v>103</v>
      </c>
      <c r="G2" s="12">
        <v>45497</v>
      </c>
      <c r="H2" s="10" t="str">
        <f>IFERROR(INDEX(面试清单!H:H,MATCH(1,面试清单!P:P,0)),"")</f>
        <v/>
      </c>
      <c r="I2" s="13" t="s">
        <v>29</v>
      </c>
      <c r="J2" s="10">
        <f ca="1" t="shared" ref="J2:J65" si="1">IF(G2&lt;&gt;"",TODAY()-G2,"")</f>
        <v>692</v>
      </c>
      <c r="K2" s="10">
        <f ca="1" t="shared" ref="K2:K65" si="2">IF(G2&lt;&gt;"",MAX(0,MIN(TODAY(),EOMONTH(TODAY(),0))-MAX(G2,EOMONTH(TODAY(),-1)+1)+1),"")</f>
        <v>16</v>
      </c>
    </row>
    <row r="3" ht="18" spans="1:11">
      <c r="A3" s="14">
        <f t="shared" si="0"/>
        <v>2</v>
      </c>
      <c r="B3" s="123" t="s">
        <v>3951</v>
      </c>
      <c r="C3" s="14" t="str">
        <f>IFERROR(INDEX(面试清单!D:D,MATCH(2,面试清单!P:P,0)),"")</f>
        <v/>
      </c>
      <c r="D3" s="11" t="s">
        <v>42</v>
      </c>
      <c r="E3" s="11" t="s">
        <v>62</v>
      </c>
      <c r="F3" s="11" t="s">
        <v>103</v>
      </c>
      <c r="G3" s="12">
        <v>45497</v>
      </c>
      <c r="H3" s="14" t="str">
        <f>IFERROR(INDEX(面试清单!H:H,MATCH(2,面试清单!P:P,0)),"")</f>
        <v/>
      </c>
      <c r="I3" s="13" t="s">
        <v>29</v>
      </c>
      <c r="J3" s="14">
        <f ca="1" t="shared" si="1"/>
        <v>692</v>
      </c>
      <c r="K3" s="14">
        <f ca="1" t="shared" si="2"/>
        <v>16</v>
      </c>
    </row>
    <row r="4" ht="18" spans="1:11">
      <c r="A4" s="10">
        <f t="shared" si="0"/>
        <v>3</v>
      </c>
      <c r="B4" s="11" t="s">
        <v>3952</v>
      </c>
      <c r="C4" s="10" t="str">
        <f>IFERROR(INDEX(面试清单!D:D,MATCH(3,面试清单!P:P,0)),"")</f>
        <v/>
      </c>
      <c r="D4" s="11" t="s">
        <v>42</v>
      </c>
      <c r="E4" s="11" t="s">
        <v>62</v>
      </c>
      <c r="F4" s="11" t="s">
        <v>103</v>
      </c>
      <c r="G4" s="12">
        <v>45512</v>
      </c>
      <c r="H4" s="10" t="str">
        <f>IFERROR(INDEX(面试清单!H:H,MATCH(3,面试清单!P:P,0)),"")</f>
        <v/>
      </c>
      <c r="I4" s="13" t="s">
        <v>29</v>
      </c>
      <c r="J4" s="10">
        <f ca="1" t="shared" si="1"/>
        <v>677</v>
      </c>
      <c r="K4" s="10">
        <f ca="1" t="shared" si="2"/>
        <v>16</v>
      </c>
    </row>
    <row r="5" ht="18" spans="1:11">
      <c r="A5" s="14">
        <f t="shared" si="0"/>
        <v>4</v>
      </c>
      <c r="B5" s="11" t="s">
        <v>3953</v>
      </c>
      <c r="C5" s="124" t="str">
        <f>IFERROR(INDEX(面试清单!D:D,MATCH(4,面试清单!P:P,0)),"")</f>
        <v>0005</v>
      </c>
      <c r="D5" s="11" t="s">
        <v>42</v>
      </c>
      <c r="E5" s="11" t="s">
        <v>62</v>
      </c>
      <c r="F5" s="11" t="s">
        <v>103</v>
      </c>
      <c r="G5" s="12">
        <v>45513</v>
      </c>
      <c r="H5" s="14" t="str">
        <f>IFERROR(INDEX(面试清单!H:H,MATCH(4,面试清单!P:P,0)),"")</f>
        <v>线下</v>
      </c>
      <c r="I5" s="13" t="s">
        <v>29</v>
      </c>
      <c r="J5" s="14">
        <f ca="1" t="shared" si="1"/>
        <v>676</v>
      </c>
      <c r="K5" s="14">
        <f ca="1" t="shared" si="2"/>
        <v>16</v>
      </c>
    </row>
    <row r="6" ht="18" spans="1:11">
      <c r="A6" s="10">
        <f t="shared" si="0"/>
        <v>5</v>
      </c>
      <c r="B6" s="11" t="s">
        <v>3954</v>
      </c>
      <c r="C6" s="125" t="str">
        <f>IFERROR(INDEX(面试清单!D:D,MATCH(5,面试清单!P:P,0)),"")</f>
        <v>0006</v>
      </c>
      <c r="D6" s="11" t="s">
        <v>42</v>
      </c>
      <c r="E6" s="11" t="s">
        <v>62</v>
      </c>
      <c r="F6" s="11" t="s">
        <v>103</v>
      </c>
      <c r="G6" s="12">
        <v>45513</v>
      </c>
      <c r="H6" s="10" t="str">
        <f>IFERROR(INDEX(面试清单!H:H,MATCH(5,面试清单!P:P,0)),"")</f>
        <v>线下</v>
      </c>
      <c r="I6" s="13" t="s">
        <v>29</v>
      </c>
      <c r="J6" s="10">
        <f ca="1" t="shared" si="1"/>
        <v>676</v>
      </c>
      <c r="K6" s="10">
        <f ca="1" t="shared" si="2"/>
        <v>16</v>
      </c>
    </row>
    <row r="7" ht="18" spans="1:11">
      <c r="A7" s="14">
        <f t="shared" si="0"/>
        <v>6</v>
      </c>
      <c r="B7" s="11" t="s">
        <v>3955</v>
      </c>
      <c r="C7" s="14" t="str">
        <f>IFERROR(INDEX(面试清单!D:D,MATCH(6,面试清单!P:P,0)),"")</f>
        <v/>
      </c>
      <c r="D7" s="11" t="s">
        <v>42</v>
      </c>
      <c r="E7" s="11" t="s">
        <v>62</v>
      </c>
      <c r="F7" s="11" t="s">
        <v>103</v>
      </c>
      <c r="G7" s="12">
        <v>45519</v>
      </c>
      <c r="H7" s="14" t="str">
        <f>IFERROR(INDEX(面试清单!H:H,MATCH(6,面试清单!P:P,0)),"")</f>
        <v/>
      </c>
      <c r="I7" s="13" t="s">
        <v>29</v>
      </c>
      <c r="J7" s="14">
        <f ca="1" t="shared" si="1"/>
        <v>670</v>
      </c>
      <c r="K7" s="14">
        <f ca="1" t="shared" si="2"/>
        <v>16</v>
      </c>
    </row>
    <row r="8" ht="18" spans="1:11">
      <c r="A8" s="10">
        <f t="shared" si="0"/>
        <v>7</v>
      </c>
      <c r="B8" s="11" t="s">
        <v>3956</v>
      </c>
      <c r="C8" s="10" t="str">
        <f>IFERROR(INDEX(面试清单!D:D,MATCH(7,面试清单!P:P,0)),"")</f>
        <v/>
      </c>
      <c r="D8" s="11" t="s">
        <v>42</v>
      </c>
      <c r="E8" s="11" t="s">
        <v>62</v>
      </c>
      <c r="F8" s="11" t="s">
        <v>103</v>
      </c>
      <c r="G8" s="12">
        <v>45519</v>
      </c>
      <c r="H8" s="10" t="str">
        <f>IFERROR(INDEX(面试清单!H:H,MATCH(7,面试清单!P:P,0)),"")</f>
        <v/>
      </c>
      <c r="I8" s="13" t="s">
        <v>29</v>
      </c>
      <c r="J8" s="10">
        <f ca="1" t="shared" si="1"/>
        <v>670</v>
      </c>
      <c r="K8" s="10">
        <f ca="1" t="shared" si="2"/>
        <v>16</v>
      </c>
    </row>
    <row r="9" ht="18" spans="1:11">
      <c r="A9" s="14">
        <f t="shared" si="0"/>
        <v>8</v>
      </c>
      <c r="B9" s="11" t="s">
        <v>3957</v>
      </c>
      <c r="C9" s="124" t="str">
        <f>IFERROR(INDEX(面试清单!D:D,MATCH(8,面试清单!P:P,0)),"")</f>
        <v>0009</v>
      </c>
      <c r="D9" s="11" t="s">
        <v>42</v>
      </c>
      <c r="E9" s="11" t="s">
        <v>62</v>
      </c>
      <c r="F9" s="11" t="s">
        <v>103</v>
      </c>
      <c r="G9" s="12">
        <v>45520</v>
      </c>
      <c r="H9" s="14" t="str">
        <f>IFERROR(INDEX(面试清单!H:H,MATCH(8,面试清单!P:P,0)),"")</f>
        <v>线下</v>
      </c>
      <c r="I9" s="13" t="s">
        <v>29</v>
      </c>
      <c r="J9" s="14">
        <f ca="1" t="shared" si="1"/>
        <v>669</v>
      </c>
      <c r="K9" s="14">
        <f ca="1" t="shared" si="2"/>
        <v>16</v>
      </c>
    </row>
    <row r="10" ht="18" spans="1:11">
      <c r="A10" s="10">
        <f t="shared" si="0"/>
        <v>9</v>
      </c>
      <c r="B10" s="11" t="s">
        <v>3958</v>
      </c>
      <c r="C10" s="10" t="str">
        <f>IFERROR(INDEX(面试清单!D:D,MATCH(9,面试清单!P:P,0)),"")</f>
        <v/>
      </c>
      <c r="D10" s="11" t="s">
        <v>42</v>
      </c>
      <c r="E10" s="11" t="s">
        <v>62</v>
      </c>
      <c r="F10" s="11" t="s">
        <v>103</v>
      </c>
      <c r="G10" s="12">
        <v>45523</v>
      </c>
      <c r="H10" s="10" t="str">
        <f>IFERROR(INDEX(面试清单!H:H,MATCH(9,面试清单!P:P,0)),"")</f>
        <v/>
      </c>
      <c r="I10" s="13" t="s">
        <v>29</v>
      </c>
      <c r="J10" s="10">
        <f ca="1" t="shared" si="1"/>
        <v>666</v>
      </c>
      <c r="K10" s="10">
        <f ca="1" t="shared" si="2"/>
        <v>16</v>
      </c>
    </row>
    <row r="11" ht="18" spans="1:11">
      <c r="A11" s="14">
        <f t="shared" si="0"/>
        <v>10</v>
      </c>
      <c r="B11" s="11" t="s">
        <v>3959</v>
      </c>
      <c r="C11" s="124" t="str">
        <f>IFERROR(INDEX(面试清单!D:D,MATCH(10,面试清单!P:P,0)),"")</f>
        <v>0013</v>
      </c>
      <c r="D11" s="11" t="s">
        <v>43</v>
      </c>
      <c r="E11" s="11" t="s">
        <v>62</v>
      </c>
      <c r="F11" s="11" t="s">
        <v>3960</v>
      </c>
      <c r="G11" s="12">
        <v>45537</v>
      </c>
      <c r="H11" s="14" t="str">
        <f>IFERROR(INDEX(面试清单!H:H,MATCH(10,面试清单!P:P,0)),"")</f>
        <v>线下</v>
      </c>
      <c r="I11" s="13" t="s">
        <v>29</v>
      </c>
      <c r="J11" s="14">
        <f ca="1" t="shared" si="1"/>
        <v>652</v>
      </c>
      <c r="K11" s="14">
        <f ca="1" t="shared" si="2"/>
        <v>16</v>
      </c>
    </row>
    <row r="12" ht="18" spans="1:11">
      <c r="A12" s="10">
        <f t="shared" si="0"/>
        <v>11</v>
      </c>
      <c r="B12" s="11" t="s">
        <v>3961</v>
      </c>
      <c r="C12" s="10" t="str">
        <f>IFERROR(INDEX(面试清单!D:D,MATCH(11,面试清单!P:P,0)),"")</f>
        <v/>
      </c>
      <c r="D12" s="11" t="s">
        <v>42</v>
      </c>
      <c r="E12" s="11" t="s">
        <v>62</v>
      </c>
      <c r="F12" s="11" t="s">
        <v>110</v>
      </c>
      <c r="G12" s="12">
        <v>45544</v>
      </c>
      <c r="H12" s="10" t="str">
        <f>IFERROR(INDEX(面试清单!H:H,MATCH(11,面试清单!P:P,0)),"")</f>
        <v/>
      </c>
      <c r="I12" s="13" t="s">
        <v>29</v>
      </c>
      <c r="J12" s="10">
        <f ca="1" t="shared" si="1"/>
        <v>645</v>
      </c>
      <c r="K12" s="10">
        <f ca="1" t="shared" si="2"/>
        <v>16</v>
      </c>
    </row>
    <row r="13" ht="18" spans="1:11">
      <c r="A13" s="14">
        <f t="shared" si="0"/>
        <v>12</v>
      </c>
      <c r="B13" s="11" t="s">
        <v>3962</v>
      </c>
      <c r="C13" s="14" t="str">
        <f>IFERROR(INDEX(面试清单!D:D,MATCH(12,面试清单!P:P,0)),"")</f>
        <v/>
      </c>
      <c r="D13" s="11" t="s">
        <v>42</v>
      </c>
      <c r="E13" s="11" t="s">
        <v>62</v>
      </c>
      <c r="F13" s="11" t="s">
        <v>103</v>
      </c>
      <c r="G13" s="12">
        <v>45546</v>
      </c>
      <c r="H13" s="14" t="str">
        <f>IFERROR(INDEX(面试清单!H:H,MATCH(12,面试清单!P:P,0)),"")</f>
        <v/>
      </c>
      <c r="I13" s="13" t="s">
        <v>29</v>
      </c>
      <c r="J13" s="14">
        <f ca="1" t="shared" si="1"/>
        <v>643</v>
      </c>
      <c r="K13" s="14">
        <f ca="1" t="shared" si="2"/>
        <v>16</v>
      </c>
    </row>
    <row r="14" ht="18" spans="1:11">
      <c r="A14" s="10">
        <f t="shared" si="0"/>
        <v>13</v>
      </c>
      <c r="B14" s="11" t="s">
        <v>3963</v>
      </c>
      <c r="C14" s="10" t="str">
        <f>IFERROR(INDEX(面试清单!D:D,MATCH(13,面试清单!P:P,0)),"")</f>
        <v/>
      </c>
      <c r="D14" s="11" t="s">
        <v>42</v>
      </c>
      <c r="E14" s="11" t="s">
        <v>62</v>
      </c>
      <c r="F14" s="11" t="s">
        <v>233</v>
      </c>
      <c r="G14" s="12">
        <v>45553</v>
      </c>
      <c r="H14" s="10" t="str">
        <f>IFERROR(INDEX(面试清单!H:H,MATCH(13,面试清单!P:P,0)),"")</f>
        <v/>
      </c>
      <c r="I14" s="13" t="s">
        <v>29</v>
      </c>
      <c r="J14" s="10">
        <f ca="1" t="shared" si="1"/>
        <v>636</v>
      </c>
      <c r="K14" s="10">
        <f ca="1" t="shared" si="2"/>
        <v>16</v>
      </c>
    </row>
    <row r="15" ht="18" spans="1:11">
      <c r="A15" s="14">
        <f t="shared" si="0"/>
        <v>14</v>
      </c>
      <c r="B15" s="11" t="s">
        <v>3964</v>
      </c>
      <c r="C15" s="14" t="str">
        <f>IFERROR(INDEX(面试清单!D:D,MATCH(14,面试清单!P:P,0)),"")</f>
        <v/>
      </c>
      <c r="D15" s="11" t="s">
        <v>42</v>
      </c>
      <c r="E15" s="11" t="s">
        <v>62</v>
      </c>
      <c r="F15" s="11" t="s">
        <v>307</v>
      </c>
      <c r="G15" s="12">
        <v>45554</v>
      </c>
      <c r="H15" s="14" t="str">
        <f>IFERROR(INDEX(面试清单!H:H,MATCH(14,面试清单!P:P,0)),"")</f>
        <v/>
      </c>
      <c r="I15" s="13" t="s">
        <v>29</v>
      </c>
      <c r="J15" s="14">
        <f ca="1" t="shared" si="1"/>
        <v>635</v>
      </c>
      <c r="K15" s="14">
        <f ca="1" t="shared" si="2"/>
        <v>16</v>
      </c>
    </row>
    <row r="16" ht="18" spans="1:11">
      <c r="A16" s="10">
        <f t="shared" si="0"/>
        <v>15</v>
      </c>
      <c r="B16" s="11" t="s">
        <v>3965</v>
      </c>
      <c r="C16" s="10" t="str">
        <f>IFERROR(INDEX(面试清单!D:D,MATCH(15,面试清单!P:P,0)),"")</f>
        <v/>
      </c>
      <c r="D16" s="11" t="s">
        <v>42</v>
      </c>
      <c r="E16" s="11" t="s">
        <v>62</v>
      </c>
      <c r="F16" s="11" t="s">
        <v>103</v>
      </c>
      <c r="G16" s="12">
        <v>45560</v>
      </c>
      <c r="H16" s="10" t="str">
        <f>IFERROR(INDEX(面试清单!H:H,MATCH(15,面试清单!P:P,0)),"")</f>
        <v/>
      </c>
      <c r="I16" s="13" t="s">
        <v>29</v>
      </c>
      <c r="J16" s="10">
        <f ca="1" t="shared" si="1"/>
        <v>629</v>
      </c>
      <c r="K16" s="10">
        <f ca="1" t="shared" si="2"/>
        <v>16</v>
      </c>
    </row>
    <row r="17" ht="18" spans="1:11">
      <c r="A17" s="14">
        <f t="shared" si="0"/>
        <v>16</v>
      </c>
      <c r="B17" s="11" t="s">
        <v>3966</v>
      </c>
      <c r="C17" s="14" t="str">
        <f>IFERROR(INDEX(面试清单!D:D,MATCH(16,面试清单!P:P,0)),"")</f>
        <v/>
      </c>
      <c r="D17" s="11" t="s">
        <v>42</v>
      </c>
      <c r="E17" s="11" t="s">
        <v>62</v>
      </c>
      <c r="F17" s="11" t="s">
        <v>3967</v>
      </c>
      <c r="G17" s="12">
        <v>45580</v>
      </c>
      <c r="H17" s="14" t="str">
        <f>IFERROR(INDEX(面试清单!H:H,MATCH(16,面试清单!P:P,0)),"")</f>
        <v/>
      </c>
      <c r="I17" s="13" t="s">
        <v>29</v>
      </c>
      <c r="J17" s="14">
        <f ca="1" t="shared" si="1"/>
        <v>609</v>
      </c>
      <c r="K17" s="14">
        <f ca="1" t="shared" si="2"/>
        <v>16</v>
      </c>
    </row>
    <row r="18" ht="18" spans="1:11">
      <c r="A18" s="10">
        <f t="shared" si="0"/>
        <v>17</v>
      </c>
      <c r="B18" s="11" t="s">
        <v>3968</v>
      </c>
      <c r="C18" s="125" t="str">
        <f>IFERROR(INDEX(面试清单!D:D,MATCH(17,面试清单!P:P,0)),"")</f>
        <v>0020</v>
      </c>
      <c r="D18" s="11" t="s">
        <v>43</v>
      </c>
      <c r="E18" s="11" t="s">
        <v>62</v>
      </c>
      <c r="F18" s="11" t="s">
        <v>307</v>
      </c>
      <c r="G18" s="12">
        <v>45597</v>
      </c>
      <c r="H18" s="10" t="str">
        <f>IFERROR(INDEX(面试清单!H:H,MATCH(17,面试清单!P:P,0)),"")</f>
        <v>线下</v>
      </c>
      <c r="I18" s="13" t="s">
        <v>29</v>
      </c>
      <c r="J18" s="10">
        <f ca="1" t="shared" si="1"/>
        <v>592</v>
      </c>
      <c r="K18" s="10">
        <f ca="1" t="shared" si="2"/>
        <v>16</v>
      </c>
    </row>
    <row r="19" ht="18" spans="1:11">
      <c r="A19" s="14">
        <f t="shared" si="0"/>
        <v>18</v>
      </c>
      <c r="B19" s="11" t="s">
        <v>3969</v>
      </c>
      <c r="C19" s="14" t="str">
        <f>IFERROR(INDEX(面试清单!D:D,MATCH(18,面试清单!P:P,0)),"")</f>
        <v/>
      </c>
      <c r="D19" s="11" t="s">
        <v>42</v>
      </c>
      <c r="E19" s="11" t="s">
        <v>62</v>
      </c>
      <c r="F19" s="11" t="s">
        <v>103</v>
      </c>
      <c r="G19" s="12">
        <v>45614</v>
      </c>
      <c r="H19" s="14" t="str">
        <f>IFERROR(INDEX(面试清单!H:H,MATCH(18,面试清单!P:P,0)),"")</f>
        <v/>
      </c>
      <c r="I19" s="13" t="s">
        <v>29</v>
      </c>
      <c r="J19" s="14">
        <f ca="1" t="shared" si="1"/>
        <v>575</v>
      </c>
      <c r="K19" s="14">
        <f ca="1" t="shared" si="2"/>
        <v>16</v>
      </c>
    </row>
    <row r="20" ht="18" spans="1:11">
      <c r="A20" s="10">
        <f t="shared" si="0"/>
        <v>19</v>
      </c>
      <c r="B20" s="11" t="s">
        <v>3970</v>
      </c>
      <c r="C20" s="10" t="str">
        <f>IFERROR(INDEX(面试清单!D:D,MATCH(19,面试清单!P:P,0)),"")</f>
        <v/>
      </c>
      <c r="D20" s="11" t="s">
        <v>42</v>
      </c>
      <c r="E20" s="11" t="s">
        <v>62</v>
      </c>
      <c r="F20" s="11" t="s">
        <v>233</v>
      </c>
      <c r="G20" s="12">
        <v>45617</v>
      </c>
      <c r="H20" s="10" t="str">
        <f>IFERROR(INDEX(面试清单!H:H,MATCH(19,面试清单!P:P,0)),"")</f>
        <v/>
      </c>
      <c r="I20" s="13" t="s">
        <v>29</v>
      </c>
      <c r="J20" s="10">
        <f ca="1" t="shared" si="1"/>
        <v>572</v>
      </c>
      <c r="K20" s="10">
        <f ca="1" t="shared" si="2"/>
        <v>16</v>
      </c>
    </row>
    <row r="21" ht="18" spans="1:11">
      <c r="A21" s="14">
        <f t="shared" si="0"/>
        <v>20</v>
      </c>
      <c r="B21" s="11" t="s">
        <v>3971</v>
      </c>
      <c r="C21" s="14" t="str">
        <f>IFERROR(INDEX(面试清单!D:D,MATCH(20,面试清单!P:P,0)),"")</f>
        <v/>
      </c>
      <c r="D21" s="11" t="s">
        <v>42</v>
      </c>
      <c r="E21" s="11" t="s">
        <v>62</v>
      </c>
      <c r="F21" s="11" t="s">
        <v>124</v>
      </c>
      <c r="G21" s="12">
        <v>45618</v>
      </c>
      <c r="H21" s="14" t="str">
        <f>IFERROR(INDEX(面试清单!H:H,MATCH(20,面试清单!P:P,0)),"")</f>
        <v/>
      </c>
      <c r="I21" s="13" t="s">
        <v>29</v>
      </c>
      <c r="J21" s="14">
        <f ca="1" t="shared" si="1"/>
        <v>571</v>
      </c>
      <c r="K21" s="14">
        <f ca="1" t="shared" si="2"/>
        <v>16</v>
      </c>
    </row>
    <row r="22" ht="18" spans="1:11">
      <c r="A22" s="10">
        <f t="shared" si="0"/>
        <v>21</v>
      </c>
      <c r="B22" s="11" t="s">
        <v>3972</v>
      </c>
      <c r="C22" s="10" t="str">
        <f>IFERROR(INDEX(面试清单!D:D,MATCH(21,面试清单!P:P,0)),"")</f>
        <v/>
      </c>
      <c r="D22" s="11" t="s">
        <v>42</v>
      </c>
      <c r="E22" s="11" t="s">
        <v>62</v>
      </c>
      <c r="F22" s="11" t="s">
        <v>110</v>
      </c>
      <c r="G22" s="12">
        <v>45621</v>
      </c>
      <c r="H22" s="10" t="str">
        <f>IFERROR(INDEX(面试清单!H:H,MATCH(21,面试清单!P:P,0)),"")</f>
        <v/>
      </c>
      <c r="I22" s="13" t="s">
        <v>29</v>
      </c>
      <c r="J22" s="10">
        <f ca="1" t="shared" si="1"/>
        <v>568</v>
      </c>
      <c r="K22" s="10">
        <f ca="1" t="shared" si="2"/>
        <v>16</v>
      </c>
    </row>
    <row r="23" ht="18" spans="1:11">
      <c r="A23" s="14">
        <f t="shared" si="0"/>
        <v>22</v>
      </c>
      <c r="B23" s="11" t="s">
        <v>3973</v>
      </c>
      <c r="C23" s="14" t="str">
        <f>IFERROR(INDEX(面试清单!D:D,MATCH(22,面试清单!P:P,0)),"")</f>
        <v/>
      </c>
      <c r="D23" s="11" t="s">
        <v>42</v>
      </c>
      <c r="E23" s="11" t="s">
        <v>62</v>
      </c>
      <c r="F23" s="11" t="s">
        <v>110</v>
      </c>
      <c r="G23" s="12">
        <v>45621</v>
      </c>
      <c r="H23" s="14" t="str">
        <f>IFERROR(INDEX(面试清单!H:H,MATCH(22,面试清单!P:P,0)),"")</f>
        <v/>
      </c>
      <c r="I23" s="13" t="s">
        <v>29</v>
      </c>
      <c r="J23" s="14">
        <f ca="1" t="shared" si="1"/>
        <v>568</v>
      </c>
      <c r="K23" s="14">
        <f ca="1" t="shared" si="2"/>
        <v>16</v>
      </c>
    </row>
    <row r="24" ht="18" spans="1:11">
      <c r="A24" s="10">
        <f t="shared" si="0"/>
        <v>23</v>
      </c>
      <c r="B24" s="11" t="s">
        <v>3974</v>
      </c>
      <c r="C24" s="10" t="str">
        <f>IFERROR(INDEX(面试清单!D:D,MATCH(23,面试清单!P:P,0)),"")</f>
        <v/>
      </c>
      <c r="D24" s="11" t="s">
        <v>42</v>
      </c>
      <c r="E24" s="11" t="s">
        <v>62</v>
      </c>
      <c r="F24" s="11" t="s">
        <v>103</v>
      </c>
      <c r="G24" s="12">
        <v>45621</v>
      </c>
      <c r="H24" s="10" t="str">
        <f>IFERROR(INDEX(面试清单!H:H,MATCH(23,面试清单!P:P,0)),"")</f>
        <v/>
      </c>
      <c r="I24" s="13" t="s">
        <v>29</v>
      </c>
      <c r="J24" s="10">
        <f ca="1" t="shared" si="1"/>
        <v>568</v>
      </c>
      <c r="K24" s="10">
        <f ca="1" t="shared" si="2"/>
        <v>16</v>
      </c>
    </row>
    <row r="25" ht="18" spans="1:11">
      <c r="A25" s="14">
        <v>24</v>
      </c>
      <c r="B25" s="11" t="s">
        <v>3975</v>
      </c>
      <c r="C25" s="125" t="s">
        <v>164</v>
      </c>
      <c r="D25" s="11" t="s">
        <v>42</v>
      </c>
      <c r="E25" s="11" t="s">
        <v>62</v>
      </c>
      <c r="F25" s="11" t="s">
        <v>103</v>
      </c>
      <c r="G25" s="12">
        <v>45621</v>
      </c>
      <c r="H25" s="10" t="s">
        <v>85</v>
      </c>
      <c r="I25" s="13" t="s">
        <v>29</v>
      </c>
      <c r="J25" s="10">
        <v>15</v>
      </c>
      <c r="K25" s="10">
        <v>16</v>
      </c>
    </row>
    <row r="26" ht="18" spans="1:11">
      <c r="A26" s="10">
        <f t="shared" si="0"/>
        <v>25</v>
      </c>
      <c r="B26" s="11" t="s">
        <v>3976</v>
      </c>
      <c r="C26" s="10" t="str">
        <f>IFERROR(INDEX(面试清单!D:D,MATCH(25,面试清单!P:P,0)),"")</f>
        <v/>
      </c>
      <c r="D26" s="11" t="s">
        <v>42</v>
      </c>
      <c r="E26" s="11" t="s">
        <v>62</v>
      </c>
      <c r="F26" s="11" t="s">
        <v>179</v>
      </c>
      <c r="G26" s="12">
        <v>45643</v>
      </c>
      <c r="H26" s="10" t="str">
        <f>IFERROR(INDEX(面试清单!H:H,MATCH(25,面试清单!P:P,0)),"")</f>
        <v/>
      </c>
      <c r="I26" s="13" t="s">
        <v>29</v>
      </c>
      <c r="J26" s="10">
        <f ca="1" t="shared" si="1"/>
        <v>546</v>
      </c>
      <c r="K26" s="10">
        <f ca="1" t="shared" si="2"/>
        <v>16</v>
      </c>
    </row>
    <row r="27" ht="18" spans="1:11">
      <c r="A27" s="14">
        <f t="shared" si="0"/>
        <v>26</v>
      </c>
      <c r="B27" s="11" t="s">
        <v>3977</v>
      </c>
      <c r="C27" s="14" t="str">
        <f>IFERROR(INDEX(面试清单!D:D,MATCH(26,面试清单!P:P,0)),"")</f>
        <v/>
      </c>
      <c r="D27" s="11" t="s">
        <v>43</v>
      </c>
      <c r="E27" s="11" t="s">
        <v>62</v>
      </c>
      <c r="F27" s="11" t="s">
        <v>103</v>
      </c>
      <c r="G27" s="12">
        <v>45658</v>
      </c>
      <c r="H27" s="14" t="str">
        <f>IFERROR(INDEX(面试清单!H:H,MATCH(26,面试清单!P:P,0)),"")</f>
        <v/>
      </c>
      <c r="I27" s="13" t="s">
        <v>29</v>
      </c>
      <c r="J27" s="14">
        <f ca="1" t="shared" si="1"/>
        <v>531</v>
      </c>
      <c r="K27" s="14">
        <f ca="1" t="shared" si="2"/>
        <v>16</v>
      </c>
    </row>
    <row r="28" ht="18" spans="1:11">
      <c r="A28" s="10">
        <f t="shared" si="0"/>
        <v>27</v>
      </c>
      <c r="B28" s="11" t="s">
        <v>3978</v>
      </c>
      <c r="C28" s="125" t="str">
        <f>IFERROR(INDEX(面试清单!D:D,MATCH(27,面试清单!P:P,0)),"")</f>
        <v>0030</v>
      </c>
      <c r="D28" s="11" t="s">
        <v>42</v>
      </c>
      <c r="E28" s="11" t="s">
        <v>62</v>
      </c>
      <c r="F28" s="11" t="s">
        <v>530</v>
      </c>
      <c r="G28" s="12">
        <v>45660</v>
      </c>
      <c r="H28" s="10" t="str">
        <f>IFERROR(INDEX(面试清单!H:H,MATCH(27,面试清单!P:P,0)),"")</f>
        <v>线下</v>
      </c>
      <c r="I28" s="13" t="s">
        <v>29</v>
      </c>
      <c r="J28" s="10">
        <f ca="1" t="shared" si="1"/>
        <v>529</v>
      </c>
      <c r="K28" s="10">
        <f ca="1" t="shared" si="2"/>
        <v>16</v>
      </c>
    </row>
    <row r="29" ht="18" spans="1:11">
      <c r="A29" s="14">
        <f t="shared" si="0"/>
        <v>28</v>
      </c>
      <c r="B29" s="11" t="s">
        <v>3979</v>
      </c>
      <c r="C29" s="14" t="str">
        <f>IFERROR(INDEX(面试清单!D:D,MATCH(28,面试清单!P:P,0)),"")</f>
        <v/>
      </c>
      <c r="D29" s="11" t="s">
        <v>42</v>
      </c>
      <c r="E29" s="11" t="s">
        <v>62</v>
      </c>
      <c r="F29" s="11" t="s">
        <v>124</v>
      </c>
      <c r="G29" s="12">
        <v>45696</v>
      </c>
      <c r="H29" s="14" t="str">
        <f>IFERROR(INDEX(面试清单!H:H,MATCH(28,面试清单!P:P,0)),"")</f>
        <v/>
      </c>
      <c r="I29" s="13" t="s">
        <v>29</v>
      </c>
      <c r="J29" s="14">
        <f ca="1" t="shared" si="1"/>
        <v>493</v>
      </c>
      <c r="K29" s="14">
        <f ca="1" t="shared" si="2"/>
        <v>16</v>
      </c>
    </row>
    <row r="30" ht="18" spans="1:11">
      <c r="A30" s="10">
        <f t="shared" si="0"/>
        <v>29</v>
      </c>
      <c r="B30" s="11" t="s">
        <v>3980</v>
      </c>
      <c r="C30" s="10" t="str">
        <f>IFERROR(INDEX(面试清单!D:D,MATCH(29,面试清单!P:P,0)),"")</f>
        <v/>
      </c>
      <c r="D30" s="11" t="s">
        <v>42</v>
      </c>
      <c r="E30" s="11" t="s">
        <v>62</v>
      </c>
      <c r="F30" s="11" t="s">
        <v>179</v>
      </c>
      <c r="G30" s="12">
        <v>45696</v>
      </c>
      <c r="H30" s="10" t="str">
        <f>IFERROR(INDEX(面试清单!H:H,MATCH(29,面试清单!P:P,0)),"")</f>
        <v/>
      </c>
      <c r="I30" s="13" t="s">
        <v>29</v>
      </c>
      <c r="J30" s="10">
        <f ca="1" t="shared" si="1"/>
        <v>493</v>
      </c>
      <c r="K30" s="10">
        <f ca="1" t="shared" si="2"/>
        <v>16</v>
      </c>
    </row>
    <row r="31" ht="18" spans="1:11">
      <c r="A31" s="14">
        <f t="shared" si="0"/>
        <v>30</v>
      </c>
      <c r="B31" s="11" t="s">
        <v>3981</v>
      </c>
      <c r="C31" s="124" t="str">
        <f>IFERROR(INDEX(面试清单!D:D,MATCH(30,面试清单!P:P,0)),"")</f>
        <v>0033</v>
      </c>
      <c r="D31" s="11" t="s">
        <v>42</v>
      </c>
      <c r="E31" s="11" t="s">
        <v>62</v>
      </c>
      <c r="F31" s="11" t="s">
        <v>124</v>
      </c>
      <c r="G31" s="12">
        <v>45698</v>
      </c>
      <c r="H31" s="14" t="str">
        <f>IFERROR(INDEX(面试清单!H:H,MATCH(30,面试清单!P:P,0)),"")</f>
        <v>线下</v>
      </c>
      <c r="I31" s="13" t="s">
        <v>29</v>
      </c>
      <c r="J31" s="14">
        <f ca="1" t="shared" si="1"/>
        <v>491</v>
      </c>
      <c r="K31" s="14">
        <f ca="1" t="shared" si="2"/>
        <v>16</v>
      </c>
    </row>
    <row r="32" ht="18" spans="1:11">
      <c r="A32" s="10">
        <f t="shared" si="0"/>
        <v>31</v>
      </c>
      <c r="B32" s="11" t="s">
        <v>3982</v>
      </c>
      <c r="C32" s="10" t="str">
        <f>IFERROR(INDEX(面试清单!D:D,MATCH(31,面试清单!P:P,0)),"")</f>
        <v/>
      </c>
      <c r="D32" s="11" t="s">
        <v>42</v>
      </c>
      <c r="E32" s="11" t="s">
        <v>62</v>
      </c>
      <c r="F32" s="11" t="s">
        <v>124</v>
      </c>
      <c r="G32" s="12">
        <v>45698</v>
      </c>
      <c r="H32" s="10" t="str">
        <f>IFERROR(INDEX(面试清单!H:H,MATCH(31,面试清单!P:P,0)),"")</f>
        <v/>
      </c>
      <c r="I32" s="13" t="s">
        <v>29</v>
      </c>
      <c r="J32" s="10">
        <f ca="1" t="shared" si="1"/>
        <v>491</v>
      </c>
      <c r="K32" s="10">
        <f ca="1" t="shared" si="2"/>
        <v>16</v>
      </c>
    </row>
    <row r="33" ht="18" spans="1:11">
      <c r="A33" s="14">
        <f t="shared" si="0"/>
        <v>32</v>
      </c>
      <c r="B33" s="11" t="s">
        <v>3983</v>
      </c>
      <c r="C33" s="14" t="str">
        <f>IFERROR(INDEX(面试清单!D:D,MATCH(32,面试清单!P:P,0)),"")</f>
        <v/>
      </c>
      <c r="D33" s="11" t="s">
        <v>43</v>
      </c>
      <c r="E33" s="11" t="s">
        <v>62</v>
      </c>
      <c r="F33" s="11" t="s">
        <v>179</v>
      </c>
      <c r="G33" s="12">
        <v>45698</v>
      </c>
      <c r="H33" s="14" t="str">
        <f>IFERROR(INDEX(面试清单!H:H,MATCH(32,面试清单!P:P,0)),"")</f>
        <v/>
      </c>
      <c r="I33" s="13" t="s">
        <v>29</v>
      </c>
      <c r="J33" s="14">
        <f ca="1" t="shared" si="1"/>
        <v>491</v>
      </c>
      <c r="K33" s="14">
        <f ca="1" t="shared" si="2"/>
        <v>16</v>
      </c>
    </row>
    <row r="34" ht="18" spans="1:11">
      <c r="A34" s="10">
        <f t="shared" si="0"/>
        <v>33</v>
      </c>
      <c r="B34" s="11" t="s">
        <v>3984</v>
      </c>
      <c r="C34" s="10" t="str">
        <f>IFERROR(INDEX(面试清单!D:D,MATCH(33,面试清单!P:P,0)),"")</f>
        <v/>
      </c>
      <c r="D34" s="11" t="s">
        <v>43</v>
      </c>
      <c r="E34" s="11" t="s">
        <v>62</v>
      </c>
      <c r="F34" s="11" t="s">
        <v>179</v>
      </c>
      <c r="G34" s="12">
        <v>45701</v>
      </c>
      <c r="H34" s="10" t="str">
        <f>IFERROR(INDEX(面试清单!H:H,MATCH(33,面试清单!P:P,0)),"")</f>
        <v/>
      </c>
      <c r="I34" s="13" t="s">
        <v>29</v>
      </c>
      <c r="J34" s="10">
        <f ca="1" t="shared" si="1"/>
        <v>488</v>
      </c>
      <c r="K34" s="10">
        <f ca="1" t="shared" si="2"/>
        <v>16</v>
      </c>
    </row>
    <row r="35" ht="18" spans="1:11">
      <c r="A35" s="14">
        <f t="shared" si="0"/>
        <v>34</v>
      </c>
      <c r="B35" s="11" t="s">
        <v>3985</v>
      </c>
      <c r="C35" s="14" t="str">
        <f>IFERROR(INDEX(面试清单!D:D,MATCH(34,面试清单!P:P,0)),"")</f>
        <v/>
      </c>
      <c r="D35" s="11" t="s">
        <v>43</v>
      </c>
      <c r="E35" s="11" t="s">
        <v>62</v>
      </c>
      <c r="F35" s="11" t="s">
        <v>103</v>
      </c>
      <c r="G35" s="12">
        <v>45701</v>
      </c>
      <c r="H35" s="14" t="str">
        <f>IFERROR(INDEX(面试清单!H:H,MATCH(34,面试清单!P:P,0)),"")</f>
        <v/>
      </c>
      <c r="I35" s="13" t="s">
        <v>29</v>
      </c>
      <c r="J35" s="14">
        <f ca="1" t="shared" si="1"/>
        <v>488</v>
      </c>
      <c r="K35" s="14">
        <f ca="1" t="shared" si="2"/>
        <v>16</v>
      </c>
    </row>
    <row r="36" ht="18" spans="1:11">
      <c r="A36" s="10">
        <f t="shared" si="0"/>
        <v>35</v>
      </c>
      <c r="B36" s="11" t="s">
        <v>3986</v>
      </c>
      <c r="C36" s="10" t="str">
        <f>IFERROR(INDEX(面试清单!D:D,MATCH(35,面试清单!P:P,0)),"")</f>
        <v/>
      </c>
      <c r="D36" s="11" t="s">
        <v>42</v>
      </c>
      <c r="E36" s="11" t="s">
        <v>62</v>
      </c>
      <c r="F36" s="11" t="s">
        <v>179</v>
      </c>
      <c r="G36" s="12">
        <v>45703</v>
      </c>
      <c r="H36" s="10" t="str">
        <f>IFERROR(INDEX(面试清单!H:H,MATCH(35,面试清单!P:P,0)),"")</f>
        <v/>
      </c>
      <c r="I36" s="13" t="s">
        <v>29</v>
      </c>
      <c r="J36" s="10">
        <f ca="1" t="shared" si="1"/>
        <v>486</v>
      </c>
      <c r="K36" s="10">
        <f ca="1" t="shared" si="2"/>
        <v>16</v>
      </c>
    </row>
    <row r="37" ht="18" spans="1:11">
      <c r="A37" s="14">
        <f t="shared" si="0"/>
        <v>36</v>
      </c>
      <c r="B37" s="11" t="s">
        <v>3987</v>
      </c>
      <c r="C37" s="14" t="str">
        <f>IFERROR(INDEX(面试清单!D:D,MATCH(36,面试清单!P:P,0)),"")</f>
        <v/>
      </c>
      <c r="D37" s="11" t="s">
        <v>43</v>
      </c>
      <c r="E37" s="11" t="s">
        <v>62</v>
      </c>
      <c r="F37" s="11" t="s">
        <v>179</v>
      </c>
      <c r="G37" s="12">
        <v>45703</v>
      </c>
      <c r="H37" s="14" t="str">
        <f>IFERROR(INDEX(面试清单!H:H,MATCH(36,面试清单!P:P,0)),"")</f>
        <v/>
      </c>
      <c r="I37" s="13" t="s">
        <v>29</v>
      </c>
      <c r="J37" s="14">
        <f ca="1" t="shared" si="1"/>
        <v>486</v>
      </c>
      <c r="K37" s="14">
        <f ca="1" t="shared" si="2"/>
        <v>16</v>
      </c>
    </row>
    <row r="38" ht="18" spans="1:11">
      <c r="A38" s="10">
        <f t="shared" si="0"/>
        <v>37</v>
      </c>
      <c r="B38" s="11" t="s">
        <v>3988</v>
      </c>
      <c r="C38" s="10" t="str">
        <f>IFERROR(INDEX(面试清单!D:D,MATCH(37,面试清单!P:P,0)),"")</f>
        <v/>
      </c>
      <c r="D38" s="11" t="s">
        <v>42</v>
      </c>
      <c r="E38" s="11" t="s">
        <v>62</v>
      </c>
      <c r="F38" s="11" t="s">
        <v>103</v>
      </c>
      <c r="G38" s="12">
        <v>45705</v>
      </c>
      <c r="H38" s="10" t="str">
        <f>IFERROR(INDEX(面试清单!H:H,MATCH(37,面试清单!P:P,0)),"")</f>
        <v/>
      </c>
      <c r="I38" s="13" t="s">
        <v>29</v>
      </c>
      <c r="J38" s="10">
        <f ca="1" t="shared" si="1"/>
        <v>484</v>
      </c>
      <c r="K38" s="10">
        <f ca="1" t="shared" si="2"/>
        <v>16</v>
      </c>
    </row>
    <row r="39" ht="18" spans="1:11">
      <c r="A39" s="14">
        <f t="shared" si="0"/>
        <v>38</v>
      </c>
      <c r="B39" s="11" t="s">
        <v>3989</v>
      </c>
      <c r="C39" s="14" t="str">
        <f>IFERROR(INDEX(面试清单!D:D,MATCH(38,面试清单!P:P,0)),"")</f>
        <v/>
      </c>
      <c r="D39" s="11" t="s">
        <v>42</v>
      </c>
      <c r="E39" s="11" t="s">
        <v>62</v>
      </c>
      <c r="F39" s="11" t="s">
        <v>103</v>
      </c>
      <c r="G39" s="12">
        <v>45705</v>
      </c>
      <c r="H39" s="14" t="str">
        <f>IFERROR(INDEX(面试清单!H:H,MATCH(38,面试清单!P:P,0)),"")</f>
        <v/>
      </c>
      <c r="I39" s="13" t="s">
        <v>29</v>
      </c>
      <c r="J39" s="14">
        <f ca="1" t="shared" si="1"/>
        <v>484</v>
      </c>
      <c r="K39" s="14">
        <f ca="1" t="shared" si="2"/>
        <v>16</v>
      </c>
    </row>
    <row r="40" ht="18" spans="1:11">
      <c r="A40" s="10">
        <f t="shared" si="0"/>
        <v>39</v>
      </c>
      <c r="B40" s="11" t="s">
        <v>3990</v>
      </c>
      <c r="C40" s="10" t="str">
        <f>IFERROR(INDEX(面试清单!D:D,MATCH(39,面试清单!P:P,0)),"")</f>
        <v/>
      </c>
      <c r="D40" s="11" t="s">
        <v>42</v>
      </c>
      <c r="E40" s="11" t="s">
        <v>62</v>
      </c>
      <c r="F40" s="11" t="s">
        <v>103</v>
      </c>
      <c r="G40" s="12">
        <v>45706</v>
      </c>
      <c r="H40" s="10" t="str">
        <f>IFERROR(INDEX(面试清单!H:H,MATCH(39,面试清单!P:P,0)),"")</f>
        <v/>
      </c>
      <c r="I40" s="13" t="s">
        <v>29</v>
      </c>
      <c r="J40" s="10">
        <f ca="1" t="shared" si="1"/>
        <v>483</v>
      </c>
      <c r="K40" s="10">
        <f ca="1" t="shared" si="2"/>
        <v>16</v>
      </c>
    </row>
    <row r="41" ht="18" spans="1:11">
      <c r="A41" s="14">
        <f t="shared" si="0"/>
        <v>40</v>
      </c>
      <c r="B41" s="11" t="s">
        <v>3991</v>
      </c>
      <c r="C41" s="14" t="str">
        <f>IFERROR(INDEX(面试清单!D:D,MATCH(40,面试清单!P:P,0)),"")</f>
        <v/>
      </c>
      <c r="D41" s="11" t="s">
        <v>42</v>
      </c>
      <c r="E41" s="11" t="s">
        <v>62</v>
      </c>
      <c r="F41" s="11" t="s">
        <v>103</v>
      </c>
      <c r="G41" s="12">
        <v>45707</v>
      </c>
      <c r="H41" s="14" t="str">
        <f>IFERROR(INDEX(面试清单!H:H,MATCH(40,面试清单!P:P,0)),"")</f>
        <v/>
      </c>
      <c r="I41" s="13" t="s">
        <v>29</v>
      </c>
      <c r="J41" s="14">
        <f ca="1" t="shared" si="1"/>
        <v>482</v>
      </c>
      <c r="K41" s="14">
        <f ca="1" t="shared" si="2"/>
        <v>16</v>
      </c>
    </row>
    <row r="42" ht="18" spans="1:11">
      <c r="A42" s="10">
        <f t="shared" si="0"/>
        <v>41</v>
      </c>
      <c r="B42" s="11" t="s">
        <v>3992</v>
      </c>
      <c r="C42" s="10" t="str">
        <f>IFERROR(INDEX(面试清单!D:D,MATCH(41,面试清单!P:P,0)),"")</f>
        <v/>
      </c>
      <c r="D42" s="11" t="s">
        <v>42</v>
      </c>
      <c r="E42" s="11" t="s">
        <v>62</v>
      </c>
      <c r="F42" s="11" t="s">
        <v>103</v>
      </c>
      <c r="G42" s="12">
        <v>45708</v>
      </c>
      <c r="H42" s="10" t="str">
        <f>IFERROR(INDEX(面试清单!H:H,MATCH(41,面试清单!P:P,0)),"")</f>
        <v/>
      </c>
      <c r="I42" s="13" t="s">
        <v>29</v>
      </c>
      <c r="J42" s="10">
        <f ca="1" t="shared" si="1"/>
        <v>481</v>
      </c>
      <c r="K42" s="10">
        <f ca="1" t="shared" si="2"/>
        <v>16</v>
      </c>
    </row>
    <row r="43" ht="18" spans="1:11">
      <c r="A43" s="14">
        <f t="shared" si="0"/>
        <v>42</v>
      </c>
      <c r="B43" s="11" t="s">
        <v>3993</v>
      </c>
      <c r="C43" s="14" t="str">
        <f>IFERROR(INDEX(面试清单!D:D,MATCH(42,面试清单!P:P,0)),"")</f>
        <v/>
      </c>
      <c r="D43" s="11" t="s">
        <v>43</v>
      </c>
      <c r="E43" s="11" t="s">
        <v>62</v>
      </c>
      <c r="F43" s="11" t="s">
        <v>110</v>
      </c>
      <c r="G43" s="12">
        <v>45712</v>
      </c>
      <c r="H43" s="14" t="str">
        <f>IFERROR(INDEX(面试清单!H:H,MATCH(42,面试清单!P:P,0)),"")</f>
        <v/>
      </c>
      <c r="I43" s="13" t="s">
        <v>29</v>
      </c>
      <c r="J43" s="14">
        <f ca="1" t="shared" si="1"/>
        <v>477</v>
      </c>
      <c r="K43" s="14">
        <f ca="1" t="shared" si="2"/>
        <v>16</v>
      </c>
    </row>
    <row r="44" ht="18" spans="1:11">
      <c r="A44" s="10">
        <f t="shared" si="0"/>
        <v>43</v>
      </c>
      <c r="B44" s="11" t="s">
        <v>3994</v>
      </c>
      <c r="C44" s="10" t="str">
        <f>IFERROR(INDEX(面试清单!D:D,MATCH(43,面试清单!P:P,0)),"")</f>
        <v/>
      </c>
      <c r="D44" s="11" t="s">
        <v>42</v>
      </c>
      <c r="E44" s="11" t="s">
        <v>62</v>
      </c>
      <c r="F44" s="11" t="s">
        <v>307</v>
      </c>
      <c r="G44" s="12">
        <v>45712</v>
      </c>
      <c r="H44" s="10" t="str">
        <f>IFERROR(INDEX(面试清单!H:H,MATCH(43,面试清单!P:P,0)),"")</f>
        <v/>
      </c>
      <c r="I44" s="13" t="s">
        <v>29</v>
      </c>
      <c r="J44" s="10">
        <f ca="1" t="shared" si="1"/>
        <v>477</v>
      </c>
      <c r="K44" s="10">
        <f ca="1" t="shared" si="2"/>
        <v>16</v>
      </c>
    </row>
    <row r="45" ht="18" spans="1:11">
      <c r="A45" s="14">
        <f t="shared" si="0"/>
        <v>44</v>
      </c>
      <c r="B45" s="11" t="s">
        <v>3995</v>
      </c>
      <c r="C45" s="14" t="str">
        <f>IFERROR(INDEX(面试清单!D:D,MATCH(44,面试清单!P:P,0)),"")</f>
        <v/>
      </c>
      <c r="D45" s="11" t="s">
        <v>42</v>
      </c>
      <c r="E45" s="11" t="s">
        <v>62</v>
      </c>
      <c r="F45" s="11" t="s">
        <v>103</v>
      </c>
      <c r="G45" s="12">
        <v>45712</v>
      </c>
      <c r="H45" s="14" t="str">
        <f>IFERROR(INDEX(面试清单!H:H,MATCH(44,面试清单!P:P,0)),"")</f>
        <v/>
      </c>
      <c r="I45" s="13" t="s">
        <v>29</v>
      </c>
      <c r="J45" s="14">
        <f ca="1" t="shared" si="1"/>
        <v>477</v>
      </c>
      <c r="K45" s="14">
        <f ca="1" t="shared" si="2"/>
        <v>16</v>
      </c>
    </row>
    <row r="46" ht="18" spans="1:11">
      <c r="A46" s="10">
        <f t="shared" si="0"/>
        <v>45</v>
      </c>
      <c r="B46" s="11" t="s">
        <v>3996</v>
      </c>
      <c r="C46" s="10" t="str">
        <f>IFERROR(INDEX(面试清单!D:D,MATCH(45,面试清单!P:P,0)),"")</f>
        <v/>
      </c>
      <c r="D46" s="11" t="s">
        <v>42</v>
      </c>
      <c r="E46" s="11" t="s">
        <v>62</v>
      </c>
      <c r="F46" s="11" t="s">
        <v>103</v>
      </c>
      <c r="G46" s="12">
        <v>45712</v>
      </c>
      <c r="H46" s="10" t="str">
        <f>IFERROR(INDEX(面试清单!H:H,MATCH(45,面试清单!P:P,0)),"")</f>
        <v/>
      </c>
      <c r="I46" s="13" t="s">
        <v>29</v>
      </c>
      <c r="J46" s="10">
        <f ca="1" t="shared" si="1"/>
        <v>477</v>
      </c>
      <c r="K46" s="10">
        <f ca="1" t="shared" si="2"/>
        <v>16</v>
      </c>
    </row>
    <row r="47" ht="18" spans="1:11">
      <c r="A47" s="14">
        <f t="shared" si="0"/>
        <v>46</v>
      </c>
      <c r="B47" s="11" t="s">
        <v>3997</v>
      </c>
      <c r="C47" s="14" t="str">
        <f>IFERROR(INDEX(面试清单!D:D,MATCH(46,面试清单!P:P,0)),"")</f>
        <v/>
      </c>
      <c r="D47" s="11" t="s">
        <v>42</v>
      </c>
      <c r="E47" s="11" t="s">
        <v>62</v>
      </c>
      <c r="F47" s="11" t="s">
        <v>103</v>
      </c>
      <c r="G47" s="12">
        <v>45719</v>
      </c>
      <c r="H47" s="14" t="str">
        <f>IFERROR(INDEX(面试清单!H:H,MATCH(46,面试清单!P:P,0)),"")</f>
        <v/>
      </c>
      <c r="I47" s="13" t="s">
        <v>29</v>
      </c>
      <c r="J47" s="14">
        <f ca="1" t="shared" si="1"/>
        <v>470</v>
      </c>
      <c r="K47" s="14">
        <f ca="1" t="shared" si="2"/>
        <v>16</v>
      </c>
    </row>
    <row r="48" ht="18" spans="1:11">
      <c r="A48" s="10">
        <f t="shared" si="0"/>
        <v>47</v>
      </c>
      <c r="B48" s="11" t="s">
        <v>3998</v>
      </c>
      <c r="C48" s="10" t="str">
        <f>IFERROR(INDEX(面试清单!D:D,MATCH(47,面试清单!P:P,0)),"")</f>
        <v/>
      </c>
      <c r="D48" s="11" t="s">
        <v>42</v>
      </c>
      <c r="E48" s="11" t="s">
        <v>62</v>
      </c>
      <c r="F48" s="11" t="s">
        <v>103</v>
      </c>
      <c r="G48" s="12">
        <v>45724</v>
      </c>
      <c r="H48" s="10" t="str">
        <f>IFERROR(INDEX(面试清单!H:H,MATCH(47,面试清单!P:P,0)),"")</f>
        <v/>
      </c>
      <c r="I48" s="13" t="s">
        <v>29</v>
      </c>
      <c r="J48" s="10">
        <f ca="1" t="shared" si="1"/>
        <v>465</v>
      </c>
      <c r="K48" s="10">
        <f ca="1" t="shared" si="2"/>
        <v>16</v>
      </c>
    </row>
    <row r="49" ht="18" spans="1:11">
      <c r="A49" s="14">
        <f t="shared" si="0"/>
        <v>48</v>
      </c>
      <c r="B49" s="11" t="s">
        <v>3999</v>
      </c>
      <c r="C49" s="14" t="str">
        <f>IFERROR(INDEX(面试清单!D:D,MATCH(48,面试清单!P:P,0)),"")</f>
        <v/>
      </c>
      <c r="D49" s="11" t="s">
        <v>43</v>
      </c>
      <c r="E49" s="11" t="s">
        <v>62</v>
      </c>
      <c r="F49" s="11" t="s">
        <v>179</v>
      </c>
      <c r="G49" s="12">
        <v>45727</v>
      </c>
      <c r="H49" s="14" t="str">
        <f>IFERROR(INDEX(面试清单!H:H,MATCH(48,面试清单!P:P,0)),"")</f>
        <v/>
      </c>
      <c r="I49" s="13" t="s">
        <v>29</v>
      </c>
      <c r="J49" s="14">
        <f ca="1" t="shared" si="1"/>
        <v>462</v>
      </c>
      <c r="K49" s="14">
        <f ca="1" t="shared" si="2"/>
        <v>16</v>
      </c>
    </row>
    <row r="50" ht="36" spans="1:11">
      <c r="A50" s="10">
        <f t="shared" si="0"/>
        <v>49</v>
      </c>
      <c r="B50" s="11" t="s">
        <v>4000</v>
      </c>
      <c r="C50" s="10" t="str">
        <f>IFERROR(INDEX(面试清单!D:D,MATCH(49,面试清单!P:P,0)),"")</f>
        <v/>
      </c>
      <c r="D50" s="11" t="s">
        <v>42</v>
      </c>
      <c r="E50" s="11" t="s">
        <v>62</v>
      </c>
      <c r="F50" s="11" t="s">
        <v>103</v>
      </c>
      <c r="G50" s="12">
        <v>45728</v>
      </c>
      <c r="H50" s="10" t="str">
        <f>IFERROR(INDEX(面试清单!H:H,MATCH(49,面试清单!P:P,0)),"")</f>
        <v/>
      </c>
      <c r="I50" s="13" t="s">
        <v>29</v>
      </c>
      <c r="J50" s="10">
        <f ca="1" t="shared" si="1"/>
        <v>461</v>
      </c>
      <c r="K50" s="10">
        <f ca="1" t="shared" si="2"/>
        <v>16</v>
      </c>
    </row>
    <row r="51" ht="18" spans="1:11">
      <c r="A51" s="14">
        <v>50</v>
      </c>
      <c r="B51" s="11" t="s">
        <v>4001</v>
      </c>
      <c r="C51" s="124" t="s">
        <v>4002</v>
      </c>
      <c r="D51" s="11" t="s">
        <v>42</v>
      </c>
      <c r="E51" s="11" t="s">
        <v>62</v>
      </c>
      <c r="F51" s="11" t="s">
        <v>103</v>
      </c>
      <c r="G51" s="12">
        <v>45731</v>
      </c>
      <c r="H51" s="14" t="s">
        <v>85</v>
      </c>
      <c r="I51" s="13" t="s">
        <v>29</v>
      </c>
      <c r="J51" s="14">
        <v>15</v>
      </c>
      <c r="K51" s="14">
        <v>16</v>
      </c>
    </row>
    <row r="52" ht="18" spans="1:11">
      <c r="A52" s="10">
        <f t="shared" si="0"/>
        <v>51</v>
      </c>
      <c r="B52" s="11" t="s">
        <v>4003</v>
      </c>
      <c r="C52" s="10" t="str">
        <f>IFERROR(INDEX(面试清单!D:D,MATCH(51,面试清单!P:P,0)),"")</f>
        <v/>
      </c>
      <c r="D52" s="11" t="s">
        <v>43</v>
      </c>
      <c r="E52" s="11" t="s">
        <v>62</v>
      </c>
      <c r="F52" s="11" t="s">
        <v>103</v>
      </c>
      <c r="G52" s="12">
        <v>45731</v>
      </c>
      <c r="H52" s="10" t="str">
        <f>IFERROR(INDEX(面试清单!H:H,MATCH(51,面试清单!P:P,0)),"")</f>
        <v/>
      </c>
      <c r="I52" s="13" t="s">
        <v>29</v>
      </c>
      <c r="J52" s="10">
        <f ca="1" t="shared" si="1"/>
        <v>458</v>
      </c>
      <c r="K52" s="10">
        <f ca="1" t="shared" si="2"/>
        <v>16</v>
      </c>
    </row>
    <row r="53" ht="18" spans="1:11">
      <c r="A53" s="14">
        <f t="shared" si="0"/>
        <v>52</v>
      </c>
      <c r="B53" s="11" t="s">
        <v>4004</v>
      </c>
      <c r="C53" s="14" t="str">
        <f>IFERROR(INDEX(面试清单!D:D,MATCH(52,面试清单!P:P,0)),"")</f>
        <v/>
      </c>
      <c r="D53" s="11" t="s">
        <v>43</v>
      </c>
      <c r="E53" s="11" t="s">
        <v>62</v>
      </c>
      <c r="F53" s="11" t="s">
        <v>233</v>
      </c>
      <c r="G53" s="12">
        <v>45732</v>
      </c>
      <c r="H53" s="14" t="str">
        <f>IFERROR(INDEX(面试清单!H:H,MATCH(52,面试清单!P:P,0)),"")</f>
        <v/>
      </c>
      <c r="I53" s="13" t="s">
        <v>29</v>
      </c>
      <c r="J53" s="14">
        <f ca="1" t="shared" si="1"/>
        <v>457</v>
      </c>
      <c r="K53" s="14">
        <f ca="1" t="shared" si="2"/>
        <v>16</v>
      </c>
    </row>
    <row r="54" ht="18" spans="1:11">
      <c r="A54" s="10">
        <f t="shared" si="0"/>
        <v>53</v>
      </c>
      <c r="B54" s="11" t="s">
        <v>4005</v>
      </c>
      <c r="C54" s="125" t="str">
        <f>IFERROR(INDEX(面试清单!D:D,MATCH(53,面试清单!P:P,0)),"")</f>
        <v>0070</v>
      </c>
      <c r="D54" s="11" t="s">
        <v>43</v>
      </c>
      <c r="E54" s="11" t="s">
        <v>62</v>
      </c>
      <c r="F54" s="11" t="s">
        <v>124</v>
      </c>
      <c r="G54" s="12">
        <v>45732</v>
      </c>
      <c r="H54" s="10" t="str">
        <f>IFERROR(INDEX(面试清单!H:H,MATCH(53,面试清单!P:P,0)),"")</f>
        <v>线下</v>
      </c>
      <c r="I54" s="13" t="s">
        <v>29</v>
      </c>
      <c r="J54" s="10">
        <f ca="1" t="shared" si="1"/>
        <v>457</v>
      </c>
      <c r="K54" s="10">
        <f ca="1" t="shared" si="2"/>
        <v>16</v>
      </c>
    </row>
    <row r="55" ht="18" spans="1:11">
      <c r="A55" s="14">
        <f t="shared" si="0"/>
        <v>54</v>
      </c>
      <c r="B55" s="11" t="s">
        <v>4006</v>
      </c>
      <c r="C55" s="124" t="str">
        <f>IFERROR(INDEX(面试清单!D:D,MATCH(54,面试清单!P:P,0)),"")</f>
        <v>0071</v>
      </c>
      <c r="D55" s="11" t="s">
        <v>42</v>
      </c>
      <c r="E55" s="11" t="s">
        <v>62</v>
      </c>
      <c r="F55" s="11" t="s">
        <v>179</v>
      </c>
      <c r="G55" s="12">
        <v>45733</v>
      </c>
      <c r="H55" s="14" t="str">
        <f>IFERROR(INDEX(面试清单!H:H,MATCH(54,面试清单!P:P,0)),"")</f>
        <v>线下</v>
      </c>
      <c r="I55" s="13" t="s">
        <v>29</v>
      </c>
      <c r="J55" s="14">
        <f ca="1" t="shared" si="1"/>
        <v>456</v>
      </c>
      <c r="K55" s="14">
        <f ca="1" t="shared" si="2"/>
        <v>16</v>
      </c>
    </row>
    <row r="56" ht="18" spans="1:11">
      <c r="A56" s="10">
        <f t="shared" si="0"/>
        <v>55</v>
      </c>
      <c r="B56" s="11" t="s">
        <v>4007</v>
      </c>
      <c r="C56" s="10" t="str">
        <f>IFERROR(INDEX(面试清单!D:D,MATCH(55,面试清单!P:P,0)),"")</f>
        <v/>
      </c>
      <c r="D56" s="11" t="s">
        <v>43</v>
      </c>
      <c r="E56" s="11" t="s">
        <v>62</v>
      </c>
      <c r="F56" s="11" t="s">
        <v>246</v>
      </c>
      <c r="G56" s="12">
        <v>45733</v>
      </c>
      <c r="H56" s="10" t="str">
        <f>IFERROR(INDEX(面试清单!H:H,MATCH(55,面试清单!P:P,0)),"")</f>
        <v/>
      </c>
      <c r="I56" s="13" t="s">
        <v>29</v>
      </c>
      <c r="J56" s="10">
        <f ca="1" t="shared" si="1"/>
        <v>456</v>
      </c>
      <c r="K56" s="10">
        <f ca="1" t="shared" si="2"/>
        <v>16</v>
      </c>
    </row>
    <row r="57" ht="18" spans="1:11">
      <c r="A57" s="14">
        <f t="shared" si="0"/>
        <v>56</v>
      </c>
      <c r="B57" s="11" t="s">
        <v>4008</v>
      </c>
      <c r="C57" s="14" t="str">
        <f>IFERROR(INDEX(面试清单!D:D,MATCH(56,面试清单!P:P,0)),"")</f>
        <v/>
      </c>
      <c r="D57" s="11" t="s">
        <v>43</v>
      </c>
      <c r="E57" s="11" t="s">
        <v>62</v>
      </c>
      <c r="F57" s="11" t="s">
        <v>103</v>
      </c>
      <c r="G57" s="12">
        <v>45734</v>
      </c>
      <c r="H57" s="14" t="str">
        <f>IFERROR(INDEX(面试清单!H:H,MATCH(56,面试清单!P:P,0)),"")</f>
        <v/>
      </c>
      <c r="I57" s="13" t="s">
        <v>29</v>
      </c>
      <c r="J57" s="14">
        <f ca="1" t="shared" si="1"/>
        <v>455</v>
      </c>
      <c r="K57" s="14">
        <f ca="1" t="shared" si="2"/>
        <v>16</v>
      </c>
    </row>
    <row r="58" ht="18" spans="1:11">
      <c r="A58" s="10">
        <f t="shared" si="0"/>
        <v>57</v>
      </c>
      <c r="B58" s="11" t="s">
        <v>4009</v>
      </c>
      <c r="C58" s="10" t="str">
        <f>IFERROR(INDEX(面试清单!D:D,MATCH(57,面试清单!P:P,0)),"")</f>
        <v/>
      </c>
      <c r="D58" s="11" t="s">
        <v>43</v>
      </c>
      <c r="E58" s="11" t="s">
        <v>62</v>
      </c>
      <c r="F58" s="11" t="s">
        <v>179</v>
      </c>
      <c r="G58" s="12">
        <v>45734</v>
      </c>
      <c r="H58" s="10" t="str">
        <f>IFERROR(INDEX(面试清单!H:H,MATCH(57,面试清单!P:P,0)),"")</f>
        <v/>
      </c>
      <c r="I58" s="13" t="s">
        <v>29</v>
      </c>
      <c r="J58" s="10">
        <f ca="1" t="shared" si="1"/>
        <v>455</v>
      </c>
      <c r="K58" s="10">
        <f ca="1" t="shared" si="2"/>
        <v>16</v>
      </c>
    </row>
    <row r="59" ht="18" spans="1:11">
      <c r="A59" s="14">
        <f t="shared" si="0"/>
        <v>58</v>
      </c>
      <c r="B59" s="11" t="s">
        <v>4010</v>
      </c>
      <c r="C59" s="14" t="str">
        <f>IFERROR(INDEX(面试清单!D:D,MATCH(58,面试清单!P:P,0)),"")</f>
        <v/>
      </c>
      <c r="D59" s="11" t="s">
        <v>42</v>
      </c>
      <c r="E59" s="11" t="s">
        <v>62</v>
      </c>
      <c r="F59" s="11" t="s">
        <v>233</v>
      </c>
      <c r="G59" s="12">
        <v>45737</v>
      </c>
      <c r="H59" s="14" t="str">
        <f>IFERROR(INDEX(面试清单!H:H,MATCH(58,面试清单!P:P,0)),"")</f>
        <v/>
      </c>
      <c r="I59" s="13" t="s">
        <v>29</v>
      </c>
      <c r="J59" s="14">
        <f ca="1" t="shared" si="1"/>
        <v>452</v>
      </c>
      <c r="K59" s="14">
        <f ca="1" t="shared" si="2"/>
        <v>16</v>
      </c>
    </row>
    <row r="60" ht="18" spans="1:11">
      <c r="A60" s="10">
        <f t="shared" si="0"/>
        <v>59</v>
      </c>
      <c r="B60" s="11" t="s">
        <v>4011</v>
      </c>
      <c r="C60" s="10" t="str">
        <f>IFERROR(INDEX(面试清单!D:D,MATCH(59,面试清单!P:P,0)),"")</f>
        <v/>
      </c>
      <c r="D60" s="11" t="s">
        <v>42</v>
      </c>
      <c r="E60" s="11" t="s">
        <v>62</v>
      </c>
      <c r="F60" s="11" t="s">
        <v>233</v>
      </c>
      <c r="G60" s="12">
        <v>45740</v>
      </c>
      <c r="H60" s="10" t="str">
        <f>IFERROR(INDEX(面试清单!H:H,MATCH(59,面试清单!P:P,0)),"")</f>
        <v/>
      </c>
      <c r="I60" s="13" t="s">
        <v>29</v>
      </c>
      <c r="J60" s="10">
        <f ca="1" t="shared" si="1"/>
        <v>449</v>
      </c>
      <c r="K60" s="10">
        <f ca="1" t="shared" si="2"/>
        <v>16</v>
      </c>
    </row>
    <row r="61" ht="18" spans="1:11">
      <c r="A61" s="14">
        <f t="shared" si="0"/>
        <v>60</v>
      </c>
      <c r="B61" s="11" t="s">
        <v>4012</v>
      </c>
      <c r="C61" s="14" t="str">
        <f>IFERROR(INDEX(面试清单!D:D,MATCH(60,面试清单!P:P,0)),"")</f>
        <v/>
      </c>
      <c r="D61" s="11" t="s">
        <v>42</v>
      </c>
      <c r="E61" s="11" t="s">
        <v>62</v>
      </c>
      <c r="F61" s="11" t="s">
        <v>103</v>
      </c>
      <c r="G61" s="12">
        <v>45743</v>
      </c>
      <c r="H61" s="14" t="str">
        <f>IFERROR(INDEX(面试清单!H:H,MATCH(60,面试清单!P:P,0)),"")</f>
        <v/>
      </c>
      <c r="I61" s="13" t="s">
        <v>29</v>
      </c>
      <c r="J61" s="14">
        <f ca="1" t="shared" si="1"/>
        <v>446</v>
      </c>
      <c r="K61" s="14">
        <f ca="1" t="shared" si="2"/>
        <v>16</v>
      </c>
    </row>
    <row r="62" ht="18" spans="1:11">
      <c r="A62" s="10">
        <f t="shared" si="0"/>
        <v>61</v>
      </c>
      <c r="B62" s="11" t="s">
        <v>4013</v>
      </c>
      <c r="C62" s="10" t="str">
        <f>IFERROR(INDEX(面试清单!D:D,MATCH(61,面试清单!P:P,0)),"")</f>
        <v/>
      </c>
      <c r="D62" s="11" t="s">
        <v>43</v>
      </c>
      <c r="E62" s="11" t="s">
        <v>62</v>
      </c>
      <c r="F62" s="11" t="s">
        <v>179</v>
      </c>
      <c r="G62" s="12">
        <v>45743</v>
      </c>
      <c r="H62" s="10" t="str">
        <f>IFERROR(INDEX(面试清单!H:H,MATCH(61,面试清单!P:P,0)),"")</f>
        <v/>
      </c>
      <c r="I62" s="13" t="s">
        <v>29</v>
      </c>
      <c r="J62" s="10">
        <f ca="1" t="shared" si="1"/>
        <v>446</v>
      </c>
      <c r="K62" s="10">
        <f ca="1" t="shared" si="2"/>
        <v>16</v>
      </c>
    </row>
    <row r="63" ht="18" spans="1:11">
      <c r="A63" s="14">
        <f t="shared" si="0"/>
        <v>62</v>
      </c>
      <c r="B63" s="11" t="s">
        <v>4014</v>
      </c>
      <c r="C63" s="124" t="str">
        <f>IFERROR(INDEX(面试清单!D:D,MATCH(62,面试清单!P:P,0)),"")</f>
        <v>0079</v>
      </c>
      <c r="D63" s="11" t="s">
        <v>43</v>
      </c>
      <c r="E63" s="11" t="s">
        <v>62</v>
      </c>
      <c r="F63" s="11" t="s">
        <v>124</v>
      </c>
      <c r="G63" s="12">
        <v>45743</v>
      </c>
      <c r="H63" s="14" t="str">
        <f>IFERROR(INDEX(面试清单!H:H,MATCH(62,面试清单!P:P,0)),"")</f>
        <v>线下</v>
      </c>
      <c r="I63" s="13" t="s">
        <v>29</v>
      </c>
      <c r="J63" s="14">
        <f ca="1" t="shared" si="1"/>
        <v>446</v>
      </c>
      <c r="K63" s="14">
        <f ca="1" t="shared" si="2"/>
        <v>16</v>
      </c>
    </row>
    <row r="64" ht="18" spans="1:11">
      <c r="A64" s="10">
        <f t="shared" si="0"/>
        <v>63</v>
      </c>
      <c r="B64" s="11" t="s">
        <v>4015</v>
      </c>
      <c r="C64" s="10" t="str">
        <f>IFERROR(INDEX(面试清单!D:D,MATCH(63,面试清单!P:P,0)),"")</f>
        <v/>
      </c>
      <c r="D64" s="11" t="s">
        <v>42</v>
      </c>
      <c r="E64" s="11" t="s">
        <v>62</v>
      </c>
      <c r="F64" s="11" t="s">
        <v>135</v>
      </c>
      <c r="G64" s="12">
        <v>45747</v>
      </c>
      <c r="H64" s="10" t="str">
        <f>IFERROR(INDEX(面试清单!H:H,MATCH(63,面试清单!P:P,0)),"")</f>
        <v/>
      </c>
      <c r="I64" s="13" t="s">
        <v>29</v>
      </c>
      <c r="J64" s="10">
        <f ca="1" t="shared" si="1"/>
        <v>442</v>
      </c>
      <c r="K64" s="10">
        <f ca="1" t="shared" si="2"/>
        <v>16</v>
      </c>
    </row>
    <row r="65" ht="18" spans="1:11">
      <c r="A65" s="14">
        <f t="shared" si="0"/>
        <v>64</v>
      </c>
      <c r="B65" s="11" t="s">
        <v>4016</v>
      </c>
      <c r="C65" s="14" t="str">
        <f>IFERROR(INDEX(面试清单!D:D,MATCH(64,面试清单!P:P,0)),"")</f>
        <v/>
      </c>
      <c r="D65" s="11" t="s">
        <v>42</v>
      </c>
      <c r="E65" s="11" t="s">
        <v>62</v>
      </c>
      <c r="F65" s="11" t="s">
        <v>132</v>
      </c>
      <c r="G65" s="12">
        <v>45752</v>
      </c>
      <c r="H65" s="14" t="str">
        <f>IFERROR(INDEX(面试清单!H:H,MATCH(64,面试清单!P:P,0)),"")</f>
        <v/>
      </c>
      <c r="I65" s="13" t="s">
        <v>29</v>
      </c>
      <c r="J65" s="14">
        <f ca="1" t="shared" si="1"/>
        <v>437</v>
      </c>
      <c r="K65" s="14">
        <f ca="1" t="shared" si="2"/>
        <v>16</v>
      </c>
    </row>
    <row r="66" ht="18" spans="1:11">
      <c r="A66" s="10">
        <f t="shared" ref="A66:A129" si="3">IF(B66&lt;&gt;"",ROW()-1,"")</f>
        <v>65</v>
      </c>
      <c r="B66" s="11" t="s">
        <v>4017</v>
      </c>
      <c r="C66" s="10" t="str">
        <f>IFERROR(INDEX(面试清单!D:D,MATCH(65,面试清单!P:P,0)),"")</f>
        <v/>
      </c>
      <c r="D66" s="11" t="s">
        <v>42</v>
      </c>
      <c r="E66" s="11" t="s">
        <v>62</v>
      </c>
      <c r="F66" s="11" t="s">
        <v>103</v>
      </c>
      <c r="G66" s="12">
        <v>45754</v>
      </c>
      <c r="H66" s="10" t="str">
        <f>IFERROR(INDEX(面试清单!H:H,MATCH(65,面试清单!P:P,0)),"")</f>
        <v/>
      </c>
      <c r="I66" s="13" t="s">
        <v>29</v>
      </c>
      <c r="J66" s="10">
        <f ca="1" t="shared" ref="J66:J129" si="4">IF(G66&lt;&gt;"",TODAY()-G66,"")</f>
        <v>435</v>
      </c>
      <c r="K66" s="10">
        <f ca="1" t="shared" ref="K66:K129" si="5">IF(G66&lt;&gt;"",MAX(0,MIN(TODAY(),EOMONTH(TODAY(),0))-MAX(G66,EOMONTH(TODAY(),-1)+1)+1),"")</f>
        <v>16</v>
      </c>
    </row>
    <row r="67" ht="18" spans="1:11">
      <c r="A67" s="14">
        <f t="shared" si="3"/>
        <v>66</v>
      </c>
      <c r="B67" s="11" t="s">
        <v>4018</v>
      </c>
      <c r="C67" s="14" t="str">
        <f>IFERROR(INDEX(面试清单!D:D,MATCH(66,面试清单!P:P,0)),"")</f>
        <v/>
      </c>
      <c r="D67" s="11" t="s">
        <v>42</v>
      </c>
      <c r="E67" s="11" t="s">
        <v>62</v>
      </c>
      <c r="F67" s="11" t="s">
        <v>129</v>
      </c>
      <c r="G67" s="12">
        <v>45754</v>
      </c>
      <c r="H67" s="14" t="str">
        <f>IFERROR(INDEX(面试清单!H:H,MATCH(66,面试清单!P:P,0)),"")</f>
        <v/>
      </c>
      <c r="I67" s="13" t="s">
        <v>29</v>
      </c>
      <c r="J67" s="14">
        <f ca="1" t="shared" si="4"/>
        <v>435</v>
      </c>
      <c r="K67" s="14">
        <f ca="1" t="shared" si="5"/>
        <v>16</v>
      </c>
    </row>
    <row r="68" ht="18" spans="1:11">
      <c r="A68" s="10">
        <f t="shared" si="3"/>
        <v>67</v>
      </c>
      <c r="B68" s="11" t="s">
        <v>4019</v>
      </c>
      <c r="C68" s="10" t="str">
        <f>IFERROR(INDEX(面试清单!D:D,MATCH(67,面试清单!P:P,0)),"")</f>
        <v/>
      </c>
      <c r="D68" s="11" t="s">
        <v>42</v>
      </c>
      <c r="E68" s="11" t="s">
        <v>62</v>
      </c>
      <c r="F68" s="11" t="s">
        <v>103</v>
      </c>
      <c r="G68" s="12">
        <v>45755</v>
      </c>
      <c r="H68" s="10" t="str">
        <f>IFERROR(INDEX(面试清单!H:H,MATCH(67,面试清单!P:P,0)),"")</f>
        <v/>
      </c>
      <c r="I68" s="13" t="s">
        <v>29</v>
      </c>
      <c r="J68" s="10">
        <f ca="1" t="shared" si="4"/>
        <v>434</v>
      </c>
      <c r="K68" s="10">
        <f ca="1" t="shared" si="5"/>
        <v>16</v>
      </c>
    </row>
    <row r="69" ht="18" spans="1:11">
      <c r="A69" s="14">
        <f t="shared" si="3"/>
        <v>68</v>
      </c>
      <c r="B69" s="11" t="s">
        <v>4020</v>
      </c>
      <c r="C69" s="14" t="str">
        <f>IFERROR(INDEX(面试清单!D:D,MATCH(68,面试清单!P:P,0)),"")</f>
        <v/>
      </c>
      <c r="D69" s="11" t="s">
        <v>43</v>
      </c>
      <c r="E69" s="11" t="s">
        <v>62</v>
      </c>
      <c r="F69" s="11" t="s">
        <v>103</v>
      </c>
      <c r="G69" s="12">
        <v>45757</v>
      </c>
      <c r="H69" s="14" t="str">
        <f>IFERROR(INDEX(面试清单!H:H,MATCH(68,面试清单!P:P,0)),"")</f>
        <v/>
      </c>
      <c r="I69" s="13" t="s">
        <v>29</v>
      </c>
      <c r="J69" s="14">
        <f ca="1" t="shared" si="4"/>
        <v>432</v>
      </c>
      <c r="K69" s="14">
        <f ca="1" t="shared" si="5"/>
        <v>16</v>
      </c>
    </row>
    <row r="70" ht="18" spans="1:11">
      <c r="A70" s="10">
        <f t="shared" si="3"/>
        <v>69</v>
      </c>
      <c r="B70" s="11" t="s">
        <v>4021</v>
      </c>
      <c r="C70" s="10" t="str">
        <f>IFERROR(INDEX(面试清单!D:D,MATCH(69,面试清单!P:P,0)),"")</f>
        <v/>
      </c>
      <c r="D70" s="11" t="s">
        <v>43</v>
      </c>
      <c r="E70" s="11" t="s">
        <v>62</v>
      </c>
      <c r="F70" s="11" t="s">
        <v>233</v>
      </c>
      <c r="G70" s="12">
        <v>45765</v>
      </c>
      <c r="H70" s="10" t="str">
        <f>IFERROR(INDEX(面试清单!H:H,MATCH(69,面试清单!P:P,0)),"")</f>
        <v/>
      </c>
      <c r="I70" s="13" t="s">
        <v>29</v>
      </c>
      <c r="J70" s="10">
        <f ca="1" t="shared" si="4"/>
        <v>424</v>
      </c>
      <c r="K70" s="10">
        <f ca="1" t="shared" si="5"/>
        <v>16</v>
      </c>
    </row>
    <row r="71" ht="18" spans="1:11">
      <c r="A71" s="14">
        <f t="shared" si="3"/>
        <v>70</v>
      </c>
      <c r="B71" s="11" t="s">
        <v>4022</v>
      </c>
      <c r="C71" s="14" t="str">
        <f>IFERROR(INDEX(面试清单!D:D,MATCH(70,面试清单!P:P,0)),"")</f>
        <v/>
      </c>
      <c r="D71" s="11" t="s">
        <v>42</v>
      </c>
      <c r="E71" s="11" t="s">
        <v>62</v>
      </c>
      <c r="F71" s="11" t="s">
        <v>3960</v>
      </c>
      <c r="G71" s="12">
        <v>45765</v>
      </c>
      <c r="H71" s="14" t="str">
        <f>IFERROR(INDEX(面试清单!H:H,MATCH(70,面试清单!P:P,0)),"")</f>
        <v/>
      </c>
      <c r="I71" s="13" t="s">
        <v>29</v>
      </c>
      <c r="J71" s="14">
        <f ca="1" t="shared" si="4"/>
        <v>424</v>
      </c>
      <c r="K71" s="14">
        <f ca="1" t="shared" si="5"/>
        <v>16</v>
      </c>
    </row>
    <row r="72" ht="18" spans="1:11">
      <c r="A72" s="10">
        <f t="shared" si="3"/>
        <v>71</v>
      </c>
      <c r="B72" s="11" t="s">
        <v>4023</v>
      </c>
      <c r="C72" s="125" t="str">
        <f>IFERROR(INDEX(面试清单!D:D,MATCH(71,面试清单!P:P,0)),"")</f>
        <v>0088</v>
      </c>
      <c r="D72" s="11" t="s">
        <v>73</v>
      </c>
      <c r="E72" s="11" t="s">
        <v>63</v>
      </c>
      <c r="F72" s="11" t="s">
        <v>307</v>
      </c>
      <c r="G72" s="12">
        <v>45768</v>
      </c>
      <c r="H72" s="10" t="str">
        <f>IFERROR(INDEX(面试清单!H:H,MATCH(71,面试清单!P:P,0)),"")</f>
        <v>线下</v>
      </c>
      <c r="I72" s="13" t="s">
        <v>29</v>
      </c>
      <c r="J72" s="10">
        <f ca="1" t="shared" si="4"/>
        <v>421</v>
      </c>
      <c r="K72" s="10">
        <f ca="1" t="shared" si="5"/>
        <v>16</v>
      </c>
    </row>
    <row r="73" ht="36" spans="1:11">
      <c r="A73" s="14">
        <f t="shared" si="3"/>
        <v>72</v>
      </c>
      <c r="B73" s="11" t="s">
        <v>4024</v>
      </c>
      <c r="C73" s="124" t="str">
        <f>IFERROR(INDEX(面试清单!D:D,MATCH(72,面试清单!P:P,0)),"")</f>
        <v>0089</v>
      </c>
      <c r="D73" s="11" t="s">
        <v>42</v>
      </c>
      <c r="E73" s="11" t="s">
        <v>62</v>
      </c>
      <c r="F73" s="11" t="s">
        <v>103</v>
      </c>
      <c r="G73" s="12">
        <v>45771</v>
      </c>
      <c r="H73" s="14" t="str">
        <f>IFERROR(INDEX(面试清单!H:H,MATCH(72,面试清单!P:P,0)),"")</f>
        <v>线下</v>
      </c>
      <c r="I73" s="13" t="s">
        <v>29</v>
      </c>
      <c r="J73" s="14">
        <f ca="1" t="shared" si="4"/>
        <v>418</v>
      </c>
      <c r="K73" s="14">
        <f ca="1" t="shared" si="5"/>
        <v>16</v>
      </c>
    </row>
    <row r="74" ht="18" spans="1:11">
      <c r="A74" s="10">
        <f t="shared" si="3"/>
        <v>73</v>
      </c>
      <c r="B74" s="11" t="s">
        <v>4025</v>
      </c>
      <c r="C74" s="125" t="str">
        <f>IFERROR(INDEX(面试清单!D:D,MATCH(73,面试清单!P:P,0)),"")</f>
        <v>0090</v>
      </c>
      <c r="D74" s="11" t="s">
        <v>73</v>
      </c>
      <c r="E74" s="11" t="s">
        <v>62</v>
      </c>
      <c r="F74" s="11" t="s">
        <v>233</v>
      </c>
      <c r="G74" s="12">
        <v>45775</v>
      </c>
      <c r="H74" s="10" t="str">
        <f>IFERROR(INDEX(面试清单!H:H,MATCH(73,面试清单!P:P,0)),"")</f>
        <v>线下</v>
      </c>
      <c r="I74" s="13" t="s">
        <v>29</v>
      </c>
      <c r="J74" s="10">
        <f ca="1" t="shared" si="4"/>
        <v>414</v>
      </c>
      <c r="K74" s="10">
        <f ca="1" t="shared" si="5"/>
        <v>16</v>
      </c>
    </row>
    <row r="75" ht="18" spans="1:11">
      <c r="A75" s="14">
        <f t="shared" si="3"/>
        <v>74</v>
      </c>
      <c r="B75" s="11" t="s">
        <v>4026</v>
      </c>
      <c r="C75" s="124" t="str">
        <f>IFERROR(INDEX(面试清单!D:D,MATCH(74,面试清单!P:P,0)),"")</f>
        <v>0091</v>
      </c>
      <c r="D75" s="11" t="s">
        <v>43</v>
      </c>
      <c r="E75" s="11" t="s">
        <v>62</v>
      </c>
      <c r="F75" s="11" t="s">
        <v>103</v>
      </c>
      <c r="G75" s="12">
        <v>45781</v>
      </c>
      <c r="H75" s="14" t="str">
        <f>IFERROR(INDEX(面试清单!H:H,MATCH(74,面试清单!P:P,0)),"")</f>
        <v>线下</v>
      </c>
      <c r="I75" s="13" t="s">
        <v>29</v>
      </c>
      <c r="J75" s="14">
        <f ca="1" t="shared" si="4"/>
        <v>408</v>
      </c>
      <c r="K75" s="14">
        <f ca="1" t="shared" si="5"/>
        <v>16</v>
      </c>
    </row>
    <row r="76" ht="18" spans="1:11">
      <c r="A76" s="10">
        <f t="shared" si="3"/>
        <v>75</v>
      </c>
      <c r="B76" s="11" t="s">
        <v>4027</v>
      </c>
      <c r="C76" s="10" t="str">
        <f>IFERROR(INDEX(面试清单!D:D,MATCH(75,面试清单!P:P,0)),"")</f>
        <v/>
      </c>
      <c r="D76" s="11" t="s">
        <v>42</v>
      </c>
      <c r="E76" s="11" t="s">
        <v>62</v>
      </c>
      <c r="F76" s="11" t="s">
        <v>179</v>
      </c>
      <c r="G76" s="12">
        <v>45783</v>
      </c>
      <c r="H76" s="10" t="str">
        <f>IFERROR(INDEX(面试清单!H:H,MATCH(75,面试清单!P:P,0)),"")</f>
        <v/>
      </c>
      <c r="I76" s="13" t="s">
        <v>29</v>
      </c>
      <c r="J76" s="10">
        <f ca="1" t="shared" si="4"/>
        <v>406</v>
      </c>
      <c r="K76" s="10">
        <f ca="1" t="shared" si="5"/>
        <v>16</v>
      </c>
    </row>
    <row r="77" ht="18" spans="1:11">
      <c r="A77" s="14">
        <f t="shared" si="3"/>
        <v>76</v>
      </c>
      <c r="B77" s="11" t="s">
        <v>4028</v>
      </c>
      <c r="C77" s="14" t="str">
        <f>IFERROR(INDEX(面试清单!D:D,MATCH(76,面试清单!P:P,0)),"")</f>
        <v/>
      </c>
      <c r="D77" s="11" t="s">
        <v>43</v>
      </c>
      <c r="E77" s="11" t="s">
        <v>64</v>
      </c>
      <c r="F77" s="11" t="s">
        <v>179</v>
      </c>
      <c r="G77" s="12">
        <v>45783</v>
      </c>
      <c r="H77" s="14" t="str">
        <f>IFERROR(INDEX(面试清单!H:H,MATCH(76,面试清单!P:P,0)),"")</f>
        <v/>
      </c>
      <c r="I77" s="13" t="s">
        <v>29</v>
      </c>
      <c r="J77" s="14">
        <f ca="1" t="shared" si="4"/>
        <v>406</v>
      </c>
      <c r="K77" s="14">
        <f ca="1" t="shared" si="5"/>
        <v>16</v>
      </c>
    </row>
    <row r="78" ht="18" spans="1:11">
      <c r="A78" s="10">
        <f t="shared" si="3"/>
        <v>77</v>
      </c>
      <c r="B78" s="11" t="s">
        <v>4029</v>
      </c>
      <c r="C78" s="10" t="str">
        <f>IFERROR(INDEX(面试清单!D:D,MATCH(77,面试清单!P:P,0)),"")</f>
        <v/>
      </c>
      <c r="D78" s="11" t="s">
        <v>42</v>
      </c>
      <c r="E78" s="11" t="s">
        <v>63</v>
      </c>
      <c r="F78" s="11" t="s">
        <v>135</v>
      </c>
      <c r="G78" s="12">
        <v>45794</v>
      </c>
      <c r="H78" s="10" t="str">
        <f>IFERROR(INDEX(面试清单!H:H,MATCH(77,面试清单!P:P,0)),"")</f>
        <v/>
      </c>
      <c r="I78" s="13" t="s">
        <v>29</v>
      </c>
      <c r="J78" s="10">
        <f ca="1" t="shared" si="4"/>
        <v>395</v>
      </c>
      <c r="K78" s="10">
        <f ca="1" t="shared" si="5"/>
        <v>16</v>
      </c>
    </row>
    <row r="79" ht="18" spans="1:11">
      <c r="A79" s="14">
        <f t="shared" si="3"/>
        <v>78</v>
      </c>
      <c r="B79" s="11" t="s">
        <v>4030</v>
      </c>
      <c r="C79" s="14" t="str">
        <f>IFERROR(INDEX(面试清单!D:D,MATCH(78,面试清单!P:P,0)),"")</f>
        <v/>
      </c>
      <c r="D79" s="11" t="s">
        <v>43</v>
      </c>
      <c r="E79" s="11" t="s">
        <v>64</v>
      </c>
      <c r="F79" s="11" t="s">
        <v>179</v>
      </c>
      <c r="G79" s="12">
        <v>45797</v>
      </c>
      <c r="H79" s="14" t="str">
        <f>IFERROR(INDEX(面试清单!H:H,MATCH(78,面试清单!P:P,0)),"")</f>
        <v/>
      </c>
      <c r="I79" s="13" t="s">
        <v>29</v>
      </c>
      <c r="J79" s="14">
        <f ca="1" t="shared" si="4"/>
        <v>392</v>
      </c>
      <c r="K79" s="14">
        <f ca="1" t="shared" si="5"/>
        <v>16</v>
      </c>
    </row>
    <row r="80" ht="18" spans="1:11">
      <c r="A80" s="10">
        <f t="shared" si="3"/>
        <v>79</v>
      </c>
      <c r="B80" s="11" t="s">
        <v>4031</v>
      </c>
      <c r="C80" s="10" t="str">
        <f>IFERROR(INDEX(面试清单!D:D,MATCH(79,面试清单!P:P,0)),"")</f>
        <v/>
      </c>
      <c r="D80" s="11" t="s">
        <v>43</v>
      </c>
      <c r="E80" s="11" t="s">
        <v>62</v>
      </c>
      <c r="F80" s="11" t="s">
        <v>233</v>
      </c>
      <c r="G80" s="12">
        <v>45797</v>
      </c>
      <c r="H80" s="10" t="str">
        <f>IFERROR(INDEX(面试清单!H:H,MATCH(79,面试清单!P:P,0)),"")</f>
        <v/>
      </c>
      <c r="I80" s="13" t="s">
        <v>29</v>
      </c>
      <c r="J80" s="10">
        <f ca="1" t="shared" si="4"/>
        <v>392</v>
      </c>
      <c r="K80" s="10">
        <f ca="1" t="shared" si="5"/>
        <v>16</v>
      </c>
    </row>
    <row r="81" ht="18" spans="1:11">
      <c r="A81" s="14">
        <f t="shared" si="3"/>
        <v>80</v>
      </c>
      <c r="B81" s="11" t="s">
        <v>4032</v>
      </c>
      <c r="C81" s="14" t="str">
        <f>IFERROR(INDEX(面试清单!D:D,MATCH(80,面试清单!P:P,0)),"")</f>
        <v/>
      </c>
      <c r="D81" s="11" t="s">
        <v>43</v>
      </c>
      <c r="E81" s="11" t="s">
        <v>63</v>
      </c>
      <c r="F81" s="11" t="s">
        <v>135</v>
      </c>
      <c r="G81" s="12">
        <v>45799</v>
      </c>
      <c r="H81" s="14" t="str">
        <f>IFERROR(INDEX(面试清单!H:H,MATCH(80,面试清单!P:P,0)),"")</f>
        <v/>
      </c>
      <c r="I81" s="13" t="s">
        <v>29</v>
      </c>
      <c r="J81" s="14">
        <f ca="1" t="shared" si="4"/>
        <v>390</v>
      </c>
      <c r="K81" s="14">
        <f ca="1" t="shared" si="5"/>
        <v>16</v>
      </c>
    </row>
    <row r="82" ht="18" spans="1:11">
      <c r="A82" s="10">
        <f t="shared" si="3"/>
        <v>81</v>
      </c>
      <c r="B82" s="11" t="s">
        <v>4033</v>
      </c>
      <c r="C82" s="10" t="str">
        <f>IFERROR(INDEX(面试清单!D:D,MATCH(81,面试清单!P:P,0)),"")</f>
        <v/>
      </c>
      <c r="D82" s="11" t="s">
        <v>42</v>
      </c>
      <c r="E82" s="11" t="s">
        <v>62</v>
      </c>
      <c r="F82" s="11" t="s">
        <v>103</v>
      </c>
      <c r="G82" s="12">
        <v>45805</v>
      </c>
      <c r="H82" s="10" t="str">
        <f>IFERROR(INDEX(面试清单!H:H,MATCH(81,面试清单!P:P,0)),"")</f>
        <v/>
      </c>
      <c r="I82" s="13" t="s">
        <v>29</v>
      </c>
      <c r="J82" s="10">
        <f ca="1" t="shared" si="4"/>
        <v>384</v>
      </c>
      <c r="K82" s="10">
        <f ca="1" t="shared" si="5"/>
        <v>16</v>
      </c>
    </row>
    <row r="83" ht="18" spans="1:11">
      <c r="A83" s="14">
        <f t="shared" si="3"/>
        <v>82</v>
      </c>
      <c r="B83" s="11" t="s">
        <v>4034</v>
      </c>
      <c r="C83" s="14" t="str">
        <f>IFERROR(INDEX(面试清单!D:D,MATCH(82,面试清单!P:P,0)),"")</f>
        <v/>
      </c>
      <c r="D83" s="11" t="s">
        <v>42</v>
      </c>
      <c r="E83" s="11" t="s">
        <v>62</v>
      </c>
      <c r="F83" s="11" t="s">
        <v>233</v>
      </c>
      <c r="G83" s="12">
        <v>45806</v>
      </c>
      <c r="H83" s="14" t="str">
        <f>IFERROR(INDEX(面试清单!H:H,MATCH(82,面试清单!P:P,0)),"")</f>
        <v/>
      </c>
      <c r="I83" s="13" t="s">
        <v>29</v>
      </c>
      <c r="J83" s="14">
        <f ca="1" t="shared" si="4"/>
        <v>383</v>
      </c>
      <c r="K83" s="14">
        <f ca="1" t="shared" si="5"/>
        <v>16</v>
      </c>
    </row>
    <row r="84" ht="18" spans="1:11">
      <c r="A84" s="10">
        <f t="shared" si="3"/>
        <v>83</v>
      </c>
      <c r="B84" s="11" t="s">
        <v>4035</v>
      </c>
      <c r="C84" s="125" t="str">
        <f>IFERROR(INDEX(面试清单!D:D,MATCH(83,面试清单!P:P,0)),"")</f>
        <v>0104</v>
      </c>
      <c r="D84" s="11" t="s">
        <v>43</v>
      </c>
      <c r="E84" s="11" t="s">
        <v>62</v>
      </c>
      <c r="F84" s="11" t="s">
        <v>110</v>
      </c>
      <c r="G84" s="12">
        <v>45806</v>
      </c>
      <c r="H84" s="10" t="str">
        <f>IFERROR(INDEX(面试清单!H:H,MATCH(83,面试清单!P:P,0)),"")</f>
        <v>线下</v>
      </c>
      <c r="I84" s="13" t="s">
        <v>29</v>
      </c>
      <c r="J84" s="10">
        <f ca="1" t="shared" si="4"/>
        <v>383</v>
      </c>
      <c r="K84" s="10">
        <f ca="1" t="shared" si="5"/>
        <v>16</v>
      </c>
    </row>
    <row r="85" ht="18" spans="1:11">
      <c r="A85" s="14">
        <f t="shared" si="3"/>
        <v>84</v>
      </c>
      <c r="B85" s="11" t="s">
        <v>4036</v>
      </c>
      <c r="C85" s="14" t="str">
        <f>IFERROR(INDEX(面试清单!D:D,MATCH(84,面试清单!P:P,0)),"")</f>
        <v/>
      </c>
      <c r="D85" s="11" t="s">
        <v>43</v>
      </c>
      <c r="E85" s="11" t="s">
        <v>62</v>
      </c>
      <c r="F85" s="11" t="s">
        <v>233</v>
      </c>
      <c r="G85" s="12">
        <v>45807</v>
      </c>
      <c r="H85" s="14" t="str">
        <f>IFERROR(INDEX(面试清单!H:H,MATCH(84,面试清单!P:P,0)),"")</f>
        <v/>
      </c>
      <c r="I85" s="13" t="s">
        <v>29</v>
      </c>
      <c r="J85" s="14">
        <f ca="1" t="shared" si="4"/>
        <v>382</v>
      </c>
      <c r="K85" s="14">
        <f ca="1" t="shared" si="5"/>
        <v>16</v>
      </c>
    </row>
    <row r="86" ht="18" spans="1:11">
      <c r="A86" s="10">
        <f t="shared" si="3"/>
        <v>85</v>
      </c>
      <c r="B86" s="11" t="s">
        <v>4037</v>
      </c>
      <c r="C86" s="10" t="str">
        <f>IFERROR(INDEX(面试清单!D:D,MATCH(85,面试清单!P:P,0)),"")</f>
        <v/>
      </c>
      <c r="D86" s="11" t="s">
        <v>43</v>
      </c>
      <c r="E86" s="11" t="s">
        <v>62</v>
      </c>
      <c r="F86" s="11" t="s">
        <v>103</v>
      </c>
      <c r="G86" s="12">
        <v>45809</v>
      </c>
      <c r="H86" s="10" t="str">
        <f>IFERROR(INDEX(面试清单!H:H,MATCH(85,面试清单!P:P,0)),"")</f>
        <v/>
      </c>
      <c r="I86" s="13" t="s">
        <v>29</v>
      </c>
      <c r="J86" s="10">
        <f ca="1" t="shared" si="4"/>
        <v>380</v>
      </c>
      <c r="K86" s="10">
        <f ca="1" t="shared" si="5"/>
        <v>16</v>
      </c>
    </row>
    <row r="87" ht="18" spans="1:11">
      <c r="A87" s="14">
        <f t="shared" si="3"/>
        <v>86</v>
      </c>
      <c r="B87" s="11" t="s">
        <v>4038</v>
      </c>
      <c r="C87" s="124" t="str">
        <f>IFERROR(INDEX(面试清单!D:D,MATCH(86,面试清单!P:P,0)),"")</f>
        <v>0107</v>
      </c>
      <c r="D87" s="11" t="s">
        <v>43</v>
      </c>
      <c r="E87" s="11" t="s">
        <v>62</v>
      </c>
      <c r="F87" s="11" t="s">
        <v>233</v>
      </c>
      <c r="G87" s="12">
        <v>45810</v>
      </c>
      <c r="H87" s="14" t="str">
        <f>IFERROR(INDEX(面试清单!H:H,MATCH(86,面试清单!P:P,0)),"")</f>
        <v>线下</v>
      </c>
      <c r="I87" s="13" t="s">
        <v>29</v>
      </c>
      <c r="J87" s="14">
        <f ca="1" t="shared" si="4"/>
        <v>379</v>
      </c>
      <c r="K87" s="14">
        <f ca="1" t="shared" si="5"/>
        <v>16</v>
      </c>
    </row>
    <row r="88" ht="18" spans="1:11">
      <c r="A88" s="10">
        <f t="shared" si="3"/>
        <v>87</v>
      </c>
      <c r="B88" s="11" t="s">
        <v>4039</v>
      </c>
      <c r="C88" s="10" t="str">
        <f>IFERROR(INDEX(面试清单!D:D,MATCH(87,面试清单!P:P,0)),"")</f>
        <v/>
      </c>
      <c r="D88" s="11" t="s">
        <v>43</v>
      </c>
      <c r="E88" s="11" t="s">
        <v>62</v>
      </c>
      <c r="F88" s="11" t="s">
        <v>307</v>
      </c>
      <c r="G88" s="12">
        <v>45811</v>
      </c>
      <c r="H88" s="10" t="str">
        <f>IFERROR(INDEX(面试清单!H:H,MATCH(87,面试清单!P:P,0)),"")</f>
        <v/>
      </c>
      <c r="I88" s="13" t="s">
        <v>29</v>
      </c>
      <c r="J88" s="10">
        <f ca="1" t="shared" si="4"/>
        <v>378</v>
      </c>
      <c r="K88" s="10">
        <f ca="1" t="shared" si="5"/>
        <v>16</v>
      </c>
    </row>
    <row r="89" ht="18" spans="1:11">
      <c r="A89" s="14">
        <f t="shared" si="3"/>
        <v>88</v>
      </c>
      <c r="B89" s="11" t="s">
        <v>4040</v>
      </c>
      <c r="C89" s="14" t="str">
        <f>IFERROR(INDEX(面试清单!D:D,MATCH(88,面试清单!P:P,0)),"")</f>
        <v/>
      </c>
      <c r="D89" s="11" t="s">
        <v>42</v>
      </c>
      <c r="E89" s="11" t="s">
        <v>62</v>
      </c>
      <c r="F89" s="11" t="s">
        <v>103</v>
      </c>
      <c r="G89" s="12">
        <v>45811</v>
      </c>
      <c r="H89" s="14" t="str">
        <f>IFERROR(INDEX(面试清单!H:H,MATCH(88,面试清单!P:P,0)),"")</f>
        <v/>
      </c>
      <c r="I89" s="13" t="s">
        <v>29</v>
      </c>
      <c r="J89" s="14">
        <f ca="1" t="shared" si="4"/>
        <v>378</v>
      </c>
      <c r="K89" s="14">
        <f ca="1" t="shared" si="5"/>
        <v>16</v>
      </c>
    </row>
    <row r="90" ht="18" spans="1:11">
      <c r="A90" s="10">
        <f t="shared" si="3"/>
        <v>89</v>
      </c>
      <c r="B90" s="11" t="s">
        <v>4041</v>
      </c>
      <c r="C90" s="10" t="str">
        <f>IFERROR(INDEX(面试清单!D:D,MATCH(89,面试清单!P:P,0)),"")</f>
        <v/>
      </c>
      <c r="D90" s="11" t="s">
        <v>43</v>
      </c>
      <c r="E90" s="11" t="s">
        <v>62</v>
      </c>
      <c r="F90" s="11" t="s">
        <v>530</v>
      </c>
      <c r="G90" s="12">
        <v>45813</v>
      </c>
      <c r="H90" s="10" t="str">
        <f>IFERROR(INDEX(面试清单!H:H,MATCH(89,面试清单!P:P,0)),"")</f>
        <v/>
      </c>
      <c r="I90" s="13" t="s">
        <v>29</v>
      </c>
      <c r="J90" s="10">
        <f ca="1" t="shared" si="4"/>
        <v>376</v>
      </c>
      <c r="K90" s="10">
        <f ca="1" t="shared" si="5"/>
        <v>16</v>
      </c>
    </row>
    <row r="91" ht="18" spans="1:11">
      <c r="A91" s="14">
        <f t="shared" si="3"/>
        <v>90</v>
      </c>
      <c r="B91" s="11" t="s">
        <v>4042</v>
      </c>
      <c r="C91" s="124" t="str">
        <f>IFERROR(INDEX(面试清单!D:D,MATCH(90,面试清单!P:P,0)),"")</f>
        <v>0114</v>
      </c>
      <c r="D91" s="11" t="s">
        <v>73</v>
      </c>
      <c r="E91" s="11" t="s">
        <v>62</v>
      </c>
      <c r="F91" s="11" t="s">
        <v>129</v>
      </c>
      <c r="G91" s="12">
        <v>45817</v>
      </c>
      <c r="H91" s="14" t="str">
        <f>IFERROR(INDEX(面试清单!H:H,MATCH(90,面试清单!P:P,0)),"")</f>
        <v>线下</v>
      </c>
      <c r="I91" s="13" t="s">
        <v>29</v>
      </c>
      <c r="J91" s="14">
        <f ca="1" t="shared" si="4"/>
        <v>372</v>
      </c>
      <c r="K91" s="14">
        <f ca="1" t="shared" si="5"/>
        <v>16</v>
      </c>
    </row>
    <row r="92" ht="18" spans="1:11">
      <c r="A92" s="10">
        <f t="shared" si="3"/>
        <v>91</v>
      </c>
      <c r="B92" s="11" t="s">
        <v>4043</v>
      </c>
      <c r="C92" s="10" t="str">
        <f>IFERROR(INDEX(面试清单!D:D,MATCH(91,面试清单!P:P,0)),"")</f>
        <v/>
      </c>
      <c r="D92" s="11" t="s">
        <v>42</v>
      </c>
      <c r="E92" s="11" t="s">
        <v>62</v>
      </c>
      <c r="F92" s="11" t="s">
        <v>103</v>
      </c>
      <c r="G92" s="12">
        <v>45817</v>
      </c>
      <c r="H92" s="10" t="str">
        <f>IFERROR(INDEX(面试清单!H:H,MATCH(91,面试清单!P:P,0)),"")</f>
        <v/>
      </c>
      <c r="I92" s="13" t="s">
        <v>29</v>
      </c>
      <c r="J92" s="10">
        <f ca="1" t="shared" si="4"/>
        <v>372</v>
      </c>
      <c r="K92" s="10">
        <f ca="1" t="shared" si="5"/>
        <v>16</v>
      </c>
    </row>
    <row r="93" ht="18" spans="1:11">
      <c r="A93" s="14">
        <f t="shared" si="3"/>
        <v>92</v>
      </c>
      <c r="B93" s="11" t="s">
        <v>4044</v>
      </c>
      <c r="C93" s="124" t="str">
        <f>IFERROR(INDEX(面试清单!D:D,MATCH(92,面试清单!P:P,0)),"")</f>
        <v>0116</v>
      </c>
      <c r="D93" s="11" t="s">
        <v>43</v>
      </c>
      <c r="E93" s="11" t="s">
        <v>62</v>
      </c>
      <c r="F93" s="11" t="s">
        <v>307</v>
      </c>
      <c r="G93" s="12">
        <v>45820</v>
      </c>
      <c r="H93" s="14" t="str">
        <f>IFERROR(INDEX(面试清单!H:H,MATCH(92,面试清单!P:P,0)),"")</f>
        <v>线下</v>
      </c>
      <c r="I93" s="13" t="s">
        <v>29</v>
      </c>
      <c r="J93" s="14">
        <f ca="1" t="shared" si="4"/>
        <v>369</v>
      </c>
      <c r="K93" s="14">
        <f ca="1" t="shared" si="5"/>
        <v>16</v>
      </c>
    </row>
    <row r="94" ht="18" spans="1:11">
      <c r="A94" s="10">
        <f t="shared" si="3"/>
        <v>93</v>
      </c>
      <c r="B94" s="11" t="s">
        <v>4045</v>
      </c>
      <c r="C94" s="10" t="str">
        <f>IFERROR(INDEX(面试清单!D:D,MATCH(93,面试清单!P:P,0)),"")</f>
        <v/>
      </c>
      <c r="D94" s="11" t="s">
        <v>73</v>
      </c>
      <c r="E94" s="11" t="s">
        <v>63</v>
      </c>
      <c r="F94" s="11" t="s">
        <v>129</v>
      </c>
      <c r="G94" s="12">
        <v>45821</v>
      </c>
      <c r="H94" s="10" t="str">
        <f>IFERROR(INDEX(面试清单!H:H,MATCH(93,面试清单!P:P,0)),"")</f>
        <v/>
      </c>
      <c r="I94" s="13" t="s">
        <v>29</v>
      </c>
      <c r="J94" s="10">
        <f ca="1" t="shared" si="4"/>
        <v>368</v>
      </c>
      <c r="K94" s="10">
        <f ca="1" t="shared" si="5"/>
        <v>16</v>
      </c>
    </row>
    <row r="95" ht="18" spans="1:11">
      <c r="A95" s="14">
        <f t="shared" si="3"/>
        <v>94</v>
      </c>
      <c r="B95" s="11" t="s">
        <v>4046</v>
      </c>
      <c r="C95" s="14" t="str">
        <f>IFERROR(INDEX(面试清单!D:D,MATCH(94,面试清单!P:P,0)),"")</f>
        <v/>
      </c>
      <c r="D95" s="11" t="s">
        <v>73</v>
      </c>
      <c r="E95" s="11" t="s">
        <v>63</v>
      </c>
      <c r="F95" s="11" t="s">
        <v>103</v>
      </c>
      <c r="G95" s="15">
        <v>45821</v>
      </c>
      <c r="H95" s="14" t="str">
        <f>IFERROR(INDEX(面试清单!H:H,MATCH(94,面试清单!P:P,0)),"")</f>
        <v/>
      </c>
      <c r="I95" s="13" t="s">
        <v>29</v>
      </c>
      <c r="J95" s="14">
        <f ca="1" t="shared" si="4"/>
        <v>368</v>
      </c>
      <c r="K95" s="14">
        <f ca="1" t="shared" si="5"/>
        <v>16</v>
      </c>
    </row>
    <row r="96" ht="18" spans="1:11">
      <c r="A96" s="10">
        <f t="shared" si="3"/>
        <v>95</v>
      </c>
      <c r="B96" s="11" t="s">
        <v>4047</v>
      </c>
      <c r="C96" s="10" t="str">
        <f>IFERROR(INDEX(面试清单!D:D,MATCH(95,面试清单!P:P,0)),"")</f>
        <v/>
      </c>
      <c r="D96" s="11" t="s">
        <v>42</v>
      </c>
      <c r="E96" s="11" t="s">
        <v>62</v>
      </c>
      <c r="F96" s="11" t="s">
        <v>179</v>
      </c>
      <c r="G96" s="15">
        <v>45826</v>
      </c>
      <c r="H96" s="10" t="str">
        <f>IFERROR(INDEX(面试清单!H:H,MATCH(95,面试清单!P:P,0)),"")</f>
        <v/>
      </c>
      <c r="I96" s="13" t="s">
        <v>29</v>
      </c>
      <c r="J96" s="10">
        <f ca="1" t="shared" si="4"/>
        <v>363</v>
      </c>
      <c r="K96" s="10">
        <f ca="1" t="shared" si="5"/>
        <v>16</v>
      </c>
    </row>
    <row r="97" ht="18" spans="1:11">
      <c r="A97" s="14">
        <f t="shared" si="3"/>
        <v>96</v>
      </c>
      <c r="B97" s="11" t="s">
        <v>4048</v>
      </c>
      <c r="C97" s="14" t="str">
        <f>IFERROR(INDEX(面试清单!D:D,MATCH(96,面试清单!P:P,0)),"")</f>
        <v/>
      </c>
      <c r="D97" s="11" t="s">
        <v>73</v>
      </c>
      <c r="E97" s="11" t="s">
        <v>62</v>
      </c>
      <c r="F97" s="11" t="s">
        <v>103</v>
      </c>
      <c r="G97" s="15">
        <v>45854</v>
      </c>
      <c r="H97" s="14" t="str">
        <f>IFERROR(INDEX(面试清单!H:H,MATCH(96,面试清单!P:P,0)),"")</f>
        <v/>
      </c>
      <c r="I97" s="13" t="s">
        <v>29</v>
      </c>
      <c r="J97" s="14">
        <f ca="1" t="shared" si="4"/>
        <v>335</v>
      </c>
      <c r="K97" s="14">
        <f ca="1" t="shared" si="5"/>
        <v>16</v>
      </c>
    </row>
    <row r="98" ht="18" spans="1:11">
      <c r="A98" s="10">
        <f t="shared" si="3"/>
        <v>97</v>
      </c>
      <c r="B98" s="11" t="s">
        <v>4049</v>
      </c>
      <c r="C98" s="10" t="str">
        <f>IFERROR(INDEX(面试清单!D:D,MATCH(97,面试清单!P:P,0)),"")</f>
        <v/>
      </c>
      <c r="D98" s="11" t="s">
        <v>42</v>
      </c>
      <c r="E98" s="11" t="s">
        <v>62</v>
      </c>
      <c r="F98" s="11" t="s">
        <v>103</v>
      </c>
      <c r="G98" s="15">
        <v>45895</v>
      </c>
      <c r="H98" s="10" t="str">
        <f>IFERROR(INDEX(面试清单!H:H,MATCH(97,面试清单!P:P,0)),"")</f>
        <v/>
      </c>
      <c r="I98" s="13" t="s">
        <v>29</v>
      </c>
      <c r="J98" s="10">
        <f ca="1" t="shared" si="4"/>
        <v>294</v>
      </c>
      <c r="K98" s="10">
        <f ca="1" t="shared" si="5"/>
        <v>16</v>
      </c>
    </row>
    <row r="99" ht="18" spans="1:11">
      <c r="A99" s="14">
        <f t="shared" si="3"/>
        <v>98</v>
      </c>
      <c r="B99" s="11" t="s">
        <v>4050</v>
      </c>
      <c r="C99" s="14" t="str">
        <f>IFERROR(INDEX(面试清单!D:D,MATCH(98,面试清单!P:P,0)),"")</f>
        <v/>
      </c>
      <c r="D99" s="11" t="s">
        <v>42</v>
      </c>
      <c r="E99" s="11" t="s">
        <v>62</v>
      </c>
      <c r="F99" s="11" t="s">
        <v>179</v>
      </c>
      <c r="G99" s="15">
        <v>45895</v>
      </c>
      <c r="H99" s="14" t="str">
        <f>IFERROR(INDEX(面试清单!H:H,MATCH(98,面试清单!P:P,0)),"")</f>
        <v/>
      </c>
      <c r="I99" s="13" t="s">
        <v>29</v>
      </c>
      <c r="J99" s="14">
        <f ca="1" t="shared" si="4"/>
        <v>294</v>
      </c>
      <c r="K99" s="14">
        <f ca="1" t="shared" si="5"/>
        <v>16</v>
      </c>
    </row>
    <row r="100" ht="18" spans="1:11">
      <c r="A100" s="10">
        <f t="shared" si="3"/>
        <v>99</v>
      </c>
      <c r="B100" s="11" t="s">
        <v>4051</v>
      </c>
      <c r="C100" s="10" t="str">
        <f>IFERROR(INDEX(面试清单!D:D,MATCH(99,面试清单!P:P,0)),"")</f>
        <v/>
      </c>
      <c r="D100" s="11" t="s">
        <v>42</v>
      </c>
      <c r="E100" s="11" t="s">
        <v>62</v>
      </c>
      <c r="F100" s="11" t="s">
        <v>129</v>
      </c>
      <c r="G100" s="15">
        <v>45896</v>
      </c>
      <c r="H100" s="10" t="str">
        <f>IFERROR(INDEX(面试清单!H:H,MATCH(99,面试清单!P:P,0)),"")</f>
        <v/>
      </c>
      <c r="I100" s="13" t="s">
        <v>29</v>
      </c>
      <c r="J100" s="10">
        <f ca="1" t="shared" si="4"/>
        <v>293</v>
      </c>
      <c r="K100" s="10">
        <f ca="1" t="shared" si="5"/>
        <v>16</v>
      </c>
    </row>
    <row r="101" ht="18" spans="1:11">
      <c r="A101" s="14">
        <f t="shared" si="3"/>
        <v>100</v>
      </c>
      <c r="B101" s="11" t="s">
        <v>4052</v>
      </c>
      <c r="C101" s="14" t="str">
        <f>IFERROR(INDEX(面试清单!D:D,MATCH(100,面试清单!P:P,0)),"")</f>
        <v/>
      </c>
      <c r="D101" s="11" t="s">
        <v>42</v>
      </c>
      <c r="E101" s="11" t="s">
        <v>62</v>
      </c>
      <c r="F101" s="11" t="s">
        <v>246</v>
      </c>
      <c r="G101" s="15">
        <v>45896</v>
      </c>
      <c r="H101" s="14" t="str">
        <f>IFERROR(INDEX(面试清单!H:H,MATCH(100,面试清单!P:P,0)),"")</f>
        <v/>
      </c>
      <c r="I101" s="13" t="s">
        <v>29</v>
      </c>
      <c r="J101" s="14">
        <f ca="1" t="shared" si="4"/>
        <v>293</v>
      </c>
      <c r="K101" s="14">
        <f ca="1" t="shared" si="5"/>
        <v>16</v>
      </c>
    </row>
    <row r="102" ht="18" spans="1:11">
      <c r="A102" s="10">
        <f t="shared" si="3"/>
        <v>101</v>
      </c>
      <c r="B102" s="11" t="s">
        <v>4053</v>
      </c>
      <c r="C102" s="10" t="str">
        <f>IFERROR(INDEX(面试清单!D:D,MATCH(101,面试清单!P:P,0)),"")</f>
        <v/>
      </c>
      <c r="D102" s="11" t="s">
        <v>42</v>
      </c>
      <c r="E102" s="11" t="s">
        <v>62</v>
      </c>
      <c r="F102" s="11" t="s">
        <v>103</v>
      </c>
      <c r="G102" s="15">
        <v>45897</v>
      </c>
      <c r="H102" s="10" t="str">
        <f>IFERROR(INDEX(面试清单!H:H,MATCH(101,面试清单!P:P,0)),"")</f>
        <v/>
      </c>
      <c r="I102" s="13" t="s">
        <v>29</v>
      </c>
      <c r="J102" s="10">
        <f ca="1" t="shared" si="4"/>
        <v>292</v>
      </c>
      <c r="K102" s="10">
        <f ca="1" t="shared" si="5"/>
        <v>16</v>
      </c>
    </row>
    <row r="103" ht="18" spans="1:11">
      <c r="A103" s="14">
        <f t="shared" si="3"/>
        <v>102</v>
      </c>
      <c r="B103" s="11" t="s">
        <v>4054</v>
      </c>
      <c r="C103" s="14" t="str">
        <f>IFERROR(INDEX(面试清单!D:D,MATCH(102,面试清单!P:P,0)),"")</f>
        <v/>
      </c>
      <c r="D103" s="11" t="s">
        <v>42</v>
      </c>
      <c r="E103" s="11" t="s">
        <v>62</v>
      </c>
      <c r="F103" s="11" t="s">
        <v>110</v>
      </c>
      <c r="G103" s="15">
        <v>45941</v>
      </c>
      <c r="H103" s="14" t="str">
        <f>IFERROR(INDEX(面试清单!H:H,MATCH(102,面试清单!P:P,0)),"")</f>
        <v/>
      </c>
      <c r="I103" s="13" t="s">
        <v>29</v>
      </c>
      <c r="J103" s="14">
        <f ca="1" t="shared" si="4"/>
        <v>248</v>
      </c>
      <c r="K103" s="14">
        <f ca="1" t="shared" si="5"/>
        <v>16</v>
      </c>
    </row>
    <row r="104" ht="18" spans="1:11">
      <c r="A104" s="10">
        <v>103</v>
      </c>
      <c r="B104" s="11" t="s">
        <v>4055</v>
      </c>
      <c r="C104" s="125" t="s">
        <v>336</v>
      </c>
      <c r="D104" s="11" t="s">
        <v>42</v>
      </c>
      <c r="E104" s="11" t="s">
        <v>62</v>
      </c>
      <c r="F104" s="11" t="s">
        <v>110</v>
      </c>
      <c r="G104" s="15">
        <v>45941</v>
      </c>
      <c r="H104" s="10" t="s">
        <v>85</v>
      </c>
      <c r="I104" s="13" t="s">
        <v>29</v>
      </c>
      <c r="J104" s="10">
        <v>14</v>
      </c>
      <c r="K104" s="10">
        <v>15</v>
      </c>
    </row>
    <row r="105" ht="18" spans="1:11">
      <c r="A105" s="14">
        <f t="shared" si="3"/>
        <v>104</v>
      </c>
      <c r="B105" s="11" t="s">
        <v>4056</v>
      </c>
      <c r="C105" s="14" t="str">
        <f>IFERROR(INDEX(面试清单!D:D,MATCH(104,面试清单!P:P,0)),"")</f>
        <v/>
      </c>
      <c r="D105" s="11" t="s">
        <v>42</v>
      </c>
      <c r="E105" s="11" t="s">
        <v>62</v>
      </c>
      <c r="F105" s="11" t="s">
        <v>110</v>
      </c>
      <c r="G105" s="15">
        <v>45941</v>
      </c>
      <c r="H105" s="14" t="str">
        <f>IFERROR(INDEX(面试清单!H:H,MATCH(104,面试清单!P:P,0)),"")</f>
        <v/>
      </c>
      <c r="I105" s="13" t="s">
        <v>29</v>
      </c>
      <c r="J105" s="14">
        <f ca="1" t="shared" si="4"/>
        <v>248</v>
      </c>
      <c r="K105" s="14">
        <f ca="1" t="shared" si="5"/>
        <v>16</v>
      </c>
    </row>
    <row r="106" ht="18" spans="1:11">
      <c r="A106" s="10">
        <f t="shared" si="3"/>
        <v>105</v>
      </c>
      <c r="B106" s="11" t="s">
        <v>4057</v>
      </c>
      <c r="C106" s="10" t="str">
        <f>IFERROR(INDEX(面试清单!D:D,MATCH(105,面试清单!P:P,0)),"")</f>
        <v/>
      </c>
      <c r="D106" s="11" t="s">
        <v>42</v>
      </c>
      <c r="E106" s="11" t="s">
        <v>62</v>
      </c>
      <c r="F106" s="11" t="s">
        <v>179</v>
      </c>
      <c r="G106" s="15">
        <v>45941</v>
      </c>
      <c r="H106" s="10" t="str">
        <f>IFERROR(INDEX(面试清单!H:H,MATCH(105,面试清单!P:P,0)),"")</f>
        <v/>
      </c>
      <c r="I106" s="13" t="s">
        <v>29</v>
      </c>
      <c r="J106" s="10">
        <f ca="1" t="shared" si="4"/>
        <v>248</v>
      </c>
      <c r="K106" s="10">
        <f ca="1" t="shared" si="5"/>
        <v>16</v>
      </c>
    </row>
    <row r="107" ht="18" spans="1:11">
      <c r="A107" s="14">
        <f t="shared" si="3"/>
        <v>106</v>
      </c>
      <c r="B107" s="11" t="s">
        <v>4058</v>
      </c>
      <c r="C107" s="14" t="str">
        <f>IFERROR(INDEX(面试清单!D:D,MATCH(106,面试清单!P:P,0)),"")</f>
        <v/>
      </c>
      <c r="D107" s="11" t="s">
        <v>42</v>
      </c>
      <c r="E107" s="11" t="s">
        <v>62</v>
      </c>
      <c r="F107" s="11" t="s">
        <v>307</v>
      </c>
      <c r="G107" s="15">
        <v>45941</v>
      </c>
      <c r="H107" s="14" t="str">
        <f>IFERROR(INDEX(面试清单!H:H,MATCH(106,面试清单!P:P,0)),"")</f>
        <v/>
      </c>
      <c r="I107" s="13" t="s">
        <v>29</v>
      </c>
      <c r="J107" s="14">
        <f ca="1" t="shared" si="4"/>
        <v>248</v>
      </c>
      <c r="K107" s="14">
        <f ca="1" t="shared" si="5"/>
        <v>16</v>
      </c>
    </row>
    <row r="108" ht="18" spans="1:11">
      <c r="A108" s="10">
        <f t="shared" si="3"/>
        <v>107</v>
      </c>
      <c r="B108" s="11" t="s">
        <v>4059</v>
      </c>
      <c r="C108" s="125" t="str">
        <f>IFERROR(INDEX(面试清单!D:D,MATCH(107,面试清单!P:P,0)),"")</f>
        <v>0139</v>
      </c>
      <c r="D108" s="11" t="s">
        <v>42</v>
      </c>
      <c r="E108" s="11" t="s">
        <v>62</v>
      </c>
      <c r="F108" s="11" t="s">
        <v>307</v>
      </c>
      <c r="G108" s="15">
        <v>45941</v>
      </c>
      <c r="H108" s="10" t="str">
        <f>IFERROR(INDEX(面试清单!H:H,MATCH(107,面试清单!P:P,0)),"")</f>
        <v>线下</v>
      </c>
      <c r="I108" s="13" t="s">
        <v>29</v>
      </c>
      <c r="J108" s="10">
        <f ca="1" t="shared" si="4"/>
        <v>248</v>
      </c>
      <c r="K108" s="10">
        <f ca="1" t="shared" si="5"/>
        <v>16</v>
      </c>
    </row>
    <row r="109" ht="18" spans="1:11">
      <c r="A109" s="14">
        <f t="shared" si="3"/>
        <v>108</v>
      </c>
      <c r="B109" s="11" t="s">
        <v>4060</v>
      </c>
      <c r="C109" s="14" t="str">
        <f>IFERROR(INDEX(面试清单!D:D,MATCH(108,面试清单!P:P,0)),"")</f>
        <v/>
      </c>
      <c r="D109" s="11" t="s">
        <v>42</v>
      </c>
      <c r="E109" s="11" t="s">
        <v>62</v>
      </c>
      <c r="F109" s="11" t="s">
        <v>103</v>
      </c>
      <c r="G109" s="15">
        <v>45942</v>
      </c>
      <c r="H109" s="14" t="str">
        <f>IFERROR(INDEX(面试清单!H:H,MATCH(108,面试清单!P:P,0)),"")</f>
        <v/>
      </c>
      <c r="I109" s="13" t="s">
        <v>29</v>
      </c>
      <c r="J109" s="14">
        <f ca="1" t="shared" si="4"/>
        <v>247</v>
      </c>
      <c r="K109" s="14">
        <f ca="1" t="shared" si="5"/>
        <v>16</v>
      </c>
    </row>
    <row r="110" ht="18" spans="1:11">
      <c r="A110" s="10">
        <f t="shared" si="3"/>
        <v>109</v>
      </c>
      <c r="B110" s="11" t="s">
        <v>4061</v>
      </c>
      <c r="C110" s="125" t="str">
        <f>IFERROR(INDEX(面试清单!D:D,MATCH(109,面试清单!P:P,0)),"")</f>
        <v>0141</v>
      </c>
      <c r="D110" s="11" t="s">
        <v>42</v>
      </c>
      <c r="E110" s="11" t="s">
        <v>62</v>
      </c>
      <c r="F110" s="11" t="s">
        <v>246</v>
      </c>
      <c r="G110" s="15">
        <v>45942</v>
      </c>
      <c r="H110" s="10" t="str">
        <f>IFERROR(INDEX(面试清单!H:H,MATCH(109,面试清单!P:P,0)),"")</f>
        <v>线下</v>
      </c>
      <c r="I110" s="13" t="s">
        <v>29</v>
      </c>
      <c r="J110" s="10">
        <f ca="1" t="shared" si="4"/>
        <v>247</v>
      </c>
      <c r="K110" s="10">
        <f ca="1" t="shared" si="5"/>
        <v>16</v>
      </c>
    </row>
    <row r="111" ht="18" spans="1:11">
      <c r="A111" s="14">
        <f t="shared" si="3"/>
        <v>110</v>
      </c>
      <c r="B111" s="11" t="s">
        <v>4062</v>
      </c>
      <c r="C111" s="14" t="str">
        <f>IFERROR(INDEX(面试清单!D:D,MATCH(110,面试清单!P:P,0)),"")</f>
        <v/>
      </c>
      <c r="D111" s="11" t="s">
        <v>42</v>
      </c>
      <c r="E111" s="11" t="s">
        <v>62</v>
      </c>
      <c r="F111" s="11" t="s">
        <v>179</v>
      </c>
      <c r="G111" s="15">
        <v>45942</v>
      </c>
      <c r="H111" s="14" t="str">
        <f>IFERROR(INDEX(面试清单!H:H,MATCH(110,面试清单!P:P,0)),"")</f>
        <v/>
      </c>
      <c r="I111" s="13" t="s">
        <v>29</v>
      </c>
      <c r="J111" s="14">
        <f ca="1" t="shared" si="4"/>
        <v>247</v>
      </c>
      <c r="K111" s="14">
        <f ca="1" t="shared" si="5"/>
        <v>16</v>
      </c>
    </row>
    <row r="112" ht="18" spans="1:11">
      <c r="A112" s="10">
        <f t="shared" si="3"/>
        <v>111</v>
      </c>
      <c r="B112" s="11" t="s">
        <v>4063</v>
      </c>
      <c r="C112" s="10" t="str">
        <f>IFERROR(INDEX(面试清单!D:D,MATCH(111,面试清单!P:P,0)),"")</f>
        <v/>
      </c>
      <c r="D112" s="11" t="s">
        <v>42</v>
      </c>
      <c r="E112" s="11" t="s">
        <v>62</v>
      </c>
      <c r="F112" s="11" t="s">
        <v>179</v>
      </c>
      <c r="G112" s="15">
        <v>45942</v>
      </c>
      <c r="H112" s="10" t="str">
        <f>IFERROR(INDEX(面试清单!H:H,MATCH(111,面试清单!P:P,0)),"")</f>
        <v/>
      </c>
      <c r="I112" s="13" t="s">
        <v>29</v>
      </c>
      <c r="J112" s="10">
        <f ca="1" t="shared" si="4"/>
        <v>247</v>
      </c>
      <c r="K112" s="10">
        <f ca="1" t="shared" si="5"/>
        <v>16</v>
      </c>
    </row>
    <row r="113" ht="18" spans="1:11">
      <c r="A113" s="14">
        <f t="shared" si="3"/>
        <v>112</v>
      </c>
      <c r="B113" s="11" t="s">
        <v>4064</v>
      </c>
      <c r="C113" s="124" t="str">
        <f>IFERROR(INDEX(面试清单!D:D,MATCH(112,面试清单!P:P,0)),"")</f>
        <v>0144</v>
      </c>
      <c r="D113" s="11" t="s">
        <v>42</v>
      </c>
      <c r="E113" s="11" t="s">
        <v>62</v>
      </c>
      <c r="F113" s="11" t="s">
        <v>103</v>
      </c>
      <c r="G113" s="15">
        <v>45943</v>
      </c>
      <c r="H113" s="14" t="str">
        <f>IFERROR(INDEX(面试清单!H:H,MATCH(112,面试清单!P:P,0)),"")</f>
        <v>线下</v>
      </c>
      <c r="I113" s="13" t="s">
        <v>29</v>
      </c>
      <c r="J113" s="14">
        <f ca="1" t="shared" si="4"/>
        <v>246</v>
      </c>
      <c r="K113" s="14">
        <f ca="1" t="shared" si="5"/>
        <v>16</v>
      </c>
    </row>
    <row r="114" ht="18" spans="1:11">
      <c r="A114" s="10">
        <f t="shared" si="3"/>
        <v>113</v>
      </c>
      <c r="B114" s="11" t="s">
        <v>4065</v>
      </c>
      <c r="C114" s="10" t="str">
        <f>IFERROR(INDEX(面试清单!D:D,MATCH(113,面试清单!P:P,0)),"")</f>
        <v/>
      </c>
      <c r="D114" s="11" t="s">
        <v>42</v>
      </c>
      <c r="E114" s="11" t="s">
        <v>62</v>
      </c>
      <c r="F114" s="11" t="s">
        <v>103</v>
      </c>
      <c r="G114" s="15">
        <v>45943</v>
      </c>
      <c r="H114" s="10" t="str">
        <f>IFERROR(INDEX(面试清单!H:H,MATCH(113,面试清单!P:P,0)),"")</f>
        <v/>
      </c>
      <c r="I114" s="13" t="s">
        <v>29</v>
      </c>
      <c r="J114" s="10">
        <f ca="1" t="shared" si="4"/>
        <v>246</v>
      </c>
      <c r="K114" s="10">
        <f ca="1" t="shared" si="5"/>
        <v>16</v>
      </c>
    </row>
    <row r="115" ht="18" spans="1:11">
      <c r="A115" s="14">
        <f t="shared" si="3"/>
        <v>114</v>
      </c>
      <c r="B115" s="11" t="s">
        <v>4066</v>
      </c>
      <c r="C115" s="14" t="str">
        <f>IFERROR(INDEX(面试清单!D:D,MATCH(114,面试清单!P:P,0)),"")</f>
        <v/>
      </c>
      <c r="D115" s="11" t="s">
        <v>42</v>
      </c>
      <c r="E115" s="11" t="s">
        <v>62</v>
      </c>
      <c r="F115" s="11" t="s">
        <v>103</v>
      </c>
      <c r="G115" s="15">
        <v>45943</v>
      </c>
      <c r="H115" s="14" t="str">
        <f>IFERROR(INDEX(面试清单!H:H,MATCH(114,面试清单!P:P,0)),"")</f>
        <v/>
      </c>
      <c r="I115" s="13" t="s">
        <v>29</v>
      </c>
      <c r="J115" s="14">
        <f ca="1" t="shared" si="4"/>
        <v>246</v>
      </c>
      <c r="K115" s="14">
        <f ca="1" t="shared" si="5"/>
        <v>16</v>
      </c>
    </row>
    <row r="116" ht="18" spans="1:11">
      <c r="A116" s="10">
        <f t="shared" si="3"/>
        <v>115</v>
      </c>
      <c r="B116" s="11" t="s">
        <v>4067</v>
      </c>
      <c r="C116" s="10" t="str">
        <f>IFERROR(INDEX(面试清单!D:D,MATCH(115,面试清单!P:P,0)),"")</f>
        <v/>
      </c>
      <c r="D116" s="11" t="s">
        <v>42</v>
      </c>
      <c r="E116" s="11" t="s">
        <v>62</v>
      </c>
      <c r="F116" s="11" t="s">
        <v>110</v>
      </c>
      <c r="G116" s="15">
        <v>45943</v>
      </c>
      <c r="H116" s="10" t="str">
        <f>IFERROR(INDEX(面试清单!H:H,MATCH(115,面试清单!P:P,0)),"")</f>
        <v/>
      </c>
      <c r="I116" s="13" t="s">
        <v>29</v>
      </c>
      <c r="J116" s="10">
        <f ca="1" t="shared" si="4"/>
        <v>246</v>
      </c>
      <c r="K116" s="10">
        <f ca="1" t="shared" si="5"/>
        <v>16</v>
      </c>
    </row>
    <row r="117" ht="18" spans="1:11">
      <c r="A117" s="14">
        <f t="shared" si="3"/>
        <v>116</v>
      </c>
      <c r="B117" s="11" t="s">
        <v>4068</v>
      </c>
      <c r="C117" s="14" t="str">
        <f>IFERROR(INDEX(面试清单!D:D,MATCH(116,面试清单!P:P,0)),"")</f>
        <v/>
      </c>
      <c r="D117" s="11" t="s">
        <v>42</v>
      </c>
      <c r="E117" s="11" t="s">
        <v>62</v>
      </c>
      <c r="F117" s="11" t="s">
        <v>179</v>
      </c>
      <c r="G117" s="15">
        <v>45945</v>
      </c>
      <c r="H117" s="14" t="str">
        <f>IFERROR(INDEX(面试清单!H:H,MATCH(116,面试清单!P:P,0)),"")</f>
        <v/>
      </c>
      <c r="I117" s="13" t="s">
        <v>29</v>
      </c>
      <c r="J117" s="14">
        <f ca="1" t="shared" si="4"/>
        <v>244</v>
      </c>
      <c r="K117" s="14">
        <f ca="1" t="shared" si="5"/>
        <v>16</v>
      </c>
    </row>
    <row r="118" ht="18" spans="1:11">
      <c r="A118" s="10">
        <f t="shared" si="3"/>
        <v>117</v>
      </c>
      <c r="B118" s="11" t="s">
        <v>4069</v>
      </c>
      <c r="C118" s="10" t="str">
        <f>IFERROR(INDEX(面试清单!D:D,MATCH(117,面试清单!P:P,0)),"")</f>
        <v/>
      </c>
      <c r="D118" s="11" t="s">
        <v>42</v>
      </c>
      <c r="E118" s="11" t="s">
        <v>62</v>
      </c>
      <c r="F118" s="11" t="s">
        <v>179</v>
      </c>
      <c r="G118" s="15">
        <v>45945</v>
      </c>
      <c r="H118" s="10" t="str">
        <f>IFERROR(INDEX(面试清单!H:H,MATCH(117,面试清单!P:P,0)),"")</f>
        <v/>
      </c>
      <c r="I118" s="13" t="s">
        <v>29</v>
      </c>
      <c r="J118" s="10">
        <f ca="1" t="shared" si="4"/>
        <v>244</v>
      </c>
      <c r="K118" s="10">
        <f ca="1" t="shared" si="5"/>
        <v>16</v>
      </c>
    </row>
    <row r="119" ht="18" spans="1:11">
      <c r="A119" s="14">
        <f t="shared" si="3"/>
        <v>118</v>
      </c>
      <c r="B119" s="11" t="s">
        <v>4070</v>
      </c>
      <c r="C119" s="14" t="str">
        <f>IFERROR(INDEX(面试清单!D:D,MATCH(118,面试清单!P:P,0)),"")</f>
        <v/>
      </c>
      <c r="D119" s="11" t="s">
        <v>42</v>
      </c>
      <c r="E119" s="11" t="s">
        <v>63</v>
      </c>
      <c r="F119" s="11" t="s">
        <v>103</v>
      </c>
      <c r="G119" s="15">
        <v>45945</v>
      </c>
      <c r="H119" s="14" t="str">
        <f>IFERROR(INDEX(面试清单!H:H,MATCH(118,面试清单!P:P,0)),"")</f>
        <v/>
      </c>
      <c r="I119" s="13" t="s">
        <v>29</v>
      </c>
      <c r="J119" s="14">
        <f ca="1" t="shared" si="4"/>
        <v>244</v>
      </c>
      <c r="K119" s="14">
        <f ca="1" t="shared" si="5"/>
        <v>16</v>
      </c>
    </row>
    <row r="120" ht="18" spans="1:11">
      <c r="A120" s="10">
        <f t="shared" si="3"/>
        <v>119</v>
      </c>
      <c r="B120" s="11" t="s">
        <v>4071</v>
      </c>
      <c r="C120" s="10" t="str">
        <f>IFERROR(INDEX(面试清单!D:D,MATCH(119,面试清单!P:P,0)),"")</f>
        <v/>
      </c>
      <c r="D120" s="11" t="s">
        <v>42</v>
      </c>
      <c r="E120" s="11" t="s">
        <v>62</v>
      </c>
      <c r="F120" s="11" t="s">
        <v>103</v>
      </c>
      <c r="G120" s="15">
        <v>45947</v>
      </c>
      <c r="H120" s="10" t="str">
        <f>IFERROR(INDEX(面试清单!H:H,MATCH(119,面试清单!P:P,0)),"")</f>
        <v/>
      </c>
      <c r="I120" s="13" t="s">
        <v>29</v>
      </c>
      <c r="J120" s="10">
        <f ca="1" t="shared" si="4"/>
        <v>242</v>
      </c>
      <c r="K120" s="10">
        <f ca="1" t="shared" si="5"/>
        <v>16</v>
      </c>
    </row>
    <row r="121" ht="18" spans="1:11">
      <c r="A121" s="14">
        <f t="shared" si="3"/>
        <v>120</v>
      </c>
      <c r="B121" s="11" t="s">
        <v>4072</v>
      </c>
      <c r="C121" s="14" t="str">
        <f>IFERROR(INDEX(面试清单!D:D,MATCH(120,面试清单!P:P,0)),"")</f>
        <v/>
      </c>
      <c r="D121" s="11" t="s">
        <v>43</v>
      </c>
      <c r="E121" s="11" t="s">
        <v>62</v>
      </c>
      <c r="F121" s="11" t="s">
        <v>179</v>
      </c>
      <c r="G121" s="15">
        <v>45960</v>
      </c>
      <c r="H121" s="14" t="str">
        <f>IFERROR(INDEX(面试清单!H:H,MATCH(120,面试清单!P:P,0)),"")</f>
        <v/>
      </c>
      <c r="I121" s="13" t="s">
        <v>29</v>
      </c>
      <c r="J121" s="14">
        <f ca="1" t="shared" si="4"/>
        <v>229</v>
      </c>
      <c r="K121" s="14">
        <f ca="1" t="shared" si="5"/>
        <v>16</v>
      </c>
    </row>
    <row r="122" ht="18" spans="1:11">
      <c r="A122" s="10">
        <f t="shared" si="3"/>
        <v>121</v>
      </c>
      <c r="B122" s="11" t="s">
        <v>4073</v>
      </c>
      <c r="C122" s="10" t="str">
        <f>IFERROR(INDEX(面试清单!D:D,MATCH(121,面试清单!P:P,0)),"")</f>
        <v/>
      </c>
      <c r="D122" s="11" t="s">
        <v>73</v>
      </c>
      <c r="E122" s="11" t="s">
        <v>62</v>
      </c>
      <c r="F122" s="11" t="s">
        <v>129</v>
      </c>
      <c r="G122" s="15">
        <v>45964</v>
      </c>
      <c r="H122" s="10" t="str">
        <f>IFERROR(INDEX(面试清单!H:H,MATCH(121,面试清单!P:P,0)),"")</f>
        <v/>
      </c>
      <c r="I122" s="13" t="s">
        <v>29</v>
      </c>
      <c r="J122" s="10">
        <f ca="1" t="shared" si="4"/>
        <v>225</v>
      </c>
      <c r="K122" s="10">
        <f ca="1" t="shared" si="5"/>
        <v>16</v>
      </c>
    </row>
    <row r="123" ht="18" spans="1:11">
      <c r="A123" s="14">
        <f t="shared" si="3"/>
        <v>122</v>
      </c>
      <c r="B123" s="11" t="s">
        <v>4074</v>
      </c>
      <c r="C123" s="14" t="str">
        <f>IFERROR(INDEX(面试清单!D:D,MATCH(122,面试清单!P:P,0)),"")</f>
        <v/>
      </c>
      <c r="D123" s="11" t="s">
        <v>73</v>
      </c>
      <c r="E123" s="11" t="s">
        <v>62</v>
      </c>
      <c r="F123" s="11" t="s">
        <v>129</v>
      </c>
      <c r="G123" s="15">
        <v>45966</v>
      </c>
      <c r="H123" s="14" t="str">
        <f>IFERROR(INDEX(面试清单!H:H,MATCH(122,面试清单!P:P,0)),"")</f>
        <v/>
      </c>
      <c r="I123" s="13" t="s">
        <v>29</v>
      </c>
      <c r="J123" s="14">
        <f ca="1" t="shared" si="4"/>
        <v>223</v>
      </c>
      <c r="K123" s="14">
        <f ca="1" t="shared" si="5"/>
        <v>16</v>
      </c>
    </row>
    <row r="124" ht="18" spans="1:11">
      <c r="A124" s="10">
        <f t="shared" si="3"/>
        <v>123</v>
      </c>
      <c r="B124" s="11" t="s">
        <v>4075</v>
      </c>
      <c r="C124" s="10" t="str">
        <f>IFERROR(INDEX(面试清单!D:D,MATCH(123,面试清单!P:P,0)),"")</f>
        <v/>
      </c>
      <c r="D124" s="11" t="s">
        <v>43</v>
      </c>
      <c r="E124" s="11" t="s">
        <v>62</v>
      </c>
      <c r="F124" s="11" t="s">
        <v>179</v>
      </c>
      <c r="G124" s="15">
        <v>45968</v>
      </c>
      <c r="H124" s="10" t="str">
        <f>IFERROR(INDEX(面试清单!H:H,MATCH(123,面试清单!P:P,0)),"")</f>
        <v/>
      </c>
      <c r="I124" s="13" t="s">
        <v>29</v>
      </c>
      <c r="J124" s="10">
        <f ca="1" t="shared" si="4"/>
        <v>221</v>
      </c>
      <c r="K124" s="10">
        <f ca="1" t="shared" si="5"/>
        <v>16</v>
      </c>
    </row>
    <row r="125" ht="18" spans="1:11">
      <c r="A125" s="14">
        <f t="shared" si="3"/>
        <v>124</v>
      </c>
      <c r="B125" s="11" t="s">
        <v>4076</v>
      </c>
      <c r="C125" s="124" t="str">
        <f>IFERROR(INDEX(面试清单!D:D,MATCH(124,面试清单!P:P,0)),"")</f>
        <v>0156</v>
      </c>
      <c r="D125" s="11" t="s">
        <v>43</v>
      </c>
      <c r="E125" s="11" t="s">
        <v>62</v>
      </c>
      <c r="F125" s="11" t="s">
        <v>179</v>
      </c>
      <c r="G125" s="15">
        <v>45968</v>
      </c>
      <c r="H125" s="14" t="str">
        <f>IFERROR(INDEX(面试清单!H:H,MATCH(124,面试清单!P:P,0)),"")</f>
        <v>线下</v>
      </c>
      <c r="I125" s="13" t="s">
        <v>29</v>
      </c>
      <c r="J125" s="14">
        <f ca="1" t="shared" si="4"/>
        <v>221</v>
      </c>
      <c r="K125" s="14">
        <f ca="1" t="shared" si="5"/>
        <v>16</v>
      </c>
    </row>
    <row r="126" ht="18" spans="1:11">
      <c r="A126" s="10">
        <f t="shared" si="3"/>
        <v>125</v>
      </c>
      <c r="B126" s="11" t="s">
        <v>4077</v>
      </c>
      <c r="C126" s="10" t="str">
        <f>IFERROR(INDEX(面试清单!D:D,MATCH(125,面试清单!P:P,0)),"")</f>
        <v/>
      </c>
      <c r="D126" s="11" t="s">
        <v>43</v>
      </c>
      <c r="E126" s="11" t="s">
        <v>62</v>
      </c>
      <c r="F126" s="11" t="s">
        <v>179</v>
      </c>
      <c r="G126" s="15">
        <v>45971</v>
      </c>
      <c r="H126" s="10" t="str">
        <f>IFERROR(INDEX(面试清单!H:H,MATCH(125,面试清单!P:P,0)),"")</f>
        <v/>
      </c>
      <c r="I126" s="13" t="s">
        <v>29</v>
      </c>
      <c r="J126" s="10">
        <f ca="1" t="shared" si="4"/>
        <v>218</v>
      </c>
      <c r="K126" s="10">
        <f ca="1" t="shared" si="5"/>
        <v>16</v>
      </c>
    </row>
    <row r="127" ht="18" spans="1:11">
      <c r="A127" s="14">
        <f t="shared" si="3"/>
        <v>126</v>
      </c>
      <c r="B127" s="11" t="s">
        <v>4078</v>
      </c>
      <c r="C127" s="14" t="str">
        <f>IFERROR(INDEX(面试清单!D:D,MATCH(126,面试清单!P:P,0)),"")</f>
        <v/>
      </c>
      <c r="D127" s="11" t="s">
        <v>43</v>
      </c>
      <c r="E127" s="11" t="s">
        <v>62</v>
      </c>
      <c r="F127" s="11" t="s">
        <v>233</v>
      </c>
      <c r="G127" s="15">
        <v>45971</v>
      </c>
      <c r="H127" s="14" t="str">
        <f>IFERROR(INDEX(面试清单!H:H,MATCH(126,面试清单!P:P,0)),"")</f>
        <v/>
      </c>
      <c r="I127" s="13" t="s">
        <v>29</v>
      </c>
      <c r="J127" s="14">
        <f ca="1" t="shared" si="4"/>
        <v>218</v>
      </c>
      <c r="K127" s="14">
        <f ca="1" t="shared" si="5"/>
        <v>16</v>
      </c>
    </row>
    <row r="128" ht="36" spans="1:11">
      <c r="A128" s="10">
        <f t="shared" si="3"/>
        <v>127</v>
      </c>
      <c r="B128" s="11" t="s">
        <v>4079</v>
      </c>
      <c r="C128" s="10" t="str">
        <f>IFERROR(INDEX(面试清单!D:D,MATCH(127,面试清单!P:P,0)),"")</f>
        <v/>
      </c>
      <c r="D128" s="11" t="s">
        <v>43</v>
      </c>
      <c r="E128" s="11" t="s">
        <v>62</v>
      </c>
      <c r="F128" s="11" t="s">
        <v>124</v>
      </c>
      <c r="G128" s="15">
        <v>45971</v>
      </c>
      <c r="H128" s="10" t="str">
        <f>IFERROR(INDEX(面试清单!H:H,MATCH(127,面试清单!P:P,0)),"")</f>
        <v/>
      </c>
      <c r="I128" s="13" t="s">
        <v>29</v>
      </c>
      <c r="J128" s="10">
        <f ca="1" t="shared" si="4"/>
        <v>218</v>
      </c>
      <c r="K128" s="10">
        <f ca="1" t="shared" si="5"/>
        <v>16</v>
      </c>
    </row>
    <row r="129" ht="18" spans="1:11">
      <c r="A129" s="14">
        <f t="shared" si="3"/>
        <v>128</v>
      </c>
      <c r="B129" s="11" t="s">
        <v>4080</v>
      </c>
      <c r="C129" s="14" t="str">
        <f>IFERROR(INDEX(面试清单!D:D,MATCH(128,面试清单!P:P,0)),"")</f>
        <v/>
      </c>
      <c r="D129" s="11" t="s">
        <v>43</v>
      </c>
      <c r="E129" s="11" t="s">
        <v>62</v>
      </c>
      <c r="F129" s="11" t="s">
        <v>124</v>
      </c>
      <c r="G129" s="15">
        <v>45972</v>
      </c>
      <c r="H129" s="14" t="str">
        <f>IFERROR(INDEX(面试清单!H:H,MATCH(128,面试清单!P:P,0)),"")</f>
        <v/>
      </c>
      <c r="I129" s="13" t="s">
        <v>29</v>
      </c>
      <c r="J129" s="14">
        <f ca="1" t="shared" si="4"/>
        <v>217</v>
      </c>
      <c r="K129" s="14">
        <f ca="1" t="shared" si="5"/>
        <v>16</v>
      </c>
    </row>
    <row r="130" ht="18" spans="1:11">
      <c r="A130" s="10">
        <f t="shared" ref="A130:A193" si="6">IF(B130&lt;&gt;"",ROW()-1,"")</f>
        <v>129</v>
      </c>
      <c r="B130" s="11" t="s">
        <v>4081</v>
      </c>
      <c r="C130" s="10" t="str">
        <f>IFERROR(INDEX(面试清单!D:D,MATCH(129,面试清单!P:P,0)),"")</f>
        <v/>
      </c>
      <c r="D130" s="11" t="s">
        <v>43</v>
      </c>
      <c r="E130" s="11" t="s">
        <v>62</v>
      </c>
      <c r="F130" s="11" t="s">
        <v>179</v>
      </c>
      <c r="G130" s="15">
        <v>45974</v>
      </c>
      <c r="H130" s="10" t="str">
        <f>IFERROR(INDEX(面试清单!H:H,MATCH(129,面试清单!P:P,0)),"")</f>
        <v/>
      </c>
      <c r="I130" s="13" t="s">
        <v>29</v>
      </c>
      <c r="J130" s="10">
        <f ca="1" t="shared" ref="J130:J193" si="7">IF(G130&lt;&gt;"",TODAY()-G130,"")</f>
        <v>215</v>
      </c>
      <c r="K130" s="10">
        <f ca="1" t="shared" ref="K130:K193" si="8">IF(G130&lt;&gt;"",MAX(0,MIN(TODAY(),EOMONTH(TODAY(),0))-MAX(G130,EOMONTH(TODAY(),-1)+1)+1),"")</f>
        <v>16</v>
      </c>
    </row>
    <row r="131" ht="18" spans="1:11">
      <c r="A131" s="14">
        <f t="shared" si="6"/>
        <v>130</v>
      </c>
      <c r="B131" s="11" t="s">
        <v>4082</v>
      </c>
      <c r="C131" s="14" t="str">
        <f>IFERROR(INDEX(面试清单!D:D,MATCH(130,面试清单!P:P,0)),"")</f>
        <v/>
      </c>
      <c r="D131" s="11" t="s">
        <v>43</v>
      </c>
      <c r="E131" s="11" t="s">
        <v>62</v>
      </c>
      <c r="F131" s="11" t="s">
        <v>179</v>
      </c>
      <c r="G131" s="15">
        <v>45974</v>
      </c>
      <c r="H131" s="14" t="str">
        <f>IFERROR(INDEX(面试清单!H:H,MATCH(130,面试清单!P:P,0)),"")</f>
        <v/>
      </c>
      <c r="I131" s="13" t="s">
        <v>29</v>
      </c>
      <c r="J131" s="14">
        <f ca="1" t="shared" si="7"/>
        <v>215</v>
      </c>
      <c r="K131" s="14">
        <f ca="1" t="shared" si="8"/>
        <v>16</v>
      </c>
    </row>
    <row r="132" ht="18" spans="1:11">
      <c r="A132" s="10">
        <f t="shared" si="6"/>
        <v>131</v>
      </c>
      <c r="B132" s="11" t="s">
        <v>4083</v>
      </c>
      <c r="C132" s="10" t="str">
        <f>IFERROR(INDEX(面试清单!D:D,MATCH(131,面试清单!P:P,0)),"")</f>
        <v/>
      </c>
      <c r="D132" s="11" t="s">
        <v>42</v>
      </c>
      <c r="E132" s="11" t="s">
        <v>62</v>
      </c>
      <c r="F132" s="11" t="s">
        <v>233</v>
      </c>
      <c r="G132" s="15">
        <v>45974</v>
      </c>
      <c r="H132" s="10" t="str">
        <f>IFERROR(INDEX(面试清单!H:H,MATCH(131,面试清单!P:P,0)),"")</f>
        <v/>
      </c>
      <c r="I132" s="13" t="s">
        <v>29</v>
      </c>
      <c r="J132" s="10">
        <f ca="1" t="shared" si="7"/>
        <v>215</v>
      </c>
      <c r="K132" s="10">
        <f ca="1" t="shared" si="8"/>
        <v>16</v>
      </c>
    </row>
    <row r="133" ht="18" spans="1:11">
      <c r="A133" s="14">
        <f t="shared" si="6"/>
        <v>132</v>
      </c>
      <c r="B133" s="11" t="s">
        <v>4084</v>
      </c>
      <c r="C133" s="14" t="str">
        <f>IFERROR(INDEX(面试清单!D:D,MATCH(132,面试清单!P:P,0)),"")</f>
        <v/>
      </c>
      <c r="D133" s="11" t="s">
        <v>42</v>
      </c>
      <c r="E133" s="11" t="s">
        <v>62</v>
      </c>
      <c r="F133" s="11" t="s">
        <v>103</v>
      </c>
      <c r="G133" s="15">
        <v>45975</v>
      </c>
      <c r="H133" s="14" t="str">
        <f>IFERROR(INDEX(面试清单!H:H,MATCH(132,面试清单!P:P,0)),"")</f>
        <v/>
      </c>
      <c r="I133" s="13" t="s">
        <v>29</v>
      </c>
      <c r="J133" s="14">
        <f ca="1" t="shared" si="7"/>
        <v>214</v>
      </c>
      <c r="K133" s="14">
        <f ca="1" t="shared" si="8"/>
        <v>16</v>
      </c>
    </row>
    <row r="134" ht="18" spans="1:11">
      <c r="A134" s="10">
        <f t="shared" si="6"/>
        <v>133</v>
      </c>
      <c r="B134" s="11" t="s">
        <v>4085</v>
      </c>
      <c r="C134" s="10" t="str">
        <f>IFERROR(INDEX(面试清单!D:D,MATCH(133,面试清单!P:P,0)),"")</f>
        <v/>
      </c>
      <c r="D134" s="11" t="s">
        <v>42</v>
      </c>
      <c r="E134" s="11" t="s">
        <v>62</v>
      </c>
      <c r="F134" s="11" t="s">
        <v>103</v>
      </c>
      <c r="G134" s="15">
        <v>45975</v>
      </c>
      <c r="H134" s="10" t="str">
        <f>IFERROR(INDEX(面试清单!H:H,MATCH(133,面试清单!P:P,0)),"")</f>
        <v/>
      </c>
      <c r="I134" s="13" t="s">
        <v>29</v>
      </c>
      <c r="J134" s="10">
        <f ca="1" t="shared" si="7"/>
        <v>214</v>
      </c>
      <c r="K134" s="10">
        <f ca="1" t="shared" si="8"/>
        <v>16</v>
      </c>
    </row>
    <row r="135" ht="18" spans="1:11">
      <c r="A135" s="14">
        <f t="shared" si="6"/>
        <v>134</v>
      </c>
      <c r="B135" s="11" t="s">
        <v>4086</v>
      </c>
      <c r="C135" s="14" t="str">
        <f>IFERROR(INDEX(面试清单!D:D,MATCH(134,面试清单!P:P,0)),"")</f>
        <v/>
      </c>
      <c r="D135" s="11" t="s">
        <v>42</v>
      </c>
      <c r="E135" s="11" t="s">
        <v>62</v>
      </c>
      <c r="F135" s="11" t="s">
        <v>103</v>
      </c>
      <c r="G135" s="15">
        <v>45975</v>
      </c>
      <c r="H135" s="14" t="str">
        <f>IFERROR(INDEX(面试清单!H:H,MATCH(134,面试清单!P:P,0)),"")</f>
        <v/>
      </c>
      <c r="I135" s="13" t="s">
        <v>29</v>
      </c>
      <c r="J135" s="14">
        <f ca="1" t="shared" si="7"/>
        <v>214</v>
      </c>
      <c r="K135" s="14">
        <f ca="1" t="shared" si="8"/>
        <v>16</v>
      </c>
    </row>
    <row r="136" ht="18" spans="1:11">
      <c r="A136" s="10">
        <f t="shared" si="6"/>
        <v>135</v>
      </c>
      <c r="B136" s="11" t="s">
        <v>4087</v>
      </c>
      <c r="C136" s="10" t="str">
        <f>IFERROR(INDEX(面试清单!D:D,MATCH(135,面试清单!P:P,0)),"")</f>
        <v/>
      </c>
      <c r="D136" s="11" t="s">
        <v>42</v>
      </c>
      <c r="E136" s="11" t="s">
        <v>62</v>
      </c>
      <c r="F136" s="11" t="s">
        <v>103</v>
      </c>
      <c r="G136" s="15">
        <v>45975</v>
      </c>
      <c r="H136" s="10" t="str">
        <f>IFERROR(INDEX(面试清单!H:H,MATCH(135,面试清单!P:P,0)),"")</f>
        <v/>
      </c>
      <c r="I136" s="13" t="s">
        <v>29</v>
      </c>
      <c r="J136" s="10">
        <f ca="1" t="shared" si="7"/>
        <v>214</v>
      </c>
      <c r="K136" s="10">
        <f ca="1" t="shared" si="8"/>
        <v>16</v>
      </c>
    </row>
    <row r="137" ht="18" spans="1:11">
      <c r="A137" s="14">
        <f t="shared" si="6"/>
        <v>136</v>
      </c>
      <c r="B137" s="11" t="s">
        <v>4088</v>
      </c>
      <c r="C137" s="124" t="str">
        <f>IFERROR(INDEX(面试清单!D:D,MATCH(136,面试清单!P:P,0)),"")</f>
        <v>0168</v>
      </c>
      <c r="D137" s="11" t="s">
        <v>42</v>
      </c>
      <c r="E137" s="11" t="s">
        <v>62</v>
      </c>
      <c r="F137" s="11" t="s">
        <v>129</v>
      </c>
      <c r="G137" s="15">
        <v>45975</v>
      </c>
      <c r="H137" s="14" t="str">
        <f>IFERROR(INDEX(面试清单!H:H,MATCH(136,面试清单!P:P,0)),"")</f>
        <v>线下</v>
      </c>
      <c r="I137" s="13" t="s">
        <v>29</v>
      </c>
      <c r="J137" s="14">
        <f ca="1" t="shared" si="7"/>
        <v>214</v>
      </c>
      <c r="K137" s="14">
        <f ca="1" t="shared" si="8"/>
        <v>16</v>
      </c>
    </row>
    <row r="138" ht="18" spans="1:11">
      <c r="A138" s="10">
        <f t="shared" si="6"/>
        <v>137</v>
      </c>
      <c r="B138" s="11" t="s">
        <v>4089</v>
      </c>
      <c r="C138" s="10" t="str">
        <f>IFERROR(INDEX(面试清单!D:D,MATCH(137,面试清单!P:P,0)),"")</f>
        <v/>
      </c>
      <c r="D138" s="11" t="s">
        <v>42</v>
      </c>
      <c r="E138" s="11" t="s">
        <v>62</v>
      </c>
      <c r="F138" s="11" t="s">
        <v>179</v>
      </c>
      <c r="G138" s="15">
        <v>45978</v>
      </c>
      <c r="H138" s="10" t="str">
        <f>IFERROR(INDEX(面试清单!H:H,MATCH(137,面试清单!P:P,0)),"")</f>
        <v/>
      </c>
      <c r="I138" s="13" t="s">
        <v>29</v>
      </c>
      <c r="J138" s="10">
        <f ca="1" t="shared" si="7"/>
        <v>211</v>
      </c>
      <c r="K138" s="10">
        <f ca="1" t="shared" si="8"/>
        <v>16</v>
      </c>
    </row>
    <row r="139" ht="18" spans="1:11">
      <c r="A139" s="14">
        <f t="shared" si="6"/>
        <v>138</v>
      </c>
      <c r="B139" s="11" t="s">
        <v>4090</v>
      </c>
      <c r="C139" s="14" t="str">
        <f>IFERROR(INDEX(面试清单!D:D,MATCH(138,面试清单!P:P,0)),"")</f>
        <v/>
      </c>
      <c r="D139" s="11" t="s">
        <v>43</v>
      </c>
      <c r="E139" s="11" t="s">
        <v>62</v>
      </c>
      <c r="F139" s="11" t="s">
        <v>179</v>
      </c>
      <c r="G139" s="15">
        <v>45978</v>
      </c>
      <c r="H139" s="14" t="str">
        <f>IFERROR(INDEX(面试清单!H:H,MATCH(138,面试清单!P:P,0)),"")</f>
        <v/>
      </c>
      <c r="I139" s="13" t="s">
        <v>29</v>
      </c>
      <c r="J139" s="14">
        <f ca="1" t="shared" si="7"/>
        <v>211</v>
      </c>
      <c r="K139" s="14">
        <f ca="1" t="shared" si="8"/>
        <v>16</v>
      </c>
    </row>
    <row r="140" ht="18" spans="1:11">
      <c r="A140" s="10">
        <f t="shared" si="6"/>
        <v>139</v>
      </c>
      <c r="B140" s="11" t="s">
        <v>4091</v>
      </c>
      <c r="C140" s="10" t="str">
        <f>IFERROR(INDEX(面试清单!D:D,MATCH(139,面试清单!P:P,0)),"")</f>
        <v/>
      </c>
      <c r="D140" s="11" t="s">
        <v>43</v>
      </c>
      <c r="E140" s="11" t="s">
        <v>62</v>
      </c>
      <c r="F140" s="11" t="s">
        <v>179</v>
      </c>
      <c r="G140" s="15">
        <v>45978</v>
      </c>
      <c r="H140" s="10" t="str">
        <f>IFERROR(INDEX(面试清单!H:H,MATCH(139,面试清单!P:P,0)),"")</f>
        <v/>
      </c>
      <c r="I140" s="13" t="s">
        <v>29</v>
      </c>
      <c r="J140" s="10">
        <f ca="1" t="shared" si="7"/>
        <v>211</v>
      </c>
      <c r="K140" s="10">
        <f ca="1" t="shared" si="8"/>
        <v>16</v>
      </c>
    </row>
    <row r="141" ht="18" spans="1:11">
      <c r="A141" s="14">
        <f t="shared" si="6"/>
        <v>140</v>
      </c>
      <c r="B141" s="11" t="s">
        <v>4092</v>
      </c>
      <c r="C141" s="14" t="str">
        <f>IFERROR(INDEX(面试清单!D:D,MATCH(140,面试清单!P:P,0)),"")</f>
        <v/>
      </c>
      <c r="D141" s="11" t="s">
        <v>42</v>
      </c>
      <c r="E141" s="11" t="s">
        <v>62</v>
      </c>
      <c r="F141" s="11" t="s">
        <v>103</v>
      </c>
      <c r="G141" s="15">
        <v>45979</v>
      </c>
      <c r="H141" s="14" t="str">
        <f>IFERROR(INDEX(面试清单!H:H,MATCH(140,面试清单!P:P,0)),"")</f>
        <v/>
      </c>
      <c r="I141" s="13" t="s">
        <v>29</v>
      </c>
      <c r="J141" s="14">
        <f ca="1" t="shared" si="7"/>
        <v>210</v>
      </c>
      <c r="K141" s="14">
        <f ca="1" t="shared" si="8"/>
        <v>16</v>
      </c>
    </row>
    <row r="142" ht="18" spans="1:11">
      <c r="A142" s="10">
        <f t="shared" si="6"/>
        <v>141</v>
      </c>
      <c r="B142" s="11" t="s">
        <v>4093</v>
      </c>
      <c r="C142" s="10" t="str">
        <f>IFERROR(INDEX(面试清单!D:D,MATCH(141,面试清单!P:P,0)),"")</f>
        <v/>
      </c>
      <c r="D142" s="11" t="s">
        <v>42</v>
      </c>
      <c r="E142" s="11" t="s">
        <v>62</v>
      </c>
      <c r="F142" s="11" t="s">
        <v>4094</v>
      </c>
      <c r="G142" s="15">
        <v>45979</v>
      </c>
      <c r="H142" s="10" t="str">
        <f>IFERROR(INDEX(面试清单!H:H,MATCH(141,面试清单!P:P,0)),"")</f>
        <v/>
      </c>
      <c r="I142" s="13" t="s">
        <v>29</v>
      </c>
      <c r="J142" s="10">
        <f ca="1" t="shared" si="7"/>
        <v>210</v>
      </c>
      <c r="K142" s="10">
        <f ca="1" t="shared" si="8"/>
        <v>16</v>
      </c>
    </row>
    <row r="143" ht="18" spans="1:11">
      <c r="A143" s="14">
        <f t="shared" si="6"/>
        <v>142</v>
      </c>
      <c r="B143" s="11" t="s">
        <v>4095</v>
      </c>
      <c r="C143" s="14" t="str">
        <f>IFERROR(INDEX(面试清单!D:D,MATCH(142,面试清单!P:P,0)),"")</f>
        <v/>
      </c>
      <c r="D143" s="11" t="s">
        <v>42</v>
      </c>
      <c r="E143" s="11" t="s">
        <v>62</v>
      </c>
      <c r="F143" s="11" t="s">
        <v>179</v>
      </c>
      <c r="G143" s="15">
        <v>45980</v>
      </c>
      <c r="H143" s="14" t="str">
        <f>IFERROR(INDEX(面试清单!H:H,MATCH(142,面试清单!P:P,0)),"")</f>
        <v/>
      </c>
      <c r="I143" s="13" t="s">
        <v>29</v>
      </c>
      <c r="J143" s="14">
        <f ca="1" t="shared" si="7"/>
        <v>209</v>
      </c>
      <c r="K143" s="14">
        <f ca="1" t="shared" si="8"/>
        <v>16</v>
      </c>
    </row>
    <row r="144" ht="18" spans="1:11">
      <c r="A144" s="10">
        <f t="shared" si="6"/>
        <v>143</v>
      </c>
      <c r="B144" s="11" t="s">
        <v>4096</v>
      </c>
      <c r="C144" s="10" t="str">
        <f>IFERROR(INDEX(面试清单!D:D,MATCH(143,面试清单!P:P,0)),"")</f>
        <v/>
      </c>
      <c r="D144" s="11" t="s">
        <v>42</v>
      </c>
      <c r="E144" s="11" t="s">
        <v>62</v>
      </c>
      <c r="F144" s="11" t="s">
        <v>179</v>
      </c>
      <c r="G144" s="15">
        <v>45980</v>
      </c>
      <c r="H144" s="10" t="str">
        <f>IFERROR(INDEX(面试清单!H:H,MATCH(143,面试清单!P:P,0)),"")</f>
        <v/>
      </c>
      <c r="I144" s="13" t="s">
        <v>29</v>
      </c>
      <c r="J144" s="10">
        <f ca="1" t="shared" si="7"/>
        <v>209</v>
      </c>
      <c r="K144" s="10">
        <f ca="1" t="shared" si="8"/>
        <v>16</v>
      </c>
    </row>
    <row r="145" ht="18" spans="1:11">
      <c r="A145" s="14">
        <f t="shared" si="6"/>
        <v>144</v>
      </c>
      <c r="B145" s="11" t="s">
        <v>4097</v>
      </c>
      <c r="C145" s="14" t="str">
        <f>IFERROR(INDEX(面试清单!D:D,MATCH(144,面试清单!P:P,0)),"")</f>
        <v/>
      </c>
      <c r="D145" s="11" t="s">
        <v>42</v>
      </c>
      <c r="E145" s="11" t="s">
        <v>62</v>
      </c>
      <c r="F145" s="11" t="s">
        <v>103</v>
      </c>
      <c r="G145" s="15">
        <v>45980</v>
      </c>
      <c r="H145" s="14" t="str">
        <f>IFERROR(INDEX(面试清单!H:H,MATCH(144,面试清单!P:P,0)),"")</f>
        <v/>
      </c>
      <c r="I145" s="13" t="s">
        <v>29</v>
      </c>
      <c r="J145" s="14">
        <f ca="1" t="shared" si="7"/>
        <v>209</v>
      </c>
      <c r="K145" s="14">
        <f ca="1" t="shared" si="8"/>
        <v>16</v>
      </c>
    </row>
    <row r="146" ht="18" spans="1:11">
      <c r="A146" s="10">
        <f t="shared" si="6"/>
        <v>145</v>
      </c>
      <c r="B146" s="11" t="s">
        <v>4098</v>
      </c>
      <c r="C146" s="10" t="str">
        <f>IFERROR(INDEX(面试清单!D:D,MATCH(145,面试清单!P:P,0)),"")</f>
        <v/>
      </c>
      <c r="D146" s="11" t="s">
        <v>43</v>
      </c>
      <c r="E146" s="11" t="s">
        <v>62</v>
      </c>
      <c r="F146" s="11" t="s">
        <v>103</v>
      </c>
      <c r="G146" s="15">
        <v>45982</v>
      </c>
      <c r="H146" s="10" t="str">
        <f>IFERROR(INDEX(面试清单!H:H,MATCH(145,面试清单!P:P,0)),"")</f>
        <v/>
      </c>
      <c r="I146" s="13" t="s">
        <v>29</v>
      </c>
      <c r="J146" s="10">
        <f ca="1" t="shared" si="7"/>
        <v>207</v>
      </c>
      <c r="K146" s="10">
        <f ca="1" t="shared" si="8"/>
        <v>16</v>
      </c>
    </row>
    <row r="147" ht="18" spans="1:11">
      <c r="A147" s="14">
        <f t="shared" si="6"/>
        <v>146</v>
      </c>
      <c r="B147" s="11" t="s">
        <v>4099</v>
      </c>
      <c r="C147" s="14" t="str">
        <f>IFERROR(INDEX(面试清单!D:D,MATCH(146,面试清单!P:P,0)),"")</f>
        <v/>
      </c>
      <c r="D147" s="11" t="s">
        <v>43</v>
      </c>
      <c r="E147" s="11" t="s">
        <v>62</v>
      </c>
      <c r="F147" s="11" t="s">
        <v>233</v>
      </c>
      <c r="G147" s="15">
        <v>45983</v>
      </c>
      <c r="H147" s="14" t="str">
        <f>IFERROR(INDEX(面试清单!H:H,MATCH(146,面试清单!P:P,0)),"")</f>
        <v/>
      </c>
      <c r="I147" s="13" t="s">
        <v>29</v>
      </c>
      <c r="J147" s="14">
        <f ca="1" t="shared" si="7"/>
        <v>206</v>
      </c>
      <c r="K147" s="14">
        <f ca="1" t="shared" si="8"/>
        <v>16</v>
      </c>
    </row>
    <row r="148" ht="18" spans="1:11">
      <c r="A148" s="10">
        <f t="shared" si="6"/>
        <v>147</v>
      </c>
      <c r="B148" s="11" t="s">
        <v>4100</v>
      </c>
      <c r="C148" s="10" t="str">
        <f>IFERROR(INDEX(面试清单!D:D,MATCH(147,面试清单!P:P,0)),"")</f>
        <v/>
      </c>
      <c r="D148" s="11" t="s">
        <v>43</v>
      </c>
      <c r="E148" s="11" t="s">
        <v>62</v>
      </c>
      <c r="F148" s="11" t="s">
        <v>233</v>
      </c>
      <c r="G148" s="15">
        <v>45988</v>
      </c>
      <c r="H148" s="10" t="str">
        <f>IFERROR(INDEX(面试清单!H:H,MATCH(147,面试清单!P:P,0)),"")</f>
        <v/>
      </c>
      <c r="I148" s="13" t="s">
        <v>29</v>
      </c>
      <c r="J148" s="10">
        <f ca="1" t="shared" si="7"/>
        <v>201</v>
      </c>
      <c r="K148" s="10">
        <f ca="1" t="shared" si="8"/>
        <v>16</v>
      </c>
    </row>
    <row r="149" ht="18" spans="1:11">
      <c r="A149" s="14">
        <f t="shared" si="6"/>
        <v>148</v>
      </c>
      <c r="B149" s="11" t="s">
        <v>4101</v>
      </c>
      <c r="C149" s="14" t="str">
        <f>IFERROR(INDEX(面试清单!D:D,MATCH(148,面试清单!P:P,0)),"")</f>
        <v/>
      </c>
      <c r="D149" s="11" t="s">
        <v>43</v>
      </c>
      <c r="E149" s="11" t="s">
        <v>62</v>
      </c>
      <c r="F149" s="11" t="s">
        <v>103</v>
      </c>
      <c r="G149" s="15">
        <v>45993</v>
      </c>
      <c r="H149" s="14" t="str">
        <f>IFERROR(INDEX(面试清单!H:H,MATCH(148,面试清单!P:P,0)),"")</f>
        <v/>
      </c>
      <c r="I149" s="13" t="s">
        <v>29</v>
      </c>
      <c r="J149" s="14">
        <f ca="1" t="shared" si="7"/>
        <v>196</v>
      </c>
      <c r="K149" s="14">
        <f ca="1" t="shared" si="8"/>
        <v>16</v>
      </c>
    </row>
    <row r="150" ht="18" spans="1:11">
      <c r="A150" s="10">
        <f t="shared" si="6"/>
        <v>149</v>
      </c>
      <c r="B150" s="11" t="s">
        <v>4102</v>
      </c>
      <c r="C150" s="10" t="str">
        <f>IFERROR(INDEX(面试清单!D:D,MATCH(149,面试清单!P:P,0)),"")</f>
        <v/>
      </c>
      <c r="D150" s="11" t="s">
        <v>42</v>
      </c>
      <c r="E150" s="11" t="s">
        <v>63</v>
      </c>
      <c r="F150" s="11" t="s">
        <v>1166</v>
      </c>
      <c r="G150" s="15">
        <v>45996</v>
      </c>
      <c r="H150" s="10" t="str">
        <f>IFERROR(INDEX(面试清单!H:H,MATCH(149,面试清单!P:P,0)),"")</f>
        <v/>
      </c>
      <c r="I150" s="13" t="s">
        <v>29</v>
      </c>
      <c r="J150" s="10">
        <f ca="1" t="shared" si="7"/>
        <v>193</v>
      </c>
      <c r="K150" s="10">
        <f ca="1" t="shared" si="8"/>
        <v>16</v>
      </c>
    </row>
    <row r="151" ht="18" spans="1:11">
      <c r="A151" s="14">
        <f t="shared" si="6"/>
        <v>150</v>
      </c>
      <c r="B151" s="11" t="s">
        <v>4103</v>
      </c>
      <c r="C151" s="124" t="str">
        <f>IFERROR(INDEX(面试清单!D:D,MATCH(150,面试清单!P:P,0)),"")</f>
        <v>0182</v>
      </c>
      <c r="D151" s="11" t="s">
        <v>42</v>
      </c>
      <c r="E151" s="11" t="s">
        <v>62</v>
      </c>
      <c r="F151" s="11" t="s">
        <v>129</v>
      </c>
      <c r="G151" s="15">
        <v>45999</v>
      </c>
      <c r="H151" s="14" t="str">
        <f>IFERROR(INDEX(面试清单!H:H,MATCH(150,面试清单!P:P,0)),"")</f>
        <v>线下</v>
      </c>
      <c r="I151" s="13" t="s">
        <v>29</v>
      </c>
      <c r="J151" s="14">
        <f ca="1" t="shared" si="7"/>
        <v>190</v>
      </c>
      <c r="K151" s="14">
        <f ca="1" t="shared" si="8"/>
        <v>16</v>
      </c>
    </row>
    <row r="152" ht="18" spans="1:11">
      <c r="A152" s="10">
        <f t="shared" si="6"/>
        <v>151</v>
      </c>
      <c r="B152" s="11" t="s">
        <v>4104</v>
      </c>
      <c r="C152" s="10" t="str">
        <f>IFERROR(INDEX(面试清单!D:D,MATCH(151,面试清单!P:P,0)),"")</f>
        <v/>
      </c>
      <c r="D152" s="11" t="s">
        <v>42</v>
      </c>
      <c r="E152" s="11" t="s">
        <v>62</v>
      </c>
      <c r="F152" s="11" t="s">
        <v>132</v>
      </c>
      <c r="G152" s="15">
        <v>46001</v>
      </c>
      <c r="H152" s="10" t="str">
        <f>IFERROR(INDEX(面试清单!H:H,MATCH(151,面试清单!P:P,0)),"")</f>
        <v/>
      </c>
      <c r="I152" s="13" t="s">
        <v>29</v>
      </c>
      <c r="J152" s="10">
        <f ca="1" t="shared" si="7"/>
        <v>188</v>
      </c>
      <c r="K152" s="10">
        <f ca="1" t="shared" si="8"/>
        <v>16</v>
      </c>
    </row>
    <row r="153" ht="18" spans="1:11">
      <c r="A153" s="14">
        <f t="shared" si="6"/>
        <v>152</v>
      </c>
      <c r="B153" s="11" t="s">
        <v>4105</v>
      </c>
      <c r="C153" s="124" t="str">
        <f>IFERROR(INDEX(面试清单!D:D,MATCH(152,面试清单!P:P,0)),"")</f>
        <v>0184</v>
      </c>
      <c r="D153" s="11" t="s">
        <v>43</v>
      </c>
      <c r="E153" s="11" t="s">
        <v>62</v>
      </c>
      <c r="F153" s="11" t="s">
        <v>103</v>
      </c>
      <c r="G153" s="15">
        <v>46002</v>
      </c>
      <c r="H153" s="14" t="str">
        <f>IFERROR(INDEX(面试清单!H:H,MATCH(152,面试清单!P:P,0)),"")</f>
        <v>线下</v>
      </c>
      <c r="I153" s="13" t="s">
        <v>29</v>
      </c>
      <c r="J153" s="14">
        <f ca="1" t="shared" si="7"/>
        <v>187</v>
      </c>
      <c r="K153" s="14">
        <f ca="1" t="shared" si="8"/>
        <v>16</v>
      </c>
    </row>
    <row r="154" ht="18" spans="1:11">
      <c r="A154" s="10">
        <f t="shared" si="6"/>
        <v>153</v>
      </c>
      <c r="B154" s="11" t="s">
        <v>4106</v>
      </c>
      <c r="C154" s="10" t="str">
        <f>IFERROR(INDEX(面试清单!D:D,MATCH(153,面试清单!P:P,0)),"")</f>
        <v/>
      </c>
      <c r="D154" s="11" t="s">
        <v>42</v>
      </c>
      <c r="E154" s="11" t="s">
        <v>62</v>
      </c>
      <c r="F154" s="11" t="s">
        <v>103</v>
      </c>
      <c r="G154" s="15">
        <v>46002</v>
      </c>
      <c r="H154" s="10" t="str">
        <f>IFERROR(INDEX(面试清单!H:H,MATCH(153,面试清单!P:P,0)),"")</f>
        <v/>
      </c>
      <c r="I154" s="13" t="s">
        <v>29</v>
      </c>
      <c r="J154" s="10">
        <f ca="1" t="shared" si="7"/>
        <v>187</v>
      </c>
      <c r="K154" s="10">
        <f ca="1" t="shared" si="8"/>
        <v>16</v>
      </c>
    </row>
    <row r="155" ht="18" spans="1:11">
      <c r="A155" s="14">
        <f t="shared" si="6"/>
        <v>154</v>
      </c>
      <c r="B155" s="11" t="s">
        <v>4107</v>
      </c>
      <c r="C155" s="124" t="str">
        <f>IFERROR(INDEX(面试清单!D:D,MATCH(154,面试清单!P:P,0)),"")</f>
        <v>0186</v>
      </c>
      <c r="D155" s="11" t="s">
        <v>42</v>
      </c>
      <c r="E155" s="11" t="s">
        <v>62</v>
      </c>
      <c r="F155" s="11" t="s">
        <v>530</v>
      </c>
      <c r="G155" s="15">
        <v>46003</v>
      </c>
      <c r="H155" s="14" t="str">
        <f>IFERROR(INDEX(面试清单!H:H,MATCH(154,面试清单!P:P,0)),"")</f>
        <v>线下</v>
      </c>
      <c r="I155" s="13" t="s">
        <v>29</v>
      </c>
      <c r="J155" s="14">
        <f ca="1" t="shared" si="7"/>
        <v>186</v>
      </c>
      <c r="K155" s="14">
        <f ca="1" t="shared" si="8"/>
        <v>16</v>
      </c>
    </row>
    <row r="156" ht="18" spans="1:11">
      <c r="A156" s="10">
        <f t="shared" si="6"/>
        <v>155</v>
      </c>
      <c r="B156" s="11" t="s">
        <v>4108</v>
      </c>
      <c r="C156" s="10" t="str">
        <f>IFERROR(INDEX(面试清单!D:D,MATCH(155,面试清单!P:P,0)),"")</f>
        <v/>
      </c>
      <c r="D156" s="11" t="s">
        <v>42</v>
      </c>
      <c r="E156" s="11" t="s">
        <v>62</v>
      </c>
      <c r="F156" s="11" t="s">
        <v>246</v>
      </c>
      <c r="G156" s="15">
        <v>46007</v>
      </c>
      <c r="H156" s="10" t="str">
        <f>IFERROR(INDEX(面试清单!H:H,MATCH(155,面试清单!P:P,0)),"")</f>
        <v/>
      </c>
      <c r="I156" s="13" t="s">
        <v>29</v>
      </c>
      <c r="J156" s="10">
        <f ca="1" t="shared" si="7"/>
        <v>182</v>
      </c>
      <c r="K156" s="10">
        <f ca="1" t="shared" si="8"/>
        <v>16</v>
      </c>
    </row>
    <row r="157" ht="18" spans="1:11">
      <c r="A157" s="14">
        <f t="shared" si="6"/>
        <v>156</v>
      </c>
      <c r="B157" s="11" t="s">
        <v>4109</v>
      </c>
      <c r="C157" s="14" t="str">
        <f>IFERROR(INDEX(面试清单!D:D,MATCH(156,面试清单!P:P,0)),"")</f>
        <v/>
      </c>
      <c r="D157" s="11" t="s">
        <v>42</v>
      </c>
      <c r="E157" s="11" t="s">
        <v>62</v>
      </c>
      <c r="F157" s="11" t="s">
        <v>110</v>
      </c>
      <c r="G157" s="15">
        <v>46008</v>
      </c>
      <c r="H157" s="14" t="str">
        <f>IFERROR(INDEX(面试清单!H:H,MATCH(156,面试清单!P:P,0)),"")</f>
        <v/>
      </c>
      <c r="I157" s="13" t="s">
        <v>29</v>
      </c>
      <c r="J157" s="14">
        <f ca="1" t="shared" si="7"/>
        <v>181</v>
      </c>
      <c r="K157" s="14">
        <f ca="1" t="shared" si="8"/>
        <v>16</v>
      </c>
    </row>
    <row r="158" ht="18" spans="1:11">
      <c r="A158" s="10">
        <f t="shared" si="6"/>
        <v>157</v>
      </c>
      <c r="B158" s="11" t="s">
        <v>4110</v>
      </c>
      <c r="C158" s="10" t="str">
        <f>IFERROR(INDEX(面试清单!D:D,MATCH(157,面试清单!P:P,0)),"")</f>
        <v/>
      </c>
      <c r="D158" s="11" t="s">
        <v>42</v>
      </c>
      <c r="E158" s="11" t="s">
        <v>62</v>
      </c>
      <c r="F158" s="11" t="s">
        <v>110</v>
      </c>
      <c r="G158" s="15">
        <v>46008</v>
      </c>
      <c r="H158" s="10" t="str">
        <f>IFERROR(INDEX(面试清单!H:H,MATCH(157,面试清单!P:P,0)),"")</f>
        <v/>
      </c>
      <c r="I158" s="13" t="s">
        <v>29</v>
      </c>
      <c r="J158" s="10">
        <f ca="1" t="shared" si="7"/>
        <v>181</v>
      </c>
      <c r="K158" s="10">
        <f ca="1" t="shared" si="8"/>
        <v>16</v>
      </c>
    </row>
    <row r="159" ht="18" spans="1:11">
      <c r="A159" s="14">
        <f t="shared" si="6"/>
        <v>158</v>
      </c>
      <c r="B159" s="11" t="s">
        <v>4111</v>
      </c>
      <c r="C159" s="14" t="str">
        <f>IFERROR(INDEX(面试清单!D:D,MATCH(158,面试清单!P:P,0)),"")</f>
        <v/>
      </c>
      <c r="D159" s="11" t="s">
        <v>42</v>
      </c>
      <c r="E159" s="11" t="s">
        <v>62</v>
      </c>
      <c r="F159" s="11" t="s">
        <v>179</v>
      </c>
      <c r="G159" s="15">
        <v>46010</v>
      </c>
      <c r="H159" s="14" t="str">
        <f>IFERROR(INDEX(面试清单!H:H,MATCH(158,面试清单!P:P,0)),"")</f>
        <v/>
      </c>
      <c r="I159" s="13" t="s">
        <v>29</v>
      </c>
      <c r="J159" s="14">
        <f ca="1" t="shared" si="7"/>
        <v>179</v>
      </c>
      <c r="K159" s="14">
        <f ca="1" t="shared" si="8"/>
        <v>16</v>
      </c>
    </row>
    <row r="160" ht="18" spans="1:11">
      <c r="A160" s="10">
        <f t="shared" si="6"/>
        <v>159</v>
      </c>
      <c r="B160" s="11" t="s">
        <v>4112</v>
      </c>
      <c r="C160" s="125" t="str">
        <f>IFERROR(INDEX(面试清单!D:D,MATCH(159,面试清单!P:P,0)),"")</f>
        <v>0191</v>
      </c>
      <c r="D160" s="11" t="s">
        <v>42</v>
      </c>
      <c r="E160" s="11" t="s">
        <v>62</v>
      </c>
      <c r="F160" s="11" t="s">
        <v>1006</v>
      </c>
      <c r="G160" s="15">
        <v>46010</v>
      </c>
      <c r="H160" s="10" t="str">
        <f>IFERROR(INDEX(面试清单!H:H,MATCH(159,面试清单!P:P,0)),"")</f>
        <v>线下</v>
      </c>
      <c r="I160" s="13" t="s">
        <v>29</v>
      </c>
      <c r="J160" s="10">
        <f ca="1" t="shared" si="7"/>
        <v>179</v>
      </c>
      <c r="K160" s="10">
        <f ca="1" t="shared" si="8"/>
        <v>16</v>
      </c>
    </row>
    <row r="161" ht="18" spans="1:11">
      <c r="A161" s="14">
        <f t="shared" si="6"/>
        <v>160</v>
      </c>
      <c r="B161" s="11" t="s">
        <v>4113</v>
      </c>
      <c r="C161" s="124" t="str">
        <f>IFERROR(INDEX(面试清单!D:D,MATCH(160,面试清单!P:P,0)),"")</f>
        <v>0192</v>
      </c>
      <c r="D161" s="11" t="s">
        <v>42</v>
      </c>
      <c r="E161" s="11" t="s">
        <v>62</v>
      </c>
      <c r="F161" s="11" t="s">
        <v>110</v>
      </c>
      <c r="G161" s="15">
        <v>46010</v>
      </c>
      <c r="H161" s="14" t="str">
        <f>IFERROR(INDEX(面试清单!H:H,MATCH(160,面试清单!P:P,0)),"")</f>
        <v>线下</v>
      </c>
      <c r="I161" s="13" t="s">
        <v>29</v>
      </c>
      <c r="J161" s="14">
        <f ca="1" t="shared" si="7"/>
        <v>179</v>
      </c>
      <c r="K161" s="14">
        <f ca="1" t="shared" si="8"/>
        <v>16</v>
      </c>
    </row>
    <row r="162" ht="18" spans="1:11">
      <c r="A162" s="10">
        <f t="shared" si="6"/>
        <v>161</v>
      </c>
      <c r="B162" s="11" t="s">
        <v>4114</v>
      </c>
      <c r="C162" s="10" t="str">
        <f>IFERROR(INDEX(面试清单!D:D,MATCH(161,面试清单!P:P,0)),"")</f>
        <v/>
      </c>
      <c r="D162" s="11" t="s">
        <v>42</v>
      </c>
      <c r="E162" s="11" t="s">
        <v>62</v>
      </c>
      <c r="F162" s="11" t="s">
        <v>135</v>
      </c>
      <c r="G162" s="15">
        <v>46017</v>
      </c>
      <c r="H162" s="10" t="str">
        <f>IFERROR(INDEX(面试清单!H:H,MATCH(161,面试清单!P:P,0)),"")</f>
        <v/>
      </c>
      <c r="I162" s="13" t="s">
        <v>29</v>
      </c>
      <c r="J162" s="10">
        <f ca="1" t="shared" si="7"/>
        <v>172</v>
      </c>
      <c r="K162" s="10">
        <f ca="1" t="shared" si="8"/>
        <v>16</v>
      </c>
    </row>
    <row r="163" ht="18" spans="1:11">
      <c r="A163" s="14">
        <f t="shared" si="6"/>
        <v>162</v>
      </c>
      <c r="B163" s="11" t="s">
        <v>4115</v>
      </c>
      <c r="C163" s="14" t="str">
        <f>IFERROR(INDEX(面试清单!D:D,MATCH(162,面试清单!P:P,0)),"")</f>
        <v/>
      </c>
      <c r="D163" s="11" t="s">
        <v>73</v>
      </c>
      <c r="E163" s="11" t="s">
        <v>62</v>
      </c>
      <c r="F163" s="11" t="s">
        <v>1006</v>
      </c>
      <c r="G163" s="15">
        <v>46031</v>
      </c>
      <c r="H163" s="14" t="str">
        <f>IFERROR(INDEX(面试清单!H:H,MATCH(162,面试清单!P:P,0)),"")</f>
        <v/>
      </c>
      <c r="I163" s="13" t="s">
        <v>29</v>
      </c>
      <c r="J163" s="14">
        <f ca="1" t="shared" si="7"/>
        <v>158</v>
      </c>
      <c r="K163" s="14">
        <f ca="1" t="shared" si="8"/>
        <v>16</v>
      </c>
    </row>
    <row r="164" ht="18" spans="1:11">
      <c r="A164" s="10">
        <f t="shared" si="6"/>
        <v>163</v>
      </c>
      <c r="B164" s="11" t="s">
        <v>4116</v>
      </c>
      <c r="C164" s="10" t="str">
        <f>IFERROR(INDEX(面试清单!D:D,MATCH(163,面试清单!P:P,0)),"")</f>
        <v/>
      </c>
      <c r="D164" s="11" t="s">
        <v>73</v>
      </c>
      <c r="E164" s="11" t="s">
        <v>62</v>
      </c>
      <c r="F164" s="11" t="s">
        <v>129</v>
      </c>
      <c r="G164" s="15">
        <v>46033</v>
      </c>
      <c r="H164" s="10" t="str">
        <f>IFERROR(INDEX(面试清单!H:H,MATCH(163,面试清单!P:P,0)),"")</f>
        <v/>
      </c>
      <c r="I164" s="13" t="s">
        <v>29</v>
      </c>
      <c r="J164" s="10">
        <f ca="1" t="shared" si="7"/>
        <v>156</v>
      </c>
      <c r="K164" s="10">
        <f ca="1" t="shared" si="8"/>
        <v>16</v>
      </c>
    </row>
    <row r="165" ht="18" spans="1:11">
      <c r="A165" s="14">
        <f t="shared" si="6"/>
        <v>164</v>
      </c>
      <c r="B165" s="11" t="s">
        <v>4117</v>
      </c>
      <c r="C165" s="14" t="str">
        <f>IFERROR(INDEX(面试清单!D:D,MATCH(164,面试清单!P:P,0)),"")</f>
        <v/>
      </c>
      <c r="D165" s="11" t="s">
        <v>43</v>
      </c>
      <c r="E165" s="11" t="s">
        <v>62</v>
      </c>
      <c r="F165" s="11" t="s">
        <v>233</v>
      </c>
      <c r="G165" s="15">
        <v>46034</v>
      </c>
      <c r="H165" s="14" t="str">
        <f>IFERROR(INDEX(面试清单!H:H,MATCH(164,面试清单!P:P,0)),"")</f>
        <v/>
      </c>
      <c r="I165" s="13" t="s">
        <v>29</v>
      </c>
      <c r="J165" s="14">
        <f ca="1" t="shared" si="7"/>
        <v>155</v>
      </c>
      <c r="K165" s="14">
        <f ca="1" t="shared" si="8"/>
        <v>16</v>
      </c>
    </row>
    <row r="166" ht="18" spans="1:11">
      <c r="A166" s="10">
        <f t="shared" si="6"/>
        <v>165</v>
      </c>
      <c r="B166" s="11" t="s">
        <v>4118</v>
      </c>
      <c r="C166" s="10" t="str">
        <f>IFERROR(INDEX(面试清单!D:D,MATCH(165,面试清单!P:P,0)),"")</f>
        <v/>
      </c>
      <c r="D166" s="11" t="s">
        <v>43</v>
      </c>
      <c r="E166" s="11" t="s">
        <v>62</v>
      </c>
      <c r="F166" s="11" t="s">
        <v>179</v>
      </c>
      <c r="G166" s="15">
        <v>46034</v>
      </c>
      <c r="H166" s="10" t="str">
        <f>IFERROR(INDEX(面试清单!H:H,MATCH(165,面试清单!P:P,0)),"")</f>
        <v/>
      </c>
      <c r="I166" s="13" t="s">
        <v>29</v>
      </c>
      <c r="J166" s="10">
        <f ca="1" t="shared" si="7"/>
        <v>155</v>
      </c>
      <c r="K166" s="10">
        <f ca="1" t="shared" si="8"/>
        <v>16</v>
      </c>
    </row>
    <row r="167" ht="18" spans="1:11">
      <c r="A167" s="14">
        <f t="shared" si="6"/>
        <v>166</v>
      </c>
      <c r="B167" s="11" t="s">
        <v>4119</v>
      </c>
      <c r="C167" s="124" t="str">
        <f>IFERROR(INDEX(面试清单!D:D,MATCH(166,面试清单!P:P,0)),"")</f>
        <v>0198</v>
      </c>
      <c r="D167" s="11" t="s">
        <v>43</v>
      </c>
      <c r="E167" s="11" t="s">
        <v>62</v>
      </c>
      <c r="F167" s="11" t="s">
        <v>3967</v>
      </c>
      <c r="G167" s="15">
        <v>46038</v>
      </c>
      <c r="H167" s="14" t="str">
        <f>IFERROR(INDEX(面试清单!H:H,MATCH(166,面试清单!P:P,0)),"")</f>
        <v>线下</v>
      </c>
      <c r="I167" s="13" t="s">
        <v>29</v>
      </c>
      <c r="J167" s="14">
        <f ca="1" t="shared" si="7"/>
        <v>151</v>
      </c>
      <c r="K167" s="14">
        <f ca="1" t="shared" si="8"/>
        <v>16</v>
      </c>
    </row>
    <row r="168" ht="18" spans="1:11">
      <c r="A168" s="10">
        <f t="shared" si="6"/>
        <v>167</v>
      </c>
      <c r="B168" s="11" t="s">
        <v>4120</v>
      </c>
      <c r="C168" s="125" t="str">
        <f>IFERROR(INDEX(面试清单!D:D,MATCH(167,面试清单!P:P,0)),"")</f>
        <v>0199</v>
      </c>
      <c r="D168" s="11" t="s">
        <v>43</v>
      </c>
      <c r="E168" s="11" t="s">
        <v>63</v>
      </c>
      <c r="F168" s="11" t="s">
        <v>233</v>
      </c>
      <c r="G168" s="15">
        <v>46041</v>
      </c>
      <c r="H168" s="10" t="str">
        <f>IFERROR(INDEX(面试清单!H:H,MATCH(167,面试清单!P:P,0)),"")</f>
        <v>线下</v>
      </c>
      <c r="I168" s="13" t="s">
        <v>29</v>
      </c>
      <c r="J168" s="10">
        <f ca="1" t="shared" si="7"/>
        <v>148</v>
      </c>
      <c r="K168" s="10">
        <f ca="1" t="shared" si="8"/>
        <v>16</v>
      </c>
    </row>
    <row r="169" ht="18" spans="1:11">
      <c r="A169" s="14">
        <f t="shared" si="6"/>
        <v>168</v>
      </c>
      <c r="B169" s="11" t="s">
        <v>4121</v>
      </c>
      <c r="C169" s="14" t="str">
        <f>IFERROR(INDEX(面试清单!D:D,MATCH(168,面试清单!P:P,0)),"")</f>
        <v/>
      </c>
      <c r="D169" s="11" t="s">
        <v>43</v>
      </c>
      <c r="E169" s="11" t="s">
        <v>62</v>
      </c>
      <c r="F169" s="11" t="s">
        <v>233</v>
      </c>
      <c r="G169" s="15">
        <v>46041</v>
      </c>
      <c r="H169" s="14" t="str">
        <f>IFERROR(INDEX(面试清单!H:H,MATCH(168,面试清单!P:P,0)),"")</f>
        <v/>
      </c>
      <c r="I169" s="13" t="s">
        <v>29</v>
      </c>
      <c r="J169" s="14">
        <f ca="1" t="shared" si="7"/>
        <v>148</v>
      </c>
      <c r="K169" s="14">
        <f ca="1" t="shared" si="8"/>
        <v>16</v>
      </c>
    </row>
    <row r="170" ht="18" spans="1:11">
      <c r="A170" s="10">
        <f t="shared" si="6"/>
        <v>169</v>
      </c>
      <c r="B170" s="11" t="s">
        <v>4122</v>
      </c>
      <c r="C170" s="125" t="str">
        <f>IFERROR(INDEX(面试清单!D:D,MATCH(169,面试清单!P:P,0)),"")</f>
        <v>0202</v>
      </c>
      <c r="D170" s="11" t="s">
        <v>43</v>
      </c>
      <c r="E170" s="11" t="s">
        <v>62</v>
      </c>
      <c r="F170" s="11" t="s">
        <v>103</v>
      </c>
      <c r="G170" s="15">
        <v>46041</v>
      </c>
      <c r="H170" s="10" t="str">
        <f>IFERROR(INDEX(面试清单!H:H,MATCH(169,面试清单!P:P,0)),"")</f>
        <v>线下</v>
      </c>
      <c r="I170" s="13" t="s">
        <v>29</v>
      </c>
      <c r="J170" s="10">
        <f ca="1" t="shared" si="7"/>
        <v>148</v>
      </c>
      <c r="K170" s="10">
        <f ca="1" t="shared" si="8"/>
        <v>16</v>
      </c>
    </row>
    <row r="171" ht="18" spans="1:11">
      <c r="A171" s="14">
        <f t="shared" si="6"/>
        <v>170</v>
      </c>
      <c r="B171" s="11" t="s">
        <v>4123</v>
      </c>
      <c r="C171" s="14" t="str">
        <f>IFERROR(INDEX(面试清单!D:D,MATCH(170,面试清单!P:P,0)),"")</f>
        <v/>
      </c>
      <c r="D171" s="11" t="s">
        <v>43</v>
      </c>
      <c r="E171" s="11" t="s">
        <v>62</v>
      </c>
      <c r="F171" s="11" t="s">
        <v>246</v>
      </c>
      <c r="G171" s="15">
        <v>46041</v>
      </c>
      <c r="H171" s="14" t="str">
        <f>IFERROR(INDEX(面试清单!H:H,MATCH(170,面试清单!P:P,0)),"")</f>
        <v/>
      </c>
      <c r="I171" s="13" t="s">
        <v>29</v>
      </c>
      <c r="J171" s="14">
        <f ca="1" t="shared" si="7"/>
        <v>148</v>
      </c>
      <c r="K171" s="14">
        <f ca="1" t="shared" si="8"/>
        <v>16</v>
      </c>
    </row>
    <row r="172" ht="18" spans="1:11">
      <c r="A172" s="10">
        <f t="shared" si="6"/>
        <v>171</v>
      </c>
      <c r="B172" s="11" t="s">
        <v>4124</v>
      </c>
      <c r="C172" s="10" t="str">
        <f>IFERROR(INDEX(面试清单!D:D,MATCH(171,面试清单!P:P,0)),"")</f>
        <v/>
      </c>
      <c r="D172" s="11" t="s">
        <v>42</v>
      </c>
      <c r="E172" s="11" t="s">
        <v>63</v>
      </c>
      <c r="F172" s="11" t="s">
        <v>233</v>
      </c>
      <c r="G172" s="15">
        <v>46041</v>
      </c>
      <c r="H172" s="10" t="str">
        <f>IFERROR(INDEX(面试清单!H:H,MATCH(171,面试清单!P:P,0)),"")</f>
        <v/>
      </c>
      <c r="I172" s="13" t="s">
        <v>29</v>
      </c>
      <c r="J172" s="10">
        <f ca="1" t="shared" si="7"/>
        <v>148</v>
      </c>
      <c r="K172" s="10">
        <f ca="1" t="shared" si="8"/>
        <v>16</v>
      </c>
    </row>
    <row r="173" ht="18" spans="1:11">
      <c r="A173" s="14">
        <f t="shared" si="6"/>
        <v>172</v>
      </c>
      <c r="B173" s="11" t="s">
        <v>4125</v>
      </c>
      <c r="C173" s="124" t="str">
        <f>IFERROR(INDEX(面试清单!D:D,MATCH(172,面试清单!P:P,0)),"")</f>
        <v>0205</v>
      </c>
      <c r="D173" s="11" t="s">
        <v>42</v>
      </c>
      <c r="E173" s="11" t="s">
        <v>63</v>
      </c>
      <c r="F173" s="11" t="s">
        <v>1166</v>
      </c>
      <c r="G173" s="15">
        <v>46041</v>
      </c>
      <c r="H173" s="14" t="str">
        <f>IFERROR(INDEX(面试清单!H:H,MATCH(172,面试清单!P:P,0)),"")</f>
        <v>线下</v>
      </c>
      <c r="I173" s="13" t="s">
        <v>29</v>
      </c>
      <c r="J173" s="14">
        <f ca="1" t="shared" si="7"/>
        <v>148</v>
      </c>
      <c r="K173" s="14">
        <f ca="1" t="shared" si="8"/>
        <v>16</v>
      </c>
    </row>
    <row r="174" ht="18" spans="1:11">
      <c r="A174" s="10">
        <f t="shared" si="6"/>
        <v>173</v>
      </c>
      <c r="B174" s="11" t="s">
        <v>4126</v>
      </c>
      <c r="C174" s="125" t="str">
        <f>IFERROR(INDEX(面试清单!D:D,MATCH(173,面试清单!P:P,0)),"")</f>
        <v>0206</v>
      </c>
      <c r="D174" s="11" t="s">
        <v>42</v>
      </c>
      <c r="E174" s="11" t="s">
        <v>63</v>
      </c>
      <c r="F174" s="11" t="s">
        <v>179</v>
      </c>
      <c r="G174" s="15">
        <v>46041</v>
      </c>
      <c r="H174" s="10" t="str">
        <f>IFERROR(INDEX(面试清单!H:H,MATCH(173,面试清单!P:P,0)),"")</f>
        <v>线下</v>
      </c>
      <c r="I174" s="13" t="s">
        <v>29</v>
      </c>
      <c r="J174" s="10">
        <f ca="1" t="shared" si="7"/>
        <v>148</v>
      </c>
      <c r="K174" s="10">
        <f ca="1" t="shared" si="8"/>
        <v>16</v>
      </c>
    </row>
    <row r="175" ht="18" spans="1:11">
      <c r="A175" s="14">
        <f t="shared" si="6"/>
        <v>174</v>
      </c>
      <c r="B175" s="11" t="s">
        <v>4127</v>
      </c>
      <c r="C175" s="14" t="str">
        <f>IFERROR(INDEX(面试清单!D:D,MATCH(174,面试清单!P:P,0)),"")</f>
        <v/>
      </c>
      <c r="D175" s="11" t="s">
        <v>42</v>
      </c>
      <c r="E175" s="11" t="s">
        <v>63</v>
      </c>
      <c r="F175" s="11" t="s">
        <v>246</v>
      </c>
      <c r="G175" s="15">
        <v>46041</v>
      </c>
      <c r="H175" s="14" t="str">
        <f>IFERROR(INDEX(面试清单!H:H,MATCH(174,面试清单!P:P,0)),"")</f>
        <v/>
      </c>
      <c r="I175" s="13" t="s">
        <v>29</v>
      </c>
      <c r="J175" s="14">
        <f ca="1" t="shared" si="7"/>
        <v>148</v>
      </c>
      <c r="K175" s="14">
        <f ca="1" t="shared" si="8"/>
        <v>16</v>
      </c>
    </row>
    <row r="176" ht="18" spans="1:11">
      <c r="A176" s="10">
        <f t="shared" si="6"/>
        <v>175</v>
      </c>
      <c r="B176" s="11" t="s">
        <v>4128</v>
      </c>
      <c r="C176" s="10" t="str">
        <f>IFERROR(INDEX(面试清单!D:D,MATCH(175,面试清单!P:P,0)),"")</f>
        <v/>
      </c>
      <c r="D176" s="11" t="s">
        <v>42</v>
      </c>
      <c r="E176" s="11" t="s">
        <v>63</v>
      </c>
      <c r="F176" s="11" t="s">
        <v>233</v>
      </c>
      <c r="G176" s="15">
        <v>46041</v>
      </c>
      <c r="H176" s="10" t="str">
        <f>IFERROR(INDEX(面试清单!H:H,MATCH(175,面试清单!P:P,0)),"")</f>
        <v/>
      </c>
      <c r="I176" s="13" t="s">
        <v>29</v>
      </c>
      <c r="J176" s="10">
        <f ca="1" t="shared" si="7"/>
        <v>148</v>
      </c>
      <c r="K176" s="10">
        <f ca="1" t="shared" si="8"/>
        <v>16</v>
      </c>
    </row>
    <row r="177" ht="18" spans="1:11">
      <c r="A177" s="14">
        <f t="shared" si="6"/>
        <v>176</v>
      </c>
      <c r="B177" s="11" t="s">
        <v>4129</v>
      </c>
      <c r="C177" s="14" t="str">
        <f>IFERROR(INDEX(面试清单!D:D,MATCH(176,面试清单!P:P,0)),"")</f>
        <v/>
      </c>
      <c r="D177" s="11" t="s">
        <v>43</v>
      </c>
      <c r="E177" s="11" t="s">
        <v>62</v>
      </c>
      <c r="F177" s="11" t="s">
        <v>233</v>
      </c>
      <c r="G177" s="15">
        <v>46042</v>
      </c>
      <c r="H177" s="14" t="str">
        <f>IFERROR(INDEX(面试清单!H:H,MATCH(176,面试清单!P:P,0)),"")</f>
        <v/>
      </c>
      <c r="I177" s="13" t="s">
        <v>29</v>
      </c>
      <c r="J177" s="14">
        <f ca="1" t="shared" si="7"/>
        <v>147</v>
      </c>
      <c r="K177" s="14">
        <f ca="1" t="shared" si="8"/>
        <v>16</v>
      </c>
    </row>
    <row r="178" ht="18" spans="1:11">
      <c r="A178" s="10">
        <f t="shared" si="6"/>
        <v>177</v>
      </c>
      <c r="B178" s="11" t="s">
        <v>4130</v>
      </c>
      <c r="C178" s="10" t="str">
        <f>IFERROR(INDEX(面试清单!D:D,MATCH(177,面试清单!P:P,0)),"")</f>
        <v/>
      </c>
      <c r="D178" s="11" t="s">
        <v>42</v>
      </c>
      <c r="E178" s="11" t="s">
        <v>62</v>
      </c>
      <c r="F178" s="11" t="s">
        <v>103</v>
      </c>
      <c r="G178" s="15">
        <v>46042</v>
      </c>
      <c r="H178" s="10" t="str">
        <f>IFERROR(INDEX(面试清单!H:H,MATCH(177,面试清单!P:P,0)),"")</f>
        <v/>
      </c>
      <c r="I178" s="13" t="s">
        <v>29</v>
      </c>
      <c r="J178" s="10">
        <f ca="1" t="shared" si="7"/>
        <v>147</v>
      </c>
      <c r="K178" s="10">
        <f ca="1" t="shared" si="8"/>
        <v>16</v>
      </c>
    </row>
    <row r="179" ht="18" spans="1:11">
      <c r="A179" s="14">
        <f t="shared" si="6"/>
        <v>178</v>
      </c>
      <c r="B179" s="11" t="s">
        <v>4131</v>
      </c>
      <c r="C179" s="14" t="str">
        <f>IFERROR(INDEX(面试清单!D:D,MATCH(178,面试清单!P:P,0)),"")</f>
        <v/>
      </c>
      <c r="D179" s="11" t="s">
        <v>42</v>
      </c>
      <c r="E179" s="11" t="s">
        <v>63</v>
      </c>
      <c r="F179" s="11" t="s">
        <v>103</v>
      </c>
      <c r="G179" s="15">
        <v>46042</v>
      </c>
      <c r="H179" s="14" t="str">
        <f>IFERROR(INDEX(面试清单!H:H,MATCH(178,面试清单!P:P,0)),"")</f>
        <v/>
      </c>
      <c r="I179" s="13" t="s">
        <v>29</v>
      </c>
      <c r="J179" s="14">
        <f ca="1" t="shared" si="7"/>
        <v>147</v>
      </c>
      <c r="K179" s="14">
        <f ca="1" t="shared" si="8"/>
        <v>16</v>
      </c>
    </row>
    <row r="180" ht="18" spans="1:11">
      <c r="A180" s="10">
        <f t="shared" si="6"/>
        <v>179</v>
      </c>
      <c r="B180" s="11" t="s">
        <v>4132</v>
      </c>
      <c r="C180" s="10" t="str">
        <f>IFERROR(INDEX(面试清单!D:D,MATCH(179,面试清单!P:P,0)),"")</f>
        <v/>
      </c>
      <c r="D180" s="11" t="s">
        <v>43</v>
      </c>
      <c r="E180" s="11" t="s">
        <v>62</v>
      </c>
      <c r="F180" s="11" t="s">
        <v>103</v>
      </c>
      <c r="G180" s="15">
        <v>46042</v>
      </c>
      <c r="H180" s="10" t="str">
        <f>IFERROR(INDEX(面试清单!H:H,MATCH(179,面试清单!P:P,0)),"")</f>
        <v/>
      </c>
      <c r="I180" s="13" t="s">
        <v>29</v>
      </c>
      <c r="J180" s="10">
        <f ca="1" t="shared" si="7"/>
        <v>147</v>
      </c>
      <c r="K180" s="10">
        <f ca="1" t="shared" si="8"/>
        <v>16</v>
      </c>
    </row>
    <row r="181" ht="18" spans="1:11">
      <c r="A181" s="14">
        <f t="shared" si="6"/>
        <v>180</v>
      </c>
      <c r="B181" s="11" t="s">
        <v>4133</v>
      </c>
      <c r="C181" s="14" t="str">
        <f>IFERROR(INDEX(面试清单!D:D,MATCH(180,面试清单!P:P,0)),"")</f>
        <v/>
      </c>
      <c r="D181" s="11" t="s">
        <v>43</v>
      </c>
      <c r="E181" s="11" t="s">
        <v>62</v>
      </c>
      <c r="F181" s="11" t="s">
        <v>1006</v>
      </c>
      <c r="G181" s="15">
        <v>46043</v>
      </c>
      <c r="H181" s="14" t="str">
        <f>IFERROR(INDEX(面试清单!H:H,MATCH(180,面试清单!P:P,0)),"")</f>
        <v/>
      </c>
      <c r="I181" s="13" t="s">
        <v>29</v>
      </c>
      <c r="J181" s="14">
        <f ca="1" t="shared" si="7"/>
        <v>146</v>
      </c>
      <c r="K181" s="14">
        <f ca="1" t="shared" si="8"/>
        <v>16</v>
      </c>
    </row>
    <row r="182" ht="18" spans="1:11">
      <c r="A182" s="10">
        <f t="shared" si="6"/>
        <v>181</v>
      </c>
      <c r="B182" s="11" t="s">
        <v>4134</v>
      </c>
      <c r="C182" s="10" t="str">
        <f>IFERROR(INDEX(面试清单!D:D,MATCH(181,面试清单!P:P,0)),"")</f>
        <v/>
      </c>
      <c r="D182" s="11" t="s">
        <v>43</v>
      </c>
      <c r="E182" s="11" t="s">
        <v>62</v>
      </c>
      <c r="F182" s="11" t="s">
        <v>132</v>
      </c>
      <c r="G182" s="15">
        <v>46044</v>
      </c>
      <c r="H182" s="10" t="str">
        <f>IFERROR(INDEX(面试清单!H:H,MATCH(181,面试清单!P:P,0)),"")</f>
        <v/>
      </c>
      <c r="I182" s="13" t="s">
        <v>29</v>
      </c>
      <c r="J182" s="10">
        <f ca="1" t="shared" si="7"/>
        <v>145</v>
      </c>
      <c r="K182" s="10">
        <f ca="1" t="shared" si="8"/>
        <v>16</v>
      </c>
    </row>
    <row r="183" ht="18" spans="1:11">
      <c r="A183" s="14">
        <f t="shared" si="6"/>
        <v>182</v>
      </c>
      <c r="B183" s="11" t="s">
        <v>4135</v>
      </c>
      <c r="C183" s="124" t="str">
        <f>IFERROR(INDEX(面试清单!D:D,MATCH(182,面试清单!P:P,0)),"")</f>
        <v>0221</v>
      </c>
      <c r="D183" s="11" t="s">
        <v>43</v>
      </c>
      <c r="E183" s="11" t="s">
        <v>62</v>
      </c>
      <c r="F183" s="11" t="s">
        <v>179</v>
      </c>
      <c r="G183" s="15">
        <v>46044</v>
      </c>
      <c r="H183" s="14" t="str">
        <f>IFERROR(INDEX(面试清单!H:H,MATCH(182,面试清单!P:P,0)),"")</f>
        <v>线下</v>
      </c>
      <c r="I183" s="13" t="s">
        <v>29</v>
      </c>
      <c r="J183" s="14">
        <f ca="1" t="shared" si="7"/>
        <v>145</v>
      </c>
      <c r="K183" s="14">
        <f ca="1" t="shared" si="8"/>
        <v>16</v>
      </c>
    </row>
    <row r="184" ht="18" spans="1:11">
      <c r="A184" s="10">
        <f t="shared" si="6"/>
        <v>183</v>
      </c>
      <c r="B184" s="11" t="s">
        <v>4136</v>
      </c>
      <c r="C184" s="125" t="str">
        <f>IFERROR(INDEX(面试清单!D:D,MATCH(183,面试清单!P:P,0)),"")</f>
        <v>0222</v>
      </c>
      <c r="D184" s="11" t="s">
        <v>43</v>
      </c>
      <c r="E184" s="11" t="s">
        <v>62</v>
      </c>
      <c r="F184" s="11" t="s">
        <v>132</v>
      </c>
      <c r="G184" s="15">
        <v>46045</v>
      </c>
      <c r="H184" s="10" t="str">
        <f>IFERROR(INDEX(面试清单!H:H,MATCH(183,面试清单!P:P,0)),"")</f>
        <v>线下</v>
      </c>
      <c r="I184" s="13" t="s">
        <v>29</v>
      </c>
      <c r="J184" s="10">
        <f ca="1" t="shared" si="7"/>
        <v>144</v>
      </c>
      <c r="K184" s="10">
        <f ca="1" t="shared" si="8"/>
        <v>16</v>
      </c>
    </row>
    <row r="185" ht="18" spans="1:11">
      <c r="A185" s="14">
        <f t="shared" si="6"/>
        <v>184</v>
      </c>
      <c r="B185" s="11" t="s">
        <v>4137</v>
      </c>
      <c r="C185" s="14" t="str">
        <f>IFERROR(INDEX(面试清单!D:D,MATCH(184,面试清单!P:P,0)),"")</f>
        <v/>
      </c>
      <c r="D185" s="11" t="s">
        <v>43</v>
      </c>
      <c r="E185" s="11" t="s">
        <v>62</v>
      </c>
      <c r="F185" s="11" t="s">
        <v>132</v>
      </c>
      <c r="G185" s="15">
        <v>46046</v>
      </c>
      <c r="H185" s="14" t="str">
        <f>IFERROR(INDEX(面试清单!H:H,MATCH(184,面试清单!P:P,0)),"")</f>
        <v/>
      </c>
      <c r="I185" s="13" t="s">
        <v>29</v>
      </c>
      <c r="J185" s="14">
        <f ca="1" t="shared" si="7"/>
        <v>143</v>
      </c>
      <c r="K185" s="14">
        <f ca="1" t="shared" si="8"/>
        <v>16</v>
      </c>
    </row>
    <row r="186" ht="18" spans="1:11">
      <c r="A186" s="10">
        <f t="shared" si="6"/>
        <v>185</v>
      </c>
      <c r="B186" s="11" t="s">
        <v>4138</v>
      </c>
      <c r="C186" s="125" t="str">
        <f>IFERROR(INDEX(面试清单!D:D,MATCH(185,面试清单!P:P,0)),"")</f>
        <v>0209</v>
      </c>
      <c r="D186" s="11" t="s">
        <v>73</v>
      </c>
      <c r="E186" s="11" t="s">
        <v>62</v>
      </c>
      <c r="F186" s="11" t="s">
        <v>129</v>
      </c>
      <c r="G186" s="15">
        <v>46046</v>
      </c>
      <c r="H186" s="10" t="str">
        <f>IFERROR(INDEX(面试清单!H:H,MATCH(185,面试清单!P:P,0)),"")</f>
        <v>线下</v>
      </c>
      <c r="I186" s="13" t="s">
        <v>29</v>
      </c>
      <c r="J186" s="10">
        <f ca="1" t="shared" si="7"/>
        <v>143</v>
      </c>
      <c r="K186" s="10">
        <f ca="1" t="shared" si="8"/>
        <v>16</v>
      </c>
    </row>
    <row r="187" ht="18" spans="1:11">
      <c r="A187" s="14">
        <f t="shared" si="6"/>
        <v>186</v>
      </c>
      <c r="B187" s="11" t="s">
        <v>4139</v>
      </c>
      <c r="C187" s="14" t="str">
        <f>IFERROR(INDEX(面试清单!D:D,MATCH(186,面试清单!P:P,0)),"")</f>
        <v/>
      </c>
      <c r="D187" s="11" t="s">
        <v>42</v>
      </c>
      <c r="E187" s="11" t="s">
        <v>63</v>
      </c>
      <c r="F187" s="11" t="s">
        <v>179</v>
      </c>
      <c r="G187" s="15">
        <v>46046</v>
      </c>
      <c r="H187" s="14" t="str">
        <f>IFERROR(INDEX(面试清单!H:H,MATCH(186,面试清单!P:P,0)),"")</f>
        <v/>
      </c>
      <c r="I187" s="13" t="s">
        <v>29</v>
      </c>
      <c r="J187" s="14">
        <f ca="1" t="shared" si="7"/>
        <v>143</v>
      </c>
      <c r="K187" s="14">
        <f ca="1" t="shared" si="8"/>
        <v>16</v>
      </c>
    </row>
    <row r="188" ht="18" spans="1:11">
      <c r="A188" s="10">
        <f t="shared" si="6"/>
        <v>187</v>
      </c>
      <c r="B188" s="11" t="s">
        <v>4140</v>
      </c>
      <c r="C188" s="10" t="str">
        <f>IFERROR(INDEX(面试清单!D:D,MATCH(187,面试清单!P:P,0)),"")</f>
        <v/>
      </c>
      <c r="D188" s="11" t="s">
        <v>43</v>
      </c>
      <c r="E188" s="11" t="s">
        <v>62</v>
      </c>
      <c r="F188" s="11" t="s">
        <v>132</v>
      </c>
      <c r="G188" s="15">
        <v>46047</v>
      </c>
      <c r="H188" s="10" t="str">
        <f>IFERROR(INDEX(面试清单!H:H,MATCH(187,面试清单!P:P,0)),"")</f>
        <v/>
      </c>
      <c r="I188" s="13" t="s">
        <v>29</v>
      </c>
      <c r="J188" s="10">
        <f ca="1" t="shared" si="7"/>
        <v>142</v>
      </c>
      <c r="K188" s="10">
        <f ca="1" t="shared" si="8"/>
        <v>16</v>
      </c>
    </row>
    <row r="189" ht="18" spans="1:11">
      <c r="A189" s="14">
        <f t="shared" si="6"/>
        <v>188</v>
      </c>
      <c r="B189" s="11" t="s">
        <v>4141</v>
      </c>
      <c r="C189" s="14" t="str">
        <f>IFERROR(INDEX(面试清单!D:D,MATCH(188,面试清单!P:P,0)),"")</f>
        <v/>
      </c>
      <c r="D189" s="11" t="s">
        <v>42</v>
      </c>
      <c r="E189" s="11" t="s">
        <v>63</v>
      </c>
      <c r="F189" s="11" t="s">
        <v>1542</v>
      </c>
      <c r="G189" s="15">
        <v>46047</v>
      </c>
      <c r="H189" s="14" t="str">
        <f>IFERROR(INDEX(面试清单!H:H,MATCH(188,面试清单!P:P,0)),"")</f>
        <v/>
      </c>
      <c r="I189" s="13" t="s">
        <v>29</v>
      </c>
      <c r="J189" s="14">
        <f ca="1" t="shared" si="7"/>
        <v>142</v>
      </c>
      <c r="K189" s="14">
        <f ca="1" t="shared" si="8"/>
        <v>16</v>
      </c>
    </row>
    <row r="190" ht="18" spans="1:11">
      <c r="A190" s="10">
        <f t="shared" si="6"/>
        <v>189</v>
      </c>
      <c r="B190" s="11" t="s">
        <v>2199</v>
      </c>
      <c r="C190" s="10" t="str">
        <f>IFERROR(INDEX(面试清单!D:D,MATCH(189,面试清单!P:P,0)),"")</f>
        <v/>
      </c>
      <c r="D190" s="11" t="s">
        <v>73</v>
      </c>
      <c r="E190" s="11" t="s">
        <v>62</v>
      </c>
      <c r="F190" s="11" t="s">
        <v>124</v>
      </c>
      <c r="G190" s="15">
        <v>46048</v>
      </c>
      <c r="H190" s="10" t="str">
        <f>IFERROR(INDEX(面试清单!H:H,MATCH(189,面试清单!P:P,0)),"")</f>
        <v/>
      </c>
      <c r="I190" s="13" t="s">
        <v>29</v>
      </c>
      <c r="J190" s="10">
        <f ca="1" t="shared" si="7"/>
        <v>141</v>
      </c>
      <c r="K190" s="10">
        <f ca="1" t="shared" si="8"/>
        <v>16</v>
      </c>
    </row>
    <row r="191" ht="18" spans="1:11">
      <c r="A191" s="14">
        <f t="shared" si="6"/>
        <v>190</v>
      </c>
      <c r="B191" s="11" t="s">
        <v>4142</v>
      </c>
      <c r="C191" s="14" t="str">
        <f>IFERROR(INDEX(面试清单!D:D,MATCH(190,面试清单!P:P,0)),"")</f>
        <v/>
      </c>
      <c r="D191" s="11" t="s">
        <v>42</v>
      </c>
      <c r="E191" s="11" t="s">
        <v>63</v>
      </c>
      <c r="F191" s="11" t="s">
        <v>307</v>
      </c>
      <c r="G191" s="15">
        <v>46048</v>
      </c>
      <c r="H191" s="14" t="str">
        <f>IFERROR(INDEX(面试清单!H:H,MATCH(190,面试清单!P:P,0)),"")</f>
        <v/>
      </c>
      <c r="I191" s="13" t="s">
        <v>29</v>
      </c>
      <c r="J191" s="14">
        <f ca="1" t="shared" si="7"/>
        <v>141</v>
      </c>
      <c r="K191" s="14">
        <f ca="1" t="shared" si="8"/>
        <v>16</v>
      </c>
    </row>
    <row r="192" ht="18" spans="1:11">
      <c r="A192" s="10">
        <f t="shared" si="6"/>
        <v>191</v>
      </c>
      <c r="B192" s="11" t="s">
        <v>4143</v>
      </c>
      <c r="C192" s="10" t="str">
        <f>IFERROR(INDEX(面试清单!D:D,MATCH(191,面试清单!P:P,0)),"")</f>
        <v/>
      </c>
      <c r="D192" s="11" t="s">
        <v>43</v>
      </c>
      <c r="E192" s="11" t="s">
        <v>62</v>
      </c>
      <c r="F192" s="11" t="s">
        <v>690</v>
      </c>
      <c r="G192" s="15">
        <v>46048</v>
      </c>
      <c r="H192" s="10" t="str">
        <f>IFERROR(INDEX(面试清单!H:H,MATCH(191,面试清单!P:P,0)),"")</f>
        <v/>
      </c>
      <c r="I192" s="13" t="s">
        <v>29</v>
      </c>
      <c r="J192" s="10">
        <f ca="1" t="shared" si="7"/>
        <v>141</v>
      </c>
      <c r="K192" s="10">
        <f ca="1" t="shared" si="8"/>
        <v>16</v>
      </c>
    </row>
    <row r="193" ht="18" spans="1:11">
      <c r="A193" s="14">
        <f t="shared" si="6"/>
        <v>192</v>
      </c>
      <c r="B193" s="11" t="s">
        <v>2492</v>
      </c>
      <c r="C193" s="14" t="str">
        <f>IFERROR(INDEX(面试清单!D:D,MATCH(192,面试清单!P:P,0)),"")</f>
        <v/>
      </c>
      <c r="D193" s="11" t="s">
        <v>43</v>
      </c>
      <c r="E193" s="11" t="s">
        <v>62</v>
      </c>
      <c r="F193" s="11" t="s">
        <v>129</v>
      </c>
      <c r="G193" s="15">
        <v>46048</v>
      </c>
      <c r="H193" s="14" t="str">
        <f>IFERROR(INDEX(面试清单!H:H,MATCH(192,面试清单!P:P,0)),"")</f>
        <v/>
      </c>
      <c r="I193" s="13" t="s">
        <v>29</v>
      </c>
      <c r="J193" s="14">
        <f ca="1" t="shared" si="7"/>
        <v>141</v>
      </c>
      <c r="K193" s="14">
        <f ca="1" t="shared" si="8"/>
        <v>16</v>
      </c>
    </row>
    <row r="194" ht="18" spans="1:11">
      <c r="A194" s="10">
        <f t="shared" ref="A194:A257" si="9">IF(B194&lt;&gt;"",ROW()-1,"")</f>
        <v>193</v>
      </c>
      <c r="B194" s="11" t="s">
        <v>4144</v>
      </c>
      <c r="C194" s="10" t="str">
        <f>IFERROR(INDEX(面试清单!D:D,MATCH(193,面试清单!P:P,0)),"")</f>
        <v/>
      </c>
      <c r="D194" s="11" t="s">
        <v>43</v>
      </c>
      <c r="E194" s="11" t="s">
        <v>62</v>
      </c>
      <c r="F194" s="11" t="s">
        <v>129</v>
      </c>
      <c r="G194" s="15">
        <v>46048</v>
      </c>
      <c r="H194" s="10" t="str">
        <f>IFERROR(INDEX(面试清单!H:H,MATCH(193,面试清单!P:P,0)),"")</f>
        <v/>
      </c>
      <c r="I194" s="13" t="s">
        <v>29</v>
      </c>
      <c r="J194" s="10">
        <f ca="1" t="shared" ref="J194:J257" si="10">IF(G194&lt;&gt;"",TODAY()-G194,"")</f>
        <v>141</v>
      </c>
      <c r="K194" s="10">
        <f ca="1" t="shared" ref="K194:K257" si="11">IF(G194&lt;&gt;"",MAX(0,MIN(TODAY(),EOMONTH(TODAY(),0))-MAX(G194,EOMONTH(TODAY(),-1)+1)+1),"")</f>
        <v>16</v>
      </c>
    </row>
    <row r="195" ht="18" spans="1:11">
      <c r="A195" s="14">
        <f t="shared" si="9"/>
        <v>194</v>
      </c>
      <c r="B195" s="11" t="s">
        <v>4145</v>
      </c>
      <c r="C195" s="124" t="str">
        <f>IFERROR(INDEX(面试清单!D:D,MATCH(194,面试清单!P:P,0)),"")</f>
        <v>0209</v>
      </c>
      <c r="D195" s="11" t="s">
        <v>42</v>
      </c>
      <c r="E195" s="11" t="s">
        <v>63</v>
      </c>
      <c r="F195" s="11" t="s">
        <v>124</v>
      </c>
      <c r="G195" s="15">
        <v>46049</v>
      </c>
      <c r="H195" s="14" t="str">
        <f>IFERROR(INDEX(面试清单!H:H,MATCH(194,面试清单!P:P,0)),"")</f>
        <v>线下</v>
      </c>
      <c r="I195" s="13" t="s">
        <v>29</v>
      </c>
      <c r="J195" s="14">
        <f ca="1" t="shared" si="10"/>
        <v>140</v>
      </c>
      <c r="K195" s="14">
        <f ca="1" t="shared" si="11"/>
        <v>16</v>
      </c>
    </row>
    <row r="196" ht="18" spans="1:11">
      <c r="A196" s="10">
        <f t="shared" si="9"/>
        <v>195</v>
      </c>
      <c r="B196" s="11" t="s">
        <v>4146</v>
      </c>
      <c r="C196" s="125" t="str">
        <f>IFERROR(INDEX(面试清单!D:D,MATCH(195,面试清单!P:P,0)),"")</f>
        <v>0212</v>
      </c>
      <c r="D196" s="11" t="s">
        <v>43</v>
      </c>
      <c r="E196" s="11" t="s">
        <v>62</v>
      </c>
      <c r="F196" s="11" t="s">
        <v>103</v>
      </c>
      <c r="G196" s="15">
        <v>46049</v>
      </c>
      <c r="H196" s="10" t="str">
        <f>IFERROR(INDEX(面试清单!H:H,MATCH(195,面试清单!P:P,0)),"")</f>
        <v>线下</v>
      </c>
      <c r="I196" s="13" t="s">
        <v>29</v>
      </c>
      <c r="J196" s="10">
        <f ca="1" t="shared" si="10"/>
        <v>140</v>
      </c>
      <c r="K196" s="10">
        <f ca="1" t="shared" si="11"/>
        <v>16</v>
      </c>
    </row>
    <row r="197" ht="18" spans="1:11">
      <c r="A197" s="14">
        <f t="shared" si="9"/>
        <v>196</v>
      </c>
      <c r="B197" s="11" t="s">
        <v>4147</v>
      </c>
      <c r="C197" s="124" t="str">
        <f>IFERROR(INDEX(面试清单!D:D,MATCH(196,面试清单!P:P,0)),"")</f>
        <v>0214</v>
      </c>
      <c r="D197" s="11" t="s">
        <v>43</v>
      </c>
      <c r="E197" s="11" t="s">
        <v>62</v>
      </c>
      <c r="F197" s="11" t="s">
        <v>103</v>
      </c>
      <c r="G197" s="15">
        <v>46051</v>
      </c>
      <c r="H197" s="14" t="str">
        <f>IFERROR(INDEX(面试清单!H:H,MATCH(196,面试清单!P:P,0)),"")</f>
        <v>线下</v>
      </c>
      <c r="I197" s="13" t="s">
        <v>29</v>
      </c>
      <c r="J197" s="14">
        <f ca="1" t="shared" si="10"/>
        <v>138</v>
      </c>
      <c r="K197" s="14">
        <f ca="1" t="shared" si="11"/>
        <v>16</v>
      </c>
    </row>
    <row r="198" ht="18" spans="1:11">
      <c r="A198" s="10">
        <f t="shared" si="9"/>
        <v>197</v>
      </c>
      <c r="B198" s="11" t="s">
        <v>4148</v>
      </c>
      <c r="C198" s="125" t="str">
        <f>IFERROR(INDEX(面试清单!D:D,MATCH(197,面试清单!P:P,0)),"")</f>
        <v>0217</v>
      </c>
      <c r="D198" s="11" t="s">
        <v>42</v>
      </c>
      <c r="E198" s="11" t="s">
        <v>63</v>
      </c>
      <c r="F198" s="11" t="s">
        <v>179</v>
      </c>
      <c r="G198" s="15">
        <v>46051</v>
      </c>
      <c r="H198" s="10" t="str">
        <f>IFERROR(INDEX(面试清单!H:H,MATCH(197,面试清单!P:P,0)),"")</f>
        <v>线下</v>
      </c>
      <c r="I198" s="13" t="s">
        <v>29</v>
      </c>
      <c r="J198" s="10">
        <f ca="1" t="shared" si="10"/>
        <v>138</v>
      </c>
      <c r="K198" s="10">
        <f ca="1" t="shared" si="11"/>
        <v>16</v>
      </c>
    </row>
    <row r="199" ht="18" spans="1:11">
      <c r="A199" s="14">
        <f t="shared" si="9"/>
        <v>198</v>
      </c>
      <c r="B199" s="11" t="s">
        <v>4149</v>
      </c>
      <c r="C199" s="124" t="str">
        <f>IFERROR(INDEX(面试清单!D:D,MATCH(198,面试清单!P:P,0)),"")</f>
        <v>0218</v>
      </c>
      <c r="D199" s="11" t="s">
        <v>43</v>
      </c>
      <c r="E199" s="11" t="s">
        <v>62</v>
      </c>
      <c r="F199" s="11" t="s">
        <v>124</v>
      </c>
      <c r="G199" s="15">
        <v>46051</v>
      </c>
      <c r="H199" s="14" t="str">
        <f>IFERROR(INDEX(面试清单!H:H,MATCH(198,面试清单!P:P,0)),"")</f>
        <v>线下</v>
      </c>
      <c r="I199" s="13" t="s">
        <v>29</v>
      </c>
      <c r="J199" s="14">
        <f ca="1" t="shared" si="10"/>
        <v>138</v>
      </c>
      <c r="K199" s="14">
        <f ca="1" t="shared" si="11"/>
        <v>16</v>
      </c>
    </row>
    <row r="200" ht="18" spans="1:11">
      <c r="A200" s="10">
        <f t="shared" si="9"/>
        <v>199</v>
      </c>
      <c r="B200" s="11" t="s">
        <v>4150</v>
      </c>
      <c r="C200" s="125" t="str">
        <f>IFERROR(INDEX(面试清单!D:D,MATCH(199,面试清单!P:P,0)),"")</f>
        <v>0220</v>
      </c>
      <c r="D200" s="11" t="s">
        <v>42</v>
      </c>
      <c r="E200" s="11" t="s">
        <v>63</v>
      </c>
      <c r="F200" s="11" t="s">
        <v>530</v>
      </c>
      <c r="G200" s="15">
        <v>46052</v>
      </c>
      <c r="H200" s="10" t="str">
        <f>IFERROR(INDEX(面试清单!H:H,MATCH(199,面试清单!P:P,0)),"")</f>
        <v>线下</v>
      </c>
      <c r="I200" s="13" t="s">
        <v>29</v>
      </c>
      <c r="J200" s="10">
        <f ca="1" t="shared" si="10"/>
        <v>137</v>
      </c>
      <c r="K200" s="10">
        <f ca="1" t="shared" si="11"/>
        <v>16</v>
      </c>
    </row>
    <row r="201" ht="18" spans="1:11">
      <c r="A201" s="14">
        <f t="shared" si="9"/>
        <v>200</v>
      </c>
      <c r="B201" s="11" t="s">
        <v>4151</v>
      </c>
      <c r="C201" s="124" t="str">
        <f>IFERROR(INDEX(面试清单!D:D,MATCH(200,面试清单!P:P,0)),"")</f>
        <v>0221</v>
      </c>
      <c r="D201" s="11" t="s">
        <v>42</v>
      </c>
      <c r="E201" s="11" t="s">
        <v>62</v>
      </c>
      <c r="F201" s="11" t="s">
        <v>110</v>
      </c>
      <c r="G201" s="15">
        <v>46052</v>
      </c>
      <c r="H201" s="14" t="str">
        <f>IFERROR(INDEX(面试清单!H:H,MATCH(200,面试清单!P:P,0)),"")</f>
        <v>线下</v>
      </c>
      <c r="I201" s="13" t="s">
        <v>29</v>
      </c>
      <c r="J201" s="14">
        <f ca="1" t="shared" si="10"/>
        <v>137</v>
      </c>
      <c r="K201" s="14">
        <f ca="1" t="shared" si="11"/>
        <v>16</v>
      </c>
    </row>
    <row r="202" ht="18" spans="1:11">
      <c r="A202" s="10">
        <f t="shared" si="9"/>
        <v>201</v>
      </c>
      <c r="B202" s="11" t="s">
        <v>4152</v>
      </c>
      <c r="C202" s="10" t="str">
        <f>IFERROR(INDEX(面试清单!D:D,MATCH(201,面试清单!P:P,0)),"")</f>
        <v/>
      </c>
      <c r="D202" s="11" t="s">
        <v>42</v>
      </c>
      <c r="E202" s="11" t="s">
        <v>62</v>
      </c>
      <c r="F202" s="11" t="s">
        <v>233</v>
      </c>
      <c r="G202" s="15">
        <v>46052</v>
      </c>
      <c r="H202" s="10" t="str">
        <f>IFERROR(INDEX(面试清单!H:H,MATCH(201,面试清单!P:P,0)),"")</f>
        <v/>
      </c>
      <c r="I202" s="13" t="s">
        <v>29</v>
      </c>
      <c r="J202" s="10">
        <f ca="1" t="shared" si="10"/>
        <v>137</v>
      </c>
      <c r="K202" s="10">
        <f ca="1" t="shared" si="11"/>
        <v>16</v>
      </c>
    </row>
    <row r="203" ht="18" spans="1:11">
      <c r="A203" s="14">
        <f t="shared" si="9"/>
        <v>202</v>
      </c>
      <c r="B203" s="11" t="s">
        <v>4153</v>
      </c>
      <c r="C203" s="14" t="str">
        <f>IFERROR(INDEX(面试清单!D:D,MATCH(202,面试清单!P:P,0)),"")</f>
        <v/>
      </c>
      <c r="D203" s="11" t="s">
        <v>43</v>
      </c>
      <c r="E203" s="11" t="s">
        <v>62</v>
      </c>
      <c r="F203" s="11" t="s">
        <v>103</v>
      </c>
      <c r="G203" s="15">
        <v>46052</v>
      </c>
      <c r="H203" s="14" t="str">
        <f>IFERROR(INDEX(面试清单!H:H,MATCH(202,面试清单!P:P,0)),"")</f>
        <v/>
      </c>
      <c r="I203" s="13" t="s">
        <v>29</v>
      </c>
      <c r="J203" s="14">
        <f ca="1" t="shared" si="10"/>
        <v>137</v>
      </c>
      <c r="K203" s="14">
        <f ca="1" t="shared" si="11"/>
        <v>16</v>
      </c>
    </row>
    <row r="204" ht="18" spans="1:11">
      <c r="A204" s="10">
        <f t="shared" si="9"/>
        <v>203</v>
      </c>
      <c r="B204" s="11" t="s">
        <v>4154</v>
      </c>
      <c r="C204" s="125" t="str">
        <f>IFERROR(INDEX(面试清单!D:D,MATCH(203,面试清单!P:P,0)),"")</f>
        <v>0209</v>
      </c>
      <c r="D204" s="11" t="s">
        <v>43</v>
      </c>
      <c r="E204" s="11" t="s">
        <v>62</v>
      </c>
      <c r="F204" s="11" t="s">
        <v>179</v>
      </c>
      <c r="G204" s="15">
        <v>46052</v>
      </c>
      <c r="H204" s="10" t="str">
        <f>IFERROR(INDEX(面试清单!H:H,MATCH(203,面试清单!P:P,0)),"")</f>
        <v>线下</v>
      </c>
      <c r="I204" s="13" t="s">
        <v>29</v>
      </c>
      <c r="J204" s="10">
        <f ca="1" t="shared" si="10"/>
        <v>137</v>
      </c>
      <c r="K204" s="10">
        <f ca="1" t="shared" si="11"/>
        <v>16</v>
      </c>
    </row>
    <row r="205" ht="18" spans="1:11">
      <c r="A205" s="14">
        <f t="shared" si="9"/>
        <v>204</v>
      </c>
      <c r="B205" s="11" t="s">
        <v>4155</v>
      </c>
      <c r="C205" s="14" t="str">
        <f>IFERROR(INDEX(面试清单!D:D,MATCH(204,面试清单!P:P,0)),"")</f>
        <v/>
      </c>
      <c r="D205" s="11" t="s">
        <v>43</v>
      </c>
      <c r="E205" s="11" t="s">
        <v>62</v>
      </c>
      <c r="F205" s="11" t="s">
        <v>179</v>
      </c>
      <c r="G205" s="15">
        <v>46052</v>
      </c>
      <c r="H205" s="14" t="str">
        <f>IFERROR(INDEX(面试清单!H:H,MATCH(204,面试清单!P:P,0)),"")</f>
        <v/>
      </c>
      <c r="I205" s="13" t="s">
        <v>29</v>
      </c>
      <c r="J205" s="14">
        <f ca="1" t="shared" si="10"/>
        <v>137</v>
      </c>
      <c r="K205" s="14">
        <f ca="1" t="shared" si="11"/>
        <v>16</v>
      </c>
    </row>
    <row r="206" ht="18" spans="1:11">
      <c r="A206" s="10">
        <f t="shared" si="9"/>
        <v>205</v>
      </c>
      <c r="B206" s="11" t="s">
        <v>4156</v>
      </c>
      <c r="C206" s="10" t="str">
        <f>IFERROR(INDEX(面试清单!D:D,MATCH(205,面试清单!P:P,0)),"")</f>
        <v/>
      </c>
      <c r="D206" s="11" t="s">
        <v>42</v>
      </c>
      <c r="E206" s="11" t="s">
        <v>64</v>
      </c>
      <c r="F206" s="11" t="s">
        <v>179</v>
      </c>
      <c r="G206" s="15">
        <v>46052</v>
      </c>
      <c r="H206" s="10" t="str">
        <f>IFERROR(INDEX(面试清单!H:H,MATCH(205,面试清单!P:P,0)),"")</f>
        <v/>
      </c>
      <c r="I206" s="13" t="s">
        <v>29</v>
      </c>
      <c r="J206" s="10">
        <f ca="1" t="shared" si="10"/>
        <v>137</v>
      </c>
      <c r="K206" s="10">
        <f ca="1" t="shared" si="11"/>
        <v>16</v>
      </c>
    </row>
    <row r="207" ht="18" spans="1:11">
      <c r="A207" s="14">
        <f t="shared" si="9"/>
        <v>206</v>
      </c>
      <c r="B207" s="11" t="s">
        <v>4157</v>
      </c>
      <c r="C207" s="14" t="str">
        <f>IFERROR(INDEX(面试清单!D:D,MATCH(206,面试清单!P:P,0)),"")</f>
        <v/>
      </c>
      <c r="D207" s="11" t="s">
        <v>42</v>
      </c>
      <c r="E207" s="11" t="s">
        <v>64</v>
      </c>
      <c r="F207" s="11" t="s">
        <v>179</v>
      </c>
      <c r="G207" s="15">
        <v>46052</v>
      </c>
      <c r="H207" s="14" t="str">
        <f>IFERROR(INDEX(面试清单!H:H,MATCH(206,面试清单!P:P,0)),"")</f>
        <v/>
      </c>
      <c r="I207" s="13" t="s">
        <v>29</v>
      </c>
      <c r="J207" s="14">
        <f ca="1" t="shared" si="10"/>
        <v>137</v>
      </c>
      <c r="K207" s="14">
        <f ca="1" t="shared" si="11"/>
        <v>16</v>
      </c>
    </row>
    <row r="208" ht="18" spans="1:11">
      <c r="A208" s="10">
        <f t="shared" si="9"/>
        <v>207</v>
      </c>
      <c r="B208" s="11" t="s">
        <v>4158</v>
      </c>
      <c r="C208" s="10" t="str">
        <f>IFERROR(INDEX(面试清单!D:D,MATCH(207,面试清单!P:P,0)),"")</f>
        <v/>
      </c>
      <c r="D208" s="11" t="s">
        <v>42</v>
      </c>
      <c r="E208" s="11" t="s">
        <v>62</v>
      </c>
      <c r="F208" s="11" t="s">
        <v>103</v>
      </c>
      <c r="G208" s="15">
        <v>46052</v>
      </c>
      <c r="H208" s="10" t="str">
        <f>IFERROR(INDEX(面试清单!H:H,MATCH(207,面试清单!P:P,0)),"")</f>
        <v/>
      </c>
      <c r="I208" s="13" t="s">
        <v>29</v>
      </c>
      <c r="J208" s="10">
        <f ca="1" t="shared" si="10"/>
        <v>137</v>
      </c>
      <c r="K208" s="10">
        <f ca="1" t="shared" si="11"/>
        <v>16</v>
      </c>
    </row>
    <row r="209" ht="18" spans="1:11">
      <c r="A209" s="14">
        <f t="shared" si="9"/>
        <v>208</v>
      </c>
      <c r="B209" s="11" t="s">
        <v>4159</v>
      </c>
      <c r="C209" s="124" t="str">
        <f>IFERROR(INDEX(面试清单!D:D,MATCH(208,面试清单!P:P,0)),"")</f>
        <v>0220</v>
      </c>
      <c r="D209" s="11" t="s">
        <v>43</v>
      </c>
      <c r="E209" s="11" t="s">
        <v>62</v>
      </c>
      <c r="F209" s="11" t="s">
        <v>179</v>
      </c>
      <c r="G209" s="15">
        <v>46052</v>
      </c>
      <c r="H209" s="14" t="str">
        <f>IFERROR(INDEX(面试清单!H:H,MATCH(208,面试清单!P:P,0)),"")</f>
        <v>线下</v>
      </c>
      <c r="I209" s="13" t="s">
        <v>29</v>
      </c>
      <c r="J209" s="14">
        <f ca="1" t="shared" si="10"/>
        <v>137</v>
      </c>
      <c r="K209" s="14">
        <f ca="1" t="shared" si="11"/>
        <v>16</v>
      </c>
    </row>
    <row r="210" ht="18" spans="1:11">
      <c r="A210" s="10">
        <f t="shared" si="9"/>
        <v>209</v>
      </c>
      <c r="B210" s="11" t="s">
        <v>4160</v>
      </c>
      <c r="C210" s="10" t="str">
        <f>IFERROR(INDEX(面试清单!D:D,MATCH(209,面试清单!P:P,0)),"")</f>
        <v/>
      </c>
      <c r="D210" s="11" t="s">
        <v>42</v>
      </c>
      <c r="E210" s="11" t="s">
        <v>63</v>
      </c>
      <c r="F210" s="11" t="s">
        <v>179</v>
      </c>
      <c r="G210" s="15">
        <v>46053</v>
      </c>
      <c r="H210" s="10" t="str">
        <f>IFERROR(INDEX(面试清单!H:H,MATCH(209,面试清单!P:P,0)),"")</f>
        <v/>
      </c>
      <c r="I210" s="13" t="s">
        <v>29</v>
      </c>
      <c r="J210" s="10">
        <f ca="1" t="shared" si="10"/>
        <v>136</v>
      </c>
      <c r="K210" s="10">
        <f ca="1" t="shared" si="11"/>
        <v>16</v>
      </c>
    </row>
    <row r="211" ht="18" spans="1:11">
      <c r="A211" s="14">
        <f t="shared" si="9"/>
        <v>210</v>
      </c>
      <c r="B211" s="11" t="s">
        <v>4161</v>
      </c>
      <c r="C211" s="14" t="str">
        <f>IFERROR(INDEX(面试清单!D:D,MATCH(210,面试清单!P:P,0)),"")</f>
        <v/>
      </c>
      <c r="D211" s="11" t="s">
        <v>42</v>
      </c>
      <c r="E211" s="11" t="s">
        <v>62</v>
      </c>
      <c r="F211" s="11" t="s">
        <v>103</v>
      </c>
      <c r="G211" s="15">
        <v>46053</v>
      </c>
      <c r="H211" s="14" t="str">
        <f>IFERROR(INDEX(面试清单!H:H,MATCH(210,面试清单!P:P,0)),"")</f>
        <v/>
      </c>
      <c r="I211" s="13" t="s">
        <v>29</v>
      </c>
      <c r="J211" s="14">
        <f ca="1" t="shared" si="10"/>
        <v>136</v>
      </c>
      <c r="K211" s="14">
        <f ca="1" t="shared" si="11"/>
        <v>16</v>
      </c>
    </row>
    <row r="212" ht="18" spans="1:11">
      <c r="A212" s="10">
        <f t="shared" si="9"/>
        <v>211</v>
      </c>
      <c r="B212" s="11" t="s">
        <v>4162</v>
      </c>
      <c r="C212" s="125" t="str">
        <f>IFERROR(INDEX(面试清单!D:D,MATCH(211,面试清单!P:P,0)),"")</f>
        <v>0208</v>
      </c>
      <c r="D212" s="11" t="s">
        <v>43</v>
      </c>
      <c r="E212" s="11" t="s">
        <v>62</v>
      </c>
      <c r="F212" s="11" t="s">
        <v>103</v>
      </c>
      <c r="G212" s="15">
        <v>46053</v>
      </c>
      <c r="H212" s="10" t="str">
        <f>IFERROR(INDEX(面试清单!H:H,MATCH(211,面试清单!P:P,0)),"")</f>
        <v>线下</v>
      </c>
      <c r="I212" s="13" t="s">
        <v>29</v>
      </c>
      <c r="J212" s="10">
        <f ca="1" t="shared" si="10"/>
        <v>136</v>
      </c>
      <c r="K212" s="10">
        <f ca="1" t="shared" si="11"/>
        <v>16</v>
      </c>
    </row>
    <row r="213" ht="18" spans="1:11">
      <c r="A213" s="14">
        <f t="shared" si="9"/>
        <v>212</v>
      </c>
      <c r="B213" s="11" t="s">
        <v>4163</v>
      </c>
      <c r="C213" s="124" t="str">
        <f>IFERROR(INDEX(面试清单!D:D,MATCH(212,面试清单!P:P,0)),"")</f>
        <v>0209</v>
      </c>
      <c r="D213" s="11" t="s">
        <v>42</v>
      </c>
      <c r="E213" s="11" t="s">
        <v>62</v>
      </c>
      <c r="F213" s="11" t="s">
        <v>233</v>
      </c>
      <c r="G213" s="15">
        <v>46053</v>
      </c>
      <c r="H213" s="14" t="str">
        <f>IFERROR(INDEX(面试清单!H:H,MATCH(212,面试清单!P:P,0)),"")</f>
        <v>线下</v>
      </c>
      <c r="I213" s="13" t="s">
        <v>29</v>
      </c>
      <c r="J213" s="14">
        <f ca="1" t="shared" si="10"/>
        <v>136</v>
      </c>
      <c r="K213" s="14">
        <f ca="1" t="shared" si="11"/>
        <v>16</v>
      </c>
    </row>
    <row r="214" ht="18" spans="1:11">
      <c r="A214" s="10">
        <f t="shared" si="9"/>
        <v>213</v>
      </c>
      <c r="B214" s="11" t="s">
        <v>4164</v>
      </c>
      <c r="C214" s="125" t="str">
        <f>IFERROR(INDEX(面试清单!D:D,MATCH(213,面试清单!P:P,0)),"")</f>
        <v>0212</v>
      </c>
      <c r="D214" s="11" t="s">
        <v>73</v>
      </c>
      <c r="E214" s="11" t="s">
        <v>62</v>
      </c>
      <c r="F214" s="11" t="s">
        <v>124</v>
      </c>
      <c r="G214" s="15">
        <v>46053</v>
      </c>
      <c r="H214" s="10" t="str">
        <f>IFERROR(INDEX(面试清单!H:H,MATCH(213,面试清单!P:P,0)),"")</f>
        <v>线下</v>
      </c>
      <c r="I214" s="13" t="s">
        <v>29</v>
      </c>
      <c r="J214" s="10">
        <f ca="1" t="shared" si="10"/>
        <v>136</v>
      </c>
      <c r="K214" s="10">
        <f ca="1" t="shared" si="11"/>
        <v>16</v>
      </c>
    </row>
    <row r="215" ht="18" spans="1:11">
      <c r="A215" s="14">
        <f t="shared" si="9"/>
        <v>214</v>
      </c>
      <c r="B215" s="11" t="s">
        <v>4165</v>
      </c>
      <c r="C215" s="124" t="str">
        <f>IFERROR(INDEX(面试清单!D:D,MATCH(214,面试清单!P:P,0)),"")</f>
        <v>0214</v>
      </c>
      <c r="D215" s="11" t="s">
        <v>42</v>
      </c>
      <c r="E215" s="11" t="s">
        <v>62</v>
      </c>
      <c r="F215" s="11" t="s">
        <v>103</v>
      </c>
      <c r="G215" s="15">
        <v>46053</v>
      </c>
      <c r="H215" s="14" t="str">
        <f>IFERROR(INDEX(面试清单!H:H,MATCH(214,面试清单!P:P,0)),"")</f>
        <v>线下</v>
      </c>
      <c r="I215" s="13" t="s">
        <v>29</v>
      </c>
      <c r="J215" s="14">
        <f ca="1" t="shared" si="10"/>
        <v>136</v>
      </c>
      <c r="K215" s="14">
        <f ca="1" t="shared" si="11"/>
        <v>16</v>
      </c>
    </row>
    <row r="216" ht="18" spans="1:11">
      <c r="A216" s="10">
        <f t="shared" si="9"/>
        <v>215</v>
      </c>
      <c r="B216" s="11" t="s">
        <v>4166</v>
      </c>
      <c r="C216" s="10" t="str">
        <f>IFERROR(INDEX(面试清单!D:D,MATCH(215,面试清单!P:P,0)),"")</f>
        <v/>
      </c>
      <c r="D216" s="11" t="s">
        <v>42</v>
      </c>
      <c r="E216" s="11" t="s">
        <v>62</v>
      </c>
      <c r="F216" s="11" t="s">
        <v>233</v>
      </c>
      <c r="G216" s="15">
        <v>46053</v>
      </c>
      <c r="H216" s="10" t="str">
        <f>IFERROR(INDEX(面试清单!H:H,MATCH(215,面试清单!P:P,0)),"")</f>
        <v/>
      </c>
      <c r="I216" s="13" t="s">
        <v>29</v>
      </c>
      <c r="J216" s="10">
        <f ca="1" t="shared" si="10"/>
        <v>136</v>
      </c>
      <c r="K216" s="10">
        <f ca="1" t="shared" si="11"/>
        <v>16</v>
      </c>
    </row>
    <row r="217" ht="18" spans="1:11">
      <c r="A217" s="14">
        <f t="shared" si="9"/>
        <v>216</v>
      </c>
      <c r="B217" s="11" t="s">
        <v>4167</v>
      </c>
      <c r="C217" s="124" t="str">
        <f>IFERROR(INDEX(面试清单!D:D,MATCH(216,面试清单!P:P,0)),"")</f>
        <v>0218</v>
      </c>
      <c r="D217" s="11" t="s">
        <v>42</v>
      </c>
      <c r="E217" s="11" t="s">
        <v>62</v>
      </c>
      <c r="F217" s="11" t="s">
        <v>129</v>
      </c>
      <c r="G217" s="15">
        <v>46054</v>
      </c>
      <c r="H217" s="14" t="str">
        <f>IFERROR(INDEX(面试清单!H:H,MATCH(216,面试清单!P:P,0)),"")</f>
        <v>线下</v>
      </c>
      <c r="I217" s="13" t="s">
        <v>29</v>
      </c>
      <c r="J217" s="14">
        <f ca="1" t="shared" si="10"/>
        <v>135</v>
      </c>
      <c r="K217" s="14">
        <f ca="1" t="shared" si="11"/>
        <v>16</v>
      </c>
    </row>
    <row r="218" ht="18" spans="1:11">
      <c r="A218" s="10">
        <f t="shared" si="9"/>
        <v>217</v>
      </c>
      <c r="B218" s="11" t="s">
        <v>4168</v>
      </c>
      <c r="C218" s="10" t="str">
        <f>IFERROR(INDEX(面试清单!D:D,MATCH(217,面试清单!P:P,0)),"")</f>
        <v/>
      </c>
      <c r="D218" s="11" t="s">
        <v>73</v>
      </c>
      <c r="E218" s="11" t="s">
        <v>62</v>
      </c>
      <c r="F218" s="11" t="s">
        <v>129</v>
      </c>
      <c r="G218" s="15">
        <v>46054</v>
      </c>
      <c r="H218" s="10" t="str">
        <f>IFERROR(INDEX(面试清单!H:H,MATCH(217,面试清单!P:P,0)),"")</f>
        <v/>
      </c>
      <c r="I218" s="13" t="s">
        <v>29</v>
      </c>
      <c r="J218" s="10">
        <f ca="1" t="shared" si="10"/>
        <v>135</v>
      </c>
      <c r="K218" s="10">
        <f ca="1" t="shared" si="11"/>
        <v>16</v>
      </c>
    </row>
    <row r="219" ht="18" spans="1:11">
      <c r="A219" s="14">
        <f t="shared" si="9"/>
        <v>218</v>
      </c>
      <c r="B219" s="11" t="s">
        <v>4169</v>
      </c>
      <c r="C219" s="124" t="str">
        <f>IFERROR(INDEX(面试清单!D:D,MATCH(218,面试清单!P:P,0)),"")</f>
        <v>0221</v>
      </c>
      <c r="D219" s="11" t="s">
        <v>42</v>
      </c>
      <c r="E219" s="11" t="s">
        <v>63</v>
      </c>
      <c r="F219" s="11" t="s">
        <v>307</v>
      </c>
      <c r="G219" s="15">
        <v>46054</v>
      </c>
      <c r="H219" s="14" t="str">
        <f>IFERROR(INDEX(面试清单!H:H,MATCH(218,面试清单!P:P,0)),"")</f>
        <v>线下</v>
      </c>
      <c r="I219" s="13" t="s">
        <v>29</v>
      </c>
      <c r="J219" s="14">
        <f ca="1" t="shared" si="10"/>
        <v>135</v>
      </c>
      <c r="K219" s="14">
        <f ca="1" t="shared" si="11"/>
        <v>16</v>
      </c>
    </row>
    <row r="220" ht="18" spans="1:11">
      <c r="A220" s="10">
        <f t="shared" si="9"/>
        <v>219</v>
      </c>
      <c r="B220" s="11" t="s">
        <v>4170</v>
      </c>
      <c r="C220" s="10" t="str">
        <f>IFERROR(INDEX(面试清单!D:D,MATCH(219,面试清单!P:P,0)),"")</f>
        <v/>
      </c>
      <c r="D220" s="11" t="s">
        <v>43</v>
      </c>
      <c r="E220" s="11" t="s">
        <v>62</v>
      </c>
      <c r="F220" s="11" t="s">
        <v>1006</v>
      </c>
      <c r="G220" s="15">
        <v>46055</v>
      </c>
      <c r="H220" s="10" t="str">
        <f>IFERROR(INDEX(面试清单!H:H,MATCH(219,面试清单!P:P,0)),"")</f>
        <v/>
      </c>
      <c r="I220" s="13" t="s">
        <v>29</v>
      </c>
      <c r="J220" s="10">
        <f ca="1" t="shared" si="10"/>
        <v>134</v>
      </c>
      <c r="K220" s="10">
        <f ca="1" t="shared" si="11"/>
        <v>16</v>
      </c>
    </row>
    <row r="221" ht="18" spans="1:11">
      <c r="A221" s="14">
        <f t="shared" si="9"/>
        <v>220</v>
      </c>
      <c r="B221" s="11" t="s">
        <v>4171</v>
      </c>
      <c r="C221" s="14" t="str">
        <f>IFERROR(INDEX(面试清单!D:D,MATCH(220,面试清单!P:P,0)),"")</f>
        <v/>
      </c>
      <c r="D221" s="11" t="s">
        <v>43</v>
      </c>
      <c r="E221" s="11" t="s">
        <v>62</v>
      </c>
      <c r="F221" s="11" t="s">
        <v>129</v>
      </c>
      <c r="G221" s="15">
        <v>46055</v>
      </c>
      <c r="H221" s="14" t="str">
        <f>IFERROR(INDEX(面试清单!H:H,MATCH(220,面试清单!P:P,0)),"")</f>
        <v/>
      </c>
      <c r="I221" s="13" t="s">
        <v>29</v>
      </c>
      <c r="J221" s="14">
        <f ca="1" t="shared" si="10"/>
        <v>134</v>
      </c>
      <c r="K221" s="14">
        <f ca="1" t="shared" si="11"/>
        <v>16</v>
      </c>
    </row>
    <row r="222" ht="18" spans="1:11">
      <c r="A222" s="10">
        <f t="shared" si="9"/>
        <v>221</v>
      </c>
      <c r="B222" s="11" t="s">
        <v>4172</v>
      </c>
      <c r="C222" s="10" t="str">
        <f>IFERROR(INDEX(面试清单!D:D,MATCH(221,面试清单!P:P,0)),"")</f>
        <v/>
      </c>
      <c r="D222" s="11" t="s">
        <v>42</v>
      </c>
      <c r="E222" s="11" t="s">
        <v>62</v>
      </c>
      <c r="F222" s="11" t="s">
        <v>129</v>
      </c>
      <c r="G222" s="15">
        <v>46055</v>
      </c>
      <c r="H222" s="10" t="str">
        <f>IFERROR(INDEX(面试清单!H:H,MATCH(221,面试清单!P:P,0)),"")</f>
        <v/>
      </c>
      <c r="I222" s="13" t="s">
        <v>29</v>
      </c>
      <c r="J222" s="10">
        <f ca="1" t="shared" si="10"/>
        <v>134</v>
      </c>
      <c r="K222" s="10">
        <f ca="1" t="shared" si="11"/>
        <v>16</v>
      </c>
    </row>
    <row r="223" ht="18" spans="1:11">
      <c r="A223" s="14">
        <f t="shared" si="9"/>
        <v>222</v>
      </c>
      <c r="B223" s="11" t="s">
        <v>4173</v>
      </c>
      <c r="C223" s="14" t="str">
        <f>IFERROR(INDEX(面试清单!D:D,MATCH(222,面试清单!P:P,0)),"")</f>
        <v/>
      </c>
      <c r="D223" s="11" t="s">
        <v>42</v>
      </c>
      <c r="E223" s="11" t="s">
        <v>63</v>
      </c>
      <c r="F223" s="11" t="s">
        <v>179</v>
      </c>
      <c r="G223" s="15">
        <v>46055</v>
      </c>
      <c r="H223" s="14" t="str">
        <f>IFERROR(INDEX(面试清单!H:H,MATCH(222,面试清单!P:P,0)),"")</f>
        <v/>
      </c>
      <c r="I223" s="13" t="s">
        <v>29</v>
      </c>
      <c r="J223" s="14">
        <f ca="1" t="shared" si="10"/>
        <v>134</v>
      </c>
      <c r="K223" s="14">
        <f ca="1" t="shared" si="11"/>
        <v>16</v>
      </c>
    </row>
    <row r="224" ht="18" spans="1:11">
      <c r="A224" s="10">
        <f t="shared" si="9"/>
        <v>223</v>
      </c>
      <c r="B224" s="11" t="s">
        <v>4174</v>
      </c>
      <c r="C224" s="10" t="str">
        <f>IFERROR(INDEX(面试清单!D:D,MATCH(223,面试清单!P:P,0)),"")</f>
        <v/>
      </c>
      <c r="D224" s="11" t="s">
        <v>43</v>
      </c>
      <c r="E224" s="11" t="s">
        <v>62</v>
      </c>
      <c r="F224" s="11" t="s">
        <v>124</v>
      </c>
      <c r="G224" s="15">
        <v>46055</v>
      </c>
      <c r="H224" s="10" t="str">
        <f>IFERROR(INDEX(面试清单!H:H,MATCH(223,面试清单!P:P,0)),"")</f>
        <v/>
      </c>
      <c r="I224" s="13" t="s">
        <v>29</v>
      </c>
      <c r="J224" s="10">
        <f ca="1" t="shared" si="10"/>
        <v>134</v>
      </c>
      <c r="K224" s="10">
        <f ca="1" t="shared" si="11"/>
        <v>16</v>
      </c>
    </row>
    <row r="225" ht="18" spans="1:11">
      <c r="A225" s="14">
        <f t="shared" si="9"/>
        <v>224</v>
      </c>
      <c r="B225" s="11" t="s">
        <v>4175</v>
      </c>
      <c r="C225" s="14" t="str">
        <f>IFERROR(INDEX(面试清单!D:D,MATCH(224,面试清单!P:P,0)),"")</f>
        <v/>
      </c>
      <c r="D225" s="11" t="s">
        <v>42</v>
      </c>
      <c r="E225" s="11" t="s">
        <v>62</v>
      </c>
      <c r="F225" s="11" t="s">
        <v>103</v>
      </c>
      <c r="G225" s="15">
        <v>46055</v>
      </c>
      <c r="H225" s="14" t="str">
        <f>IFERROR(INDEX(面试清单!H:H,MATCH(224,面试清单!P:P,0)),"")</f>
        <v/>
      </c>
      <c r="I225" s="13" t="s">
        <v>29</v>
      </c>
      <c r="J225" s="14">
        <f ca="1" t="shared" si="10"/>
        <v>134</v>
      </c>
      <c r="K225" s="14">
        <f ca="1" t="shared" si="11"/>
        <v>16</v>
      </c>
    </row>
    <row r="226" ht="18" spans="1:11">
      <c r="A226" s="10">
        <f t="shared" si="9"/>
        <v>225</v>
      </c>
      <c r="B226" s="11" t="s">
        <v>4176</v>
      </c>
      <c r="C226" s="10" t="str">
        <f>IFERROR(INDEX(面试清单!D:D,MATCH(225,面试清单!P:P,0)),"")</f>
        <v/>
      </c>
      <c r="D226" s="11" t="s">
        <v>42</v>
      </c>
      <c r="E226" s="11" t="s">
        <v>63</v>
      </c>
      <c r="F226" s="11" t="s">
        <v>233</v>
      </c>
      <c r="G226" s="15">
        <v>46055</v>
      </c>
      <c r="H226" s="10" t="str">
        <f>IFERROR(INDEX(面试清单!H:H,MATCH(225,面试清单!P:P,0)),"")</f>
        <v/>
      </c>
      <c r="I226" s="13" t="s">
        <v>29</v>
      </c>
      <c r="J226" s="10">
        <f ca="1" t="shared" si="10"/>
        <v>134</v>
      </c>
      <c r="K226" s="10">
        <f ca="1" t="shared" si="11"/>
        <v>16</v>
      </c>
    </row>
    <row r="227" ht="18" spans="1:11">
      <c r="A227" s="14">
        <f t="shared" si="9"/>
        <v>226</v>
      </c>
      <c r="B227" s="11" t="s">
        <v>4177</v>
      </c>
      <c r="C227" s="14" t="str">
        <f>IFERROR(INDEX(面试清单!D:D,MATCH(226,面试清单!P:P,0)),"")</f>
        <v/>
      </c>
      <c r="D227" s="11" t="s">
        <v>42</v>
      </c>
      <c r="E227" s="11" t="s">
        <v>63</v>
      </c>
      <c r="F227" s="11" t="s">
        <v>179</v>
      </c>
      <c r="G227" s="15">
        <v>46055</v>
      </c>
      <c r="H227" s="14" t="str">
        <f>IFERROR(INDEX(面试清单!H:H,MATCH(226,面试清单!P:P,0)),"")</f>
        <v/>
      </c>
      <c r="I227" s="13" t="s">
        <v>29</v>
      </c>
      <c r="J227" s="14">
        <f ca="1" t="shared" si="10"/>
        <v>134</v>
      </c>
      <c r="K227" s="14">
        <f ca="1" t="shared" si="11"/>
        <v>16</v>
      </c>
    </row>
    <row r="228" ht="18" spans="1:11">
      <c r="A228" s="10">
        <f t="shared" si="9"/>
        <v>227</v>
      </c>
      <c r="B228" s="11" t="s">
        <v>4178</v>
      </c>
      <c r="C228" s="10" t="str">
        <f>IFERROR(INDEX(面试清单!D:D,MATCH(227,面试清单!P:P,0)),"")</f>
        <v/>
      </c>
      <c r="D228" s="11" t="s">
        <v>43</v>
      </c>
      <c r="E228" s="11" t="s">
        <v>63</v>
      </c>
      <c r="F228" s="11" t="s">
        <v>179</v>
      </c>
      <c r="G228" s="15">
        <v>46055</v>
      </c>
      <c r="H228" s="10" t="str">
        <f>IFERROR(INDEX(面试清单!H:H,MATCH(227,面试清单!P:P,0)),"")</f>
        <v/>
      </c>
      <c r="I228" s="13" t="s">
        <v>29</v>
      </c>
      <c r="J228" s="10">
        <f ca="1" t="shared" si="10"/>
        <v>134</v>
      </c>
      <c r="K228" s="10">
        <f ca="1" t="shared" si="11"/>
        <v>16</v>
      </c>
    </row>
    <row r="229" ht="18" spans="1:11">
      <c r="A229" s="14">
        <f t="shared" si="9"/>
        <v>228</v>
      </c>
      <c r="B229" s="11" t="s">
        <v>4179</v>
      </c>
      <c r="C229" s="14" t="str">
        <f>IFERROR(INDEX(面试清单!D:D,MATCH(228,面试清单!P:P,0)),"")</f>
        <v/>
      </c>
      <c r="D229" s="11" t="s">
        <v>42</v>
      </c>
      <c r="E229" s="11" t="s">
        <v>62</v>
      </c>
      <c r="F229" s="11" t="s">
        <v>103</v>
      </c>
      <c r="G229" s="15">
        <v>46055</v>
      </c>
      <c r="H229" s="14" t="str">
        <f>IFERROR(INDEX(面试清单!H:H,MATCH(228,面试清单!P:P,0)),"")</f>
        <v/>
      </c>
      <c r="I229" s="13" t="s">
        <v>29</v>
      </c>
      <c r="J229" s="14">
        <f ca="1" t="shared" si="10"/>
        <v>134</v>
      </c>
      <c r="K229" s="14">
        <f ca="1" t="shared" si="11"/>
        <v>16</v>
      </c>
    </row>
    <row r="230" ht="18" spans="1:11">
      <c r="A230" s="10">
        <f t="shared" si="9"/>
        <v>229</v>
      </c>
      <c r="B230" s="11" t="s">
        <v>4180</v>
      </c>
      <c r="C230" s="10" t="str">
        <f>IFERROR(INDEX(面试清单!D:D,MATCH(229,面试清单!P:P,0)),"")</f>
        <v/>
      </c>
      <c r="D230" s="11" t="s">
        <v>43</v>
      </c>
      <c r="E230" s="11" t="s">
        <v>62</v>
      </c>
      <c r="F230" s="11" t="s">
        <v>179</v>
      </c>
      <c r="G230" s="15">
        <v>46055</v>
      </c>
      <c r="H230" s="10" t="str">
        <f>IFERROR(INDEX(面试清单!H:H,MATCH(229,面试清单!P:P,0)),"")</f>
        <v/>
      </c>
      <c r="I230" s="13" t="s">
        <v>29</v>
      </c>
      <c r="J230" s="10">
        <f ca="1" t="shared" si="10"/>
        <v>134</v>
      </c>
      <c r="K230" s="10">
        <f ca="1" t="shared" si="11"/>
        <v>16</v>
      </c>
    </row>
    <row r="231" ht="18" spans="1:11">
      <c r="A231" s="14">
        <f t="shared" si="9"/>
        <v>230</v>
      </c>
      <c r="B231" s="11" t="s">
        <v>4181</v>
      </c>
      <c r="C231" s="124" t="str">
        <f>IFERROR(INDEX(面试清单!D:D,MATCH(230,面试清单!P:P,0)),"")</f>
        <v>0208</v>
      </c>
      <c r="D231" s="11" t="s">
        <v>73</v>
      </c>
      <c r="E231" s="11" t="s">
        <v>62</v>
      </c>
      <c r="F231" s="11" t="s">
        <v>129</v>
      </c>
      <c r="G231" s="15">
        <v>46056</v>
      </c>
      <c r="H231" s="14" t="str">
        <f>IFERROR(INDEX(面试清单!H:H,MATCH(230,面试清单!P:P,0)),"")</f>
        <v>线下</v>
      </c>
      <c r="I231" s="13" t="s">
        <v>29</v>
      </c>
      <c r="J231" s="14">
        <f ca="1" t="shared" si="10"/>
        <v>133</v>
      </c>
      <c r="K231" s="14">
        <f ca="1" t="shared" si="11"/>
        <v>16</v>
      </c>
    </row>
    <row r="232" ht="18" spans="1:11">
      <c r="A232" s="10">
        <f t="shared" si="9"/>
        <v>231</v>
      </c>
      <c r="B232" s="11" t="s">
        <v>4182</v>
      </c>
      <c r="C232" s="10" t="str">
        <f>IFERROR(INDEX(面试清单!D:D,MATCH(231,面试清单!P:P,0)),"")</f>
        <v/>
      </c>
      <c r="D232" s="11" t="s">
        <v>73</v>
      </c>
      <c r="E232" s="11" t="s">
        <v>62</v>
      </c>
      <c r="F232" s="11" t="s">
        <v>129</v>
      </c>
      <c r="G232" s="15">
        <v>46056</v>
      </c>
      <c r="H232" s="10" t="str">
        <f>IFERROR(INDEX(面试清单!H:H,MATCH(231,面试清单!P:P,0)),"")</f>
        <v/>
      </c>
      <c r="I232" s="13" t="s">
        <v>29</v>
      </c>
      <c r="J232" s="10">
        <f ca="1" t="shared" si="10"/>
        <v>133</v>
      </c>
      <c r="K232" s="10">
        <f ca="1" t="shared" si="11"/>
        <v>16</v>
      </c>
    </row>
    <row r="233" ht="18" spans="1:11">
      <c r="A233" s="14">
        <f t="shared" si="9"/>
        <v>232</v>
      </c>
      <c r="B233" s="11" t="s">
        <v>4183</v>
      </c>
      <c r="C233" s="14" t="str">
        <f>IFERROR(INDEX(面试清单!D:D,MATCH(232,面试清单!P:P,0)),"")</f>
        <v/>
      </c>
      <c r="D233" s="11" t="s">
        <v>43</v>
      </c>
      <c r="E233" s="11" t="s">
        <v>62</v>
      </c>
      <c r="F233" s="11" t="s">
        <v>233</v>
      </c>
      <c r="G233" s="15">
        <v>46056</v>
      </c>
      <c r="H233" s="14" t="str">
        <f>IFERROR(INDEX(面试清单!H:H,MATCH(232,面试清单!P:P,0)),"")</f>
        <v/>
      </c>
      <c r="I233" s="13" t="s">
        <v>29</v>
      </c>
      <c r="J233" s="14">
        <f ca="1" t="shared" si="10"/>
        <v>133</v>
      </c>
      <c r="K233" s="14">
        <f ca="1" t="shared" si="11"/>
        <v>16</v>
      </c>
    </row>
    <row r="234" ht="18" spans="1:11">
      <c r="A234" s="10">
        <f t="shared" si="9"/>
        <v>233</v>
      </c>
      <c r="B234" s="11" t="s">
        <v>4184</v>
      </c>
      <c r="C234" s="10" t="str">
        <f>IFERROR(INDEX(面试清单!D:D,MATCH(233,面试清单!P:P,0)),"")</f>
        <v/>
      </c>
      <c r="D234" s="11" t="s">
        <v>43</v>
      </c>
      <c r="E234" s="11" t="s">
        <v>63</v>
      </c>
      <c r="F234" s="11" t="s">
        <v>135</v>
      </c>
      <c r="G234" s="15">
        <v>46056</v>
      </c>
      <c r="H234" s="10" t="str">
        <f>IFERROR(INDEX(面试清单!H:H,MATCH(233,面试清单!P:P,0)),"")</f>
        <v/>
      </c>
      <c r="I234" s="13" t="s">
        <v>29</v>
      </c>
      <c r="J234" s="10">
        <f ca="1" t="shared" si="10"/>
        <v>133</v>
      </c>
      <c r="K234" s="10">
        <f ca="1" t="shared" si="11"/>
        <v>16</v>
      </c>
    </row>
    <row r="235" ht="18" spans="1:11">
      <c r="A235" s="14">
        <f t="shared" si="9"/>
        <v>234</v>
      </c>
      <c r="B235" s="11" t="s">
        <v>4185</v>
      </c>
      <c r="C235" s="14" t="str">
        <f>IFERROR(INDEX(面试清单!D:D,MATCH(234,面试清单!P:P,0)),"")</f>
        <v/>
      </c>
      <c r="D235" s="11" t="s">
        <v>42</v>
      </c>
      <c r="E235" s="11" t="s">
        <v>62</v>
      </c>
      <c r="F235" s="11" t="s">
        <v>103</v>
      </c>
      <c r="G235" s="15">
        <v>46056</v>
      </c>
      <c r="H235" s="14" t="str">
        <f>IFERROR(INDEX(面试清单!H:H,MATCH(234,面试清单!P:P,0)),"")</f>
        <v/>
      </c>
      <c r="I235" s="13" t="s">
        <v>29</v>
      </c>
      <c r="J235" s="14">
        <f ca="1" t="shared" si="10"/>
        <v>133</v>
      </c>
      <c r="K235" s="14">
        <f ca="1" t="shared" si="11"/>
        <v>16</v>
      </c>
    </row>
    <row r="236" ht="18" spans="1:11">
      <c r="A236" s="10">
        <f t="shared" si="9"/>
        <v>235</v>
      </c>
      <c r="B236" s="11" t="s">
        <v>4186</v>
      </c>
      <c r="C236" s="10" t="str">
        <f>IFERROR(INDEX(面试清单!D:D,MATCH(235,面试清单!P:P,0)),"")</f>
        <v/>
      </c>
      <c r="D236" s="11" t="s">
        <v>42</v>
      </c>
      <c r="E236" s="11" t="s">
        <v>62</v>
      </c>
      <c r="F236" s="11" t="s">
        <v>179</v>
      </c>
      <c r="G236" s="15">
        <v>46056</v>
      </c>
      <c r="H236" s="10" t="str">
        <f>IFERROR(INDEX(面试清单!H:H,MATCH(235,面试清单!P:P,0)),"")</f>
        <v/>
      </c>
      <c r="I236" s="13" t="s">
        <v>29</v>
      </c>
      <c r="J236" s="10">
        <f ca="1" t="shared" si="10"/>
        <v>133</v>
      </c>
      <c r="K236" s="10">
        <f ca="1" t="shared" si="11"/>
        <v>16</v>
      </c>
    </row>
    <row r="237" ht="18" spans="1:11">
      <c r="A237" s="14">
        <f t="shared" si="9"/>
        <v>236</v>
      </c>
      <c r="B237" s="11" t="s">
        <v>4187</v>
      </c>
      <c r="C237" s="124" t="str">
        <f>IFERROR(INDEX(面试清单!D:D,MATCH(236,面试清单!P:P,0)),"")</f>
        <v>0220</v>
      </c>
      <c r="D237" s="11" t="s">
        <v>43</v>
      </c>
      <c r="E237" s="11" t="s">
        <v>63</v>
      </c>
      <c r="F237" s="11" t="s">
        <v>129</v>
      </c>
      <c r="G237" s="15">
        <v>46057</v>
      </c>
      <c r="H237" s="14" t="str">
        <f>IFERROR(INDEX(面试清单!H:H,MATCH(236,面试清单!P:P,0)),"")</f>
        <v>线下</v>
      </c>
      <c r="I237" s="13" t="s">
        <v>29</v>
      </c>
      <c r="J237" s="14">
        <f ca="1" t="shared" si="10"/>
        <v>132</v>
      </c>
      <c r="K237" s="14">
        <f ca="1" t="shared" si="11"/>
        <v>16</v>
      </c>
    </row>
    <row r="238" ht="18" spans="1:11">
      <c r="A238" s="10">
        <f t="shared" si="9"/>
        <v>237</v>
      </c>
      <c r="B238" s="11" t="s">
        <v>4188</v>
      </c>
      <c r="C238" s="125" t="str">
        <f>IFERROR(INDEX(面试清单!D:D,MATCH(237,面试清单!P:P,0)),"")</f>
        <v>0221</v>
      </c>
      <c r="D238" s="11" t="s">
        <v>42</v>
      </c>
      <c r="E238" s="11" t="s">
        <v>63</v>
      </c>
      <c r="F238" s="11" t="s">
        <v>124</v>
      </c>
      <c r="G238" s="15">
        <v>46057</v>
      </c>
      <c r="H238" s="10" t="str">
        <f>IFERROR(INDEX(面试清单!H:H,MATCH(237,面试清单!P:P,0)),"")</f>
        <v>线下</v>
      </c>
      <c r="I238" s="13" t="s">
        <v>29</v>
      </c>
      <c r="J238" s="10">
        <f ca="1" t="shared" si="10"/>
        <v>132</v>
      </c>
      <c r="K238" s="10">
        <f ca="1" t="shared" si="11"/>
        <v>16</v>
      </c>
    </row>
    <row r="239" ht="18" spans="1:11">
      <c r="A239" s="14">
        <f t="shared" si="9"/>
        <v>238</v>
      </c>
      <c r="B239" s="11" t="s">
        <v>4189</v>
      </c>
      <c r="C239" s="124" t="str">
        <f>IFERROR(INDEX(面试清单!D:D,MATCH(238,面试清单!P:P,0)),"")</f>
        <v>0222</v>
      </c>
      <c r="D239" s="11" t="s">
        <v>42</v>
      </c>
      <c r="E239" s="11" t="s">
        <v>63</v>
      </c>
      <c r="F239" s="11" t="s">
        <v>1542</v>
      </c>
      <c r="G239" s="15">
        <v>46057</v>
      </c>
      <c r="H239" s="14" t="str">
        <f>IFERROR(INDEX(面试清单!H:H,MATCH(238,面试清单!P:P,0)),"")</f>
        <v>线下</v>
      </c>
      <c r="I239" s="13" t="s">
        <v>29</v>
      </c>
      <c r="J239" s="14">
        <f ca="1" t="shared" si="10"/>
        <v>132</v>
      </c>
      <c r="K239" s="14">
        <f ca="1" t="shared" si="11"/>
        <v>16</v>
      </c>
    </row>
    <row r="240" ht="18" spans="1:11">
      <c r="A240" s="10">
        <f t="shared" si="9"/>
        <v>239</v>
      </c>
      <c r="B240" s="11" t="s">
        <v>4190</v>
      </c>
      <c r="C240" s="10" t="str">
        <f>IFERROR(INDEX(面试清单!D:D,MATCH(239,面试清单!P:P,0)),"")</f>
        <v/>
      </c>
      <c r="D240" s="11" t="s">
        <v>42</v>
      </c>
      <c r="E240" s="11" t="s">
        <v>62</v>
      </c>
      <c r="F240" s="11" t="s">
        <v>132</v>
      </c>
      <c r="G240" s="15">
        <v>46057</v>
      </c>
      <c r="H240" s="10" t="str">
        <f>IFERROR(INDEX(面试清单!H:H,MATCH(239,面试清单!P:P,0)),"")</f>
        <v/>
      </c>
      <c r="I240" s="13" t="s">
        <v>29</v>
      </c>
      <c r="J240" s="10">
        <f ca="1" t="shared" si="10"/>
        <v>132</v>
      </c>
      <c r="K240" s="10">
        <f ca="1" t="shared" si="11"/>
        <v>16</v>
      </c>
    </row>
    <row r="241" ht="18" spans="1:11">
      <c r="A241" s="14">
        <f t="shared" si="9"/>
        <v>240</v>
      </c>
      <c r="B241" s="11" t="s">
        <v>4191</v>
      </c>
      <c r="C241" s="14" t="str">
        <f>IFERROR(INDEX(面试清单!D:D,MATCH(240,面试清单!P:P,0)),"")</f>
        <v/>
      </c>
      <c r="D241" s="11" t="s">
        <v>42</v>
      </c>
      <c r="E241" s="11" t="s">
        <v>62</v>
      </c>
      <c r="F241" s="11" t="s">
        <v>124</v>
      </c>
      <c r="G241" s="15">
        <v>46058</v>
      </c>
      <c r="H241" s="14" t="str">
        <f>IFERROR(INDEX(面试清单!H:H,MATCH(240,面试清单!P:P,0)),"")</f>
        <v/>
      </c>
      <c r="I241" s="13" t="s">
        <v>29</v>
      </c>
      <c r="J241" s="14">
        <f ca="1" t="shared" si="10"/>
        <v>131</v>
      </c>
      <c r="K241" s="14">
        <f ca="1" t="shared" si="11"/>
        <v>16</v>
      </c>
    </row>
    <row r="242" ht="18" spans="1:11">
      <c r="A242" s="10">
        <f t="shared" si="9"/>
        <v>241</v>
      </c>
      <c r="B242" s="11" t="s">
        <v>4192</v>
      </c>
      <c r="C242" s="10" t="str">
        <f>IFERROR(INDEX(面试清单!D:D,MATCH(241,面试清单!P:P,0)),"")</f>
        <v/>
      </c>
      <c r="D242" s="11" t="s">
        <v>42</v>
      </c>
      <c r="E242" s="11" t="s">
        <v>62</v>
      </c>
      <c r="F242" s="11" t="s">
        <v>233</v>
      </c>
      <c r="G242" s="15">
        <v>46059</v>
      </c>
      <c r="H242" s="10" t="str">
        <f>IFERROR(INDEX(面试清单!H:H,MATCH(241,面试清单!P:P,0)),"")</f>
        <v/>
      </c>
      <c r="I242" s="13" t="s">
        <v>29</v>
      </c>
      <c r="J242" s="10">
        <f ca="1" t="shared" si="10"/>
        <v>130</v>
      </c>
      <c r="K242" s="10">
        <f ca="1" t="shared" si="11"/>
        <v>16</v>
      </c>
    </row>
    <row r="243" ht="18" spans="1:11">
      <c r="A243" s="14">
        <f t="shared" si="9"/>
        <v>242</v>
      </c>
      <c r="B243" s="11" t="s">
        <v>4193</v>
      </c>
      <c r="C243" s="14" t="str">
        <f>IFERROR(INDEX(面试清单!D:D,MATCH(242,面试清单!P:P,0)),"")</f>
        <v/>
      </c>
      <c r="D243" s="11" t="s">
        <v>42</v>
      </c>
      <c r="E243" s="11" t="s">
        <v>62</v>
      </c>
      <c r="F243" s="11" t="s">
        <v>103</v>
      </c>
      <c r="G243" s="15">
        <v>46059</v>
      </c>
      <c r="H243" s="14" t="str">
        <f>IFERROR(INDEX(面试清单!H:H,MATCH(242,面试清单!P:P,0)),"")</f>
        <v/>
      </c>
      <c r="I243" s="13" t="s">
        <v>29</v>
      </c>
      <c r="J243" s="14">
        <f ca="1" t="shared" si="10"/>
        <v>130</v>
      </c>
      <c r="K243" s="14">
        <f ca="1" t="shared" si="11"/>
        <v>16</v>
      </c>
    </row>
    <row r="244" ht="18" spans="1:11">
      <c r="A244" s="10">
        <f t="shared" si="9"/>
        <v>243</v>
      </c>
      <c r="B244" s="11" t="s">
        <v>4194</v>
      </c>
      <c r="C244" s="10" t="str">
        <f>IFERROR(INDEX(面试清单!D:D,MATCH(243,面试清单!P:P,0)),"")</f>
        <v/>
      </c>
      <c r="D244" s="11" t="s">
        <v>42</v>
      </c>
      <c r="E244" s="11" t="s">
        <v>62</v>
      </c>
      <c r="F244" s="11" t="s">
        <v>103</v>
      </c>
      <c r="G244" s="15">
        <v>46059</v>
      </c>
      <c r="H244" s="10" t="str">
        <f>IFERROR(INDEX(面试清单!H:H,MATCH(243,面试清单!P:P,0)),"")</f>
        <v/>
      </c>
      <c r="I244" s="13" t="s">
        <v>29</v>
      </c>
      <c r="J244" s="10">
        <f ca="1" t="shared" si="10"/>
        <v>130</v>
      </c>
      <c r="K244" s="10">
        <f ca="1" t="shared" si="11"/>
        <v>16</v>
      </c>
    </row>
    <row r="245" ht="18" spans="1:11">
      <c r="A245" s="14">
        <f t="shared" si="9"/>
        <v>244</v>
      </c>
      <c r="B245" s="11" t="s">
        <v>4195</v>
      </c>
      <c r="C245" s="14" t="str">
        <f>IFERROR(INDEX(面试清单!D:D,MATCH(244,面试清单!P:P,0)),"")</f>
        <v/>
      </c>
      <c r="D245" s="11" t="s">
        <v>42</v>
      </c>
      <c r="E245" s="11" t="s">
        <v>62</v>
      </c>
      <c r="F245" s="11" t="s">
        <v>103</v>
      </c>
      <c r="G245" s="15">
        <v>46059</v>
      </c>
      <c r="H245" s="14" t="str">
        <f>IFERROR(INDEX(面试清单!H:H,MATCH(244,面试清单!P:P,0)),"")</f>
        <v/>
      </c>
      <c r="I245" s="13" t="s">
        <v>29</v>
      </c>
      <c r="J245" s="14">
        <f ca="1" t="shared" si="10"/>
        <v>130</v>
      </c>
      <c r="K245" s="14">
        <f ca="1" t="shared" si="11"/>
        <v>16</v>
      </c>
    </row>
    <row r="246" ht="18" spans="1:11">
      <c r="A246" s="10">
        <f t="shared" si="9"/>
        <v>245</v>
      </c>
      <c r="B246" s="11" t="s">
        <v>4196</v>
      </c>
      <c r="C246" s="125" t="str">
        <f>IFERROR(INDEX(面试清单!D:D,MATCH(245,面试清单!P:P,0)),"")</f>
        <v>0220</v>
      </c>
      <c r="D246" s="11" t="s">
        <v>42</v>
      </c>
      <c r="E246" s="11" t="s">
        <v>62</v>
      </c>
      <c r="F246" s="11" t="s">
        <v>103</v>
      </c>
      <c r="G246" s="15">
        <v>46059</v>
      </c>
      <c r="H246" s="10" t="str">
        <f>IFERROR(INDEX(面试清单!H:H,MATCH(245,面试清单!P:P,0)),"")</f>
        <v>线下</v>
      </c>
      <c r="I246" s="13" t="s">
        <v>29</v>
      </c>
      <c r="J246" s="10">
        <f ca="1" t="shared" si="10"/>
        <v>130</v>
      </c>
      <c r="K246" s="10">
        <f ca="1" t="shared" si="11"/>
        <v>16</v>
      </c>
    </row>
    <row r="247" ht="18" spans="1:11">
      <c r="A247" s="14">
        <f t="shared" si="9"/>
        <v>246</v>
      </c>
      <c r="B247" s="11" t="s">
        <v>4197</v>
      </c>
      <c r="C247" s="124" t="str">
        <f>IFERROR(INDEX(面试清单!D:D,MATCH(246,面试清单!P:P,0)),"")</f>
        <v>0221</v>
      </c>
      <c r="D247" s="11" t="s">
        <v>42</v>
      </c>
      <c r="E247" s="11" t="s">
        <v>62</v>
      </c>
      <c r="F247" s="11" t="s">
        <v>179</v>
      </c>
      <c r="G247" s="15">
        <v>46059</v>
      </c>
      <c r="H247" s="14" t="str">
        <f>IFERROR(INDEX(面试清单!H:H,MATCH(246,面试清单!P:P,0)),"")</f>
        <v>线下</v>
      </c>
      <c r="I247" s="13" t="s">
        <v>29</v>
      </c>
      <c r="J247" s="14">
        <f ca="1" t="shared" si="10"/>
        <v>130</v>
      </c>
      <c r="K247" s="14">
        <f ca="1" t="shared" si="11"/>
        <v>16</v>
      </c>
    </row>
    <row r="248" ht="18" spans="1:11">
      <c r="A248" s="10">
        <f t="shared" si="9"/>
        <v>247</v>
      </c>
      <c r="B248" s="11" t="s">
        <v>4198</v>
      </c>
      <c r="C248" s="125" t="str">
        <f>IFERROR(INDEX(面试清单!D:D,MATCH(247,面试清单!P:P,0)),"")</f>
        <v>0222</v>
      </c>
      <c r="D248" s="11" t="s">
        <v>43</v>
      </c>
      <c r="E248" s="11" t="s">
        <v>62</v>
      </c>
      <c r="F248" s="11" t="s">
        <v>135</v>
      </c>
      <c r="G248" s="15">
        <v>46059</v>
      </c>
      <c r="H248" s="10" t="str">
        <f>IFERROR(INDEX(面试清单!H:H,MATCH(247,面试清单!P:P,0)),"")</f>
        <v>线下</v>
      </c>
      <c r="I248" s="13" t="s">
        <v>29</v>
      </c>
      <c r="J248" s="10">
        <f ca="1" t="shared" si="10"/>
        <v>130</v>
      </c>
      <c r="K248" s="10">
        <f ca="1" t="shared" si="11"/>
        <v>16</v>
      </c>
    </row>
    <row r="249" ht="18" spans="1:11">
      <c r="A249" s="14">
        <f t="shared" si="9"/>
        <v>248</v>
      </c>
      <c r="B249" s="11" t="s">
        <v>4199</v>
      </c>
      <c r="C249" s="124" t="str">
        <f>IFERROR(INDEX(面试清单!D:D,MATCH(248,面试清单!P:P,0)),"")</f>
        <v>0208</v>
      </c>
      <c r="D249" s="11" t="s">
        <v>42</v>
      </c>
      <c r="E249" s="11" t="s">
        <v>62</v>
      </c>
      <c r="F249" s="11" t="s">
        <v>124</v>
      </c>
      <c r="G249" s="15">
        <v>46060</v>
      </c>
      <c r="H249" s="14" t="str">
        <f>IFERROR(INDEX(面试清单!H:H,MATCH(248,面试清单!P:P,0)),"")</f>
        <v>线下</v>
      </c>
      <c r="I249" s="13" t="s">
        <v>29</v>
      </c>
      <c r="J249" s="14">
        <f ca="1" t="shared" si="10"/>
        <v>129</v>
      </c>
      <c r="K249" s="14">
        <f ca="1" t="shared" si="11"/>
        <v>16</v>
      </c>
    </row>
    <row r="250" ht="18" spans="1:11">
      <c r="A250" s="10">
        <f t="shared" si="9"/>
        <v>249</v>
      </c>
      <c r="B250" s="11" t="s">
        <v>4200</v>
      </c>
      <c r="C250" s="125" t="str">
        <f>IFERROR(INDEX(面试清单!D:D,MATCH(249,面试清单!P:P,0)),"")</f>
        <v>0209</v>
      </c>
      <c r="D250" s="11" t="s">
        <v>42</v>
      </c>
      <c r="E250" s="11" t="s">
        <v>62</v>
      </c>
      <c r="F250" s="11" t="s">
        <v>179</v>
      </c>
      <c r="G250" s="15">
        <v>46060</v>
      </c>
      <c r="H250" s="10" t="str">
        <f>IFERROR(INDEX(面试清单!H:H,MATCH(249,面试清单!P:P,0)),"")</f>
        <v>线下</v>
      </c>
      <c r="I250" s="13" t="s">
        <v>29</v>
      </c>
      <c r="J250" s="10">
        <f ca="1" t="shared" si="10"/>
        <v>129</v>
      </c>
      <c r="K250" s="10">
        <f ca="1" t="shared" si="11"/>
        <v>16</v>
      </c>
    </row>
    <row r="251" ht="18" spans="1:11">
      <c r="A251" s="14">
        <f t="shared" si="9"/>
        <v>250</v>
      </c>
      <c r="B251" s="11" t="s">
        <v>4201</v>
      </c>
      <c r="C251" s="124" t="str">
        <f>IFERROR(INDEX(面试清单!D:D,MATCH(250,面试清单!P:P,0)),"")</f>
        <v>0212</v>
      </c>
      <c r="D251" s="11" t="s">
        <v>42</v>
      </c>
      <c r="E251" s="11" t="s">
        <v>62</v>
      </c>
      <c r="F251" s="11" t="s">
        <v>129</v>
      </c>
      <c r="G251" s="15">
        <v>46060</v>
      </c>
      <c r="H251" s="14" t="str">
        <f>IFERROR(INDEX(面试清单!H:H,MATCH(250,面试清单!P:P,0)),"")</f>
        <v>线下</v>
      </c>
      <c r="I251" s="13" t="s">
        <v>29</v>
      </c>
      <c r="J251" s="14">
        <f ca="1" t="shared" si="10"/>
        <v>129</v>
      </c>
      <c r="K251" s="14">
        <f ca="1" t="shared" si="11"/>
        <v>16</v>
      </c>
    </row>
    <row r="252" ht="18" spans="1:11">
      <c r="A252" s="10">
        <f t="shared" si="9"/>
        <v>251</v>
      </c>
      <c r="B252" s="11" t="s">
        <v>4202</v>
      </c>
      <c r="C252" s="10" t="str">
        <f>IFERROR(INDEX(面试清单!D:D,MATCH(251,面试清单!P:P,0)),"")</f>
        <v/>
      </c>
      <c r="D252" s="11" t="s">
        <v>73</v>
      </c>
      <c r="E252" s="11" t="s">
        <v>62</v>
      </c>
      <c r="F252" s="11" t="s">
        <v>129</v>
      </c>
      <c r="G252" s="15">
        <v>46061</v>
      </c>
      <c r="H252" s="10" t="str">
        <f>IFERROR(INDEX(面试清单!H:H,MATCH(251,面试清单!P:P,0)),"")</f>
        <v/>
      </c>
      <c r="I252" s="13" t="s">
        <v>29</v>
      </c>
      <c r="J252" s="10">
        <f ca="1" t="shared" si="10"/>
        <v>128</v>
      </c>
      <c r="K252" s="10">
        <f ca="1" t="shared" si="11"/>
        <v>16</v>
      </c>
    </row>
    <row r="253" ht="18" spans="1:11">
      <c r="A253" s="14">
        <f t="shared" si="9"/>
        <v>252</v>
      </c>
      <c r="B253" s="11" t="s">
        <v>4203</v>
      </c>
      <c r="C253" s="124" t="str">
        <f>IFERROR(INDEX(面试清单!D:D,MATCH(252,面试清单!P:P,0)),"")</f>
        <v>0217</v>
      </c>
      <c r="D253" s="11" t="s">
        <v>43</v>
      </c>
      <c r="E253" s="11" t="s">
        <v>62</v>
      </c>
      <c r="F253" s="11" t="s">
        <v>124</v>
      </c>
      <c r="G253" s="15">
        <v>46062</v>
      </c>
      <c r="H253" s="14" t="str">
        <f>IFERROR(INDEX(面试清单!H:H,MATCH(252,面试清单!P:P,0)),"")</f>
        <v>线下</v>
      </c>
      <c r="I253" s="13" t="s">
        <v>29</v>
      </c>
      <c r="J253" s="14">
        <f ca="1" t="shared" si="10"/>
        <v>127</v>
      </c>
      <c r="K253" s="14">
        <f ca="1" t="shared" si="11"/>
        <v>16</v>
      </c>
    </row>
    <row r="254" ht="18" spans="1:11">
      <c r="A254" s="10">
        <f t="shared" si="9"/>
        <v>253</v>
      </c>
      <c r="B254" s="11" t="s">
        <v>4204</v>
      </c>
      <c r="C254" s="10" t="str">
        <f>IFERROR(INDEX(面试清单!D:D,MATCH(253,面试清单!P:P,0)),"")</f>
        <v/>
      </c>
      <c r="D254" s="11" t="s">
        <v>42</v>
      </c>
      <c r="E254" s="11" t="s">
        <v>62</v>
      </c>
      <c r="F254" s="11" t="s">
        <v>124</v>
      </c>
      <c r="G254" s="15">
        <v>46062</v>
      </c>
      <c r="H254" s="10" t="str">
        <f>IFERROR(INDEX(面试清单!H:H,MATCH(253,面试清单!P:P,0)),"")</f>
        <v/>
      </c>
      <c r="I254" s="13" t="s">
        <v>29</v>
      </c>
      <c r="J254" s="10">
        <f ca="1" t="shared" si="10"/>
        <v>127</v>
      </c>
      <c r="K254" s="10">
        <f ca="1" t="shared" si="11"/>
        <v>16</v>
      </c>
    </row>
    <row r="255" ht="18" spans="1:11">
      <c r="A255" s="14">
        <f t="shared" si="9"/>
        <v>254</v>
      </c>
      <c r="B255" s="11" t="s">
        <v>4205</v>
      </c>
      <c r="C255" s="14" t="str">
        <f>IFERROR(INDEX(面试清单!D:D,MATCH(254,面试清单!P:P,0)),"")</f>
        <v/>
      </c>
      <c r="D255" s="11" t="s">
        <v>43</v>
      </c>
      <c r="E255" s="11" t="s">
        <v>62</v>
      </c>
      <c r="F255" s="11" t="s">
        <v>124</v>
      </c>
      <c r="G255" s="15">
        <v>46062</v>
      </c>
      <c r="H255" s="14" t="str">
        <f>IFERROR(INDEX(面试清单!H:H,MATCH(254,面试清单!P:P,0)),"")</f>
        <v/>
      </c>
      <c r="I255" s="13" t="s">
        <v>29</v>
      </c>
      <c r="J255" s="14">
        <f ca="1" t="shared" si="10"/>
        <v>127</v>
      </c>
      <c r="K255" s="14">
        <f ca="1" t="shared" si="11"/>
        <v>16</v>
      </c>
    </row>
    <row r="256" ht="18" spans="1:11">
      <c r="A256" s="10">
        <f t="shared" si="9"/>
        <v>255</v>
      </c>
      <c r="B256" s="11" t="s">
        <v>4206</v>
      </c>
      <c r="C256" s="125" t="str">
        <f>IFERROR(INDEX(面试清单!D:D,MATCH(255,面试清单!P:P,0)),"")</f>
        <v>0221</v>
      </c>
      <c r="D256" s="11" t="s">
        <v>42</v>
      </c>
      <c r="E256" s="11" t="s">
        <v>63</v>
      </c>
      <c r="F256" s="11" t="s">
        <v>103</v>
      </c>
      <c r="G256" s="15">
        <v>46062</v>
      </c>
      <c r="H256" s="10" t="str">
        <f>IFERROR(INDEX(面试清单!H:H,MATCH(255,面试清单!P:P,0)),"")</f>
        <v>线下</v>
      </c>
      <c r="I256" s="13" t="s">
        <v>29</v>
      </c>
      <c r="J256" s="10">
        <f ca="1" t="shared" si="10"/>
        <v>127</v>
      </c>
      <c r="K256" s="10">
        <f ca="1" t="shared" si="11"/>
        <v>16</v>
      </c>
    </row>
    <row r="257" ht="18" spans="1:11">
      <c r="A257" s="14">
        <f t="shared" si="9"/>
        <v>256</v>
      </c>
      <c r="B257" s="11" t="s">
        <v>4207</v>
      </c>
      <c r="C257" s="14" t="str">
        <f>IFERROR(INDEX(面试清单!D:D,MATCH(256,面试清单!P:P,0)),"")</f>
        <v/>
      </c>
      <c r="D257" s="11" t="s">
        <v>42</v>
      </c>
      <c r="E257" s="11" t="s">
        <v>63</v>
      </c>
      <c r="F257" s="11" t="s">
        <v>103</v>
      </c>
      <c r="G257" s="15">
        <v>46062</v>
      </c>
      <c r="H257" s="14" t="str">
        <f>IFERROR(INDEX(面试清单!H:H,MATCH(256,面试清单!P:P,0)),"")</f>
        <v/>
      </c>
      <c r="I257" s="13" t="s">
        <v>29</v>
      </c>
      <c r="J257" s="14">
        <f ca="1" t="shared" si="10"/>
        <v>127</v>
      </c>
      <c r="K257" s="14">
        <f ca="1" t="shared" si="11"/>
        <v>16</v>
      </c>
    </row>
    <row r="258" ht="18" spans="1:11">
      <c r="A258" s="10">
        <f t="shared" ref="A258:A321" si="12">IF(B258&lt;&gt;"",ROW()-1,"")</f>
        <v>257</v>
      </c>
      <c r="B258" s="11" t="s">
        <v>4208</v>
      </c>
      <c r="C258" s="125" t="str">
        <f>IFERROR(INDEX(面试清单!D:D,MATCH(257,面试清单!P:P,0)),"")</f>
        <v>0208</v>
      </c>
      <c r="D258" s="11" t="s">
        <v>42</v>
      </c>
      <c r="E258" s="11" t="s">
        <v>63</v>
      </c>
      <c r="F258" s="11" t="s">
        <v>307</v>
      </c>
      <c r="G258" s="15">
        <v>46063</v>
      </c>
      <c r="H258" s="10" t="str">
        <f>IFERROR(INDEX(面试清单!H:H,MATCH(257,面试清单!P:P,0)),"")</f>
        <v>线下</v>
      </c>
      <c r="I258" s="13" t="s">
        <v>29</v>
      </c>
      <c r="J258" s="10">
        <f ca="1" t="shared" ref="J258:J321" si="13">IF(G258&lt;&gt;"",TODAY()-G258,"")</f>
        <v>126</v>
      </c>
      <c r="K258" s="10">
        <f ca="1" t="shared" ref="K258:K321" si="14">IF(G258&lt;&gt;"",MAX(0,MIN(TODAY(),EOMONTH(TODAY(),0))-MAX(G258,EOMONTH(TODAY(),-1)+1)+1),"")</f>
        <v>16</v>
      </c>
    </row>
    <row r="259" ht="18" spans="1:11">
      <c r="A259" s="14">
        <f t="shared" si="12"/>
        <v>258</v>
      </c>
      <c r="B259" s="11" t="s">
        <v>4209</v>
      </c>
      <c r="C259" s="14" t="str">
        <f>IFERROR(INDEX(面试清单!D:D,MATCH(258,面试清单!P:P,0)),"")</f>
        <v/>
      </c>
      <c r="D259" s="11" t="s">
        <v>42</v>
      </c>
      <c r="E259" s="11" t="s">
        <v>64</v>
      </c>
      <c r="F259" s="11" t="s">
        <v>509</v>
      </c>
      <c r="G259" s="15">
        <v>46063</v>
      </c>
      <c r="H259" s="14" t="str">
        <f>IFERROR(INDEX(面试清单!H:H,MATCH(258,面试清单!P:P,0)),"")</f>
        <v/>
      </c>
      <c r="I259" s="13" t="s">
        <v>29</v>
      </c>
      <c r="J259" s="14">
        <f ca="1" t="shared" si="13"/>
        <v>126</v>
      </c>
      <c r="K259" s="14">
        <f ca="1" t="shared" si="14"/>
        <v>16</v>
      </c>
    </row>
    <row r="260" ht="18" spans="1:11">
      <c r="A260" s="10">
        <f t="shared" si="12"/>
        <v>259</v>
      </c>
      <c r="B260" s="11" t="s">
        <v>4210</v>
      </c>
      <c r="C260" s="10" t="str">
        <f>IFERROR(INDEX(面试清单!D:D,MATCH(259,面试清单!P:P,0)),"")</f>
        <v/>
      </c>
      <c r="D260" s="11" t="s">
        <v>42</v>
      </c>
      <c r="E260" s="11" t="s">
        <v>63</v>
      </c>
      <c r="F260" s="11" t="s">
        <v>509</v>
      </c>
      <c r="G260" s="15">
        <v>46063</v>
      </c>
      <c r="H260" s="10" t="str">
        <f>IFERROR(INDEX(面试清单!H:H,MATCH(259,面试清单!P:P,0)),"")</f>
        <v/>
      </c>
      <c r="I260" s="13" t="s">
        <v>29</v>
      </c>
      <c r="J260" s="10">
        <f ca="1" t="shared" si="13"/>
        <v>126</v>
      </c>
      <c r="K260" s="10">
        <f ca="1" t="shared" si="14"/>
        <v>16</v>
      </c>
    </row>
    <row r="261" ht="18" spans="1:11">
      <c r="A261" s="14">
        <f t="shared" si="12"/>
        <v>260</v>
      </c>
      <c r="B261" s="11" t="s">
        <v>4211</v>
      </c>
      <c r="C261" s="14" t="str">
        <f>IFERROR(INDEX(面试清单!D:D,MATCH(260,面试清单!P:P,0)),"")</f>
        <v/>
      </c>
      <c r="D261" s="11" t="s">
        <v>43</v>
      </c>
      <c r="E261" s="11" t="s">
        <v>62</v>
      </c>
      <c r="F261" s="11" t="s">
        <v>246</v>
      </c>
      <c r="G261" s="15">
        <v>46064</v>
      </c>
      <c r="H261" s="14" t="str">
        <f>IFERROR(INDEX(面试清单!H:H,MATCH(260,面试清单!P:P,0)),"")</f>
        <v/>
      </c>
      <c r="I261" s="13" t="s">
        <v>29</v>
      </c>
      <c r="J261" s="14">
        <f ca="1" t="shared" si="13"/>
        <v>125</v>
      </c>
      <c r="K261" s="14">
        <f ca="1" t="shared" si="14"/>
        <v>16</v>
      </c>
    </row>
    <row r="262" ht="18" spans="1:11">
      <c r="A262" s="10">
        <f t="shared" si="12"/>
        <v>261</v>
      </c>
      <c r="B262" s="11" t="s">
        <v>4212</v>
      </c>
      <c r="C262" s="10" t="str">
        <f>IFERROR(INDEX(面试清单!D:D,MATCH(261,面试清单!P:P,0)),"")</f>
        <v/>
      </c>
      <c r="D262" s="11" t="s">
        <v>42</v>
      </c>
      <c r="E262" s="11" t="s">
        <v>64</v>
      </c>
      <c r="F262" s="11" t="s">
        <v>110</v>
      </c>
      <c r="G262" s="15">
        <v>46064</v>
      </c>
      <c r="H262" s="10" t="str">
        <f>IFERROR(INDEX(面试清单!H:H,MATCH(261,面试清单!P:P,0)),"")</f>
        <v/>
      </c>
      <c r="I262" s="13" t="s">
        <v>29</v>
      </c>
      <c r="J262" s="10">
        <f ca="1" t="shared" si="13"/>
        <v>125</v>
      </c>
      <c r="K262" s="10">
        <f ca="1" t="shared" si="14"/>
        <v>16</v>
      </c>
    </row>
    <row r="263" ht="18" spans="1:11">
      <c r="A263" s="14">
        <f t="shared" si="12"/>
        <v>262</v>
      </c>
      <c r="B263" s="11" t="s">
        <v>4213</v>
      </c>
      <c r="C263" s="124" t="str">
        <f>IFERROR(INDEX(面试清单!D:D,MATCH(262,面试清单!P:P,0)),"")</f>
        <v>0218</v>
      </c>
      <c r="D263" s="11" t="s">
        <v>43</v>
      </c>
      <c r="E263" s="11" t="s">
        <v>63</v>
      </c>
      <c r="F263" s="11" t="s">
        <v>179</v>
      </c>
      <c r="G263" s="15">
        <v>46065</v>
      </c>
      <c r="H263" s="14" t="str">
        <f>IFERROR(INDEX(面试清单!H:H,MATCH(262,面试清单!P:P,0)),"")</f>
        <v>线下</v>
      </c>
      <c r="I263" s="13" t="s">
        <v>29</v>
      </c>
      <c r="J263" s="14">
        <f ca="1" t="shared" si="13"/>
        <v>124</v>
      </c>
      <c r="K263" s="14">
        <f ca="1" t="shared" si="14"/>
        <v>16</v>
      </c>
    </row>
    <row r="264" ht="18" spans="1:11">
      <c r="A264" s="10">
        <f t="shared" si="12"/>
        <v>263</v>
      </c>
      <c r="B264" s="11" t="s">
        <v>4214</v>
      </c>
      <c r="C264" s="10" t="str">
        <f>IFERROR(INDEX(面试清单!D:D,MATCH(263,面试清单!P:P,0)),"")</f>
        <v/>
      </c>
      <c r="D264" s="11" t="s">
        <v>42</v>
      </c>
      <c r="E264" s="11" t="s">
        <v>62</v>
      </c>
      <c r="F264" s="11" t="s">
        <v>129</v>
      </c>
      <c r="G264" s="15">
        <v>46065</v>
      </c>
      <c r="H264" s="10" t="str">
        <f>IFERROR(INDEX(面试清单!H:H,MATCH(263,面试清单!P:P,0)),"")</f>
        <v/>
      </c>
      <c r="I264" s="13" t="s">
        <v>29</v>
      </c>
      <c r="J264" s="10">
        <f ca="1" t="shared" si="13"/>
        <v>124</v>
      </c>
      <c r="K264" s="10">
        <f ca="1" t="shared" si="14"/>
        <v>16</v>
      </c>
    </row>
    <row r="265" ht="18" spans="1:11">
      <c r="A265" s="14">
        <f t="shared" si="12"/>
        <v>264</v>
      </c>
      <c r="B265" s="11" t="s">
        <v>4215</v>
      </c>
      <c r="C265" s="14" t="str">
        <f>IFERROR(INDEX(面试清单!D:D,MATCH(264,面试清单!P:P,0)),"")</f>
        <v/>
      </c>
      <c r="D265" s="11" t="s">
        <v>43</v>
      </c>
      <c r="E265" s="11" t="s">
        <v>62</v>
      </c>
      <c r="F265" s="11" t="s">
        <v>173</v>
      </c>
      <c r="G265" s="15">
        <v>46066</v>
      </c>
      <c r="H265" s="14" t="str">
        <f>IFERROR(INDEX(面试清单!H:H,MATCH(264,面试清单!P:P,0)),"")</f>
        <v/>
      </c>
      <c r="I265" s="13" t="s">
        <v>29</v>
      </c>
      <c r="J265" s="14">
        <f ca="1" t="shared" si="13"/>
        <v>123</v>
      </c>
      <c r="K265" s="14">
        <f ca="1" t="shared" si="14"/>
        <v>16</v>
      </c>
    </row>
    <row r="266" ht="18" spans="1:11">
      <c r="A266" s="10">
        <f t="shared" si="12"/>
        <v>265</v>
      </c>
      <c r="B266" s="11" t="s">
        <v>4216</v>
      </c>
      <c r="C266" s="10" t="str">
        <f>IFERROR(INDEX(面试清单!D:D,MATCH(265,面试清单!P:P,0)),"")</f>
        <v/>
      </c>
      <c r="D266" s="11" t="s">
        <v>73</v>
      </c>
      <c r="E266" s="11" t="s">
        <v>62</v>
      </c>
      <c r="F266" s="11" t="s">
        <v>129</v>
      </c>
      <c r="G266" s="15">
        <v>46067</v>
      </c>
      <c r="H266" s="10" t="str">
        <f>IFERROR(INDEX(面试清单!H:H,MATCH(265,面试清单!P:P,0)),"")</f>
        <v/>
      </c>
      <c r="I266" s="13" t="s">
        <v>29</v>
      </c>
      <c r="J266" s="10">
        <f ca="1" t="shared" si="13"/>
        <v>122</v>
      </c>
      <c r="K266" s="10">
        <f ca="1" t="shared" si="14"/>
        <v>16</v>
      </c>
    </row>
    <row r="267" ht="18" spans="1:11">
      <c r="A267" s="14">
        <f t="shared" si="12"/>
        <v>266</v>
      </c>
      <c r="B267" s="11" t="s">
        <v>4217</v>
      </c>
      <c r="C267" s="124" t="str">
        <f>IFERROR(INDEX(面试清单!D:D,MATCH(266,面试清单!P:P,0)),"")</f>
        <v>0208</v>
      </c>
      <c r="D267" s="11" t="s">
        <v>43</v>
      </c>
      <c r="E267" s="11" t="s">
        <v>62</v>
      </c>
      <c r="F267" s="11" t="s">
        <v>179</v>
      </c>
      <c r="G267" s="15">
        <v>46076</v>
      </c>
      <c r="H267" s="14" t="str">
        <f>IFERROR(INDEX(面试清单!H:H,MATCH(266,面试清单!P:P,0)),"")</f>
        <v>线下</v>
      </c>
      <c r="I267" s="13" t="s">
        <v>29</v>
      </c>
      <c r="J267" s="14">
        <f ca="1" t="shared" si="13"/>
        <v>113</v>
      </c>
      <c r="K267" s="14">
        <f ca="1" t="shared" si="14"/>
        <v>16</v>
      </c>
    </row>
    <row r="268" ht="18" spans="1:11">
      <c r="A268" s="10">
        <f t="shared" si="12"/>
        <v>267</v>
      </c>
      <c r="B268" s="11" t="s">
        <v>4218</v>
      </c>
      <c r="C268" s="125" t="str">
        <f>IFERROR(INDEX(面试清单!D:D,MATCH(267,面试清单!P:P,0)),"")</f>
        <v>0209</v>
      </c>
      <c r="D268" s="11" t="s">
        <v>43</v>
      </c>
      <c r="E268" s="11" t="s">
        <v>62</v>
      </c>
      <c r="F268" s="11" t="s">
        <v>179</v>
      </c>
      <c r="G268" s="15">
        <v>46076</v>
      </c>
      <c r="H268" s="10" t="str">
        <f>IFERROR(INDEX(面试清单!H:H,MATCH(267,面试清单!P:P,0)),"")</f>
        <v>线下</v>
      </c>
      <c r="I268" s="13" t="s">
        <v>29</v>
      </c>
      <c r="J268" s="10">
        <f ca="1" t="shared" si="13"/>
        <v>113</v>
      </c>
      <c r="K268" s="10">
        <f ca="1" t="shared" si="14"/>
        <v>16</v>
      </c>
    </row>
    <row r="269" ht="18" spans="1:11">
      <c r="A269" s="14">
        <f t="shared" si="12"/>
        <v>268</v>
      </c>
      <c r="B269" s="11" t="s">
        <v>4219</v>
      </c>
      <c r="C269" s="124" t="str">
        <f>IFERROR(INDEX(面试清单!D:D,MATCH(268,面试清单!P:P,0)),"")</f>
        <v>0212</v>
      </c>
      <c r="D269" s="11" t="s">
        <v>43</v>
      </c>
      <c r="E269" s="11" t="s">
        <v>62</v>
      </c>
      <c r="F269" s="11" t="s">
        <v>179</v>
      </c>
      <c r="G269" s="15">
        <v>46077</v>
      </c>
      <c r="H269" s="14" t="str">
        <f>IFERROR(INDEX(面试清单!H:H,MATCH(268,面试清单!P:P,0)),"")</f>
        <v>线下</v>
      </c>
      <c r="I269" s="13" t="s">
        <v>29</v>
      </c>
      <c r="J269" s="14">
        <f ca="1" t="shared" si="13"/>
        <v>112</v>
      </c>
      <c r="K269" s="14">
        <f ca="1" t="shared" si="14"/>
        <v>16</v>
      </c>
    </row>
    <row r="270" ht="18" spans="1:11">
      <c r="A270" s="10">
        <f t="shared" si="12"/>
        <v>269</v>
      </c>
      <c r="B270" s="11" t="s">
        <v>4220</v>
      </c>
      <c r="C270" s="125" t="str">
        <f>IFERROR(INDEX(面试清单!D:D,MATCH(269,面试清单!P:P,0)),"")</f>
        <v>0214</v>
      </c>
      <c r="D270" s="11" t="s">
        <v>42</v>
      </c>
      <c r="E270" s="11" t="s">
        <v>63</v>
      </c>
      <c r="F270" s="11" t="s">
        <v>179</v>
      </c>
      <c r="G270" s="15">
        <v>46077</v>
      </c>
      <c r="H270" s="10" t="str">
        <f>IFERROR(INDEX(面试清单!H:H,MATCH(269,面试清单!P:P,0)),"")</f>
        <v>线下</v>
      </c>
      <c r="I270" s="13" t="s">
        <v>29</v>
      </c>
      <c r="J270" s="10">
        <f ca="1" t="shared" si="13"/>
        <v>112</v>
      </c>
      <c r="K270" s="10">
        <f ca="1" t="shared" si="14"/>
        <v>16</v>
      </c>
    </row>
    <row r="271" ht="18" spans="1:11">
      <c r="A271" s="14">
        <f t="shared" si="12"/>
        <v>270</v>
      </c>
      <c r="B271" s="11" t="s">
        <v>4221</v>
      </c>
      <c r="C271" s="124" t="str">
        <f>IFERROR(INDEX(面试清单!D:D,MATCH(270,面试清单!P:P,0)),"")</f>
        <v>0217</v>
      </c>
      <c r="D271" s="11" t="s">
        <v>43</v>
      </c>
      <c r="E271" s="11" t="s">
        <v>62</v>
      </c>
      <c r="F271" s="11" t="s">
        <v>179</v>
      </c>
      <c r="G271" s="15">
        <v>46077</v>
      </c>
      <c r="H271" s="14" t="str">
        <f>IFERROR(INDEX(面试清单!H:H,MATCH(270,面试清单!P:P,0)),"")</f>
        <v>线下</v>
      </c>
      <c r="I271" s="13" t="s">
        <v>29</v>
      </c>
      <c r="J271" s="14">
        <f ca="1" t="shared" si="13"/>
        <v>112</v>
      </c>
      <c r="K271" s="14">
        <f ca="1" t="shared" si="14"/>
        <v>16</v>
      </c>
    </row>
    <row r="272" ht="18" spans="1:11">
      <c r="A272" s="10">
        <f t="shared" si="12"/>
        <v>271</v>
      </c>
      <c r="B272" s="11" t="s">
        <v>4222</v>
      </c>
      <c r="C272" s="125" t="str">
        <f>IFERROR(INDEX(面试清单!D:D,MATCH(271,面试清单!P:P,0)),"")</f>
        <v>0218</v>
      </c>
      <c r="D272" s="11" t="s">
        <v>42</v>
      </c>
      <c r="E272" s="11" t="s">
        <v>62</v>
      </c>
      <c r="F272" s="11" t="s">
        <v>179</v>
      </c>
      <c r="G272" s="15">
        <v>46077</v>
      </c>
      <c r="H272" s="10" t="str">
        <f>IFERROR(INDEX(面试清单!H:H,MATCH(271,面试清单!P:P,0)),"")</f>
        <v>线下</v>
      </c>
      <c r="I272" s="13" t="s">
        <v>29</v>
      </c>
      <c r="J272" s="10">
        <f ca="1" t="shared" si="13"/>
        <v>112</v>
      </c>
      <c r="K272" s="10">
        <f ca="1" t="shared" si="14"/>
        <v>16</v>
      </c>
    </row>
    <row r="273" ht="18" spans="1:11">
      <c r="A273" s="14">
        <f t="shared" si="12"/>
        <v>272</v>
      </c>
      <c r="B273" s="11" t="s">
        <v>4223</v>
      </c>
      <c r="C273" s="124" t="str">
        <f>IFERROR(INDEX(面试清单!D:D,MATCH(272,面试清单!P:P,0)),"")</f>
        <v>0220</v>
      </c>
      <c r="D273" s="11" t="s">
        <v>42</v>
      </c>
      <c r="E273" s="11" t="s">
        <v>62</v>
      </c>
      <c r="F273" s="11" t="s">
        <v>103</v>
      </c>
      <c r="G273" s="15">
        <v>46077</v>
      </c>
      <c r="H273" s="14" t="str">
        <f>IFERROR(INDEX(面试清单!H:H,MATCH(272,面试清单!P:P,0)),"")</f>
        <v>线下</v>
      </c>
      <c r="I273" s="13" t="s">
        <v>29</v>
      </c>
      <c r="J273" s="14">
        <f ca="1" t="shared" si="13"/>
        <v>112</v>
      </c>
      <c r="K273" s="14">
        <f ca="1" t="shared" si="14"/>
        <v>16</v>
      </c>
    </row>
    <row r="274" ht="18" spans="1:11">
      <c r="A274" s="10">
        <f t="shared" si="12"/>
        <v>273</v>
      </c>
      <c r="B274" s="11" t="s">
        <v>4224</v>
      </c>
      <c r="C274" s="10" t="str">
        <f>IFERROR(INDEX(面试清单!D:D,MATCH(273,面试清单!P:P,0)),"")</f>
        <v/>
      </c>
      <c r="D274" s="11" t="s">
        <v>42</v>
      </c>
      <c r="E274" s="11" t="s">
        <v>63</v>
      </c>
      <c r="F274" s="11" t="s">
        <v>103</v>
      </c>
      <c r="G274" s="15">
        <v>46077</v>
      </c>
      <c r="H274" s="10" t="str">
        <f>IFERROR(INDEX(面试清单!H:H,MATCH(273,面试清单!P:P,0)),"")</f>
        <v/>
      </c>
      <c r="I274" s="13" t="s">
        <v>29</v>
      </c>
      <c r="J274" s="10">
        <f ca="1" t="shared" si="13"/>
        <v>112</v>
      </c>
      <c r="K274" s="10">
        <f ca="1" t="shared" si="14"/>
        <v>16</v>
      </c>
    </row>
    <row r="275" ht="18" spans="1:11">
      <c r="A275" s="14">
        <f t="shared" si="12"/>
        <v>274</v>
      </c>
      <c r="B275" s="11" t="s">
        <v>4225</v>
      </c>
      <c r="C275" s="124" t="str">
        <f>IFERROR(INDEX(面试清单!D:D,MATCH(274,面试清单!P:P,0)),"")</f>
        <v>0222</v>
      </c>
      <c r="D275" s="11" t="s">
        <v>42</v>
      </c>
      <c r="E275" s="11" t="s">
        <v>62</v>
      </c>
      <c r="F275" s="11" t="s">
        <v>103</v>
      </c>
      <c r="G275" s="15">
        <v>46077</v>
      </c>
      <c r="H275" s="14" t="str">
        <f>IFERROR(INDEX(面试清单!H:H,MATCH(274,面试清单!P:P,0)),"")</f>
        <v>线下</v>
      </c>
      <c r="I275" s="13" t="s">
        <v>29</v>
      </c>
      <c r="J275" s="14">
        <f ca="1" t="shared" si="13"/>
        <v>112</v>
      </c>
      <c r="K275" s="14">
        <f ca="1" t="shared" si="14"/>
        <v>16</v>
      </c>
    </row>
    <row r="276" ht="18" spans="1:11">
      <c r="A276" s="10">
        <f t="shared" si="12"/>
        <v>275</v>
      </c>
      <c r="B276" s="11" t="s">
        <v>4226</v>
      </c>
      <c r="C276" s="10" t="str">
        <f>IFERROR(INDEX(面试清单!D:D,MATCH(275,面试清单!P:P,0)),"")</f>
        <v/>
      </c>
      <c r="D276" s="11" t="s">
        <v>43</v>
      </c>
      <c r="E276" s="11" t="s">
        <v>62</v>
      </c>
      <c r="F276" s="11" t="s">
        <v>103</v>
      </c>
      <c r="G276" s="15">
        <v>46077</v>
      </c>
      <c r="H276" s="10" t="str">
        <f>IFERROR(INDEX(面试清单!H:H,MATCH(275,面试清单!P:P,0)),"")</f>
        <v/>
      </c>
      <c r="I276" s="13" t="s">
        <v>29</v>
      </c>
      <c r="J276" s="10">
        <f ca="1" t="shared" si="13"/>
        <v>112</v>
      </c>
      <c r="K276" s="10">
        <f ca="1" t="shared" si="14"/>
        <v>16</v>
      </c>
    </row>
    <row r="277" ht="18" spans="1:11">
      <c r="A277" s="14">
        <f t="shared" si="12"/>
        <v>276</v>
      </c>
      <c r="B277" s="11" t="s">
        <v>4227</v>
      </c>
      <c r="C277" s="124" t="str">
        <f>IFERROR(INDEX(面试清单!D:D,MATCH(276,面试清单!P:P,0)),"")</f>
        <v>0209</v>
      </c>
      <c r="D277" s="11" t="s">
        <v>42</v>
      </c>
      <c r="E277" s="11" t="s">
        <v>62</v>
      </c>
      <c r="F277" s="11" t="s">
        <v>233</v>
      </c>
      <c r="G277" s="15">
        <v>46077</v>
      </c>
      <c r="H277" s="14" t="str">
        <f>IFERROR(INDEX(面试清单!H:H,MATCH(276,面试清单!P:P,0)),"")</f>
        <v>线下</v>
      </c>
      <c r="I277" s="13" t="s">
        <v>29</v>
      </c>
      <c r="J277" s="14">
        <f ca="1" t="shared" si="13"/>
        <v>112</v>
      </c>
      <c r="K277" s="14">
        <f ca="1" t="shared" si="14"/>
        <v>16</v>
      </c>
    </row>
    <row r="278" ht="18" spans="1:11">
      <c r="A278" s="10">
        <f t="shared" si="12"/>
        <v>277</v>
      </c>
      <c r="B278" s="11" t="s">
        <v>4228</v>
      </c>
      <c r="C278" s="125" t="str">
        <f>IFERROR(INDEX(面试清单!D:D,MATCH(277,面试清单!P:P,0)),"")</f>
        <v>0212</v>
      </c>
      <c r="D278" s="11" t="s">
        <v>43</v>
      </c>
      <c r="E278" s="11" t="s">
        <v>62</v>
      </c>
      <c r="F278" s="11" t="s">
        <v>179</v>
      </c>
      <c r="G278" s="15">
        <v>46077</v>
      </c>
      <c r="H278" s="10" t="str">
        <f>IFERROR(INDEX(面试清单!H:H,MATCH(277,面试清单!P:P,0)),"")</f>
        <v>线下</v>
      </c>
      <c r="I278" s="13" t="s">
        <v>29</v>
      </c>
      <c r="J278" s="10">
        <f ca="1" t="shared" si="13"/>
        <v>112</v>
      </c>
      <c r="K278" s="10">
        <f ca="1" t="shared" si="14"/>
        <v>16</v>
      </c>
    </row>
    <row r="279" ht="18" spans="1:11">
      <c r="A279" s="14">
        <f t="shared" si="12"/>
        <v>278</v>
      </c>
      <c r="B279" s="11" t="s">
        <v>4229</v>
      </c>
      <c r="C279" s="14" t="str">
        <f>IFERROR(INDEX(面试清单!D:D,MATCH(278,面试清单!P:P,0)),"")</f>
        <v/>
      </c>
      <c r="D279" s="11" t="s">
        <v>42</v>
      </c>
      <c r="E279" s="11" t="s">
        <v>63</v>
      </c>
      <c r="F279" s="11" t="s">
        <v>179</v>
      </c>
      <c r="G279" s="15">
        <v>46077</v>
      </c>
      <c r="H279" s="14" t="str">
        <f>IFERROR(INDEX(面试清单!H:H,MATCH(278,面试清单!P:P,0)),"")</f>
        <v/>
      </c>
      <c r="I279" s="13" t="s">
        <v>29</v>
      </c>
      <c r="J279" s="14">
        <f ca="1" t="shared" si="13"/>
        <v>112</v>
      </c>
      <c r="K279" s="14">
        <f ca="1" t="shared" si="14"/>
        <v>16</v>
      </c>
    </row>
    <row r="280" ht="18" spans="1:11">
      <c r="A280" s="10">
        <f t="shared" si="12"/>
        <v>279</v>
      </c>
      <c r="B280" s="11" t="s">
        <v>4230</v>
      </c>
      <c r="C280" s="125" t="str">
        <f>IFERROR(INDEX(面试清单!D:D,MATCH(279,面试清单!P:P,0)),"")</f>
        <v>0217</v>
      </c>
      <c r="D280" s="11" t="s">
        <v>42</v>
      </c>
      <c r="E280" s="11" t="s">
        <v>62</v>
      </c>
      <c r="F280" s="11" t="s">
        <v>179</v>
      </c>
      <c r="G280" s="15">
        <v>46077</v>
      </c>
      <c r="H280" s="10" t="str">
        <f>IFERROR(INDEX(面试清单!H:H,MATCH(279,面试清单!P:P,0)),"")</f>
        <v>线下</v>
      </c>
      <c r="I280" s="13" t="s">
        <v>29</v>
      </c>
      <c r="J280" s="10">
        <f ca="1" t="shared" si="13"/>
        <v>112</v>
      </c>
      <c r="K280" s="10">
        <f ca="1" t="shared" si="14"/>
        <v>16</v>
      </c>
    </row>
    <row r="281" ht="18" spans="1:11">
      <c r="A281" s="14">
        <f t="shared" si="12"/>
        <v>280</v>
      </c>
      <c r="B281" s="11" t="s">
        <v>4231</v>
      </c>
      <c r="C281" s="14" t="str">
        <f>IFERROR(INDEX(面试清单!D:D,MATCH(280,面试清单!P:P,0)),"")</f>
        <v/>
      </c>
      <c r="D281" s="11" t="s">
        <v>42</v>
      </c>
      <c r="E281" s="11" t="s">
        <v>62</v>
      </c>
      <c r="F281" s="11" t="s">
        <v>103</v>
      </c>
      <c r="G281" s="15">
        <v>46077</v>
      </c>
      <c r="H281" s="14" t="str">
        <f>IFERROR(INDEX(面试清单!H:H,MATCH(280,面试清单!P:P,0)),"")</f>
        <v/>
      </c>
      <c r="I281" s="13" t="s">
        <v>29</v>
      </c>
      <c r="J281" s="14">
        <f ca="1" t="shared" si="13"/>
        <v>112</v>
      </c>
      <c r="K281" s="14">
        <f ca="1" t="shared" si="14"/>
        <v>16</v>
      </c>
    </row>
    <row r="282" ht="18" spans="1:11">
      <c r="A282" s="10">
        <f t="shared" si="12"/>
        <v>281</v>
      </c>
      <c r="B282" s="11" t="s">
        <v>4232</v>
      </c>
      <c r="C282" s="125" t="str">
        <f>IFERROR(INDEX(面试清单!D:D,MATCH(281,面试清单!P:P,0)),"")</f>
        <v>0220</v>
      </c>
      <c r="D282" s="11" t="s">
        <v>42</v>
      </c>
      <c r="E282" s="11" t="s">
        <v>62</v>
      </c>
      <c r="F282" s="11" t="s">
        <v>103</v>
      </c>
      <c r="G282" s="15">
        <v>46077</v>
      </c>
      <c r="H282" s="10" t="str">
        <f>IFERROR(INDEX(面试清单!H:H,MATCH(281,面试清单!P:P,0)),"")</f>
        <v>线下</v>
      </c>
      <c r="I282" s="13" t="s">
        <v>29</v>
      </c>
      <c r="J282" s="10">
        <f ca="1" t="shared" si="13"/>
        <v>112</v>
      </c>
      <c r="K282" s="10">
        <f ca="1" t="shared" si="14"/>
        <v>16</v>
      </c>
    </row>
    <row r="283" ht="18" spans="1:11">
      <c r="A283" s="14">
        <f t="shared" si="12"/>
        <v>282</v>
      </c>
      <c r="B283" s="11" t="s">
        <v>4233</v>
      </c>
      <c r="C283" s="124" t="str">
        <f>IFERROR(INDEX(面试清单!D:D,MATCH(282,面试清单!P:P,0)),"")</f>
        <v>0221</v>
      </c>
      <c r="D283" s="11" t="s">
        <v>42</v>
      </c>
      <c r="E283" s="11" t="s">
        <v>62</v>
      </c>
      <c r="F283" s="11" t="s">
        <v>103</v>
      </c>
      <c r="G283" s="15">
        <v>46077</v>
      </c>
      <c r="H283" s="14" t="str">
        <f>IFERROR(INDEX(面试清单!H:H,MATCH(282,面试清单!P:P,0)),"")</f>
        <v>线下</v>
      </c>
      <c r="I283" s="13" t="s">
        <v>29</v>
      </c>
      <c r="J283" s="14">
        <f ca="1" t="shared" si="13"/>
        <v>112</v>
      </c>
      <c r="K283" s="14">
        <f ca="1" t="shared" si="14"/>
        <v>16</v>
      </c>
    </row>
    <row r="284" ht="18" spans="1:11">
      <c r="A284" s="10">
        <f t="shared" si="12"/>
        <v>283</v>
      </c>
      <c r="B284" s="11" t="s">
        <v>4234</v>
      </c>
      <c r="C284" s="10" t="str">
        <f>IFERROR(INDEX(面试清单!D:D,MATCH(283,面试清单!P:P,0)),"")</f>
        <v/>
      </c>
      <c r="D284" s="11" t="s">
        <v>42</v>
      </c>
      <c r="E284" s="11" t="s">
        <v>62</v>
      </c>
      <c r="F284" s="11" t="s">
        <v>103</v>
      </c>
      <c r="G284" s="15">
        <v>46077</v>
      </c>
      <c r="H284" s="10" t="str">
        <f>IFERROR(INDEX(面试清单!H:H,MATCH(283,面试清单!P:P,0)),"")</f>
        <v/>
      </c>
      <c r="I284" s="13" t="s">
        <v>29</v>
      </c>
      <c r="J284" s="10">
        <f ca="1" t="shared" si="13"/>
        <v>112</v>
      </c>
      <c r="K284" s="10">
        <f ca="1" t="shared" si="14"/>
        <v>16</v>
      </c>
    </row>
    <row r="285" ht="18" spans="1:11">
      <c r="A285" s="14">
        <f t="shared" si="12"/>
        <v>284</v>
      </c>
      <c r="B285" s="11" t="s">
        <v>4235</v>
      </c>
      <c r="C285" s="124" t="str">
        <f>IFERROR(INDEX(面试清单!D:D,MATCH(284,面试清单!P:P,0)),"")</f>
        <v>0208</v>
      </c>
      <c r="D285" s="11" t="s">
        <v>43</v>
      </c>
      <c r="E285" s="11" t="s">
        <v>62</v>
      </c>
      <c r="F285" s="11" t="s">
        <v>129</v>
      </c>
      <c r="G285" s="15">
        <v>46077</v>
      </c>
      <c r="H285" s="14" t="str">
        <f>IFERROR(INDEX(面试清单!H:H,MATCH(284,面试清单!P:P,0)),"")</f>
        <v>线下</v>
      </c>
      <c r="I285" s="13" t="s">
        <v>29</v>
      </c>
      <c r="J285" s="14">
        <f ca="1" t="shared" si="13"/>
        <v>112</v>
      </c>
      <c r="K285" s="14">
        <f ca="1" t="shared" si="14"/>
        <v>16</v>
      </c>
    </row>
    <row r="286" ht="18" spans="1:11">
      <c r="A286" s="10">
        <f t="shared" si="12"/>
        <v>285</v>
      </c>
      <c r="B286" s="11" t="s">
        <v>4236</v>
      </c>
      <c r="C286" s="10" t="str">
        <f>IFERROR(INDEX(面试清单!D:D,MATCH(285,面试清单!P:P,0)),"")</f>
        <v/>
      </c>
      <c r="D286" s="11" t="s">
        <v>43</v>
      </c>
      <c r="E286" s="11" t="s">
        <v>62</v>
      </c>
      <c r="F286" s="11" t="s">
        <v>246</v>
      </c>
      <c r="G286" s="15">
        <v>46077</v>
      </c>
      <c r="H286" s="10" t="str">
        <f>IFERROR(INDEX(面试清单!H:H,MATCH(285,面试清单!P:P,0)),"")</f>
        <v/>
      </c>
      <c r="I286" s="13" t="s">
        <v>29</v>
      </c>
      <c r="J286" s="10">
        <f ca="1" t="shared" si="13"/>
        <v>112</v>
      </c>
      <c r="K286" s="10">
        <f ca="1" t="shared" si="14"/>
        <v>16</v>
      </c>
    </row>
    <row r="287" ht="18" spans="1:11">
      <c r="A287" s="14">
        <f t="shared" si="12"/>
        <v>286</v>
      </c>
      <c r="B287" s="11" t="s">
        <v>4237</v>
      </c>
      <c r="C287" s="14" t="str">
        <f>IFERROR(INDEX(面试清单!D:D,MATCH(286,面试清单!P:P,0)),"")</f>
        <v/>
      </c>
      <c r="D287" s="11" t="s">
        <v>43</v>
      </c>
      <c r="E287" s="11" t="s">
        <v>62</v>
      </c>
      <c r="F287" s="11" t="s">
        <v>179</v>
      </c>
      <c r="G287" s="15">
        <v>46077</v>
      </c>
      <c r="H287" s="14" t="str">
        <f>IFERROR(INDEX(面试清单!H:H,MATCH(286,面试清单!P:P,0)),"")</f>
        <v/>
      </c>
      <c r="I287" s="13" t="s">
        <v>29</v>
      </c>
      <c r="J287" s="14">
        <f ca="1" t="shared" si="13"/>
        <v>112</v>
      </c>
      <c r="K287" s="14">
        <f ca="1" t="shared" si="14"/>
        <v>16</v>
      </c>
    </row>
    <row r="288" ht="18" spans="1:11">
      <c r="A288" s="10">
        <f t="shared" si="12"/>
        <v>287</v>
      </c>
      <c r="B288" s="11" t="s">
        <v>4238</v>
      </c>
      <c r="C288" s="125" t="str">
        <f>IFERROR(INDEX(面试清单!D:D,MATCH(287,面试清单!P:P,0)),"")</f>
        <v>0212</v>
      </c>
      <c r="D288" s="11" t="s">
        <v>43</v>
      </c>
      <c r="E288" s="11" t="s">
        <v>62</v>
      </c>
      <c r="F288" s="11" t="s">
        <v>179</v>
      </c>
      <c r="G288" s="15">
        <v>46077</v>
      </c>
      <c r="H288" s="10" t="str">
        <f>IFERROR(INDEX(面试清单!H:H,MATCH(287,面试清单!P:P,0)),"")</f>
        <v>线下</v>
      </c>
      <c r="I288" s="13" t="s">
        <v>29</v>
      </c>
      <c r="J288" s="10">
        <f ca="1" t="shared" si="13"/>
        <v>112</v>
      </c>
      <c r="K288" s="10">
        <f ca="1" t="shared" si="14"/>
        <v>16</v>
      </c>
    </row>
    <row r="289" ht="18" spans="1:11">
      <c r="A289" s="14">
        <f t="shared" si="12"/>
        <v>288</v>
      </c>
      <c r="B289" s="11" t="s">
        <v>4239</v>
      </c>
      <c r="C289" s="124" t="str">
        <f>IFERROR(INDEX(面试清单!D:D,MATCH(288,面试清单!P:P,0)),"")</f>
        <v>0214</v>
      </c>
      <c r="D289" s="11" t="s">
        <v>42</v>
      </c>
      <c r="E289" s="11" t="s">
        <v>62</v>
      </c>
      <c r="F289" s="11" t="s">
        <v>103</v>
      </c>
      <c r="G289" s="15">
        <v>46078</v>
      </c>
      <c r="H289" s="14" t="str">
        <f>IFERROR(INDEX(面试清单!H:H,MATCH(288,面试清单!P:P,0)),"")</f>
        <v>线下</v>
      </c>
      <c r="I289" s="13" t="s">
        <v>29</v>
      </c>
      <c r="J289" s="14">
        <f ca="1" t="shared" si="13"/>
        <v>111</v>
      </c>
      <c r="K289" s="14">
        <f ca="1" t="shared" si="14"/>
        <v>16</v>
      </c>
    </row>
    <row r="290" ht="18" spans="1:11">
      <c r="A290" s="10">
        <f t="shared" si="12"/>
        <v>289</v>
      </c>
      <c r="B290" s="11" t="s">
        <v>4240</v>
      </c>
      <c r="C290" s="10" t="str">
        <f>IFERROR(INDEX(面试清单!D:D,MATCH(289,面试清单!P:P,0)),"")</f>
        <v/>
      </c>
      <c r="D290" s="11" t="s">
        <v>42</v>
      </c>
      <c r="E290" s="11" t="s">
        <v>62</v>
      </c>
      <c r="F290" s="11" t="s">
        <v>103</v>
      </c>
      <c r="G290" s="15">
        <v>46078</v>
      </c>
      <c r="H290" s="10" t="str">
        <f>IFERROR(INDEX(面试清单!H:H,MATCH(289,面试清单!P:P,0)),"")</f>
        <v/>
      </c>
      <c r="I290" s="13" t="s">
        <v>29</v>
      </c>
      <c r="J290" s="10">
        <f ca="1" t="shared" si="13"/>
        <v>111</v>
      </c>
      <c r="K290" s="10">
        <f ca="1" t="shared" si="14"/>
        <v>16</v>
      </c>
    </row>
    <row r="291" ht="18" spans="1:11">
      <c r="A291" s="14">
        <f t="shared" si="12"/>
        <v>290</v>
      </c>
      <c r="B291" s="11" t="s">
        <v>4241</v>
      </c>
      <c r="C291" s="14" t="str">
        <f>IFERROR(INDEX(面试清单!D:D,MATCH(290,面试清单!P:P,0)),"")</f>
        <v/>
      </c>
      <c r="D291" s="11" t="s">
        <v>42</v>
      </c>
      <c r="E291" s="11" t="s">
        <v>63</v>
      </c>
      <c r="F291" s="11" t="s">
        <v>103</v>
      </c>
      <c r="G291" s="15">
        <v>46078</v>
      </c>
      <c r="H291" s="14" t="str">
        <f>IFERROR(INDEX(面试清单!H:H,MATCH(290,面试清单!P:P,0)),"")</f>
        <v/>
      </c>
      <c r="I291" s="13" t="s">
        <v>29</v>
      </c>
      <c r="J291" s="14">
        <f ca="1" t="shared" si="13"/>
        <v>111</v>
      </c>
      <c r="K291" s="14">
        <f ca="1" t="shared" si="14"/>
        <v>16</v>
      </c>
    </row>
    <row r="292" ht="18" spans="1:11">
      <c r="A292" s="10">
        <f t="shared" si="12"/>
        <v>291</v>
      </c>
      <c r="B292" s="11" t="s">
        <v>4242</v>
      </c>
      <c r="C292" s="10" t="str">
        <f>IFERROR(INDEX(面试清单!D:D,MATCH(291,面试清单!P:P,0)),"")</f>
        <v/>
      </c>
      <c r="D292" s="11" t="s">
        <v>42</v>
      </c>
      <c r="E292" s="11" t="s">
        <v>62</v>
      </c>
      <c r="F292" s="11" t="s">
        <v>132</v>
      </c>
      <c r="G292" s="15">
        <v>46078</v>
      </c>
      <c r="H292" s="10" t="str">
        <f>IFERROR(INDEX(面试清单!H:H,MATCH(291,面试清单!P:P,0)),"")</f>
        <v/>
      </c>
      <c r="I292" s="13" t="s">
        <v>29</v>
      </c>
      <c r="J292" s="10">
        <f ca="1" t="shared" si="13"/>
        <v>111</v>
      </c>
      <c r="K292" s="10">
        <f ca="1" t="shared" si="14"/>
        <v>16</v>
      </c>
    </row>
    <row r="293" ht="18" spans="1:11">
      <c r="A293" s="14">
        <f t="shared" si="12"/>
        <v>292</v>
      </c>
      <c r="B293" s="11" t="s">
        <v>4243</v>
      </c>
      <c r="C293" s="14" t="str">
        <f>IFERROR(INDEX(面试清单!D:D,MATCH(292,面试清单!P:P,0)),"")</f>
        <v/>
      </c>
      <c r="D293" s="11" t="s">
        <v>42</v>
      </c>
      <c r="E293" s="11" t="s">
        <v>62</v>
      </c>
      <c r="F293" s="11" t="s">
        <v>124</v>
      </c>
      <c r="G293" s="15">
        <v>46078</v>
      </c>
      <c r="H293" s="14" t="str">
        <f>IFERROR(INDEX(面试清单!H:H,MATCH(292,面试清单!P:P,0)),"")</f>
        <v/>
      </c>
      <c r="I293" s="13" t="s">
        <v>29</v>
      </c>
      <c r="J293" s="14">
        <f ca="1" t="shared" si="13"/>
        <v>111</v>
      </c>
      <c r="K293" s="14">
        <f ca="1" t="shared" si="14"/>
        <v>16</v>
      </c>
    </row>
    <row r="294" ht="18" spans="1:11">
      <c r="A294" s="10">
        <f t="shared" si="12"/>
        <v>293</v>
      </c>
      <c r="B294" s="11" t="s">
        <v>4244</v>
      </c>
      <c r="C294" s="10" t="str">
        <f>IFERROR(INDEX(面试清单!D:D,MATCH(293,面试清单!P:P,0)),"")</f>
        <v/>
      </c>
      <c r="D294" s="11" t="s">
        <v>43</v>
      </c>
      <c r="E294" s="11" t="s">
        <v>63</v>
      </c>
      <c r="F294" s="11" t="s">
        <v>135</v>
      </c>
      <c r="G294" s="15">
        <v>46078</v>
      </c>
      <c r="H294" s="10" t="str">
        <f>IFERROR(INDEX(面试清单!H:H,MATCH(293,面试清单!P:P,0)),"")</f>
        <v/>
      </c>
      <c r="I294" s="13" t="s">
        <v>29</v>
      </c>
      <c r="J294" s="10">
        <f ca="1" t="shared" si="13"/>
        <v>111</v>
      </c>
      <c r="K294" s="10">
        <f ca="1" t="shared" si="14"/>
        <v>16</v>
      </c>
    </row>
    <row r="295" ht="18" spans="1:11">
      <c r="A295" s="14">
        <f t="shared" si="12"/>
        <v>294</v>
      </c>
      <c r="B295" s="11" t="s">
        <v>4245</v>
      </c>
      <c r="C295" s="14" t="str">
        <f>IFERROR(INDEX(面试清单!D:D,MATCH(294,面试清单!P:P,0)),"")</f>
        <v/>
      </c>
      <c r="D295" s="11" t="s">
        <v>42</v>
      </c>
      <c r="E295" s="11" t="s">
        <v>62</v>
      </c>
      <c r="F295" s="11" t="s">
        <v>307</v>
      </c>
      <c r="G295" s="15">
        <v>46078</v>
      </c>
      <c r="H295" s="14" t="str">
        <f>IFERROR(INDEX(面试清单!H:H,MATCH(294,面试清单!P:P,0)),"")</f>
        <v/>
      </c>
      <c r="I295" s="13" t="s">
        <v>29</v>
      </c>
      <c r="J295" s="14">
        <f ca="1" t="shared" si="13"/>
        <v>111</v>
      </c>
      <c r="K295" s="14">
        <f ca="1" t="shared" si="14"/>
        <v>16</v>
      </c>
    </row>
    <row r="296" ht="18" spans="1:11">
      <c r="A296" s="10">
        <f t="shared" si="12"/>
        <v>295</v>
      </c>
      <c r="B296" s="11" t="s">
        <v>4246</v>
      </c>
      <c r="C296" s="10" t="str">
        <f>IFERROR(INDEX(面试清单!D:D,MATCH(295,面试清单!P:P,0)),"")</f>
        <v/>
      </c>
      <c r="D296" s="11" t="s">
        <v>42</v>
      </c>
      <c r="E296" s="11" t="s">
        <v>62</v>
      </c>
      <c r="F296" s="11" t="s">
        <v>103</v>
      </c>
      <c r="G296" s="15">
        <v>46078</v>
      </c>
      <c r="H296" s="10" t="str">
        <f>IFERROR(INDEX(面试清单!H:H,MATCH(295,面试清单!P:P,0)),"")</f>
        <v/>
      </c>
      <c r="I296" s="13" t="s">
        <v>29</v>
      </c>
      <c r="J296" s="10">
        <f ca="1" t="shared" si="13"/>
        <v>111</v>
      </c>
      <c r="K296" s="10">
        <f ca="1" t="shared" si="14"/>
        <v>16</v>
      </c>
    </row>
    <row r="297" ht="18" spans="1:11">
      <c r="A297" s="14">
        <f t="shared" si="12"/>
        <v>296</v>
      </c>
      <c r="B297" s="11" t="s">
        <v>4247</v>
      </c>
      <c r="C297" s="14" t="str">
        <f>IFERROR(INDEX(面试清单!D:D,MATCH(296,面试清单!P:P,0)),"")</f>
        <v/>
      </c>
      <c r="D297" s="11" t="s">
        <v>42</v>
      </c>
      <c r="E297" s="11" t="s">
        <v>62</v>
      </c>
      <c r="F297" s="11" t="s">
        <v>103</v>
      </c>
      <c r="G297" s="15">
        <v>46078</v>
      </c>
      <c r="H297" s="14" t="str">
        <f>IFERROR(INDEX(面试清单!H:H,MATCH(296,面试清单!P:P,0)),"")</f>
        <v/>
      </c>
      <c r="I297" s="13" t="s">
        <v>29</v>
      </c>
      <c r="J297" s="14">
        <f ca="1" t="shared" si="13"/>
        <v>111</v>
      </c>
      <c r="K297" s="14">
        <f ca="1" t="shared" si="14"/>
        <v>16</v>
      </c>
    </row>
    <row r="298" ht="18" spans="1:11">
      <c r="A298" s="10">
        <f t="shared" si="12"/>
        <v>297</v>
      </c>
      <c r="B298" s="11" t="s">
        <v>4248</v>
      </c>
      <c r="C298" s="125" t="str">
        <f>IFERROR(INDEX(面试清单!D:D,MATCH(297,面试清单!P:P,0)),"")</f>
        <v>0214</v>
      </c>
      <c r="D298" s="11" t="s">
        <v>42</v>
      </c>
      <c r="E298" s="11" t="s">
        <v>62</v>
      </c>
      <c r="F298" s="11" t="s">
        <v>103</v>
      </c>
      <c r="G298" s="15">
        <v>46078</v>
      </c>
      <c r="H298" s="10" t="str">
        <f>IFERROR(INDEX(面试清单!H:H,MATCH(297,面试清单!P:P,0)),"")</f>
        <v>线下</v>
      </c>
      <c r="I298" s="13" t="s">
        <v>29</v>
      </c>
      <c r="J298" s="10">
        <f ca="1" t="shared" si="13"/>
        <v>111</v>
      </c>
      <c r="K298" s="10">
        <f ca="1" t="shared" si="14"/>
        <v>16</v>
      </c>
    </row>
    <row r="299" ht="18" spans="1:11">
      <c r="A299" s="14">
        <f t="shared" si="12"/>
        <v>298</v>
      </c>
      <c r="B299" s="11" t="s">
        <v>4249</v>
      </c>
      <c r="C299" s="14" t="str">
        <f>IFERROR(INDEX(面试清单!D:D,MATCH(298,面试清单!P:P,0)),"")</f>
        <v/>
      </c>
      <c r="D299" s="11" t="s">
        <v>42</v>
      </c>
      <c r="E299" s="11" t="s">
        <v>62</v>
      </c>
      <c r="F299" s="11" t="s">
        <v>179</v>
      </c>
      <c r="G299" s="15">
        <v>46078</v>
      </c>
      <c r="H299" s="14" t="str">
        <f>IFERROR(INDEX(面试清单!H:H,MATCH(298,面试清单!P:P,0)),"")</f>
        <v/>
      </c>
      <c r="I299" s="13" t="s">
        <v>29</v>
      </c>
      <c r="J299" s="14">
        <f ca="1" t="shared" si="13"/>
        <v>111</v>
      </c>
      <c r="K299" s="14">
        <f ca="1" t="shared" si="14"/>
        <v>16</v>
      </c>
    </row>
    <row r="300" ht="18" spans="1:11">
      <c r="A300" s="10">
        <f t="shared" si="12"/>
        <v>299</v>
      </c>
      <c r="B300" s="11" t="s">
        <v>4250</v>
      </c>
      <c r="C300" s="10" t="str">
        <f>IFERROR(INDEX(面试清单!D:D,MATCH(299,面试清单!P:P,0)),"")</f>
        <v/>
      </c>
      <c r="D300" s="11" t="s">
        <v>43</v>
      </c>
      <c r="E300" s="11" t="s">
        <v>62</v>
      </c>
      <c r="F300" s="11" t="s">
        <v>173</v>
      </c>
      <c r="G300" s="15">
        <v>46078</v>
      </c>
      <c r="H300" s="10" t="str">
        <f>IFERROR(INDEX(面试清单!H:H,MATCH(299,面试清单!P:P,0)),"")</f>
        <v/>
      </c>
      <c r="I300" s="13" t="s">
        <v>29</v>
      </c>
      <c r="J300" s="10">
        <f ca="1" t="shared" si="13"/>
        <v>111</v>
      </c>
      <c r="K300" s="10">
        <f ca="1" t="shared" si="14"/>
        <v>16</v>
      </c>
    </row>
    <row r="301" ht="18" spans="1:11">
      <c r="A301" s="14">
        <f t="shared" si="12"/>
        <v>300</v>
      </c>
      <c r="B301" s="11" t="s">
        <v>4251</v>
      </c>
      <c r="C301" s="124" t="str">
        <f>IFERROR(INDEX(面试清单!D:D,MATCH(300,面试清单!P:P,0)),"")</f>
        <v>0220</v>
      </c>
      <c r="D301" s="11" t="s">
        <v>43</v>
      </c>
      <c r="E301" s="11" t="s">
        <v>62</v>
      </c>
      <c r="F301" s="11" t="s">
        <v>233</v>
      </c>
      <c r="G301" s="15">
        <v>46078</v>
      </c>
      <c r="H301" s="14" t="str">
        <f>IFERROR(INDEX(面试清单!H:H,MATCH(300,面试清单!P:P,0)),"")</f>
        <v>线下</v>
      </c>
      <c r="I301" s="13" t="s">
        <v>29</v>
      </c>
      <c r="J301" s="14">
        <f ca="1" t="shared" si="13"/>
        <v>111</v>
      </c>
      <c r="K301" s="14">
        <f ca="1" t="shared" si="14"/>
        <v>16</v>
      </c>
    </row>
    <row r="302" ht="18" spans="1:11">
      <c r="A302" s="10">
        <f t="shared" si="12"/>
        <v>301</v>
      </c>
      <c r="B302" s="11" t="s">
        <v>4252</v>
      </c>
      <c r="C302" s="10" t="str">
        <f>IFERROR(INDEX(面试清单!D:D,MATCH(301,面试清单!P:P,0)),"")</f>
        <v/>
      </c>
      <c r="D302" s="11" t="s">
        <v>43</v>
      </c>
      <c r="E302" s="11" t="s">
        <v>62</v>
      </c>
      <c r="F302" s="11" t="s">
        <v>307</v>
      </c>
      <c r="G302" s="15">
        <v>46078</v>
      </c>
      <c r="H302" s="10" t="str">
        <f>IFERROR(INDEX(面试清单!H:H,MATCH(301,面试清单!P:P,0)),"")</f>
        <v/>
      </c>
      <c r="I302" s="13" t="s">
        <v>29</v>
      </c>
      <c r="J302" s="10">
        <f ca="1" t="shared" si="13"/>
        <v>111</v>
      </c>
      <c r="K302" s="10">
        <f ca="1" t="shared" si="14"/>
        <v>16</v>
      </c>
    </row>
    <row r="303" ht="18" spans="1:11">
      <c r="A303" s="14">
        <f t="shared" si="12"/>
        <v>302</v>
      </c>
      <c r="B303" s="11" t="s">
        <v>4253</v>
      </c>
      <c r="C303" s="14" t="str">
        <f>IFERROR(INDEX(面试清单!D:D,MATCH(302,面试清单!P:P,0)),"")</f>
        <v/>
      </c>
      <c r="D303" s="11" t="s">
        <v>42</v>
      </c>
      <c r="E303" s="11" t="s">
        <v>62</v>
      </c>
      <c r="F303" s="11" t="s">
        <v>173</v>
      </c>
      <c r="G303" s="15">
        <v>46078</v>
      </c>
      <c r="H303" s="14" t="str">
        <f>IFERROR(INDEX(面试清单!H:H,MATCH(302,面试清单!P:P,0)),"")</f>
        <v/>
      </c>
      <c r="I303" s="13" t="s">
        <v>29</v>
      </c>
      <c r="J303" s="14">
        <f ca="1" t="shared" si="13"/>
        <v>111</v>
      </c>
      <c r="K303" s="14">
        <f ca="1" t="shared" si="14"/>
        <v>16</v>
      </c>
    </row>
    <row r="304" ht="18" spans="1:11">
      <c r="A304" s="10">
        <f t="shared" si="12"/>
        <v>303</v>
      </c>
      <c r="B304" s="11" t="s">
        <v>4254</v>
      </c>
      <c r="C304" s="125" t="str">
        <f>IFERROR(INDEX(面试清单!D:D,MATCH(303,面试清单!P:P,0)),"")</f>
        <v>0208</v>
      </c>
      <c r="D304" s="11" t="s">
        <v>42</v>
      </c>
      <c r="E304" s="11" t="s">
        <v>63</v>
      </c>
      <c r="F304" s="11" t="s">
        <v>179</v>
      </c>
      <c r="G304" s="15">
        <v>46079</v>
      </c>
      <c r="H304" s="10" t="str">
        <f>IFERROR(INDEX(面试清单!H:H,MATCH(303,面试清单!P:P,0)),"")</f>
        <v>线下</v>
      </c>
      <c r="I304" s="13" t="s">
        <v>29</v>
      </c>
      <c r="J304" s="10">
        <f ca="1" t="shared" si="13"/>
        <v>110</v>
      </c>
      <c r="K304" s="10">
        <f ca="1" t="shared" si="14"/>
        <v>16</v>
      </c>
    </row>
    <row r="305" ht="18" spans="1:11">
      <c r="A305" s="14">
        <f t="shared" si="12"/>
        <v>304</v>
      </c>
      <c r="B305" s="11" t="s">
        <v>4255</v>
      </c>
      <c r="C305" s="14" t="str">
        <f>IFERROR(INDEX(面试清单!D:D,MATCH(304,面试清单!P:P,0)),"")</f>
        <v/>
      </c>
      <c r="D305" s="11" t="s">
        <v>43</v>
      </c>
      <c r="E305" s="11" t="s">
        <v>62</v>
      </c>
      <c r="F305" s="11" t="s">
        <v>179</v>
      </c>
      <c r="G305" s="15">
        <v>46079</v>
      </c>
      <c r="H305" s="14" t="str">
        <f>IFERROR(INDEX(面试清单!H:H,MATCH(304,面试清单!P:P,0)),"")</f>
        <v/>
      </c>
      <c r="I305" s="13" t="s">
        <v>29</v>
      </c>
      <c r="J305" s="14">
        <f ca="1" t="shared" si="13"/>
        <v>110</v>
      </c>
      <c r="K305" s="14">
        <f ca="1" t="shared" si="14"/>
        <v>16</v>
      </c>
    </row>
    <row r="306" ht="18" spans="1:11">
      <c r="A306" s="10">
        <f t="shared" si="12"/>
        <v>305</v>
      </c>
      <c r="B306" s="11" t="s">
        <v>4256</v>
      </c>
      <c r="C306" s="10" t="str">
        <f>IFERROR(INDEX(面试清单!D:D,MATCH(305,面试清单!P:P,0)),"")</f>
        <v/>
      </c>
      <c r="D306" s="11" t="s">
        <v>43</v>
      </c>
      <c r="E306" s="11" t="s">
        <v>63</v>
      </c>
      <c r="F306" s="11" t="s">
        <v>173</v>
      </c>
      <c r="G306" s="15">
        <v>46079</v>
      </c>
      <c r="H306" s="10" t="str">
        <f>IFERROR(INDEX(面试清单!H:H,MATCH(305,面试清单!P:P,0)),"")</f>
        <v/>
      </c>
      <c r="I306" s="13" t="s">
        <v>29</v>
      </c>
      <c r="J306" s="10">
        <f ca="1" t="shared" si="13"/>
        <v>110</v>
      </c>
      <c r="K306" s="10">
        <f ca="1" t="shared" si="14"/>
        <v>16</v>
      </c>
    </row>
    <row r="307" ht="18" spans="1:11">
      <c r="A307" s="14">
        <f t="shared" si="12"/>
        <v>306</v>
      </c>
      <c r="B307" s="11" t="s">
        <v>4257</v>
      </c>
      <c r="C307" s="14" t="str">
        <f>IFERROR(INDEX(面试清单!D:D,MATCH(306,面试清单!P:P,0)),"")</f>
        <v/>
      </c>
      <c r="D307" s="11" t="s">
        <v>42</v>
      </c>
      <c r="E307" s="11" t="s">
        <v>62</v>
      </c>
      <c r="F307" s="11" t="s">
        <v>110</v>
      </c>
      <c r="G307" s="15">
        <v>46079</v>
      </c>
      <c r="H307" s="14" t="str">
        <f>IFERROR(INDEX(面试清单!H:H,MATCH(306,面试清单!P:P,0)),"")</f>
        <v/>
      </c>
      <c r="I307" s="13" t="s">
        <v>29</v>
      </c>
      <c r="J307" s="14">
        <f ca="1" t="shared" si="13"/>
        <v>110</v>
      </c>
      <c r="K307" s="14">
        <f ca="1" t="shared" si="14"/>
        <v>16</v>
      </c>
    </row>
    <row r="308" ht="36" spans="1:11">
      <c r="A308" s="10">
        <f t="shared" si="12"/>
        <v>307</v>
      </c>
      <c r="B308" s="11" t="s">
        <v>4258</v>
      </c>
      <c r="C308" s="10" t="str">
        <f>IFERROR(INDEX(面试清单!D:D,MATCH(307,面试清单!P:P,0)),"")</f>
        <v/>
      </c>
      <c r="D308" s="11" t="s">
        <v>43</v>
      </c>
      <c r="E308" s="11" t="s">
        <v>62</v>
      </c>
      <c r="F308" s="11" t="s">
        <v>103</v>
      </c>
      <c r="G308" s="15">
        <v>46079</v>
      </c>
      <c r="H308" s="10" t="str">
        <f>IFERROR(INDEX(面试清单!H:H,MATCH(307,面试清单!P:P,0)),"")</f>
        <v/>
      </c>
      <c r="I308" s="13" t="s">
        <v>29</v>
      </c>
      <c r="J308" s="10">
        <f ca="1" t="shared" si="13"/>
        <v>110</v>
      </c>
      <c r="K308" s="10">
        <f ca="1" t="shared" si="14"/>
        <v>16</v>
      </c>
    </row>
    <row r="309" ht="18" spans="1:11">
      <c r="A309" s="14">
        <f t="shared" si="12"/>
        <v>308</v>
      </c>
      <c r="B309" s="11" t="s">
        <v>4259</v>
      </c>
      <c r="C309" s="124" t="str">
        <f>IFERROR(INDEX(面试清单!D:D,MATCH(308,面试清单!P:P,0)),"")</f>
        <v>0218</v>
      </c>
      <c r="D309" s="11" t="s">
        <v>42</v>
      </c>
      <c r="E309" s="11" t="s">
        <v>62</v>
      </c>
      <c r="F309" s="11" t="s">
        <v>103</v>
      </c>
      <c r="G309" s="15">
        <v>46079</v>
      </c>
      <c r="H309" s="14" t="str">
        <f>IFERROR(INDEX(面试清单!H:H,MATCH(308,面试清单!P:P,0)),"")</f>
        <v>线下</v>
      </c>
      <c r="I309" s="13" t="s">
        <v>29</v>
      </c>
      <c r="J309" s="14">
        <f ca="1" t="shared" si="13"/>
        <v>110</v>
      </c>
      <c r="K309" s="14">
        <f ca="1" t="shared" si="14"/>
        <v>16</v>
      </c>
    </row>
    <row r="310" ht="18" spans="1:11">
      <c r="A310" s="10">
        <f t="shared" si="12"/>
        <v>309</v>
      </c>
      <c r="B310" s="11" t="s">
        <v>4260</v>
      </c>
      <c r="C310" s="10" t="str">
        <f>IFERROR(INDEX(面试清单!D:D,MATCH(309,面试清单!P:P,0)),"")</f>
        <v/>
      </c>
      <c r="D310" s="11" t="s">
        <v>42</v>
      </c>
      <c r="E310" s="11" t="s">
        <v>63</v>
      </c>
      <c r="F310" s="11" t="s">
        <v>124</v>
      </c>
      <c r="G310" s="15">
        <v>46079</v>
      </c>
      <c r="H310" s="10" t="str">
        <f>IFERROR(INDEX(面试清单!H:H,MATCH(309,面试清单!P:P,0)),"")</f>
        <v/>
      </c>
      <c r="I310" s="13" t="s">
        <v>29</v>
      </c>
      <c r="J310" s="10">
        <f ca="1" t="shared" si="13"/>
        <v>110</v>
      </c>
      <c r="K310" s="10">
        <f ca="1" t="shared" si="14"/>
        <v>16</v>
      </c>
    </row>
    <row r="311" ht="18" spans="1:11">
      <c r="A311" s="14">
        <f t="shared" si="12"/>
        <v>310</v>
      </c>
      <c r="B311" s="11" t="s">
        <v>4261</v>
      </c>
      <c r="C311" s="14" t="str">
        <f>IFERROR(INDEX(面试清单!D:D,MATCH(310,面试清单!P:P,0)),"")</f>
        <v/>
      </c>
      <c r="D311" s="11" t="s">
        <v>42</v>
      </c>
      <c r="E311" s="11" t="s">
        <v>63</v>
      </c>
      <c r="F311" s="11" t="s">
        <v>179</v>
      </c>
      <c r="G311" s="15">
        <v>46079</v>
      </c>
      <c r="H311" s="14" t="str">
        <f>IFERROR(INDEX(面试清单!H:H,MATCH(310,面试清单!P:P,0)),"")</f>
        <v/>
      </c>
      <c r="I311" s="13" t="s">
        <v>29</v>
      </c>
      <c r="J311" s="14">
        <f ca="1" t="shared" si="13"/>
        <v>110</v>
      </c>
      <c r="K311" s="14">
        <f ca="1" t="shared" si="14"/>
        <v>16</v>
      </c>
    </row>
    <row r="312" ht="18" spans="1:11">
      <c r="A312" s="10">
        <f t="shared" si="12"/>
        <v>311</v>
      </c>
      <c r="B312" s="11" t="s">
        <v>2570</v>
      </c>
      <c r="C312" s="10" t="str">
        <f>IFERROR(INDEX(面试清单!D:D,MATCH(311,面试清单!P:P,0)),"")</f>
        <v/>
      </c>
      <c r="D312" s="11" t="s">
        <v>42</v>
      </c>
      <c r="E312" s="11" t="s">
        <v>62</v>
      </c>
      <c r="F312" s="11" t="s">
        <v>132</v>
      </c>
      <c r="G312" s="15">
        <v>46079</v>
      </c>
      <c r="H312" s="10" t="str">
        <f>IFERROR(INDEX(面试清单!H:H,MATCH(311,面试清单!P:P,0)),"")</f>
        <v/>
      </c>
      <c r="I312" s="13" t="s">
        <v>29</v>
      </c>
      <c r="J312" s="10">
        <f ca="1" t="shared" si="13"/>
        <v>110</v>
      </c>
      <c r="K312" s="10">
        <f ca="1" t="shared" si="14"/>
        <v>16</v>
      </c>
    </row>
    <row r="313" ht="18" spans="1:11">
      <c r="A313" s="14">
        <f t="shared" si="12"/>
        <v>312</v>
      </c>
      <c r="B313" s="11" t="s">
        <v>4262</v>
      </c>
      <c r="C313" s="14" t="str">
        <f>IFERROR(INDEX(面试清单!D:D,MATCH(312,面试清单!P:P,0)),"")</f>
        <v/>
      </c>
      <c r="D313" s="11" t="s">
        <v>42</v>
      </c>
      <c r="E313" s="11" t="s">
        <v>62</v>
      </c>
      <c r="F313" s="11" t="s">
        <v>179</v>
      </c>
      <c r="G313" s="15">
        <v>46080</v>
      </c>
      <c r="H313" s="14" t="str">
        <f>IFERROR(INDEX(面试清单!H:H,MATCH(312,面试清单!P:P,0)),"")</f>
        <v/>
      </c>
      <c r="I313" s="13" t="s">
        <v>29</v>
      </c>
      <c r="J313" s="14">
        <f ca="1" t="shared" si="13"/>
        <v>109</v>
      </c>
      <c r="K313" s="14">
        <f ca="1" t="shared" si="14"/>
        <v>16</v>
      </c>
    </row>
    <row r="314" ht="18" spans="1:11">
      <c r="A314" s="10">
        <f t="shared" si="12"/>
        <v>313</v>
      </c>
      <c r="B314" s="11" t="s">
        <v>4263</v>
      </c>
      <c r="C314" s="125" t="str">
        <f>IFERROR(INDEX(面试清单!D:D,MATCH(313,面试清单!P:P,0)),"")</f>
        <v>0209</v>
      </c>
      <c r="D314" s="11" t="s">
        <v>43</v>
      </c>
      <c r="E314" s="11" t="s">
        <v>62</v>
      </c>
      <c r="F314" s="11" t="s">
        <v>103</v>
      </c>
      <c r="G314" s="15">
        <v>46080</v>
      </c>
      <c r="H314" s="10" t="str">
        <f>IFERROR(INDEX(面试清单!H:H,MATCH(313,面试清单!P:P,0)),"")</f>
        <v>线下</v>
      </c>
      <c r="I314" s="13" t="s">
        <v>29</v>
      </c>
      <c r="J314" s="10">
        <f ca="1" t="shared" si="13"/>
        <v>109</v>
      </c>
      <c r="K314" s="10">
        <f ca="1" t="shared" si="14"/>
        <v>16</v>
      </c>
    </row>
    <row r="315" ht="18" spans="1:11">
      <c r="A315" s="14">
        <f t="shared" si="12"/>
        <v>314</v>
      </c>
      <c r="B315" s="11" t="s">
        <v>4264</v>
      </c>
      <c r="C315" s="14" t="str">
        <f>IFERROR(INDEX(面试清单!D:D,MATCH(314,面试清单!P:P,0)),"")</f>
        <v/>
      </c>
      <c r="D315" s="11" t="s">
        <v>42</v>
      </c>
      <c r="E315" s="11" t="s">
        <v>62</v>
      </c>
      <c r="F315" s="11" t="s">
        <v>103</v>
      </c>
      <c r="G315" s="15">
        <v>46080</v>
      </c>
      <c r="H315" s="14" t="str">
        <f>IFERROR(INDEX(面试清单!H:H,MATCH(314,面试清单!P:P,0)),"")</f>
        <v/>
      </c>
      <c r="I315" s="13" t="s">
        <v>29</v>
      </c>
      <c r="J315" s="14">
        <f ca="1" t="shared" si="13"/>
        <v>109</v>
      </c>
      <c r="K315" s="14">
        <f ca="1" t="shared" si="14"/>
        <v>16</v>
      </c>
    </row>
    <row r="316" ht="18" spans="1:11">
      <c r="A316" s="10">
        <f t="shared" si="12"/>
        <v>315</v>
      </c>
      <c r="B316" s="11" t="s">
        <v>1917</v>
      </c>
      <c r="C316" s="10" t="str">
        <f>IFERROR(INDEX(面试清单!D:D,MATCH(315,面试清单!P:P,0)),"")</f>
        <v/>
      </c>
      <c r="D316" s="11" t="s">
        <v>42</v>
      </c>
      <c r="E316" s="11" t="s">
        <v>62</v>
      </c>
      <c r="F316" s="11" t="s">
        <v>307</v>
      </c>
      <c r="G316" s="15">
        <v>46080</v>
      </c>
      <c r="H316" s="10" t="str">
        <f>IFERROR(INDEX(面试清单!H:H,MATCH(315,面试清单!P:P,0)),"")</f>
        <v/>
      </c>
      <c r="I316" s="13" t="s">
        <v>29</v>
      </c>
      <c r="J316" s="10">
        <f ca="1" t="shared" si="13"/>
        <v>109</v>
      </c>
      <c r="K316" s="10">
        <f ca="1" t="shared" si="14"/>
        <v>16</v>
      </c>
    </row>
    <row r="317" ht="18" spans="1:11">
      <c r="A317" s="14">
        <f t="shared" si="12"/>
        <v>316</v>
      </c>
      <c r="B317" s="11" t="s">
        <v>4265</v>
      </c>
      <c r="C317" s="124" t="str">
        <f>IFERROR(INDEX(面试清单!D:D,MATCH(316,面试清单!P:P,0)),"")</f>
        <v>0217</v>
      </c>
      <c r="D317" s="11" t="s">
        <v>42</v>
      </c>
      <c r="E317" s="11" t="s">
        <v>62</v>
      </c>
      <c r="F317" s="11" t="s">
        <v>132</v>
      </c>
      <c r="G317" s="15">
        <v>46080</v>
      </c>
      <c r="H317" s="14" t="str">
        <f>IFERROR(INDEX(面试清单!H:H,MATCH(316,面试清单!P:P,0)),"")</f>
        <v>线下</v>
      </c>
      <c r="I317" s="13" t="s">
        <v>29</v>
      </c>
      <c r="J317" s="14">
        <f ca="1" t="shared" si="13"/>
        <v>109</v>
      </c>
      <c r="K317" s="14">
        <f ca="1" t="shared" si="14"/>
        <v>16</v>
      </c>
    </row>
    <row r="318" ht="36" spans="1:11">
      <c r="A318" s="10">
        <f t="shared" si="12"/>
        <v>317</v>
      </c>
      <c r="B318" s="11" t="s">
        <v>4266</v>
      </c>
      <c r="C318" s="125" t="str">
        <f>IFERROR(INDEX(面试清单!D:D,MATCH(317,面试清单!P:P,0)),"")</f>
        <v>0218</v>
      </c>
      <c r="D318" s="11" t="s">
        <v>43</v>
      </c>
      <c r="E318" s="11" t="s">
        <v>62</v>
      </c>
      <c r="F318" s="11" t="s">
        <v>179</v>
      </c>
      <c r="G318" s="15">
        <v>46080</v>
      </c>
      <c r="H318" s="10" t="str">
        <f>IFERROR(INDEX(面试清单!H:H,MATCH(317,面试清单!P:P,0)),"")</f>
        <v>线下</v>
      </c>
      <c r="I318" s="13" t="s">
        <v>29</v>
      </c>
      <c r="J318" s="10">
        <f ca="1" t="shared" si="13"/>
        <v>109</v>
      </c>
      <c r="K318" s="10">
        <f ca="1" t="shared" si="14"/>
        <v>16</v>
      </c>
    </row>
    <row r="319" ht="18" spans="1:11">
      <c r="A319" s="14">
        <f t="shared" si="12"/>
        <v>318</v>
      </c>
      <c r="B319" s="11" t="s">
        <v>4267</v>
      </c>
      <c r="C319" s="124" t="str">
        <f>IFERROR(INDEX(面试清单!D:D,MATCH(318,面试清单!P:P,0)),"")</f>
        <v>0220</v>
      </c>
      <c r="D319" s="11" t="s">
        <v>42</v>
      </c>
      <c r="E319" s="11" t="s">
        <v>62</v>
      </c>
      <c r="F319" s="11" t="s">
        <v>110</v>
      </c>
      <c r="G319" s="15">
        <v>46080</v>
      </c>
      <c r="H319" s="14" t="str">
        <f>IFERROR(INDEX(面试清单!H:H,MATCH(318,面试清单!P:P,0)),"")</f>
        <v>线下</v>
      </c>
      <c r="I319" s="13" t="s">
        <v>29</v>
      </c>
      <c r="J319" s="14">
        <f ca="1" t="shared" si="13"/>
        <v>109</v>
      </c>
      <c r="K319" s="14">
        <f ca="1" t="shared" si="14"/>
        <v>16</v>
      </c>
    </row>
    <row r="320" ht="18" spans="1:11">
      <c r="A320" s="10">
        <f t="shared" si="12"/>
        <v>319</v>
      </c>
      <c r="B320" s="11" t="s">
        <v>4268</v>
      </c>
      <c r="C320" s="125" t="str">
        <f>IFERROR(INDEX(面试清单!D:D,MATCH(319,面试清单!P:P,0)),"")</f>
        <v>0221</v>
      </c>
      <c r="D320" s="11" t="s">
        <v>42</v>
      </c>
      <c r="E320" s="11" t="s">
        <v>62</v>
      </c>
      <c r="F320" s="11" t="s">
        <v>103</v>
      </c>
      <c r="G320" s="15">
        <v>46080</v>
      </c>
      <c r="H320" s="10" t="str">
        <f>IFERROR(INDEX(面试清单!H:H,MATCH(319,面试清单!P:P,0)),"")</f>
        <v>线下</v>
      </c>
      <c r="I320" s="13" t="s">
        <v>29</v>
      </c>
      <c r="J320" s="10">
        <f ca="1" t="shared" si="13"/>
        <v>109</v>
      </c>
      <c r="K320" s="10">
        <f ca="1" t="shared" si="14"/>
        <v>16</v>
      </c>
    </row>
    <row r="321" ht="18" spans="1:11">
      <c r="A321" s="14">
        <f t="shared" si="12"/>
        <v>320</v>
      </c>
      <c r="B321" s="11" t="s">
        <v>4269</v>
      </c>
      <c r="C321" s="124" t="str">
        <f>IFERROR(INDEX(面试清单!D:D,MATCH(320,面试清单!P:P,0)),"")</f>
        <v>0222</v>
      </c>
      <c r="D321" s="11" t="s">
        <v>42</v>
      </c>
      <c r="E321" s="11" t="s">
        <v>62</v>
      </c>
      <c r="F321" s="11" t="s">
        <v>132</v>
      </c>
      <c r="G321" s="15">
        <v>46080</v>
      </c>
      <c r="H321" s="14" t="str">
        <f>IFERROR(INDEX(面试清单!H:H,MATCH(320,面试清单!P:P,0)),"")</f>
        <v>线下</v>
      </c>
      <c r="I321" s="13" t="s">
        <v>29</v>
      </c>
      <c r="J321" s="14">
        <f ca="1" t="shared" si="13"/>
        <v>109</v>
      </c>
      <c r="K321" s="14">
        <f ca="1" t="shared" si="14"/>
        <v>16</v>
      </c>
    </row>
    <row r="322" ht="18" spans="1:11">
      <c r="A322" s="10">
        <f t="shared" ref="A322:A385" si="15">IF(B322&lt;&gt;"",ROW()-1,"")</f>
        <v>321</v>
      </c>
      <c r="B322" s="11" t="s">
        <v>4270</v>
      </c>
      <c r="C322" s="125" t="str">
        <f>IFERROR(INDEX(面试清单!D:D,MATCH(321,面试清单!P:P,0)),"")</f>
        <v>0208</v>
      </c>
      <c r="D322" s="11" t="s">
        <v>43</v>
      </c>
      <c r="E322" s="11" t="s">
        <v>62</v>
      </c>
      <c r="F322" s="11" t="s">
        <v>129</v>
      </c>
      <c r="G322" s="15">
        <v>46080</v>
      </c>
      <c r="H322" s="10" t="str">
        <f>IFERROR(INDEX(面试清单!H:H,MATCH(321,面试清单!P:P,0)),"")</f>
        <v>线下</v>
      </c>
      <c r="I322" s="13" t="s">
        <v>29</v>
      </c>
      <c r="J322" s="10">
        <f ca="1" t="shared" ref="J322:J385" si="16">IF(G322&lt;&gt;"",TODAY()-G322,"")</f>
        <v>109</v>
      </c>
      <c r="K322" s="10">
        <f ca="1" t="shared" ref="K322:K385" si="17">IF(G322&lt;&gt;"",MAX(0,MIN(TODAY(),EOMONTH(TODAY(),0))-MAX(G322,EOMONTH(TODAY(),-1)+1)+1),"")</f>
        <v>16</v>
      </c>
    </row>
    <row r="323" ht="18" spans="1:11">
      <c r="A323" s="14">
        <f t="shared" si="15"/>
        <v>322</v>
      </c>
      <c r="B323" s="11" t="s">
        <v>4271</v>
      </c>
      <c r="C323" s="124" t="str">
        <f>IFERROR(INDEX(面试清单!D:D,MATCH(322,面试清单!P:P,0)),"")</f>
        <v>0209</v>
      </c>
      <c r="D323" s="11" t="s">
        <v>42</v>
      </c>
      <c r="E323" s="11" t="s">
        <v>63</v>
      </c>
      <c r="F323" s="11" t="s">
        <v>179</v>
      </c>
      <c r="G323" s="15">
        <v>46080</v>
      </c>
      <c r="H323" s="14" t="str">
        <f>IFERROR(INDEX(面试清单!H:H,MATCH(322,面试清单!P:P,0)),"")</f>
        <v>线下</v>
      </c>
      <c r="I323" s="13" t="s">
        <v>29</v>
      </c>
      <c r="J323" s="14">
        <f ca="1" t="shared" si="16"/>
        <v>109</v>
      </c>
      <c r="K323" s="14">
        <f ca="1" t="shared" si="17"/>
        <v>16</v>
      </c>
    </row>
    <row r="324" ht="18" spans="1:11">
      <c r="A324" s="10">
        <f t="shared" si="15"/>
        <v>323</v>
      </c>
      <c r="B324" s="11" t="s">
        <v>4272</v>
      </c>
      <c r="C324" s="125" t="str">
        <f>IFERROR(INDEX(面试清单!D:D,MATCH(323,面试清单!P:P,0)),"")</f>
        <v>0212</v>
      </c>
      <c r="D324" s="11" t="s">
        <v>42</v>
      </c>
      <c r="E324" s="11" t="s">
        <v>64</v>
      </c>
      <c r="F324" s="11" t="s">
        <v>110</v>
      </c>
      <c r="G324" s="15">
        <v>46080</v>
      </c>
      <c r="H324" s="10" t="str">
        <f>IFERROR(INDEX(面试清单!H:H,MATCH(323,面试清单!P:P,0)),"")</f>
        <v>线下</v>
      </c>
      <c r="I324" s="13" t="s">
        <v>29</v>
      </c>
      <c r="J324" s="10">
        <f ca="1" t="shared" si="16"/>
        <v>109</v>
      </c>
      <c r="K324" s="10">
        <f ca="1" t="shared" si="17"/>
        <v>16</v>
      </c>
    </row>
    <row r="325" ht="18" spans="1:11">
      <c r="A325" s="14">
        <f t="shared" si="15"/>
        <v>324</v>
      </c>
      <c r="B325" s="11" t="s">
        <v>4273</v>
      </c>
      <c r="C325" s="124" t="str">
        <f>IFERROR(INDEX(面试清单!D:D,MATCH(324,面试清单!P:P,0)),"")</f>
        <v>0214</v>
      </c>
      <c r="D325" s="11" t="s">
        <v>42</v>
      </c>
      <c r="E325" s="11" t="s">
        <v>64</v>
      </c>
      <c r="F325" s="11" t="s">
        <v>307</v>
      </c>
      <c r="G325" s="15">
        <v>46080</v>
      </c>
      <c r="H325" s="14" t="str">
        <f>IFERROR(INDEX(面试清单!H:H,MATCH(324,面试清单!P:P,0)),"")</f>
        <v>线下</v>
      </c>
      <c r="I325" s="13" t="s">
        <v>29</v>
      </c>
      <c r="J325" s="14">
        <f ca="1" t="shared" si="16"/>
        <v>109</v>
      </c>
      <c r="K325" s="14">
        <f ca="1" t="shared" si="17"/>
        <v>16</v>
      </c>
    </row>
    <row r="326" ht="18" spans="1:11">
      <c r="A326" s="10">
        <f t="shared" si="15"/>
        <v>325</v>
      </c>
      <c r="B326" s="11" t="s">
        <v>4274</v>
      </c>
      <c r="C326" s="125" t="str">
        <f>IFERROR(INDEX(面试清单!D:D,MATCH(325,面试清单!P:P,0)),"")</f>
        <v>0217</v>
      </c>
      <c r="D326" s="11" t="s">
        <v>43</v>
      </c>
      <c r="E326" s="11" t="s">
        <v>62</v>
      </c>
      <c r="F326" s="11" t="s">
        <v>129</v>
      </c>
      <c r="G326" s="15">
        <v>46081</v>
      </c>
      <c r="H326" s="10" t="str">
        <f>IFERROR(INDEX(面试清单!H:H,MATCH(325,面试清单!P:P,0)),"")</f>
        <v>线下</v>
      </c>
      <c r="I326" s="13" t="s">
        <v>29</v>
      </c>
      <c r="J326" s="10">
        <f ca="1" t="shared" si="16"/>
        <v>108</v>
      </c>
      <c r="K326" s="10">
        <f ca="1" t="shared" si="17"/>
        <v>16</v>
      </c>
    </row>
    <row r="327" ht="18" spans="1:11">
      <c r="A327" s="14">
        <f t="shared" si="15"/>
        <v>326</v>
      </c>
      <c r="B327" s="11" t="s">
        <v>4275</v>
      </c>
      <c r="C327" s="14" t="str">
        <f>IFERROR(INDEX(面试清单!D:D,MATCH(326,面试清单!P:P,0)),"")</f>
        <v/>
      </c>
      <c r="D327" s="11" t="s">
        <v>43</v>
      </c>
      <c r="E327" s="11" t="s">
        <v>62</v>
      </c>
      <c r="F327" s="11" t="s">
        <v>135</v>
      </c>
      <c r="G327" s="15">
        <v>46081</v>
      </c>
      <c r="H327" s="14" t="str">
        <f>IFERROR(INDEX(面试清单!H:H,MATCH(326,面试清单!P:P,0)),"")</f>
        <v/>
      </c>
      <c r="I327" s="13" t="s">
        <v>29</v>
      </c>
      <c r="J327" s="14">
        <f ca="1" t="shared" si="16"/>
        <v>108</v>
      </c>
      <c r="K327" s="14">
        <f ca="1" t="shared" si="17"/>
        <v>16</v>
      </c>
    </row>
    <row r="328" ht="18" spans="1:11">
      <c r="A328" s="10">
        <f t="shared" si="15"/>
        <v>327</v>
      </c>
      <c r="B328" s="11" t="s">
        <v>4276</v>
      </c>
      <c r="C328" s="125" t="str">
        <f>IFERROR(INDEX(面试清单!D:D,MATCH(327,面试清单!P:P,0)),"")</f>
        <v>0220</v>
      </c>
      <c r="D328" s="11" t="s">
        <v>42</v>
      </c>
      <c r="E328" s="11" t="s">
        <v>63</v>
      </c>
      <c r="F328" s="11" t="s">
        <v>124</v>
      </c>
      <c r="G328" s="15">
        <v>46081</v>
      </c>
      <c r="H328" s="10" t="str">
        <f>IFERROR(INDEX(面试清单!H:H,MATCH(327,面试清单!P:P,0)),"")</f>
        <v>线下</v>
      </c>
      <c r="I328" s="13" t="s">
        <v>29</v>
      </c>
      <c r="J328" s="10">
        <f ca="1" t="shared" si="16"/>
        <v>108</v>
      </c>
      <c r="K328" s="10">
        <f ca="1" t="shared" si="17"/>
        <v>16</v>
      </c>
    </row>
    <row r="329" ht="18" spans="1:11">
      <c r="A329" s="14">
        <f t="shared" si="15"/>
        <v>328</v>
      </c>
      <c r="B329" s="11" t="s">
        <v>4277</v>
      </c>
      <c r="C329" s="14" t="str">
        <f>IFERROR(INDEX(面试清单!D:D,MATCH(328,面试清单!P:P,0)),"")</f>
        <v/>
      </c>
      <c r="D329" s="11" t="s">
        <v>43</v>
      </c>
      <c r="E329" s="11" t="s">
        <v>62</v>
      </c>
      <c r="F329" s="11" t="s">
        <v>179</v>
      </c>
      <c r="G329" s="15">
        <v>46081</v>
      </c>
      <c r="H329" s="14" t="str">
        <f>IFERROR(INDEX(面试清单!H:H,MATCH(328,面试清单!P:P,0)),"")</f>
        <v/>
      </c>
      <c r="I329" s="13" t="s">
        <v>29</v>
      </c>
      <c r="J329" s="14">
        <f ca="1" t="shared" si="16"/>
        <v>108</v>
      </c>
      <c r="K329" s="14">
        <f ca="1" t="shared" si="17"/>
        <v>16</v>
      </c>
    </row>
    <row r="330" ht="18" spans="1:11">
      <c r="A330" s="10">
        <f t="shared" si="15"/>
        <v>329</v>
      </c>
      <c r="B330" s="11" t="s">
        <v>4278</v>
      </c>
      <c r="C330" s="10" t="str">
        <f>IFERROR(INDEX(面试清单!D:D,MATCH(329,面试清单!P:P,0)),"")</f>
        <v/>
      </c>
      <c r="D330" s="11" t="s">
        <v>42</v>
      </c>
      <c r="E330" s="11" t="s">
        <v>62</v>
      </c>
      <c r="F330" s="11" t="s">
        <v>179</v>
      </c>
      <c r="G330" s="15">
        <v>46081</v>
      </c>
      <c r="H330" s="10" t="str">
        <f>IFERROR(INDEX(面试清单!H:H,MATCH(329,面试清单!P:P,0)),"")</f>
        <v/>
      </c>
      <c r="I330" s="13" t="s">
        <v>29</v>
      </c>
      <c r="J330" s="10">
        <f ca="1" t="shared" si="16"/>
        <v>108</v>
      </c>
      <c r="K330" s="10">
        <f ca="1" t="shared" si="17"/>
        <v>16</v>
      </c>
    </row>
    <row r="331" ht="18" spans="1:11">
      <c r="A331" s="14">
        <f t="shared" si="15"/>
        <v>330</v>
      </c>
      <c r="B331" s="11" t="s">
        <v>4279</v>
      </c>
      <c r="C331" s="14" t="str">
        <f>IFERROR(INDEX(面试清单!D:D,MATCH(330,面试清单!P:P,0)),"")</f>
        <v/>
      </c>
      <c r="D331" s="11" t="s">
        <v>42</v>
      </c>
      <c r="E331" s="11" t="s">
        <v>63</v>
      </c>
      <c r="F331" s="11" t="s">
        <v>179</v>
      </c>
      <c r="G331" s="15">
        <v>46081</v>
      </c>
      <c r="H331" s="14" t="str">
        <f>IFERROR(INDEX(面试清单!H:H,MATCH(330,面试清单!P:P,0)),"")</f>
        <v/>
      </c>
      <c r="I331" s="13" t="s">
        <v>29</v>
      </c>
      <c r="J331" s="14">
        <f ca="1" t="shared" si="16"/>
        <v>108</v>
      </c>
      <c r="K331" s="14">
        <f ca="1" t="shared" si="17"/>
        <v>16</v>
      </c>
    </row>
    <row r="332" ht="18" spans="1:11">
      <c r="A332" s="10">
        <f t="shared" si="15"/>
        <v>331</v>
      </c>
      <c r="B332" s="11" t="s">
        <v>4280</v>
      </c>
      <c r="C332" s="10" t="str">
        <f>IFERROR(INDEX(面试清单!D:D,MATCH(331,面试清单!P:P,0)),"")</f>
        <v/>
      </c>
      <c r="D332" s="11" t="s">
        <v>42</v>
      </c>
      <c r="E332" s="11" t="s">
        <v>62</v>
      </c>
      <c r="F332" s="11" t="s">
        <v>103</v>
      </c>
      <c r="G332" s="15">
        <v>46081</v>
      </c>
      <c r="H332" s="10" t="str">
        <f>IFERROR(INDEX(面试清单!H:H,MATCH(331,面试清单!P:P,0)),"")</f>
        <v/>
      </c>
      <c r="I332" s="13" t="s">
        <v>29</v>
      </c>
      <c r="J332" s="10">
        <f ca="1" t="shared" si="16"/>
        <v>108</v>
      </c>
      <c r="K332" s="10">
        <f ca="1" t="shared" si="17"/>
        <v>16</v>
      </c>
    </row>
    <row r="333" ht="18" spans="1:11">
      <c r="A333" s="14">
        <f t="shared" si="15"/>
        <v>332</v>
      </c>
      <c r="B333" s="11" t="s">
        <v>4281</v>
      </c>
      <c r="C333" s="14" t="str">
        <f>IFERROR(INDEX(面试清单!D:D,MATCH(332,面试清单!P:P,0)),"")</f>
        <v/>
      </c>
      <c r="D333" s="11" t="s">
        <v>42</v>
      </c>
      <c r="E333" s="11" t="s">
        <v>62</v>
      </c>
      <c r="F333" s="11" t="s">
        <v>103</v>
      </c>
      <c r="G333" s="15">
        <v>46081</v>
      </c>
      <c r="H333" s="14" t="str">
        <f>IFERROR(INDEX(面试清单!H:H,MATCH(332,面试清单!P:P,0)),"")</f>
        <v/>
      </c>
      <c r="I333" s="13" t="s">
        <v>29</v>
      </c>
      <c r="J333" s="14">
        <f ca="1" t="shared" si="16"/>
        <v>108</v>
      </c>
      <c r="K333" s="14">
        <f ca="1" t="shared" si="17"/>
        <v>16</v>
      </c>
    </row>
    <row r="334" ht="18" spans="1:11">
      <c r="A334" s="10">
        <f t="shared" si="15"/>
        <v>333</v>
      </c>
      <c r="B334" s="11" t="s">
        <v>4282</v>
      </c>
      <c r="C334" s="10" t="str">
        <f>IFERROR(INDEX(面试清单!D:D,MATCH(333,面试清单!P:P,0)),"")</f>
        <v/>
      </c>
      <c r="D334" s="11" t="s">
        <v>42</v>
      </c>
      <c r="E334" s="11" t="s">
        <v>62</v>
      </c>
      <c r="F334" s="11" t="s">
        <v>103</v>
      </c>
      <c r="G334" s="15">
        <v>46081</v>
      </c>
      <c r="H334" s="10" t="str">
        <f>IFERROR(INDEX(面试清单!H:H,MATCH(333,面试清单!P:P,0)),"")</f>
        <v/>
      </c>
      <c r="I334" s="13" t="s">
        <v>29</v>
      </c>
      <c r="J334" s="10">
        <f ca="1" t="shared" si="16"/>
        <v>108</v>
      </c>
      <c r="K334" s="10">
        <f ca="1" t="shared" si="17"/>
        <v>16</v>
      </c>
    </row>
    <row r="335" ht="18" spans="1:11">
      <c r="A335" s="14">
        <f t="shared" si="15"/>
        <v>334</v>
      </c>
      <c r="B335" s="11" t="s">
        <v>4283</v>
      </c>
      <c r="C335" s="124" t="str">
        <f>IFERROR(INDEX(面试清单!D:D,MATCH(334,面试清单!P:P,0)),"")</f>
        <v>0217</v>
      </c>
      <c r="D335" s="11" t="s">
        <v>42</v>
      </c>
      <c r="E335" s="11" t="s">
        <v>62</v>
      </c>
      <c r="F335" s="11" t="s">
        <v>307</v>
      </c>
      <c r="G335" s="15">
        <v>46081</v>
      </c>
      <c r="H335" s="14" t="str">
        <f>IFERROR(INDEX(面试清单!H:H,MATCH(334,面试清单!P:P,0)),"")</f>
        <v>线下</v>
      </c>
      <c r="I335" s="13" t="s">
        <v>29</v>
      </c>
      <c r="J335" s="14">
        <f ca="1" t="shared" si="16"/>
        <v>108</v>
      </c>
      <c r="K335" s="14">
        <f ca="1" t="shared" si="17"/>
        <v>16</v>
      </c>
    </row>
    <row r="336" ht="18" spans="1:11">
      <c r="A336" s="10">
        <f t="shared" si="15"/>
        <v>335</v>
      </c>
      <c r="B336" s="11" t="s">
        <v>4284</v>
      </c>
      <c r="C336" s="125" t="str">
        <f>IFERROR(INDEX(面试清单!D:D,MATCH(335,面试清单!P:P,0)),"")</f>
        <v>0218</v>
      </c>
      <c r="D336" s="11" t="s">
        <v>42</v>
      </c>
      <c r="E336" s="11" t="s">
        <v>62</v>
      </c>
      <c r="F336" s="11" t="s">
        <v>307</v>
      </c>
      <c r="G336" s="15">
        <v>46081</v>
      </c>
      <c r="H336" s="10" t="str">
        <f>IFERROR(INDEX(面试清单!H:H,MATCH(335,面试清单!P:P,0)),"")</f>
        <v>线下</v>
      </c>
      <c r="I336" s="13" t="s">
        <v>29</v>
      </c>
      <c r="J336" s="10">
        <f ca="1" t="shared" si="16"/>
        <v>108</v>
      </c>
      <c r="K336" s="10">
        <f ca="1" t="shared" si="17"/>
        <v>16</v>
      </c>
    </row>
    <row r="337" ht="18" spans="1:11">
      <c r="A337" s="14">
        <f t="shared" si="15"/>
        <v>336</v>
      </c>
      <c r="B337" s="11" t="s">
        <v>4285</v>
      </c>
      <c r="C337" s="124" t="str">
        <f>IFERROR(INDEX(面试清单!D:D,MATCH(336,面试清单!P:P,0)),"")</f>
        <v>0220</v>
      </c>
      <c r="D337" s="11" t="s">
        <v>42</v>
      </c>
      <c r="E337" s="11" t="s">
        <v>63</v>
      </c>
      <c r="F337" s="11" t="s">
        <v>173</v>
      </c>
      <c r="G337" s="15">
        <v>46081</v>
      </c>
      <c r="H337" s="14" t="str">
        <f>IFERROR(INDEX(面试清单!H:H,MATCH(336,面试清单!P:P,0)),"")</f>
        <v>线下</v>
      </c>
      <c r="I337" s="13" t="s">
        <v>29</v>
      </c>
      <c r="J337" s="14">
        <f ca="1" t="shared" si="16"/>
        <v>108</v>
      </c>
      <c r="K337" s="14">
        <f ca="1" t="shared" si="17"/>
        <v>16</v>
      </c>
    </row>
    <row r="338" ht="18" spans="1:11">
      <c r="A338" s="10">
        <f t="shared" si="15"/>
        <v>337</v>
      </c>
      <c r="B338" s="11" t="s">
        <v>4286</v>
      </c>
      <c r="C338" s="10" t="str">
        <f>IFERROR(INDEX(面试清单!D:D,MATCH(337,面试清单!P:P,0)),"")</f>
        <v/>
      </c>
      <c r="D338" s="11" t="s">
        <v>43</v>
      </c>
      <c r="E338" s="11" t="s">
        <v>62</v>
      </c>
      <c r="F338" s="11" t="s">
        <v>179</v>
      </c>
      <c r="G338" s="15">
        <v>46081</v>
      </c>
      <c r="H338" s="10" t="str">
        <f>IFERROR(INDEX(面试清单!H:H,MATCH(337,面试清单!P:P,0)),"")</f>
        <v/>
      </c>
      <c r="I338" s="13" t="s">
        <v>29</v>
      </c>
      <c r="J338" s="10">
        <f ca="1" t="shared" si="16"/>
        <v>108</v>
      </c>
      <c r="K338" s="10">
        <f ca="1" t="shared" si="17"/>
        <v>16</v>
      </c>
    </row>
    <row r="339" ht="18" spans="1:11">
      <c r="A339" s="14">
        <f t="shared" si="15"/>
        <v>338</v>
      </c>
      <c r="B339" s="11" t="s">
        <v>4287</v>
      </c>
      <c r="C339" s="124" t="str">
        <f>IFERROR(INDEX(面试清单!D:D,MATCH(338,面试清单!P:P,0)),"")</f>
        <v>0222</v>
      </c>
      <c r="D339" s="11" t="s">
        <v>74</v>
      </c>
      <c r="E339" s="11" t="s">
        <v>64</v>
      </c>
      <c r="F339" s="11" t="s">
        <v>179</v>
      </c>
      <c r="G339" s="15">
        <v>46081</v>
      </c>
      <c r="H339" s="14" t="str">
        <f>IFERROR(INDEX(面试清单!H:H,MATCH(338,面试清单!P:P,0)),"")</f>
        <v>线下</v>
      </c>
      <c r="I339" s="13" t="s">
        <v>29</v>
      </c>
      <c r="J339" s="14">
        <f ca="1" t="shared" si="16"/>
        <v>108</v>
      </c>
      <c r="K339" s="14">
        <f ca="1" t="shared" si="17"/>
        <v>16</v>
      </c>
    </row>
    <row r="340" ht="18" spans="1:11">
      <c r="A340" s="10">
        <f t="shared" si="15"/>
        <v>339</v>
      </c>
      <c r="B340" s="11" t="s">
        <v>4288</v>
      </c>
      <c r="C340" s="125" t="str">
        <f>IFERROR(INDEX(面试清单!D:D,MATCH(339,面试清单!P:P,0)),"")</f>
        <v>0208</v>
      </c>
      <c r="D340" s="11" t="s">
        <v>42</v>
      </c>
      <c r="E340" s="11" t="s">
        <v>62</v>
      </c>
      <c r="F340" s="11" t="s">
        <v>132</v>
      </c>
      <c r="G340" s="15">
        <v>46081</v>
      </c>
      <c r="H340" s="10" t="str">
        <f>IFERROR(INDEX(面试清单!H:H,MATCH(339,面试清单!P:P,0)),"")</f>
        <v>线下</v>
      </c>
      <c r="I340" s="13" t="s">
        <v>29</v>
      </c>
      <c r="J340" s="10">
        <f ca="1" t="shared" si="16"/>
        <v>108</v>
      </c>
      <c r="K340" s="10">
        <f ca="1" t="shared" si="17"/>
        <v>16</v>
      </c>
    </row>
    <row r="341" ht="18" spans="1:11">
      <c r="A341" s="14">
        <f t="shared" si="15"/>
        <v>340</v>
      </c>
      <c r="B341" s="11" t="s">
        <v>4289</v>
      </c>
      <c r="C341" s="124" t="str">
        <f>IFERROR(INDEX(面试清单!D:D,MATCH(340,面试清单!P:P,0)),"")</f>
        <v>0208</v>
      </c>
      <c r="D341" s="11" t="s">
        <v>42</v>
      </c>
      <c r="E341" s="11" t="s">
        <v>62</v>
      </c>
      <c r="F341" s="11" t="s">
        <v>179</v>
      </c>
      <c r="G341" s="15">
        <v>46081</v>
      </c>
      <c r="H341" s="14" t="str">
        <f>IFERROR(INDEX(面试清单!H:H,MATCH(340,面试清单!P:P,0)),"")</f>
        <v>线下</v>
      </c>
      <c r="I341" s="13" t="s">
        <v>29</v>
      </c>
      <c r="J341" s="14">
        <f ca="1" t="shared" si="16"/>
        <v>108</v>
      </c>
      <c r="K341" s="14">
        <f ca="1" t="shared" si="17"/>
        <v>16</v>
      </c>
    </row>
    <row r="342" ht="18" spans="1:11">
      <c r="A342" s="10">
        <f t="shared" si="15"/>
        <v>341</v>
      </c>
      <c r="B342" s="11" t="s">
        <v>4290</v>
      </c>
      <c r="C342" s="125" t="str">
        <f>IFERROR(INDEX(面试清单!D:D,MATCH(341,面试清单!P:P,0)),"")</f>
        <v>0209</v>
      </c>
      <c r="D342" s="11" t="s">
        <v>43</v>
      </c>
      <c r="E342" s="11" t="s">
        <v>64</v>
      </c>
      <c r="F342" s="11" t="s">
        <v>179</v>
      </c>
      <c r="G342" s="15">
        <v>46081</v>
      </c>
      <c r="H342" s="10" t="str">
        <f>IFERROR(INDEX(面试清单!H:H,MATCH(341,面试清单!P:P,0)),"")</f>
        <v>线下</v>
      </c>
      <c r="I342" s="13" t="s">
        <v>29</v>
      </c>
      <c r="J342" s="10">
        <f ca="1" t="shared" si="16"/>
        <v>108</v>
      </c>
      <c r="K342" s="10">
        <f ca="1" t="shared" si="17"/>
        <v>16</v>
      </c>
    </row>
    <row r="343" ht="18" spans="1:11">
      <c r="A343" s="14">
        <f t="shared" si="15"/>
        <v>342</v>
      </c>
      <c r="B343" s="11" t="s">
        <v>4291</v>
      </c>
      <c r="C343" s="14" t="str">
        <f>IFERROR(INDEX(面试清单!D:D,MATCH(342,面试清单!P:P,0)),"")</f>
        <v/>
      </c>
      <c r="D343" s="11" t="s">
        <v>42</v>
      </c>
      <c r="E343" s="11" t="s">
        <v>62</v>
      </c>
      <c r="F343" s="11" t="s">
        <v>103</v>
      </c>
      <c r="G343" s="15">
        <v>46082</v>
      </c>
      <c r="H343" s="14" t="str">
        <f>IFERROR(INDEX(面试清单!H:H,MATCH(342,面试清单!P:P,0)),"")</f>
        <v/>
      </c>
      <c r="I343" s="13" t="s">
        <v>29</v>
      </c>
      <c r="J343" s="14">
        <f ca="1" t="shared" si="16"/>
        <v>107</v>
      </c>
      <c r="K343" s="14">
        <f ca="1" t="shared" si="17"/>
        <v>16</v>
      </c>
    </row>
    <row r="344" ht="18" spans="1:11">
      <c r="A344" s="10">
        <f t="shared" si="15"/>
        <v>343</v>
      </c>
      <c r="B344" s="11" t="s">
        <v>4292</v>
      </c>
      <c r="C344" s="10" t="str">
        <f>IFERROR(INDEX(面试清单!D:D,MATCH(343,面试清单!P:P,0)),"")</f>
        <v/>
      </c>
      <c r="D344" s="11" t="s">
        <v>43</v>
      </c>
      <c r="E344" s="11" t="s">
        <v>62</v>
      </c>
      <c r="F344" s="11" t="s">
        <v>103</v>
      </c>
      <c r="G344" s="15">
        <v>46082</v>
      </c>
      <c r="H344" s="10" t="str">
        <f>IFERROR(INDEX(面试清单!H:H,MATCH(343,面试清单!P:P,0)),"")</f>
        <v/>
      </c>
      <c r="I344" s="13" t="s">
        <v>29</v>
      </c>
      <c r="J344" s="10">
        <f ca="1" t="shared" si="16"/>
        <v>107</v>
      </c>
      <c r="K344" s="10">
        <f ca="1" t="shared" si="17"/>
        <v>16</v>
      </c>
    </row>
    <row r="345" ht="18" spans="1:11">
      <c r="A345" s="14">
        <f t="shared" si="15"/>
        <v>344</v>
      </c>
      <c r="B345" s="11" t="s">
        <v>4293</v>
      </c>
      <c r="C345" s="14" t="str">
        <f>IFERROR(INDEX(面试清单!D:D,MATCH(344,面试清单!P:P,0)),"")</f>
        <v/>
      </c>
      <c r="D345" s="11" t="s">
        <v>43</v>
      </c>
      <c r="E345" s="11" t="s">
        <v>62</v>
      </c>
      <c r="F345" s="11" t="s">
        <v>179</v>
      </c>
      <c r="G345" s="15">
        <v>46082</v>
      </c>
      <c r="H345" s="14" t="str">
        <f>IFERROR(INDEX(面试清单!H:H,MATCH(344,面试清单!P:P,0)),"")</f>
        <v/>
      </c>
      <c r="I345" s="13" t="s">
        <v>29</v>
      </c>
      <c r="J345" s="14">
        <f ca="1" t="shared" si="16"/>
        <v>107</v>
      </c>
      <c r="K345" s="14">
        <f ca="1" t="shared" si="17"/>
        <v>16</v>
      </c>
    </row>
    <row r="346" ht="18" spans="1:11">
      <c r="A346" s="10">
        <f t="shared" si="15"/>
        <v>345</v>
      </c>
      <c r="B346" s="11" t="s">
        <v>4294</v>
      </c>
      <c r="C346" s="10" t="str">
        <f>IFERROR(INDEX(面试清单!D:D,MATCH(345,面试清单!P:P,0)),"")</f>
        <v/>
      </c>
      <c r="D346" s="11" t="s">
        <v>43</v>
      </c>
      <c r="E346" s="11" t="s">
        <v>64</v>
      </c>
      <c r="F346" s="11" t="s">
        <v>135</v>
      </c>
      <c r="G346" s="15">
        <v>46082</v>
      </c>
      <c r="H346" s="10" t="str">
        <f>IFERROR(INDEX(面试清单!H:H,MATCH(345,面试清单!P:P,0)),"")</f>
        <v/>
      </c>
      <c r="I346" s="13" t="s">
        <v>29</v>
      </c>
      <c r="J346" s="10">
        <f ca="1" t="shared" si="16"/>
        <v>107</v>
      </c>
      <c r="K346" s="10">
        <f ca="1" t="shared" si="17"/>
        <v>16</v>
      </c>
    </row>
    <row r="347" ht="18" spans="1:11">
      <c r="A347" s="14">
        <f t="shared" si="15"/>
        <v>346</v>
      </c>
      <c r="B347" s="11" t="s">
        <v>4295</v>
      </c>
      <c r="C347" s="14" t="str">
        <f>IFERROR(INDEX(面试清单!D:D,MATCH(346,面试清单!P:P,0)),"")</f>
        <v/>
      </c>
      <c r="D347" s="11" t="s">
        <v>43</v>
      </c>
      <c r="E347" s="11" t="s">
        <v>62</v>
      </c>
      <c r="F347" s="11" t="s">
        <v>233</v>
      </c>
      <c r="G347" s="15">
        <v>46082</v>
      </c>
      <c r="H347" s="14" t="str">
        <f>IFERROR(INDEX(面试清单!H:H,MATCH(346,面试清单!P:P,0)),"")</f>
        <v/>
      </c>
      <c r="I347" s="13" t="s">
        <v>29</v>
      </c>
      <c r="J347" s="14">
        <f ca="1" t="shared" si="16"/>
        <v>107</v>
      </c>
      <c r="K347" s="14">
        <f ca="1" t="shared" si="17"/>
        <v>16</v>
      </c>
    </row>
    <row r="348" ht="18" spans="1:11">
      <c r="A348" s="10">
        <f t="shared" si="15"/>
        <v>347</v>
      </c>
      <c r="B348" s="11" t="s">
        <v>4296</v>
      </c>
      <c r="C348" s="125" t="str">
        <f>IFERROR(INDEX(面试清单!D:D,MATCH(347,面试清单!P:P,0)),"")</f>
        <v>0221</v>
      </c>
      <c r="D348" s="11" t="s">
        <v>42</v>
      </c>
      <c r="E348" s="11" t="s">
        <v>62</v>
      </c>
      <c r="F348" s="11" t="s">
        <v>103</v>
      </c>
      <c r="G348" s="15">
        <v>46083</v>
      </c>
      <c r="H348" s="10" t="str">
        <f>IFERROR(INDEX(面试清单!H:H,MATCH(347,面试清单!P:P,0)),"")</f>
        <v>线下</v>
      </c>
      <c r="I348" s="13" t="s">
        <v>29</v>
      </c>
      <c r="J348" s="10">
        <f ca="1" t="shared" si="16"/>
        <v>106</v>
      </c>
      <c r="K348" s="10">
        <f ca="1" t="shared" si="17"/>
        <v>16</v>
      </c>
    </row>
    <row r="349" ht="18" spans="1:11">
      <c r="A349" s="14">
        <f t="shared" si="15"/>
        <v>348</v>
      </c>
      <c r="B349" s="11" t="s">
        <v>4297</v>
      </c>
      <c r="C349" s="124" t="str">
        <f>IFERROR(INDEX(面试清单!D:D,MATCH(348,面试清单!P:P,0)),"")</f>
        <v>0222</v>
      </c>
      <c r="D349" s="11" t="s">
        <v>42</v>
      </c>
      <c r="E349" s="11" t="s">
        <v>62</v>
      </c>
      <c r="F349" s="11" t="s">
        <v>103</v>
      </c>
      <c r="G349" s="15">
        <v>46083</v>
      </c>
      <c r="H349" s="14" t="str">
        <f>IFERROR(INDEX(面试清单!H:H,MATCH(348,面试清单!P:P,0)),"")</f>
        <v>线下</v>
      </c>
      <c r="I349" s="13" t="s">
        <v>29</v>
      </c>
      <c r="J349" s="14">
        <f ca="1" t="shared" si="16"/>
        <v>106</v>
      </c>
      <c r="K349" s="14">
        <f ca="1" t="shared" si="17"/>
        <v>16</v>
      </c>
    </row>
    <row r="350" ht="18" spans="1:11">
      <c r="A350" s="10">
        <f t="shared" si="15"/>
        <v>349</v>
      </c>
      <c r="B350" s="11" t="s">
        <v>4298</v>
      </c>
      <c r="C350" s="125" t="str">
        <f>IFERROR(INDEX(面试清单!D:D,MATCH(349,面试清单!P:P,0)),"")</f>
        <v>0208</v>
      </c>
      <c r="D350" s="11" t="s">
        <v>42</v>
      </c>
      <c r="E350" s="11" t="s">
        <v>62</v>
      </c>
      <c r="F350" s="11" t="s">
        <v>103</v>
      </c>
      <c r="G350" s="15">
        <v>46083</v>
      </c>
      <c r="H350" s="10" t="str">
        <f>IFERROR(INDEX(面试清单!H:H,MATCH(349,面试清单!P:P,0)),"")</f>
        <v>线下</v>
      </c>
      <c r="I350" s="13" t="s">
        <v>29</v>
      </c>
      <c r="J350" s="10">
        <f ca="1" t="shared" si="16"/>
        <v>106</v>
      </c>
      <c r="K350" s="10">
        <f ca="1" t="shared" si="17"/>
        <v>16</v>
      </c>
    </row>
    <row r="351" ht="18" spans="1:11">
      <c r="A351" s="14">
        <f t="shared" si="15"/>
        <v>350</v>
      </c>
      <c r="B351" s="11" t="s">
        <v>4299</v>
      </c>
      <c r="C351" s="14" t="str">
        <f>IFERROR(INDEX(面试清单!D:D,MATCH(350,面试清单!P:P,0)),"")</f>
        <v/>
      </c>
      <c r="D351" s="11" t="s">
        <v>42</v>
      </c>
      <c r="E351" s="11" t="s">
        <v>62</v>
      </c>
      <c r="F351" s="11" t="s">
        <v>103</v>
      </c>
      <c r="G351" s="15">
        <v>46083</v>
      </c>
      <c r="H351" s="14" t="str">
        <f>IFERROR(INDEX(面试清单!H:H,MATCH(350,面试清单!P:P,0)),"")</f>
        <v/>
      </c>
      <c r="I351" s="13" t="s">
        <v>29</v>
      </c>
      <c r="J351" s="14">
        <f ca="1" t="shared" si="16"/>
        <v>106</v>
      </c>
      <c r="K351" s="14">
        <f ca="1" t="shared" si="17"/>
        <v>16</v>
      </c>
    </row>
    <row r="352" ht="18" spans="1:11">
      <c r="A352" s="10">
        <f t="shared" si="15"/>
        <v>351</v>
      </c>
      <c r="B352" s="11" t="s">
        <v>4300</v>
      </c>
      <c r="C352" s="10" t="str">
        <f>IFERROR(INDEX(面试清单!D:D,MATCH(351,面试清单!P:P,0)),"")</f>
        <v/>
      </c>
      <c r="D352" s="11" t="s">
        <v>42</v>
      </c>
      <c r="E352" s="11" t="s">
        <v>62</v>
      </c>
      <c r="F352" s="11" t="s">
        <v>103</v>
      </c>
      <c r="G352" s="15">
        <v>46083</v>
      </c>
      <c r="H352" s="10" t="str">
        <f>IFERROR(INDEX(面试清单!H:H,MATCH(351,面试清单!P:P,0)),"")</f>
        <v/>
      </c>
      <c r="I352" s="13" t="s">
        <v>29</v>
      </c>
      <c r="J352" s="10">
        <f ca="1" t="shared" si="16"/>
        <v>106</v>
      </c>
      <c r="K352" s="10">
        <f ca="1" t="shared" si="17"/>
        <v>16</v>
      </c>
    </row>
    <row r="353" ht="18" spans="1:11">
      <c r="A353" s="14">
        <f t="shared" si="15"/>
        <v>352</v>
      </c>
      <c r="B353" s="11" t="s">
        <v>4301</v>
      </c>
      <c r="C353" s="14" t="str">
        <f>IFERROR(INDEX(面试清单!D:D,MATCH(352,面试清单!P:P,0)),"")</f>
        <v/>
      </c>
      <c r="D353" s="11" t="s">
        <v>42</v>
      </c>
      <c r="E353" s="11" t="s">
        <v>62</v>
      </c>
      <c r="F353" s="11" t="s">
        <v>103</v>
      </c>
      <c r="G353" s="15">
        <v>46083</v>
      </c>
      <c r="H353" s="14" t="str">
        <f>IFERROR(INDEX(面试清单!H:H,MATCH(352,面试清单!P:P,0)),"")</f>
        <v/>
      </c>
      <c r="I353" s="13" t="s">
        <v>29</v>
      </c>
      <c r="J353" s="14">
        <f ca="1" t="shared" si="16"/>
        <v>106</v>
      </c>
      <c r="K353" s="14">
        <f ca="1" t="shared" si="17"/>
        <v>16</v>
      </c>
    </row>
    <row r="354" ht="18" spans="1:11">
      <c r="A354" s="10">
        <f t="shared" si="15"/>
        <v>353</v>
      </c>
      <c r="B354" s="11" t="s">
        <v>4302</v>
      </c>
      <c r="C354" s="10" t="str">
        <f>IFERROR(INDEX(面试清单!D:D,MATCH(353,面试清单!P:P,0)),"")</f>
        <v/>
      </c>
      <c r="D354" s="11" t="s">
        <v>42</v>
      </c>
      <c r="E354" s="11" t="s">
        <v>62</v>
      </c>
      <c r="F354" s="11" t="s">
        <v>103</v>
      </c>
      <c r="G354" s="15">
        <v>46083</v>
      </c>
      <c r="H354" s="10" t="str">
        <f>IFERROR(INDEX(面试清单!H:H,MATCH(353,面试清单!P:P,0)),"")</f>
        <v/>
      </c>
      <c r="I354" s="13" t="s">
        <v>29</v>
      </c>
      <c r="J354" s="10">
        <f ca="1" t="shared" si="16"/>
        <v>106</v>
      </c>
      <c r="K354" s="10">
        <f ca="1" t="shared" si="17"/>
        <v>16</v>
      </c>
    </row>
    <row r="355" ht="18" spans="1:11">
      <c r="A355" s="14">
        <f t="shared" si="15"/>
        <v>354</v>
      </c>
      <c r="B355" s="11" t="s">
        <v>4303</v>
      </c>
      <c r="C355" s="124" t="str">
        <f>IFERROR(INDEX(面试清单!D:D,MATCH(354,面试清单!P:P,0)),"")</f>
        <v>0218</v>
      </c>
      <c r="D355" s="11" t="s">
        <v>42</v>
      </c>
      <c r="E355" s="11" t="s">
        <v>62</v>
      </c>
      <c r="F355" s="11" t="s">
        <v>103</v>
      </c>
      <c r="G355" s="15">
        <v>46083</v>
      </c>
      <c r="H355" s="14" t="str">
        <f>IFERROR(INDEX(面试清单!H:H,MATCH(354,面试清单!P:P,0)),"")</f>
        <v>线下</v>
      </c>
      <c r="I355" s="13" t="s">
        <v>29</v>
      </c>
      <c r="J355" s="14">
        <f ca="1" t="shared" si="16"/>
        <v>106</v>
      </c>
      <c r="K355" s="14">
        <f ca="1" t="shared" si="17"/>
        <v>16</v>
      </c>
    </row>
    <row r="356" ht="18" spans="1:11">
      <c r="A356" s="10">
        <f t="shared" si="15"/>
        <v>355</v>
      </c>
      <c r="B356" s="11" t="s">
        <v>4304</v>
      </c>
      <c r="C356" s="10" t="str">
        <f>IFERROR(INDEX(面试清单!D:D,MATCH(355,面试清单!P:P,0)),"")</f>
        <v/>
      </c>
      <c r="D356" s="11" t="s">
        <v>43</v>
      </c>
      <c r="E356" s="11" t="s">
        <v>62</v>
      </c>
      <c r="F356" s="11" t="s">
        <v>103</v>
      </c>
      <c r="G356" s="15">
        <v>46083</v>
      </c>
      <c r="H356" s="10" t="str">
        <f>IFERROR(INDEX(面试清单!H:H,MATCH(355,面试清单!P:P,0)),"")</f>
        <v/>
      </c>
      <c r="I356" s="13" t="s">
        <v>29</v>
      </c>
      <c r="J356" s="10">
        <f ca="1" t="shared" si="16"/>
        <v>106</v>
      </c>
      <c r="K356" s="10">
        <f ca="1" t="shared" si="17"/>
        <v>16</v>
      </c>
    </row>
    <row r="357" ht="18" spans="1:11">
      <c r="A357" s="14">
        <f t="shared" si="15"/>
        <v>356</v>
      </c>
      <c r="B357" s="11" t="s">
        <v>4305</v>
      </c>
      <c r="C357" s="14" t="str">
        <f>IFERROR(INDEX(面试清单!D:D,MATCH(356,面试清单!P:P,0)),"")</f>
        <v/>
      </c>
      <c r="D357" s="11" t="s">
        <v>43</v>
      </c>
      <c r="E357" s="11" t="s">
        <v>62</v>
      </c>
      <c r="F357" s="11" t="s">
        <v>103</v>
      </c>
      <c r="G357" s="15">
        <v>46083</v>
      </c>
      <c r="H357" s="14" t="str">
        <f>IFERROR(INDEX(面试清单!H:H,MATCH(356,面试清单!P:P,0)),"")</f>
        <v/>
      </c>
      <c r="I357" s="13" t="s">
        <v>29</v>
      </c>
      <c r="J357" s="14">
        <f ca="1" t="shared" si="16"/>
        <v>106</v>
      </c>
      <c r="K357" s="14">
        <f ca="1" t="shared" si="17"/>
        <v>16</v>
      </c>
    </row>
    <row r="358" ht="18" spans="1:11">
      <c r="A358" s="10">
        <f t="shared" si="15"/>
        <v>357</v>
      </c>
      <c r="B358" s="11" t="s">
        <v>4306</v>
      </c>
      <c r="C358" s="10" t="str">
        <f>IFERROR(INDEX(面试清单!D:D,MATCH(357,面试清单!P:P,0)),"")</f>
        <v/>
      </c>
      <c r="D358" s="11" t="s">
        <v>43</v>
      </c>
      <c r="E358" s="11" t="s">
        <v>62</v>
      </c>
      <c r="F358" s="11" t="s">
        <v>103</v>
      </c>
      <c r="G358" s="15">
        <v>46083</v>
      </c>
      <c r="H358" s="10" t="str">
        <f>IFERROR(INDEX(面试清单!H:H,MATCH(357,面试清单!P:P,0)),"")</f>
        <v/>
      </c>
      <c r="I358" s="13" t="s">
        <v>29</v>
      </c>
      <c r="J358" s="10">
        <f ca="1" t="shared" si="16"/>
        <v>106</v>
      </c>
      <c r="K358" s="10">
        <f ca="1" t="shared" si="17"/>
        <v>16</v>
      </c>
    </row>
    <row r="359" ht="18" spans="1:11">
      <c r="A359" s="14">
        <f t="shared" si="15"/>
        <v>358</v>
      </c>
      <c r="B359" s="11" t="s">
        <v>4307</v>
      </c>
      <c r="C359" s="14" t="str">
        <f>IFERROR(INDEX(面试清单!D:D,MATCH(358,面试清单!P:P,0)),"")</f>
        <v/>
      </c>
      <c r="D359" s="11" t="s">
        <v>42</v>
      </c>
      <c r="E359" s="11" t="s">
        <v>62</v>
      </c>
      <c r="F359" s="11" t="s">
        <v>233</v>
      </c>
      <c r="G359" s="15">
        <v>46083</v>
      </c>
      <c r="H359" s="14" t="str">
        <f>IFERROR(INDEX(面试清单!H:H,MATCH(358,面试清单!P:P,0)),"")</f>
        <v/>
      </c>
      <c r="I359" s="13" t="s">
        <v>29</v>
      </c>
      <c r="J359" s="14">
        <f ca="1" t="shared" si="16"/>
        <v>106</v>
      </c>
      <c r="K359" s="14">
        <f ca="1" t="shared" si="17"/>
        <v>16</v>
      </c>
    </row>
    <row r="360" ht="18" spans="1:11">
      <c r="A360" s="10">
        <f t="shared" si="15"/>
        <v>359</v>
      </c>
      <c r="B360" s="11" t="s">
        <v>4308</v>
      </c>
      <c r="C360" s="10" t="str">
        <f>IFERROR(INDEX(面试清单!D:D,MATCH(359,面试清单!P:P,0)),"")</f>
        <v/>
      </c>
      <c r="D360" s="11" t="s">
        <v>42</v>
      </c>
      <c r="E360" s="11" t="s">
        <v>62</v>
      </c>
      <c r="F360" s="11" t="s">
        <v>179</v>
      </c>
      <c r="G360" s="15">
        <v>46083</v>
      </c>
      <c r="H360" s="10" t="str">
        <f>IFERROR(INDEX(面试清单!H:H,MATCH(359,面试清单!P:P,0)),"")</f>
        <v/>
      </c>
      <c r="I360" s="13" t="s">
        <v>29</v>
      </c>
      <c r="J360" s="10">
        <f ca="1" t="shared" si="16"/>
        <v>106</v>
      </c>
      <c r="K360" s="10">
        <f ca="1" t="shared" si="17"/>
        <v>16</v>
      </c>
    </row>
    <row r="361" ht="18" spans="1:11">
      <c r="A361" s="14">
        <f t="shared" si="15"/>
        <v>360</v>
      </c>
      <c r="B361" s="11" t="s">
        <v>4309</v>
      </c>
      <c r="C361" s="14" t="str">
        <f>IFERROR(INDEX(面试清单!D:D,MATCH(360,面试清单!P:P,0)),"")</f>
        <v/>
      </c>
      <c r="D361" s="11" t="s">
        <v>43</v>
      </c>
      <c r="E361" s="11" t="s">
        <v>62</v>
      </c>
      <c r="F361" s="11" t="s">
        <v>179</v>
      </c>
      <c r="G361" s="15">
        <v>46083</v>
      </c>
      <c r="H361" s="14" t="str">
        <f>IFERROR(INDEX(面试清单!H:H,MATCH(360,面试清单!P:P,0)),"")</f>
        <v/>
      </c>
      <c r="I361" s="13" t="s">
        <v>29</v>
      </c>
      <c r="J361" s="14">
        <f ca="1" t="shared" si="16"/>
        <v>106</v>
      </c>
      <c r="K361" s="14">
        <f ca="1" t="shared" si="17"/>
        <v>16</v>
      </c>
    </row>
    <row r="362" ht="18" spans="1:11">
      <c r="A362" s="10">
        <f t="shared" si="15"/>
        <v>361</v>
      </c>
      <c r="B362" s="11" t="s">
        <v>4310</v>
      </c>
      <c r="C362" s="125" t="str">
        <f>IFERROR(INDEX(面试清单!D:D,MATCH(361,面试清单!P:P,0)),"")</f>
        <v>0214</v>
      </c>
      <c r="D362" s="11" t="s">
        <v>42</v>
      </c>
      <c r="E362" s="11" t="s">
        <v>63</v>
      </c>
      <c r="F362" s="11" t="s">
        <v>179</v>
      </c>
      <c r="G362" s="15">
        <v>46083</v>
      </c>
      <c r="H362" s="10" t="str">
        <f>IFERROR(INDEX(面试清单!H:H,MATCH(361,面试清单!P:P,0)),"")</f>
        <v>线下</v>
      </c>
      <c r="I362" s="13" t="s">
        <v>29</v>
      </c>
      <c r="J362" s="10">
        <f ca="1" t="shared" si="16"/>
        <v>106</v>
      </c>
      <c r="K362" s="10">
        <f ca="1" t="shared" si="17"/>
        <v>16</v>
      </c>
    </row>
    <row r="363" ht="36" spans="1:11">
      <c r="A363" s="14">
        <f t="shared" si="15"/>
        <v>362</v>
      </c>
      <c r="B363" s="11" t="s">
        <v>4311</v>
      </c>
      <c r="C363" s="124" t="str">
        <f>IFERROR(INDEX(面试清单!D:D,MATCH(362,面试清单!P:P,0)),"")</f>
        <v>0217</v>
      </c>
      <c r="D363" s="11" t="s">
        <v>42</v>
      </c>
      <c r="E363" s="11" t="s">
        <v>62</v>
      </c>
      <c r="F363" s="11" t="s">
        <v>132</v>
      </c>
      <c r="G363" s="15">
        <v>46083</v>
      </c>
      <c r="H363" s="14" t="str">
        <f>IFERROR(INDEX(面试清单!H:H,MATCH(362,面试清单!P:P,0)),"")</f>
        <v>线下</v>
      </c>
      <c r="I363" s="13" t="s">
        <v>29</v>
      </c>
      <c r="J363" s="14">
        <f ca="1" t="shared" si="16"/>
        <v>106</v>
      </c>
      <c r="K363" s="14">
        <f ca="1" t="shared" si="17"/>
        <v>16</v>
      </c>
    </row>
    <row r="364" ht="18" spans="1:11">
      <c r="A364" s="10">
        <f t="shared" si="15"/>
        <v>363</v>
      </c>
      <c r="B364" s="11" t="s">
        <v>4312</v>
      </c>
      <c r="C364" s="125" t="str">
        <f>IFERROR(INDEX(面试清单!D:D,MATCH(363,面试清单!P:P,0)),"")</f>
        <v>0218</v>
      </c>
      <c r="D364" s="11" t="s">
        <v>42</v>
      </c>
      <c r="E364" s="11" t="s">
        <v>62</v>
      </c>
      <c r="F364" s="11" t="s">
        <v>135</v>
      </c>
      <c r="G364" s="15">
        <v>46083</v>
      </c>
      <c r="H364" s="10" t="str">
        <f>IFERROR(INDEX(面试清单!H:H,MATCH(363,面试清单!P:P,0)),"")</f>
        <v>线下</v>
      </c>
      <c r="I364" s="13" t="s">
        <v>29</v>
      </c>
      <c r="J364" s="10">
        <f ca="1" t="shared" si="16"/>
        <v>106</v>
      </c>
      <c r="K364" s="10">
        <f ca="1" t="shared" si="17"/>
        <v>16</v>
      </c>
    </row>
    <row r="365" ht="18" spans="1:11">
      <c r="A365" s="14">
        <f t="shared" si="15"/>
        <v>364</v>
      </c>
      <c r="B365" s="11" t="s">
        <v>4313</v>
      </c>
      <c r="C365" s="14" t="str">
        <f>IFERROR(INDEX(面试清单!D:D,MATCH(364,面试清单!P:P,0)),"")</f>
        <v/>
      </c>
      <c r="D365" s="11" t="s">
        <v>42</v>
      </c>
      <c r="E365" s="11" t="s">
        <v>62</v>
      </c>
      <c r="F365" s="11" t="s">
        <v>103</v>
      </c>
      <c r="G365" s="15">
        <v>46083</v>
      </c>
      <c r="H365" s="14" t="str">
        <f>IFERROR(INDEX(面试清单!H:H,MATCH(364,面试清单!P:P,0)),"")</f>
        <v/>
      </c>
      <c r="I365" s="13" t="s">
        <v>29</v>
      </c>
      <c r="J365" s="14">
        <f ca="1" t="shared" si="16"/>
        <v>106</v>
      </c>
      <c r="K365" s="14">
        <f ca="1" t="shared" si="17"/>
        <v>16</v>
      </c>
    </row>
    <row r="366" ht="36" spans="1:11">
      <c r="A366" s="10">
        <f t="shared" si="15"/>
        <v>365</v>
      </c>
      <c r="B366" s="11" t="s">
        <v>4314</v>
      </c>
      <c r="C366" s="125" t="str">
        <f>IFERROR(INDEX(面试清单!D:D,MATCH(365,面试清单!P:P,0)),"")</f>
        <v>0221</v>
      </c>
      <c r="D366" s="11" t="s">
        <v>42</v>
      </c>
      <c r="E366" s="11" t="s">
        <v>62</v>
      </c>
      <c r="F366" s="11" t="s">
        <v>124</v>
      </c>
      <c r="G366" s="15">
        <v>46083</v>
      </c>
      <c r="H366" s="10" t="str">
        <f>IFERROR(INDEX(面试清单!H:H,MATCH(365,面试清单!P:P,0)),"")</f>
        <v>线下</v>
      </c>
      <c r="I366" s="13" t="s">
        <v>29</v>
      </c>
      <c r="J366" s="10">
        <f ca="1" t="shared" si="16"/>
        <v>106</v>
      </c>
      <c r="K366" s="10">
        <f ca="1" t="shared" si="17"/>
        <v>16</v>
      </c>
    </row>
    <row r="367" ht="18" spans="1:11">
      <c r="A367" s="14">
        <f t="shared" si="15"/>
        <v>366</v>
      </c>
      <c r="B367" s="11" t="s">
        <v>4315</v>
      </c>
      <c r="C367" s="14" t="str">
        <f>IFERROR(INDEX(面试清单!D:D,MATCH(366,面试清单!P:P,0)),"")</f>
        <v/>
      </c>
      <c r="D367" s="11" t="s">
        <v>42</v>
      </c>
      <c r="E367" s="11" t="s">
        <v>62</v>
      </c>
      <c r="F367" s="11" t="s">
        <v>233</v>
      </c>
      <c r="G367" s="15">
        <v>46083</v>
      </c>
      <c r="H367" s="14" t="str">
        <f>IFERROR(INDEX(面试清单!H:H,MATCH(366,面试清单!P:P,0)),"")</f>
        <v/>
      </c>
      <c r="I367" s="13" t="s">
        <v>29</v>
      </c>
      <c r="J367" s="14">
        <f ca="1" t="shared" si="16"/>
        <v>106</v>
      </c>
      <c r="K367" s="14">
        <f ca="1" t="shared" si="17"/>
        <v>16</v>
      </c>
    </row>
    <row r="368" ht="18" spans="1:11">
      <c r="A368" s="10">
        <f t="shared" si="15"/>
        <v>367</v>
      </c>
      <c r="B368" s="11" t="s">
        <v>4316</v>
      </c>
      <c r="C368" s="125" t="str">
        <f>IFERROR(INDEX(面试清单!D:D,MATCH(367,面试清单!P:P,0)),"")</f>
        <v>0208</v>
      </c>
      <c r="D368" s="11" t="s">
        <v>42</v>
      </c>
      <c r="E368" s="11" t="s">
        <v>62</v>
      </c>
      <c r="F368" s="11" t="s">
        <v>509</v>
      </c>
      <c r="G368" s="15">
        <v>46083</v>
      </c>
      <c r="H368" s="10" t="str">
        <f>IFERROR(INDEX(面试清单!H:H,MATCH(367,面试清单!P:P,0)),"")</f>
        <v>线下</v>
      </c>
      <c r="I368" s="13" t="s">
        <v>29</v>
      </c>
      <c r="J368" s="10">
        <f ca="1" t="shared" si="16"/>
        <v>106</v>
      </c>
      <c r="K368" s="10">
        <f ca="1" t="shared" si="17"/>
        <v>16</v>
      </c>
    </row>
    <row r="369" ht="18" spans="1:11">
      <c r="A369" s="14">
        <f t="shared" si="15"/>
        <v>368</v>
      </c>
      <c r="B369" s="11" t="s">
        <v>4317</v>
      </c>
      <c r="C369" s="124" t="str">
        <f>IFERROR(INDEX(面试清单!D:D,MATCH(368,面试清单!P:P,0)),"")</f>
        <v>0209</v>
      </c>
      <c r="D369" s="11" t="s">
        <v>42</v>
      </c>
      <c r="E369" s="11" t="s">
        <v>63</v>
      </c>
      <c r="F369" s="11" t="s">
        <v>179</v>
      </c>
      <c r="G369" s="15">
        <v>46083</v>
      </c>
      <c r="H369" s="14" t="str">
        <f>IFERROR(INDEX(面试清单!H:H,MATCH(368,面试清单!P:P,0)),"")</f>
        <v>线下</v>
      </c>
      <c r="I369" s="13" t="s">
        <v>29</v>
      </c>
      <c r="J369" s="14">
        <f ca="1" t="shared" si="16"/>
        <v>106</v>
      </c>
      <c r="K369" s="14">
        <f ca="1" t="shared" si="17"/>
        <v>16</v>
      </c>
    </row>
    <row r="370" ht="18" spans="1:11">
      <c r="A370" s="10">
        <f t="shared" si="15"/>
        <v>369</v>
      </c>
      <c r="B370" s="11" t="s">
        <v>4318</v>
      </c>
      <c r="C370" s="125" t="str">
        <f>IFERROR(INDEX(面试清单!D:D,MATCH(369,面试清单!P:P,0)),"")</f>
        <v>0212</v>
      </c>
      <c r="D370" s="11" t="s">
        <v>42</v>
      </c>
      <c r="E370" s="11" t="s">
        <v>62</v>
      </c>
      <c r="F370" s="11" t="s">
        <v>179</v>
      </c>
      <c r="G370" s="15">
        <v>46083</v>
      </c>
      <c r="H370" s="10" t="str">
        <f>IFERROR(INDEX(面试清单!H:H,MATCH(369,面试清单!P:P,0)),"")</f>
        <v>线下</v>
      </c>
      <c r="I370" s="13" t="s">
        <v>29</v>
      </c>
      <c r="J370" s="10">
        <f ca="1" t="shared" si="16"/>
        <v>106</v>
      </c>
      <c r="K370" s="10">
        <f ca="1" t="shared" si="17"/>
        <v>16</v>
      </c>
    </row>
    <row r="371" ht="18" spans="1:11">
      <c r="A371" s="14">
        <f t="shared" si="15"/>
        <v>370</v>
      </c>
      <c r="B371" s="11" t="s">
        <v>4319</v>
      </c>
      <c r="C371" s="124" t="str">
        <f>IFERROR(INDEX(面试清单!D:D,MATCH(370,面试清单!P:P,0)),"")</f>
        <v>0214</v>
      </c>
      <c r="D371" s="11" t="s">
        <v>42</v>
      </c>
      <c r="E371" s="11" t="s">
        <v>62</v>
      </c>
      <c r="F371" s="11" t="s">
        <v>103</v>
      </c>
      <c r="G371" s="15">
        <v>46083</v>
      </c>
      <c r="H371" s="14" t="str">
        <f>IFERROR(INDEX(面试清单!H:H,MATCH(370,面试清单!P:P,0)),"")</f>
        <v>线下</v>
      </c>
      <c r="I371" s="13" t="s">
        <v>29</v>
      </c>
      <c r="J371" s="14">
        <f ca="1" t="shared" si="16"/>
        <v>106</v>
      </c>
      <c r="K371" s="14">
        <f ca="1" t="shared" si="17"/>
        <v>16</v>
      </c>
    </row>
    <row r="372" ht="18" spans="1:11">
      <c r="A372" s="10">
        <f t="shared" si="15"/>
        <v>371</v>
      </c>
      <c r="B372" s="11" t="s">
        <v>4320</v>
      </c>
      <c r="C372" s="10" t="str">
        <f>IFERROR(INDEX(面试清单!D:D,MATCH(371,面试清单!P:P,0)),"")</f>
        <v/>
      </c>
      <c r="D372" s="11" t="s">
        <v>42</v>
      </c>
      <c r="E372" s="11" t="s">
        <v>64</v>
      </c>
      <c r="F372" s="11" t="s">
        <v>103</v>
      </c>
      <c r="G372" s="15">
        <v>46083</v>
      </c>
      <c r="H372" s="10" t="str">
        <f>IFERROR(INDEX(面试清单!H:H,MATCH(371,面试清单!P:P,0)),"")</f>
        <v/>
      </c>
      <c r="I372" s="13" t="s">
        <v>29</v>
      </c>
      <c r="J372" s="10">
        <f ca="1" t="shared" si="16"/>
        <v>106</v>
      </c>
      <c r="K372" s="10">
        <f ca="1" t="shared" si="17"/>
        <v>16</v>
      </c>
    </row>
    <row r="373" ht="18" spans="1:11">
      <c r="A373" s="14">
        <f t="shared" si="15"/>
        <v>372</v>
      </c>
      <c r="B373" s="11" t="s">
        <v>4321</v>
      </c>
      <c r="C373" s="14" t="str">
        <f>IFERROR(INDEX(面试清单!D:D,MATCH(372,面试清单!P:P,0)),"")</f>
        <v/>
      </c>
      <c r="D373" s="11" t="s">
        <v>42</v>
      </c>
      <c r="E373" s="11" t="s">
        <v>64</v>
      </c>
      <c r="F373" s="11" t="s">
        <v>179</v>
      </c>
      <c r="G373" s="15">
        <v>46083</v>
      </c>
      <c r="H373" s="14" t="str">
        <f>IFERROR(INDEX(面试清单!H:H,MATCH(372,面试清单!P:P,0)),"")</f>
        <v/>
      </c>
      <c r="I373" s="13" t="s">
        <v>29</v>
      </c>
      <c r="J373" s="14">
        <f ca="1" t="shared" si="16"/>
        <v>106</v>
      </c>
      <c r="K373" s="14">
        <f ca="1" t="shared" si="17"/>
        <v>16</v>
      </c>
    </row>
    <row r="374" ht="18" spans="1:11">
      <c r="A374" s="10">
        <f t="shared" si="15"/>
        <v>373</v>
      </c>
      <c r="B374" s="11" t="s">
        <v>4322</v>
      </c>
      <c r="C374" s="125" t="str">
        <f>IFERROR(INDEX(面试清单!D:D,MATCH(373,面试清单!P:P,0)),"")</f>
        <v>0220</v>
      </c>
      <c r="D374" s="11" t="s">
        <v>43</v>
      </c>
      <c r="E374" s="11" t="s">
        <v>62</v>
      </c>
      <c r="F374" s="11" t="s">
        <v>103</v>
      </c>
      <c r="G374" s="15">
        <v>46083</v>
      </c>
      <c r="H374" s="10" t="str">
        <f>IFERROR(INDEX(面试清单!H:H,MATCH(373,面试清单!P:P,0)),"")</f>
        <v>线下</v>
      </c>
      <c r="I374" s="13" t="s">
        <v>29</v>
      </c>
      <c r="J374" s="10">
        <f ca="1" t="shared" si="16"/>
        <v>106</v>
      </c>
      <c r="K374" s="10">
        <f ca="1" t="shared" si="17"/>
        <v>16</v>
      </c>
    </row>
    <row r="375" ht="18" spans="1:11">
      <c r="A375" s="14">
        <f t="shared" si="15"/>
        <v>374</v>
      </c>
      <c r="B375" s="11" t="s">
        <v>4323</v>
      </c>
      <c r="C375" s="124" t="str">
        <f>IFERROR(INDEX(面试清单!D:D,MATCH(374,面试清单!P:P,0)),"")</f>
        <v>0221</v>
      </c>
      <c r="D375" s="11" t="s">
        <v>43</v>
      </c>
      <c r="E375" s="11" t="s">
        <v>63</v>
      </c>
      <c r="F375" s="11" t="s">
        <v>117</v>
      </c>
      <c r="G375" s="15">
        <v>46083</v>
      </c>
      <c r="H375" s="14" t="str">
        <f>IFERROR(INDEX(面试清单!H:H,MATCH(374,面试清单!P:P,0)),"")</f>
        <v>线下</v>
      </c>
      <c r="I375" s="13" t="s">
        <v>29</v>
      </c>
      <c r="J375" s="14">
        <f ca="1" t="shared" si="16"/>
        <v>106</v>
      </c>
      <c r="K375" s="14">
        <f ca="1" t="shared" si="17"/>
        <v>16</v>
      </c>
    </row>
    <row r="376" ht="18" spans="1:11">
      <c r="A376" s="10">
        <f t="shared" si="15"/>
        <v>375</v>
      </c>
      <c r="B376" s="11" t="s">
        <v>4324</v>
      </c>
      <c r="C376" s="125" t="str">
        <f>IFERROR(INDEX(面试清单!D:D,MATCH(375,面试清单!P:P,0)),"")</f>
        <v>0222</v>
      </c>
      <c r="D376" s="11" t="s">
        <v>43</v>
      </c>
      <c r="E376" s="11" t="s">
        <v>62</v>
      </c>
      <c r="F376" s="11" t="s">
        <v>179</v>
      </c>
      <c r="G376" s="15">
        <v>46083</v>
      </c>
      <c r="H376" s="10" t="str">
        <f>IFERROR(INDEX(面试清单!H:H,MATCH(375,面试清单!P:P,0)),"")</f>
        <v>线下</v>
      </c>
      <c r="I376" s="13" t="s">
        <v>29</v>
      </c>
      <c r="J376" s="10">
        <f ca="1" t="shared" si="16"/>
        <v>106</v>
      </c>
      <c r="K376" s="10">
        <f ca="1" t="shared" si="17"/>
        <v>16</v>
      </c>
    </row>
    <row r="377" ht="18" spans="1:11">
      <c r="A377" s="14">
        <f t="shared" si="15"/>
        <v>376</v>
      </c>
      <c r="B377" s="11" t="s">
        <v>4325</v>
      </c>
      <c r="C377" s="14" t="str">
        <f>IFERROR(INDEX(面试清单!D:D,MATCH(376,面试清单!P:P,0)),"")</f>
        <v/>
      </c>
      <c r="D377" s="11" t="s">
        <v>43</v>
      </c>
      <c r="E377" s="11" t="s">
        <v>62</v>
      </c>
      <c r="F377" s="11" t="s">
        <v>132</v>
      </c>
      <c r="G377" s="15">
        <v>46083</v>
      </c>
      <c r="H377" s="14" t="str">
        <f>IFERROR(INDEX(面试清单!H:H,MATCH(376,面试清单!P:P,0)),"")</f>
        <v/>
      </c>
      <c r="I377" s="13" t="s">
        <v>29</v>
      </c>
      <c r="J377" s="14">
        <f ca="1" t="shared" si="16"/>
        <v>106</v>
      </c>
      <c r="K377" s="14">
        <f ca="1" t="shared" si="17"/>
        <v>16</v>
      </c>
    </row>
    <row r="378" ht="18" spans="1:11">
      <c r="A378" s="10">
        <f t="shared" si="15"/>
        <v>377</v>
      </c>
      <c r="B378" s="11" t="s">
        <v>4326</v>
      </c>
      <c r="C378" s="125" t="str">
        <f>IFERROR(INDEX(面试清单!D:D,MATCH(377,面试清单!P:P,0)),"")</f>
        <v>0209</v>
      </c>
      <c r="D378" s="11" t="s">
        <v>43</v>
      </c>
      <c r="E378" s="11" t="s">
        <v>62</v>
      </c>
      <c r="F378" s="11" t="s">
        <v>179</v>
      </c>
      <c r="G378" s="15">
        <v>46083</v>
      </c>
      <c r="H378" s="10" t="str">
        <f>IFERROR(INDEX(面试清单!H:H,MATCH(377,面试清单!P:P,0)),"")</f>
        <v>线下</v>
      </c>
      <c r="I378" s="13" t="s">
        <v>29</v>
      </c>
      <c r="J378" s="10">
        <f ca="1" t="shared" si="16"/>
        <v>106</v>
      </c>
      <c r="K378" s="10">
        <f ca="1" t="shared" si="17"/>
        <v>16</v>
      </c>
    </row>
    <row r="379" ht="18" spans="1:11">
      <c r="A379" s="14">
        <f t="shared" si="15"/>
        <v>378</v>
      </c>
      <c r="B379" s="11" t="s">
        <v>4327</v>
      </c>
      <c r="C379" s="124" t="str">
        <f>IFERROR(INDEX(面试清单!D:D,MATCH(378,面试清单!P:P,0)),"")</f>
        <v>0212</v>
      </c>
      <c r="D379" s="11" t="s">
        <v>43</v>
      </c>
      <c r="E379" s="11" t="s">
        <v>62</v>
      </c>
      <c r="F379" s="11" t="s">
        <v>233</v>
      </c>
      <c r="G379" s="15">
        <v>46083</v>
      </c>
      <c r="H379" s="14" t="str">
        <f>IFERROR(INDEX(面试清单!H:H,MATCH(378,面试清单!P:P,0)),"")</f>
        <v>线下</v>
      </c>
      <c r="I379" s="13" t="s">
        <v>29</v>
      </c>
      <c r="J379" s="14">
        <f ca="1" t="shared" si="16"/>
        <v>106</v>
      </c>
      <c r="K379" s="14">
        <f ca="1" t="shared" si="17"/>
        <v>16</v>
      </c>
    </row>
    <row r="380" ht="18" spans="1:11">
      <c r="A380" s="10">
        <f t="shared" si="15"/>
        <v>379</v>
      </c>
      <c r="B380" s="11" t="s">
        <v>4328</v>
      </c>
      <c r="C380" s="125" t="str">
        <f>IFERROR(INDEX(面试清单!D:D,MATCH(379,面试清单!P:P,0)),"")</f>
        <v>0214</v>
      </c>
      <c r="D380" s="11" t="s">
        <v>43</v>
      </c>
      <c r="E380" s="11" t="s">
        <v>62</v>
      </c>
      <c r="F380" s="11" t="s">
        <v>179</v>
      </c>
      <c r="G380" s="15">
        <v>46083</v>
      </c>
      <c r="H380" s="10" t="str">
        <f>IFERROR(INDEX(面试清单!H:H,MATCH(379,面试清单!P:P,0)),"")</f>
        <v>线下</v>
      </c>
      <c r="I380" s="13" t="s">
        <v>29</v>
      </c>
      <c r="J380" s="10">
        <f ca="1" t="shared" si="16"/>
        <v>106</v>
      </c>
      <c r="K380" s="10">
        <f ca="1" t="shared" si="17"/>
        <v>16</v>
      </c>
    </row>
    <row r="381" ht="18" spans="1:11">
      <c r="A381" s="14">
        <f t="shared" si="15"/>
        <v>380</v>
      </c>
      <c r="B381" s="11" t="s">
        <v>4329</v>
      </c>
      <c r="C381" s="14" t="str">
        <f>IFERROR(INDEX(面试清单!D:D,MATCH(380,面试清单!P:P,0)),"")</f>
        <v/>
      </c>
      <c r="D381" s="11" t="s">
        <v>43</v>
      </c>
      <c r="E381" s="11" t="s">
        <v>62</v>
      </c>
      <c r="F381" s="11" t="s">
        <v>246</v>
      </c>
      <c r="G381" s="15">
        <v>46083</v>
      </c>
      <c r="H381" s="14" t="str">
        <f>IFERROR(INDEX(面试清单!H:H,MATCH(380,面试清单!P:P,0)),"")</f>
        <v/>
      </c>
      <c r="I381" s="13" t="s">
        <v>29</v>
      </c>
      <c r="J381" s="14">
        <f ca="1" t="shared" si="16"/>
        <v>106</v>
      </c>
      <c r="K381" s="14">
        <f ca="1" t="shared" si="17"/>
        <v>16</v>
      </c>
    </row>
    <row r="382" ht="18" spans="1:11">
      <c r="A382" s="10">
        <f t="shared" si="15"/>
        <v>381</v>
      </c>
      <c r="B382" s="11" t="s">
        <v>4330</v>
      </c>
      <c r="C382" s="125" t="str">
        <f>IFERROR(INDEX(面试清单!D:D,MATCH(381,面试清单!P:P,0)),"")</f>
        <v>0218</v>
      </c>
      <c r="D382" s="11" t="s">
        <v>42</v>
      </c>
      <c r="E382" s="11" t="s">
        <v>62</v>
      </c>
      <c r="F382" s="11" t="s">
        <v>110</v>
      </c>
      <c r="G382" s="15">
        <v>46083</v>
      </c>
      <c r="H382" s="10" t="str">
        <f>IFERROR(INDEX(面试清单!H:H,MATCH(381,面试清单!P:P,0)),"")</f>
        <v>线下</v>
      </c>
      <c r="I382" s="13" t="s">
        <v>29</v>
      </c>
      <c r="J382" s="10">
        <f ca="1" t="shared" si="16"/>
        <v>106</v>
      </c>
      <c r="K382" s="10">
        <f ca="1" t="shared" si="17"/>
        <v>16</v>
      </c>
    </row>
    <row r="383" ht="18" spans="1:11">
      <c r="A383" s="14">
        <f t="shared" si="15"/>
        <v>382</v>
      </c>
      <c r="B383" s="11" t="s">
        <v>4331</v>
      </c>
      <c r="C383" s="14" t="str">
        <f>IFERROR(INDEX(面试清单!D:D,MATCH(382,面试清单!P:P,0)),"")</f>
        <v/>
      </c>
      <c r="D383" s="11" t="s">
        <v>43</v>
      </c>
      <c r="E383" s="11" t="s">
        <v>62</v>
      </c>
      <c r="F383" s="11" t="s">
        <v>132</v>
      </c>
      <c r="G383" s="15">
        <v>46083</v>
      </c>
      <c r="H383" s="14" t="str">
        <f>IFERROR(INDEX(面试清单!H:H,MATCH(382,面试清单!P:P,0)),"")</f>
        <v/>
      </c>
      <c r="I383" s="13" t="s">
        <v>29</v>
      </c>
      <c r="J383" s="14">
        <f ca="1" t="shared" si="16"/>
        <v>106</v>
      </c>
      <c r="K383" s="14">
        <f ca="1" t="shared" si="17"/>
        <v>16</v>
      </c>
    </row>
    <row r="384" ht="18" spans="1:11">
      <c r="A384" s="10">
        <f t="shared" si="15"/>
        <v>383</v>
      </c>
      <c r="B384" s="11" t="s">
        <v>4332</v>
      </c>
      <c r="C384" s="125" t="str">
        <f>IFERROR(INDEX(面试清单!D:D,MATCH(383,面试清单!P:P,0)),"")</f>
        <v>0221</v>
      </c>
      <c r="D384" s="11" t="s">
        <v>43</v>
      </c>
      <c r="E384" s="11" t="s">
        <v>62</v>
      </c>
      <c r="F384" s="11" t="s">
        <v>124</v>
      </c>
      <c r="G384" s="15">
        <v>46083</v>
      </c>
      <c r="H384" s="10" t="str">
        <f>IFERROR(INDEX(面试清单!H:H,MATCH(383,面试清单!P:P,0)),"")</f>
        <v>线下</v>
      </c>
      <c r="I384" s="13" t="s">
        <v>29</v>
      </c>
      <c r="J384" s="10">
        <f ca="1" t="shared" si="16"/>
        <v>106</v>
      </c>
      <c r="K384" s="10">
        <f ca="1" t="shared" si="17"/>
        <v>16</v>
      </c>
    </row>
    <row r="385" ht="18" spans="1:11">
      <c r="A385" s="14">
        <f t="shared" si="15"/>
        <v>384</v>
      </c>
      <c r="B385" s="11" t="s">
        <v>4333</v>
      </c>
      <c r="C385" s="14" t="str">
        <f>IFERROR(INDEX(面试清单!D:D,MATCH(384,面试清单!P:P,0)),"")</f>
        <v/>
      </c>
      <c r="D385" s="11" t="s">
        <v>42</v>
      </c>
      <c r="E385" s="11" t="s">
        <v>63</v>
      </c>
      <c r="F385" s="11" t="s">
        <v>129</v>
      </c>
      <c r="G385" s="15">
        <v>46084</v>
      </c>
      <c r="H385" s="14" t="str">
        <f>IFERROR(INDEX(面试清单!H:H,MATCH(384,面试清单!P:P,0)),"")</f>
        <v/>
      </c>
      <c r="I385" s="13" t="s">
        <v>29</v>
      </c>
      <c r="J385" s="14">
        <f ca="1" t="shared" si="16"/>
        <v>105</v>
      </c>
      <c r="K385" s="14">
        <f ca="1" t="shared" si="17"/>
        <v>16</v>
      </c>
    </row>
    <row r="386" ht="18" spans="1:11">
      <c r="A386" s="10">
        <f t="shared" ref="A386:A449" si="18">IF(B386&lt;&gt;"",ROW()-1,"")</f>
        <v>385</v>
      </c>
      <c r="B386" s="11" t="s">
        <v>4334</v>
      </c>
      <c r="C386" s="125" t="str">
        <f>IFERROR(INDEX(面试清单!D:D,MATCH(385,面试清单!P:P,0)),"")</f>
        <v>0208</v>
      </c>
      <c r="D386" s="11" t="s">
        <v>42</v>
      </c>
      <c r="E386" s="11" t="s">
        <v>64</v>
      </c>
      <c r="F386" s="11" t="s">
        <v>505</v>
      </c>
      <c r="G386" s="15">
        <v>46084</v>
      </c>
      <c r="H386" s="10" t="str">
        <f>IFERROR(INDEX(面试清单!H:H,MATCH(385,面试清单!P:P,0)),"")</f>
        <v>线下</v>
      </c>
      <c r="I386" s="13" t="s">
        <v>29</v>
      </c>
      <c r="J386" s="10">
        <f ca="1" t="shared" ref="J386:J449" si="19">IF(G386&lt;&gt;"",TODAY()-G386,"")</f>
        <v>105</v>
      </c>
      <c r="K386" s="10">
        <f ca="1" t="shared" ref="K386:K449" si="20">IF(G386&lt;&gt;"",MAX(0,MIN(TODAY(),EOMONTH(TODAY(),0))-MAX(G386,EOMONTH(TODAY(),-1)+1)+1),"")</f>
        <v>16</v>
      </c>
    </row>
    <row r="387" ht="18" spans="1:11">
      <c r="A387" s="14">
        <f t="shared" si="18"/>
        <v>386</v>
      </c>
      <c r="B387" s="11" t="s">
        <v>4335</v>
      </c>
      <c r="C387" s="14" t="str">
        <f>IFERROR(INDEX(面试清单!D:D,MATCH(386,面试清单!P:P,0)),"")</f>
        <v/>
      </c>
      <c r="D387" s="11" t="s">
        <v>42</v>
      </c>
      <c r="E387" s="11" t="s">
        <v>63</v>
      </c>
      <c r="F387" s="11" t="s">
        <v>505</v>
      </c>
      <c r="G387" s="15">
        <v>46084</v>
      </c>
      <c r="H387" s="14" t="str">
        <f>IFERROR(INDEX(面试清单!H:H,MATCH(386,面试清单!P:P,0)),"")</f>
        <v/>
      </c>
      <c r="I387" s="13" t="s">
        <v>29</v>
      </c>
      <c r="J387" s="14">
        <f ca="1" t="shared" si="19"/>
        <v>105</v>
      </c>
      <c r="K387" s="14">
        <f ca="1" t="shared" si="20"/>
        <v>16</v>
      </c>
    </row>
    <row r="388" ht="18" spans="1:11">
      <c r="A388" s="10">
        <f t="shared" si="18"/>
        <v>387</v>
      </c>
      <c r="B388" s="11" t="s">
        <v>4336</v>
      </c>
      <c r="C388" s="125" t="str">
        <f>IFERROR(INDEX(面试清单!D:D,MATCH(387,面试清单!P:P,0)),"")</f>
        <v>0212</v>
      </c>
      <c r="D388" s="11" t="s">
        <v>43</v>
      </c>
      <c r="E388" s="11" t="s">
        <v>62</v>
      </c>
      <c r="F388" s="11" t="s">
        <v>179</v>
      </c>
      <c r="G388" s="15">
        <v>46084</v>
      </c>
      <c r="H388" s="10" t="str">
        <f>IFERROR(INDEX(面试清单!H:H,MATCH(387,面试清单!P:P,0)),"")</f>
        <v>线下</v>
      </c>
      <c r="I388" s="13" t="s">
        <v>29</v>
      </c>
      <c r="J388" s="10">
        <f ca="1" t="shared" si="19"/>
        <v>105</v>
      </c>
      <c r="K388" s="10">
        <f ca="1" t="shared" si="20"/>
        <v>16</v>
      </c>
    </row>
    <row r="389" ht="18" spans="1:11">
      <c r="A389" s="14">
        <f t="shared" si="18"/>
        <v>388</v>
      </c>
      <c r="B389" s="11" t="s">
        <v>4337</v>
      </c>
      <c r="C389" s="124" t="str">
        <f>IFERROR(INDEX(面试清单!D:D,MATCH(388,面试清单!P:P,0)),"")</f>
        <v>0214</v>
      </c>
      <c r="D389" s="11" t="s">
        <v>42</v>
      </c>
      <c r="E389" s="11" t="s">
        <v>62</v>
      </c>
      <c r="F389" s="11" t="s">
        <v>233</v>
      </c>
      <c r="G389" s="15">
        <v>46084</v>
      </c>
      <c r="H389" s="14" t="str">
        <f>IFERROR(INDEX(面试清单!H:H,MATCH(388,面试清单!P:P,0)),"")</f>
        <v>线下</v>
      </c>
      <c r="I389" s="13" t="s">
        <v>29</v>
      </c>
      <c r="J389" s="14">
        <f ca="1" t="shared" si="19"/>
        <v>105</v>
      </c>
      <c r="K389" s="14">
        <f ca="1" t="shared" si="20"/>
        <v>16</v>
      </c>
    </row>
    <row r="390" ht="18" spans="1:11">
      <c r="A390" s="10">
        <f t="shared" si="18"/>
        <v>389</v>
      </c>
      <c r="B390" s="11" t="s">
        <v>4338</v>
      </c>
      <c r="C390" s="125" t="str">
        <f>IFERROR(INDEX(面试清单!D:D,MATCH(389,面试清单!P:P,0)),"")</f>
        <v>0217</v>
      </c>
      <c r="D390" s="11" t="s">
        <v>42</v>
      </c>
      <c r="E390" s="11" t="s">
        <v>62</v>
      </c>
      <c r="F390" s="11" t="s">
        <v>233</v>
      </c>
      <c r="G390" s="15">
        <v>46084</v>
      </c>
      <c r="H390" s="10" t="str">
        <f>IFERROR(INDEX(面试清单!H:H,MATCH(389,面试清单!P:P,0)),"")</f>
        <v>线下</v>
      </c>
      <c r="I390" s="13" t="s">
        <v>29</v>
      </c>
      <c r="J390" s="10">
        <f ca="1" t="shared" si="19"/>
        <v>105</v>
      </c>
      <c r="K390" s="10">
        <f ca="1" t="shared" si="20"/>
        <v>16</v>
      </c>
    </row>
    <row r="391" ht="18" spans="1:11">
      <c r="A391" s="14">
        <f t="shared" si="18"/>
        <v>390</v>
      </c>
      <c r="B391" s="11" t="s">
        <v>4339</v>
      </c>
      <c r="C391" s="124" t="str">
        <f>IFERROR(INDEX(面试清单!D:D,MATCH(390,面试清单!P:P,0)),"")</f>
        <v>0218</v>
      </c>
      <c r="D391" s="11" t="s">
        <v>43</v>
      </c>
      <c r="E391" s="11" t="s">
        <v>62</v>
      </c>
      <c r="F391" s="11" t="s">
        <v>233</v>
      </c>
      <c r="G391" s="15">
        <v>46084</v>
      </c>
      <c r="H391" s="14" t="str">
        <f>IFERROR(INDEX(面试清单!H:H,MATCH(390,面试清单!P:P,0)),"")</f>
        <v>线下</v>
      </c>
      <c r="I391" s="13" t="s">
        <v>29</v>
      </c>
      <c r="J391" s="14">
        <f ca="1" t="shared" si="19"/>
        <v>105</v>
      </c>
      <c r="K391" s="14">
        <f ca="1" t="shared" si="20"/>
        <v>16</v>
      </c>
    </row>
    <row r="392" ht="18" spans="1:11">
      <c r="A392" s="10">
        <f t="shared" si="18"/>
        <v>391</v>
      </c>
      <c r="B392" s="11" t="s">
        <v>4340</v>
      </c>
      <c r="C392" s="125" t="str">
        <f>IFERROR(INDEX(面试清单!D:D,MATCH(391,面试清单!P:P,0)),"")</f>
        <v>0220</v>
      </c>
      <c r="D392" s="11" t="s">
        <v>42</v>
      </c>
      <c r="E392" s="11" t="s">
        <v>63</v>
      </c>
      <c r="F392" s="11" t="s">
        <v>124</v>
      </c>
      <c r="G392" s="15">
        <v>46084</v>
      </c>
      <c r="H392" s="10" t="str">
        <f>IFERROR(INDEX(面试清单!H:H,MATCH(391,面试清单!P:P,0)),"")</f>
        <v>线下</v>
      </c>
      <c r="I392" s="13" t="s">
        <v>29</v>
      </c>
      <c r="J392" s="10">
        <f ca="1" t="shared" si="19"/>
        <v>105</v>
      </c>
      <c r="K392" s="10">
        <f ca="1" t="shared" si="20"/>
        <v>16</v>
      </c>
    </row>
    <row r="393" ht="18" spans="1:11">
      <c r="A393" s="14">
        <f t="shared" si="18"/>
        <v>392</v>
      </c>
      <c r="B393" s="11" t="s">
        <v>4341</v>
      </c>
      <c r="C393" s="124" t="str">
        <f>IFERROR(INDEX(面试清单!D:D,MATCH(392,面试清单!P:P,0)),"")</f>
        <v>0221</v>
      </c>
      <c r="D393" s="11" t="s">
        <v>42</v>
      </c>
      <c r="E393" s="11" t="s">
        <v>63</v>
      </c>
      <c r="F393" s="11" t="s">
        <v>124</v>
      </c>
      <c r="G393" s="15">
        <v>46084</v>
      </c>
      <c r="H393" s="14" t="str">
        <f>IFERROR(INDEX(面试清单!H:H,MATCH(392,面试清单!P:P,0)),"")</f>
        <v>线下</v>
      </c>
      <c r="I393" s="13" t="s">
        <v>29</v>
      </c>
      <c r="J393" s="14">
        <f ca="1" t="shared" si="19"/>
        <v>105</v>
      </c>
      <c r="K393" s="14">
        <f ca="1" t="shared" si="20"/>
        <v>16</v>
      </c>
    </row>
    <row r="394" ht="18" spans="1:11">
      <c r="A394" s="10">
        <f t="shared" si="18"/>
        <v>393</v>
      </c>
      <c r="B394" s="11" t="s">
        <v>4342</v>
      </c>
      <c r="C394" s="10" t="str">
        <f>IFERROR(INDEX(面试清单!D:D,MATCH(393,面试清单!P:P,0)),"")</f>
        <v/>
      </c>
      <c r="D394" s="11" t="s">
        <v>42</v>
      </c>
      <c r="E394" s="11" t="s">
        <v>63</v>
      </c>
      <c r="F394" s="11" t="s">
        <v>124</v>
      </c>
      <c r="G394" s="15">
        <v>46084</v>
      </c>
      <c r="H394" s="10" t="str">
        <f>IFERROR(INDEX(面试清单!H:H,MATCH(393,面试清单!P:P,0)),"")</f>
        <v/>
      </c>
      <c r="I394" s="13" t="s">
        <v>29</v>
      </c>
      <c r="J394" s="10">
        <f ca="1" t="shared" si="19"/>
        <v>105</v>
      </c>
      <c r="K394" s="10">
        <f ca="1" t="shared" si="20"/>
        <v>16</v>
      </c>
    </row>
    <row r="395" ht="18" spans="1:11">
      <c r="A395" s="14">
        <f t="shared" si="18"/>
        <v>394</v>
      </c>
      <c r="B395" s="11" t="s">
        <v>4343</v>
      </c>
      <c r="C395" s="124" t="str">
        <f>IFERROR(INDEX(面试清单!D:D,MATCH(394,面试清单!P:P,0)),"")</f>
        <v>0208</v>
      </c>
      <c r="D395" s="11" t="s">
        <v>42</v>
      </c>
      <c r="E395" s="11" t="s">
        <v>62</v>
      </c>
      <c r="F395" s="11" t="s">
        <v>103</v>
      </c>
      <c r="G395" s="15">
        <v>46084</v>
      </c>
      <c r="H395" s="14" t="str">
        <f>IFERROR(INDEX(面试清单!H:H,MATCH(394,面试清单!P:P,0)),"")</f>
        <v>线下</v>
      </c>
      <c r="I395" s="13" t="s">
        <v>29</v>
      </c>
      <c r="J395" s="14">
        <f ca="1" t="shared" si="19"/>
        <v>105</v>
      </c>
      <c r="K395" s="14">
        <f ca="1" t="shared" si="20"/>
        <v>16</v>
      </c>
    </row>
    <row r="396" ht="18" spans="1:11">
      <c r="A396" s="10">
        <f t="shared" si="18"/>
        <v>395</v>
      </c>
      <c r="B396" s="11" t="s">
        <v>4344</v>
      </c>
      <c r="C396" s="10" t="str">
        <f>IFERROR(INDEX(面试清单!D:D,MATCH(395,面试清单!P:P,0)),"")</f>
        <v/>
      </c>
      <c r="D396" s="11" t="s">
        <v>42</v>
      </c>
      <c r="E396" s="11" t="s">
        <v>63</v>
      </c>
      <c r="F396" s="11" t="s">
        <v>103</v>
      </c>
      <c r="G396" s="15">
        <v>46084</v>
      </c>
      <c r="H396" s="10" t="str">
        <f>IFERROR(INDEX(面试清单!H:H,MATCH(395,面试清单!P:P,0)),"")</f>
        <v/>
      </c>
      <c r="I396" s="13" t="s">
        <v>29</v>
      </c>
      <c r="J396" s="10">
        <f ca="1" t="shared" si="19"/>
        <v>105</v>
      </c>
      <c r="K396" s="10">
        <f ca="1" t="shared" si="20"/>
        <v>16</v>
      </c>
    </row>
    <row r="397" ht="18" spans="1:11">
      <c r="A397" s="14">
        <f t="shared" si="18"/>
        <v>396</v>
      </c>
      <c r="B397" s="11" t="s">
        <v>4345</v>
      </c>
      <c r="C397" s="14" t="str">
        <f>IFERROR(INDEX(面试清单!D:D,MATCH(396,面试清单!P:P,0)),"")</f>
        <v/>
      </c>
      <c r="D397" s="11" t="s">
        <v>43</v>
      </c>
      <c r="E397" s="11" t="s">
        <v>62</v>
      </c>
      <c r="F397" s="11" t="s">
        <v>103</v>
      </c>
      <c r="G397" s="15">
        <v>46084</v>
      </c>
      <c r="H397" s="14" t="str">
        <f>IFERROR(INDEX(面试清单!H:H,MATCH(396,面试清单!P:P,0)),"")</f>
        <v/>
      </c>
      <c r="I397" s="13" t="s">
        <v>29</v>
      </c>
      <c r="J397" s="14">
        <f ca="1" t="shared" si="19"/>
        <v>105</v>
      </c>
      <c r="K397" s="14">
        <f ca="1" t="shared" si="20"/>
        <v>16</v>
      </c>
    </row>
    <row r="398" ht="18" spans="1:11">
      <c r="A398" s="10">
        <f t="shared" si="18"/>
        <v>397</v>
      </c>
      <c r="B398" s="11" t="s">
        <v>4346</v>
      </c>
      <c r="C398" s="10" t="str">
        <f>IFERROR(INDEX(面试清单!D:D,MATCH(397,面试清单!P:P,0)),"")</f>
        <v/>
      </c>
      <c r="D398" s="11" t="s">
        <v>43</v>
      </c>
      <c r="E398" s="11" t="s">
        <v>62</v>
      </c>
      <c r="F398" s="11" t="s">
        <v>103</v>
      </c>
      <c r="G398" s="15">
        <v>46084</v>
      </c>
      <c r="H398" s="10" t="str">
        <f>IFERROR(INDEX(面试清单!H:H,MATCH(397,面试清单!P:P,0)),"")</f>
        <v/>
      </c>
      <c r="I398" s="13" t="s">
        <v>29</v>
      </c>
      <c r="J398" s="10">
        <f ca="1" t="shared" si="19"/>
        <v>105</v>
      </c>
      <c r="K398" s="10">
        <f ca="1" t="shared" si="20"/>
        <v>16</v>
      </c>
    </row>
    <row r="399" ht="18" spans="1:11">
      <c r="A399" s="14">
        <f t="shared" si="18"/>
        <v>398</v>
      </c>
      <c r="B399" s="11" t="s">
        <v>2338</v>
      </c>
      <c r="C399" s="14" t="str">
        <f>IFERROR(INDEX(面试清单!D:D,MATCH(398,面试清单!P:P,0)),"")</f>
        <v/>
      </c>
      <c r="D399" s="11" t="s">
        <v>43</v>
      </c>
      <c r="E399" s="11" t="s">
        <v>62</v>
      </c>
      <c r="F399" s="11" t="s">
        <v>103</v>
      </c>
      <c r="G399" s="15">
        <v>46084</v>
      </c>
      <c r="H399" s="14" t="str">
        <f>IFERROR(INDEX(面试清单!H:H,MATCH(398,面试清单!P:P,0)),"")</f>
        <v/>
      </c>
      <c r="I399" s="13" t="s">
        <v>29</v>
      </c>
      <c r="J399" s="14">
        <f ca="1" t="shared" si="19"/>
        <v>105</v>
      </c>
      <c r="K399" s="14">
        <f ca="1" t="shared" si="20"/>
        <v>16</v>
      </c>
    </row>
    <row r="400" ht="18" spans="1:11">
      <c r="A400" s="10">
        <f t="shared" si="18"/>
        <v>399</v>
      </c>
      <c r="B400" s="11" t="s">
        <v>4347</v>
      </c>
      <c r="C400" s="10" t="str">
        <f>IFERROR(INDEX(面试清单!D:D,MATCH(399,面试清单!P:P,0)),"")</f>
        <v/>
      </c>
      <c r="D400" s="11" t="s">
        <v>42</v>
      </c>
      <c r="E400" s="11" t="s">
        <v>62</v>
      </c>
      <c r="F400" s="11" t="s">
        <v>103</v>
      </c>
      <c r="G400" s="15">
        <v>46084</v>
      </c>
      <c r="H400" s="10" t="str">
        <f>IFERROR(INDEX(面试清单!H:H,MATCH(399,面试清单!P:P,0)),"")</f>
        <v/>
      </c>
      <c r="I400" s="13" t="s">
        <v>29</v>
      </c>
      <c r="J400" s="10">
        <f ca="1" t="shared" si="19"/>
        <v>105</v>
      </c>
      <c r="K400" s="10">
        <f ca="1" t="shared" si="20"/>
        <v>16</v>
      </c>
    </row>
    <row r="401" ht="18" spans="1:11">
      <c r="A401" s="14">
        <f t="shared" si="18"/>
        <v>400</v>
      </c>
      <c r="B401" s="11" t="s">
        <v>4348</v>
      </c>
      <c r="C401" s="14" t="str">
        <f>IFERROR(INDEX(面试清单!D:D,MATCH(400,面试清单!P:P,0)),"")</f>
        <v/>
      </c>
      <c r="D401" s="11" t="s">
        <v>42</v>
      </c>
      <c r="E401" s="11" t="s">
        <v>62</v>
      </c>
      <c r="F401" s="11" t="s">
        <v>103</v>
      </c>
      <c r="G401" s="15">
        <v>46084</v>
      </c>
      <c r="H401" s="14" t="str">
        <f>IFERROR(INDEX(面试清单!H:H,MATCH(400,面试清单!P:P,0)),"")</f>
        <v/>
      </c>
      <c r="I401" s="13" t="s">
        <v>29</v>
      </c>
      <c r="J401" s="14">
        <f ca="1" t="shared" si="19"/>
        <v>105</v>
      </c>
      <c r="K401" s="14">
        <f ca="1" t="shared" si="20"/>
        <v>16</v>
      </c>
    </row>
    <row r="402" ht="18" spans="1:11">
      <c r="A402" s="10">
        <f t="shared" si="18"/>
        <v>401</v>
      </c>
      <c r="B402" s="11" t="s">
        <v>4349</v>
      </c>
      <c r="C402" s="10" t="str">
        <f>IFERROR(INDEX(面试清单!D:D,MATCH(401,面试清单!P:P,0)),"")</f>
        <v/>
      </c>
      <c r="D402" s="11" t="s">
        <v>42</v>
      </c>
      <c r="E402" s="11" t="s">
        <v>62</v>
      </c>
      <c r="F402" s="11" t="s">
        <v>103</v>
      </c>
      <c r="G402" s="15">
        <v>46084</v>
      </c>
      <c r="H402" s="10" t="str">
        <f>IFERROR(INDEX(面试清单!H:H,MATCH(401,面试清单!P:P,0)),"")</f>
        <v/>
      </c>
      <c r="I402" s="13" t="s">
        <v>29</v>
      </c>
      <c r="J402" s="10">
        <f ca="1" t="shared" si="19"/>
        <v>105</v>
      </c>
      <c r="K402" s="10">
        <f ca="1" t="shared" si="20"/>
        <v>16</v>
      </c>
    </row>
    <row r="403" ht="18" spans="1:11">
      <c r="A403" s="14">
        <f t="shared" si="18"/>
        <v>402</v>
      </c>
      <c r="B403" s="11" t="s">
        <v>4350</v>
      </c>
      <c r="C403" s="14" t="str">
        <f>IFERROR(INDEX(面试清单!D:D,MATCH(402,面试清单!P:P,0)),"")</f>
        <v/>
      </c>
      <c r="D403" s="11" t="s">
        <v>42</v>
      </c>
      <c r="E403" s="11" t="s">
        <v>62</v>
      </c>
      <c r="F403" s="11" t="s">
        <v>103</v>
      </c>
      <c r="G403" s="15">
        <v>46084</v>
      </c>
      <c r="H403" s="14" t="str">
        <f>IFERROR(INDEX(面试清单!H:H,MATCH(402,面试清单!P:P,0)),"")</f>
        <v/>
      </c>
      <c r="I403" s="13" t="s">
        <v>29</v>
      </c>
      <c r="J403" s="14">
        <f ca="1" t="shared" si="19"/>
        <v>105</v>
      </c>
      <c r="K403" s="14">
        <f ca="1" t="shared" si="20"/>
        <v>16</v>
      </c>
    </row>
    <row r="404" ht="18" spans="1:11">
      <c r="A404" s="10">
        <f t="shared" si="18"/>
        <v>403</v>
      </c>
      <c r="B404" s="11" t="s">
        <v>4351</v>
      </c>
      <c r="C404" s="10" t="str">
        <f>IFERROR(INDEX(面试清单!D:D,MATCH(403,面试清单!P:P,0)),"")</f>
        <v/>
      </c>
      <c r="D404" s="11" t="s">
        <v>42</v>
      </c>
      <c r="E404" s="11" t="s">
        <v>62</v>
      </c>
      <c r="F404" s="11" t="s">
        <v>103</v>
      </c>
      <c r="G404" s="15">
        <v>46084</v>
      </c>
      <c r="H404" s="10" t="str">
        <f>IFERROR(INDEX(面试清单!H:H,MATCH(403,面试清单!P:P,0)),"")</f>
        <v/>
      </c>
      <c r="I404" s="13" t="s">
        <v>29</v>
      </c>
      <c r="J404" s="10">
        <f ca="1" t="shared" si="19"/>
        <v>105</v>
      </c>
      <c r="K404" s="10">
        <f ca="1" t="shared" si="20"/>
        <v>16</v>
      </c>
    </row>
    <row r="405" ht="18" spans="1:11">
      <c r="A405" s="14">
        <f t="shared" si="18"/>
        <v>404</v>
      </c>
      <c r="B405" s="11" t="s">
        <v>4352</v>
      </c>
      <c r="C405" s="14" t="str">
        <f>IFERROR(INDEX(面试清单!D:D,MATCH(404,面试清单!P:P,0)),"")</f>
        <v/>
      </c>
      <c r="D405" s="11" t="s">
        <v>42</v>
      </c>
      <c r="E405" s="11" t="s">
        <v>63</v>
      </c>
      <c r="F405" s="11" t="s">
        <v>103</v>
      </c>
      <c r="G405" s="15">
        <v>46084</v>
      </c>
      <c r="H405" s="14" t="str">
        <f>IFERROR(INDEX(面试清单!H:H,MATCH(404,面试清单!P:P,0)),"")</f>
        <v/>
      </c>
      <c r="I405" s="13" t="s">
        <v>29</v>
      </c>
      <c r="J405" s="14">
        <f ca="1" t="shared" si="19"/>
        <v>105</v>
      </c>
      <c r="K405" s="14">
        <f ca="1" t="shared" si="20"/>
        <v>16</v>
      </c>
    </row>
    <row r="406" ht="18" spans="1:11">
      <c r="A406" s="10">
        <f t="shared" si="18"/>
        <v>405</v>
      </c>
      <c r="B406" s="11" t="s">
        <v>4353</v>
      </c>
      <c r="C406" s="10" t="str">
        <f>IFERROR(INDEX(面试清单!D:D,MATCH(405,面试清单!P:P,0)),"")</f>
        <v/>
      </c>
      <c r="D406" s="11" t="s">
        <v>43</v>
      </c>
      <c r="E406" s="11" t="s">
        <v>62</v>
      </c>
      <c r="F406" s="11" t="s">
        <v>307</v>
      </c>
      <c r="G406" s="15">
        <v>46084</v>
      </c>
      <c r="H406" s="10" t="str">
        <f>IFERROR(INDEX(面试清单!H:H,MATCH(405,面试清单!P:P,0)),"")</f>
        <v/>
      </c>
      <c r="I406" s="13" t="s">
        <v>29</v>
      </c>
      <c r="J406" s="10">
        <f ca="1" t="shared" si="19"/>
        <v>105</v>
      </c>
      <c r="K406" s="10">
        <f ca="1" t="shared" si="20"/>
        <v>16</v>
      </c>
    </row>
    <row r="407" ht="18" spans="1:11">
      <c r="A407" s="14">
        <f t="shared" si="18"/>
        <v>406</v>
      </c>
      <c r="B407" s="11" t="s">
        <v>4354</v>
      </c>
      <c r="C407" s="14" t="str">
        <f>IFERROR(INDEX(面试清单!D:D,MATCH(406,面试清单!P:P,0)),"")</f>
        <v/>
      </c>
      <c r="D407" s="11" t="s">
        <v>42</v>
      </c>
      <c r="E407" s="11" t="s">
        <v>62</v>
      </c>
      <c r="F407" s="11" t="s">
        <v>307</v>
      </c>
      <c r="G407" s="15">
        <v>46084</v>
      </c>
      <c r="H407" s="14" t="str">
        <f>IFERROR(INDEX(面试清单!H:H,MATCH(406,面试清单!P:P,0)),"")</f>
        <v/>
      </c>
      <c r="I407" s="13" t="s">
        <v>29</v>
      </c>
      <c r="J407" s="14">
        <f ca="1" t="shared" si="19"/>
        <v>105</v>
      </c>
      <c r="K407" s="14">
        <f ca="1" t="shared" si="20"/>
        <v>16</v>
      </c>
    </row>
    <row r="408" ht="18" spans="1:11">
      <c r="A408" s="10">
        <f t="shared" si="18"/>
        <v>407</v>
      </c>
      <c r="B408" s="11" t="s">
        <v>4355</v>
      </c>
      <c r="C408" s="10" t="str">
        <f>IFERROR(INDEX(面试清单!D:D,MATCH(407,面试清单!P:P,0)),"")</f>
        <v/>
      </c>
      <c r="D408" s="11" t="s">
        <v>43</v>
      </c>
      <c r="E408" s="11" t="s">
        <v>62</v>
      </c>
      <c r="F408" s="11" t="s">
        <v>307</v>
      </c>
      <c r="G408" s="15">
        <v>46084</v>
      </c>
      <c r="H408" s="10" t="str">
        <f>IFERROR(INDEX(面试清单!H:H,MATCH(407,面试清单!P:P,0)),"")</f>
        <v/>
      </c>
      <c r="I408" s="13" t="s">
        <v>29</v>
      </c>
      <c r="J408" s="10">
        <f ca="1" t="shared" si="19"/>
        <v>105</v>
      </c>
      <c r="K408" s="10">
        <f ca="1" t="shared" si="20"/>
        <v>16</v>
      </c>
    </row>
    <row r="409" ht="18" spans="1:11">
      <c r="A409" s="14">
        <f t="shared" si="18"/>
        <v>408</v>
      </c>
      <c r="B409" s="11" t="s">
        <v>4356</v>
      </c>
      <c r="C409" s="124" t="str">
        <f>IFERROR(INDEX(面试清单!D:D,MATCH(408,面试清单!P:P,0)),"")</f>
        <v>0217</v>
      </c>
      <c r="D409" s="11" t="s">
        <v>43</v>
      </c>
      <c r="E409" s="11" t="s">
        <v>62</v>
      </c>
      <c r="F409" s="11" t="s">
        <v>307</v>
      </c>
      <c r="G409" s="15">
        <v>46084</v>
      </c>
      <c r="H409" s="14" t="str">
        <f>IFERROR(INDEX(面试清单!H:H,MATCH(408,面试清单!P:P,0)),"")</f>
        <v>线下</v>
      </c>
      <c r="I409" s="13" t="s">
        <v>29</v>
      </c>
      <c r="J409" s="14">
        <f ca="1" t="shared" si="19"/>
        <v>105</v>
      </c>
      <c r="K409" s="14">
        <f ca="1" t="shared" si="20"/>
        <v>16</v>
      </c>
    </row>
    <row r="410" ht="18" spans="1:11">
      <c r="A410" s="10">
        <f t="shared" si="18"/>
        <v>409</v>
      </c>
      <c r="B410" s="11" t="s">
        <v>4357</v>
      </c>
      <c r="C410" s="125" t="str">
        <f>IFERROR(INDEX(面试清单!D:D,MATCH(409,面试清单!P:P,0)),"")</f>
        <v>0218</v>
      </c>
      <c r="D410" s="11" t="s">
        <v>42</v>
      </c>
      <c r="E410" s="11" t="s">
        <v>62</v>
      </c>
      <c r="F410" s="11" t="s">
        <v>307</v>
      </c>
      <c r="G410" s="15">
        <v>46084</v>
      </c>
      <c r="H410" s="10" t="str">
        <f>IFERROR(INDEX(面试清单!H:H,MATCH(409,面试清单!P:P,0)),"")</f>
        <v>线下</v>
      </c>
      <c r="I410" s="13" t="s">
        <v>29</v>
      </c>
      <c r="J410" s="10">
        <f ca="1" t="shared" si="19"/>
        <v>105</v>
      </c>
      <c r="K410" s="10">
        <f ca="1" t="shared" si="20"/>
        <v>16</v>
      </c>
    </row>
    <row r="411" ht="18" spans="1:11">
      <c r="A411" s="14">
        <f t="shared" si="18"/>
        <v>410</v>
      </c>
      <c r="B411" s="11" t="s">
        <v>4358</v>
      </c>
      <c r="C411" s="124" t="str">
        <f>IFERROR(INDEX(面试清单!D:D,MATCH(410,面试清单!P:P,0)),"")</f>
        <v>0220</v>
      </c>
      <c r="D411" s="11" t="s">
        <v>43</v>
      </c>
      <c r="E411" s="11" t="s">
        <v>62</v>
      </c>
      <c r="F411" s="11" t="s">
        <v>307</v>
      </c>
      <c r="G411" s="15">
        <v>46084</v>
      </c>
      <c r="H411" s="14" t="str">
        <f>IFERROR(INDEX(面试清单!H:H,MATCH(410,面试清单!P:P,0)),"")</f>
        <v>线下</v>
      </c>
      <c r="I411" s="13" t="s">
        <v>29</v>
      </c>
      <c r="J411" s="14">
        <f ca="1" t="shared" si="19"/>
        <v>105</v>
      </c>
      <c r="K411" s="14">
        <f ca="1" t="shared" si="20"/>
        <v>16</v>
      </c>
    </row>
    <row r="412" ht="18" spans="1:11">
      <c r="A412" s="10">
        <f t="shared" si="18"/>
        <v>411</v>
      </c>
      <c r="B412" s="11" t="s">
        <v>4359</v>
      </c>
      <c r="C412" s="10" t="str">
        <f>IFERROR(INDEX(面试清单!D:D,MATCH(411,面试清单!P:P,0)),"")</f>
        <v/>
      </c>
      <c r="D412" s="11" t="s">
        <v>43</v>
      </c>
      <c r="E412" s="11" t="s">
        <v>62</v>
      </c>
      <c r="F412" s="11" t="s">
        <v>307</v>
      </c>
      <c r="G412" s="15">
        <v>46084</v>
      </c>
      <c r="H412" s="10" t="str">
        <f>IFERROR(INDEX(面试清单!H:H,MATCH(411,面试清单!P:P,0)),"")</f>
        <v/>
      </c>
      <c r="I412" s="13" t="s">
        <v>29</v>
      </c>
      <c r="J412" s="10">
        <f ca="1" t="shared" si="19"/>
        <v>105</v>
      </c>
      <c r="K412" s="10">
        <f ca="1" t="shared" si="20"/>
        <v>16</v>
      </c>
    </row>
    <row r="413" ht="18" spans="1:11">
      <c r="A413" s="14">
        <f t="shared" si="18"/>
        <v>412</v>
      </c>
      <c r="B413" s="11" t="s">
        <v>4360</v>
      </c>
      <c r="C413" s="124" t="str">
        <f>IFERROR(INDEX(面试清单!D:D,MATCH(412,面试清单!P:P,0)),"")</f>
        <v>0222</v>
      </c>
      <c r="D413" s="11" t="s">
        <v>43</v>
      </c>
      <c r="E413" s="11" t="s">
        <v>62</v>
      </c>
      <c r="F413" s="11" t="s">
        <v>124</v>
      </c>
      <c r="G413" s="15">
        <v>46084</v>
      </c>
      <c r="H413" s="14" t="str">
        <f>IFERROR(INDEX(面试清单!H:H,MATCH(412,面试清单!P:P,0)),"")</f>
        <v>线下</v>
      </c>
      <c r="I413" s="13" t="s">
        <v>29</v>
      </c>
      <c r="J413" s="14">
        <f ca="1" t="shared" si="19"/>
        <v>105</v>
      </c>
      <c r="K413" s="14">
        <f ca="1" t="shared" si="20"/>
        <v>16</v>
      </c>
    </row>
    <row r="414" ht="18" spans="1:11">
      <c r="A414" s="10">
        <f t="shared" si="18"/>
        <v>413</v>
      </c>
      <c r="B414" s="11" t="s">
        <v>2421</v>
      </c>
      <c r="C414" s="125" t="str">
        <f>IFERROR(INDEX(面试清单!D:D,MATCH(413,面试清单!P:P,0)),"")</f>
        <v>0208</v>
      </c>
      <c r="D414" s="11" t="s">
        <v>42</v>
      </c>
      <c r="E414" s="11" t="s">
        <v>62</v>
      </c>
      <c r="F414" s="11" t="s">
        <v>233</v>
      </c>
      <c r="G414" s="15">
        <v>46084</v>
      </c>
      <c r="H414" s="10" t="str">
        <f>IFERROR(INDEX(面试清单!H:H,MATCH(413,面试清单!P:P,0)),"")</f>
        <v>线下</v>
      </c>
      <c r="I414" s="13" t="s">
        <v>29</v>
      </c>
      <c r="J414" s="10">
        <f ca="1" t="shared" si="19"/>
        <v>105</v>
      </c>
      <c r="K414" s="10">
        <f ca="1" t="shared" si="20"/>
        <v>16</v>
      </c>
    </row>
    <row r="415" ht="18" spans="1:11">
      <c r="A415" s="14">
        <f t="shared" si="18"/>
        <v>414</v>
      </c>
      <c r="B415" s="11" t="s">
        <v>4361</v>
      </c>
      <c r="C415" s="124" t="str">
        <f>IFERROR(INDEX(面试清单!D:D,MATCH(414,面试清单!P:P,0)),"")</f>
        <v>0209</v>
      </c>
      <c r="D415" s="11" t="s">
        <v>42</v>
      </c>
      <c r="E415" s="11" t="s">
        <v>62</v>
      </c>
      <c r="F415" s="11" t="s">
        <v>110</v>
      </c>
      <c r="G415" s="15">
        <v>46084</v>
      </c>
      <c r="H415" s="14" t="str">
        <f>IFERROR(INDEX(面试清单!H:H,MATCH(414,面试清单!P:P,0)),"")</f>
        <v>线下</v>
      </c>
      <c r="I415" s="13" t="s">
        <v>29</v>
      </c>
      <c r="J415" s="14">
        <f ca="1" t="shared" si="19"/>
        <v>105</v>
      </c>
      <c r="K415" s="14">
        <f ca="1" t="shared" si="20"/>
        <v>16</v>
      </c>
    </row>
    <row r="416" ht="18" spans="1:11">
      <c r="A416" s="10">
        <f t="shared" si="18"/>
        <v>415</v>
      </c>
      <c r="B416" s="11" t="s">
        <v>4362</v>
      </c>
      <c r="C416" s="10" t="str">
        <f>IFERROR(INDEX(面试清单!D:D,MATCH(415,面试清单!P:P,0)),"")</f>
        <v/>
      </c>
      <c r="D416" s="11" t="s">
        <v>42</v>
      </c>
      <c r="E416" s="11" t="s">
        <v>62</v>
      </c>
      <c r="F416" s="11" t="s">
        <v>179</v>
      </c>
      <c r="G416" s="15">
        <v>46084</v>
      </c>
      <c r="H416" s="10" t="str">
        <f>IFERROR(INDEX(面试清单!H:H,MATCH(415,面试清单!P:P,0)),"")</f>
        <v/>
      </c>
      <c r="I416" s="13" t="s">
        <v>29</v>
      </c>
      <c r="J416" s="10">
        <f ca="1" t="shared" si="19"/>
        <v>105</v>
      </c>
      <c r="K416" s="10">
        <f ca="1" t="shared" si="20"/>
        <v>16</v>
      </c>
    </row>
    <row r="417" ht="18" spans="1:11">
      <c r="A417" s="14">
        <f t="shared" si="18"/>
        <v>416</v>
      </c>
      <c r="B417" s="11" t="s">
        <v>4363</v>
      </c>
      <c r="C417" s="14" t="str">
        <f>IFERROR(INDEX(面试清单!D:D,MATCH(416,面试清单!P:P,0)),"")</f>
        <v/>
      </c>
      <c r="D417" s="11" t="s">
        <v>42</v>
      </c>
      <c r="E417" s="11" t="s">
        <v>62</v>
      </c>
      <c r="F417" s="11" t="s">
        <v>110</v>
      </c>
      <c r="G417" s="15">
        <v>46084</v>
      </c>
      <c r="H417" s="14" t="str">
        <f>IFERROR(INDEX(面试清单!H:H,MATCH(416,面试清单!P:P,0)),"")</f>
        <v/>
      </c>
      <c r="I417" s="13" t="s">
        <v>29</v>
      </c>
      <c r="J417" s="14">
        <f ca="1" t="shared" si="19"/>
        <v>105</v>
      </c>
      <c r="K417" s="14">
        <f ca="1" t="shared" si="20"/>
        <v>16</v>
      </c>
    </row>
    <row r="418" ht="18" spans="1:11">
      <c r="A418" s="10">
        <f t="shared" si="18"/>
        <v>417</v>
      </c>
      <c r="B418" s="11" t="s">
        <v>4364</v>
      </c>
      <c r="C418" s="10" t="str">
        <f>IFERROR(INDEX(面试清单!D:D,MATCH(417,面试清单!P:P,0)),"")</f>
        <v/>
      </c>
      <c r="D418" s="11" t="s">
        <v>42</v>
      </c>
      <c r="E418" s="11" t="s">
        <v>62</v>
      </c>
      <c r="F418" s="11" t="s">
        <v>110</v>
      </c>
      <c r="G418" s="15">
        <v>46084</v>
      </c>
      <c r="H418" s="10" t="str">
        <f>IFERROR(INDEX(面试清单!H:H,MATCH(417,面试清单!P:P,0)),"")</f>
        <v/>
      </c>
      <c r="I418" s="13" t="s">
        <v>29</v>
      </c>
      <c r="J418" s="10">
        <f ca="1" t="shared" si="19"/>
        <v>105</v>
      </c>
      <c r="K418" s="10">
        <f ca="1" t="shared" si="20"/>
        <v>16</v>
      </c>
    </row>
    <row r="419" ht="18" spans="1:11">
      <c r="A419" s="14">
        <f t="shared" si="18"/>
        <v>418</v>
      </c>
      <c r="B419" s="11" t="s">
        <v>4365</v>
      </c>
      <c r="C419" s="14" t="str">
        <f>IFERROR(INDEX(面试清单!D:D,MATCH(418,面试清单!P:P,0)),"")</f>
        <v/>
      </c>
      <c r="D419" s="11" t="s">
        <v>42</v>
      </c>
      <c r="E419" s="11" t="s">
        <v>62</v>
      </c>
      <c r="F419" s="11" t="s">
        <v>132</v>
      </c>
      <c r="G419" s="15">
        <v>46084</v>
      </c>
      <c r="H419" s="14" t="str">
        <f>IFERROR(INDEX(面试清单!H:H,MATCH(418,面试清单!P:P,0)),"")</f>
        <v/>
      </c>
      <c r="I419" s="13" t="s">
        <v>29</v>
      </c>
      <c r="J419" s="14">
        <f ca="1" t="shared" si="19"/>
        <v>105</v>
      </c>
      <c r="K419" s="14">
        <f ca="1" t="shared" si="20"/>
        <v>16</v>
      </c>
    </row>
    <row r="420" ht="18" spans="1:11">
      <c r="A420" s="10">
        <f t="shared" si="18"/>
        <v>419</v>
      </c>
      <c r="B420" s="11" t="s">
        <v>4366</v>
      </c>
      <c r="C420" s="10" t="str">
        <f>IFERROR(INDEX(面试清单!D:D,MATCH(419,面试清单!P:P,0)),"")</f>
        <v/>
      </c>
      <c r="D420" s="11" t="s">
        <v>43</v>
      </c>
      <c r="E420" s="11" t="s">
        <v>62</v>
      </c>
      <c r="F420" s="11" t="s">
        <v>132</v>
      </c>
      <c r="G420" s="15">
        <v>46084</v>
      </c>
      <c r="H420" s="10" t="str">
        <f>IFERROR(INDEX(面试清单!H:H,MATCH(419,面试清单!P:P,0)),"")</f>
        <v/>
      </c>
      <c r="I420" s="13" t="s">
        <v>29</v>
      </c>
      <c r="J420" s="10">
        <f ca="1" t="shared" si="19"/>
        <v>105</v>
      </c>
      <c r="K420" s="10">
        <f ca="1" t="shared" si="20"/>
        <v>16</v>
      </c>
    </row>
    <row r="421" ht="18" spans="1:11">
      <c r="A421" s="14">
        <f t="shared" si="18"/>
        <v>420</v>
      </c>
      <c r="B421" s="11" t="s">
        <v>4367</v>
      </c>
      <c r="C421" s="124" t="str">
        <f>IFERROR(INDEX(面试清单!D:D,MATCH(420,面试清单!P:P,0)),"")</f>
        <v>0221</v>
      </c>
      <c r="D421" s="11" t="s">
        <v>42</v>
      </c>
      <c r="E421" s="11" t="s">
        <v>62</v>
      </c>
      <c r="F421" s="11" t="s">
        <v>509</v>
      </c>
      <c r="G421" s="15">
        <v>46084</v>
      </c>
      <c r="H421" s="14" t="str">
        <f>IFERROR(INDEX(面试清单!H:H,MATCH(420,面试清单!P:P,0)),"")</f>
        <v>线下</v>
      </c>
      <c r="I421" s="13" t="s">
        <v>29</v>
      </c>
      <c r="J421" s="14">
        <f ca="1" t="shared" si="19"/>
        <v>105</v>
      </c>
      <c r="K421" s="14">
        <f ca="1" t="shared" si="20"/>
        <v>16</v>
      </c>
    </row>
    <row r="422" ht="18" spans="1:11">
      <c r="A422" s="10">
        <f t="shared" si="18"/>
        <v>421</v>
      </c>
      <c r="B422" s="11" t="s">
        <v>4368</v>
      </c>
      <c r="C422" s="125" t="str">
        <f>IFERROR(INDEX(面试清单!D:D,MATCH(421,面试清单!P:P,0)),"")</f>
        <v>0222</v>
      </c>
      <c r="D422" s="11" t="s">
        <v>42</v>
      </c>
      <c r="E422" s="11" t="s">
        <v>62</v>
      </c>
      <c r="F422" s="11" t="s">
        <v>179</v>
      </c>
      <c r="G422" s="15">
        <v>46084</v>
      </c>
      <c r="H422" s="10" t="str">
        <f>IFERROR(INDEX(面试清单!H:H,MATCH(421,面试清单!P:P,0)),"")</f>
        <v>线下</v>
      </c>
      <c r="I422" s="13" t="s">
        <v>29</v>
      </c>
      <c r="J422" s="10">
        <f ca="1" t="shared" si="19"/>
        <v>105</v>
      </c>
      <c r="K422" s="10">
        <f ca="1" t="shared" si="20"/>
        <v>16</v>
      </c>
    </row>
    <row r="423" ht="18" spans="1:11">
      <c r="A423" s="14">
        <f t="shared" si="18"/>
        <v>422</v>
      </c>
      <c r="B423" s="11" t="s">
        <v>4369</v>
      </c>
      <c r="C423" s="124" t="str">
        <f>IFERROR(INDEX(面试清单!D:D,MATCH(422,面试清单!P:P,0)),"")</f>
        <v>0208</v>
      </c>
      <c r="D423" s="11" t="s">
        <v>42</v>
      </c>
      <c r="E423" s="11" t="s">
        <v>62</v>
      </c>
      <c r="F423" s="11" t="s">
        <v>233</v>
      </c>
      <c r="G423" s="15">
        <v>46084</v>
      </c>
      <c r="H423" s="14" t="str">
        <f>IFERROR(INDEX(面试清单!H:H,MATCH(422,面试清单!P:P,0)),"")</f>
        <v>线下</v>
      </c>
      <c r="I423" s="13" t="s">
        <v>29</v>
      </c>
      <c r="J423" s="14">
        <f ca="1" t="shared" si="19"/>
        <v>105</v>
      </c>
      <c r="K423" s="14">
        <f ca="1" t="shared" si="20"/>
        <v>16</v>
      </c>
    </row>
    <row r="424" ht="18" spans="1:11">
      <c r="A424" s="10">
        <f t="shared" si="18"/>
        <v>423</v>
      </c>
      <c r="B424" s="11" t="s">
        <v>4370</v>
      </c>
      <c r="C424" s="125" t="str">
        <f>IFERROR(INDEX(面试清单!D:D,MATCH(423,面试清单!P:P,0)),"")</f>
        <v>0209</v>
      </c>
      <c r="D424" s="11" t="s">
        <v>43</v>
      </c>
      <c r="E424" s="11" t="s">
        <v>62</v>
      </c>
      <c r="F424" s="11" t="s">
        <v>103</v>
      </c>
      <c r="G424" s="15">
        <v>46084</v>
      </c>
      <c r="H424" s="10" t="str">
        <f>IFERROR(INDEX(面试清单!H:H,MATCH(423,面试清单!P:P,0)),"")</f>
        <v>线下</v>
      </c>
      <c r="I424" s="13" t="s">
        <v>29</v>
      </c>
      <c r="J424" s="10">
        <f ca="1" t="shared" si="19"/>
        <v>105</v>
      </c>
      <c r="K424" s="10">
        <f ca="1" t="shared" si="20"/>
        <v>16</v>
      </c>
    </row>
    <row r="425" ht="18" spans="1:11">
      <c r="A425" s="14">
        <f t="shared" si="18"/>
        <v>424</v>
      </c>
      <c r="B425" s="11" t="s">
        <v>1263</v>
      </c>
      <c r="C425" s="14" t="str">
        <f>IFERROR(INDEX(面试清单!D:D,MATCH(424,面试清单!P:P,0)),"")</f>
        <v/>
      </c>
      <c r="D425" s="11" t="s">
        <v>43</v>
      </c>
      <c r="E425" s="11" t="s">
        <v>64</v>
      </c>
      <c r="F425" s="11" t="s">
        <v>135</v>
      </c>
      <c r="G425" s="15">
        <v>46084</v>
      </c>
      <c r="H425" s="14" t="str">
        <f>IFERROR(INDEX(面试清单!H:H,MATCH(424,面试清单!P:P,0)),"")</f>
        <v/>
      </c>
      <c r="I425" s="13" t="s">
        <v>29</v>
      </c>
      <c r="J425" s="14">
        <f ca="1" t="shared" si="19"/>
        <v>105</v>
      </c>
      <c r="K425" s="14">
        <f ca="1" t="shared" si="20"/>
        <v>16</v>
      </c>
    </row>
    <row r="426" ht="18" spans="1:11">
      <c r="A426" s="10">
        <f t="shared" si="18"/>
        <v>425</v>
      </c>
      <c r="B426" s="11" t="s">
        <v>4371</v>
      </c>
      <c r="C426" s="10" t="str">
        <f>IFERROR(INDEX(面试清单!D:D,MATCH(425,面试清单!P:P,0)),"")</f>
        <v/>
      </c>
      <c r="D426" s="11" t="s">
        <v>43</v>
      </c>
      <c r="E426" s="11" t="s">
        <v>62</v>
      </c>
      <c r="F426" s="11" t="s">
        <v>179</v>
      </c>
      <c r="G426" s="15">
        <v>46084</v>
      </c>
      <c r="H426" s="10" t="str">
        <f>IFERROR(INDEX(面试清单!H:H,MATCH(425,面试清单!P:P,0)),"")</f>
        <v/>
      </c>
      <c r="I426" s="13" t="s">
        <v>29</v>
      </c>
      <c r="J426" s="10">
        <f ca="1" t="shared" si="19"/>
        <v>105</v>
      </c>
      <c r="K426" s="10">
        <f ca="1" t="shared" si="20"/>
        <v>16</v>
      </c>
    </row>
    <row r="427" ht="18" spans="1:11">
      <c r="A427" s="14">
        <f t="shared" si="18"/>
        <v>426</v>
      </c>
      <c r="B427" s="11" t="s">
        <v>4372</v>
      </c>
      <c r="C427" s="14" t="str">
        <f>IFERROR(INDEX(面试清单!D:D,MATCH(426,面试清单!P:P,0)),"")</f>
        <v/>
      </c>
      <c r="D427" s="11" t="s">
        <v>74</v>
      </c>
      <c r="E427" s="11" t="s">
        <v>64</v>
      </c>
      <c r="F427" s="11" t="s">
        <v>179</v>
      </c>
      <c r="G427" s="15">
        <v>46084</v>
      </c>
      <c r="H427" s="14" t="str">
        <f>IFERROR(INDEX(面试清单!H:H,MATCH(426,面试清单!P:P,0)),"")</f>
        <v/>
      </c>
      <c r="I427" s="13" t="s">
        <v>29</v>
      </c>
      <c r="J427" s="14">
        <f ca="1" t="shared" si="19"/>
        <v>105</v>
      </c>
      <c r="K427" s="14">
        <f ca="1" t="shared" si="20"/>
        <v>16</v>
      </c>
    </row>
    <row r="428" ht="18" spans="1:11">
      <c r="A428" s="10">
        <f t="shared" si="18"/>
        <v>427</v>
      </c>
      <c r="B428" s="11" t="s">
        <v>4373</v>
      </c>
      <c r="C428" s="125" t="str">
        <f>IFERROR(INDEX(面试清单!D:D,MATCH(427,面试清单!P:P,0)),"")</f>
        <v>0218</v>
      </c>
      <c r="D428" s="11" t="s">
        <v>42</v>
      </c>
      <c r="E428" s="11" t="s">
        <v>62</v>
      </c>
      <c r="F428" s="11" t="s">
        <v>176</v>
      </c>
      <c r="G428" s="15">
        <v>46084</v>
      </c>
      <c r="H428" s="10" t="str">
        <f>IFERROR(INDEX(面试清单!H:H,MATCH(427,面试清单!P:P,0)),"")</f>
        <v>线下</v>
      </c>
      <c r="I428" s="13" t="s">
        <v>29</v>
      </c>
      <c r="J428" s="10">
        <f ca="1" t="shared" si="19"/>
        <v>105</v>
      </c>
      <c r="K428" s="10">
        <f ca="1" t="shared" si="20"/>
        <v>16</v>
      </c>
    </row>
    <row r="429" ht="18" spans="1:11">
      <c r="A429" s="14">
        <f t="shared" si="18"/>
        <v>428</v>
      </c>
      <c r="B429" s="11" t="s">
        <v>4374</v>
      </c>
      <c r="C429" s="124" t="str">
        <f>IFERROR(INDEX(面试清单!D:D,MATCH(428,面试清单!P:P,0)),"")</f>
        <v>0220</v>
      </c>
      <c r="D429" s="11" t="s">
        <v>43</v>
      </c>
      <c r="E429" s="11" t="s">
        <v>62</v>
      </c>
      <c r="F429" s="11" t="s">
        <v>132</v>
      </c>
      <c r="G429" s="15">
        <v>46085</v>
      </c>
      <c r="H429" s="14" t="str">
        <f>IFERROR(INDEX(面试清单!H:H,MATCH(428,面试清单!P:P,0)),"")</f>
        <v>线下</v>
      </c>
      <c r="I429" s="13" t="s">
        <v>29</v>
      </c>
      <c r="J429" s="14">
        <f ca="1" t="shared" si="19"/>
        <v>104</v>
      </c>
      <c r="K429" s="14">
        <f ca="1" t="shared" si="20"/>
        <v>16</v>
      </c>
    </row>
    <row r="430" ht="18" spans="1:11">
      <c r="A430" s="10">
        <f t="shared" si="18"/>
        <v>429</v>
      </c>
      <c r="B430" s="11" t="s">
        <v>4375</v>
      </c>
      <c r="C430" s="125" t="str">
        <f>IFERROR(INDEX(面试清单!D:D,MATCH(429,面试清单!P:P,0)),"")</f>
        <v>0221</v>
      </c>
      <c r="D430" s="11" t="s">
        <v>42</v>
      </c>
      <c r="E430" s="11" t="s">
        <v>62</v>
      </c>
      <c r="F430" s="11" t="s">
        <v>103</v>
      </c>
      <c r="G430" s="15">
        <v>46085</v>
      </c>
      <c r="H430" s="10" t="str">
        <f>IFERROR(INDEX(面试清单!H:H,MATCH(429,面试清单!P:P,0)),"")</f>
        <v>线下</v>
      </c>
      <c r="I430" s="13" t="s">
        <v>29</v>
      </c>
      <c r="J430" s="10">
        <f ca="1" t="shared" si="19"/>
        <v>104</v>
      </c>
      <c r="K430" s="10">
        <f ca="1" t="shared" si="20"/>
        <v>16</v>
      </c>
    </row>
    <row r="431" ht="18" spans="1:11">
      <c r="A431" s="14">
        <f t="shared" si="18"/>
        <v>430</v>
      </c>
      <c r="B431" s="11" t="s">
        <v>4376</v>
      </c>
      <c r="C431" s="124" t="str">
        <f>IFERROR(INDEX(面试清单!D:D,MATCH(430,面试清单!P:P,0)),"")</f>
        <v>0222</v>
      </c>
      <c r="D431" s="11" t="s">
        <v>43</v>
      </c>
      <c r="E431" s="11" t="s">
        <v>62</v>
      </c>
      <c r="F431" s="11" t="s">
        <v>103</v>
      </c>
      <c r="G431" s="15">
        <v>46085</v>
      </c>
      <c r="H431" s="14" t="str">
        <f>IFERROR(INDEX(面试清单!H:H,MATCH(430,面试清单!P:P,0)),"")</f>
        <v>线下</v>
      </c>
      <c r="I431" s="13" t="s">
        <v>29</v>
      </c>
      <c r="J431" s="14">
        <f ca="1" t="shared" si="19"/>
        <v>104</v>
      </c>
      <c r="K431" s="14">
        <f ca="1" t="shared" si="20"/>
        <v>16</v>
      </c>
    </row>
    <row r="432" ht="18" spans="1:11">
      <c r="A432" s="10">
        <f t="shared" si="18"/>
        <v>431</v>
      </c>
      <c r="B432" s="11" t="s">
        <v>4377</v>
      </c>
      <c r="C432" s="10" t="str">
        <f>IFERROR(INDEX(面试清单!D:D,MATCH(431,面试清单!P:P,0)),"")</f>
        <v/>
      </c>
      <c r="D432" s="11" t="s">
        <v>43</v>
      </c>
      <c r="E432" s="11" t="s">
        <v>62</v>
      </c>
      <c r="F432" s="11" t="s">
        <v>103</v>
      </c>
      <c r="G432" s="15">
        <v>46085</v>
      </c>
      <c r="H432" s="10" t="str">
        <f>IFERROR(INDEX(面试清单!H:H,MATCH(431,面试清单!P:P,0)),"")</f>
        <v/>
      </c>
      <c r="I432" s="13" t="s">
        <v>29</v>
      </c>
      <c r="J432" s="10">
        <f ca="1" t="shared" si="19"/>
        <v>104</v>
      </c>
      <c r="K432" s="10">
        <f ca="1" t="shared" si="20"/>
        <v>16</v>
      </c>
    </row>
    <row r="433" ht="18" spans="1:11">
      <c r="A433" s="14">
        <f t="shared" si="18"/>
        <v>432</v>
      </c>
      <c r="B433" s="11" t="s">
        <v>4378</v>
      </c>
      <c r="C433" s="124" t="str">
        <f>IFERROR(INDEX(面试清单!D:D,MATCH(432,面试清单!P:P,0)),"")</f>
        <v>0209</v>
      </c>
      <c r="D433" s="11" t="s">
        <v>42</v>
      </c>
      <c r="E433" s="11" t="s">
        <v>62</v>
      </c>
      <c r="F433" s="11" t="s">
        <v>103</v>
      </c>
      <c r="G433" s="15">
        <v>46085</v>
      </c>
      <c r="H433" s="14" t="str">
        <f>IFERROR(INDEX(面试清单!H:H,MATCH(432,面试清单!P:P,0)),"")</f>
        <v>线下</v>
      </c>
      <c r="I433" s="13" t="s">
        <v>29</v>
      </c>
      <c r="J433" s="14">
        <f ca="1" t="shared" si="19"/>
        <v>104</v>
      </c>
      <c r="K433" s="14">
        <f ca="1" t="shared" si="20"/>
        <v>16</v>
      </c>
    </row>
    <row r="434" ht="18" spans="1:11">
      <c r="A434" s="10">
        <f t="shared" si="18"/>
        <v>433</v>
      </c>
      <c r="B434" s="11" t="s">
        <v>4379</v>
      </c>
      <c r="C434" s="10" t="str">
        <f>IFERROR(INDEX(面试清单!D:D,MATCH(433,面试清单!P:P,0)),"")</f>
        <v/>
      </c>
      <c r="D434" s="11" t="s">
        <v>42</v>
      </c>
      <c r="E434" s="11" t="s">
        <v>62</v>
      </c>
      <c r="F434" s="11" t="s">
        <v>103</v>
      </c>
      <c r="G434" s="15">
        <v>46085</v>
      </c>
      <c r="H434" s="10" t="str">
        <f>IFERROR(INDEX(面试清单!H:H,MATCH(433,面试清单!P:P,0)),"")</f>
        <v/>
      </c>
      <c r="I434" s="13" t="s">
        <v>29</v>
      </c>
      <c r="J434" s="10">
        <f ca="1" t="shared" si="19"/>
        <v>104</v>
      </c>
      <c r="K434" s="10">
        <f ca="1" t="shared" si="20"/>
        <v>16</v>
      </c>
    </row>
    <row r="435" ht="18" spans="1:11">
      <c r="A435" s="14">
        <f t="shared" si="18"/>
        <v>434</v>
      </c>
      <c r="B435" s="11" t="s">
        <v>4380</v>
      </c>
      <c r="C435" s="124" t="str">
        <f>IFERROR(INDEX(面试清单!D:D,MATCH(434,面试清单!P:P,0)),"")</f>
        <v>0214</v>
      </c>
      <c r="D435" s="11" t="s">
        <v>42</v>
      </c>
      <c r="E435" s="11" t="s">
        <v>62</v>
      </c>
      <c r="F435" s="11" t="s">
        <v>179</v>
      </c>
      <c r="G435" s="15">
        <v>46085</v>
      </c>
      <c r="H435" s="14" t="str">
        <f>IFERROR(INDEX(面试清单!H:H,MATCH(434,面试清单!P:P,0)),"")</f>
        <v>线下</v>
      </c>
      <c r="I435" s="13" t="s">
        <v>29</v>
      </c>
      <c r="J435" s="14">
        <f ca="1" t="shared" si="19"/>
        <v>104</v>
      </c>
      <c r="K435" s="14">
        <f ca="1" t="shared" si="20"/>
        <v>16</v>
      </c>
    </row>
    <row r="436" ht="18" spans="1:11">
      <c r="A436" s="10">
        <f t="shared" si="18"/>
        <v>435</v>
      </c>
      <c r="B436" s="11" t="s">
        <v>4381</v>
      </c>
      <c r="C436" s="10" t="str">
        <f>IFERROR(INDEX(面试清单!D:D,MATCH(435,面试清单!P:P,0)),"")</f>
        <v/>
      </c>
      <c r="D436" s="11" t="s">
        <v>42</v>
      </c>
      <c r="E436" s="11" t="s">
        <v>63</v>
      </c>
      <c r="F436" s="11" t="s">
        <v>233</v>
      </c>
      <c r="G436" s="15">
        <v>46085</v>
      </c>
      <c r="H436" s="10" t="str">
        <f>IFERROR(INDEX(面试清单!H:H,MATCH(435,面试清单!P:P,0)),"")</f>
        <v/>
      </c>
      <c r="I436" s="13" t="s">
        <v>29</v>
      </c>
      <c r="J436" s="10">
        <f ca="1" t="shared" si="19"/>
        <v>104</v>
      </c>
      <c r="K436" s="10">
        <f ca="1" t="shared" si="20"/>
        <v>16</v>
      </c>
    </row>
    <row r="437" ht="18" spans="1:11">
      <c r="A437" s="14">
        <f t="shared" si="18"/>
        <v>436</v>
      </c>
      <c r="B437" s="11" t="s">
        <v>4382</v>
      </c>
      <c r="C437" s="124" t="str">
        <f>IFERROR(INDEX(面试清单!D:D,MATCH(436,面试清单!P:P,0)),"")</f>
        <v>0218</v>
      </c>
      <c r="D437" s="11" t="s">
        <v>43</v>
      </c>
      <c r="E437" s="11" t="s">
        <v>62</v>
      </c>
      <c r="F437" s="11" t="s">
        <v>233</v>
      </c>
      <c r="G437" s="15">
        <v>46085</v>
      </c>
      <c r="H437" s="14" t="str">
        <f>IFERROR(INDEX(面试清单!H:H,MATCH(436,面试清单!P:P,0)),"")</f>
        <v>线下</v>
      </c>
      <c r="I437" s="13" t="s">
        <v>29</v>
      </c>
      <c r="J437" s="14">
        <f ca="1" t="shared" si="19"/>
        <v>104</v>
      </c>
      <c r="K437" s="14">
        <f ca="1" t="shared" si="20"/>
        <v>16</v>
      </c>
    </row>
    <row r="438" ht="18" spans="1:11">
      <c r="A438" s="10">
        <f t="shared" si="18"/>
        <v>437</v>
      </c>
      <c r="B438" s="11" t="s">
        <v>4383</v>
      </c>
      <c r="C438" s="125" t="str">
        <f>IFERROR(INDEX(面试清单!D:D,MATCH(437,面试清单!P:P,0)),"")</f>
        <v>0220</v>
      </c>
      <c r="D438" s="11" t="s">
        <v>42</v>
      </c>
      <c r="E438" s="11" t="s">
        <v>62</v>
      </c>
      <c r="F438" s="11" t="s">
        <v>233</v>
      </c>
      <c r="G438" s="15">
        <v>46085</v>
      </c>
      <c r="H438" s="10" t="str">
        <f>IFERROR(INDEX(面试清单!H:H,MATCH(437,面试清单!P:P,0)),"")</f>
        <v>线下</v>
      </c>
      <c r="I438" s="13" t="s">
        <v>29</v>
      </c>
      <c r="J438" s="10">
        <f ca="1" t="shared" si="19"/>
        <v>104</v>
      </c>
      <c r="K438" s="10">
        <f ca="1" t="shared" si="20"/>
        <v>16</v>
      </c>
    </row>
    <row r="439" ht="18" spans="1:11">
      <c r="A439" s="14">
        <f t="shared" si="18"/>
        <v>438</v>
      </c>
      <c r="B439" s="11" t="s">
        <v>4384</v>
      </c>
      <c r="C439" s="124" t="str">
        <f>IFERROR(INDEX(面试清单!D:D,MATCH(438,面试清单!P:P,0)),"")</f>
        <v>0221</v>
      </c>
      <c r="D439" s="11" t="s">
        <v>43</v>
      </c>
      <c r="E439" s="11" t="s">
        <v>62</v>
      </c>
      <c r="F439" s="11" t="s">
        <v>690</v>
      </c>
      <c r="G439" s="15">
        <v>46085</v>
      </c>
      <c r="H439" s="14" t="str">
        <f>IFERROR(INDEX(面试清单!H:H,MATCH(438,面试清单!P:P,0)),"")</f>
        <v>线下</v>
      </c>
      <c r="I439" s="13" t="s">
        <v>29</v>
      </c>
      <c r="J439" s="14">
        <f ca="1" t="shared" si="19"/>
        <v>104</v>
      </c>
      <c r="K439" s="14">
        <f ca="1" t="shared" si="20"/>
        <v>16</v>
      </c>
    </row>
    <row r="440" ht="18" spans="1:11">
      <c r="A440" s="10">
        <f t="shared" si="18"/>
        <v>439</v>
      </c>
      <c r="B440" s="11" t="s">
        <v>4385</v>
      </c>
      <c r="C440" s="10" t="str">
        <f>IFERROR(INDEX(面试清单!D:D,MATCH(439,面试清单!P:P,0)),"")</f>
        <v/>
      </c>
      <c r="D440" s="11" t="s">
        <v>42</v>
      </c>
      <c r="E440" s="11" t="s">
        <v>63</v>
      </c>
      <c r="F440" s="11" t="s">
        <v>124</v>
      </c>
      <c r="G440" s="15">
        <v>46085</v>
      </c>
      <c r="H440" s="10" t="str">
        <f>IFERROR(INDEX(面试清单!H:H,MATCH(439,面试清单!P:P,0)),"")</f>
        <v/>
      </c>
      <c r="I440" s="13" t="s">
        <v>29</v>
      </c>
      <c r="J440" s="10">
        <f ca="1" t="shared" si="19"/>
        <v>104</v>
      </c>
      <c r="K440" s="10">
        <f ca="1" t="shared" si="20"/>
        <v>16</v>
      </c>
    </row>
    <row r="441" ht="18" spans="1:11">
      <c r="A441" s="14">
        <f t="shared" si="18"/>
        <v>440</v>
      </c>
      <c r="B441" s="11" t="s">
        <v>4386</v>
      </c>
      <c r="C441" s="124" t="str">
        <f>IFERROR(INDEX(面试清单!D:D,MATCH(440,面试清单!P:P,0)),"")</f>
        <v>0208</v>
      </c>
      <c r="D441" s="11" t="s">
        <v>42</v>
      </c>
      <c r="E441" s="11" t="s">
        <v>63</v>
      </c>
      <c r="F441" s="11" t="s">
        <v>124</v>
      </c>
      <c r="G441" s="15">
        <v>46085</v>
      </c>
      <c r="H441" s="14" t="str">
        <f>IFERROR(INDEX(面试清单!H:H,MATCH(440,面试清单!P:P,0)),"")</f>
        <v>线下</v>
      </c>
      <c r="I441" s="13" t="s">
        <v>29</v>
      </c>
      <c r="J441" s="14">
        <f ca="1" t="shared" si="19"/>
        <v>104</v>
      </c>
      <c r="K441" s="14">
        <f ca="1" t="shared" si="20"/>
        <v>16</v>
      </c>
    </row>
    <row r="442" ht="18" spans="1:11">
      <c r="A442" s="10">
        <f t="shared" si="18"/>
        <v>441</v>
      </c>
      <c r="B442" s="11" t="s">
        <v>4387</v>
      </c>
      <c r="C442" s="10" t="str">
        <f>IFERROR(INDEX(面试清单!D:D,MATCH(441,面试清单!P:P,0)),"")</f>
        <v/>
      </c>
      <c r="D442" s="11" t="s">
        <v>42</v>
      </c>
      <c r="E442" s="11" t="s">
        <v>63</v>
      </c>
      <c r="F442" s="11" t="s">
        <v>124</v>
      </c>
      <c r="G442" s="15">
        <v>46085</v>
      </c>
      <c r="H442" s="10" t="str">
        <f>IFERROR(INDEX(面试清单!H:H,MATCH(441,面试清单!P:P,0)),"")</f>
        <v/>
      </c>
      <c r="I442" s="13" t="s">
        <v>29</v>
      </c>
      <c r="J442" s="10">
        <f ca="1" t="shared" si="19"/>
        <v>104</v>
      </c>
      <c r="K442" s="10">
        <f ca="1" t="shared" si="20"/>
        <v>16</v>
      </c>
    </row>
    <row r="443" ht="18" spans="1:11">
      <c r="A443" s="14">
        <f t="shared" si="18"/>
        <v>442</v>
      </c>
      <c r="B443" s="11" t="s">
        <v>4388</v>
      </c>
      <c r="C443" s="14" t="str">
        <f>IFERROR(INDEX(面试清单!D:D,MATCH(442,面试清单!P:P,0)),"")</f>
        <v/>
      </c>
      <c r="D443" s="11" t="s">
        <v>42</v>
      </c>
      <c r="E443" s="11" t="s">
        <v>62</v>
      </c>
      <c r="F443" s="11" t="s">
        <v>176</v>
      </c>
      <c r="G443" s="15">
        <v>46085</v>
      </c>
      <c r="H443" s="14" t="str">
        <f>IFERROR(INDEX(面试清单!H:H,MATCH(442,面试清单!P:P,0)),"")</f>
        <v/>
      </c>
      <c r="I443" s="13" t="s">
        <v>29</v>
      </c>
      <c r="J443" s="14">
        <f ca="1" t="shared" si="19"/>
        <v>104</v>
      </c>
      <c r="K443" s="14">
        <f ca="1" t="shared" si="20"/>
        <v>16</v>
      </c>
    </row>
    <row r="444" ht="18" spans="1:11">
      <c r="A444" s="10">
        <f t="shared" si="18"/>
        <v>443</v>
      </c>
      <c r="B444" s="11" t="s">
        <v>4389</v>
      </c>
      <c r="C444" s="125" t="str">
        <f>IFERROR(INDEX(面试清单!D:D,MATCH(443,面试清单!P:P,0)),"")</f>
        <v>0214</v>
      </c>
      <c r="D444" s="11" t="s">
        <v>42</v>
      </c>
      <c r="E444" s="11" t="s">
        <v>63</v>
      </c>
      <c r="F444" s="11" t="s">
        <v>173</v>
      </c>
      <c r="G444" s="15">
        <v>46085</v>
      </c>
      <c r="H444" s="10" t="str">
        <f>IFERROR(INDEX(面试清单!H:H,MATCH(443,面试清单!P:P,0)),"")</f>
        <v>线下</v>
      </c>
      <c r="I444" s="13" t="s">
        <v>29</v>
      </c>
      <c r="J444" s="10">
        <f ca="1" t="shared" si="19"/>
        <v>104</v>
      </c>
      <c r="K444" s="10">
        <f ca="1" t="shared" si="20"/>
        <v>16</v>
      </c>
    </row>
    <row r="445" ht="18" spans="1:11">
      <c r="A445" s="14">
        <f t="shared" si="18"/>
        <v>444</v>
      </c>
      <c r="B445" s="11" t="s">
        <v>4390</v>
      </c>
      <c r="C445" s="14" t="str">
        <f>IFERROR(INDEX(面试清单!D:D,MATCH(444,面试清单!P:P,0)),"")</f>
        <v/>
      </c>
      <c r="D445" s="11" t="s">
        <v>42</v>
      </c>
      <c r="E445" s="11" t="s">
        <v>62</v>
      </c>
      <c r="F445" s="11" t="s">
        <v>173</v>
      </c>
      <c r="G445" s="15">
        <v>46085</v>
      </c>
      <c r="H445" s="14" t="str">
        <f>IFERROR(INDEX(面试清单!H:H,MATCH(444,面试清单!P:P,0)),"")</f>
        <v/>
      </c>
      <c r="I445" s="13" t="s">
        <v>29</v>
      </c>
      <c r="J445" s="14">
        <f ca="1" t="shared" si="19"/>
        <v>104</v>
      </c>
      <c r="K445" s="14">
        <f ca="1" t="shared" si="20"/>
        <v>16</v>
      </c>
    </row>
    <row r="446" ht="18" spans="1:11">
      <c r="A446" s="10">
        <f t="shared" si="18"/>
        <v>445</v>
      </c>
      <c r="B446" s="11" t="s">
        <v>4391</v>
      </c>
      <c r="C446" s="10" t="str">
        <f>IFERROR(INDEX(面试清单!D:D,MATCH(445,面试清单!P:P,0)),"")</f>
        <v/>
      </c>
      <c r="D446" s="11" t="s">
        <v>42</v>
      </c>
      <c r="E446" s="11" t="s">
        <v>63</v>
      </c>
      <c r="F446" s="11" t="s">
        <v>129</v>
      </c>
      <c r="G446" s="15">
        <v>46085</v>
      </c>
      <c r="H446" s="10" t="str">
        <f>IFERROR(INDEX(面试清单!H:H,MATCH(445,面试清单!P:P,0)),"")</f>
        <v/>
      </c>
      <c r="I446" s="13" t="s">
        <v>29</v>
      </c>
      <c r="J446" s="10">
        <f ca="1" t="shared" si="19"/>
        <v>104</v>
      </c>
      <c r="K446" s="10">
        <f ca="1" t="shared" si="20"/>
        <v>16</v>
      </c>
    </row>
    <row r="447" ht="18" spans="1:11">
      <c r="A447" s="14">
        <f t="shared" si="18"/>
        <v>446</v>
      </c>
      <c r="B447" s="11" t="s">
        <v>4392</v>
      </c>
      <c r="C447" s="14" t="str">
        <f>IFERROR(INDEX(面试清单!D:D,MATCH(446,面试清单!P:P,0)),"")</f>
        <v/>
      </c>
      <c r="D447" s="11" t="s">
        <v>42</v>
      </c>
      <c r="E447" s="11" t="s">
        <v>64</v>
      </c>
      <c r="F447" s="11" t="s">
        <v>129</v>
      </c>
      <c r="G447" s="15">
        <v>46085</v>
      </c>
      <c r="H447" s="14" t="str">
        <f>IFERROR(INDEX(面试清单!H:H,MATCH(446,面试清单!P:P,0)),"")</f>
        <v/>
      </c>
      <c r="I447" s="13" t="s">
        <v>29</v>
      </c>
      <c r="J447" s="14">
        <f ca="1" t="shared" si="19"/>
        <v>104</v>
      </c>
      <c r="K447" s="14">
        <f ca="1" t="shared" si="20"/>
        <v>16</v>
      </c>
    </row>
    <row r="448" ht="18" spans="1:11">
      <c r="A448" s="10">
        <f t="shared" si="18"/>
        <v>447</v>
      </c>
      <c r="B448" s="11" t="s">
        <v>4393</v>
      </c>
      <c r="C448" s="10" t="str">
        <f>IFERROR(INDEX(面试清单!D:D,MATCH(447,面试清单!P:P,0)),"")</f>
        <v/>
      </c>
      <c r="D448" s="11" t="s">
        <v>42</v>
      </c>
      <c r="E448" s="11" t="s">
        <v>63</v>
      </c>
      <c r="F448" s="11" t="s">
        <v>307</v>
      </c>
      <c r="G448" s="15">
        <v>46085</v>
      </c>
      <c r="H448" s="10" t="str">
        <f>IFERROR(INDEX(面试清单!H:H,MATCH(447,面试清单!P:P,0)),"")</f>
        <v/>
      </c>
      <c r="I448" s="13" t="s">
        <v>29</v>
      </c>
      <c r="J448" s="10">
        <f ca="1" t="shared" si="19"/>
        <v>104</v>
      </c>
      <c r="K448" s="10">
        <f ca="1" t="shared" si="20"/>
        <v>16</v>
      </c>
    </row>
    <row r="449" ht="18" spans="1:11">
      <c r="A449" s="14">
        <f t="shared" si="18"/>
        <v>448</v>
      </c>
      <c r="B449" s="11" t="s">
        <v>4394</v>
      </c>
      <c r="C449" s="124" t="str">
        <f>IFERROR(INDEX(面试清单!D:D,MATCH(448,面试清单!P:P,0)),"")</f>
        <v>0222</v>
      </c>
      <c r="D449" s="11" t="s">
        <v>42</v>
      </c>
      <c r="E449" s="11" t="s">
        <v>63</v>
      </c>
      <c r="F449" s="11" t="s">
        <v>1542</v>
      </c>
      <c r="G449" s="15">
        <v>46085</v>
      </c>
      <c r="H449" s="14" t="str">
        <f>IFERROR(INDEX(面试清单!H:H,MATCH(448,面试清单!P:P,0)),"")</f>
        <v>线下</v>
      </c>
      <c r="I449" s="13" t="s">
        <v>29</v>
      </c>
      <c r="J449" s="14">
        <f ca="1" t="shared" si="19"/>
        <v>104</v>
      </c>
      <c r="K449" s="14">
        <f ca="1" t="shared" si="20"/>
        <v>16</v>
      </c>
    </row>
    <row r="450" ht="18" spans="1:11">
      <c r="A450" s="10">
        <f t="shared" ref="A450:A513" si="21">IF(B450&lt;&gt;"",ROW()-1,"")</f>
        <v>449</v>
      </c>
      <c r="B450" s="11" t="s">
        <v>4395</v>
      </c>
      <c r="C450" s="10" t="str">
        <f>IFERROR(INDEX(面试清单!D:D,MATCH(449,面试清单!P:P,0)),"")</f>
        <v/>
      </c>
      <c r="D450" s="11" t="s">
        <v>43</v>
      </c>
      <c r="E450" s="11" t="s">
        <v>63</v>
      </c>
      <c r="F450" s="11" t="s">
        <v>173</v>
      </c>
      <c r="G450" s="15">
        <v>46085</v>
      </c>
      <c r="H450" s="10" t="str">
        <f>IFERROR(INDEX(面试清单!H:H,MATCH(449,面试清单!P:P,0)),"")</f>
        <v/>
      </c>
      <c r="I450" s="13" t="s">
        <v>29</v>
      </c>
      <c r="J450" s="10">
        <f ca="1" t="shared" ref="J450:J513" si="22">IF(G450&lt;&gt;"",TODAY()-G450,"")</f>
        <v>104</v>
      </c>
      <c r="K450" s="10">
        <f ca="1" t="shared" ref="K450:K513" si="23">IF(G450&lt;&gt;"",MAX(0,MIN(TODAY(),EOMONTH(TODAY(),0))-MAX(G450,EOMONTH(TODAY(),-1)+1)+1),"")</f>
        <v>16</v>
      </c>
    </row>
    <row r="451" ht="18" spans="1:11">
      <c r="A451" s="14">
        <f t="shared" si="21"/>
        <v>450</v>
      </c>
      <c r="B451" s="11" t="s">
        <v>4396</v>
      </c>
      <c r="C451" s="14" t="str">
        <f>IFERROR(INDEX(面试清单!D:D,MATCH(450,面试清单!P:P,0)),"")</f>
        <v/>
      </c>
      <c r="D451" s="11" t="s">
        <v>42</v>
      </c>
      <c r="E451" s="11" t="s">
        <v>63</v>
      </c>
      <c r="F451" s="11" t="s">
        <v>124</v>
      </c>
      <c r="G451" s="15">
        <v>46085</v>
      </c>
      <c r="H451" s="14" t="str">
        <f>IFERROR(INDEX(面试清单!H:H,MATCH(450,面试清单!P:P,0)),"")</f>
        <v/>
      </c>
      <c r="I451" s="13" t="s">
        <v>29</v>
      </c>
      <c r="J451" s="14">
        <f ca="1" t="shared" si="22"/>
        <v>104</v>
      </c>
      <c r="K451" s="14">
        <f ca="1" t="shared" si="23"/>
        <v>16</v>
      </c>
    </row>
    <row r="452" ht="18" spans="1:11">
      <c r="A452" s="10">
        <f t="shared" si="21"/>
        <v>451</v>
      </c>
      <c r="B452" s="11" t="s">
        <v>4397</v>
      </c>
      <c r="C452" s="10" t="str">
        <f>IFERROR(INDEX(面试清单!D:D,MATCH(451,面试清单!P:P,0)),"")</f>
        <v/>
      </c>
      <c r="D452" s="11" t="s">
        <v>43</v>
      </c>
      <c r="E452" s="11" t="s">
        <v>63</v>
      </c>
      <c r="F452" s="11" t="s">
        <v>132</v>
      </c>
      <c r="G452" s="15">
        <v>46085</v>
      </c>
      <c r="H452" s="10" t="str">
        <f>IFERROR(INDEX(面试清单!H:H,MATCH(451,面试清单!P:P,0)),"")</f>
        <v/>
      </c>
      <c r="I452" s="13" t="s">
        <v>29</v>
      </c>
      <c r="J452" s="10">
        <f ca="1" t="shared" si="22"/>
        <v>104</v>
      </c>
      <c r="K452" s="10">
        <f ca="1" t="shared" si="23"/>
        <v>16</v>
      </c>
    </row>
    <row r="453" ht="18" spans="1:11">
      <c r="A453" s="14">
        <f t="shared" si="21"/>
        <v>452</v>
      </c>
      <c r="B453" s="11" t="s">
        <v>4398</v>
      </c>
      <c r="C453" s="124" t="str">
        <f>IFERROR(INDEX(面试清单!D:D,MATCH(452,面试清单!P:P,0)),"")</f>
        <v>0212</v>
      </c>
      <c r="D453" s="11" t="s">
        <v>43</v>
      </c>
      <c r="E453" s="11" t="s">
        <v>62</v>
      </c>
      <c r="F453" s="11" t="s">
        <v>132</v>
      </c>
      <c r="G453" s="15">
        <v>46085</v>
      </c>
      <c r="H453" s="14" t="str">
        <f>IFERROR(INDEX(面试清单!H:H,MATCH(452,面试清单!P:P,0)),"")</f>
        <v>线下</v>
      </c>
      <c r="I453" s="13" t="s">
        <v>29</v>
      </c>
      <c r="J453" s="14">
        <f ca="1" t="shared" si="22"/>
        <v>104</v>
      </c>
      <c r="K453" s="14">
        <f ca="1" t="shared" si="23"/>
        <v>16</v>
      </c>
    </row>
    <row r="454" ht="18" spans="1:11">
      <c r="A454" s="10">
        <f t="shared" si="21"/>
        <v>453</v>
      </c>
      <c r="B454" s="11" t="s">
        <v>4399</v>
      </c>
      <c r="C454" s="10" t="str">
        <f>IFERROR(INDEX(面试清单!D:D,MATCH(453,面试清单!P:P,0)),"")</f>
        <v/>
      </c>
      <c r="D454" s="11" t="s">
        <v>42</v>
      </c>
      <c r="E454" s="11" t="s">
        <v>62</v>
      </c>
      <c r="F454" s="11" t="s">
        <v>132</v>
      </c>
      <c r="G454" s="15">
        <v>46085</v>
      </c>
      <c r="H454" s="10" t="str">
        <f>IFERROR(INDEX(面试清单!H:H,MATCH(453,面试清单!P:P,0)),"")</f>
        <v/>
      </c>
      <c r="I454" s="13" t="s">
        <v>29</v>
      </c>
      <c r="J454" s="10">
        <f ca="1" t="shared" si="22"/>
        <v>104</v>
      </c>
      <c r="K454" s="10">
        <f ca="1" t="shared" si="23"/>
        <v>16</v>
      </c>
    </row>
    <row r="455" ht="18" spans="1:11">
      <c r="A455" s="14">
        <f t="shared" si="21"/>
        <v>454</v>
      </c>
      <c r="B455" s="11" t="s">
        <v>4400</v>
      </c>
      <c r="C455" s="124" t="str">
        <f>IFERROR(INDEX(面试清单!D:D,MATCH(454,面试清单!P:P,0)),"")</f>
        <v>0217</v>
      </c>
      <c r="D455" s="11" t="s">
        <v>43</v>
      </c>
      <c r="E455" s="11" t="s">
        <v>63</v>
      </c>
      <c r="F455" s="11" t="s">
        <v>307</v>
      </c>
      <c r="G455" s="15">
        <v>46085</v>
      </c>
      <c r="H455" s="14" t="str">
        <f>IFERROR(INDEX(面试清单!H:H,MATCH(454,面试清单!P:P,0)),"")</f>
        <v>线下</v>
      </c>
      <c r="I455" s="13" t="s">
        <v>29</v>
      </c>
      <c r="J455" s="14">
        <f ca="1" t="shared" si="22"/>
        <v>104</v>
      </c>
      <c r="K455" s="14">
        <f ca="1" t="shared" si="23"/>
        <v>16</v>
      </c>
    </row>
    <row r="456" ht="18" spans="1:11">
      <c r="A456" s="10">
        <f t="shared" si="21"/>
        <v>455</v>
      </c>
      <c r="B456" s="11" t="s">
        <v>4401</v>
      </c>
      <c r="C456" s="10" t="str">
        <f>IFERROR(INDEX(面试清单!D:D,MATCH(455,面试清单!P:P,0)),"")</f>
        <v/>
      </c>
      <c r="D456" s="11" t="s">
        <v>42</v>
      </c>
      <c r="E456" s="11" t="s">
        <v>62</v>
      </c>
      <c r="F456" s="11" t="s">
        <v>179</v>
      </c>
      <c r="G456" s="15">
        <v>46085</v>
      </c>
      <c r="H456" s="10" t="str">
        <f>IFERROR(INDEX(面试清单!H:H,MATCH(455,面试清单!P:P,0)),"")</f>
        <v/>
      </c>
      <c r="I456" s="13" t="s">
        <v>29</v>
      </c>
      <c r="J456" s="10">
        <f ca="1" t="shared" si="22"/>
        <v>104</v>
      </c>
      <c r="K456" s="10">
        <f ca="1" t="shared" si="23"/>
        <v>16</v>
      </c>
    </row>
    <row r="457" ht="18" spans="1:11">
      <c r="A457" s="14">
        <f t="shared" si="21"/>
        <v>456</v>
      </c>
      <c r="B457" s="11" t="s">
        <v>4402</v>
      </c>
      <c r="C457" s="14" t="str">
        <f>IFERROR(INDEX(面试清单!D:D,MATCH(456,面试清单!P:P,0)),"")</f>
        <v/>
      </c>
      <c r="D457" s="11" t="s">
        <v>42</v>
      </c>
      <c r="E457" s="11" t="s">
        <v>62</v>
      </c>
      <c r="F457" s="11" t="s">
        <v>690</v>
      </c>
      <c r="G457" s="15">
        <v>46085</v>
      </c>
      <c r="H457" s="14" t="str">
        <f>IFERROR(INDEX(面试清单!H:H,MATCH(456,面试清单!P:P,0)),"")</f>
        <v/>
      </c>
      <c r="I457" s="13" t="s">
        <v>29</v>
      </c>
      <c r="J457" s="14">
        <f ca="1" t="shared" si="22"/>
        <v>104</v>
      </c>
      <c r="K457" s="14">
        <f ca="1" t="shared" si="23"/>
        <v>16</v>
      </c>
    </row>
    <row r="458" ht="18" spans="1:11">
      <c r="A458" s="10">
        <f t="shared" si="21"/>
        <v>457</v>
      </c>
      <c r="B458" s="11" t="s">
        <v>4403</v>
      </c>
      <c r="C458" s="10" t="str">
        <f>IFERROR(INDEX(面试清单!D:D,MATCH(457,面试清单!P:P,0)),"")</f>
        <v/>
      </c>
      <c r="D458" s="11" t="s">
        <v>42</v>
      </c>
      <c r="E458" s="11" t="s">
        <v>62</v>
      </c>
      <c r="F458" s="11" t="s">
        <v>233</v>
      </c>
      <c r="G458" s="15">
        <v>46085</v>
      </c>
      <c r="H458" s="10" t="str">
        <f>IFERROR(INDEX(面试清单!H:H,MATCH(457,面试清单!P:P,0)),"")</f>
        <v/>
      </c>
      <c r="I458" s="13" t="s">
        <v>29</v>
      </c>
      <c r="J458" s="10">
        <f ca="1" t="shared" si="22"/>
        <v>104</v>
      </c>
      <c r="K458" s="10">
        <f ca="1" t="shared" si="23"/>
        <v>16</v>
      </c>
    </row>
    <row r="459" ht="18" spans="1:11">
      <c r="A459" s="14">
        <f t="shared" si="21"/>
        <v>458</v>
      </c>
      <c r="B459" s="11" t="s">
        <v>4404</v>
      </c>
      <c r="C459" s="14" t="str">
        <f>IFERROR(INDEX(面试清单!D:D,MATCH(458,面试清单!P:P,0)),"")</f>
        <v/>
      </c>
      <c r="D459" s="11" t="s">
        <v>43</v>
      </c>
      <c r="E459" s="11" t="s">
        <v>62</v>
      </c>
      <c r="F459" s="11" t="s">
        <v>124</v>
      </c>
      <c r="G459" s="15">
        <v>46085</v>
      </c>
      <c r="H459" s="14" t="str">
        <f>IFERROR(INDEX(面试清单!H:H,MATCH(458,面试清单!P:P,0)),"")</f>
        <v/>
      </c>
      <c r="I459" s="13" t="s">
        <v>29</v>
      </c>
      <c r="J459" s="14">
        <f ca="1" t="shared" si="22"/>
        <v>104</v>
      </c>
      <c r="K459" s="14">
        <f ca="1" t="shared" si="23"/>
        <v>16</v>
      </c>
    </row>
    <row r="460" ht="18" spans="1:11">
      <c r="A460" s="10">
        <f t="shared" si="21"/>
        <v>459</v>
      </c>
      <c r="B460" s="11" t="s">
        <v>4405</v>
      </c>
      <c r="C460" s="125" t="str">
        <f>IFERROR(INDEX(面试清单!D:D,MATCH(459,面试清单!P:P,0)),"")</f>
        <v>0208</v>
      </c>
      <c r="D460" s="11" t="s">
        <v>42</v>
      </c>
      <c r="E460" s="11" t="s">
        <v>62</v>
      </c>
      <c r="F460" s="11" t="s">
        <v>124</v>
      </c>
      <c r="G460" s="15">
        <v>46085</v>
      </c>
      <c r="H460" s="10" t="str">
        <f>IFERROR(INDEX(面试清单!H:H,MATCH(459,面试清单!P:P,0)),"")</f>
        <v>线下</v>
      </c>
      <c r="I460" s="13" t="s">
        <v>29</v>
      </c>
      <c r="J460" s="10">
        <f ca="1" t="shared" si="22"/>
        <v>104</v>
      </c>
      <c r="K460" s="10">
        <f ca="1" t="shared" si="23"/>
        <v>16</v>
      </c>
    </row>
    <row r="461" ht="18" spans="1:11">
      <c r="A461" s="14">
        <f t="shared" si="21"/>
        <v>460</v>
      </c>
      <c r="B461" s="11" t="s">
        <v>4406</v>
      </c>
      <c r="C461" s="14" t="str">
        <f>IFERROR(INDEX(面试清单!D:D,MATCH(460,面试清单!P:P,0)),"")</f>
        <v/>
      </c>
      <c r="D461" s="11" t="s">
        <v>42</v>
      </c>
      <c r="E461" s="11" t="s">
        <v>64</v>
      </c>
      <c r="F461" s="11" t="s">
        <v>103</v>
      </c>
      <c r="G461" s="15">
        <v>46085</v>
      </c>
      <c r="H461" s="14" t="str">
        <f>IFERROR(INDEX(面试清单!H:H,MATCH(460,面试清单!P:P,0)),"")</f>
        <v/>
      </c>
      <c r="I461" s="13" t="s">
        <v>29</v>
      </c>
      <c r="J461" s="14">
        <f ca="1" t="shared" si="22"/>
        <v>104</v>
      </c>
      <c r="K461" s="14">
        <f ca="1" t="shared" si="23"/>
        <v>16</v>
      </c>
    </row>
    <row r="462" ht="18" spans="1:11">
      <c r="A462" s="10">
        <f t="shared" si="21"/>
        <v>461</v>
      </c>
      <c r="B462" s="11" t="s">
        <v>4407</v>
      </c>
      <c r="C462" s="10" t="str">
        <f>IFERROR(INDEX(面试清单!D:D,MATCH(461,面试清单!P:P,0)),"")</f>
        <v/>
      </c>
      <c r="D462" s="11" t="s">
        <v>43</v>
      </c>
      <c r="E462" s="11" t="s">
        <v>63</v>
      </c>
      <c r="F462" s="11" t="s">
        <v>426</v>
      </c>
      <c r="G462" s="15">
        <v>46085</v>
      </c>
      <c r="H462" s="10" t="str">
        <f>IFERROR(INDEX(面试清单!H:H,MATCH(461,面试清单!P:P,0)),"")</f>
        <v/>
      </c>
      <c r="I462" s="13" t="s">
        <v>29</v>
      </c>
      <c r="J462" s="10">
        <f ca="1" t="shared" si="22"/>
        <v>104</v>
      </c>
      <c r="K462" s="10">
        <f ca="1" t="shared" si="23"/>
        <v>16</v>
      </c>
    </row>
    <row r="463" ht="18" spans="1:11">
      <c r="A463" s="14">
        <f t="shared" si="21"/>
        <v>462</v>
      </c>
      <c r="B463" s="11" t="s">
        <v>4408</v>
      </c>
      <c r="C463" s="124" t="str">
        <f>IFERROR(INDEX(面试清单!D:D,MATCH(462,面试清单!P:P,0)),"")</f>
        <v>0214</v>
      </c>
      <c r="D463" s="11" t="s">
        <v>43</v>
      </c>
      <c r="E463" s="11" t="s">
        <v>62</v>
      </c>
      <c r="F463" s="11" t="s">
        <v>426</v>
      </c>
      <c r="G463" s="15">
        <v>46085</v>
      </c>
      <c r="H463" s="14" t="str">
        <f>IFERROR(INDEX(面试清单!H:H,MATCH(462,面试清单!P:P,0)),"")</f>
        <v>线下</v>
      </c>
      <c r="I463" s="13" t="s">
        <v>29</v>
      </c>
      <c r="J463" s="14">
        <f ca="1" t="shared" si="22"/>
        <v>104</v>
      </c>
      <c r="K463" s="14">
        <f ca="1" t="shared" si="23"/>
        <v>16</v>
      </c>
    </row>
    <row r="464" ht="18" spans="1:11">
      <c r="A464" s="10">
        <f t="shared" si="21"/>
        <v>463</v>
      </c>
      <c r="B464" s="11" t="s">
        <v>4409</v>
      </c>
      <c r="C464" s="125" t="str">
        <f>IFERROR(INDEX(面试清单!D:D,MATCH(463,面试清单!P:P,0)),"")</f>
        <v>0217</v>
      </c>
      <c r="D464" s="11" t="s">
        <v>43</v>
      </c>
      <c r="E464" s="11" t="s">
        <v>62</v>
      </c>
      <c r="F464" s="11" t="s">
        <v>426</v>
      </c>
      <c r="G464" s="15">
        <v>46085</v>
      </c>
      <c r="H464" s="10" t="str">
        <f>IFERROR(INDEX(面试清单!H:H,MATCH(463,面试清单!P:P,0)),"")</f>
        <v>线下</v>
      </c>
      <c r="I464" s="13" t="s">
        <v>29</v>
      </c>
      <c r="J464" s="10">
        <f ca="1" t="shared" si="22"/>
        <v>104</v>
      </c>
      <c r="K464" s="10">
        <f ca="1" t="shared" si="23"/>
        <v>16</v>
      </c>
    </row>
    <row r="465" ht="18" spans="1:11">
      <c r="A465" s="14">
        <f t="shared" si="21"/>
        <v>464</v>
      </c>
      <c r="B465" s="11" t="s">
        <v>4410</v>
      </c>
      <c r="C465" s="124" t="str">
        <f>IFERROR(INDEX(面试清单!D:D,MATCH(464,面试清单!P:P,0)),"")</f>
        <v>0218</v>
      </c>
      <c r="D465" s="11" t="s">
        <v>43</v>
      </c>
      <c r="E465" s="11" t="s">
        <v>62</v>
      </c>
      <c r="F465" s="11" t="s">
        <v>103</v>
      </c>
      <c r="G465" s="15">
        <v>46085</v>
      </c>
      <c r="H465" s="14" t="str">
        <f>IFERROR(INDEX(面试清单!H:H,MATCH(464,面试清单!P:P,0)),"")</f>
        <v>线下</v>
      </c>
      <c r="I465" s="13" t="s">
        <v>29</v>
      </c>
      <c r="J465" s="14">
        <f ca="1" t="shared" si="22"/>
        <v>104</v>
      </c>
      <c r="K465" s="14">
        <f ca="1" t="shared" si="23"/>
        <v>16</v>
      </c>
    </row>
    <row r="466" ht="18" spans="1:11">
      <c r="A466" s="10">
        <f t="shared" si="21"/>
        <v>465</v>
      </c>
      <c r="B466" s="11" t="s">
        <v>4411</v>
      </c>
      <c r="C466" s="125" t="str">
        <f>IFERROR(INDEX(面试清单!D:D,MATCH(465,面试清单!P:P,0)),"")</f>
        <v>0220</v>
      </c>
      <c r="D466" s="11" t="s">
        <v>42</v>
      </c>
      <c r="E466" s="11" t="s">
        <v>62</v>
      </c>
      <c r="F466" s="11" t="s">
        <v>103</v>
      </c>
      <c r="G466" s="15">
        <v>46085</v>
      </c>
      <c r="H466" s="10" t="str">
        <f>IFERROR(INDEX(面试清单!H:H,MATCH(465,面试清单!P:P,0)),"")</f>
        <v>线下</v>
      </c>
      <c r="I466" s="13" t="s">
        <v>29</v>
      </c>
      <c r="J466" s="10">
        <f ca="1" t="shared" si="22"/>
        <v>104</v>
      </c>
      <c r="K466" s="10">
        <f ca="1" t="shared" si="23"/>
        <v>16</v>
      </c>
    </row>
    <row r="467" ht="18" spans="1:11">
      <c r="A467" s="14">
        <f t="shared" si="21"/>
        <v>466</v>
      </c>
      <c r="B467" s="11" t="s">
        <v>4412</v>
      </c>
      <c r="C467" s="124" t="str">
        <f>IFERROR(INDEX(面试清单!D:D,MATCH(466,面试清单!P:P,0)),"")</f>
        <v>0221</v>
      </c>
      <c r="D467" s="11" t="s">
        <v>74</v>
      </c>
      <c r="E467" s="11" t="s">
        <v>64</v>
      </c>
      <c r="F467" s="11" t="s">
        <v>1166</v>
      </c>
      <c r="G467" s="15">
        <v>46085</v>
      </c>
      <c r="H467" s="14" t="str">
        <f>IFERROR(INDEX(面试清单!H:H,MATCH(466,面试清单!P:P,0)),"")</f>
        <v>线下</v>
      </c>
      <c r="I467" s="13" t="s">
        <v>29</v>
      </c>
      <c r="J467" s="14">
        <f ca="1" t="shared" si="22"/>
        <v>104</v>
      </c>
      <c r="K467" s="14">
        <f ca="1" t="shared" si="23"/>
        <v>16</v>
      </c>
    </row>
    <row r="468" ht="18" spans="1:11">
      <c r="A468" s="10">
        <f t="shared" si="21"/>
        <v>467</v>
      </c>
      <c r="B468" s="11" t="s">
        <v>4413</v>
      </c>
      <c r="C468" s="10" t="str">
        <f>IFERROR(INDEX(面试清单!D:D,MATCH(467,面试清单!P:P,0)),"")</f>
        <v/>
      </c>
      <c r="D468" s="11" t="s">
        <v>74</v>
      </c>
      <c r="E468" s="11" t="s">
        <v>64</v>
      </c>
      <c r="F468" s="11" t="s">
        <v>179</v>
      </c>
      <c r="G468" s="15">
        <v>46086</v>
      </c>
      <c r="H468" s="10" t="str">
        <f>IFERROR(INDEX(面试清单!H:H,MATCH(467,面试清单!P:P,0)),"")</f>
        <v/>
      </c>
      <c r="I468" s="13" t="s">
        <v>29</v>
      </c>
      <c r="J468" s="10">
        <f ca="1" t="shared" si="22"/>
        <v>103</v>
      </c>
      <c r="K468" s="10">
        <f ca="1" t="shared" si="23"/>
        <v>16</v>
      </c>
    </row>
    <row r="469" ht="18" spans="1:11">
      <c r="A469" s="14">
        <f t="shared" si="21"/>
        <v>468</v>
      </c>
      <c r="B469" s="11" t="s">
        <v>4414</v>
      </c>
      <c r="C469" s="14" t="str">
        <f>IFERROR(INDEX(面试清单!D:D,MATCH(468,面试清单!P:P,0)),"")</f>
        <v/>
      </c>
      <c r="D469" s="11" t="s">
        <v>42</v>
      </c>
      <c r="E469" s="11" t="s">
        <v>62</v>
      </c>
      <c r="F469" s="11" t="s">
        <v>307</v>
      </c>
      <c r="G469" s="15">
        <v>46086</v>
      </c>
      <c r="H469" s="14" t="str">
        <f>IFERROR(INDEX(面试清单!H:H,MATCH(468,面试清单!P:P,0)),"")</f>
        <v/>
      </c>
      <c r="I469" s="13" t="s">
        <v>29</v>
      </c>
      <c r="J469" s="14">
        <f ca="1" t="shared" si="22"/>
        <v>103</v>
      </c>
      <c r="K469" s="14">
        <f ca="1" t="shared" si="23"/>
        <v>16</v>
      </c>
    </row>
    <row r="470" ht="36" spans="1:11">
      <c r="A470" s="10">
        <f t="shared" si="21"/>
        <v>469</v>
      </c>
      <c r="B470" s="11" t="s">
        <v>4415</v>
      </c>
      <c r="C470" s="10" t="str">
        <f>IFERROR(INDEX(面试清单!D:D,MATCH(469,面试清单!P:P,0)),"")</f>
        <v/>
      </c>
      <c r="D470" s="11" t="s">
        <v>43</v>
      </c>
      <c r="E470" s="11" t="s">
        <v>62</v>
      </c>
      <c r="F470" s="11" t="s">
        <v>307</v>
      </c>
      <c r="G470" s="15">
        <v>46086</v>
      </c>
      <c r="H470" s="10" t="str">
        <f>IFERROR(INDEX(面试清单!H:H,MATCH(469,面试清单!P:P,0)),"")</f>
        <v/>
      </c>
      <c r="I470" s="13" t="s">
        <v>29</v>
      </c>
      <c r="J470" s="10">
        <f ca="1" t="shared" si="22"/>
        <v>103</v>
      </c>
      <c r="K470" s="10">
        <f ca="1" t="shared" si="23"/>
        <v>16</v>
      </c>
    </row>
    <row r="471" ht="18" spans="1:11">
      <c r="A471" s="14">
        <f t="shared" si="21"/>
        <v>470</v>
      </c>
      <c r="B471" s="11" t="s">
        <v>4416</v>
      </c>
      <c r="C471" s="14" t="str">
        <f>IFERROR(INDEX(面试清单!D:D,MATCH(470,面试清单!P:P,0)),"")</f>
        <v/>
      </c>
      <c r="D471" s="11" t="s">
        <v>43</v>
      </c>
      <c r="E471" s="11" t="s">
        <v>62</v>
      </c>
      <c r="F471" s="11" t="s">
        <v>307</v>
      </c>
      <c r="G471" s="15">
        <v>46086</v>
      </c>
      <c r="H471" s="14" t="str">
        <f>IFERROR(INDEX(面试清单!H:H,MATCH(470,面试清单!P:P,0)),"")</f>
        <v/>
      </c>
      <c r="I471" s="13" t="s">
        <v>29</v>
      </c>
      <c r="J471" s="14">
        <f ca="1" t="shared" si="22"/>
        <v>103</v>
      </c>
      <c r="K471" s="14">
        <f ca="1" t="shared" si="23"/>
        <v>16</v>
      </c>
    </row>
    <row r="472" ht="18" spans="1:11">
      <c r="A472" s="10">
        <f t="shared" si="21"/>
        <v>471</v>
      </c>
      <c r="B472" s="11" t="s">
        <v>4417</v>
      </c>
      <c r="C472" s="10" t="str">
        <f>IFERROR(INDEX(面试清单!D:D,MATCH(471,面试清单!P:P,0)),"")</f>
        <v/>
      </c>
      <c r="D472" s="11" t="s">
        <v>42</v>
      </c>
      <c r="E472" s="11" t="s">
        <v>62</v>
      </c>
      <c r="F472" s="11" t="s">
        <v>307</v>
      </c>
      <c r="G472" s="15">
        <v>46086</v>
      </c>
      <c r="H472" s="10" t="str">
        <f>IFERROR(INDEX(面试清单!H:H,MATCH(471,面试清单!P:P,0)),"")</f>
        <v/>
      </c>
      <c r="I472" s="13" t="s">
        <v>29</v>
      </c>
      <c r="J472" s="10">
        <f ca="1" t="shared" si="22"/>
        <v>103</v>
      </c>
      <c r="K472" s="10">
        <f ca="1" t="shared" si="23"/>
        <v>16</v>
      </c>
    </row>
    <row r="473" ht="18" spans="1:11">
      <c r="A473" s="14">
        <f t="shared" si="21"/>
        <v>472</v>
      </c>
      <c r="B473" s="11" t="s">
        <v>4418</v>
      </c>
      <c r="C473" s="124" t="str">
        <f>IFERROR(INDEX(面试清单!D:D,MATCH(472,面试清单!P:P,0)),"")</f>
        <v>0217</v>
      </c>
      <c r="D473" s="11" t="s">
        <v>42</v>
      </c>
      <c r="E473" s="11" t="s">
        <v>63</v>
      </c>
      <c r="F473" s="11" t="s">
        <v>505</v>
      </c>
      <c r="G473" s="15">
        <v>46086</v>
      </c>
      <c r="H473" s="14" t="str">
        <f>IFERROR(INDEX(面试清单!H:H,MATCH(472,面试清单!P:P,0)),"")</f>
        <v>线下</v>
      </c>
      <c r="I473" s="13" t="s">
        <v>29</v>
      </c>
      <c r="J473" s="14">
        <f ca="1" t="shared" si="22"/>
        <v>103</v>
      </c>
      <c r="K473" s="14">
        <f ca="1" t="shared" si="23"/>
        <v>16</v>
      </c>
    </row>
    <row r="474" ht="18" spans="1:11">
      <c r="A474" s="10">
        <f t="shared" si="21"/>
        <v>473</v>
      </c>
      <c r="B474" s="11" t="s">
        <v>4419</v>
      </c>
      <c r="C474" s="125" t="str">
        <f>IFERROR(INDEX(面试清单!D:D,MATCH(473,面试清单!P:P,0)),"")</f>
        <v>0218</v>
      </c>
      <c r="D474" s="11" t="s">
        <v>43</v>
      </c>
      <c r="E474" s="11" t="s">
        <v>62</v>
      </c>
      <c r="F474" s="11" t="s">
        <v>132</v>
      </c>
      <c r="G474" s="15">
        <v>46086</v>
      </c>
      <c r="H474" s="10" t="str">
        <f>IFERROR(INDEX(面试清单!H:H,MATCH(473,面试清单!P:P,0)),"")</f>
        <v>线下</v>
      </c>
      <c r="I474" s="13" t="s">
        <v>29</v>
      </c>
      <c r="J474" s="10">
        <f ca="1" t="shared" si="22"/>
        <v>103</v>
      </c>
      <c r="K474" s="10">
        <f ca="1" t="shared" si="23"/>
        <v>16</v>
      </c>
    </row>
    <row r="475" ht="18" spans="1:11">
      <c r="A475" s="14">
        <f t="shared" si="21"/>
        <v>474</v>
      </c>
      <c r="B475" s="11" t="s">
        <v>4420</v>
      </c>
      <c r="C475" s="124" t="str">
        <f>IFERROR(INDEX(面试清单!D:D,MATCH(474,面试清单!P:P,0)),"")</f>
        <v>0220</v>
      </c>
      <c r="D475" s="11" t="s">
        <v>43</v>
      </c>
      <c r="E475" s="11" t="s">
        <v>63</v>
      </c>
      <c r="F475" s="11" t="s">
        <v>132</v>
      </c>
      <c r="G475" s="15">
        <v>46086</v>
      </c>
      <c r="H475" s="14" t="str">
        <f>IFERROR(INDEX(面试清单!H:H,MATCH(474,面试清单!P:P,0)),"")</f>
        <v>线下</v>
      </c>
      <c r="I475" s="13" t="s">
        <v>29</v>
      </c>
      <c r="J475" s="14">
        <f ca="1" t="shared" si="22"/>
        <v>103</v>
      </c>
      <c r="K475" s="14">
        <f ca="1" t="shared" si="23"/>
        <v>16</v>
      </c>
    </row>
    <row r="476" ht="18" spans="1:11">
      <c r="A476" s="10">
        <f t="shared" si="21"/>
        <v>475</v>
      </c>
      <c r="B476" s="11" t="s">
        <v>4421</v>
      </c>
      <c r="C476" s="125" t="str">
        <f>IFERROR(INDEX(面试清单!D:D,MATCH(475,面试清单!P:P,0)),"")</f>
        <v>0221</v>
      </c>
      <c r="D476" s="11" t="s">
        <v>42</v>
      </c>
      <c r="E476" s="11" t="s">
        <v>62</v>
      </c>
      <c r="F476" s="11" t="s">
        <v>129</v>
      </c>
      <c r="G476" s="15">
        <v>46086</v>
      </c>
      <c r="H476" s="10" t="str">
        <f>IFERROR(INDEX(面试清单!H:H,MATCH(475,面试清单!P:P,0)),"")</f>
        <v>线下</v>
      </c>
      <c r="I476" s="13" t="s">
        <v>29</v>
      </c>
      <c r="J476" s="10">
        <f ca="1" t="shared" si="22"/>
        <v>103</v>
      </c>
      <c r="K476" s="10">
        <f ca="1" t="shared" si="23"/>
        <v>16</v>
      </c>
    </row>
    <row r="477" ht="18" spans="1:11">
      <c r="A477" s="14">
        <f t="shared" si="21"/>
        <v>476</v>
      </c>
      <c r="B477" s="11" t="s">
        <v>4422</v>
      </c>
      <c r="C477" s="124" t="str">
        <f>IFERROR(INDEX(面试清单!D:D,MATCH(476,面试清单!P:P,0)),"")</f>
        <v>0222</v>
      </c>
      <c r="D477" s="11" t="s">
        <v>43</v>
      </c>
      <c r="E477" s="11" t="s">
        <v>62</v>
      </c>
      <c r="F477" s="11" t="s">
        <v>129</v>
      </c>
      <c r="G477" s="15">
        <v>46086</v>
      </c>
      <c r="H477" s="14" t="str">
        <f>IFERROR(INDEX(面试清单!H:H,MATCH(476,面试清单!P:P,0)),"")</f>
        <v>线下</v>
      </c>
      <c r="I477" s="13" t="s">
        <v>29</v>
      </c>
      <c r="J477" s="14">
        <f ca="1" t="shared" si="22"/>
        <v>103</v>
      </c>
      <c r="K477" s="14">
        <f ca="1" t="shared" si="23"/>
        <v>16</v>
      </c>
    </row>
    <row r="478" ht="18" spans="1:11">
      <c r="A478" s="10">
        <f t="shared" si="21"/>
        <v>477</v>
      </c>
      <c r="B478" s="11" t="s">
        <v>4423</v>
      </c>
      <c r="C478" s="125" t="str">
        <f>IFERROR(INDEX(面试清单!D:D,MATCH(477,面试清单!P:P,0)),"")</f>
        <v>0208</v>
      </c>
      <c r="D478" s="11" t="s">
        <v>43</v>
      </c>
      <c r="E478" s="11" t="s">
        <v>63</v>
      </c>
      <c r="F478" s="11" t="s">
        <v>129</v>
      </c>
      <c r="G478" s="15">
        <v>46086</v>
      </c>
      <c r="H478" s="10" t="str">
        <f>IFERROR(INDEX(面试清单!H:H,MATCH(477,面试清单!P:P,0)),"")</f>
        <v>线下</v>
      </c>
      <c r="I478" s="13" t="s">
        <v>29</v>
      </c>
      <c r="J478" s="10">
        <f ca="1" t="shared" si="22"/>
        <v>103</v>
      </c>
      <c r="K478" s="10">
        <f ca="1" t="shared" si="23"/>
        <v>16</v>
      </c>
    </row>
    <row r="479" ht="18" spans="1:11">
      <c r="A479" s="14">
        <f t="shared" si="21"/>
        <v>478</v>
      </c>
      <c r="B479" s="11" t="s">
        <v>4424</v>
      </c>
      <c r="C479" s="124" t="str">
        <f>IFERROR(INDEX(面试清单!D:D,MATCH(478,面试清单!P:P,0)),"")</f>
        <v>0209</v>
      </c>
      <c r="D479" s="11" t="s">
        <v>43</v>
      </c>
      <c r="E479" s="11" t="s">
        <v>62</v>
      </c>
      <c r="F479" s="11" t="s">
        <v>233</v>
      </c>
      <c r="G479" s="15">
        <v>46086</v>
      </c>
      <c r="H479" s="14" t="str">
        <f>IFERROR(INDEX(面试清单!H:H,MATCH(478,面试清单!P:P,0)),"")</f>
        <v>线下</v>
      </c>
      <c r="I479" s="13" t="s">
        <v>29</v>
      </c>
      <c r="J479" s="14">
        <f ca="1" t="shared" si="22"/>
        <v>103</v>
      </c>
      <c r="K479" s="14">
        <f ca="1" t="shared" si="23"/>
        <v>16</v>
      </c>
    </row>
    <row r="480" ht="18" spans="1:11">
      <c r="A480" s="10">
        <f t="shared" si="21"/>
        <v>479</v>
      </c>
      <c r="B480" s="11" t="s">
        <v>4425</v>
      </c>
      <c r="C480" s="125" t="str">
        <f>IFERROR(INDEX(面试清单!D:D,MATCH(479,面试清单!P:P,0)),"")</f>
        <v>0212</v>
      </c>
      <c r="D480" s="11" t="s">
        <v>43</v>
      </c>
      <c r="E480" s="11" t="s">
        <v>62</v>
      </c>
      <c r="F480" s="11" t="s">
        <v>233</v>
      </c>
      <c r="G480" s="15">
        <v>46086</v>
      </c>
      <c r="H480" s="10" t="str">
        <f>IFERROR(INDEX(面试清单!H:H,MATCH(479,面试清单!P:P,0)),"")</f>
        <v>线下</v>
      </c>
      <c r="I480" s="13" t="s">
        <v>29</v>
      </c>
      <c r="J480" s="10">
        <f ca="1" t="shared" si="22"/>
        <v>103</v>
      </c>
      <c r="K480" s="10">
        <f ca="1" t="shared" si="23"/>
        <v>16</v>
      </c>
    </row>
    <row r="481" ht="18" spans="1:11">
      <c r="A481" s="14">
        <f t="shared" si="21"/>
        <v>480</v>
      </c>
      <c r="B481" s="11" t="s">
        <v>4426</v>
      </c>
      <c r="C481" s="124" t="str">
        <f>IFERROR(INDEX(面试清单!D:D,MATCH(480,面试清单!P:P,0)),"")</f>
        <v>0214</v>
      </c>
      <c r="D481" s="11" t="s">
        <v>42</v>
      </c>
      <c r="E481" s="11" t="s">
        <v>62</v>
      </c>
      <c r="F481" s="11" t="s">
        <v>103</v>
      </c>
      <c r="G481" s="15">
        <v>46086</v>
      </c>
      <c r="H481" s="14" t="str">
        <f>IFERROR(INDEX(面试清单!H:H,MATCH(480,面试清单!P:P,0)),"")</f>
        <v>线下</v>
      </c>
      <c r="I481" s="13" t="s">
        <v>29</v>
      </c>
      <c r="J481" s="14">
        <f ca="1" t="shared" si="22"/>
        <v>103</v>
      </c>
      <c r="K481" s="14">
        <f ca="1" t="shared" si="23"/>
        <v>16</v>
      </c>
    </row>
    <row r="482" ht="18" spans="1:11">
      <c r="A482" s="10">
        <f t="shared" si="21"/>
        <v>481</v>
      </c>
      <c r="B482" s="11" t="s">
        <v>4427</v>
      </c>
      <c r="C482" s="125" t="str">
        <f>IFERROR(INDEX(面试清单!D:D,MATCH(481,面试清单!P:P,0)),"")</f>
        <v>0217</v>
      </c>
      <c r="D482" s="11" t="s">
        <v>43</v>
      </c>
      <c r="E482" s="11" t="s">
        <v>62</v>
      </c>
      <c r="F482" s="11" t="s">
        <v>124</v>
      </c>
      <c r="G482" s="15">
        <v>46086</v>
      </c>
      <c r="H482" s="10" t="str">
        <f>IFERROR(INDEX(面试清单!H:H,MATCH(481,面试清单!P:P,0)),"")</f>
        <v>线下</v>
      </c>
      <c r="I482" s="13" t="s">
        <v>29</v>
      </c>
      <c r="J482" s="10">
        <f ca="1" t="shared" si="22"/>
        <v>103</v>
      </c>
      <c r="K482" s="10">
        <f ca="1" t="shared" si="23"/>
        <v>16</v>
      </c>
    </row>
    <row r="483" ht="18" spans="1:11">
      <c r="A483" s="14">
        <f t="shared" si="21"/>
        <v>482</v>
      </c>
      <c r="B483" s="11" t="s">
        <v>4428</v>
      </c>
      <c r="C483" s="124" t="str">
        <f>IFERROR(INDEX(面试清单!D:D,MATCH(482,面试清单!P:P,0)),"")</f>
        <v>0218</v>
      </c>
      <c r="D483" s="11" t="s">
        <v>43</v>
      </c>
      <c r="E483" s="11" t="s">
        <v>63</v>
      </c>
      <c r="F483" s="11" t="s">
        <v>124</v>
      </c>
      <c r="G483" s="15">
        <v>46086</v>
      </c>
      <c r="H483" s="14" t="str">
        <f>IFERROR(INDEX(面试清单!H:H,MATCH(482,面试清单!P:P,0)),"")</f>
        <v>线下</v>
      </c>
      <c r="I483" s="13" t="s">
        <v>29</v>
      </c>
      <c r="J483" s="14">
        <f ca="1" t="shared" si="22"/>
        <v>103</v>
      </c>
      <c r="K483" s="14">
        <f ca="1" t="shared" si="23"/>
        <v>16</v>
      </c>
    </row>
    <row r="484" ht="18" spans="1:11">
      <c r="A484" s="10">
        <f t="shared" si="21"/>
        <v>483</v>
      </c>
      <c r="B484" s="11" t="s">
        <v>4429</v>
      </c>
      <c r="C484" s="125" t="str">
        <f>IFERROR(INDEX(面试清单!D:D,MATCH(483,面试清单!P:P,0)),"")</f>
        <v>0220</v>
      </c>
      <c r="D484" s="11" t="s">
        <v>43</v>
      </c>
      <c r="E484" s="11" t="s">
        <v>62</v>
      </c>
      <c r="F484" s="11" t="s">
        <v>124</v>
      </c>
      <c r="G484" s="15">
        <v>46086</v>
      </c>
      <c r="H484" s="10" t="str">
        <f>IFERROR(INDEX(面试清单!H:H,MATCH(483,面试清单!P:P,0)),"")</f>
        <v>线下</v>
      </c>
      <c r="I484" s="13" t="s">
        <v>29</v>
      </c>
      <c r="J484" s="10">
        <f ca="1" t="shared" si="22"/>
        <v>103</v>
      </c>
      <c r="K484" s="10">
        <f ca="1" t="shared" si="23"/>
        <v>16</v>
      </c>
    </row>
    <row r="485" ht="18" spans="1:11">
      <c r="A485" s="14">
        <f t="shared" si="21"/>
        <v>484</v>
      </c>
      <c r="B485" s="11" t="s">
        <v>4430</v>
      </c>
      <c r="C485" s="14" t="str">
        <f>IFERROR(INDEX(面试清单!D:D,MATCH(484,面试清单!P:P,0)),"")</f>
        <v/>
      </c>
      <c r="D485" s="11" t="s">
        <v>43</v>
      </c>
      <c r="E485" s="11" t="s">
        <v>62</v>
      </c>
      <c r="F485" s="11" t="s">
        <v>124</v>
      </c>
      <c r="G485" s="15">
        <v>46086</v>
      </c>
      <c r="H485" s="14" t="str">
        <f>IFERROR(INDEX(面试清单!H:H,MATCH(484,面试清单!P:P,0)),"")</f>
        <v/>
      </c>
      <c r="I485" s="13" t="s">
        <v>29</v>
      </c>
      <c r="J485" s="14">
        <f ca="1" t="shared" si="22"/>
        <v>103</v>
      </c>
      <c r="K485" s="14">
        <f ca="1" t="shared" si="23"/>
        <v>16</v>
      </c>
    </row>
    <row r="486" ht="18" spans="1:11">
      <c r="A486" s="10">
        <f t="shared" si="21"/>
        <v>485</v>
      </c>
      <c r="B486" s="11" t="s">
        <v>4431</v>
      </c>
      <c r="C486" s="10" t="str">
        <f>IFERROR(INDEX(面试清单!D:D,MATCH(485,面试清单!P:P,0)),"")</f>
        <v/>
      </c>
      <c r="D486" s="11" t="s">
        <v>42</v>
      </c>
      <c r="E486" s="11" t="s">
        <v>63</v>
      </c>
      <c r="F486" s="11" t="s">
        <v>124</v>
      </c>
      <c r="G486" s="15">
        <v>46086</v>
      </c>
      <c r="H486" s="10" t="str">
        <f>IFERROR(INDEX(面试清单!H:H,MATCH(485,面试清单!P:P,0)),"")</f>
        <v/>
      </c>
      <c r="I486" s="13" t="s">
        <v>29</v>
      </c>
      <c r="J486" s="10">
        <f ca="1" t="shared" si="22"/>
        <v>103</v>
      </c>
      <c r="K486" s="10">
        <f ca="1" t="shared" si="23"/>
        <v>16</v>
      </c>
    </row>
    <row r="487" ht="18" spans="1:11">
      <c r="A487" s="14">
        <f t="shared" si="21"/>
        <v>486</v>
      </c>
      <c r="B487" s="11" t="s">
        <v>4432</v>
      </c>
      <c r="C487" s="14" t="str">
        <f>IFERROR(INDEX(面试清单!D:D,MATCH(486,面试清单!P:P,0)),"")</f>
        <v/>
      </c>
      <c r="D487" s="11" t="s">
        <v>42</v>
      </c>
      <c r="E487" s="11" t="s">
        <v>62</v>
      </c>
      <c r="F487" s="11" t="s">
        <v>179</v>
      </c>
      <c r="G487" s="15">
        <v>46086</v>
      </c>
      <c r="H487" s="14" t="str">
        <f>IFERROR(INDEX(面试清单!H:H,MATCH(486,面试清单!P:P,0)),"")</f>
        <v/>
      </c>
      <c r="I487" s="13" t="s">
        <v>29</v>
      </c>
      <c r="J487" s="14">
        <f ca="1" t="shared" si="22"/>
        <v>103</v>
      </c>
      <c r="K487" s="14">
        <f ca="1" t="shared" si="23"/>
        <v>16</v>
      </c>
    </row>
    <row r="488" ht="18" spans="1:11">
      <c r="A488" s="10">
        <f t="shared" si="21"/>
        <v>487</v>
      </c>
      <c r="B488" s="11" t="s">
        <v>4433</v>
      </c>
      <c r="C488" s="10" t="str">
        <f>IFERROR(INDEX(面试清单!D:D,MATCH(487,面试清单!P:P,0)),"")</f>
        <v/>
      </c>
      <c r="D488" s="11" t="s">
        <v>42</v>
      </c>
      <c r="E488" s="11" t="s">
        <v>62</v>
      </c>
      <c r="F488" s="11" t="s">
        <v>179</v>
      </c>
      <c r="G488" s="15">
        <v>46086</v>
      </c>
      <c r="H488" s="10" t="str">
        <f>IFERROR(INDEX(面试清单!H:H,MATCH(487,面试清单!P:P,0)),"")</f>
        <v/>
      </c>
      <c r="I488" s="13" t="s">
        <v>29</v>
      </c>
      <c r="J488" s="10">
        <f ca="1" t="shared" si="22"/>
        <v>103</v>
      </c>
      <c r="K488" s="10">
        <f ca="1" t="shared" si="23"/>
        <v>16</v>
      </c>
    </row>
    <row r="489" ht="18" spans="1:11">
      <c r="A489" s="14">
        <f t="shared" si="21"/>
        <v>488</v>
      </c>
      <c r="B489" s="11" t="s">
        <v>4434</v>
      </c>
      <c r="C489" s="14" t="str">
        <f>IFERROR(INDEX(面试清单!D:D,MATCH(488,面试清单!P:P,0)),"")</f>
        <v/>
      </c>
      <c r="D489" s="11" t="s">
        <v>43</v>
      </c>
      <c r="E489" s="11" t="s">
        <v>62</v>
      </c>
      <c r="F489" s="11" t="s">
        <v>176</v>
      </c>
      <c r="G489" s="15">
        <v>46086</v>
      </c>
      <c r="H489" s="14" t="str">
        <f>IFERROR(INDEX(面试清单!H:H,MATCH(488,面试清单!P:P,0)),"")</f>
        <v/>
      </c>
      <c r="I489" s="13" t="s">
        <v>29</v>
      </c>
      <c r="J489" s="14">
        <f ca="1" t="shared" si="22"/>
        <v>103</v>
      </c>
      <c r="K489" s="14">
        <f ca="1" t="shared" si="23"/>
        <v>16</v>
      </c>
    </row>
    <row r="490" ht="18" spans="1:11">
      <c r="A490" s="10">
        <f t="shared" si="21"/>
        <v>489</v>
      </c>
      <c r="B490" s="11" t="s">
        <v>4435</v>
      </c>
      <c r="C490" s="125" t="str">
        <f>IFERROR(INDEX(面试清单!D:D,MATCH(489,面试清单!P:P,0)),"")</f>
        <v>0214</v>
      </c>
      <c r="D490" s="11" t="s">
        <v>43</v>
      </c>
      <c r="E490" s="11" t="s">
        <v>63</v>
      </c>
      <c r="F490" s="11" t="s">
        <v>173</v>
      </c>
      <c r="G490" s="15">
        <v>46086</v>
      </c>
      <c r="H490" s="10" t="str">
        <f>IFERROR(INDEX(面试清单!H:H,MATCH(489,面试清单!P:P,0)),"")</f>
        <v>线下</v>
      </c>
      <c r="I490" s="13" t="s">
        <v>29</v>
      </c>
      <c r="J490" s="10">
        <f ca="1" t="shared" si="22"/>
        <v>103</v>
      </c>
      <c r="K490" s="10">
        <f ca="1" t="shared" si="23"/>
        <v>16</v>
      </c>
    </row>
    <row r="491" ht="18" spans="1:11">
      <c r="A491" s="14">
        <f t="shared" si="21"/>
        <v>490</v>
      </c>
      <c r="B491" s="11" t="s">
        <v>4436</v>
      </c>
      <c r="C491" s="124" t="str">
        <f>IFERROR(INDEX(面试清单!D:D,MATCH(490,面试清单!P:P,0)),"")</f>
        <v>0217</v>
      </c>
      <c r="D491" s="11" t="s">
        <v>43</v>
      </c>
      <c r="E491" s="11" t="s">
        <v>63</v>
      </c>
      <c r="F491" s="11" t="s">
        <v>173</v>
      </c>
      <c r="G491" s="15">
        <v>46086</v>
      </c>
      <c r="H491" s="14" t="str">
        <f>IFERROR(INDEX(面试清单!H:H,MATCH(490,面试清单!P:P,0)),"")</f>
        <v>线下</v>
      </c>
      <c r="I491" s="13" t="s">
        <v>29</v>
      </c>
      <c r="J491" s="14">
        <f ca="1" t="shared" si="22"/>
        <v>103</v>
      </c>
      <c r="K491" s="14">
        <f ca="1" t="shared" si="23"/>
        <v>16</v>
      </c>
    </row>
    <row r="492" ht="18" spans="1:11">
      <c r="A492" s="10">
        <f t="shared" si="21"/>
        <v>491</v>
      </c>
      <c r="B492" s="11" t="s">
        <v>4437</v>
      </c>
      <c r="C492" s="125" t="str">
        <f>IFERROR(INDEX(面试清单!D:D,MATCH(491,面试清单!P:P,0)),"")</f>
        <v>0218</v>
      </c>
      <c r="D492" s="11" t="s">
        <v>43</v>
      </c>
      <c r="E492" s="11" t="s">
        <v>63</v>
      </c>
      <c r="F492" s="11" t="s">
        <v>173</v>
      </c>
      <c r="G492" s="15">
        <v>46086</v>
      </c>
      <c r="H492" s="10" t="str">
        <f>IFERROR(INDEX(面试清单!H:H,MATCH(491,面试清单!P:P,0)),"")</f>
        <v>线下</v>
      </c>
      <c r="I492" s="13" t="s">
        <v>29</v>
      </c>
      <c r="J492" s="10">
        <f ca="1" t="shared" si="22"/>
        <v>103</v>
      </c>
      <c r="K492" s="10">
        <f ca="1" t="shared" si="23"/>
        <v>16</v>
      </c>
    </row>
    <row r="493" ht="18" spans="1:11">
      <c r="A493" s="14">
        <f t="shared" si="21"/>
        <v>492</v>
      </c>
      <c r="B493" s="11" t="s">
        <v>4438</v>
      </c>
      <c r="C493" s="124" t="str">
        <f>IFERROR(INDEX(面试清单!D:D,MATCH(492,面试清单!P:P,0)),"")</f>
        <v>0220</v>
      </c>
      <c r="D493" s="11" t="s">
        <v>43</v>
      </c>
      <c r="E493" s="11" t="s">
        <v>63</v>
      </c>
      <c r="F493" s="11" t="s">
        <v>173</v>
      </c>
      <c r="G493" s="15">
        <v>46086</v>
      </c>
      <c r="H493" s="14" t="str">
        <f>IFERROR(INDEX(面试清单!H:H,MATCH(492,面试清单!P:P,0)),"")</f>
        <v>线下</v>
      </c>
      <c r="I493" s="13" t="s">
        <v>29</v>
      </c>
      <c r="J493" s="14">
        <f ca="1" t="shared" si="22"/>
        <v>103</v>
      </c>
      <c r="K493" s="14">
        <f ca="1" t="shared" si="23"/>
        <v>16</v>
      </c>
    </row>
    <row r="494" ht="18" spans="1:11">
      <c r="A494" s="10">
        <f t="shared" si="21"/>
        <v>493</v>
      </c>
      <c r="B494" s="11" t="s">
        <v>4439</v>
      </c>
      <c r="C494" s="125" t="str">
        <f>IFERROR(INDEX(面试清单!D:D,MATCH(493,面试清单!P:P,0)),"")</f>
        <v>0221</v>
      </c>
      <c r="D494" s="11" t="s">
        <v>43</v>
      </c>
      <c r="E494" s="11" t="s">
        <v>62</v>
      </c>
      <c r="F494" s="11" t="s">
        <v>103</v>
      </c>
      <c r="G494" s="15">
        <v>46086</v>
      </c>
      <c r="H494" s="10" t="str">
        <f>IFERROR(INDEX(面试清单!H:H,MATCH(493,面试清单!P:P,0)),"")</f>
        <v>线下</v>
      </c>
      <c r="I494" s="13" t="s">
        <v>29</v>
      </c>
      <c r="J494" s="10">
        <f ca="1" t="shared" si="22"/>
        <v>103</v>
      </c>
      <c r="K494" s="10">
        <f ca="1" t="shared" si="23"/>
        <v>16</v>
      </c>
    </row>
    <row r="495" ht="18" spans="1:11">
      <c r="A495" s="14">
        <f t="shared" si="21"/>
        <v>494</v>
      </c>
      <c r="B495" s="11" t="s">
        <v>4440</v>
      </c>
      <c r="C495" s="14" t="str">
        <f>IFERROR(INDEX(面试清单!D:D,MATCH(494,面试清单!P:P,0)),"")</f>
        <v/>
      </c>
      <c r="D495" s="11" t="s">
        <v>42</v>
      </c>
      <c r="E495" s="11" t="s">
        <v>62</v>
      </c>
      <c r="F495" s="11" t="s">
        <v>103</v>
      </c>
      <c r="G495" s="15">
        <v>46086</v>
      </c>
      <c r="H495" s="14" t="str">
        <f>IFERROR(INDEX(面试清单!H:H,MATCH(494,面试清单!P:P,0)),"")</f>
        <v/>
      </c>
      <c r="I495" s="13" t="s">
        <v>29</v>
      </c>
      <c r="J495" s="14">
        <f ca="1" t="shared" si="22"/>
        <v>103</v>
      </c>
      <c r="K495" s="14">
        <f ca="1" t="shared" si="23"/>
        <v>16</v>
      </c>
    </row>
    <row r="496" ht="18" spans="1:11">
      <c r="A496" s="10">
        <f t="shared" si="21"/>
        <v>495</v>
      </c>
      <c r="B496" s="11" t="s">
        <v>4441</v>
      </c>
      <c r="C496" s="125" t="str">
        <f>IFERROR(INDEX(面试清单!D:D,MATCH(495,面试清单!P:P,0)),"")</f>
        <v>0208</v>
      </c>
      <c r="D496" s="11" t="s">
        <v>42</v>
      </c>
      <c r="E496" s="11" t="s">
        <v>62</v>
      </c>
      <c r="F496" s="11" t="s">
        <v>103</v>
      </c>
      <c r="G496" s="15">
        <v>46086</v>
      </c>
      <c r="H496" s="10" t="str">
        <f>IFERROR(INDEX(面试清单!H:H,MATCH(495,面试清单!P:P,0)),"")</f>
        <v>线下</v>
      </c>
      <c r="I496" s="13" t="s">
        <v>29</v>
      </c>
      <c r="J496" s="10">
        <f ca="1" t="shared" si="22"/>
        <v>103</v>
      </c>
      <c r="K496" s="10">
        <f ca="1" t="shared" si="23"/>
        <v>16</v>
      </c>
    </row>
    <row r="497" ht="18" spans="1:11">
      <c r="A497" s="14">
        <f t="shared" si="21"/>
        <v>496</v>
      </c>
      <c r="B497" s="11" t="s">
        <v>4442</v>
      </c>
      <c r="C497" s="14" t="str">
        <f>IFERROR(INDEX(面试清单!D:D,MATCH(496,面试清单!P:P,0)),"")</f>
        <v/>
      </c>
      <c r="D497" s="11" t="s">
        <v>42</v>
      </c>
      <c r="E497" s="11" t="s">
        <v>62</v>
      </c>
      <c r="F497" s="11" t="s">
        <v>179</v>
      </c>
      <c r="G497" s="15">
        <v>46086</v>
      </c>
      <c r="H497" s="14" t="str">
        <f>IFERROR(INDEX(面试清单!H:H,MATCH(496,面试清单!P:P,0)),"")</f>
        <v/>
      </c>
      <c r="I497" s="13" t="s">
        <v>29</v>
      </c>
      <c r="J497" s="14">
        <f ca="1" t="shared" si="22"/>
        <v>103</v>
      </c>
      <c r="K497" s="14">
        <f ca="1" t="shared" si="23"/>
        <v>16</v>
      </c>
    </row>
    <row r="498" ht="18" spans="1:11">
      <c r="A498" s="10">
        <f t="shared" si="21"/>
        <v>497</v>
      </c>
      <c r="B498" s="11" t="s">
        <v>4443</v>
      </c>
      <c r="C498" s="10" t="str">
        <f>IFERROR(INDEX(面试清单!D:D,MATCH(497,面试清单!P:P,0)),"")</f>
        <v/>
      </c>
      <c r="D498" s="11" t="s">
        <v>43</v>
      </c>
      <c r="E498" s="11" t="s">
        <v>63</v>
      </c>
      <c r="F498" s="11" t="s">
        <v>307</v>
      </c>
      <c r="G498" s="15">
        <v>46086</v>
      </c>
      <c r="H498" s="10" t="str">
        <f>IFERROR(INDEX(面试清单!H:H,MATCH(497,面试清单!P:P,0)),"")</f>
        <v/>
      </c>
      <c r="I498" s="13" t="s">
        <v>29</v>
      </c>
      <c r="J498" s="10">
        <f ca="1" t="shared" si="22"/>
        <v>103</v>
      </c>
      <c r="K498" s="10">
        <f ca="1" t="shared" si="23"/>
        <v>16</v>
      </c>
    </row>
    <row r="499" ht="18" spans="1:11">
      <c r="A499" s="14">
        <f t="shared" si="21"/>
        <v>498</v>
      </c>
      <c r="B499" s="11" t="s">
        <v>4444</v>
      </c>
      <c r="C499" s="14" t="str">
        <f>IFERROR(INDEX(面试清单!D:D,MATCH(498,面试清单!P:P,0)),"")</f>
        <v/>
      </c>
      <c r="D499" s="11" t="s">
        <v>43</v>
      </c>
      <c r="E499" s="11" t="s">
        <v>62</v>
      </c>
      <c r="F499" s="11" t="s">
        <v>110</v>
      </c>
      <c r="G499" s="15">
        <v>46086</v>
      </c>
      <c r="H499" s="14" t="str">
        <f>IFERROR(INDEX(面试清单!H:H,MATCH(498,面试清单!P:P,0)),"")</f>
        <v/>
      </c>
      <c r="I499" s="13" t="s">
        <v>29</v>
      </c>
      <c r="J499" s="14">
        <f ca="1" t="shared" si="22"/>
        <v>103</v>
      </c>
      <c r="K499" s="14">
        <f ca="1" t="shared" si="23"/>
        <v>16</v>
      </c>
    </row>
    <row r="500" ht="18" spans="1:11">
      <c r="A500" s="10">
        <f t="shared" si="21"/>
        <v>499</v>
      </c>
      <c r="B500" s="11" t="s">
        <v>4445</v>
      </c>
      <c r="C500" s="10" t="str">
        <f>IFERROR(INDEX(面试清单!D:D,MATCH(499,面试清单!P:P,0)),"")</f>
        <v/>
      </c>
      <c r="D500" s="11" t="s">
        <v>42</v>
      </c>
      <c r="E500" s="11" t="s">
        <v>63</v>
      </c>
      <c r="F500" s="11" t="s">
        <v>124</v>
      </c>
      <c r="G500" s="15">
        <v>46086</v>
      </c>
      <c r="H500" s="10" t="str">
        <f>IFERROR(INDEX(面试清单!H:H,MATCH(499,面试清单!P:P,0)),"")</f>
        <v/>
      </c>
      <c r="I500" s="13" t="s">
        <v>29</v>
      </c>
      <c r="J500" s="10">
        <f ca="1" t="shared" si="22"/>
        <v>103</v>
      </c>
      <c r="K500" s="10">
        <f ca="1" t="shared" si="23"/>
        <v>16</v>
      </c>
    </row>
    <row r="501" ht="18" spans="1:11">
      <c r="A501" s="14">
        <f t="shared" si="21"/>
        <v>500</v>
      </c>
      <c r="B501" s="11" t="s">
        <v>4446</v>
      </c>
      <c r="C501" s="14" t="str">
        <f>IFERROR(INDEX(面试清单!D:D,MATCH(500,面试清单!P:P,0)),"")</f>
        <v/>
      </c>
      <c r="D501" s="11" t="s">
        <v>43</v>
      </c>
      <c r="E501" s="11" t="s">
        <v>63</v>
      </c>
      <c r="F501" s="11" t="s">
        <v>135</v>
      </c>
      <c r="G501" s="15">
        <v>46086</v>
      </c>
      <c r="H501" s="14" t="str">
        <f>IFERROR(INDEX(面试清单!H:H,MATCH(500,面试清单!P:P,0)),"")</f>
        <v/>
      </c>
      <c r="I501" s="13" t="s">
        <v>29</v>
      </c>
      <c r="J501" s="14">
        <f ca="1" t="shared" si="22"/>
        <v>103</v>
      </c>
      <c r="K501" s="14">
        <f ca="1" t="shared" si="23"/>
        <v>16</v>
      </c>
    </row>
    <row r="502" ht="18" spans="1:11">
      <c r="A502" s="10">
        <f t="shared" si="21"/>
        <v>501</v>
      </c>
      <c r="B502" s="11" t="s">
        <v>4447</v>
      </c>
      <c r="C502" s="10" t="str">
        <f>IFERROR(INDEX(面试清单!D:D,MATCH(501,面试清单!P:P,0)),"")</f>
        <v/>
      </c>
      <c r="D502" s="11" t="s">
        <v>43</v>
      </c>
      <c r="E502" s="11" t="s">
        <v>63</v>
      </c>
      <c r="F502" s="11" t="s">
        <v>129</v>
      </c>
      <c r="G502" s="15">
        <v>46086</v>
      </c>
      <c r="H502" s="10" t="str">
        <f>IFERROR(INDEX(面试清单!H:H,MATCH(501,面试清单!P:P,0)),"")</f>
        <v/>
      </c>
      <c r="I502" s="13" t="s">
        <v>29</v>
      </c>
      <c r="J502" s="10">
        <f ca="1" t="shared" si="22"/>
        <v>103</v>
      </c>
      <c r="K502" s="10">
        <f ca="1" t="shared" si="23"/>
        <v>16</v>
      </c>
    </row>
    <row r="503" ht="18" spans="1:11">
      <c r="A503" s="14">
        <f t="shared" si="21"/>
        <v>502</v>
      </c>
      <c r="B503" s="11" t="s">
        <v>4448</v>
      </c>
      <c r="C503" s="14" t="str">
        <f>IFERROR(INDEX(面试清单!D:D,MATCH(502,面试清单!P:P,0)),"")</f>
        <v/>
      </c>
      <c r="D503" s="11" t="s">
        <v>43</v>
      </c>
      <c r="E503" s="11" t="s">
        <v>62</v>
      </c>
      <c r="F503" s="11" t="s">
        <v>103</v>
      </c>
      <c r="G503" s="15">
        <v>46086</v>
      </c>
      <c r="H503" s="14" t="str">
        <f>IFERROR(INDEX(面试清单!H:H,MATCH(502,面试清单!P:P,0)),"")</f>
        <v/>
      </c>
      <c r="I503" s="13" t="s">
        <v>29</v>
      </c>
      <c r="J503" s="14">
        <f ca="1" t="shared" si="22"/>
        <v>103</v>
      </c>
      <c r="K503" s="14">
        <f ca="1" t="shared" si="23"/>
        <v>16</v>
      </c>
    </row>
    <row r="504" ht="18" spans="1:11">
      <c r="A504" s="10">
        <f t="shared" si="21"/>
        <v>503</v>
      </c>
      <c r="B504" s="11" t="s">
        <v>4449</v>
      </c>
      <c r="C504" s="10" t="str">
        <f>IFERROR(INDEX(面试清单!D:D,MATCH(503,面试清单!P:P,0)),"")</f>
        <v/>
      </c>
      <c r="D504" s="11" t="s">
        <v>42</v>
      </c>
      <c r="E504" s="11" t="s">
        <v>62</v>
      </c>
      <c r="F504" s="11" t="s">
        <v>179</v>
      </c>
      <c r="G504" s="15">
        <v>46086</v>
      </c>
      <c r="H504" s="10" t="str">
        <f>IFERROR(INDEX(面试清单!H:H,MATCH(503,面试清单!P:P,0)),"")</f>
        <v/>
      </c>
      <c r="I504" s="13" t="s">
        <v>29</v>
      </c>
      <c r="J504" s="10">
        <f ca="1" t="shared" si="22"/>
        <v>103</v>
      </c>
      <c r="K504" s="10">
        <f ca="1" t="shared" si="23"/>
        <v>16</v>
      </c>
    </row>
    <row r="505" ht="18" spans="1:11">
      <c r="A505" s="14">
        <f t="shared" si="21"/>
        <v>504</v>
      </c>
      <c r="B505" s="11" t="s">
        <v>4450</v>
      </c>
      <c r="C505" s="124" t="str">
        <f>IFERROR(INDEX(面试清单!D:D,MATCH(504,面试清单!P:P,0)),"")</f>
        <v>0208</v>
      </c>
      <c r="D505" s="11" t="s">
        <v>43</v>
      </c>
      <c r="E505" s="11" t="s">
        <v>62</v>
      </c>
      <c r="F505" s="11" t="s">
        <v>132</v>
      </c>
      <c r="G505" s="15">
        <v>46086</v>
      </c>
      <c r="H505" s="14" t="str">
        <f>IFERROR(INDEX(面试清单!H:H,MATCH(504,面试清单!P:P,0)),"")</f>
        <v>线下</v>
      </c>
      <c r="I505" s="13" t="s">
        <v>29</v>
      </c>
      <c r="J505" s="14">
        <f ca="1" t="shared" si="22"/>
        <v>103</v>
      </c>
      <c r="K505" s="14">
        <f ca="1" t="shared" si="23"/>
        <v>16</v>
      </c>
    </row>
    <row r="506" ht="18" spans="1:11">
      <c r="A506" s="10">
        <f t="shared" si="21"/>
        <v>505</v>
      </c>
      <c r="B506" s="11" t="s">
        <v>4451</v>
      </c>
      <c r="C506" s="125" t="str">
        <f>IFERROR(INDEX(面试清单!D:D,MATCH(505,面试清单!P:P,0)),"")</f>
        <v>0208</v>
      </c>
      <c r="D506" s="11" t="s">
        <v>42</v>
      </c>
      <c r="E506" s="11" t="s">
        <v>63</v>
      </c>
      <c r="F506" s="11" t="s">
        <v>179</v>
      </c>
      <c r="G506" s="15">
        <v>46086</v>
      </c>
      <c r="H506" s="10" t="str">
        <f>IFERROR(INDEX(面试清单!H:H,MATCH(505,面试清单!P:P,0)),"")</f>
        <v>线下</v>
      </c>
      <c r="I506" s="13" t="s">
        <v>29</v>
      </c>
      <c r="J506" s="10">
        <f ca="1" t="shared" si="22"/>
        <v>103</v>
      </c>
      <c r="K506" s="10">
        <f ca="1" t="shared" si="23"/>
        <v>16</v>
      </c>
    </row>
    <row r="507" ht="18" spans="1:11">
      <c r="A507" s="14">
        <f t="shared" si="21"/>
        <v>506</v>
      </c>
      <c r="B507" s="11" t="s">
        <v>4452</v>
      </c>
      <c r="C507" s="14" t="str">
        <f>IFERROR(INDEX(面试清单!D:D,MATCH(506,面试清单!P:P,0)),"")</f>
        <v/>
      </c>
      <c r="D507" s="11" t="s">
        <v>43</v>
      </c>
      <c r="E507" s="11" t="s">
        <v>62</v>
      </c>
      <c r="F507" s="11" t="s">
        <v>179</v>
      </c>
      <c r="G507" s="15">
        <v>46086</v>
      </c>
      <c r="H507" s="14" t="str">
        <f>IFERROR(INDEX(面试清单!H:H,MATCH(506,面试清单!P:P,0)),"")</f>
        <v/>
      </c>
      <c r="I507" s="13" t="s">
        <v>29</v>
      </c>
      <c r="J507" s="14">
        <f ca="1" t="shared" si="22"/>
        <v>103</v>
      </c>
      <c r="K507" s="14">
        <f ca="1" t="shared" si="23"/>
        <v>16</v>
      </c>
    </row>
    <row r="508" ht="18" spans="1:11">
      <c r="A508" s="10">
        <f t="shared" si="21"/>
        <v>507</v>
      </c>
      <c r="B508" s="11" t="s">
        <v>4453</v>
      </c>
      <c r="C508" s="125" t="str">
        <f>IFERROR(INDEX(面试清单!D:D,MATCH(507,面试清单!P:P,0)),"")</f>
        <v>0212</v>
      </c>
      <c r="D508" s="11" t="s">
        <v>42</v>
      </c>
      <c r="E508" s="11" t="s">
        <v>62</v>
      </c>
      <c r="F508" s="11" t="s">
        <v>176</v>
      </c>
      <c r="G508" s="15">
        <v>46087</v>
      </c>
      <c r="H508" s="10" t="str">
        <f>IFERROR(INDEX(面试清单!H:H,MATCH(507,面试清单!P:P,0)),"")</f>
        <v>线下</v>
      </c>
      <c r="I508" s="13" t="s">
        <v>29</v>
      </c>
      <c r="J508" s="10">
        <f ca="1" t="shared" si="22"/>
        <v>102</v>
      </c>
      <c r="K508" s="10">
        <f ca="1" t="shared" si="23"/>
        <v>16</v>
      </c>
    </row>
    <row r="509" ht="18" spans="1:11">
      <c r="A509" s="14">
        <f t="shared" si="21"/>
        <v>508</v>
      </c>
      <c r="B509" s="11" t="s">
        <v>4454</v>
      </c>
      <c r="C509" s="124" t="str">
        <f>IFERROR(INDEX(面试清单!D:D,MATCH(508,面试清单!P:P,0)),"")</f>
        <v>0214</v>
      </c>
      <c r="D509" s="11" t="s">
        <v>43</v>
      </c>
      <c r="E509" s="11" t="s">
        <v>63</v>
      </c>
      <c r="F509" s="11" t="s">
        <v>176</v>
      </c>
      <c r="G509" s="15">
        <v>46087</v>
      </c>
      <c r="H509" s="14" t="str">
        <f>IFERROR(INDEX(面试清单!H:H,MATCH(508,面试清单!P:P,0)),"")</f>
        <v>线下</v>
      </c>
      <c r="I509" s="13" t="s">
        <v>29</v>
      </c>
      <c r="J509" s="14">
        <f ca="1" t="shared" si="22"/>
        <v>102</v>
      </c>
      <c r="K509" s="14">
        <f ca="1" t="shared" si="23"/>
        <v>16</v>
      </c>
    </row>
    <row r="510" ht="18" spans="1:11">
      <c r="A510" s="10">
        <f t="shared" si="21"/>
        <v>509</v>
      </c>
      <c r="B510" s="11" t="s">
        <v>2438</v>
      </c>
      <c r="C510" s="125" t="str">
        <f>IFERROR(INDEX(面试清单!D:D,MATCH(509,面试清单!P:P,0)),"")</f>
        <v>0217</v>
      </c>
      <c r="D510" s="11" t="s">
        <v>42</v>
      </c>
      <c r="E510" s="11" t="s">
        <v>62</v>
      </c>
      <c r="F510" s="11" t="s">
        <v>129</v>
      </c>
      <c r="G510" s="15">
        <v>46087</v>
      </c>
      <c r="H510" s="10" t="str">
        <f>IFERROR(INDEX(面试清单!H:H,MATCH(509,面试清单!P:P,0)),"")</f>
        <v>线下</v>
      </c>
      <c r="I510" s="13" t="s">
        <v>29</v>
      </c>
      <c r="J510" s="10">
        <f ca="1" t="shared" si="22"/>
        <v>102</v>
      </c>
      <c r="K510" s="10">
        <f ca="1" t="shared" si="23"/>
        <v>16</v>
      </c>
    </row>
    <row r="511" ht="18" spans="1:11">
      <c r="A511" s="14">
        <f t="shared" si="21"/>
        <v>510</v>
      </c>
      <c r="B511" s="11" t="s">
        <v>4455</v>
      </c>
      <c r="C511" s="14" t="str">
        <f>IFERROR(INDEX(面试清单!D:D,MATCH(510,面试清单!P:P,0)),"")</f>
        <v/>
      </c>
      <c r="D511" s="11" t="s">
        <v>43</v>
      </c>
      <c r="E511" s="11" t="s">
        <v>62</v>
      </c>
      <c r="F511" s="11" t="s">
        <v>129</v>
      </c>
      <c r="G511" s="15">
        <v>46087</v>
      </c>
      <c r="H511" s="14" t="str">
        <f>IFERROR(INDEX(面试清单!H:H,MATCH(510,面试清单!P:P,0)),"")</f>
        <v/>
      </c>
      <c r="I511" s="13" t="s">
        <v>29</v>
      </c>
      <c r="J511" s="14">
        <f ca="1" t="shared" si="22"/>
        <v>102</v>
      </c>
      <c r="K511" s="14">
        <f ca="1" t="shared" si="23"/>
        <v>16</v>
      </c>
    </row>
    <row r="512" ht="18" spans="1:11">
      <c r="A512" s="10">
        <f t="shared" si="21"/>
        <v>511</v>
      </c>
      <c r="B512" s="11" t="s">
        <v>4456</v>
      </c>
      <c r="C512" s="10" t="str">
        <f>IFERROR(INDEX(面试清单!D:D,MATCH(511,面试清单!P:P,0)),"")</f>
        <v/>
      </c>
      <c r="D512" s="11" t="s">
        <v>43</v>
      </c>
      <c r="E512" s="11" t="s">
        <v>63</v>
      </c>
      <c r="F512" s="11" t="s">
        <v>129</v>
      </c>
      <c r="G512" s="15">
        <v>46087</v>
      </c>
      <c r="H512" s="10" t="str">
        <f>IFERROR(INDEX(面试清单!H:H,MATCH(511,面试清单!P:P,0)),"")</f>
        <v/>
      </c>
      <c r="I512" s="13" t="s">
        <v>29</v>
      </c>
      <c r="J512" s="10">
        <f ca="1" t="shared" si="22"/>
        <v>102</v>
      </c>
      <c r="K512" s="10">
        <f ca="1" t="shared" si="23"/>
        <v>16</v>
      </c>
    </row>
    <row r="513" ht="18" spans="1:11">
      <c r="A513" s="14">
        <f t="shared" si="21"/>
        <v>512</v>
      </c>
      <c r="B513" s="11" t="s">
        <v>4457</v>
      </c>
      <c r="C513" s="124" t="str">
        <f>IFERROR(INDEX(面试清单!D:D,MATCH(512,面试清单!P:P,0)),"")</f>
        <v>0221</v>
      </c>
      <c r="D513" s="11" t="s">
        <v>43</v>
      </c>
      <c r="E513" s="11" t="s">
        <v>62</v>
      </c>
      <c r="F513" s="11" t="s">
        <v>233</v>
      </c>
      <c r="G513" s="15">
        <v>46087</v>
      </c>
      <c r="H513" s="14" t="str">
        <f>IFERROR(INDEX(面试清单!H:H,MATCH(512,面试清单!P:P,0)),"")</f>
        <v>线下</v>
      </c>
      <c r="I513" s="13" t="s">
        <v>29</v>
      </c>
      <c r="J513" s="14">
        <f ca="1" t="shared" si="22"/>
        <v>102</v>
      </c>
      <c r="K513" s="14">
        <f ca="1" t="shared" si="23"/>
        <v>16</v>
      </c>
    </row>
    <row r="514" ht="18" spans="1:11">
      <c r="A514" s="10">
        <f t="shared" ref="A514:A577" si="24">IF(B514&lt;&gt;"",ROW()-1,"")</f>
        <v>513</v>
      </c>
      <c r="B514" s="11" t="s">
        <v>4458</v>
      </c>
      <c r="C514" s="125" t="str">
        <f>IFERROR(INDEX(面试清单!D:D,MATCH(513,面试清单!P:P,0)),"")</f>
        <v>0222</v>
      </c>
      <c r="D514" s="11" t="s">
        <v>42</v>
      </c>
      <c r="E514" s="11" t="s">
        <v>62</v>
      </c>
      <c r="F514" s="11" t="s">
        <v>124</v>
      </c>
      <c r="G514" s="15">
        <v>46087</v>
      </c>
      <c r="H514" s="10" t="str">
        <f>IFERROR(INDEX(面试清单!H:H,MATCH(513,面试清单!P:P,0)),"")</f>
        <v>线下</v>
      </c>
      <c r="I514" s="13" t="s">
        <v>29</v>
      </c>
      <c r="J514" s="10">
        <f ca="1" t="shared" ref="J514:J577" si="25">IF(G514&lt;&gt;"",TODAY()-G514,"")</f>
        <v>102</v>
      </c>
      <c r="K514" s="10">
        <f ca="1" t="shared" ref="K514:K577" si="26">IF(G514&lt;&gt;"",MAX(0,MIN(TODAY(),EOMONTH(TODAY(),0))-MAX(G514,EOMONTH(TODAY(),-1)+1)+1),"")</f>
        <v>16</v>
      </c>
    </row>
    <row r="515" ht="18" spans="1:11">
      <c r="A515" s="14">
        <f t="shared" si="24"/>
        <v>514</v>
      </c>
      <c r="B515" s="11" t="s">
        <v>4459</v>
      </c>
      <c r="C515" s="124" t="str">
        <f>IFERROR(INDEX(面试清单!D:D,MATCH(514,面试清单!P:P,0)),"")</f>
        <v>0208</v>
      </c>
      <c r="D515" s="11" t="s">
        <v>43</v>
      </c>
      <c r="E515" s="11" t="s">
        <v>62</v>
      </c>
      <c r="F515" s="11" t="s">
        <v>124</v>
      </c>
      <c r="G515" s="15">
        <v>46087</v>
      </c>
      <c r="H515" s="14" t="str">
        <f>IFERROR(INDEX(面试清单!H:H,MATCH(514,面试清单!P:P,0)),"")</f>
        <v>线下</v>
      </c>
      <c r="I515" s="13" t="s">
        <v>29</v>
      </c>
      <c r="J515" s="14">
        <f ca="1" t="shared" si="25"/>
        <v>102</v>
      </c>
      <c r="K515" s="14">
        <f ca="1" t="shared" si="26"/>
        <v>16</v>
      </c>
    </row>
    <row r="516" ht="18" spans="1:11">
      <c r="A516" s="10">
        <f t="shared" si="24"/>
        <v>515</v>
      </c>
      <c r="B516" s="11" t="s">
        <v>4460</v>
      </c>
      <c r="C516" s="125" t="str">
        <f>IFERROR(INDEX(面试清单!D:D,MATCH(515,面试清单!P:P,0)),"")</f>
        <v>0209</v>
      </c>
      <c r="D516" s="11" t="s">
        <v>42</v>
      </c>
      <c r="E516" s="11" t="s">
        <v>63</v>
      </c>
      <c r="F516" s="11" t="s">
        <v>124</v>
      </c>
      <c r="G516" s="15">
        <v>46087</v>
      </c>
      <c r="H516" s="10" t="str">
        <f>IFERROR(INDEX(面试清单!H:H,MATCH(515,面试清单!P:P,0)),"")</f>
        <v>线下</v>
      </c>
      <c r="I516" s="13" t="s">
        <v>29</v>
      </c>
      <c r="J516" s="10">
        <f ca="1" t="shared" si="25"/>
        <v>102</v>
      </c>
      <c r="K516" s="10">
        <f ca="1" t="shared" si="26"/>
        <v>16</v>
      </c>
    </row>
    <row r="517" ht="18" spans="1:11">
      <c r="A517" s="14">
        <f t="shared" si="24"/>
        <v>516</v>
      </c>
      <c r="B517" s="11" t="s">
        <v>4461</v>
      </c>
      <c r="C517" s="14" t="str">
        <f>IFERROR(INDEX(面试清单!D:D,MATCH(516,面试清单!P:P,0)),"")</f>
        <v/>
      </c>
      <c r="D517" s="11" t="s">
        <v>42</v>
      </c>
      <c r="E517" s="11" t="s">
        <v>62</v>
      </c>
      <c r="F517" s="11" t="s">
        <v>124</v>
      </c>
      <c r="G517" s="15">
        <v>46087</v>
      </c>
      <c r="H517" s="14" t="str">
        <f>IFERROR(INDEX(面试清单!H:H,MATCH(516,面试清单!P:P,0)),"")</f>
        <v/>
      </c>
      <c r="I517" s="13" t="s">
        <v>29</v>
      </c>
      <c r="J517" s="14">
        <f ca="1" t="shared" si="25"/>
        <v>102</v>
      </c>
      <c r="K517" s="14">
        <f ca="1" t="shared" si="26"/>
        <v>16</v>
      </c>
    </row>
    <row r="518" ht="18" spans="1:11">
      <c r="A518" s="10">
        <f t="shared" si="24"/>
        <v>517</v>
      </c>
      <c r="B518" s="11" t="s">
        <v>4462</v>
      </c>
      <c r="C518" s="10" t="str">
        <f>IFERROR(INDEX(面试清单!D:D,MATCH(517,面试清单!P:P,0)),"")</f>
        <v/>
      </c>
      <c r="D518" s="11" t="s">
        <v>42</v>
      </c>
      <c r="E518" s="11" t="s">
        <v>62</v>
      </c>
      <c r="F518" s="11" t="s">
        <v>124</v>
      </c>
      <c r="G518" s="15">
        <v>46087</v>
      </c>
      <c r="H518" s="10" t="str">
        <f>IFERROR(INDEX(面试清单!H:H,MATCH(517,面试清单!P:P,0)),"")</f>
        <v/>
      </c>
      <c r="I518" s="13" t="s">
        <v>29</v>
      </c>
      <c r="J518" s="10">
        <f ca="1" t="shared" si="25"/>
        <v>102</v>
      </c>
      <c r="K518" s="10">
        <f ca="1" t="shared" si="26"/>
        <v>16</v>
      </c>
    </row>
    <row r="519" ht="18" spans="1:11">
      <c r="A519" s="14">
        <f t="shared" si="24"/>
        <v>518</v>
      </c>
      <c r="B519" s="11" t="s">
        <v>4463</v>
      </c>
      <c r="C519" s="124" t="str">
        <f>IFERROR(INDEX(面试清单!D:D,MATCH(518,面试清单!P:P,0)),"")</f>
        <v>0217</v>
      </c>
      <c r="D519" s="11" t="s">
        <v>43</v>
      </c>
      <c r="E519" s="11" t="s">
        <v>63</v>
      </c>
      <c r="F519" s="11" t="s">
        <v>690</v>
      </c>
      <c r="G519" s="15">
        <v>46087</v>
      </c>
      <c r="H519" s="14" t="str">
        <f>IFERROR(INDEX(面试清单!H:H,MATCH(518,面试清单!P:P,0)),"")</f>
        <v>线下</v>
      </c>
      <c r="I519" s="13" t="s">
        <v>29</v>
      </c>
      <c r="J519" s="14">
        <f ca="1" t="shared" si="25"/>
        <v>102</v>
      </c>
      <c r="K519" s="14">
        <f ca="1" t="shared" si="26"/>
        <v>16</v>
      </c>
    </row>
    <row r="520" ht="18" spans="1:11">
      <c r="A520" s="10">
        <f t="shared" si="24"/>
        <v>519</v>
      </c>
      <c r="B520" s="11" t="s">
        <v>4464</v>
      </c>
      <c r="C520" s="10" t="str">
        <f>IFERROR(INDEX(面试清单!D:D,MATCH(519,面试清单!P:P,0)),"")</f>
        <v/>
      </c>
      <c r="D520" s="11" t="s">
        <v>43</v>
      </c>
      <c r="E520" s="11" t="s">
        <v>62</v>
      </c>
      <c r="F520" s="11" t="s">
        <v>690</v>
      </c>
      <c r="G520" s="15">
        <v>46087</v>
      </c>
      <c r="H520" s="10" t="str">
        <f>IFERROR(INDEX(面试清单!H:H,MATCH(519,面试清单!P:P,0)),"")</f>
        <v/>
      </c>
      <c r="I520" s="13" t="s">
        <v>29</v>
      </c>
      <c r="J520" s="10">
        <f ca="1" t="shared" si="25"/>
        <v>102</v>
      </c>
      <c r="K520" s="10">
        <f ca="1" t="shared" si="26"/>
        <v>16</v>
      </c>
    </row>
    <row r="521" ht="18" spans="1:11">
      <c r="A521" s="14">
        <f t="shared" si="24"/>
        <v>520</v>
      </c>
      <c r="B521" s="11" t="s">
        <v>4465</v>
      </c>
      <c r="C521" s="14" t="str">
        <f>IFERROR(INDEX(面试清单!D:D,MATCH(520,面试清单!P:P,0)),"")</f>
        <v/>
      </c>
      <c r="D521" s="11" t="s">
        <v>42</v>
      </c>
      <c r="E521" s="11" t="s">
        <v>62</v>
      </c>
      <c r="F521" s="11" t="s">
        <v>179</v>
      </c>
      <c r="G521" s="15">
        <v>46087</v>
      </c>
      <c r="H521" s="14" t="str">
        <f>IFERROR(INDEX(面试清单!H:H,MATCH(520,面试清单!P:P,0)),"")</f>
        <v/>
      </c>
      <c r="I521" s="13" t="s">
        <v>29</v>
      </c>
      <c r="J521" s="14">
        <f ca="1" t="shared" si="25"/>
        <v>102</v>
      </c>
      <c r="K521" s="14">
        <f ca="1" t="shared" si="26"/>
        <v>16</v>
      </c>
    </row>
    <row r="522" ht="18" spans="1:11">
      <c r="A522" s="10">
        <f t="shared" si="24"/>
        <v>521</v>
      </c>
      <c r="B522" s="11" t="s">
        <v>4466</v>
      </c>
      <c r="C522" s="10" t="str">
        <f>IFERROR(INDEX(面试清单!D:D,MATCH(521,面试清单!P:P,0)),"")</f>
        <v/>
      </c>
      <c r="D522" s="11" t="s">
        <v>43</v>
      </c>
      <c r="E522" s="11" t="s">
        <v>62</v>
      </c>
      <c r="F522" s="11" t="s">
        <v>179</v>
      </c>
      <c r="G522" s="15">
        <v>46087</v>
      </c>
      <c r="H522" s="10" t="str">
        <f>IFERROR(INDEX(面试清单!H:H,MATCH(521,面试清单!P:P,0)),"")</f>
        <v/>
      </c>
      <c r="I522" s="13" t="s">
        <v>29</v>
      </c>
      <c r="J522" s="10">
        <f ca="1" t="shared" si="25"/>
        <v>102</v>
      </c>
      <c r="K522" s="10">
        <f ca="1" t="shared" si="26"/>
        <v>16</v>
      </c>
    </row>
    <row r="523" ht="18" spans="1:11">
      <c r="A523" s="14">
        <f t="shared" si="24"/>
        <v>522</v>
      </c>
      <c r="B523" s="11" t="s">
        <v>4467</v>
      </c>
      <c r="C523" s="124" t="str">
        <f>IFERROR(INDEX(面试清单!D:D,MATCH(522,面试清单!P:P,0)),"")</f>
        <v>0222</v>
      </c>
      <c r="D523" s="11" t="s">
        <v>43</v>
      </c>
      <c r="E523" s="11" t="s">
        <v>62</v>
      </c>
      <c r="F523" s="11" t="s">
        <v>179</v>
      </c>
      <c r="G523" s="15">
        <v>46087</v>
      </c>
      <c r="H523" s="14" t="str">
        <f>IFERROR(INDEX(面试清单!H:H,MATCH(522,面试清单!P:P,0)),"")</f>
        <v>线下</v>
      </c>
      <c r="I523" s="13" t="s">
        <v>29</v>
      </c>
      <c r="J523" s="14">
        <f ca="1" t="shared" si="25"/>
        <v>102</v>
      </c>
      <c r="K523" s="14">
        <f ca="1" t="shared" si="26"/>
        <v>16</v>
      </c>
    </row>
    <row r="524" ht="18" spans="1:11">
      <c r="A524" s="10">
        <f t="shared" si="24"/>
        <v>523</v>
      </c>
      <c r="B524" s="11" t="s">
        <v>4468</v>
      </c>
      <c r="C524" s="10" t="str">
        <f>IFERROR(INDEX(面试清单!D:D,MATCH(523,面试清单!P:P,0)),"")</f>
        <v/>
      </c>
      <c r="D524" s="11" t="s">
        <v>43</v>
      </c>
      <c r="E524" s="11" t="s">
        <v>62</v>
      </c>
      <c r="F524" s="11" t="s">
        <v>103</v>
      </c>
      <c r="G524" s="15">
        <v>46087</v>
      </c>
      <c r="H524" s="10" t="str">
        <f>IFERROR(INDEX(面试清单!H:H,MATCH(523,面试清单!P:P,0)),"")</f>
        <v/>
      </c>
      <c r="I524" s="13" t="s">
        <v>29</v>
      </c>
      <c r="J524" s="10">
        <f ca="1" t="shared" si="25"/>
        <v>102</v>
      </c>
      <c r="K524" s="10">
        <f ca="1" t="shared" si="26"/>
        <v>16</v>
      </c>
    </row>
    <row r="525" ht="18" spans="1:11">
      <c r="A525" s="14">
        <f t="shared" si="24"/>
        <v>524</v>
      </c>
      <c r="B525" s="11" t="s">
        <v>4469</v>
      </c>
      <c r="C525" s="124" t="str">
        <f>IFERROR(INDEX(面试清单!D:D,MATCH(524,面试清单!P:P,0)),"")</f>
        <v>0209</v>
      </c>
      <c r="D525" s="11" t="s">
        <v>43</v>
      </c>
      <c r="E525" s="11" t="s">
        <v>62</v>
      </c>
      <c r="F525" s="11" t="s">
        <v>103</v>
      </c>
      <c r="G525" s="15">
        <v>46087</v>
      </c>
      <c r="H525" s="14" t="str">
        <f>IFERROR(INDEX(面试清单!H:H,MATCH(524,面试清单!P:P,0)),"")</f>
        <v>线下</v>
      </c>
      <c r="I525" s="13" t="s">
        <v>29</v>
      </c>
      <c r="J525" s="14">
        <f ca="1" t="shared" si="25"/>
        <v>102</v>
      </c>
      <c r="K525" s="14">
        <f ca="1" t="shared" si="26"/>
        <v>16</v>
      </c>
    </row>
    <row r="526" ht="18" spans="1:11">
      <c r="A526" s="10">
        <f t="shared" si="24"/>
        <v>525</v>
      </c>
      <c r="B526" s="11" t="s">
        <v>4470</v>
      </c>
      <c r="C526" s="10" t="str">
        <f>IFERROR(INDEX(面试清单!D:D,MATCH(525,面试清单!P:P,0)),"")</f>
        <v/>
      </c>
      <c r="D526" s="11" t="s">
        <v>42</v>
      </c>
      <c r="E526" s="11" t="s">
        <v>62</v>
      </c>
      <c r="F526" s="11" t="s">
        <v>103</v>
      </c>
      <c r="G526" s="15">
        <v>46087</v>
      </c>
      <c r="H526" s="10" t="str">
        <f>IFERROR(INDEX(面试清单!H:H,MATCH(525,面试清单!P:P,0)),"")</f>
        <v/>
      </c>
      <c r="I526" s="13" t="s">
        <v>29</v>
      </c>
      <c r="J526" s="10">
        <f ca="1" t="shared" si="25"/>
        <v>102</v>
      </c>
      <c r="K526" s="10">
        <f ca="1" t="shared" si="26"/>
        <v>16</v>
      </c>
    </row>
    <row r="527" ht="18" spans="1:11">
      <c r="A527" s="14">
        <f t="shared" si="24"/>
        <v>526</v>
      </c>
      <c r="B527" s="11" t="s">
        <v>4471</v>
      </c>
      <c r="C527" s="14" t="str">
        <f>IFERROR(INDEX(面试清单!D:D,MATCH(526,面试清单!P:P,0)),"")</f>
        <v/>
      </c>
      <c r="D527" s="11" t="s">
        <v>42</v>
      </c>
      <c r="E527" s="11" t="s">
        <v>62</v>
      </c>
      <c r="F527" s="11" t="s">
        <v>103</v>
      </c>
      <c r="G527" s="15">
        <v>46087</v>
      </c>
      <c r="H527" s="14" t="str">
        <f>IFERROR(INDEX(面试清单!H:H,MATCH(526,面试清单!P:P,0)),"")</f>
        <v/>
      </c>
      <c r="I527" s="13" t="s">
        <v>29</v>
      </c>
      <c r="J527" s="14">
        <f ca="1" t="shared" si="25"/>
        <v>102</v>
      </c>
      <c r="K527" s="14">
        <f ca="1" t="shared" si="26"/>
        <v>16</v>
      </c>
    </row>
    <row r="528" ht="18" spans="1:11">
      <c r="A528" s="10">
        <f t="shared" si="24"/>
        <v>527</v>
      </c>
      <c r="B528" s="11" t="s">
        <v>4472</v>
      </c>
      <c r="C528" s="125" t="str">
        <f>IFERROR(INDEX(面试清单!D:D,MATCH(527,面试清单!P:P,0)),"")</f>
        <v>0217</v>
      </c>
      <c r="D528" s="11" t="s">
        <v>42</v>
      </c>
      <c r="E528" s="11" t="s">
        <v>62</v>
      </c>
      <c r="F528" s="11" t="s">
        <v>103</v>
      </c>
      <c r="G528" s="15">
        <v>46087</v>
      </c>
      <c r="H528" s="10" t="str">
        <f>IFERROR(INDEX(面试清单!H:H,MATCH(527,面试清单!P:P,0)),"")</f>
        <v>线下</v>
      </c>
      <c r="I528" s="13" t="s">
        <v>29</v>
      </c>
      <c r="J528" s="10">
        <f ca="1" t="shared" si="25"/>
        <v>102</v>
      </c>
      <c r="K528" s="10">
        <f ca="1" t="shared" si="26"/>
        <v>16</v>
      </c>
    </row>
    <row r="529" ht="18" spans="1:11">
      <c r="A529" s="14">
        <f t="shared" si="24"/>
        <v>528</v>
      </c>
      <c r="B529" s="11" t="s">
        <v>4473</v>
      </c>
      <c r="C529" s="14" t="str">
        <f>IFERROR(INDEX(面试清单!D:D,MATCH(528,面试清单!P:P,0)),"")</f>
        <v/>
      </c>
      <c r="D529" s="11" t="s">
        <v>42</v>
      </c>
      <c r="E529" s="11" t="s">
        <v>63</v>
      </c>
      <c r="F529" s="11" t="s">
        <v>103</v>
      </c>
      <c r="G529" s="15">
        <v>46087</v>
      </c>
      <c r="H529" s="14" t="str">
        <f>IFERROR(INDEX(面试清单!H:H,MATCH(528,面试清单!P:P,0)),"")</f>
        <v/>
      </c>
      <c r="I529" s="13" t="s">
        <v>29</v>
      </c>
      <c r="J529" s="14">
        <f ca="1" t="shared" si="25"/>
        <v>102</v>
      </c>
      <c r="K529" s="14">
        <f ca="1" t="shared" si="26"/>
        <v>16</v>
      </c>
    </row>
    <row r="530" ht="18" spans="1:11">
      <c r="A530" s="10">
        <f t="shared" si="24"/>
        <v>529</v>
      </c>
      <c r="B530" s="11" t="s">
        <v>4474</v>
      </c>
      <c r="C530" s="10" t="str">
        <f>IFERROR(INDEX(面试清单!D:D,MATCH(529,面试清单!P:P,0)),"")</f>
        <v/>
      </c>
      <c r="D530" s="11" t="s">
        <v>42</v>
      </c>
      <c r="E530" s="11" t="s">
        <v>63</v>
      </c>
      <c r="F530" s="11" t="s">
        <v>103</v>
      </c>
      <c r="G530" s="15">
        <v>46087</v>
      </c>
      <c r="H530" s="10" t="str">
        <f>IFERROR(INDEX(面试清单!H:H,MATCH(529,面试清单!P:P,0)),"")</f>
        <v/>
      </c>
      <c r="I530" s="13" t="s">
        <v>29</v>
      </c>
      <c r="J530" s="10">
        <f ca="1" t="shared" si="25"/>
        <v>102</v>
      </c>
      <c r="K530" s="10">
        <f ca="1" t="shared" si="26"/>
        <v>16</v>
      </c>
    </row>
    <row r="531" ht="18" spans="1:11">
      <c r="A531" s="14">
        <f t="shared" si="24"/>
        <v>530</v>
      </c>
      <c r="B531" s="11" t="s">
        <v>4475</v>
      </c>
      <c r="C531" s="124" t="str">
        <f>IFERROR(INDEX(面试清单!D:D,MATCH(530,面试清单!P:P,0)),"")</f>
        <v>0221</v>
      </c>
      <c r="D531" s="11" t="s">
        <v>42</v>
      </c>
      <c r="E531" s="11" t="s">
        <v>63</v>
      </c>
      <c r="F531" s="11" t="s">
        <v>103</v>
      </c>
      <c r="G531" s="15">
        <v>46087</v>
      </c>
      <c r="H531" s="14" t="str">
        <f>IFERROR(INDEX(面试清单!H:H,MATCH(530,面试清单!P:P,0)),"")</f>
        <v>线下</v>
      </c>
      <c r="I531" s="13" t="s">
        <v>29</v>
      </c>
      <c r="J531" s="14">
        <f ca="1" t="shared" si="25"/>
        <v>102</v>
      </c>
      <c r="K531" s="14">
        <f ca="1" t="shared" si="26"/>
        <v>16</v>
      </c>
    </row>
    <row r="532" ht="18" spans="1:11">
      <c r="A532" s="10">
        <f t="shared" si="24"/>
        <v>531</v>
      </c>
      <c r="B532" s="11" t="s">
        <v>4476</v>
      </c>
      <c r="C532" s="10" t="str">
        <f>IFERROR(INDEX(面试清单!D:D,MATCH(531,面试清单!P:P,0)),"")</f>
        <v/>
      </c>
      <c r="D532" s="11" t="s">
        <v>42</v>
      </c>
      <c r="E532" s="11" t="s">
        <v>63</v>
      </c>
      <c r="F532" s="11" t="s">
        <v>103</v>
      </c>
      <c r="G532" s="15">
        <v>46087</v>
      </c>
      <c r="H532" s="10" t="str">
        <f>IFERROR(INDEX(面试清单!H:H,MATCH(531,面试清单!P:P,0)),"")</f>
        <v/>
      </c>
      <c r="I532" s="13" t="s">
        <v>29</v>
      </c>
      <c r="J532" s="10">
        <f ca="1" t="shared" si="25"/>
        <v>102</v>
      </c>
      <c r="K532" s="10">
        <f ca="1" t="shared" si="26"/>
        <v>16</v>
      </c>
    </row>
    <row r="533" ht="18" spans="1:11">
      <c r="A533" s="14">
        <f t="shared" si="24"/>
        <v>532</v>
      </c>
      <c r="B533" s="11" t="s">
        <v>4477</v>
      </c>
      <c r="C533" s="14" t="str">
        <f>IFERROR(INDEX(面试清单!D:D,MATCH(532,面试清单!P:P,0)),"")</f>
        <v/>
      </c>
      <c r="D533" s="11" t="s">
        <v>42</v>
      </c>
      <c r="E533" s="11" t="s">
        <v>62</v>
      </c>
      <c r="F533" s="11" t="s">
        <v>103</v>
      </c>
      <c r="G533" s="15">
        <v>46087</v>
      </c>
      <c r="H533" s="14" t="str">
        <f>IFERROR(INDEX(面试清单!H:H,MATCH(532,面试清单!P:P,0)),"")</f>
        <v/>
      </c>
      <c r="I533" s="13" t="s">
        <v>29</v>
      </c>
      <c r="J533" s="14">
        <f ca="1" t="shared" si="25"/>
        <v>102</v>
      </c>
      <c r="K533" s="14">
        <f ca="1" t="shared" si="26"/>
        <v>16</v>
      </c>
    </row>
    <row r="534" ht="18" spans="1:11">
      <c r="A534" s="10">
        <f t="shared" si="24"/>
        <v>533</v>
      </c>
      <c r="B534" s="11" t="s">
        <v>4478</v>
      </c>
      <c r="C534" s="125" t="str">
        <f>IFERROR(INDEX(面试清单!D:D,MATCH(533,面试清单!P:P,0)),"")</f>
        <v>0209</v>
      </c>
      <c r="D534" s="11" t="s">
        <v>43</v>
      </c>
      <c r="E534" s="11" t="s">
        <v>62</v>
      </c>
      <c r="F534" s="11" t="s">
        <v>307</v>
      </c>
      <c r="G534" s="15">
        <v>46087</v>
      </c>
      <c r="H534" s="10" t="str">
        <f>IFERROR(INDEX(面试清单!H:H,MATCH(533,面试清单!P:P,0)),"")</f>
        <v>线下</v>
      </c>
      <c r="I534" s="13" t="s">
        <v>29</v>
      </c>
      <c r="J534" s="10">
        <f ca="1" t="shared" si="25"/>
        <v>102</v>
      </c>
      <c r="K534" s="10">
        <f ca="1" t="shared" si="26"/>
        <v>16</v>
      </c>
    </row>
    <row r="535" ht="18" spans="1:11">
      <c r="A535" s="14">
        <f t="shared" si="24"/>
        <v>534</v>
      </c>
      <c r="B535" s="11" t="s">
        <v>4479</v>
      </c>
      <c r="C535" s="124" t="str">
        <f>IFERROR(INDEX(面试清单!D:D,MATCH(534,面试清单!P:P,0)),"")</f>
        <v>0212</v>
      </c>
      <c r="D535" s="11" t="s">
        <v>42</v>
      </c>
      <c r="E535" s="11" t="s">
        <v>63</v>
      </c>
      <c r="F535" s="11" t="s">
        <v>307</v>
      </c>
      <c r="G535" s="15">
        <v>46087</v>
      </c>
      <c r="H535" s="14" t="str">
        <f>IFERROR(INDEX(面试清单!H:H,MATCH(534,面试清单!P:P,0)),"")</f>
        <v>线下</v>
      </c>
      <c r="I535" s="13" t="s">
        <v>29</v>
      </c>
      <c r="J535" s="14">
        <f ca="1" t="shared" si="25"/>
        <v>102</v>
      </c>
      <c r="K535" s="14">
        <f ca="1" t="shared" si="26"/>
        <v>16</v>
      </c>
    </row>
    <row r="536" ht="18" spans="1:11">
      <c r="A536" s="10">
        <f t="shared" si="24"/>
        <v>535</v>
      </c>
      <c r="B536" s="11" t="s">
        <v>4480</v>
      </c>
      <c r="C536" s="125" t="str">
        <f>IFERROR(INDEX(面试清单!D:D,MATCH(535,面试清单!P:P,0)),"")</f>
        <v>0214</v>
      </c>
      <c r="D536" s="11" t="s">
        <v>43</v>
      </c>
      <c r="E536" s="11" t="s">
        <v>62</v>
      </c>
      <c r="F536" s="11" t="s">
        <v>132</v>
      </c>
      <c r="G536" s="15">
        <v>46087</v>
      </c>
      <c r="H536" s="10" t="str">
        <f>IFERROR(INDEX(面试清单!H:H,MATCH(535,面试清单!P:P,0)),"")</f>
        <v>线下</v>
      </c>
      <c r="I536" s="13" t="s">
        <v>29</v>
      </c>
      <c r="J536" s="10">
        <f ca="1" t="shared" si="25"/>
        <v>102</v>
      </c>
      <c r="K536" s="10">
        <f ca="1" t="shared" si="26"/>
        <v>16</v>
      </c>
    </row>
    <row r="537" ht="18" spans="1:11">
      <c r="A537" s="14">
        <f t="shared" si="24"/>
        <v>536</v>
      </c>
      <c r="B537" s="11" t="s">
        <v>4481</v>
      </c>
      <c r="C537" s="124" t="str">
        <f>IFERROR(INDEX(面试清单!D:D,MATCH(536,面试清单!P:P,0)),"")</f>
        <v>0217</v>
      </c>
      <c r="D537" s="11" t="s">
        <v>43</v>
      </c>
      <c r="E537" s="11" t="s">
        <v>62</v>
      </c>
      <c r="F537" s="11" t="s">
        <v>132</v>
      </c>
      <c r="G537" s="15">
        <v>46087</v>
      </c>
      <c r="H537" s="14" t="str">
        <f>IFERROR(INDEX(面试清单!H:H,MATCH(536,面试清单!P:P,0)),"")</f>
        <v>线下</v>
      </c>
      <c r="I537" s="13" t="s">
        <v>29</v>
      </c>
      <c r="J537" s="14">
        <f ca="1" t="shared" si="25"/>
        <v>102</v>
      </c>
      <c r="K537" s="14">
        <f ca="1" t="shared" si="26"/>
        <v>16</v>
      </c>
    </row>
    <row r="538" ht="18" spans="1:11">
      <c r="A538" s="10">
        <f t="shared" si="24"/>
        <v>537</v>
      </c>
      <c r="B538" s="11" t="s">
        <v>4482</v>
      </c>
      <c r="C538" s="125" t="str">
        <f>IFERROR(INDEX(面试清单!D:D,MATCH(537,面试清单!P:P,0)),"")</f>
        <v>0218</v>
      </c>
      <c r="D538" s="11" t="s">
        <v>42</v>
      </c>
      <c r="E538" s="11" t="s">
        <v>62</v>
      </c>
      <c r="F538" s="11" t="s">
        <v>132</v>
      </c>
      <c r="G538" s="15">
        <v>46087</v>
      </c>
      <c r="H538" s="10" t="str">
        <f>IFERROR(INDEX(面试清单!H:H,MATCH(537,面试清单!P:P,0)),"")</f>
        <v>线下</v>
      </c>
      <c r="I538" s="13" t="s">
        <v>29</v>
      </c>
      <c r="J538" s="10">
        <f ca="1" t="shared" si="25"/>
        <v>102</v>
      </c>
      <c r="K538" s="10">
        <f ca="1" t="shared" si="26"/>
        <v>16</v>
      </c>
    </row>
    <row r="539" ht="18" spans="1:11">
      <c r="A539" s="14">
        <f t="shared" si="24"/>
        <v>538</v>
      </c>
      <c r="B539" s="11" t="s">
        <v>4483</v>
      </c>
      <c r="C539" s="124" t="str">
        <f>IFERROR(INDEX(面试清单!D:D,MATCH(538,面试清单!P:P,0)),"")</f>
        <v>0220</v>
      </c>
      <c r="D539" s="11" t="s">
        <v>42</v>
      </c>
      <c r="E539" s="11" t="s">
        <v>63</v>
      </c>
      <c r="F539" s="11" t="s">
        <v>103</v>
      </c>
      <c r="G539" s="15">
        <v>46087</v>
      </c>
      <c r="H539" s="14" t="str">
        <f>IFERROR(INDEX(面试清单!H:H,MATCH(538,面试清单!P:P,0)),"")</f>
        <v>线下</v>
      </c>
      <c r="I539" s="13" t="s">
        <v>29</v>
      </c>
      <c r="J539" s="14">
        <f ca="1" t="shared" si="25"/>
        <v>102</v>
      </c>
      <c r="K539" s="14">
        <f ca="1" t="shared" si="26"/>
        <v>16</v>
      </c>
    </row>
    <row r="540" ht="18" spans="1:11">
      <c r="A540" s="10">
        <f t="shared" si="24"/>
        <v>539</v>
      </c>
      <c r="B540" s="11" t="s">
        <v>4484</v>
      </c>
      <c r="C540" s="125" t="str">
        <f>IFERROR(INDEX(面试清单!D:D,MATCH(539,面试清单!P:P,0)),"")</f>
        <v>0221</v>
      </c>
      <c r="D540" s="11" t="s">
        <v>42</v>
      </c>
      <c r="E540" s="11" t="s">
        <v>62</v>
      </c>
      <c r="F540" s="11" t="s">
        <v>103</v>
      </c>
      <c r="G540" s="15">
        <v>46087</v>
      </c>
      <c r="H540" s="10" t="str">
        <f>IFERROR(INDEX(面试清单!H:H,MATCH(539,面试清单!P:P,0)),"")</f>
        <v>线下</v>
      </c>
      <c r="I540" s="13" t="s">
        <v>29</v>
      </c>
      <c r="J540" s="10">
        <f ca="1" t="shared" si="25"/>
        <v>102</v>
      </c>
      <c r="K540" s="10">
        <f ca="1" t="shared" si="26"/>
        <v>16</v>
      </c>
    </row>
    <row r="541" ht="18" spans="1:11">
      <c r="A541" s="14">
        <f t="shared" si="24"/>
        <v>540</v>
      </c>
      <c r="B541" s="11" t="s">
        <v>4485</v>
      </c>
      <c r="C541" s="14" t="str">
        <f>IFERROR(INDEX(面试清单!D:D,MATCH(540,面试清单!P:P,0)),"")</f>
        <v/>
      </c>
      <c r="D541" s="11" t="s">
        <v>42</v>
      </c>
      <c r="E541" s="11" t="s">
        <v>62</v>
      </c>
      <c r="F541" s="11" t="s">
        <v>129</v>
      </c>
      <c r="G541" s="15">
        <v>46087</v>
      </c>
      <c r="H541" s="14" t="str">
        <f>IFERROR(INDEX(面试清单!H:H,MATCH(540,面试清单!P:P,0)),"")</f>
        <v/>
      </c>
      <c r="I541" s="13" t="s">
        <v>29</v>
      </c>
      <c r="J541" s="14">
        <f ca="1" t="shared" si="25"/>
        <v>102</v>
      </c>
      <c r="K541" s="14">
        <f ca="1" t="shared" si="26"/>
        <v>16</v>
      </c>
    </row>
    <row r="542" ht="18" spans="1:11">
      <c r="A542" s="10">
        <f t="shared" si="24"/>
        <v>541</v>
      </c>
      <c r="B542" s="11" t="s">
        <v>4486</v>
      </c>
      <c r="C542" s="10" t="str">
        <f>IFERROR(INDEX(面试清单!D:D,MATCH(541,面试清单!P:P,0)),"")</f>
        <v/>
      </c>
      <c r="D542" s="11" t="s">
        <v>42</v>
      </c>
      <c r="E542" s="11" t="s">
        <v>62</v>
      </c>
      <c r="F542" s="11" t="s">
        <v>103</v>
      </c>
      <c r="G542" s="15">
        <v>46087</v>
      </c>
      <c r="H542" s="10" t="str">
        <f>IFERROR(INDEX(面试清单!H:H,MATCH(541,面试清单!P:P,0)),"")</f>
        <v/>
      </c>
      <c r="I542" s="13" t="s">
        <v>29</v>
      </c>
      <c r="J542" s="10">
        <f ca="1" t="shared" si="25"/>
        <v>102</v>
      </c>
      <c r="K542" s="10">
        <f ca="1" t="shared" si="26"/>
        <v>16</v>
      </c>
    </row>
    <row r="543" ht="18" spans="1:11">
      <c r="A543" s="14">
        <f t="shared" si="24"/>
        <v>542</v>
      </c>
      <c r="B543" s="11" t="s">
        <v>4487</v>
      </c>
      <c r="C543" s="14" t="str">
        <f>IFERROR(INDEX(面试清单!D:D,MATCH(542,面试清单!P:P,0)),"")</f>
        <v/>
      </c>
      <c r="D543" s="11" t="s">
        <v>43</v>
      </c>
      <c r="E543" s="11" t="s">
        <v>63</v>
      </c>
      <c r="F543" s="11" t="s">
        <v>179</v>
      </c>
      <c r="G543" s="15">
        <v>46087</v>
      </c>
      <c r="H543" s="14" t="str">
        <f>IFERROR(INDEX(面试清单!H:H,MATCH(542,面试清单!P:P,0)),"")</f>
        <v/>
      </c>
      <c r="I543" s="13" t="s">
        <v>29</v>
      </c>
      <c r="J543" s="14">
        <f ca="1" t="shared" si="25"/>
        <v>102</v>
      </c>
      <c r="K543" s="14">
        <f ca="1" t="shared" si="26"/>
        <v>16</v>
      </c>
    </row>
    <row r="544" ht="18" spans="1:11">
      <c r="A544" s="10">
        <f t="shared" si="24"/>
        <v>543</v>
      </c>
      <c r="B544" s="11" t="s">
        <v>4488</v>
      </c>
      <c r="C544" s="125" t="str">
        <f>IFERROR(INDEX(面试清单!D:D,MATCH(543,面试清单!P:P,0)),"")</f>
        <v>0212</v>
      </c>
      <c r="D544" s="11" t="s">
        <v>43</v>
      </c>
      <c r="E544" s="11" t="s">
        <v>62</v>
      </c>
      <c r="F544" s="11" t="s">
        <v>129</v>
      </c>
      <c r="G544" s="15">
        <v>46087</v>
      </c>
      <c r="H544" s="10" t="str">
        <f>IFERROR(INDEX(面试清单!H:H,MATCH(543,面试清单!P:P,0)),"")</f>
        <v>线下</v>
      </c>
      <c r="I544" s="13" t="s">
        <v>29</v>
      </c>
      <c r="J544" s="10">
        <f ca="1" t="shared" si="25"/>
        <v>102</v>
      </c>
      <c r="K544" s="10">
        <f ca="1" t="shared" si="26"/>
        <v>16</v>
      </c>
    </row>
    <row r="545" ht="18" spans="1:11">
      <c r="A545" s="14">
        <f t="shared" si="24"/>
        <v>544</v>
      </c>
      <c r="B545" s="11" t="s">
        <v>4489</v>
      </c>
      <c r="C545" s="14" t="str">
        <f>IFERROR(INDEX(面试清单!D:D,MATCH(544,面试清单!P:P,0)),"")</f>
        <v/>
      </c>
      <c r="D545" s="11" t="s">
        <v>43</v>
      </c>
      <c r="E545" s="11" t="s">
        <v>63</v>
      </c>
      <c r="F545" s="11" t="s">
        <v>117</v>
      </c>
      <c r="G545" s="15">
        <v>46087</v>
      </c>
      <c r="H545" s="14" t="str">
        <f>IFERROR(INDEX(面试清单!H:H,MATCH(544,面试清单!P:P,0)),"")</f>
        <v/>
      </c>
      <c r="I545" s="13" t="s">
        <v>29</v>
      </c>
      <c r="J545" s="14">
        <f ca="1" t="shared" si="25"/>
        <v>102</v>
      </c>
      <c r="K545" s="14">
        <f ca="1" t="shared" si="26"/>
        <v>16</v>
      </c>
    </row>
    <row r="546" ht="18" spans="1:11">
      <c r="A546" s="10">
        <f t="shared" si="24"/>
        <v>545</v>
      </c>
      <c r="B546" s="11" t="s">
        <v>4490</v>
      </c>
      <c r="C546" s="10" t="str">
        <f>IFERROR(INDEX(面试清单!D:D,MATCH(545,面试清单!P:P,0)),"")</f>
        <v/>
      </c>
      <c r="D546" s="11" t="s">
        <v>42</v>
      </c>
      <c r="E546" s="11" t="s">
        <v>62</v>
      </c>
      <c r="F546" s="11" t="s">
        <v>110</v>
      </c>
      <c r="G546" s="15">
        <v>46087</v>
      </c>
      <c r="H546" s="10" t="str">
        <f>IFERROR(INDEX(面试清单!H:H,MATCH(545,面试清单!P:P,0)),"")</f>
        <v/>
      </c>
      <c r="I546" s="13" t="s">
        <v>29</v>
      </c>
      <c r="J546" s="10">
        <f ca="1" t="shared" si="25"/>
        <v>102</v>
      </c>
      <c r="K546" s="10">
        <f ca="1" t="shared" si="26"/>
        <v>16</v>
      </c>
    </row>
    <row r="547" ht="18" spans="1:11">
      <c r="A547" s="14">
        <f t="shared" si="24"/>
        <v>546</v>
      </c>
      <c r="B547" s="11" t="s">
        <v>4491</v>
      </c>
      <c r="C547" s="124" t="str">
        <f>IFERROR(INDEX(面试清单!D:D,MATCH(546,面试清单!P:P,0)),"")</f>
        <v>0218</v>
      </c>
      <c r="D547" s="11" t="s">
        <v>43</v>
      </c>
      <c r="E547" s="11" t="s">
        <v>62</v>
      </c>
      <c r="F547" s="11" t="s">
        <v>103</v>
      </c>
      <c r="G547" s="15">
        <v>46087</v>
      </c>
      <c r="H547" s="14" t="str">
        <f>IFERROR(INDEX(面试清单!H:H,MATCH(546,面试清单!P:P,0)),"")</f>
        <v>线下</v>
      </c>
      <c r="I547" s="13" t="s">
        <v>29</v>
      </c>
      <c r="J547" s="14">
        <f ca="1" t="shared" si="25"/>
        <v>102</v>
      </c>
      <c r="K547" s="14">
        <f ca="1" t="shared" si="26"/>
        <v>16</v>
      </c>
    </row>
    <row r="548" ht="18" spans="1:11">
      <c r="A548" s="10">
        <f t="shared" si="24"/>
        <v>547</v>
      </c>
      <c r="B548" s="11" t="s">
        <v>4492</v>
      </c>
      <c r="C548" s="10" t="str">
        <f>IFERROR(INDEX(面试清单!D:D,MATCH(547,面试清单!P:P,0)),"")</f>
        <v/>
      </c>
      <c r="D548" s="11" t="s">
        <v>43</v>
      </c>
      <c r="E548" s="11" t="s">
        <v>62</v>
      </c>
      <c r="F548" s="11" t="s">
        <v>103</v>
      </c>
      <c r="G548" s="15">
        <v>46087</v>
      </c>
      <c r="H548" s="10" t="str">
        <f>IFERROR(INDEX(面试清单!H:H,MATCH(547,面试清单!P:P,0)),"")</f>
        <v/>
      </c>
      <c r="I548" s="13" t="s">
        <v>29</v>
      </c>
      <c r="J548" s="10">
        <f ca="1" t="shared" si="25"/>
        <v>102</v>
      </c>
      <c r="K548" s="10">
        <f ca="1" t="shared" si="26"/>
        <v>16</v>
      </c>
    </row>
    <row r="549" ht="18" spans="1:11">
      <c r="A549" s="14">
        <f t="shared" si="24"/>
        <v>548</v>
      </c>
      <c r="B549" s="11" t="s">
        <v>4493</v>
      </c>
      <c r="C549" s="14" t="str">
        <f>IFERROR(INDEX(面试清单!D:D,MATCH(548,面试清单!P:P,0)),"")</f>
        <v/>
      </c>
      <c r="D549" s="11" t="s">
        <v>42</v>
      </c>
      <c r="E549" s="11" t="s">
        <v>63</v>
      </c>
      <c r="F549" s="11" t="s">
        <v>103</v>
      </c>
      <c r="G549" s="15">
        <v>46087</v>
      </c>
      <c r="H549" s="14" t="str">
        <f>IFERROR(INDEX(面试清单!H:H,MATCH(548,面试清单!P:P,0)),"")</f>
        <v/>
      </c>
      <c r="I549" s="13" t="s">
        <v>29</v>
      </c>
      <c r="J549" s="14">
        <f ca="1" t="shared" si="25"/>
        <v>102</v>
      </c>
      <c r="K549" s="14">
        <f ca="1" t="shared" si="26"/>
        <v>16</v>
      </c>
    </row>
    <row r="550" ht="18" spans="1:11">
      <c r="A550" s="10">
        <f t="shared" si="24"/>
        <v>549</v>
      </c>
      <c r="B550" s="11" t="s">
        <v>4494</v>
      </c>
      <c r="C550" s="10" t="str">
        <f>IFERROR(INDEX(面试清单!D:D,MATCH(549,面试清单!P:P,0)),"")</f>
        <v/>
      </c>
      <c r="D550" s="11" t="s">
        <v>42</v>
      </c>
      <c r="E550" s="11" t="s">
        <v>62</v>
      </c>
      <c r="F550" s="11" t="s">
        <v>103</v>
      </c>
      <c r="G550" s="15">
        <v>46087</v>
      </c>
      <c r="H550" s="10" t="str">
        <f>IFERROR(INDEX(面试清单!H:H,MATCH(549,面试清单!P:P,0)),"")</f>
        <v/>
      </c>
      <c r="I550" s="13" t="s">
        <v>29</v>
      </c>
      <c r="J550" s="10">
        <f ca="1" t="shared" si="25"/>
        <v>102</v>
      </c>
      <c r="K550" s="10">
        <f ca="1" t="shared" si="26"/>
        <v>16</v>
      </c>
    </row>
    <row r="551" ht="18" spans="1:11">
      <c r="A551" s="14">
        <f t="shared" si="24"/>
        <v>550</v>
      </c>
      <c r="B551" s="11" t="s">
        <v>4495</v>
      </c>
      <c r="C551" s="124" t="str">
        <f>IFERROR(INDEX(面试清单!D:D,MATCH(550,面试清单!P:P,0)),"")</f>
        <v>0208</v>
      </c>
      <c r="D551" s="11" t="s">
        <v>42</v>
      </c>
      <c r="E551" s="11" t="s">
        <v>62</v>
      </c>
      <c r="F551" s="11" t="s">
        <v>129</v>
      </c>
      <c r="G551" s="15">
        <v>46087</v>
      </c>
      <c r="H551" s="14" t="str">
        <f>IFERROR(INDEX(面试清单!H:H,MATCH(550,面试清单!P:P,0)),"")</f>
        <v>线下</v>
      </c>
      <c r="I551" s="13" t="s">
        <v>29</v>
      </c>
      <c r="J551" s="14">
        <f ca="1" t="shared" si="25"/>
        <v>102</v>
      </c>
      <c r="K551" s="14">
        <f ca="1" t="shared" si="26"/>
        <v>16</v>
      </c>
    </row>
    <row r="552" ht="18" spans="1:11">
      <c r="A552" s="10">
        <f t="shared" si="24"/>
        <v>551</v>
      </c>
      <c r="B552" s="11" t="s">
        <v>4496</v>
      </c>
      <c r="C552" s="125" t="str">
        <f>IFERROR(INDEX(面试清单!D:D,MATCH(551,面试清单!P:P,0)),"")</f>
        <v>0209</v>
      </c>
      <c r="D552" s="11" t="s">
        <v>43</v>
      </c>
      <c r="E552" s="11" t="s">
        <v>62</v>
      </c>
      <c r="F552" s="11" t="s">
        <v>103</v>
      </c>
      <c r="G552" s="15">
        <v>46087</v>
      </c>
      <c r="H552" s="10" t="str">
        <f>IFERROR(INDEX(面试清单!H:H,MATCH(551,面试清单!P:P,0)),"")</f>
        <v>线下</v>
      </c>
      <c r="I552" s="13" t="s">
        <v>29</v>
      </c>
      <c r="J552" s="10">
        <f ca="1" t="shared" si="25"/>
        <v>102</v>
      </c>
      <c r="K552" s="10">
        <f ca="1" t="shared" si="26"/>
        <v>16</v>
      </c>
    </row>
    <row r="553" ht="18" spans="1:11">
      <c r="A553" s="14">
        <f t="shared" si="24"/>
        <v>552</v>
      </c>
      <c r="B553" s="11" t="s">
        <v>4497</v>
      </c>
      <c r="C553" s="14" t="str">
        <f>IFERROR(INDEX(面试清单!D:D,MATCH(552,面试清单!P:P,0)),"")</f>
        <v/>
      </c>
      <c r="D553" s="11" t="s">
        <v>42</v>
      </c>
      <c r="E553" s="11" t="s">
        <v>62</v>
      </c>
      <c r="F553" s="11" t="s">
        <v>132</v>
      </c>
      <c r="G553" s="15">
        <v>46087</v>
      </c>
      <c r="H553" s="14" t="str">
        <f>IFERROR(INDEX(面试清单!H:H,MATCH(552,面试清单!P:P,0)),"")</f>
        <v/>
      </c>
      <c r="I553" s="13" t="s">
        <v>29</v>
      </c>
      <c r="J553" s="14">
        <f ca="1" t="shared" si="25"/>
        <v>102</v>
      </c>
      <c r="K553" s="14">
        <f ca="1" t="shared" si="26"/>
        <v>16</v>
      </c>
    </row>
    <row r="554" ht="18" spans="1:11">
      <c r="A554" s="10">
        <f t="shared" si="24"/>
        <v>553</v>
      </c>
      <c r="B554" s="11" t="s">
        <v>4498</v>
      </c>
      <c r="C554" s="10" t="str">
        <f>IFERROR(INDEX(面试清单!D:D,MATCH(553,面试清单!P:P,0)),"")</f>
        <v/>
      </c>
      <c r="D554" s="11" t="s">
        <v>42</v>
      </c>
      <c r="E554" s="11" t="s">
        <v>63</v>
      </c>
      <c r="F554" s="11" t="s">
        <v>103</v>
      </c>
      <c r="G554" s="15">
        <v>46087</v>
      </c>
      <c r="H554" s="10" t="str">
        <f>IFERROR(INDEX(面试清单!H:H,MATCH(553,面试清单!P:P,0)),"")</f>
        <v/>
      </c>
      <c r="I554" s="13" t="s">
        <v>29</v>
      </c>
      <c r="J554" s="10">
        <f ca="1" t="shared" si="25"/>
        <v>102</v>
      </c>
      <c r="K554" s="10">
        <f ca="1" t="shared" si="26"/>
        <v>16</v>
      </c>
    </row>
    <row r="555" ht="18" spans="1:11">
      <c r="A555" s="14">
        <f t="shared" si="24"/>
        <v>554</v>
      </c>
      <c r="B555" s="11" t="s">
        <v>4499</v>
      </c>
      <c r="C555" s="124" t="str">
        <f>IFERROR(INDEX(面试清单!D:D,MATCH(554,面试清单!P:P,0)),"")</f>
        <v>0217</v>
      </c>
      <c r="D555" s="11" t="s">
        <v>42</v>
      </c>
      <c r="E555" s="11" t="s">
        <v>63</v>
      </c>
      <c r="F555" s="11" t="s">
        <v>103</v>
      </c>
      <c r="G555" s="15">
        <v>46087</v>
      </c>
      <c r="H555" s="14" t="str">
        <f>IFERROR(INDEX(面试清单!H:H,MATCH(554,面试清单!P:P,0)),"")</f>
        <v>线下</v>
      </c>
      <c r="I555" s="13" t="s">
        <v>29</v>
      </c>
      <c r="J555" s="14">
        <f ca="1" t="shared" si="25"/>
        <v>102</v>
      </c>
      <c r="K555" s="14">
        <f ca="1" t="shared" si="26"/>
        <v>16</v>
      </c>
    </row>
    <row r="556" ht="18" spans="1:11">
      <c r="A556" s="10">
        <f t="shared" si="24"/>
        <v>555</v>
      </c>
      <c r="B556" s="11" t="s">
        <v>4500</v>
      </c>
      <c r="C556" s="10" t="str">
        <f>IFERROR(INDEX(面试清单!D:D,MATCH(555,面试清单!P:P,0)),"")</f>
        <v/>
      </c>
      <c r="D556" s="11" t="s">
        <v>43</v>
      </c>
      <c r="E556" s="11" t="s">
        <v>62</v>
      </c>
      <c r="F556" s="11" t="s">
        <v>307</v>
      </c>
      <c r="G556" s="15">
        <v>46087</v>
      </c>
      <c r="H556" s="10" t="str">
        <f>IFERROR(INDEX(面试清单!H:H,MATCH(555,面试清单!P:P,0)),"")</f>
        <v/>
      </c>
      <c r="I556" s="13" t="s">
        <v>29</v>
      </c>
      <c r="J556" s="10">
        <f ca="1" t="shared" si="25"/>
        <v>102</v>
      </c>
      <c r="K556" s="10">
        <f ca="1" t="shared" si="26"/>
        <v>16</v>
      </c>
    </row>
    <row r="557" ht="18" spans="1:11">
      <c r="A557" s="14">
        <f t="shared" si="24"/>
        <v>556</v>
      </c>
      <c r="B557" s="11" t="s">
        <v>4501</v>
      </c>
      <c r="C557" s="14" t="str">
        <f>IFERROR(INDEX(面试清单!D:D,MATCH(556,面试清单!P:P,0)),"")</f>
        <v/>
      </c>
      <c r="D557" s="11" t="s">
        <v>43</v>
      </c>
      <c r="E557" s="11" t="s">
        <v>62</v>
      </c>
      <c r="F557" s="11" t="s">
        <v>307</v>
      </c>
      <c r="G557" s="15">
        <v>46087</v>
      </c>
      <c r="H557" s="14" t="str">
        <f>IFERROR(INDEX(面试清单!H:H,MATCH(556,面试清单!P:P,0)),"")</f>
        <v/>
      </c>
      <c r="I557" s="13" t="s">
        <v>29</v>
      </c>
      <c r="J557" s="14">
        <f ca="1" t="shared" si="25"/>
        <v>102</v>
      </c>
      <c r="K557" s="14">
        <f ca="1" t="shared" si="26"/>
        <v>16</v>
      </c>
    </row>
    <row r="558" ht="18" spans="1:11">
      <c r="A558" s="10">
        <f t="shared" si="24"/>
        <v>557</v>
      </c>
      <c r="B558" s="11" t="s">
        <v>4502</v>
      </c>
      <c r="C558" s="125" t="str">
        <f>IFERROR(INDEX(面试清单!D:D,MATCH(557,面试清单!P:P,0)),"")</f>
        <v>0221</v>
      </c>
      <c r="D558" s="11" t="s">
        <v>43</v>
      </c>
      <c r="E558" s="11" t="s">
        <v>62</v>
      </c>
      <c r="F558" s="11" t="s">
        <v>173</v>
      </c>
      <c r="G558" s="15">
        <v>46087</v>
      </c>
      <c r="H558" s="10" t="str">
        <f>IFERROR(INDEX(面试清单!H:H,MATCH(557,面试清单!P:P,0)),"")</f>
        <v>线下</v>
      </c>
      <c r="I558" s="13" t="s">
        <v>29</v>
      </c>
      <c r="J558" s="10">
        <f ca="1" t="shared" si="25"/>
        <v>102</v>
      </c>
      <c r="K558" s="10">
        <f ca="1" t="shared" si="26"/>
        <v>16</v>
      </c>
    </row>
    <row r="559" ht="18" spans="1:11">
      <c r="A559" s="14">
        <f t="shared" si="24"/>
        <v>558</v>
      </c>
      <c r="B559" s="11" t="s">
        <v>4503</v>
      </c>
      <c r="C559" s="124" t="str">
        <f>IFERROR(INDEX(面试清单!D:D,MATCH(558,面试清单!P:P,0)),"")</f>
        <v>0222</v>
      </c>
      <c r="D559" s="11" t="s">
        <v>43</v>
      </c>
      <c r="E559" s="11" t="s">
        <v>62</v>
      </c>
      <c r="F559" s="11" t="s">
        <v>103</v>
      </c>
      <c r="G559" s="15">
        <v>46088</v>
      </c>
      <c r="H559" s="14" t="str">
        <f>IFERROR(INDEX(面试清单!H:H,MATCH(558,面试清单!P:P,0)),"")</f>
        <v>线下</v>
      </c>
      <c r="I559" s="13" t="s">
        <v>29</v>
      </c>
      <c r="J559" s="14">
        <f ca="1" t="shared" si="25"/>
        <v>101</v>
      </c>
      <c r="K559" s="14">
        <f ca="1" t="shared" si="26"/>
        <v>16</v>
      </c>
    </row>
    <row r="560" ht="18" spans="1:11">
      <c r="A560" s="10">
        <f t="shared" si="24"/>
        <v>559</v>
      </c>
      <c r="B560" s="11" t="s">
        <v>4504</v>
      </c>
      <c r="C560" s="125" t="str">
        <f>IFERROR(INDEX(面试清单!D:D,MATCH(559,面试清单!P:P,0)),"")</f>
        <v>0208</v>
      </c>
      <c r="D560" s="11" t="s">
        <v>42</v>
      </c>
      <c r="E560" s="11" t="s">
        <v>62</v>
      </c>
      <c r="F560" s="11" t="s">
        <v>110</v>
      </c>
      <c r="G560" s="15">
        <v>46088</v>
      </c>
      <c r="H560" s="10" t="str">
        <f>IFERROR(INDEX(面试清单!H:H,MATCH(559,面试清单!P:P,0)),"")</f>
        <v>线下</v>
      </c>
      <c r="I560" s="13" t="s">
        <v>29</v>
      </c>
      <c r="J560" s="10">
        <f ca="1" t="shared" si="25"/>
        <v>101</v>
      </c>
      <c r="K560" s="10">
        <f ca="1" t="shared" si="26"/>
        <v>16</v>
      </c>
    </row>
    <row r="561" ht="18" spans="1:11">
      <c r="A561" s="14">
        <f t="shared" si="24"/>
        <v>560</v>
      </c>
      <c r="B561" s="11" t="s">
        <v>4505</v>
      </c>
      <c r="C561" s="124" t="str">
        <f>IFERROR(INDEX(面试清单!D:D,MATCH(560,面试清单!P:P,0)),"")</f>
        <v>0208</v>
      </c>
      <c r="D561" s="11" t="s">
        <v>42</v>
      </c>
      <c r="E561" s="11" t="s">
        <v>62</v>
      </c>
      <c r="F561" s="11" t="s">
        <v>110</v>
      </c>
      <c r="G561" s="15">
        <v>46088</v>
      </c>
      <c r="H561" s="14" t="str">
        <f>IFERROR(INDEX(面试清单!H:H,MATCH(560,面试清单!P:P,0)),"")</f>
        <v>线下</v>
      </c>
      <c r="I561" s="13" t="s">
        <v>29</v>
      </c>
      <c r="J561" s="14">
        <f ca="1" t="shared" si="25"/>
        <v>101</v>
      </c>
      <c r="K561" s="14">
        <f ca="1" t="shared" si="26"/>
        <v>16</v>
      </c>
    </row>
    <row r="562" ht="18" spans="1:11">
      <c r="A562" s="10">
        <f t="shared" si="24"/>
        <v>561</v>
      </c>
      <c r="B562" s="11" t="s">
        <v>4506</v>
      </c>
      <c r="C562" s="125" t="str">
        <f>IFERROR(INDEX(面试清单!D:D,MATCH(561,面试清单!P:P,0)),"")</f>
        <v>0209</v>
      </c>
      <c r="D562" s="11" t="s">
        <v>42</v>
      </c>
      <c r="E562" s="11" t="s">
        <v>62</v>
      </c>
      <c r="F562" s="11" t="s">
        <v>110</v>
      </c>
      <c r="G562" s="15">
        <v>46088</v>
      </c>
      <c r="H562" s="10" t="str">
        <f>IFERROR(INDEX(面试清单!H:H,MATCH(561,面试清单!P:P,0)),"")</f>
        <v>线下</v>
      </c>
      <c r="I562" s="13" t="s">
        <v>29</v>
      </c>
      <c r="J562" s="10">
        <f ca="1" t="shared" si="25"/>
        <v>101</v>
      </c>
      <c r="K562" s="10">
        <f ca="1" t="shared" si="26"/>
        <v>16</v>
      </c>
    </row>
    <row r="563" ht="18" spans="1:11">
      <c r="A563" s="14">
        <f t="shared" si="24"/>
        <v>562</v>
      </c>
      <c r="B563" s="11" t="s">
        <v>4507</v>
      </c>
      <c r="C563" s="14" t="str">
        <f>IFERROR(INDEX(面试清单!D:D,MATCH(562,面试清单!P:P,0)),"")</f>
        <v/>
      </c>
      <c r="D563" s="11" t="s">
        <v>42</v>
      </c>
      <c r="E563" s="11" t="s">
        <v>62</v>
      </c>
      <c r="F563" s="11" t="s">
        <v>110</v>
      </c>
      <c r="G563" s="15">
        <v>46088</v>
      </c>
      <c r="H563" s="14" t="str">
        <f>IFERROR(INDEX(面试清单!H:H,MATCH(562,面试清单!P:P,0)),"")</f>
        <v/>
      </c>
      <c r="I563" s="13" t="s">
        <v>29</v>
      </c>
      <c r="J563" s="14">
        <f ca="1" t="shared" si="25"/>
        <v>101</v>
      </c>
      <c r="K563" s="14">
        <f ca="1" t="shared" si="26"/>
        <v>16</v>
      </c>
    </row>
    <row r="564" ht="18" spans="1:11">
      <c r="A564" s="10">
        <f t="shared" si="24"/>
        <v>563</v>
      </c>
      <c r="B564" s="11" t="s">
        <v>4508</v>
      </c>
      <c r="C564" s="125" t="str">
        <f>IFERROR(INDEX(面试清单!D:D,MATCH(563,面试清单!P:P,0)),"")</f>
        <v>0214</v>
      </c>
      <c r="D564" s="11" t="s">
        <v>42</v>
      </c>
      <c r="E564" s="11" t="s">
        <v>62</v>
      </c>
      <c r="F564" s="11" t="s">
        <v>110</v>
      </c>
      <c r="G564" s="15">
        <v>46088</v>
      </c>
      <c r="H564" s="10" t="str">
        <f>IFERROR(INDEX(面试清单!H:H,MATCH(563,面试清单!P:P,0)),"")</f>
        <v>线下</v>
      </c>
      <c r="I564" s="13" t="s">
        <v>29</v>
      </c>
      <c r="J564" s="10">
        <f ca="1" t="shared" si="25"/>
        <v>101</v>
      </c>
      <c r="K564" s="10">
        <f ca="1" t="shared" si="26"/>
        <v>16</v>
      </c>
    </row>
    <row r="565" ht="18" spans="1:11">
      <c r="A565" s="14">
        <f t="shared" si="24"/>
        <v>564</v>
      </c>
      <c r="B565" s="11" t="s">
        <v>4509</v>
      </c>
      <c r="C565" s="14" t="str">
        <f>IFERROR(INDEX(面试清单!D:D,MATCH(564,面试清单!P:P,0)),"")</f>
        <v/>
      </c>
      <c r="D565" s="11" t="s">
        <v>42</v>
      </c>
      <c r="E565" s="11" t="s">
        <v>62</v>
      </c>
      <c r="F565" s="11" t="s">
        <v>110</v>
      </c>
      <c r="G565" s="15">
        <v>46088</v>
      </c>
      <c r="H565" s="14" t="str">
        <f>IFERROR(INDEX(面试清单!H:H,MATCH(564,面试清单!P:P,0)),"")</f>
        <v/>
      </c>
      <c r="I565" s="13" t="s">
        <v>29</v>
      </c>
      <c r="J565" s="14">
        <f ca="1" t="shared" si="25"/>
        <v>101</v>
      </c>
      <c r="K565" s="14">
        <f ca="1" t="shared" si="26"/>
        <v>16</v>
      </c>
    </row>
    <row r="566" ht="18" spans="1:11">
      <c r="A566" s="10">
        <f t="shared" si="24"/>
        <v>565</v>
      </c>
      <c r="B566" s="11" t="s">
        <v>4510</v>
      </c>
      <c r="C566" s="125" t="str">
        <f>IFERROR(INDEX(面试清单!D:D,MATCH(565,面试清单!P:P,0)),"")</f>
        <v>0218</v>
      </c>
      <c r="D566" s="11" t="s">
        <v>43</v>
      </c>
      <c r="E566" s="11" t="s">
        <v>62</v>
      </c>
      <c r="F566" s="11" t="s">
        <v>129</v>
      </c>
      <c r="G566" s="15">
        <v>46088</v>
      </c>
      <c r="H566" s="10" t="str">
        <f>IFERROR(INDEX(面试清单!H:H,MATCH(565,面试清单!P:P,0)),"")</f>
        <v>线下</v>
      </c>
      <c r="I566" s="13" t="s">
        <v>29</v>
      </c>
      <c r="J566" s="10">
        <f ca="1" t="shared" si="25"/>
        <v>101</v>
      </c>
      <c r="K566" s="10">
        <f ca="1" t="shared" si="26"/>
        <v>16</v>
      </c>
    </row>
    <row r="567" ht="18" spans="1:11">
      <c r="A567" s="14">
        <f t="shared" si="24"/>
        <v>566</v>
      </c>
      <c r="B567" s="11" t="s">
        <v>4511</v>
      </c>
      <c r="C567" s="124" t="str">
        <f>IFERROR(INDEX(面试清单!D:D,MATCH(566,面试清单!P:P,0)),"")</f>
        <v>0220</v>
      </c>
      <c r="D567" s="11" t="s">
        <v>42</v>
      </c>
      <c r="E567" s="11" t="s">
        <v>62</v>
      </c>
      <c r="F567" s="11" t="s">
        <v>148</v>
      </c>
      <c r="G567" s="15">
        <v>46088</v>
      </c>
      <c r="H567" s="14" t="str">
        <f>IFERROR(INDEX(面试清单!H:H,MATCH(566,面试清单!P:P,0)),"")</f>
        <v>线下</v>
      </c>
      <c r="I567" s="13" t="s">
        <v>29</v>
      </c>
      <c r="J567" s="14">
        <f ca="1" t="shared" si="25"/>
        <v>101</v>
      </c>
      <c r="K567" s="14">
        <f ca="1" t="shared" si="26"/>
        <v>16</v>
      </c>
    </row>
    <row r="568" ht="18" spans="1:11">
      <c r="A568" s="10">
        <f t="shared" si="24"/>
        <v>567</v>
      </c>
      <c r="B568" s="11" t="s">
        <v>4512</v>
      </c>
      <c r="C568" s="125" t="str">
        <f>IFERROR(INDEX(面试清单!D:D,MATCH(567,面试清单!P:P,0)),"")</f>
        <v>0221</v>
      </c>
      <c r="D568" s="11" t="s">
        <v>42</v>
      </c>
      <c r="E568" s="11" t="s">
        <v>62</v>
      </c>
      <c r="F568" s="11" t="s">
        <v>179</v>
      </c>
      <c r="G568" s="15">
        <v>46088</v>
      </c>
      <c r="H568" s="10" t="str">
        <f>IFERROR(INDEX(面试清单!H:H,MATCH(567,面试清单!P:P,0)),"")</f>
        <v>线下</v>
      </c>
      <c r="I568" s="13" t="s">
        <v>29</v>
      </c>
      <c r="J568" s="10">
        <f ca="1" t="shared" si="25"/>
        <v>101</v>
      </c>
      <c r="K568" s="10">
        <f ca="1" t="shared" si="26"/>
        <v>16</v>
      </c>
    </row>
    <row r="569" ht="18" spans="1:11">
      <c r="A569" s="14">
        <f t="shared" si="24"/>
        <v>568</v>
      </c>
      <c r="B569" s="11" t="s">
        <v>4513</v>
      </c>
      <c r="C569" s="124" t="str">
        <f>IFERROR(INDEX(面试清单!D:D,MATCH(568,面试清单!P:P,0)),"")</f>
        <v>0222</v>
      </c>
      <c r="D569" s="11" t="s">
        <v>43</v>
      </c>
      <c r="E569" s="11" t="s">
        <v>63</v>
      </c>
      <c r="F569" s="11" t="s">
        <v>124</v>
      </c>
      <c r="G569" s="15">
        <v>46088</v>
      </c>
      <c r="H569" s="14" t="str">
        <f>IFERROR(INDEX(面试清单!H:H,MATCH(568,面试清单!P:P,0)),"")</f>
        <v>线下</v>
      </c>
      <c r="I569" s="13" t="s">
        <v>29</v>
      </c>
      <c r="J569" s="14">
        <f ca="1" t="shared" si="25"/>
        <v>101</v>
      </c>
      <c r="K569" s="14">
        <f ca="1" t="shared" si="26"/>
        <v>16</v>
      </c>
    </row>
    <row r="570" ht="18" spans="1:11">
      <c r="A570" s="10">
        <f t="shared" si="24"/>
        <v>569</v>
      </c>
      <c r="B570" s="11" t="s">
        <v>4514</v>
      </c>
      <c r="C570" s="125" t="str">
        <f>IFERROR(INDEX(面试清单!D:D,MATCH(569,面试清单!P:P,0)),"")</f>
        <v>0208</v>
      </c>
      <c r="D570" s="11" t="s">
        <v>42</v>
      </c>
      <c r="E570" s="11" t="s">
        <v>63</v>
      </c>
      <c r="F570" s="11" t="s">
        <v>124</v>
      </c>
      <c r="G570" s="15">
        <v>46088</v>
      </c>
      <c r="H570" s="10" t="str">
        <f>IFERROR(INDEX(面试清单!H:H,MATCH(569,面试清单!P:P,0)),"")</f>
        <v>线下</v>
      </c>
      <c r="I570" s="13" t="s">
        <v>29</v>
      </c>
      <c r="J570" s="10">
        <f ca="1" t="shared" si="25"/>
        <v>101</v>
      </c>
      <c r="K570" s="10">
        <f ca="1" t="shared" si="26"/>
        <v>16</v>
      </c>
    </row>
    <row r="571" ht="18" spans="1:11">
      <c r="A571" s="14">
        <f t="shared" si="24"/>
        <v>570</v>
      </c>
      <c r="B571" s="11" t="s">
        <v>4515</v>
      </c>
      <c r="C571" s="124" t="str">
        <f>IFERROR(INDEX(面试清单!D:D,MATCH(570,面试清单!P:P,0)),"")</f>
        <v>0209</v>
      </c>
      <c r="D571" s="11" t="s">
        <v>43</v>
      </c>
      <c r="E571" s="11" t="s">
        <v>62</v>
      </c>
      <c r="F571" s="11" t="s">
        <v>124</v>
      </c>
      <c r="G571" s="15">
        <v>46088</v>
      </c>
      <c r="H571" s="14" t="str">
        <f>IFERROR(INDEX(面试清单!H:H,MATCH(570,面试清单!P:P,0)),"")</f>
        <v>线下</v>
      </c>
      <c r="I571" s="13" t="s">
        <v>29</v>
      </c>
      <c r="J571" s="14">
        <f ca="1" t="shared" si="25"/>
        <v>101</v>
      </c>
      <c r="K571" s="14">
        <f ca="1" t="shared" si="26"/>
        <v>16</v>
      </c>
    </row>
    <row r="572" ht="18" spans="1:11">
      <c r="A572" s="10">
        <f t="shared" si="24"/>
        <v>571</v>
      </c>
      <c r="B572" s="11" t="s">
        <v>4516</v>
      </c>
      <c r="C572" s="10" t="str">
        <f>IFERROR(INDEX(面试清单!D:D,MATCH(571,面试清单!P:P,0)),"")</f>
        <v/>
      </c>
      <c r="D572" s="11" t="s">
        <v>43</v>
      </c>
      <c r="E572" s="11" t="s">
        <v>63</v>
      </c>
      <c r="F572" s="11" t="s">
        <v>233</v>
      </c>
      <c r="G572" s="15">
        <v>46088</v>
      </c>
      <c r="H572" s="10" t="str">
        <f>IFERROR(INDEX(面试清单!H:H,MATCH(571,面试清单!P:P,0)),"")</f>
        <v/>
      </c>
      <c r="I572" s="13" t="s">
        <v>29</v>
      </c>
      <c r="J572" s="10">
        <f ca="1" t="shared" si="25"/>
        <v>101</v>
      </c>
      <c r="K572" s="10">
        <f ca="1" t="shared" si="26"/>
        <v>16</v>
      </c>
    </row>
    <row r="573" ht="18" spans="1:11">
      <c r="A573" s="14">
        <f t="shared" si="24"/>
        <v>572</v>
      </c>
      <c r="B573" s="11" t="s">
        <v>4517</v>
      </c>
      <c r="C573" s="124" t="str">
        <f>IFERROR(INDEX(面试清单!D:D,MATCH(572,面试清单!P:P,0)),"")</f>
        <v>0214</v>
      </c>
      <c r="D573" s="11" t="s">
        <v>42</v>
      </c>
      <c r="E573" s="11" t="s">
        <v>63</v>
      </c>
      <c r="F573" s="11" t="s">
        <v>124</v>
      </c>
      <c r="G573" s="15">
        <v>46088</v>
      </c>
      <c r="H573" s="14" t="str">
        <f>IFERROR(INDEX(面试清单!H:H,MATCH(572,面试清单!P:P,0)),"")</f>
        <v>线下</v>
      </c>
      <c r="I573" s="13" t="s">
        <v>29</v>
      </c>
      <c r="J573" s="14">
        <f ca="1" t="shared" si="25"/>
        <v>101</v>
      </c>
      <c r="K573" s="14">
        <f ca="1" t="shared" si="26"/>
        <v>16</v>
      </c>
    </row>
    <row r="574" ht="18" spans="1:11">
      <c r="A574" s="10">
        <f t="shared" si="24"/>
        <v>573</v>
      </c>
      <c r="B574" s="11" t="s">
        <v>2203</v>
      </c>
      <c r="C574" s="10" t="str">
        <f>IFERROR(INDEX(面试清单!D:D,MATCH(573,面试清单!P:P,0)),"")</f>
        <v/>
      </c>
      <c r="D574" s="11" t="s">
        <v>42</v>
      </c>
      <c r="E574" s="11" t="s">
        <v>63</v>
      </c>
      <c r="F574" s="11" t="s">
        <v>176</v>
      </c>
      <c r="G574" s="15">
        <v>46088</v>
      </c>
      <c r="H574" s="10" t="str">
        <f>IFERROR(INDEX(面试清单!H:H,MATCH(573,面试清单!P:P,0)),"")</f>
        <v/>
      </c>
      <c r="I574" s="13" t="s">
        <v>29</v>
      </c>
      <c r="J574" s="10">
        <f ca="1" t="shared" si="25"/>
        <v>101</v>
      </c>
      <c r="K574" s="10">
        <f ca="1" t="shared" si="26"/>
        <v>16</v>
      </c>
    </row>
    <row r="575" ht="18" spans="1:11">
      <c r="A575" s="14">
        <f t="shared" si="24"/>
        <v>574</v>
      </c>
      <c r="B575" s="11" t="s">
        <v>4518</v>
      </c>
      <c r="C575" s="14" t="str">
        <f>IFERROR(INDEX(面试清单!D:D,MATCH(574,面试清单!P:P,0)),"")</f>
        <v/>
      </c>
      <c r="D575" s="11" t="s">
        <v>43</v>
      </c>
      <c r="E575" s="11" t="s">
        <v>62</v>
      </c>
      <c r="F575" s="11" t="s">
        <v>132</v>
      </c>
      <c r="G575" s="15">
        <v>46088</v>
      </c>
      <c r="H575" s="14" t="str">
        <f>IFERROR(INDEX(面试清单!H:H,MATCH(574,面试清单!P:P,0)),"")</f>
        <v/>
      </c>
      <c r="I575" s="13" t="s">
        <v>29</v>
      </c>
      <c r="J575" s="14">
        <f ca="1" t="shared" si="25"/>
        <v>101</v>
      </c>
      <c r="K575" s="14">
        <f ca="1" t="shared" si="26"/>
        <v>16</v>
      </c>
    </row>
    <row r="576" ht="18" spans="1:11">
      <c r="A576" s="10">
        <f t="shared" si="24"/>
        <v>575</v>
      </c>
      <c r="B576" s="11" t="s">
        <v>4519</v>
      </c>
      <c r="C576" s="10" t="str">
        <f>IFERROR(INDEX(面试清单!D:D,MATCH(575,面试清单!P:P,0)),"")</f>
        <v/>
      </c>
      <c r="D576" s="11" t="s">
        <v>42</v>
      </c>
      <c r="E576" s="11" t="s">
        <v>62</v>
      </c>
      <c r="F576" s="11" t="s">
        <v>132</v>
      </c>
      <c r="G576" s="15">
        <v>46088</v>
      </c>
      <c r="H576" s="10" t="str">
        <f>IFERROR(INDEX(面试清单!H:H,MATCH(575,面试清单!P:P,0)),"")</f>
        <v/>
      </c>
      <c r="I576" s="13" t="s">
        <v>29</v>
      </c>
      <c r="J576" s="10">
        <f ca="1" t="shared" si="25"/>
        <v>101</v>
      </c>
      <c r="K576" s="10">
        <f ca="1" t="shared" si="26"/>
        <v>16</v>
      </c>
    </row>
    <row r="577" ht="18" spans="1:11">
      <c r="A577" s="14">
        <f t="shared" si="24"/>
        <v>576</v>
      </c>
      <c r="B577" s="11" t="s">
        <v>4520</v>
      </c>
      <c r="C577" s="14" t="str">
        <f>IFERROR(INDEX(面试清单!D:D,MATCH(576,面试清单!P:P,0)),"")</f>
        <v/>
      </c>
      <c r="D577" s="11" t="s">
        <v>42</v>
      </c>
      <c r="E577" s="11" t="s">
        <v>62</v>
      </c>
      <c r="F577" s="11" t="s">
        <v>132</v>
      </c>
      <c r="G577" s="15">
        <v>46088</v>
      </c>
      <c r="H577" s="14" t="str">
        <f>IFERROR(INDEX(面试清单!H:H,MATCH(576,面试清单!P:P,0)),"")</f>
        <v/>
      </c>
      <c r="I577" s="13" t="s">
        <v>29</v>
      </c>
      <c r="J577" s="14">
        <f ca="1" t="shared" si="25"/>
        <v>101</v>
      </c>
      <c r="K577" s="14">
        <f ca="1" t="shared" si="26"/>
        <v>16</v>
      </c>
    </row>
    <row r="578" ht="18" spans="1:11">
      <c r="A578" s="10">
        <f t="shared" ref="A578:A641" si="27">IF(B578&lt;&gt;"",ROW()-1,"")</f>
        <v>577</v>
      </c>
      <c r="B578" s="11" t="s">
        <v>4521</v>
      </c>
      <c r="C578" s="10" t="str">
        <f>IFERROR(INDEX(面试清单!D:D,MATCH(577,面试清单!P:P,0)),"")</f>
        <v/>
      </c>
      <c r="D578" s="11" t="s">
        <v>42</v>
      </c>
      <c r="E578" s="11" t="s">
        <v>62</v>
      </c>
      <c r="F578" s="11" t="s">
        <v>179</v>
      </c>
      <c r="G578" s="15">
        <v>46088</v>
      </c>
      <c r="H578" s="10" t="str">
        <f>IFERROR(INDEX(面试清单!H:H,MATCH(577,面试清单!P:P,0)),"")</f>
        <v/>
      </c>
      <c r="I578" s="13" t="s">
        <v>29</v>
      </c>
      <c r="J578" s="10">
        <f ca="1" t="shared" ref="J578:J641" si="28">IF(G578&lt;&gt;"",TODAY()-G578,"")</f>
        <v>101</v>
      </c>
      <c r="K578" s="10">
        <f ca="1" t="shared" ref="K578:K641" si="29">IF(G578&lt;&gt;"",MAX(0,MIN(TODAY(),EOMONTH(TODAY(),0))-MAX(G578,EOMONTH(TODAY(),-1)+1)+1),"")</f>
        <v>16</v>
      </c>
    </row>
    <row r="579" ht="18" spans="1:11">
      <c r="A579" s="14">
        <f t="shared" si="27"/>
        <v>578</v>
      </c>
      <c r="B579" s="11" t="s">
        <v>4522</v>
      </c>
      <c r="C579" s="124" t="str">
        <f>IFERROR(INDEX(面试清单!D:D,MATCH(578,面试清单!P:P,0)),"")</f>
        <v>0208</v>
      </c>
      <c r="D579" s="11" t="s">
        <v>42</v>
      </c>
      <c r="E579" s="11" t="s">
        <v>63</v>
      </c>
      <c r="F579" s="11" t="s">
        <v>179</v>
      </c>
      <c r="G579" s="15">
        <v>46088</v>
      </c>
      <c r="H579" s="14" t="str">
        <f>IFERROR(INDEX(面试清单!H:H,MATCH(578,面试清单!P:P,0)),"")</f>
        <v>线下</v>
      </c>
      <c r="I579" s="13" t="s">
        <v>29</v>
      </c>
      <c r="J579" s="14">
        <f ca="1" t="shared" si="28"/>
        <v>101</v>
      </c>
      <c r="K579" s="14">
        <f ca="1" t="shared" si="29"/>
        <v>16</v>
      </c>
    </row>
    <row r="580" ht="18" spans="1:11">
      <c r="A580" s="10">
        <f t="shared" si="27"/>
        <v>579</v>
      </c>
      <c r="B580" s="11" t="s">
        <v>4523</v>
      </c>
      <c r="C580" s="125" t="str">
        <f>IFERROR(INDEX(面试清单!D:D,MATCH(579,面试清单!P:P,0)),"")</f>
        <v>0209</v>
      </c>
      <c r="D580" s="11" t="s">
        <v>43</v>
      </c>
      <c r="E580" s="11" t="s">
        <v>62</v>
      </c>
      <c r="F580" s="11" t="s">
        <v>179</v>
      </c>
      <c r="G580" s="15">
        <v>46088</v>
      </c>
      <c r="H580" s="10" t="str">
        <f>IFERROR(INDEX(面试清单!H:H,MATCH(579,面试清单!P:P,0)),"")</f>
        <v>线下</v>
      </c>
      <c r="I580" s="13" t="s">
        <v>29</v>
      </c>
      <c r="J580" s="10">
        <f ca="1" t="shared" si="28"/>
        <v>101</v>
      </c>
      <c r="K580" s="10">
        <f ca="1" t="shared" si="29"/>
        <v>16</v>
      </c>
    </row>
    <row r="581" ht="18" spans="1:11">
      <c r="A581" s="14">
        <f t="shared" si="27"/>
        <v>580</v>
      </c>
      <c r="B581" s="11" t="s">
        <v>4524</v>
      </c>
      <c r="C581" s="124" t="str">
        <f>IFERROR(INDEX(面试清单!D:D,MATCH(580,面试清单!P:P,0)),"")</f>
        <v>0212</v>
      </c>
      <c r="D581" s="11" t="s">
        <v>42</v>
      </c>
      <c r="E581" s="11" t="s">
        <v>63</v>
      </c>
      <c r="F581" s="11" t="s">
        <v>176</v>
      </c>
      <c r="G581" s="15">
        <v>46088</v>
      </c>
      <c r="H581" s="14" t="str">
        <f>IFERROR(INDEX(面试清单!H:H,MATCH(580,面试清单!P:P,0)),"")</f>
        <v>线下</v>
      </c>
      <c r="I581" s="13" t="s">
        <v>29</v>
      </c>
      <c r="J581" s="14">
        <f ca="1" t="shared" si="28"/>
        <v>101</v>
      </c>
      <c r="K581" s="14">
        <f ca="1" t="shared" si="29"/>
        <v>16</v>
      </c>
    </row>
    <row r="582" ht="18" spans="1:11">
      <c r="A582" s="10">
        <f t="shared" si="27"/>
        <v>581</v>
      </c>
      <c r="B582" s="11" t="s">
        <v>4525</v>
      </c>
      <c r="C582" s="10" t="str">
        <f>IFERROR(INDEX(面试清单!D:D,MATCH(581,面试清单!P:P,0)),"")</f>
        <v/>
      </c>
      <c r="D582" s="11" t="s">
        <v>42</v>
      </c>
      <c r="E582" s="11" t="s">
        <v>62</v>
      </c>
      <c r="F582" s="11" t="s">
        <v>103</v>
      </c>
      <c r="G582" s="15">
        <v>46088</v>
      </c>
      <c r="H582" s="10" t="str">
        <f>IFERROR(INDEX(面试清单!H:H,MATCH(581,面试清单!P:P,0)),"")</f>
        <v/>
      </c>
      <c r="I582" s="13" t="s">
        <v>29</v>
      </c>
      <c r="J582" s="10">
        <f ca="1" t="shared" si="28"/>
        <v>101</v>
      </c>
      <c r="K582" s="10">
        <f ca="1" t="shared" si="29"/>
        <v>16</v>
      </c>
    </row>
    <row r="583" ht="18" spans="1:11">
      <c r="A583" s="14">
        <f t="shared" si="27"/>
        <v>582</v>
      </c>
      <c r="B583" s="11" t="s">
        <v>4526</v>
      </c>
      <c r="C583" s="124" t="str">
        <f>IFERROR(INDEX(面试清单!D:D,MATCH(582,面试清单!P:P,0)),"")</f>
        <v>0217</v>
      </c>
      <c r="D583" s="11" t="s">
        <v>42</v>
      </c>
      <c r="E583" s="11" t="s">
        <v>63</v>
      </c>
      <c r="F583" s="11" t="s">
        <v>307</v>
      </c>
      <c r="G583" s="15">
        <v>46088</v>
      </c>
      <c r="H583" s="14" t="str">
        <f>IFERROR(INDEX(面试清单!H:H,MATCH(582,面试清单!P:P,0)),"")</f>
        <v>线下</v>
      </c>
      <c r="I583" s="13" t="s">
        <v>29</v>
      </c>
      <c r="J583" s="14">
        <f ca="1" t="shared" si="28"/>
        <v>101</v>
      </c>
      <c r="K583" s="14">
        <f ca="1" t="shared" si="29"/>
        <v>16</v>
      </c>
    </row>
    <row r="584" ht="18" spans="1:11">
      <c r="A584" s="10">
        <f t="shared" si="27"/>
        <v>583</v>
      </c>
      <c r="B584" s="11" t="s">
        <v>4527</v>
      </c>
      <c r="C584" s="125" t="str">
        <f>IFERROR(INDEX(面试清单!D:D,MATCH(583,面试清单!P:P,0)),"")</f>
        <v>0218</v>
      </c>
      <c r="D584" s="11" t="s">
        <v>43</v>
      </c>
      <c r="E584" s="11" t="s">
        <v>62</v>
      </c>
      <c r="F584" s="11" t="s">
        <v>307</v>
      </c>
      <c r="G584" s="15">
        <v>46088</v>
      </c>
      <c r="H584" s="10" t="str">
        <f>IFERROR(INDEX(面试清单!H:H,MATCH(583,面试清单!P:P,0)),"")</f>
        <v>线下</v>
      </c>
      <c r="I584" s="13" t="s">
        <v>29</v>
      </c>
      <c r="J584" s="10">
        <f ca="1" t="shared" si="28"/>
        <v>101</v>
      </c>
      <c r="K584" s="10">
        <f ca="1" t="shared" si="29"/>
        <v>16</v>
      </c>
    </row>
    <row r="585" ht="18" spans="1:11">
      <c r="A585" s="14">
        <f t="shared" si="27"/>
        <v>584</v>
      </c>
      <c r="B585" s="11" t="s">
        <v>4528</v>
      </c>
      <c r="C585" s="14" t="str">
        <f>IFERROR(INDEX(面试清单!D:D,MATCH(584,面试清单!P:P,0)),"")</f>
        <v/>
      </c>
      <c r="D585" s="11" t="s">
        <v>43</v>
      </c>
      <c r="E585" s="11" t="s">
        <v>62</v>
      </c>
      <c r="F585" s="11" t="s">
        <v>307</v>
      </c>
      <c r="G585" s="15">
        <v>46088</v>
      </c>
      <c r="H585" s="14" t="str">
        <f>IFERROR(INDEX(面试清单!H:H,MATCH(584,面试清单!P:P,0)),"")</f>
        <v/>
      </c>
      <c r="I585" s="13" t="s">
        <v>29</v>
      </c>
      <c r="J585" s="14">
        <f ca="1" t="shared" si="28"/>
        <v>101</v>
      </c>
      <c r="K585" s="14">
        <f ca="1" t="shared" si="29"/>
        <v>16</v>
      </c>
    </row>
    <row r="586" ht="18" spans="1:11">
      <c r="A586" s="10">
        <f t="shared" si="27"/>
        <v>585</v>
      </c>
      <c r="B586" s="11" t="s">
        <v>4529</v>
      </c>
      <c r="C586" s="10" t="str">
        <f>IFERROR(INDEX(面试清单!D:D,MATCH(585,面试清单!P:P,0)),"")</f>
        <v/>
      </c>
      <c r="D586" s="11" t="s">
        <v>42</v>
      </c>
      <c r="E586" s="11" t="s">
        <v>62</v>
      </c>
      <c r="F586" s="11" t="s">
        <v>246</v>
      </c>
      <c r="G586" s="15">
        <v>46088</v>
      </c>
      <c r="H586" s="10" t="str">
        <f>IFERROR(INDEX(面试清单!H:H,MATCH(585,面试清单!P:P,0)),"")</f>
        <v/>
      </c>
      <c r="I586" s="13" t="s">
        <v>29</v>
      </c>
      <c r="J586" s="10">
        <f ca="1" t="shared" si="28"/>
        <v>101</v>
      </c>
      <c r="K586" s="10">
        <f ca="1" t="shared" si="29"/>
        <v>16</v>
      </c>
    </row>
    <row r="587" ht="18" spans="1:11">
      <c r="A587" s="14">
        <f t="shared" si="27"/>
        <v>586</v>
      </c>
      <c r="B587" s="11" t="s">
        <v>4530</v>
      </c>
      <c r="C587" s="124" t="str">
        <f>IFERROR(INDEX(面试清单!D:D,MATCH(586,面试清单!P:P,0)),"")</f>
        <v>0222</v>
      </c>
      <c r="D587" s="11" t="s">
        <v>42</v>
      </c>
      <c r="E587" s="11" t="s">
        <v>62</v>
      </c>
      <c r="F587" s="11" t="s">
        <v>103</v>
      </c>
      <c r="G587" s="15">
        <v>46088</v>
      </c>
      <c r="H587" s="14" t="str">
        <f>IFERROR(INDEX(面试清单!H:H,MATCH(586,面试清单!P:P,0)),"")</f>
        <v>线下</v>
      </c>
      <c r="I587" s="13" t="s">
        <v>29</v>
      </c>
      <c r="J587" s="14">
        <f ca="1" t="shared" si="28"/>
        <v>101</v>
      </c>
      <c r="K587" s="14">
        <f ca="1" t="shared" si="29"/>
        <v>16</v>
      </c>
    </row>
    <row r="588" ht="18" spans="1:11">
      <c r="A588" s="10">
        <f t="shared" si="27"/>
        <v>587</v>
      </c>
      <c r="B588" s="11" t="s">
        <v>4531</v>
      </c>
      <c r="C588" s="10" t="str">
        <f>IFERROR(INDEX(面试清单!D:D,MATCH(587,面试清单!P:P,0)),"")</f>
        <v/>
      </c>
      <c r="D588" s="11" t="s">
        <v>74</v>
      </c>
      <c r="E588" s="11" t="s">
        <v>190</v>
      </c>
      <c r="F588" s="11" t="s">
        <v>179</v>
      </c>
      <c r="G588" s="15">
        <v>46088</v>
      </c>
      <c r="H588" s="10" t="str">
        <f>IFERROR(INDEX(面试清单!H:H,MATCH(587,面试清单!P:P,0)),"")</f>
        <v/>
      </c>
      <c r="I588" s="13" t="s">
        <v>29</v>
      </c>
      <c r="J588" s="10">
        <f ca="1" t="shared" si="28"/>
        <v>101</v>
      </c>
      <c r="K588" s="10">
        <f ca="1" t="shared" si="29"/>
        <v>16</v>
      </c>
    </row>
    <row r="589" ht="18" spans="1:11">
      <c r="A589" s="14">
        <f t="shared" si="27"/>
        <v>588</v>
      </c>
      <c r="B589" s="11" t="s">
        <v>4532</v>
      </c>
      <c r="C589" s="14" t="str">
        <f>IFERROR(INDEX(面试清单!D:D,MATCH(588,面试清单!P:P,0)),"")</f>
        <v/>
      </c>
      <c r="D589" s="11" t="s">
        <v>42</v>
      </c>
      <c r="E589" s="11" t="s">
        <v>63</v>
      </c>
      <c r="F589" s="11" t="s">
        <v>233</v>
      </c>
      <c r="G589" s="15">
        <v>46088</v>
      </c>
      <c r="H589" s="14" t="str">
        <f>IFERROR(INDEX(面试清单!H:H,MATCH(588,面试清单!P:P,0)),"")</f>
        <v/>
      </c>
      <c r="I589" s="13" t="s">
        <v>29</v>
      </c>
      <c r="J589" s="14">
        <f ca="1" t="shared" si="28"/>
        <v>101</v>
      </c>
      <c r="K589" s="14">
        <f ca="1" t="shared" si="29"/>
        <v>16</v>
      </c>
    </row>
    <row r="590" ht="18" spans="1:11">
      <c r="A590" s="10">
        <f t="shared" si="27"/>
        <v>589</v>
      </c>
      <c r="B590" s="11" t="s">
        <v>4533</v>
      </c>
      <c r="C590" s="10" t="str">
        <f>IFERROR(INDEX(面试清单!D:D,MATCH(589,面试清单!P:P,0)),"")</f>
        <v/>
      </c>
      <c r="D590" s="11" t="s">
        <v>42</v>
      </c>
      <c r="E590" s="11" t="s">
        <v>63</v>
      </c>
      <c r="F590" s="11" t="s">
        <v>733</v>
      </c>
      <c r="G590" s="15">
        <v>46088</v>
      </c>
      <c r="H590" s="10" t="str">
        <f>IFERROR(INDEX(面试清单!H:H,MATCH(589,面试清单!P:P,0)),"")</f>
        <v/>
      </c>
      <c r="I590" s="13" t="s">
        <v>29</v>
      </c>
      <c r="J590" s="10">
        <f ca="1" t="shared" si="28"/>
        <v>101</v>
      </c>
      <c r="K590" s="10">
        <f ca="1" t="shared" si="29"/>
        <v>16</v>
      </c>
    </row>
    <row r="591" ht="18" spans="1:11">
      <c r="A591" s="14">
        <f t="shared" si="27"/>
        <v>590</v>
      </c>
      <c r="B591" s="11" t="s">
        <v>4534</v>
      </c>
      <c r="C591" s="14" t="str">
        <f>IFERROR(INDEX(面试清单!D:D,MATCH(590,面试清单!P:P,0)),"")</f>
        <v/>
      </c>
      <c r="D591" s="11" t="s">
        <v>42</v>
      </c>
      <c r="E591" s="11" t="s">
        <v>62</v>
      </c>
      <c r="F591" s="11" t="s">
        <v>173</v>
      </c>
      <c r="G591" s="15">
        <v>46088</v>
      </c>
      <c r="H591" s="14" t="str">
        <f>IFERROR(INDEX(面试清单!H:H,MATCH(590,面试清单!P:P,0)),"")</f>
        <v/>
      </c>
      <c r="I591" s="13" t="s">
        <v>29</v>
      </c>
      <c r="J591" s="14">
        <f ca="1" t="shared" si="28"/>
        <v>101</v>
      </c>
      <c r="K591" s="14">
        <f ca="1" t="shared" si="29"/>
        <v>16</v>
      </c>
    </row>
    <row r="592" ht="18" spans="1:11">
      <c r="A592" s="10">
        <f t="shared" si="27"/>
        <v>591</v>
      </c>
      <c r="B592" s="11" t="s">
        <v>4535</v>
      </c>
      <c r="C592" s="10" t="str">
        <f>IFERROR(INDEX(面试清单!D:D,MATCH(591,面试清单!P:P,0)),"")</f>
        <v/>
      </c>
      <c r="D592" s="11" t="s">
        <v>42</v>
      </c>
      <c r="E592" s="11" t="s">
        <v>63</v>
      </c>
      <c r="F592" s="11" t="s">
        <v>129</v>
      </c>
      <c r="G592" s="15">
        <v>46088</v>
      </c>
      <c r="H592" s="10" t="str">
        <f>IFERROR(INDEX(面试清单!H:H,MATCH(591,面试清单!P:P,0)),"")</f>
        <v/>
      </c>
      <c r="I592" s="13" t="s">
        <v>29</v>
      </c>
      <c r="J592" s="10">
        <f ca="1" t="shared" si="28"/>
        <v>101</v>
      </c>
      <c r="K592" s="10">
        <f ca="1" t="shared" si="29"/>
        <v>16</v>
      </c>
    </row>
    <row r="593" ht="18" spans="1:11">
      <c r="A593" s="14">
        <f t="shared" si="27"/>
        <v>592</v>
      </c>
      <c r="B593" s="11" t="s">
        <v>4536</v>
      </c>
      <c r="C593" s="14" t="str">
        <f>IFERROR(INDEX(面试清单!D:D,MATCH(592,面试清单!P:P,0)),"")</f>
        <v/>
      </c>
      <c r="D593" s="11" t="s">
        <v>42</v>
      </c>
      <c r="E593" s="11" t="s">
        <v>63</v>
      </c>
      <c r="F593" s="11" t="s">
        <v>124</v>
      </c>
      <c r="G593" s="15">
        <v>46088</v>
      </c>
      <c r="H593" s="14" t="str">
        <f>IFERROR(INDEX(面试清单!H:H,MATCH(592,面试清单!P:P,0)),"")</f>
        <v/>
      </c>
      <c r="I593" s="13" t="s">
        <v>29</v>
      </c>
      <c r="J593" s="14">
        <f ca="1" t="shared" si="28"/>
        <v>101</v>
      </c>
      <c r="K593" s="14">
        <f ca="1" t="shared" si="29"/>
        <v>16</v>
      </c>
    </row>
    <row r="594" ht="18" spans="1:11">
      <c r="A594" s="10">
        <f t="shared" si="27"/>
        <v>593</v>
      </c>
      <c r="B594" s="11" t="s">
        <v>4537</v>
      </c>
      <c r="C594" s="10" t="str">
        <f>IFERROR(INDEX(面试清单!D:D,MATCH(593,面试清单!P:P,0)),"")</f>
        <v/>
      </c>
      <c r="D594" s="11" t="s">
        <v>43</v>
      </c>
      <c r="E594" s="11" t="s">
        <v>62</v>
      </c>
      <c r="F594" s="11" t="s">
        <v>124</v>
      </c>
      <c r="G594" s="15">
        <v>46089</v>
      </c>
      <c r="H594" s="10" t="str">
        <f>IFERROR(INDEX(面试清单!H:H,MATCH(593,面试清单!P:P,0)),"")</f>
        <v/>
      </c>
      <c r="I594" s="13" t="s">
        <v>29</v>
      </c>
      <c r="J594" s="10">
        <f ca="1" t="shared" si="28"/>
        <v>100</v>
      </c>
      <c r="K594" s="10">
        <f ca="1" t="shared" si="29"/>
        <v>16</v>
      </c>
    </row>
    <row r="595" ht="18" spans="1:11">
      <c r="A595" s="14">
        <f t="shared" si="27"/>
        <v>594</v>
      </c>
      <c r="B595" s="11" t="s">
        <v>4538</v>
      </c>
      <c r="C595" s="124" t="str">
        <f>IFERROR(INDEX(面试清单!D:D,MATCH(594,面试清单!P:P,0)),"")</f>
        <v>0221</v>
      </c>
      <c r="D595" s="11" t="s">
        <v>42</v>
      </c>
      <c r="E595" s="11" t="s">
        <v>62</v>
      </c>
      <c r="F595" s="11" t="s">
        <v>307</v>
      </c>
      <c r="G595" s="15">
        <v>46089</v>
      </c>
      <c r="H595" s="14" t="str">
        <f>IFERROR(INDEX(面试清单!H:H,MATCH(594,面试清单!P:P,0)),"")</f>
        <v>线下</v>
      </c>
      <c r="I595" s="13" t="s">
        <v>29</v>
      </c>
      <c r="J595" s="14">
        <f ca="1" t="shared" si="28"/>
        <v>100</v>
      </c>
      <c r="K595" s="14">
        <f ca="1" t="shared" si="29"/>
        <v>16</v>
      </c>
    </row>
    <row r="596" ht="18" spans="1:11">
      <c r="A596" s="10">
        <f t="shared" si="27"/>
        <v>595</v>
      </c>
      <c r="B596" s="11" t="s">
        <v>4539</v>
      </c>
      <c r="C596" s="125" t="str">
        <f>IFERROR(INDEX(面试清单!D:D,MATCH(595,面试清单!P:P,0)),"")</f>
        <v>0222</v>
      </c>
      <c r="D596" s="11" t="s">
        <v>42</v>
      </c>
      <c r="E596" s="11" t="s">
        <v>62</v>
      </c>
      <c r="F596" s="11" t="s">
        <v>103</v>
      </c>
      <c r="G596" s="15">
        <v>46089</v>
      </c>
      <c r="H596" s="10" t="str">
        <f>IFERROR(INDEX(面试清单!H:H,MATCH(595,面试清单!P:P,0)),"")</f>
        <v>线下</v>
      </c>
      <c r="I596" s="13" t="s">
        <v>29</v>
      </c>
      <c r="J596" s="10">
        <f ca="1" t="shared" si="28"/>
        <v>100</v>
      </c>
      <c r="K596" s="10">
        <f ca="1" t="shared" si="29"/>
        <v>16</v>
      </c>
    </row>
    <row r="597" ht="18" spans="1:11">
      <c r="A597" s="14">
        <f t="shared" si="27"/>
        <v>596</v>
      </c>
      <c r="B597" s="11" t="s">
        <v>4540</v>
      </c>
      <c r="C597" s="124" t="str">
        <f>IFERROR(INDEX(面试清单!D:D,MATCH(596,面试清单!P:P,0)),"")</f>
        <v>0208</v>
      </c>
      <c r="D597" s="11" t="s">
        <v>42</v>
      </c>
      <c r="E597" s="11" t="s">
        <v>62</v>
      </c>
      <c r="F597" s="11" t="s">
        <v>103</v>
      </c>
      <c r="G597" s="15">
        <v>46089</v>
      </c>
      <c r="H597" s="14" t="str">
        <f>IFERROR(INDEX(面试清单!H:H,MATCH(596,面试清单!P:P,0)),"")</f>
        <v>线下</v>
      </c>
      <c r="I597" s="13" t="s">
        <v>29</v>
      </c>
      <c r="J597" s="14">
        <f ca="1" t="shared" si="28"/>
        <v>100</v>
      </c>
      <c r="K597" s="14">
        <f ca="1" t="shared" si="29"/>
        <v>16</v>
      </c>
    </row>
    <row r="598" ht="18" spans="1:11">
      <c r="A598" s="10">
        <f t="shared" si="27"/>
        <v>597</v>
      </c>
      <c r="B598" s="11" t="s">
        <v>4541</v>
      </c>
      <c r="C598" s="10" t="str">
        <f>IFERROR(INDEX(面试清单!D:D,MATCH(597,面试清单!P:P,0)),"")</f>
        <v/>
      </c>
      <c r="D598" s="11" t="s">
        <v>42</v>
      </c>
      <c r="E598" s="11" t="s">
        <v>62</v>
      </c>
      <c r="F598" s="11" t="s">
        <v>103</v>
      </c>
      <c r="G598" s="15">
        <v>46089</v>
      </c>
      <c r="H598" s="10" t="str">
        <f>IFERROR(INDEX(面试清单!H:H,MATCH(597,面试清单!P:P,0)),"")</f>
        <v/>
      </c>
      <c r="I598" s="13" t="s">
        <v>29</v>
      </c>
      <c r="J598" s="10">
        <f ca="1" t="shared" si="28"/>
        <v>100</v>
      </c>
      <c r="K598" s="10">
        <f ca="1" t="shared" si="29"/>
        <v>16</v>
      </c>
    </row>
    <row r="599" ht="18" spans="1:11">
      <c r="A599" s="14">
        <f t="shared" si="27"/>
        <v>598</v>
      </c>
      <c r="B599" s="11" t="s">
        <v>4542</v>
      </c>
      <c r="C599" s="124" t="str">
        <f>IFERROR(INDEX(面试清单!D:D,MATCH(598,面试清单!P:P,0)),"")</f>
        <v>0212</v>
      </c>
      <c r="D599" s="11" t="s">
        <v>42</v>
      </c>
      <c r="E599" s="11" t="s">
        <v>62</v>
      </c>
      <c r="F599" s="11" t="s">
        <v>103</v>
      </c>
      <c r="G599" s="15">
        <v>46089</v>
      </c>
      <c r="H599" s="14" t="str">
        <f>IFERROR(INDEX(面试清单!H:H,MATCH(598,面试清单!P:P,0)),"")</f>
        <v>线下</v>
      </c>
      <c r="I599" s="13" t="s">
        <v>29</v>
      </c>
      <c r="J599" s="14">
        <f ca="1" t="shared" si="28"/>
        <v>100</v>
      </c>
      <c r="K599" s="14">
        <f ca="1" t="shared" si="29"/>
        <v>16</v>
      </c>
    </row>
    <row r="600" ht="18" spans="1:11">
      <c r="A600" s="10">
        <f t="shared" si="27"/>
        <v>599</v>
      </c>
      <c r="B600" s="11" t="s">
        <v>4543</v>
      </c>
      <c r="C600" s="10" t="str">
        <f>IFERROR(INDEX(面试清单!D:D,MATCH(599,面试清单!P:P,0)),"")</f>
        <v/>
      </c>
      <c r="D600" s="11" t="s">
        <v>43</v>
      </c>
      <c r="E600" s="11" t="s">
        <v>63</v>
      </c>
      <c r="F600" s="11" t="s">
        <v>129</v>
      </c>
      <c r="G600" s="15">
        <v>46089</v>
      </c>
      <c r="H600" s="10" t="str">
        <f>IFERROR(INDEX(面试清单!H:H,MATCH(599,面试清单!P:P,0)),"")</f>
        <v/>
      </c>
      <c r="I600" s="13" t="s">
        <v>29</v>
      </c>
      <c r="J600" s="10">
        <f ca="1" t="shared" si="28"/>
        <v>100</v>
      </c>
      <c r="K600" s="10">
        <f ca="1" t="shared" si="29"/>
        <v>16</v>
      </c>
    </row>
    <row r="601" ht="18" spans="1:11">
      <c r="A601" s="14">
        <f t="shared" si="27"/>
        <v>600</v>
      </c>
      <c r="B601" s="11" t="s">
        <v>4544</v>
      </c>
      <c r="C601" s="14" t="str">
        <f>IFERROR(INDEX(面试清单!D:D,MATCH(600,面试清单!P:P,0)),"")</f>
        <v/>
      </c>
      <c r="D601" s="11" t="s">
        <v>43</v>
      </c>
      <c r="E601" s="11" t="s">
        <v>62</v>
      </c>
      <c r="F601" s="11" t="s">
        <v>690</v>
      </c>
      <c r="G601" s="15">
        <v>46090</v>
      </c>
      <c r="H601" s="14" t="str">
        <f>IFERROR(INDEX(面试清单!H:H,MATCH(600,面试清单!P:P,0)),"")</f>
        <v/>
      </c>
      <c r="I601" s="13" t="s">
        <v>29</v>
      </c>
      <c r="J601" s="14">
        <f ca="1" t="shared" si="28"/>
        <v>99</v>
      </c>
      <c r="K601" s="14">
        <f ca="1" t="shared" si="29"/>
        <v>16</v>
      </c>
    </row>
    <row r="602" ht="18" spans="1:11">
      <c r="A602" s="10">
        <f t="shared" si="27"/>
        <v>601</v>
      </c>
      <c r="B602" s="11" t="s">
        <v>4545</v>
      </c>
      <c r="C602" s="125" t="str">
        <f>IFERROR(INDEX(面试清单!D:D,MATCH(601,面试清单!P:P,0)),"")</f>
        <v>0218</v>
      </c>
      <c r="D602" s="11" t="s">
        <v>43</v>
      </c>
      <c r="E602" s="11" t="s">
        <v>62</v>
      </c>
      <c r="F602" s="11" t="s">
        <v>690</v>
      </c>
      <c r="G602" s="15">
        <v>46090</v>
      </c>
      <c r="H602" s="10" t="str">
        <f>IFERROR(INDEX(面试清单!H:H,MATCH(601,面试清单!P:P,0)),"")</f>
        <v>线下</v>
      </c>
      <c r="I602" s="13" t="s">
        <v>29</v>
      </c>
      <c r="J602" s="10">
        <f ca="1" t="shared" si="28"/>
        <v>99</v>
      </c>
      <c r="K602" s="10">
        <f ca="1" t="shared" si="29"/>
        <v>16</v>
      </c>
    </row>
    <row r="603" ht="18" spans="1:11">
      <c r="A603" s="14">
        <f t="shared" si="27"/>
        <v>602</v>
      </c>
      <c r="B603" s="11" t="s">
        <v>4546</v>
      </c>
      <c r="C603" s="14" t="str">
        <f>IFERROR(INDEX(面试清单!D:D,MATCH(602,面试清单!P:P,0)),"")</f>
        <v/>
      </c>
      <c r="D603" s="11" t="s">
        <v>43</v>
      </c>
      <c r="E603" s="11" t="s">
        <v>62</v>
      </c>
      <c r="F603" s="11" t="s">
        <v>690</v>
      </c>
      <c r="G603" s="15">
        <v>46090</v>
      </c>
      <c r="H603" s="14" t="str">
        <f>IFERROR(INDEX(面试清单!H:H,MATCH(602,面试清单!P:P,0)),"")</f>
        <v/>
      </c>
      <c r="I603" s="13" t="s">
        <v>29</v>
      </c>
      <c r="J603" s="14">
        <f ca="1" t="shared" si="28"/>
        <v>99</v>
      </c>
      <c r="K603" s="14">
        <f ca="1" t="shared" si="29"/>
        <v>16</v>
      </c>
    </row>
    <row r="604" ht="18" spans="1:11">
      <c r="A604" s="10">
        <f t="shared" si="27"/>
        <v>603</v>
      </c>
      <c r="B604" s="11" t="s">
        <v>4547</v>
      </c>
      <c r="C604" s="10" t="str">
        <f>IFERROR(INDEX(面试清单!D:D,MATCH(603,面试清单!P:P,0)),"")</f>
        <v/>
      </c>
      <c r="D604" s="11" t="s">
        <v>42</v>
      </c>
      <c r="E604" s="11" t="s">
        <v>62</v>
      </c>
      <c r="F604" s="11" t="s">
        <v>129</v>
      </c>
      <c r="G604" s="15">
        <v>46090</v>
      </c>
      <c r="H604" s="10" t="str">
        <f>IFERROR(INDEX(面试清单!H:H,MATCH(603,面试清单!P:P,0)),"")</f>
        <v/>
      </c>
      <c r="I604" s="13" t="s">
        <v>29</v>
      </c>
      <c r="J604" s="10">
        <f ca="1" t="shared" si="28"/>
        <v>99</v>
      </c>
      <c r="K604" s="10">
        <f ca="1" t="shared" si="29"/>
        <v>16</v>
      </c>
    </row>
    <row r="605" ht="18" spans="1:11">
      <c r="A605" s="14">
        <f t="shared" si="27"/>
        <v>604</v>
      </c>
      <c r="B605" s="11" t="s">
        <v>4548</v>
      </c>
      <c r="C605" s="14" t="str">
        <f>IFERROR(INDEX(面试清单!D:D,MATCH(604,面试清单!P:P,0)),"")</f>
        <v/>
      </c>
      <c r="D605" s="11" t="s">
        <v>43</v>
      </c>
      <c r="E605" s="11" t="s">
        <v>63</v>
      </c>
      <c r="F605" s="11" t="s">
        <v>129</v>
      </c>
      <c r="G605" s="15">
        <v>46090</v>
      </c>
      <c r="H605" s="14" t="str">
        <f>IFERROR(INDEX(面试清单!H:H,MATCH(604,面试清单!P:P,0)),"")</f>
        <v/>
      </c>
      <c r="I605" s="13" t="s">
        <v>29</v>
      </c>
      <c r="J605" s="14">
        <f ca="1" t="shared" si="28"/>
        <v>99</v>
      </c>
      <c r="K605" s="14">
        <f ca="1" t="shared" si="29"/>
        <v>16</v>
      </c>
    </row>
    <row r="606" ht="18" spans="1:11">
      <c r="A606" s="10">
        <f t="shared" si="27"/>
        <v>605</v>
      </c>
      <c r="B606" s="11" t="s">
        <v>4549</v>
      </c>
      <c r="C606" s="10" t="str">
        <f>IFERROR(INDEX(面试清单!D:D,MATCH(605,面试清单!P:P,0)),"")</f>
        <v/>
      </c>
      <c r="D606" s="11" t="s">
        <v>43</v>
      </c>
      <c r="E606" s="11" t="s">
        <v>62</v>
      </c>
      <c r="F606" s="11" t="s">
        <v>129</v>
      </c>
      <c r="G606" s="15">
        <v>46090</v>
      </c>
      <c r="H606" s="10" t="str">
        <f>IFERROR(INDEX(面试清单!H:H,MATCH(605,面试清单!P:P,0)),"")</f>
        <v/>
      </c>
      <c r="I606" s="13" t="s">
        <v>29</v>
      </c>
      <c r="J606" s="10">
        <f ca="1" t="shared" si="28"/>
        <v>99</v>
      </c>
      <c r="K606" s="10">
        <f ca="1" t="shared" si="29"/>
        <v>16</v>
      </c>
    </row>
    <row r="607" ht="18" spans="1:11">
      <c r="A607" s="14">
        <f t="shared" si="27"/>
        <v>606</v>
      </c>
      <c r="B607" s="11" t="s">
        <v>4550</v>
      </c>
      <c r="C607" s="124" t="str">
        <f>IFERROR(INDEX(面试清单!D:D,MATCH(606,面试清单!P:P,0)),"")</f>
        <v>0209</v>
      </c>
      <c r="D607" s="11" t="s">
        <v>42</v>
      </c>
      <c r="E607" s="11" t="s">
        <v>62</v>
      </c>
      <c r="F607" s="11" t="s">
        <v>110</v>
      </c>
      <c r="G607" s="15">
        <v>46090</v>
      </c>
      <c r="H607" s="14" t="str">
        <f>IFERROR(INDEX(面试清单!H:H,MATCH(606,面试清单!P:P,0)),"")</f>
        <v>线下</v>
      </c>
      <c r="I607" s="13" t="s">
        <v>29</v>
      </c>
      <c r="J607" s="14">
        <f ca="1" t="shared" si="28"/>
        <v>99</v>
      </c>
      <c r="K607" s="14">
        <f ca="1" t="shared" si="29"/>
        <v>16</v>
      </c>
    </row>
    <row r="608" ht="18" spans="1:11">
      <c r="A608" s="10">
        <f t="shared" si="27"/>
        <v>607</v>
      </c>
      <c r="B608" s="11" t="s">
        <v>4551</v>
      </c>
      <c r="C608" s="10" t="str">
        <f>IFERROR(INDEX(面试清单!D:D,MATCH(607,面试清单!P:P,0)),"")</f>
        <v/>
      </c>
      <c r="D608" s="11" t="s">
        <v>43</v>
      </c>
      <c r="E608" s="11" t="s">
        <v>63</v>
      </c>
      <c r="F608" s="11" t="s">
        <v>176</v>
      </c>
      <c r="G608" s="15">
        <v>46090</v>
      </c>
      <c r="H608" s="10" t="str">
        <f>IFERROR(INDEX(面试清单!H:H,MATCH(607,面试清单!P:P,0)),"")</f>
        <v/>
      </c>
      <c r="I608" s="13" t="s">
        <v>29</v>
      </c>
      <c r="J608" s="10">
        <f ca="1" t="shared" si="28"/>
        <v>99</v>
      </c>
      <c r="K608" s="10">
        <f ca="1" t="shared" si="29"/>
        <v>16</v>
      </c>
    </row>
    <row r="609" ht="18" spans="1:11">
      <c r="A609" s="14">
        <f t="shared" si="27"/>
        <v>608</v>
      </c>
      <c r="B609" s="11" t="s">
        <v>4552</v>
      </c>
      <c r="C609" s="124" t="str">
        <f>IFERROR(INDEX(面试清单!D:D,MATCH(608,面试清单!P:P,0)),"")</f>
        <v>0214</v>
      </c>
      <c r="D609" s="11" t="s">
        <v>42</v>
      </c>
      <c r="E609" s="11" t="s">
        <v>63</v>
      </c>
      <c r="F609" s="11" t="s">
        <v>176</v>
      </c>
      <c r="G609" s="15">
        <v>46090</v>
      </c>
      <c r="H609" s="14" t="str">
        <f>IFERROR(INDEX(面试清单!H:H,MATCH(608,面试清单!P:P,0)),"")</f>
        <v>线下</v>
      </c>
      <c r="I609" s="13" t="s">
        <v>29</v>
      </c>
      <c r="J609" s="14">
        <f ca="1" t="shared" si="28"/>
        <v>99</v>
      </c>
      <c r="K609" s="14">
        <f ca="1" t="shared" si="29"/>
        <v>16</v>
      </c>
    </row>
    <row r="610" ht="18" spans="1:11">
      <c r="A610" s="10">
        <f t="shared" si="27"/>
        <v>609</v>
      </c>
      <c r="B610" s="11" t="s">
        <v>4553</v>
      </c>
      <c r="C610" s="10" t="str">
        <f>IFERROR(INDEX(面试清单!D:D,MATCH(609,面试清单!P:P,0)),"")</f>
        <v/>
      </c>
      <c r="D610" s="11" t="s">
        <v>43</v>
      </c>
      <c r="E610" s="11" t="s">
        <v>63</v>
      </c>
      <c r="F610" s="11" t="s">
        <v>135</v>
      </c>
      <c r="G610" s="15">
        <v>46090</v>
      </c>
      <c r="H610" s="10" t="str">
        <f>IFERROR(INDEX(面试清单!H:H,MATCH(609,面试清单!P:P,0)),"")</f>
        <v/>
      </c>
      <c r="I610" s="13" t="s">
        <v>29</v>
      </c>
      <c r="J610" s="10">
        <f ca="1" t="shared" si="28"/>
        <v>99</v>
      </c>
      <c r="K610" s="10">
        <f ca="1" t="shared" si="29"/>
        <v>16</v>
      </c>
    </row>
    <row r="611" ht="18" spans="1:11">
      <c r="A611" s="14">
        <f t="shared" si="27"/>
        <v>610</v>
      </c>
      <c r="B611" s="11" t="s">
        <v>4554</v>
      </c>
      <c r="C611" s="14" t="str">
        <f>IFERROR(INDEX(面试清单!D:D,MATCH(610,面试清单!P:P,0)),"")</f>
        <v/>
      </c>
      <c r="D611" s="11" t="s">
        <v>43</v>
      </c>
      <c r="E611" s="11" t="s">
        <v>63</v>
      </c>
      <c r="F611" s="11" t="s">
        <v>233</v>
      </c>
      <c r="G611" s="15">
        <v>46090</v>
      </c>
      <c r="H611" s="14" t="str">
        <f>IFERROR(INDEX(面试清单!H:H,MATCH(610,面试清单!P:P,0)),"")</f>
        <v/>
      </c>
      <c r="I611" s="13" t="s">
        <v>29</v>
      </c>
      <c r="J611" s="14">
        <f ca="1" t="shared" si="28"/>
        <v>99</v>
      </c>
      <c r="K611" s="14">
        <f ca="1" t="shared" si="29"/>
        <v>16</v>
      </c>
    </row>
    <row r="612" ht="18" spans="1:11">
      <c r="A612" s="10">
        <f t="shared" si="27"/>
        <v>611</v>
      </c>
      <c r="B612" s="11" t="s">
        <v>4555</v>
      </c>
      <c r="C612" s="10" t="str">
        <f>IFERROR(INDEX(面试清单!D:D,MATCH(611,面试清单!P:P,0)),"")</f>
        <v/>
      </c>
      <c r="D612" s="11" t="s">
        <v>42</v>
      </c>
      <c r="E612" s="11" t="s">
        <v>62</v>
      </c>
      <c r="F612" s="11" t="s">
        <v>233</v>
      </c>
      <c r="G612" s="15">
        <v>46090</v>
      </c>
      <c r="H612" s="10" t="str">
        <f>IFERROR(INDEX(面试清单!H:H,MATCH(611,面试清单!P:P,0)),"")</f>
        <v/>
      </c>
      <c r="I612" s="13" t="s">
        <v>29</v>
      </c>
      <c r="J612" s="10">
        <f ca="1" t="shared" si="28"/>
        <v>99</v>
      </c>
      <c r="K612" s="10">
        <f ca="1" t="shared" si="29"/>
        <v>16</v>
      </c>
    </row>
    <row r="613" ht="18" spans="1:11">
      <c r="A613" s="14">
        <f t="shared" si="27"/>
        <v>612</v>
      </c>
      <c r="B613" s="11" t="s">
        <v>4556</v>
      </c>
      <c r="C613" s="14" t="str">
        <f>IFERROR(INDEX(面试清单!D:D,MATCH(612,面试清单!P:P,0)),"")</f>
        <v/>
      </c>
      <c r="D613" s="11" t="s">
        <v>43</v>
      </c>
      <c r="E613" s="11" t="s">
        <v>63</v>
      </c>
      <c r="F613" s="11" t="s">
        <v>233</v>
      </c>
      <c r="G613" s="15">
        <v>46090</v>
      </c>
      <c r="H613" s="14" t="str">
        <f>IFERROR(INDEX(面试清单!H:H,MATCH(612,面试清单!P:P,0)),"")</f>
        <v/>
      </c>
      <c r="I613" s="13" t="s">
        <v>29</v>
      </c>
      <c r="J613" s="14">
        <f ca="1" t="shared" si="28"/>
        <v>99</v>
      </c>
      <c r="K613" s="14">
        <f ca="1" t="shared" si="29"/>
        <v>16</v>
      </c>
    </row>
    <row r="614" ht="18" spans="1:11">
      <c r="A614" s="10">
        <f t="shared" si="27"/>
        <v>613</v>
      </c>
      <c r="B614" s="11" t="s">
        <v>4557</v>
      </c>
      <c r="C614" s="10" t="str">
        <f>IFERROR(INDEX(面试清单!D:D,MATCH(613,面试清单!P:P,0)),"")</f>
        <v/>
      </c>
      <c r="D614" s="11" t="s">
        <v>43</v>
      </c>
      <c r="E614" s="11" t="s">
        <v>63</v>
      </c>
      <c r="F614" s="11" t="s">
        <v>179</v>
      </c>
      <c r="G614" s="15">
        <v>46090</v>
      </c>
      <c r="H614" s="10" t="str">
        <f>IFERROR(INDEX(面试清单!H:H,MATCH(613,面试清单!P:P,0)),"")</f>
        <v/>
      </c>
      <c r="I614" s="13" t="s">
        <v>29</v>
      </c>
      <c r="J614" s="10">
        <f ca="1" t="shared" si="28"/>
        <v>99</v>
      </c>
      <c r="K614" s="10">
        <f ca="1" t="shared" si="29"/>
        <v>16</v>
      </c>
    </row>
    <row r="615" ht="18" spans="1:11">
      <c r="A615" s="14">
        <f t="shared" si="27"/>
        <v>614</v>
      </c>
      <c r="B615" s="11" t="s">
        <v>4558</v>
      </c>
      <c r="C615" s="14" t="str">
        <f>IFERROR(INDEX(面试清单!D:D,MATCH(614,面试清单!P:P,0)),"")</f>
        <v/>
      </c>
      <c r="D615" s="11" t="s">
        <v>42</v>
      </c>
      <c r="E615" s="11" t="s">
        <v>62</v>
      </c>
      <c r="F615" s="11" t="s">
        <v>103</v>
      </c>
      <c r="G615" s="15">
        <v>46090</v>
      </c>
      <c r="H615" s="14" t="str">
        <f>IFERROR(INDEX(面试清单!H:H,MATCH(614,面试清单!P:P,0)),"")</f>
        <v/>
      </c>
      <c r="I615" s="13" t="s">
        <v>29</v>
      </c>
      <c r="J615" s="14">
        <f ca="1" t="shared" si="28"/>
        <v>99</v>
      </c>
      <c r="K615" s="14">
        <f ca="1" t="shared" si="29"/>
        <v>16</v>
      </c>
    </row>
    <row r="616" ht="18" spans="1:11">
      <c r="A616" s="10">
        <f t="shared" si="27"/>
        <v>615</v>
      </c>
      <c r="B616" s="11" t="s">
        <v>2411</v>
      </c>
      <c r="C616" s="10" t="str">
        <f>IFERROR(INDEX(面试清单!D:D,MATCH(615,面试清单!P:P,0)),"")</f>
        <v/>
      </c>
      <c r="D616" s="11" t="s">
        <v>42</v>
      </c>
      <c r="E616" s="11" t="s">
        <v>62</v>
      </c>
      <c r="F616" s="11" t="s">
        <v>103</v>
      </c>
      <c r="G616" s="15">
        <v>46090</v>
      </c>
      <c r="H616" s="10" t="str">
        <f>IFERROR(INDEX(面试清单!H:H,MATCH(615,面试清单!P:P,0)),"")</f>
        <v/>
      </c>
      <c r="I616" s="13" t="s">
        <v>29</v>
      </c>
      <c r="J616" s="10">
        <f ca="1" t="shared" si="28"/>
        <v>99</v>
      </c>
      <c r="K616" s="10">
        <f ca="1" t="shared" si="29"/>
        <v>16</v>
      </c>
    </row>
    <row r="617" ht="18" spans="1:11">
      <c r="A617" s="14">
        <f t="shared" si="27"/>
        <v>616</v>
      </c>
      <c r="B617" s="11" t="s">
        <v>4559</v>
      </c>
      <c r="C617" s="14" t="str">
        <f>IFERROR(INDEX(面试清单!D:D,MATCH(616,面试清单!P:P,0)),"")</f>
        <v/>
      </c>
      <c r="D617" s="11" t="s">
        <v>42</v>
      </c>
      <c r="E617" s="11" t="s">
        <v>62</v>
      </c>
      <c r="F617" s="11" t="s">
        <v>103</v>
      </c>
      <c r="G617" s="15">
        <v>46090</v>
      </c>
      <c r="H617" s="14" t="str">
        <f>IFERROR(INDEX(面试清单!H:H,MATCH(616,面试清单!P:P,0)),"")</f>
        <v/>
      </c>
      <c r="I617" s="13" t="s">
        <v>29</v>
      </c>
      <c r="J617" s="14">
        <f ca="1" t="shared" si="28"/>
        <v>99</v>
      </c>
      <c r="K617" s="14">
        <f ca="1" t="shared" si="29"/>
        <v>16</v>
      </c>
    </row>
    <row r="618" ht="18" spans="1:11">
      <c r="A618" s="10">
        <f t="shared" si="27"/>
        <v>617</v>
      </c>
      <c r="B618" s="11" t="s">
        <v>4560</v>
      </c>
      <c r="C618" s="125" t="str">
        <f>IFERROR(INDEX(面试清单!D:D,MATCH(617,面试清单!P:P,0)),"")</f>
        <v>0212</v>
      </c>
      <c r="D618" s="11" t="s">
        <v>42</v>
      </c>
      <c r="E618" s="11" t="s">
        <v>62</v>
      </c>
      <c r="F618" s="11" t="s">
        <v>103</v>
      </c>
      <c r="G618" s="15">
        <v>46090</v>
      </c>
      <c r="H618" s="10" t="str">
        <f>IFERROR(INDEX(面试清单!H:H,MATCH(617,面试清单!P:P,0)),"")</f>
        <v>线下</v>
      </c>
      <c r="I618" s="13" t="s">
        <v>29</v>
      </c>
      <c r="J618" s="10">
        <f ca="1" t="shared" si="28"/>
        <v>99</v>
      </c>
      <c r="K618" s="10">
        <f ca="1" t="shared" si="29"/>
        <v>16</v>
      </c>
    </row>
    <row r="619" ht="18" spans="1:11">
      <c r="A619" s="14">
        <f t="shared" si="27"/>
        <v>618</v>
      </c>
      <c r="B619" s="11" t="s">
        <v>4561</v>
      </c>
      <c r="C619" s="124" t="str">
        <f>IFERROR(INDEX(面试清单!D:D,MATCH(618,面试清单!P:P,0)),"")</f>
        <v>0214</v>
      </c>
      <c r="D619" s="11" t="s">
        <v>42</v>
      </c>
      <c r="E619" s="11" t="s">
        <v>62</v>
      </c>
      <c r="F619" s="11" t="s">
        <v>103</v>
      </c>
      <c r="G619" s="15">
        <v>46090</v>
      </c>
      <c r="H619" s="14" t="str">
        <f>IFERROR(INDEX(面试清单!H:H,MATCH(618,面试清单!P:P,0)),"")</f>
        <v>线下</v>
      </c>
      <c r="I619" s="13" t="s">
        <v>29</v>
      </c>
      <c r="J619" s="14">
        <f ca="1" t="shared" si="28"/>
        <v>99</v>
      </c>
      <c r="K619" s="14">
        <f ca="1" t="shared" si="29"/>
        <v>16</v>
      </c>
    </row>
    <row r="620" ht="18" spans="1:11">
      <c r="A620" s="10">
        <f t="shared" si="27"/>
        <v>619</v>
      </c>
      <c r="B620" s="11" t="s">
        <v>4562</v>
      </c>
      <c r="C620" s="10" t="str">
        <f>IFERROR(INDEX(面试清单!D:D,MATCH(619,面试清单!P:P,0)),"")</f>
        <v/>
      </c>
      <c r="D620" s="11" t="s">
        <v>42</v>
      </c>
      <c r="E620" s="11" t="s">
        <v>62</v>
      </c>
      <c r="F620" s="11" t="s">
        <v>103</v>
      </c>
      <c r="G620" s="15">
        <v>46090</v>
      </c>
      <c r="H620" s="10" t="str">
        <f>IFERROR(INDEX(面试清单!H:H,MATCH(619,面试清单!P:P,0)),"")</f>
        <v/>
      </c>
      <c r="I620" s="13" t="s">
        <v>29</v>
      </c>
      <c r="J620" s="10">
        <f ca="1" t="shared" si="28"/>
        <v>99</v>
      </c>
      <c r="K620" s="10">
        <f ca="1" t="shared" si="29"/>
        <v>16</v>
      </c>
    </row>
    <row r="621" ht="18" spans="1:11">
      <c r="A621" s="14">
        <f t="shared" si="27"/>
        <v>620</v>
      </c>
      <c r="B621" s="11" t="s">
        <v>4563</v>
      </c>
      <c r="C621" s="124" t="str">
        <f>IFERROR(INDEX(面试清单!D:D,MATCH(620,面试清单!P:P,0)),"")</f>
        <v>0218</v>
      </c>
      <c r="D621" s="11" t="s">
        <v>42</v>
      </c>
      <c r="E621" s="11" t="s">
        <v>63</v>
      </c>
      <c r="F621" s="11" t="s">
        <v>103</v>
      </c>
      <c r="G621" s="15">
        <v>46090</v>
      </c>
      <c r="H621" s="14" t="str">
        <f>IFERROR(INDEX(面试清单!H:H,MATCH(620,面试清单!P:P,0)),"")</f>
        <v>线下</v>
      </c>
      <c r="I621" s="13" t="s">
        <v>29</v>
      </c>
      <c r="J621" s="14">
        <f ca="1" t="shared" si="28"/>
        <v>99</v>
      </c>
      <c r="K621" s="14">
        <f ca="1" t="shared" si="29"/>
        <v>16</v>
      </c>
    </row>
    <row r="622" ht="18" spans="1:11">
      <c r="A622" s="10">
        <f t="shared" si="27"/>
        <v>621</v>
      </c>
      <c r="B622" s="11" t="s">
        <v>4564</v>
      </c>
      <c r="C622" s="125" t="str">
        <f>IFERROR(INDEX(面试清单!D:D,MATCH(621,面试清单!P:P,0)),"")</f>
        <v>0220</v>
      </c>
      <c r="D622" s="11" t="s">
        <v>43</v>
      </c>
      <c r="E622" s="11" t="s">
        <v>63</v>
      </c>
      <c r="F622" s="11" t="s">
        <v>103</v>
      </c>
      <c r="G622" s="15">
        <v>46090</v>
      </c>
      <c r="H622" s="10" t="str">
        <f>IFERROR(INDEX(面试清单!H:H,MATCH(621,面试清单!P:P,0)),"")</f>
        <v>线下</v>
      </c>
      <c r="I622" s="13" t="s">
        <v>29</v>
      </c>
      <c r="J622" s="10">
        <f ca="1" t="shared" si="28"/>
        <v>99</v>
      </c>
      <c r="K622" s="10">
        <f ca="1" t="shared" si="29"/>
        <v>16</v>
      </c>
    </row>
    <row r="623" ht="18" spans="1:11">
      <c r="A623" s="14">
        <f t="shared" si="27"/>
        <v>622</v>
      </c>
      <c r="B623" s="11" t="s">
        <v>4565</v>
      </c>
      <c r="C623" s="14" t="str">
        <f>IFERROR(INDEX(面试清单!D:D,MATCH(622,面试清单!P:P,0)),"")</f>
        <v/>
      </c>
      <c r="D623" s="11" t="s">
        <v>42</v>
      </c>
      <c r="E623" s="11" t="s">
        <v>63</v>
      </c>
      <c r="F623" s="11" t="s">
        <v>148</v>
      </c>
      <c r="G623" s="15">
        <v>46090</v>
      </c>
      <c r="H623" s="14" t="str">
        <f>IFERROR(INDEX(面试清单!H:H,MATCH(622,面试清单!P:P,0)),"")</f>
        <v/>
      </c>
      <c r="I623" s="13" t="s">
        <v>29</v>
      </c>
      <c r="J623" s="14">
        <f ca="1" t="shared" si="28"/>
        <v>99</v>
      </c>
      <c r="K623" s="14">
        <f ca="1" t="shared" si="29"/>
        <v>16</v>
      </c>
    </row>
    <row r="624" ht="18" spans="1:11">
      <c r="A624" s="10">
        <f t="shared" si="27"/>
        <v>623</v>
      </c>
      <c r="B624" s="11" t="s">
        <v>4566</v>
      </c>
      <c r="C624" s="10" t="str">
        <f>IFERROR(INDEX(面试清单!D:D,MATCH(623,面试清单!P:P,0)),"")</f>
        <v/>
      </c>
      <c r="D624" s="11" t="s">
        <v>42</v>
      </c>
      <c r="E624" s="11" t="s">
        <v>63</v>
      </c>
      <c r="F624" s="11" t="s">
        <v>124</v>
      </c>
      <c r="G624" s="15">
        <v>46090</v>
      </c>
      <c r="H624" s="10" t="str">
        <f>IFERROR(INDEX(面试清单!H:H,MATCH(623,面试清单!P:P,0)),"")</f>
        <v/>
      </c>
      <c r="I624" s="13" t="s">
        <v>29</v>
      </c>
      <c r="J624" s="10">
        <f ca="1" t="shared" si="28"/>
        <v>99</v>
      </c>
      <c r="K624" s="10">
        <f ca="1" t="shared" si="29"/>
        <v>16</v>
      </c>
    </row>
    <row r="625" ht="18" spans="1:11">
      <c r="A625" s="14">
        <f t="shared" si="27"/>
        <v>624</v>
      </c>
      <c r="B625" s="11" t="s">
        <v>4567</v>
      </c>
      <c r="C625" s="14" t="str">
        <f>IFERROR(INDEX(面试清单!D:D,MATCH(624,面试清单!P:P,0)),"")</f>
        <v/>
      </c>
      <c r="D625" s="11" t="s">
        <v>43</v>
      </c>
      <c r="E625" s="11" t="s">
        <v>62</v>
      </c>
      <c r="F625" s="11" t="s">
        <v>124</v>
      </c>
      <c r="G625" s="15">
        <v>46090</v>
      </c>
      <c r="H625" s="14" t="str">
        <f>IFERROR(INDEX(面试清单!H:H,MATCH(624,面试清单!P:P,0)),"")</f>
        <v/>
      </c>
      <c r="I625" s="13" t="s">
        <v>29</v>
      </c>
      <c r="J625" s="14">
        <f ca="1" t="shared" si="28"/>
        <v>99</v>
      </c>
      <c r="K625" s="14">
        <f ca="1" t="shared" si="29"/>
        <v>16</v>
      </c>
    </row>
    <row r="626" ht="18" spans="1:11">
      <c r="A626" s="10">
        <f t="shared" si="27"/>
        <v>625</v>
      </c>
      <c r="B626" s="11" t="s">
        <v>4568</v>
      </c>
      <c r="C626" s="125" t="str">
        <f>IFERROR(INDEX(面试清单!D:D,MATCH(625,面试清单!P:P,0)),"")</f>
        <v>0209</v>
      </c>
      <c r="D626" s="11" t="s">
        <v>42</v>
      </c>
      <c r="E626" s="11" t="s">
        <v>62</v>
      </c>
      <c r="F626" s="11" t="s">
        <v>124</v>
      </c>
      <c r="G626" s="15">
        <v>46090</v>
      </c>
      <c r="H626" s="10" t="str">
        <f>IFERROR(INDEX(面试清单!H:H,MATCH(625,面试清单!P:P,0)),"")</f>
        <v>线下</v>
      </c>
      <c r="I626" s="13" t="s">
        <v>29</v>
      </c>
      <c r="J626" s="10">
        <f ca="1" t="shared" si="28"/>
        <v>99</v>
      </c>
      <c r="K626" s="10">
        <f ca="1" t="shared" si="29"/>
        <v>16</v>
      </c>
    </row>
    <row r="627" ht="18" spans="1:11">
      <c r="A627" s="14">
        <f t="shared" si="27"/>
        <v>626</v>
      </c>
      <c r="B627" s="11" t="s">
        <v>4569</v>
      </c>
      <c r="C627" s="124" t="str">
        <f>IFERROR(INDEX(面试清单!D:D,MATCH(626,面试清单!P:P,0)),"")</f>
        <v>0212</v>
      </c>
      <c r="D627" s="11" t="s">
        <v>43</v>
      </c>
      <c r="E627" s="11" t="s">
        <v>62</v>
      </c>
      <c r="F627" s="11" t="s">
        <v>124</v>
      </c>
      <c r="G627" s="15">
        <v>46090</v>
      </c>
      <c r="H627" s="14" t="str">
        <f>IFERROR(INDEX(面试清单!H:H,MATCH(626,面试清单!P:P,0)),"")</f>
        <v>线下</v>
      </c>
      <c r="I627" s="13" t="s">
        <v>29</v>
      </c>
      <c r="J627" s="14">
        <f ca="1" t="shared" si="28"/>
        <v>99</v>
      </c>
      <c r="K627" s="14">
        <f ca="1" t="shared" si="29"/>
        <v>16</v>
      </c>
    </row>
    <row r="628" ht="18" spans="1:11">
      <c r="A628" s="10">
        <f t="shared" si="27"/>
        <v>627</v>
      </c>
      <c r="B628" s="11" t="s">
        <v>4570</v>
      </c>
      <c r="C628" s="10" t="str">
        <f>IFERROR(INDEX(面试清单!D:D,MATCH(627,面试清单!P:P,0)),"")</f>
        <v/>
      </c>
      <c r="D628" s="11" t="s">
        <v>43</v>
      </c>
      <c r="E628" s="11" t="s">
        <v>62</v>
      </c>
      <c r="F628" s="11" t="s">
        <v>124</v>
      </c>
      <c r="G628" s="15">
        <v>46090</v>
      </c>
      <c r="H628" s="10" t="str">
        <f>IFERROR(INDEX(面试清单!H:H,MATCH(627,面试清单!P:P,0)),"")</f>
        <v/>
      </c>
      <c r="I628" s="13" t="s">
        <v>29</v>
      </c>
      <c r="J628" s="10">
        <f ca="1" t="shared" si="28"/>
        <v>99</v>
      </c>
      <c r="K628" s="10">
        <f ca="1" t="shared" si="29"/>
        <v>16</v>
      </c>
    </row>
    <row r="629" ht="18" spans="1:11">
      <c r="A629" s="14">
        <f t="shared" si="27"/>
        <v>628</v>
      </c>
      <c r="B629" s="11" t="s">
        <v>4571</v>
      </c>
      <c r="C629" s="124" t="str">
        <f>IFERROR(INDEX(面试清单!D:D,MATCH(628,面试清单!P:P,0)),"")</f>
        <v>0217</v>
      </c>
      <c r="D629" s="11" t="s">
        <v>43</v>
      </c>
      <c r="E629" s="11" t="s">
        <v>63</v>
      </c>
      <c r="F629" s="11" t="s">
        <v>173</v>
      </c>
      <c r="G629" s="15">
        <v>46090</v>
      </c>
      <c r="H629" s="14" t="str">
        <f>IFERROR(INDEX(面试清单!H:H,MATCH(628,面试清单!P:P,0)),"")</f>
        <v>线下</v>
      </c>
      <c r="I629" s="13" t="s">
        <v>29</v>
      </c>
      <c r="J629" s="14">
        <f ca="1" t="shared" si="28"/>
        <v>99</v>
      </c>
      <c r="K629" s="14">
        <f ca="1" t="shared" si="29"/>
        <v>16</v>
      </c>
    </row>
    <row r="630" ht="18" spans="1:11">
      <c r="A630" s="10">
        <f t="shared" si="27"/>
        <v>629</v>
      </c>
      <c r="B630" s="11" t="s">
        <v>4572</v>
      </c>
      <c r="C630" s="10" t="str">
        <f>IFERROR(INDEX(面试清单!D:D,MATCH(629,面试清单!P:P,0)),"")</f>
        <v/>
      </c>
      <c r="D630" s="11" t="s">
        <v>42</v>
      </c>
      <c r="E630" s="11" t="s">
        <v>62</v>
      </c>
      <c r="F630" s="11" t="s">
        <v>509</v>
      </c>
      <c r="G630" s="15">
        <v>46090</v>
      </c>
      <c r="H630" s="10" t="str">
        <f>IFERROR(INDEX(面试清单!H:H,MATCH(629,面试清单!P:P,0)),"")</f>
        <v/>
      </c>
      <c r="I630" s="13" t="s">
        <v>29</v>
      </c>
      <c r="J630" s="10">
        <f ca="1" t="shared" si="28"/>
        <v>99</v>
      </c>
      <c r="K630" s="10">
        <f ca="1" t="shared" si="29"/>
        <v>16</v>
      </c>
    </row>
    <row r="631" ht="18" spans="1:11">
      <c r="A631" s="14">
        <f t="shared" si="27"/>
        <v>630</v>
      </c>
      <c r="B631" s="11" t="s">
        <v>4573</v>
      </c>
      <c r="C631" s="124" t="str">
        <f>IFERROR(INDEX(面试清单!D:D,MATCH(630,面试清单!P:P,0)),"")</f>
        <v>0220</v>
      </c>
      <c r="D631" s="11" t="s">
        <v>43</v>
      </c>
      <c r="E631" s="11" t="s">
        <v>62</v>
      </c>
      <c r="F631" s="11" t="s">
        <v>3356</v>
      </c>
      <c r="G631" s="15">
        <v>46090</v>
      </c>
      <c r="H631" s="14" t="str">
        <f>IFERROR(INDEX(面试清单!H:H,MATCH(630,面试清单!P:P,0)),"")</f>
        <v>线下</v>
      </c>
      <c r="I631" s="13" t="s">
        <v>29</v>
      </c>
      <c r="J631" s="14">
        <f ca="1" t="shared" si="28"/>
        <v>99</v>
      </c>
      <c r="K631" s="14">
        <f ca="1" t="shared" si="29"/>
        <v>16</v>
      </c>
    </row>
    <row r="632" ht="18" spans="1:11">
      <c r="A632" s="10">
        <f t="shared" si="27"/>
        <v>631</v>
      </c>
      <c r="B632" s="11" t="s">
        <v>4574</v>
      </c>
      <c r="C632" s="10" t="str">
        <f>IFERROR(INDEX(面试清单!D:D,MATCH(631,面试清单!P:P,0)),"")</f>
        <v/>
      </c>
      <c r="D632" s="11" t="s">
        <v>42</v>
      </c>
      <c r="E632" s="11" t="s">
        <v>62</v>
      </c>
      <c r="F632" s="11" t="s">
        <v>3356</v>
      </c>
      <c r="G632" s="15">
        <v>46090</v>
      </c>
      <c r="H632" s="10" t="str">
        <f>IFERROR(INDEX(面试清单!H:H,MATCH(631,面试清单!P:P,0)),"")</f>
        <v/>
      </c>
      <c r="I632" s="13" t="s">
        <v>29</v>
      </c>
      <c r="J632" s="10">
        <f ca="1" t="shared" si="28"/>
        <v>99</v>
      </c>
      <c r="K632" s="10">
        <f ca="1" t="shared" si="29"/>
        <v>16</v>
      </c>
    </row>
    <row r="633" ht="18" spans="1:11">
      <c r="A633" s="14">
        <f t="shared" si="27"/>
        <v>632</v>
      </c>
      <c r="B633" s="11" t="s">
        <v>4575</v>
      </c>
      <c r="C633" s="14" t="str">
        <f>IFERROR(INDEX(面试清单!D:D,MATCH(632,面试清单!P:P,0)),"")</f>
        <v/>
      </c>
      <c r="D633" s="11" t="s">
        <v>43</v>
      </c>
      <c r="E633" s="11" t="s">
        <v>63</v>
      </c>
      <c r="F633" s="11" t="s">
        <v>132</v>
      </c>
      <c r="G633" s="15">
        <v>46090</v>
      </c>
      <c r="H633" s="14" t="str">
        <f>IFERROR(INDEX(面试清单!H:H,MATCH(632,面试清单!P:P,0)),"")</f>
        <v/>
      </c>
      <c r="I633" s="13" t="s">
        <v>29</v>
      </c>
      <c r="J633" s="14">
        <f ca="1" t="shared" si="28"/>
        <v>99</v>
      </c>
      <c r="K633" s="14">
        <f ca="1" t="shared" si="29"/>
        <v>16</v>
      </c>
    </row>
    <row r="634" ht="18" spans="1:11">
      <c r="A634" s="10">
        <f t="shared" si="27"/>
        <v>633</v>
      </c>
      <c r="B634" s="11" t="s">
        <v>4576</v>
      </c>
      <c r="C634" s="10" t="str">
        <f>IFERROR(INDEX(面试清单!D:D,MATCH(633,面试清单!P:P,0)),"")</f>
        <v/>
      </c>
      <c r="D634" s="11" t="s">
        <v>43</v>
      </c>
      <c r="E634" s="11" t="s">
        <v>63</v>
      </c>
      <c r="F634" s="11" t="s">
        <v>132</v>
      </c>
      <c r="G634" s="15">
        <v>46090</v>
      </c>
      <c r="H634" s="10" t="str">
        <f>IFERROR(INDEX(面试清单!H:H,MATCH(633,面试清单!P:P,0)),"")</f>
        <v/>
      </c>
      <c r="I634" s="13" t="s">
        <v>29</v>
      </c>
      <c r="J634" s="10">
        <f ca="1" t="shared" si="28"/>
        <v>99</v>
      </c>
      <c r="K634" s="10">
        <f ca="1" t="shared" si="29"/>
        <v>16</v>
      </c>
    </row>
    <row r="635" ht="18" spans="1:11">
      <c r="A635" s="14">
        <f t="shared" si="27"/>
        <v>634</v>
      </c>
      <c r="B635" s="11" t="s">
        <v>4577</v>
      </c>
      <c r="C635" s="124" t="str">
        <f>IFERROR(INDEX(面试清单!D:D,MATCH(634,面试清单!P:P,0)),"")</f>
        <v>0209</v>
      </c>
      <c r="D635" s="11" t="s">
        <v>42</v>
      </c>
      <c r="E635" s="11" t="s">
        <v>62</v>
      </c>
      <c r="F635" s="11" t="s">
        <v>132</v>
      </c>
      <c r="G635" s="15">
        <v>46090</v>
      </c>
      <c r="H635" s="14" t="str">
        <f>IFERROR(INDEX(面试清单!H:H,MATCH(634,面试清单!P:P,0)),"")</f>
        <v>线下</v>
      </c>
      <c r="I635" s="13" t="s">
        <v>29</v>
      </c>
      <c r="J635" s="14">
        <f ca="1" t="shared" si="28"/>
        <v>99</v>
      </c>
      <c r="K635" s="14">
        <f ca="1" t="shared" si="29"/>
        <v>16</v>
      </c>
    </row>
    <row r="636" ht="18" spans="1:11">
      <c r="A636" s="10">
        <f t="shared" si="27"/>
        <v>635</v>
      </c>
      <c r="B636" s="11" t="s">
        <v>4578</v>
      </c>
      <c r="C636" s="125" t="str">
        <f>IFERROR(INDEX(面试清单!D:D,MATCH(635,面试清单!P:P,0)),"")</f>
        <v>0212</v>
      </c>
      <c r="D636" s="11" t="s">
        <v>43</v>
      </c>
      <c r="E636" s="11" t="s">
        <v>63</v>
      </c>
      <c r="F636" s="11" t="s">
        <v>124</v>
      </c>
      <c r="G636" s="15">
        <v>46090</v>
      </c>
      <c r="H636" s="10" t="str">
        <f>IFERROR(INDEX(面试清单!H:H,MATCH(635,面试清单!P:P,0)),"")</f>
        <v>线下</v>
      </c>
      <c r="I636" s="13" t="s">
        <v>29</v>
      </c>
      <c r="J636" s="10">
        <f ca="1" t="shared" si="28"/>
        <v>99</v>
      </c>
      <c r="K636" s="10">
        <f ca="1" t="shared" si="29"/>
        <v>16</v>
      </c>
    </row>
    <row r="637" ht="18" spans="1:11">
      <c r="A637" s="14">
        <f t="shared" si="27"/>
        <v>636</v>
      </c>
      <c r="B637" s="11" t="s">
        <v>4579</v>
      </c>
      <c r="C637" s="124" t="str">
        <f>IFERROR(INDEX(面试清单!D:D,MATCH(636,面试清单!P:P,0)),"")</f>
        <v>0214</v>
      </c>
      <c r="D637" s="11" t="s">
        <v>42</v>
      </c>
      <c r="E637" s="11" t="s">
        <v>63</v>
      </c>
      <c r="F637" s="11" t="s">
        <v>176</v>
      </c>
      <c r="G637" s="15">
        <v>46090</v>
      </c>
      <c r="H637" s="14" t="str">
        <f>IFERROR(INDEX(面试清单!H:H,MATCH(636,面试清单!P:P,0)),"")</f>
        <v>线下</v>
      </c>
      <c r="I637" s="13" t="s">
        <v>29</v>
      </c>
      <c r="J637" s="14">
        <f ca="1" t="shared" si="28"/>
        <v>99</v>
      </c>
      <c r="K637" s="14">
        <f ca="1" t="shared" si="29"/>
        <v>16</v>
      </c>
    </row>
    <row r="638" ht="18" spans="1:11">
      <c r="A638" s="10">
        <f t="shared" si="27"/>
        <v>637</v>
      </c>
      <c r="B638" s="11" t="s">
        <v>4580</v>
      </c>
      <c r="C638" s="10" t="str">
        <f>IFERROR(INDEX(面试清单!D:D,MATCH(637,面试清单!P:P,0)),"")</f>
        <v/>
      </c>
      <c r="D638" s="11" t="s">
        <v>42</v>
      </c>
      <c r="E638" s="11" t="s">
        <v>62</v>
      </c>
      <c r="F638" s="11" t="s">
        <v>103</v>
      </c>
      <c r="G638" s="15">
        <v>46090</v>
      </c>
      <c r="H638" s="10" t="str">
        <f>IFERROR(INDEX(面试清单!H:H,MATCH(637,面试清单!P:P,0)),"")</f>
        <v/>
      </c>
      <c r="I638" s="13" t="s">
        <v>29</v>
      </c>
      <c r="J638" s="10">
        <f ca="1" t="shared" si="28"/>
        <v>99</v>
      </c>
      <c r="K638" s="10">
        <f ca="1" t="shared" si="29"/>
        <v>16</v>
      </c>
    </row>
    <row r="639" ht="18" spans="1:11">
      <c r="A639" s="14">
        <f t="shared" si="27"/>
        <v>638</v>
      </c>
      <c r="B639" s="11" t="s">
        <v>4581</v>
      </c>
      <c r="C639" s="14" t="str">
        <f>IFERROR(INDEX(面试清单!D:D,MATCH(638,面试清单!P:P,0)),"")</f>
        <v/>
      </c>
      <c r="D639" s="11" t="s">
        <v>43</v>
      </c>
      <c r="E639" s="11" t="s">
        <v>62</v>
      </c>
      <c r="F639" s="11" t="s">
        <v>233</v>
      </c>
      <c r="G639" s="15">
        <v>46090</v>
      </c>
      <c r="H639" s="14" t="str">
        <f>IFERROR(INDEX(面试清单!H:H,MATCH(638,面试清单!P:P,0)),"")</f>
        <v/>
      </c>
      <c r="I639" s="13" t="s">
        <v>29</v>
      </c>
      <c r="J639" s="14">
        <f ca="1" t="shared" si="28"/>
        <v>99</v>
      </c>
      <c r="K639" s="14">
        <f ca="1" t="shared" si="29"/>
        <v>16</v>
      </c>
    </row>
    <row r="640" ht="18" spans="1:11">
      <c r="A640" s="10">
        <f t="shared" si="27"/>
        <v>639</v>
      </c>
      <c r="B640" s="11" t="s">
        <v>4582</v>
      </c>
      <c r="C640" s="10" t="str">
        <f>IFERROR(INDEX(面试清单!D:D,MATCH(639,面试清单!P:P,0)),"")</f>
        <v/>
      </c>
      <c r="D640" s="11" t="s">
        <v>43</v>
      </c>
      <c r="E640" s="11" t="s">
        <v>62</v>
      </c>
      <c r="F640" s="11" t="s">
        <v>179</v>
      </c>
      <c r="G640" s="15">
        <v>46090</v>
      </c>
      <c r="H640" s="10" t="str">
        <f>IFERROR(INDEX(面试清单!H:H,MATCH(639,面试清单!P:P,0)),"")</f>
        <v/>
      </c>
      <c r="I640" s="13" t="s">
        <v>29</v>
      </c>
      <c r="J640" s="10">
        <f ca="1" t="shared" si="28"/>
        <v>99</v>
      </c>
      <c r="K640" s="10">
        <f ca="1" t="shared" si="29"/>
        <v>16</v>
      </c>
    </row>
    <row r="641" ht="18" spans="1:11">
      <c r="A641" s="14">
        <f t="shared" si="27"/>
        <v>640</v>
      </c>
      <c r="B641" s="11" t="s">
        <v>4583</v>
      </c>
      <c r="C641" s="14" t="str">
        <f>IFERROR(INDEX(面试清单!D:D,MATCH(640,面试清单!P:P,0)),"")</f>
        <v/>
      </c>
      <c r="D641" s="11" t="s">
        <v>43</v>
      </c>
      <c r="E641" s="11" t="s">
        <v>62</v>
      </c>
      <c r="F641" s="11" t="s">
        <v>103</v>
      </c>
      <c r="G641" s="15">
        <v>46090</v>
      </c>
      <c r="H641" s="14" t="str">
        <f>IFERROR(INDEX(面试清单!H:H,MATCH(640,面试清单!P:P,0)),"")</f>
        <v/>
      </c>
      <c r="I641" s="13" t="s">
        <v>29</v>
      </c>
      <c r="J641" s="14">
        <f ca="1" t="shared" si="28"/>
        <v>99</v>
      </c>
      <c r="K641" s="14">
        <f ca="1" t="shared" si="29"/>
        <v>16</v>
      </c>
    </row>
    <row r="642" ht="18" spans="1:11">
      <c r="A642" s="10">
        <f t="shared" ref="A642:A705" si="30">IF(B642&lt;&gt;"",ROW()-1,"")</f>
        <v>641</v>
      </c>
      <c r="B642" s="11" t="s">
        <v>4584</v>
      </c>
      <c r="C642" s="10" t="str">
        <f>IFERROR(INDEX(面试清单!D:D,MATCH(641,面试清单!P:P,0)),"")</f>
        <v/>
      </c>
      <c r="D642" s="11" t="s">
        <v>43</v>
      </c>
      <c r="E642" s="11" t="s">
        <v>62</v>
      </c>
      <c r="F642" s="11" t="s">
        <v>103</v>
      </c>
      <c r="G642" s="15">
        <v>46090</v>
      </c>
      <c r="H642" s="10" t="str">
        <f>IFERROR(INDEX(面试清单!H:H,MATCH(641,面试清单!P:P,0)),"")</f>
        <v/>
      </c>
      <c r="I642" s="13" t="s">
        <v>29</v>
      </c>
      <c r="J642" s="10">
        <f ca="1" t="shared" ref="J642:J705" si="31">IF(G642&lt;&gt;"",TODAY()-G642,"")</f>
        <v>99</v>
      </c>
      <c r="K642" s="10">
        <f ca="1" t="shared" ref="K642:K705" si="32">IF(G642&lt;&gt;"",MAX(0,MIN(TODAY(),EOMONTH(TODAY(),0))-MAX(G642,EOMONTH(TODAY(),-1)+1)+1),"")</f>
        <v>16</v>
      </c>
    </row>
    <row r="643" ht="18" spans="1:11">
      <c r="A643" s="14">
        <f t="shared" si="30"/>
        <v>642</v>
      </c>
      <c r="B643" s="11" t="s">
        <v>4585</v>
      </c>
      <c r="C643" s="14" t="str">
        <f>IFERROR(INDEX(面试清单!D:D,MATCH(642,面试清单!P:P,0)),"")</f>
        <v/>
      </c>
      <c r="D643" s="11" t="s">
        <v>43</v>
      </c>
      <c r="E643" s="11" t="s">
        <v>62</v>
      </c>
      <c r="F643" s="11" t="s">
        <v>103</v>
      </c>
      <c r="G643" s="15">
        <v>46090</v>
      </c>
      <c r="H643" s="14" t="str">
        <f>IFERROR(INDEX(面试清单!H:H,MATCH(642,面试清单!P:P,0)),"")</f>
        <v/>
      </c>
      <c r="I643" s="13" t="s">
        <v>29</v>
      </c>
      <c r="J643" s="14">
        <f ca="1" t="shared" si="31"/>
        <v>99</v>
      </c>
      <c r="K643" s="14">
        <f ca="1" t="shared" si="32"/>
        <v>16</v>
      </c>
    </row>
    <row r="644" ht="18" spans="1:11">
      <c r="A644" s="10">
        <f t="shared" si="30"/>
        <v>643</v>
      </c>
      <c r="B644" s="11" t="s">
        <v>4586</v>
      </c>
      <c r="C644" s="125" t="str">
        <f>IFERROR(INDEX(面试清单!D:D,MATCH(643,面试清单!P:P,0)),"")</f>
        <v>0209</v>
      </c>
      <c r="D644" s="11" t="s">
        <v>43</v>
      </c>
      <c r="E644" s="11" t="s">
        <v>62</v>
      </c>
      <c r="F644" s="11" t="s">
        <v>103</v>
      </c>
      <c r="G644" s="15">
        <v>46090</v>
      </c>
      <c r="H644" s="10" t="str">
        <f>IFERROR(INDEX(面试清单!H:H,MATCH(643,面试清单!P:P,0)),"")</f>
        <v>线下</v>
      </c>
      <c r="I644" s="13" t="s">
        <v>29</v>
      </c>
      <c r="J644" s="10">
        <f ca="1" t="shared" si="31"/>
        <v>99</v>
      </c>
      <c r="K644" s="10">
        <f ca="1" t="shared" si="32"/>
        <v>16</v>
      </c>
    </row>
    <row r="645" ht="18" spans="1:11">
      <c r="A645" s="14">
        <f t="shared" si="30"/>
        <v>644</v>
      </c>
      <c r="B645" s="11" t="s">
        <v>4587</v>
      </c>
      <c r="C645" s="14" t="str">
        <f>IFERROR(INDEX(面试清单!D:D,MATCH(644,面试清单!P:P,0)),"")</f>
        <v/>
      </c>
      <c r="D645" s="11" t="s">
        <v>43</v>
      </c>
      <c r="E645" s="11" t="s">
        <v>62</v>
      </c>
      <c r="F645" s="11" t="s">
        <v>132</v>
      </c>
      <c r="G645" s="15">
        <v>46090</v>
      </c>
      <c r="H645" s="14" t="str">
        <f>IFERROR(INDEX(面试清单!H:H,MATCH(644,面试清单!P:P,0)),"")</f>
        <v/>
      </c>
      <c r="I645" s="13" t="s">
        <v>29</v>
      </c>
      <c r="J645" s="14">
        <f ca="1" t="shared" si="31"/>
        <v>99</v>
      </c>
      <c r="K645" s="14">
        <f ca="1" t="shared" si="32"/>
        <v>16</v>
      </c>
    </row>
    <row r="646" ht="18" spans="1:11">
      <c r="A646" s="10">
        <f t="shared" si="30"/>
        <v>645</v>
      </c>
      <c r="B646" s="11" t="s">
        <v>4588</v>
      </c>
      <c r="C646" s="125" t="str">
        <f>IFERROR(INDEX(面试清单!D:D,MATCH(645,面试清单!P:P,0)),"")</f>
        <v>0214</v>
      </c>
      <c r="D646" s="11" t="s">
        <v>42</v>
      </c>
      <c r="E646" s="11" t="s">
        <v>64</v>
      </c>
      <c r="F646" s="11" t="s">
        <v>110</v>
      </c>
      <c r="G646" s="15">
        <v>46090</v>
      </c>
      <c r="H646" s="10" t="str">
        <f>IFERROR(INDEX(面试清单!H:H,MATCH(645,面试清单!P:P,0)),"")</f>
        <v>线下</v>
      </c>
      <c r="I646" s="13" t="s">
        <v>29</v>
      </c>
      <c r="J646" s="10">
        <f ca="1" t="shared" si="31"/>
        <v>99</v>
      </c>
      <c r="K646" s="10">
        <f ca="1" t="shared" si="32"/>
        <v>16</v>
      </c>
    </row>
    <row r="647" ht="18" spans="1:11">
      <c r="A647" s="14">
        <f t="shared" si="30"/>
        <v>646</v>
      </c>
      <c r="B647" s="11" t="s">
        <v>4589</v>
      </c>
      <c r="C647" s="124" t="str">
        <f>IFERROR(INDEX(面试清单!D:D,MATCH(646,面试清单!P:P,0)),"")</f>
        <v>0217</v>
      </c>
      <c r="D647" s="11" t="s">
        <v>42</v>
      </c>
      <c r="E647" s="11" t="s">
        <v>64</v>
      </c>
      <c r="F647" s="11" t="s">
        <v>110</v>
      </c>
      <c r="G647" s="15">
        <v>46090</v>
      </c>
      <c r="H647" s="14" t="str">
        <f>IFERROR(INDEX(面试清单!H:H,MATCH(646,面试清单!P:P,0)),"")</f>
        <v>线下</v>
      </c>
      <c r="I647" s="13" t="s">
        <v>29</v>
      </c>
      <c r="J647" s="14">
        <f ca="1" t="shared" si="31"/>
        <v>99</v>
      </c>
      <c r="K647" s="14">
        <f ca="1" t="shared" si="32"/>
        <v>16</v>
      </c>
    </row>
    <row r="648" ht="18" spans="1:11">
      <c r="A648" s="10">
        <f t="shared" si="30"/>
        <v>647</v>
      </c>
      <c r="B648" s="11" t="s">
        <v>4590</v>
      </c>
      <c r="C648" s="10" t="str">
        <f>IFERROR(INDEX(面试清单!D:D,MATCH(647,面试清单!P:P,0)),"")</f>
        <v/>
      </c>
      <c r="D648" s="11" t="s">
        <v>42</v>
      </c>
      <c r="E648" s="11" t="s">
        <v>64</v>
      </c>
      <c r="F648" s="11" t="s">
        <v>110</v>
      </c>
      <c r="G648" s="15">
        <v>46090</v>
      </c>
      <c r="H648" s="10" t="str">
        <f>IFERROR(INDEX(面试清单!H:H,MATCH(647,面试清单!P:P,0)),"")</f>
        <v/>
      </c>
      <c r="I648" s="13" t="s">
        <v>29</v>
      </c>
      <c r="J648" s="10">
        <f ca="1" t="shared" si="31"/>
        <v>99</v>
      </c>
      <c r="K648" s="10">
        <f ca="1" t="shared" si="32"/>
        <v>16</v>
      </c>
    </row>
    <row r="649" ht="18" spans="1:11">
      <c r="A649" s="14">
        <f t="shared" si="30"/>
        <v>648</v>
      </c>
      <c r="B649" s="11" t="s">
        <v>4591</v>
      </c>
      <c r="C649" s="14" t="str">
        <f>IFERROR(INDEX(面试清单!D:D,MATCH(648,面试清单!P:P,0)),"")</f>
        <v/>
      </c>
      <c r="D649" s="11" t="s">
        <v>42</v>
      </c>
      <c r="E649" s="11" t="s">
        <v>64</v>
      </c>
      <c r="F649" s="11" t="s">
        <v>110</v>
      </c>
      <c r="G649" s="15">
        <v>46090</v>
      </c>
      <c r="H649" s="14" t="str">
        <f>IFERROR(INDEX(面试清单!H:H,MATCH(648,面试清单!P:P,0)),"")</f>
        <v/>
      </c>
      <c r="I649" s="13" t="s">
        <v>29</v>
      </c>
      <c r="J649" s="14">
        <f ca="1" t="shared" si="31"/>
        <v>99</v>
      </c>
      <c r="K649" s="14">
        <f ca="1" t="shared" si="32"/>
        <v>16</v>
      </c>
    </row>
    <row r="650" ht="18" spans="1:11">
      <c r="A650" s="10">
        <f t="shared" si="30"/>
        <v>649</v>
      </c>
      <c r="B650" s="11" t="s">
        <v>4592</v>
      </c>
      <c r="C650" s="125" t="str">
        <f>IFERROR(INDEX(面试清单!D:D,MATCH(649,面试清单!P:P,0)),"")</f>
        <v>0221</v>
      </c>
      <c r="D650" s="11" t="s">
        <v>43</v>
      </c>
      <c r="E650" s="11" t="s">
        <v>64</v>
      </c>
      <c r="F650" s="11" t="s">
        <v>135</v>
      </c>
      <c r="G650" s="15">
        <v>46090</v>
      </c>
      <c r="H650" s="10" t="str">
        <f>IFERROR(INDEX(面试清单!H:H,MATCH(649,面试清单!P:P,0)),"")</f>
        <v>线下</v>
      </c>
      <c r="I650" s="13" t="s">
        <v>29</v>
      </c>
      <c r="J650" s="10">
        <f ca="1" t="shared" si="31"/>
        <v>99</v>
      </c>
      <c r="K650" s="10">
        <f ca="1" t="shared" si="32"/>
        <v>16</v>
      </c>
    </row>
    <row r="651" ht="18" spans="1:11">
      <c r="A651" s="14">
        <f t="shared" si="30"/>
        <v>650</v>
      </c>
      <c r="B651" s="11" t="s">
        <v>4593</v>
      </c>
      <c r="C651" s="124" t="str">
        <f>IFERROR(INDEX(面试清单!D:D,MATCH(650,面试清单!P:P,0)),"")</f>
        <v>0222</v>
      </c>
      <c r="D651" s="11" t="s">
        <v>43</v>
      </c>
      <c r="E651" s="11" t="s">
        <v>64</v>
      </c>
      <c r="F651" s="11" t="s">
        <v>148</v>
      </c>
      <c r="G651" s="15">
        <v>46090</v>
      </c>
      <c r="H651" s="14" t="str">
        <f>IFERROR(INDEX(面试清单!H:H,MATCH(650,面试清单!P:P,0)),"")</f>
        <v>线下</v>
      </c>
      <c r="I651" s="13" t="s">
        <v>29</v>
      </c>
      <c r="J651" s="14">
        <f ca="1" t="shared" si="31"/>
        <v>99</v>
      </c>
      <c r="K651" s="14">
        <f ca="1" t="shared" si="32"/>
        <v>16</v>
      </c>
    </row>
    <row r="652" ht="18" spans="1:11">
      <c r="A652" s="10">
        <f t="shared" si="30"/>
        <v>651</v>
      </c>
      <c r="B652" s="11" t="s">
        <v>4594</v>
      </c>
      <c r="C652" s="10" t="str">
        <f>IFERROR(INDEX(面试清单!D:D,MATCH(651,面试清单!P:P,0)),"")</f>
        <v/>
      </c>
      <c r="D652" s="11" t="s">
        <v>43</v>
      </c>
      <c r="E652" s="11" t="s">
        <v>64</v>
      </c>
      <c r="F652" s="11" t="s">
        <v>148</v>
      </c>
      <c r="G652" s="15">
        <v>46090</v>
      </c>
      <c r="H652" s="10" t="str">
        <f>IFERROR(INDEX(面试清单!H:H,MATCH(651,面试清单!P:P,0)),"")</f>
        <v/>
      </c>
      <c r="I652" s="13" t="s">
        <v>29</v>
      </c>
      <c r="J652" s="10">
        <f ca="1" t="shared" si="31"/>
        <v>99</v>
      </c>
      <c r="K652" s="10">
        <f ca="1" t="shared" si="32"/>
        <v>16</v>
      </c>
    </row>
    <row r="653" ht="18" spans="1:11">
      <c r="A653" s="14">
        <f t="shared" si="30"/>
        <v>652</v>
      </c>
      <c r="B653" s="11" t="s">
        <v>4595</v>
      </c>
      <c r="C653" s="124" t="str">
        <f>IFERROR(INDEX(面试清单!D:D,MATCH(652,面试清单!P:P,0)),"")</f>
        <v>0209</v>
      </c>
      <c r="D653" s="11" t="s">
        <v>43</v>
      </c>
      <c r="E653" s="11" t="s">
        <v>64</v>
      </c>
      <c r="F653" s="11" t="s">
        <v>148</v>
      </c>
      <c r="G653" s="15">
        <v>46090</v>
      </c>
      <c r="H653" s="14" t="str">
        <f>IFERROR(INDEX(面试清单!H:H,MATCH(652,面试清单!P:P,0)),"")</f>
        <v>线下</v>
      </c>
      <c r="I653" s="13" t="s">
        <v>29</v>
      </c>
      <c r="J653" s="14">
        <f ca="1" t="shared" si="31"/>
        <v>99</v>
      </c>
      <c r="K653" s="14">
        <f ca="1" t="shared" si="32"/>
        <v>16</v>
      </c>
    </row>
    <row r="654" ht="18" spans="1:11">
      <c r="A654" s="10">
        <f t="shared" si="30"/>
        <v>653</v>
      </c>
      <c r="B654" s="11" t="s">
        <v>4596</v>
      </c>
      <c r="C654" s="125" t="str">
        <f>IFERROR(INDEX(面试清单!D:D,MATCH(653,面试清单!P:P,0)),"")</f>
        <v>0212</v>
      </c>
      <c r="D654" s="11" t="s">
        <v>43</v>
      </c>
      <c r="E654" s="11" t="s">
        <v>63</v>
      </c>
      <c r="F654" s="11" t="s">
        <v>117</v>
      </c>
      <c r="G654" s="15">
        <v>46090</v>
      </c>
      <c r="H654" s="10" t="str">
        <f>IFERROR(INDEX(面试清单!H:H,MATCH(653,面试清单!P:P,0)),"")</f>
        <v>线下</v>
      </c>
      <c r="I654" s="13" t="s">
        <v>29</v>
      </c>
      <c r="J654" s="10">
        <f ca="1" t="shared" si="31"/>
        <v>99</v>
      </c>
      <c r="K654" s="10">
        <f ca="1" t="shared" si="32"/>
        <v>16</v>
      </c>
    </row>
    <row r="655" ht="18" spans="1:11">
      <c r="A655" s="14">
        <f t="shared" si="30"/>
        <v>654</v>
      </c>
      <c r="B655" s="11" t="s">
        <v>4597</v>
      </c>
      <c r="C655" s="14" t="str">
        <f>IFERROR(INDEX(面试清单!D:D,MATCH(654,面试清单!P:P,0)),"")</f>
        <v/>
      </c>
      <c r="D655" s="11" t="s">
        <v>42</v>
      </c>
      <c r="E655" s="11" t="s">
        <v>62</v>
      </c>
      <c r="F655" s="11" t="s">
        <v>110</v>
      </c>
      <c r="G655" s="15">
        <v>46090</v>
      </c>
      <c r="H655" s="14" t="str">
        <f>IFERROR(INDEX(面试清单!H:H,MATCH(654,面试清单!P:P,0)),"")</f>
        <v/>
      </c>
      <c r="I655" s="13" t="s">
        <v>29</v>
      </c>
      <c r="J655" s="14">
        <f ca="1" t="shared" si="31"/>
        <v>99</v>
      </c>
      <c r="K655" s="14">
        <f ca="1" t="shared" si="32"/>
        <v>16</v>
      </c>
    </row>
    <row r="656" ht="18" spans="1:11">
      <c r="A656" s="10">
        <f t="shared" si="30"/>
        <v>655</v>
      </c>
      <c r="B656" s="11" t="s">
        <v>4598</v>
      </c>
      <c r="C656" s="10" t="str">
        <f>IFERROR(INDEX(面试清单!D:D,MATCH(655,面试清单!P:P,0)),"")</f>
        <v/>
      </c>
      <c r="D656" s="11" t="s">
        <v>42</v>
      </c>
      <c r="E656" s="11" t="s">
        <v>62</v>
      </c>
      <c r="F656" s="11" t="s">
        <v>110</v>
      </c>
      <c r="G656" s="15">
        <v>46090</v>
      </c>
      <c r="H656" s="10" t="str">
        <f>IFERROR(INDEX(面试清单!H:H,MATCH(655,面试清单!P:P,0)),"")</f>
        <v/>
      </c>
      <c r="I656" s="13" t="s">
        <v>29</v>
      </c>
      <c r="J656" s="10">
        <f ca="1" t="shared" si="31"/>
        <v>99</v>
      </c>
      <c r="K656" s="10">
        <f ca="1" t="shared" si="32"/>
        <v>16</v>
      </c>
    </row>
    <row r="657" ht="18" spans="1:11">
      <c r="A657" s="14">
        <f t="shared" si="30"/>
        <v>656</v>
      </c>
      <c r="B657" s="11" t="s">
        <v>4599</v>
      </c>
      <c r="C657" s="14" t="str">
        <f>IFERROR(INDEX(面试清单!D:D,MATCH(656,面试清单!P:P,0)),"")</f>
        <v/>
      </c>
      <c r="D657" s="11" t="s">
        <v>42</v>
      </c>
      <c r="E657" s="11" t="s">
        <v>63</v>
      </c>
      <c r="F657" s="11" t="s">
        <v>179</v>
      </c>
      <c r="G657" s="15">
        <v>46090</v>
      </c>
      <c r="H657" s="14" t="str">
        <f>IFERROR(INDEX(面试清单!H:H,MATCH(656,面试清单!P:P,0)),"")</f>
        <v/>
      </c>
      <c r="I657" s="13" t="s">
        <v>29</v>
      </c>
      <c r="J657" s="14">
        <f ca="1" t="shared" si="31"/>
        <v>99</v>
      </c>
      <c r="K657" s="14">
        <f ca="1" t="shared" si="32"/>
        <v>16</v>
      </c>
    </row>
    <row r="658" ht="18" spans="1:11">
      <c r="A658" s="10">
        <f t="shared" si="30"/>
        <v>657</v>
      </c>
      <c r="B658" s="11" t="s">
        <v>4600</v>
      </c>
      <c r="C658" s="125" t="str">
        <f>IFERROR(INDEX(面试清单!D:D,MATCH(657,面试清单!P:P,0)),"")</f>
        <v>0220</v>
      </c>
      <c r="D658" s="11" t="s">
        <v>42</v>
      </c>
      <c r="E658" s="11" t="s">
        <v>63</v>
      </c>
      <c r="F658" s="11" t="s">
        <v>103</v>
      </c>
      <c r="G658" s="15">
        <v>46090</v>
      </c>
      <c r="H658" s="10" t="str">
        <f>IFERROR(INDEX(面试清单!H:H,MATCH(657,面试清单!P:P,0)),"")</f>
        <v>线下</v>
      </c>
      <c r="I658" s="13" t="s">
        <v>29</v>
      </c>
      <c r="J658" s="10">
        <f ca="1" t="shared" si="31"/>
        <v>99</v>
      </c>
      <c r="K658" s="10">
        <f ca="1" t="shared" si="32"/>
        <v>16</v>
      </c>
    </row>
    <row r="659" ht="18" spans="1:11">
      <c r="A659" s="14">
        <f t="shared" si="30"/>
        <v>658</v>
      </c>
      <c r="B659" s="11" t="s">
        <v>4601</v>
      </c>
      <c r="C659" s="124" t="str">
        <f>IFERROR(INDEX(面试清单!D:D,MATCH(658,面试清单!P:P,0)),"")</f>
        <v>0221</v>
      </c>
      <c r="D659" s="11" t="s">
        <v>42</v>
      </c>
      <c r="E659" s="11" t="s">
        <v>62</v>
      </c>
      <c r="F659" s="11" t="s">
        <v>505</v>
      </c>
      <c r="G659" s="15">
        <v>46090</v>
      </c>
      <c r="H659" s="14" t="str">
        <f>IFERROR(INDEX(面试清单!H:H,MATCH(658,面试清单!P:P,0)),"")</f>
        <v>线下</v>
      </c>
      <c r="I659" s="13" t="s">
        <v>29</v>
      </c>
      <c r="J659" s="14">
        <f ca="1" t="shared" si="31"/>
        <v>99</v>
      </c>
      <c r="K659" s="14">
        <f ca="1" t="shared" si="32"/>
        <v>16</v>
      </c>
    </row>
    <row r="660" ht="18" spans="1:11">
      <c r="A660" s="10">
        <f t="shared" si="30"/>
        <v>659</v>
      </c>
      <c r="B660" s="11" t="s">
        <v>4602</v>
      </c>
      <c r="C660" s="10" t="str">
        <f>IFERROR(INDEX(面试清单!D:D,MATCH(659,面试清单!P:P,0)),"")</f>
        <v/>
      </c>
      <c r="D660" s="11" t="s">
        <v>43</v>
      </c>
      <c r="E660" s="11" t="s">
        <v>62</v>
      </c>
      <c r="F660" s="11" t="s">
        <v>179</v>
      </c>
      <c r="G660" s="15">
        <v>46090</v>
      </c>
      <c r="H660" s="10" t="str">
        <f>IFERROR(INDEX(面试清单!H:H,MATCH(659,面试清单!P:P,0)),"")</f>
        <v/>
      </c>
      <c r="I660" s="13" t="s">
        <v>29</v>
      </c>
      <c r="J660" s="10">
        <f ca="1" t="shared" si="31"/>
        <v>99</v>
      </c>
      <c r="K660" s="10">
        <f ca="1" t="shared" si="32"/>
        <v>16</v>
      </c>
    </row>
    <row r="661" ht="18" spans="1:11">
      <c r="A661" s="14">
        <f t="shared" si="30"/>
        <v>660</v>
      </c>
      <c r="B661" s="11" t="s">
        <v>4603</v>
      </c>
      <c r="C661" s="124" t="str">
        <f>IFERROR(INDEX(面试清单!D:D,MATCH(660,面试清单!P:P,0)),"")</f>
        <v>0208</v>
      </c>
      <c r="D661" s="11" t="s">
        <v>43</v>
      </c>
      <c r="E661" s="11" t="s">
        <v>62</v>
      </c>
      <c r="F661" s="11" t="s">
        <v>307</v>
      </c>
      <c r="G661" s="15">
        <v>46090</v>
      </c>
      <c r="H661" s="14" t="str">
        <f>IFERROR(INDEX(面试清单!H:H,MATCH(660,面试清单!P:P,0)),"")</f>
        <v>线下</v>
      </c>
      <c r="I661" s="13" t="s">
        <v>29</v>
      </c>
      <c r="J661" s="14">
        <f ca="1" t="shared" si="31"/>
        <v>99</v>
      </c>
      <c r="K661" s="14">
        <f ca="1" t="shared" si="32"/>
        <v>16</v>
      </c>
    </row>
    <row r="662" ht="18" spans="1:11">
      <c r="A662" s="10">
        <f t="shared" si="30"/>
        <v>661</v>
      </c>
      <c r="B662" s="11" t="s">
        <v>4604</v>
      </c>
      <c r="C662" s="125" t="str">
        <f>IFERROR(INDEX(面试清单!D:D,MATCH(661,面试清单!P:P,0)),"")</f>
        <v>0209</v>
      </c>
      <c r="D662" s="11" t="s">
        <v>43</v>
      </c>
      <c r="E662" s="11" t="s">
        <v>62</v>
      </c>
      <c r="F662" s="11" t="s">
        <v>233</v>
      </c>
      <c r="G662" s="15">
        <v>46090</v>
      </c>
      <c r="H662" s="10" t="str">
        <f>IFERROR(INDEX(面试清单!H:H,MATCH(661,面试清单!P:P,0)),"")</f>
        <v>线下</v>
      </c>
      <c r="I662" s="13" t="s">
        <v>29</v>
      </c>
      <c r="J662" s="10">
        <f ca="1" t="shared" si="31"/>
        <v>99</v>
      </c>
      <c r="K662" s="10">
        <f ca="1" t="shared" si="32"/>
        <v>16</v>
      </c>
    </row>
    <row r="663" ht="18" spans="1:11">
      <c r="A663" s="14">
        <f t="shared" si="30"/>
        <v>662</v>
      </c>
      <c r="B663" s="11" t="s">
        <v>4605</v>
      </c>
      <c r="C663" s="14" t="str">
        <f>IFERROR(INDEX(面试清单!D:D,MATCH(662,面试清单!P:P,0)),"")</f>
        <v/>
      </c>
      <c r="D663" s="11" t="s">
        <v>43</v>
      </c>
      <c r="E663" s="11" t="s">
        <v>64</v>
      </c>
      <c r="F663" s="11" t="s">
        <v>179</v>
      </c>
      <c r="G663" s="15">
        <v>46091</v>
      </c>
      <c r="H663" s="14" t="str">
        <f>IFERROR(INDEX(面试清单!H:H,MATCH(662,面试清单!P:P,0)),"")</f>
        <v/>
      </c>
      <c r="I663" s="13" t="s">
        <v>29</v>
      </c>
      <c r="J663" s="14">
        <f ca="1" t="shared" si="31"/>
        <v>98</v>
      </c>
      <c r="K663" s="14">
        <f ca="1" t="shared" si="32"/>
        <v>16</v>
      </c>
    </row>
    <row r="664" ht="18" spans="1:11">
      <c r="A664" s="10">
        <f t="shared" si="30"/>
        <v>663</v>
      </c>
      <c r="B664" s="11" t="s">
        <v>4606</v>
      </c>
      <c r="C664" s="125" t="str">
        <f>IFERROR(INDEX(面试清单!D:D,MATCH(663,面试清单!P:P,0)),"")</f>
        <v>0214</v>
      </c>
      <c r="D664" s="11" t="s">
        <v>43</v>
      </c>
      <c r="E664" s="11" t="s">
        <v>64</v>
      </c>
      <c r="F664" s="11" t="s">
        <v>179</v>
      </c>
      <c r="G664" s="15">
        <v>46091</v>
      </c>
      <c r="H664" s="10" t="str">
        <f>IFERROR(INDEX(面试清单!H:H,MATCH(663,面试清单!P:P,0)),"")</f>
        <v>线下</v>
      </c>
      <c r="I664" s="13" t="s">
        <v>29</v>
      </c>
      <c r="J664" s="10">
        <f ca="1" t="shared" si="31"/>
        <v>98</v>
      </c>
      <c r="K664" s="10">
        <f ca="1" t="shared" si="32"/>
        <v>16</v>
      </c>
    </row>
    <row r="665" ht="18" spans="1:11">
      <c r="A665" s="14">
        <f t="shared" si="30"/>
        <v>664</v>
      </c>
      <c r="B665" s="11" t="s">
        <v>4607</v>
      </c>
      <c r="C665" s="124" t="str">
        <f>IFERROR(INDEX(面试清单!D:D,MATCH(664,面试清单!P:P,0)),"")</f>
        <v>0217</v>
      </c>
      <c r="D665" s="11" t="s">
        <v>42</v>
      </c>
      <c r="E665" s="11" t="s">
        <v>62</v>
      </c>
      <c r="F665" s="11" t="s">
        <v>733</v>
      </c>
      <c r="G665" s="15">
        <v>46091</v>
      </c>
      <c r="H665" s="14" t="str">
        <f>IFERROR(INDEX(面试清单!H:H,MATCH(664,面试清单!P:P,0)),"")</f>
        <v>线下</v>
      </c>
      <c r="I665" s="13" t="s">
        <v>29</v>
      </c>
      <c r="J665" s="14">
        <f ca="1" t="shared" si="31"/>
        <v>98</v>
      </c>
      <c r="K665" s="14">
        <f ca="1" t="shared" si="32"/>
        <v>16</v>
      </c>
    </row>
    <row r="666" ht="18" spans="1:11">
      <c r="A666" s="10">
        <f t="shared" si="30"/>
        <v>665</v>
      </c>
      <c r="B666" s="11" t="s">
        <v>4608</v>
      </c>
      <c r="C666" s="125" t="str">
        <f>IFERROR(INDEX(面试清单!D:D,MATCH(665,面试清单!P:P,0)),"")</f>
        <v>0218</v>
      </c>
      <c r="D666" s="11" t="s">
        <v>42</v>
      </c>
      <c r="E666" s="11" t="s">
        <v>63</v>
      </c>
      <c r="F666" s="11" t="s">
        <v>733</v>
      </c>
      <c r="G666" s="15">
        <v>46091</v>
      </c>
      <c r="H666" s="10" t="str">
        <f>IFERROR(INDEX(面试清单!H:H,MATCH(665,面试清单!P:P,0)),"")</f>
        <v>线下</v>
      </c>
      <c r="I666" s="13" t="s">
        <v>29</v>
      </c>
      <c r="J666" s="10">
        <f ca="1" t="shared" si="31"/>
        <v>98</v>
      </c>
      <c r="K666" s="10">
        <f ca="1" t="shared" si="32"/>
        <v>16</v>
      </c>
    </row>
    <row r="667" ht="18" spans="1:11">
      <c r="A667" s="14">
        <f t="shared" si="30"/>
        <v>666</v>
      </c>
      <c r="B667" s="11" t="s">
        <v>4609</v>
      </c>
      <c r="C667" s="14" t="str">
        <f>IFERROR(INDEX(面试清单!D:D,MATCH(666,面试清单!P:P,0)),"")</f>
        <v/>
      </c>
      <c r="D667" s="11" t="s">
        <v>42</v>
      </c>
      <c r="E667" s="11" t="s">
        <v>62</v>
      </c>
      <c r="F667" s="11" t="s">
        <v>124</v>
      </c>
      <c r="G667" s="15">
        <v>46091</v>
      </c>
      <c r="H667" s="14" t="str">
        <f>IFERROR(INDEX(面试清单!H:H,MATCH(666,面试清单!P:P,0)),"")</f>
        <v/>
      </c>
      <c r="I667" s="13" t="s">
        <v>29</v>
      </c>
      <c r="J667" s="14">
        <f ca="1" t="shared" si="31"/>
        <v>98</v>
      </c>
      <c r="K667" s="14">
        <f ca="1" t="shared" si="32"/>
        <v>16</v>
      </c>
    </row>
    <row r="668" ht="18" spans="1:11">
      <c r="A668" s="10">
        <f t="shared" si="30"/>
        <v>667</v>
      </c>
      <c r="B668" s="11" t="s">
        <v>4610</v>
      </c>
      <c r="C668" s="10" t="str">
        <f>IFERROR(INDEX(面试清单!D:D,MATCH(667,面试清单!P:P,0)),"")</f>
        <v/>
      </c>
      <c r="D668" s="11" t="s">
        <v>42</v>
      </c>
      <c r="E668" s="11" t="s">
        <v>62</v>
      </c>
      <c r="F668" s="11" t="s">
        <v>124</v>
      </c>
      <c r="G668" s="15">
        <v>46091</v>
      </c>
      <c r="H668" s="10" t="str">
        <f>IFERROR(INDEX(面试清单!H:H,MATCH(667,面试清单!P:P,0)),"")</f>
        <v/>
      </c>
      <c r="I668" s="13" t="s">
        <v>29</v>
      </c>
      <c r="J668" s="10">
        <f ca="1" t="shared" si="31"/>
        <v>98</v>
      </c>
      <c r="K668" s="10">
        <f ca="1" t="shared" si="32"/>
        <v>16</v>
      </c>
    </row>
    <row r="669" ht="18" spans="1:11">
      <c r="A669" s="14">
        <f t="shared" si="30"/>
        <v>668</v>
      </c>
      <c r="B669" s="11" t="s">
        <v>2603</v>
      </c>
      <c r="C669" s="14" t="str">
        <f>IFERROR(INDEX(面试清单!D:D,MATCH(668,面试清单!P:P,0)),"")</f>
        <v/>
      </c>
      <c r="D669" s="11" t="s">
        <v>43</v>
      </c>
      <c r="E669" s="11" t="s">
        <v>62</v>
      </c>
      <c r="F669" s="11" t="s">
        <v>148</v>
      </c>
      <c r="G669" s="15">
        <v>46091</v>
      </c>
      <c r="H669" s="14" t="str">
        <f>IFERROR(INDEX(面试清单!H:H,MATCH(668,面试清单!P:P,0)),"")</f>
        <v/>
      </c>
      <c r="I669" s="13" t="s">
        <v>29</v>
      </c>
      <c r="J669" s="14">
        <f ca="1" t="shared" si="31"/>
        <v>98</v>
      </c>
      <c r="K669" s="14">
        <f ca="1" t="shared" si="32"/>
        <v>16</v>
      </c>
    </row>
    <row r="670" ht="18" spans="1:11">
      <c r="A670" s="10">
        <f t="shared" si="30"/>
        <v>669</v>
      </c>
      <c r="B670" s="11" t="s">
        <v>4611</v>
      </c>
      <c r="C670" s="125" t="str">
        <f>IFERROR(INDEX(面试清单!D:D,MATCH(669,面试清单!P:P,0)),"")</f>
        <v>0208</v>
      </c>
      <c r="D670" s="11" t="s">
        <v>42</v>
      </c>
      <c r="E670" s="11" t="s">
        <v>62</v>
      </c>
      <c r="F670" s="11" t="s">
        <v>110</v>
      </c>
      <c r="G670" s="15">
        <v>46091</v>
      </c>
      <c r="H670" s="10" t="str">
        <f>IFERROR(INDEX(面试清单!H:H,MATCH(669,面试清单!P:P,0)),"")</f>
        <v>线下</v>
      </c>
      <c r="I670" s="13" t="s">
        <v>29</v>
      </c>
      <c r="J670" s="10">
        <f ca="1" t="shared" si="31"/>
        <v>98</v>
      </c>
      <c r="K670" s="10">
        <f ca="1" t="shared" si="32"/>
        <v>16</v>
      </c>
    </row>
    <row r="671" ht="18" spans="1:11">
      <c r="A671" s="14">
        <f t="shared" si="30"/>
        <v>670</v>
      </c>
      <c r="B671" s="11" t="s">
        <v>4612</v>
      </c>
      <c r="C671" s="124" t="str">
        <f>IFERROR(INDEX(面试清单!D:D,MATCH(670,面试清单!P:P,0)),"")</f>
        <v>0208</v>
      </c>
      <c r="D671" s="11" t="s">
        <v>42</v>
      </c>
      <c r="E671" s="11" t="s">
        <v>62</v>
      </c>
      <c r="F671" s="11" t="s">
        <v>110</v>
      </c>
      <c r="G671" s="15">
        <v>46091</v>
      </c>
      <c r="H671" s="14" t="str">
        <f>IFERROR(INDEX(面试清单!H:H,MATCH(670,面试清单!P:P,0)),"")</f>
        <v>线下</v>
      </c>
      <c r="I671" s="13" t="s">
        <v>29</v>
      </c>
      <c r="J671" s="14">
        <f ca="1" t="shared" si="31"/>
        <v>98</v>
      </c>
      <c r="K671" s="14">
        <f ca="1" t="shared" si="32"/>
        <v>16</v>
      </c>
    </row>
    <row r="672" ht="18" spans="1:11">
      <c r="A672" s="10">
        <f t="shared" si="30"/>
        <v>671</v>
      </c>
      <c r="B672" s="11" t="s">
        <v>4613</v>
      </c>
      <c r="C672" s="10" t="str">
        <f>IFERROR(INDEX(面试清单!D:D,MATCH(671,面试清单!P:P,0)),"")</f>
        <v/>
      </c>
      <c r="D672" s="11" t="s">
        <v>42</v>
      </c>
      <c r="E672" s="11" t="s">
        <v>62</v>
      </c>
      <c r="F672" s="11" t="s">
        <v>690</v>
      </c>
      <c r="G672" s="15">
        <v>46091</v>
      </c>
      <c r="H672" s="10" t="str">
        <f>IFERROR(INDEX(面试清单!H:H,MATCH(671,面试清单!P:P,0)),"")</f>
        <v/>
      </c>
      <c r="I672" s="13" t="s">
        <v>29</v>
      </c>
      <c r="J672" s="10">
        <f ca="1" t="shared" si="31"/>
        <v>98</v>
      </c>
      <c r="K672" s="10">
        <f ca="1" t="shared" si="32"/>
        <v>16</v>
      </c>
    </row>
    <row r="673" ht="18" spans="1:11">
      <c r="A673" s="14">
        <f t="shared" si="30"/>
        <v>672</v>
      </c>
      <c r="B673" s="11" t="s">
        <v>4614</v>
      </c>
      <c r="C673" s="14" t="str">
        <f>IFERROR(INDEX(面试清单!D:D,MATCH(672,面试清单!P:P,0)),"")</f>
        <v/>
      </c>
      <c r="D673" s="11" t="s">
        <v>42</v>
      </c>
      <c r="E673" s="11" t="s">
        <v>62</v>
      </c>
      <c r="F673" s="11" t="s">
        <v>103</v>
      </c>
      <c r="G673" s="15">
        <v>46091</v>
      </c>
      <c r="H673" s="14" t="str">
        <f>IFERROR(INDEX(面试清单!H:H,MATCH(672,面试清单!P:P,0)),"")</f>
        <v/>
      </c>
      <c r="I673" s="13" t="s">
        <v>29</v>
      </c>
      <c r="J673" s="14">
        <f ca="1" t="shared" si="31"/>
        <v>98</v>
      </c>
      <c r="K673" s="14">
        <f ca="1" t="shared" si="32"/>
        <v>16</v>
      </c>
    </row>
    <row r="674" ht="18" spans="1:11">
      <c r="A674" s="10">
        <f t="shared" si="30"/>
        <v>673</v>
      </c>
      <c r="B674" s="11" t="s">
        <v>4615</v>
      </c>
      <c r="C674" s="10" t="str">
        <f>IFERROR(INDEX(面试清单!D:D,MATCH(673,面试清单!P:P,0)),"")</f>
        <v/>
      </c>
      <c r="D674" s="11" t="s">
        <v>42</v>
      </c>
      <c r="E674" s="11" t="s">
        <v>62</v>
      </c>
      <c r="F674" s="11" t="s">
        <v>103</v>
      </c>
      <c r="G674" s="15">
        <v>46091</v>
      </c>
      <c r="H674" s="10" t="str">
        <f>IFERROR(INDEX(面试清单!H:H,MATCH(673,面试清单!P:P,0)),"")</f>
        <v/>
      </c>
      <c r="I674" s="13" t="s">
        <v>29</v>
      </c>
      <c r="J674" s="10">
        <f ca="1" t="shared" si="31"/>
        <v>98</v>
      </c>
      <c r="K674" s="10">
        <f ca="1" t="shared" si="32"/>
        <v>16</v>
      </c>
    </row>
    <row r="675" ht="18" spans="1:11">
      <c r="A675" s="14">
        <f t="shared" si="30"/>
        <v>674</v>
      </c>
      <c r="B675" s="11" t="s">
        <v>4616</v>
      </c>
      <c r="C675" s="14" t="str">
        <f>IFERROR(INDEX(面试清单!D:D,MATCH(674,面试清单!P:P,0)),"")</f>
        <v/>
      </c>
      <c r="D675" s="11" t="s">
        <v>42</v>
      </c>
      <c r="E675" s="11" t="s">
        <v>63</v>
      </c>
      <c r="F675" s="11" t="s">
        <v>103</v>
      </c>
      <c r="G675" s="15">
        <v>46091</v>
      </c>
      <c r="H675" s="14" t="str">
        <f>IFERROR(INDEX(面试清单!H:H,MATCH(674,面试清单!P:P,0)),"")</f>
        <v/>
      </c>
      <c r="I675" s="13" t="s">
        <v>29</v>
      </c>
      <c r="J675" s="14">
        <f ca="1" t="shared" si="31"/>
        <v>98</v>
      </c>
      <c r="K675" s="14">
        <f ca="1" t="shared" si="32"/>
        <v>16</v>
      </c>
    </row>
    <row r="676" ht="18" spans="1:11">
      <c r="A676" s="10">
        <f t="shared" si="30"/>
        <v>675</v>
      </c>
      <c r="B676" s="11" t="s">
        <v>4617</v>
      </c>
      <c r="C676" s="10" t="str">
        <f>IFERROR(INDEX(面试清单!D:D,MATCH(675,面试清单!P:P,0)),"")</f>
        <v/>
      </c>
      <c r="D676" s="11" t="s">
        <v>42</v>
      </c>
      <c r="E676" s="11" t="s">
        <v>62</v>
      </c>
      <c r="F676" s="11" t="s">
        <v>103</v>
      </c>
      <c r="G676" s="15">
        <v>46091</v>
      </c>
      <c r="H676" s="10" t="str">
        <f>IFERROR(INDEX(面试清单!H:H,MATCH(675,面试清单!P:P,0)),"")</f>
        <v/>
      </c>
      <c r="I676" s="13" t="s">
        <v>29</v>
      </c>
      <c r="J676" s="10">
        <f ca="1" t="shared" si="31"/>
        <v>98</v>
      </c>
      <c r="K676" s="10">
        <f ca="1" t="shared" si="32"/>
        <v>16</v>
      </c>
    </row>
    <row r="677" ht="18" spans="1:11">
      <c r="A677" s="14">
        <f t="shared" si="30"/>
        <v>676</v>
      </c>
      <c r="B677" s="11" t="s">
        <v>4618</v>
      </c>
      <c r="C677" s="14" t="str">
        <f>IFERROR(INDEX(面试清单!D:D,MATCH(676,面试清单!P:P,0)),"")</f>
        <v/>
      </c>
      <c r="D677" s="11" t="s">
        <v>42</v>
      </c>
      <c r="E677" s="11" t="s">
        <v>62</v>
      </c>
      <c r="F677" s="11" t="s">
        <v>103</v>
      </c>
      <c r="G677" s="15">
        <v>46091</v>
      </c>
      <c r="H677" s="14" t="str">
        <f>IFERROR(INDEX(面试清单!H:H,MATCH(676,面试清单!P:P,0)),"")</f>
        <v/>
      </c>
      <c r="I677" s="13" t="s">
        <v>29</v>
      </c>
      <c r="J677" s="14">
        <f ca="1" t="shared" si="31"/>
        <v>98</v>
      </c>
      <c r="K677" s="14">
        <f ca="1" t="shared" si="32"/>
        <v>16</v>
      </c>
    </row>
    <row r="678" ht="18" spans="1:11">
      <c r="A678" s="10">
        <f t="shared" si="30"/>
        <v>677</v>
      </c>
      <c r="B678" s="11" t="s">
        <v>4619</v>
      </c>
      <c r="C678" s="10" t="str">
        <f>IFERROR(INDEX(面试清单!D:D,MATCH(677,面试清单!P:P,0)),"")</f>
        <v/>
      </c>
      <c r="D678" s="11" t="s">
        <v>43</v>
      </c>
      <c r="E678" s="11" t="s">
        <v>63</v>
      </c>
      <c r="F678" s="11" t="s">
        <v>509</v>
      </c>
      <c r="G678" s="15">
        <v>46091</v>
      </c>
      <c r="H678" s="10" t="str">
        <f>IFERROR(INDEX(面试清单!H:H,MATCH(677,面试清单!P:P,0)),"")</f>
        <v/>
      </c>
      <c r="I678" s="13" t="s">
        <v>29</v>
      </c>
      <c r="J678" s="10">
        <f ca="1" t="shared" si="31"/>
        <v>98</v>
      </c>
      <c r="K678" s="10">
        <f ca="1" t="shared" si="32"/>
        <v>16</v>
      </c>
    </row>
    <row r="679" ht="18" spans="1:11">
      <c r="A679" s="14">
        <f t="shared" si="30"/>
        <v>678</v>
      </c>
      <c r="B679" s="11" t="s">
        <v>4620</v>
      </c>
      <c r="C679" s="124" t="str">
        <f>IFERROR(INDEX(面试清单!D:D,MATCH(678,面试清单!P:P,0)),"")</f>
        <v>0222</v>
      </c>
      <c r="D679" s="11" t="s">
        <v>42</v>
      </c>
      <c r="E679" s="11" t="s">
        <v>62</v>
      </c>
      <c r="F679" s="11" t="s">
        <v>129</v>
      </c>
      <c r="G679" s="15">
        <v>46091</v>
      </c>
      <c r="H679" s="14" t="str">
        <f>IFERROR(INDEX(面试清单!H:H,MATCH(678,面试清单!P:P,0)),"")</f>
        <v>线下</v>
      </c>
      <c r="I679" s="13" t="s">
        <v>29</v>
      </c>
      <c r="J679" s="14">
        <f ca="1" t="shared" si="31"/>
        <v>98</v>
      </c>
      <c r="K679" s="14">
        <f ca="1" t="shared" si="32"/>
        <v>16</v>
      </c>
    </row>
    <row r="680" ht="18" spans="1:11">
      <c r="A680" s="10">
        <f t="shared" si="30"/>
        <v>679</v>
      </c>
      <c r="B680" s="11" t="s">
        <v>4621</v>
      </c>
      <c r="C680" s="10" t="str">
        <f>IFERROR(INDEX(面试清单!D:D,MATCH(679,面试清单!P:P,0)),"")</f>
        <v/>
      </c>
      <c r="D680" s="11" t="s">
        <v>42</v>
      </c>
      <c r="E680" s="11" t="s">
        <v>63</v>
      </c>
      <c r="F680" s="11" t="s">
        <v>124</v>
      </c>
      <c r="G680" s="15">
        <v>46091</v>
      </c>
      <c r="H680" s="10" t="str">
        <f>IFERROR(INDEX(面试清单!H:H,MATCH(679,面试清单!P:P,0)),"")</f>
        <v/>
      </c>
      <c r="I680" s="13" t="s">
        <v>29</v>
      </c>
      <c r="J680" s="10">
        <f ca="1" t="shared" si="31"/>
        <v>98</v>
      </c>
      <c r="K680" s="10">
        <f ca="1" t="shared" si="32"/>
        <v>16</v>
      </c>
    </row>
    <row r="681" ht="18" spans="1:11">
      <c r="A681" s="14">
        <f t="shared" si="30"/>
        <v>680</v>
      </c>
      <c r="B681" s="11" t="s">
        <v>4622</v>
      </c>
      <c r="C681" s="124" t="str">
        <f>IFERROR(INDEX(面试清单!D:D,MATCH(680,面试清单!P:P,0)),"")</f>
        <v>0209</v>
      </c>
      <c r="D681" s="11" t="s">
        <v>42</v>
      </c>
      <c r="E681" s="11" t="s">
        <v>63</v>
      </c>
      <c r="F681" s="11" t="s">
        <v>124</v>
      </c>
      <c r="G681" s="15">
        <v>46091</v>
      </c>
      <c r="H681" s="14" t="str">
        <f>IFERROR(INDEX(面试清单!H:H,MATCH(680,面试清单!P:P,0)),"")</f>
        <v>线下</v>
      </c>
      <c r="I681" s="13" t="s">
        <v>29</v>
      </c>
      <c r="J681" s="14">
        <f ca="1" t="shared" si="31"/>
        <v>98</v>
      </c>
      <c r="K681" s="14">
        <f ca="1" t="shared" si="32"/>
        <v>16</v>
      </c>
    </row>
    <row r="682" ht="18" spans="1:11">
      <c r="A682" s="10">
        <f t="shared" si="30"/>
        <v>681</v>
      </c>
      <c r="B682" s="11" t="s">
        <v>4623</v>
      </c>
      <c r="C682" s="125" t="str">
        <f>IFERROR(INDEX(面试清单!D:D,MATCH(681,面试清单!P:P,0)),"")</f>
        <v>0212</v>
      </c>
      <c r="D682" s="11" t="s">
        <v>43</v>
      </c>
      <c r="E682" s="11" t="s">
        <v>63</v>
      </c>
      <c r="F682" s="11" t="s">
        <v>179</v>
      </c>
      <c r="G682" s="15">
        <v>46091</v>
      </c>
      <c r="H682" s="10" t="str">
        <f>IFERROR(INDEX(面试清单!H:H,MATCH(681,面试清单!P:P,0)),"")</f>
        <v>线下</v>
      </c>
      <c r="I682" s="13" t="s">
        <v>29</v>
      </c>
      <c r="J682" s="10">
        <f ca="1" t="shared" si="31"/>
        <v>98</v>
      </c>
      <c r="K682" s="10">
        <f ca="1" t="shared" si="32"/>
        <v>16</v>
      </c>
    </row>
    <row r="683" ht="18" spans="1:11">
      <c r="A683" s="14">
        <f t="shared" si="30"/>
        <v>682</v>
      </c>
      <c r="B683" s="11" t="s">
        <v>4624</v>
      </c>
      <c r="C683" s="124" t="str">
        <f>IFERROR(INDEX(面试清单!D:D,MATCH(682,面试清单!P:P,0)),"")</f>
        <v>0214</v>
      </c>
      <c r="D683" s="11" t="s">
        <v>43</v>
      </c>
      <c r="E683" s="11" t="s">
        <v>62</v>
      </c>
      <c r="F683" s="11" t="s">
        <v>179</v>
      </c>
      <c r="G683" s="15">
        <v>46091</v>
      </c>
      <c r="H683" s="14" t="str">
        <f>IFERROR(INDEX(面试清单!H:H,MATCH(682,面试清单!P:P,0)),"")</f>
        <v>线下</v>
      </c>
      <c r="I683" s="13" t="s">
        <v>29</v>
      </c>
      <c r="J683" s="14">
        <f ca="1" t="shared" si="31"/>
        <v>98</v>
      </c>
      <c r="K683" s="14">
        <f ca="1" t="shared" si="32"/>
        <v>16</v>
      </c>
    </row>
    <row r="684" ht="18" spans="1:11">
      <c r="A684" s="10">
        <f t="shared" si="30"/>
        <v>683</v>
      </c>
      <c r="B684" s="11" t="s">
        <v>4625</v>
      </c>
      <c r="C684" s="125" t="str">
        <f>IFERROR(INDEX(面试清单!D:D,MATCH(683,面试清单!P:P,0)),"")</f>
        <v>0217</v>
      </c>
      <c r="D684" s="11" t="s">
        <v>42</v>
      </c>
      <c r="E684" s="11" t="s">
        <v>62</v>
      </c>
      <c r="F684" s="11" t="s">
        <v>124</v>
      </c>
      <c r="G684" s="15">
        <v>46091</v>
      </c>
      <c r="H684" s="10" t="str">
        <f>IFERROR(INDEX(面试清单!H:H,MATCH(683,面试清单!P:P,0)),"")</f>
        <v>线下</v>
      </c>
      <c r="I684" s="13" t="s">
        <v>29</v>
      </c>
      <c r="J684" s="10">
        <f ca="1" t="shared" si="31"/>
        <v>98</v>
      </c>
      <c r="K684" s="10">
        <f ca="1" t="shared" si="32"/>
        <v>16</v>
      </c>
    </row>
    <row r="685" ht="18" spans="1:11">
      <c r="A685" s="14">
        <f t="shared" si="30"/>
        <v>684</v>
      </c>
      <c r="B685" s="11" t="s">
        <v>4626</v>
      </c>
      <c r="C685" s="124" t="str">
        <f>IFERROR(INDEX(面试清单!D:D,MATCH(684,面试清单!P:P,0)),"")</f>
        <v>0218</v>
      </c>
      <c r="D685" s="11" t="s">
        <v>42</v>
      </c>
      <c r="E685" s="11" t="s">
        <v>62</v>
      </c>
      <c r="F685" s="11" t="s">
        <v>110</v>
      </c>
      <c r="G685" s="15">
        <v>46091</v>
      </c>
      <c r="H685" s="14" t="str">
        <f>IFERROR(INDEX(面试清单!H:H,MATCH(684,面试清单!P:P,0)),"")</f>
        <v>线下</v>
      </c>
      <c r="I685" s="13" t="s">
        <v>29</v>
      </c>
      <c r="J685" s="14">
        <f ca="1" t="shared" si="31"/>
        <v>98</v>
      </c>
      <c r="K685" s="14">
        <f ca="1" t="shared" si="32"/>
        <v>16</v>
      </c>
    </row>
    <row r="686" ht="18" spans="1:11">
      <c r="A686" s="10">
        <f t="shared" si="30"/>
        <v>685</v>
      </c>
      <c r="B686" s="11" t="s">
        <v>4627</v>
      </c>
      <c r="C686" s="10" t="str">
        <f>IFERROR(INDEX(面试清单!D:D,MATCH(685,面试清单!P:P,0)),"")</f>
        <v/>
      </c>
      <c r="D686" s="11" t="s">
        <v>42</v>
      </c>
      <c r="E686" s="11" t="s">
        <v>62</v>
      </c>
      <c r="F686" s="11" t="s">
        <v>129</v>
      </c>
      <c r="G686" s="15">
        <v>46091</v>
      </c>
      <c r="H686" s="10" t="str">
        <f>IFERROR(INDEX(面试清单!H:H,MATCH(685,面试清单!P:P,0)),"")</f>
        <v/>
      </c>
      <c r="I686" s="13" t="s">
        <v>29</v>
      </c>
      <c r="J686" s="10">
        <f ca="1" t="shared" si="31"/>
        <v>98</v>
      </c>
      <c r="K686" s="10">
        <f ca="1" t="shared" si="32"/>
        <v>16</v>
      </c>
    </row>
    <row r="687" ht="18" spans="1:11">
      <c r="A687" s="14">
        <f t="shared" si="30"/>
        <v>686</v>
      </c>
      <c r="B687" s="11" t="s">
        <v>4628</v>
      </c>
      <c r="C687" s="124" t="str">
        <f>IFERROR(INDEX(面试清单!D:D,MATCH(686,面试清单!P:P,0)),"")</f>
        <v>0221</v>
      </c>
      <c r="D687" s="11" t="s">
        <v>43</v>
      </c>
      <c r="E687" s="11" t="s">
        <v>63</v>
      </c>
      <c r="F687" s="11" t="s">
        <v>179</v>
      </c>
      <c r="G687" s="15">
        <v>46091</v>
      </c>
      <c r="H687" s="14" t="str">
        <f>IFERROR(INDEX(面试清单!H:H,MATCH(686,面试清单!P:P,0)),"")</f>
        <v>线下</v>
      </c>
      <c r="I687" s="13" t="s">
        <v>29</v>
      </c>
      <c r="J687" s="14">
        <f ca="1" t="shared" si="31"/>
        <v>98</v>
      </c>
      <c r="K687" s="14">
        <f ca="1" t="shared" si="32"/>
        <v>16</v>
      </c>
    </row>
    <row r="688" ht="18" spans="1:11">
      <c r="A688" s="10">
        <f t="shared" si="30"/>
        <v>687</v>
      </c>
      <c r="B688" s="11" t="s">
        <v>4629</v>
      </c>
      <c r="C688" s="125" t="str">
        <f>IFERROR(INDEX(面试清单!D:D,MATCH(687,面试清单!P:P,0)),"")</f>
        <v>0222</v>
      </c>
      <c r="D688" s="11" t="s">
        <v>42</v>
      </c>
      <c r="E688" s="11" t="s">
        <v>64</v>
      </c>
      <c r="F688" s="11" t="s">
        <v>179</v>
      </c>
      <c r="G688" s="15">
        <v>46091</v>
      </c>
      <c r="H688" s="10" t="str">
        <f>IFERROR(INDEX(面试清单!H:H,MATCH(687,面试清单!P:P,0)),"")</f>
        <v>线下</v>
      </c>
      <c r="I688" s="13" t="s">
        <v>29</v>
      </c>
      <c r="J688" s="10">
        <f ca="1" t="shared" si="31"/>
        <v>98</v>
      </c>
      <c r="K688" s="10">
        <f ca="1" t="shared" si="32"/>
        <v>16</v>
      </c>
    </row>
    <row r="689" ht="18" spans="1:11">
      <c r="A689" s="14">
        <f t="shared" si="30"/>
        <v>688</v>
      </c>
      <c r="B689" s="11" t="s">
        <v>4630</v>
      </c>
      <c r="C689" s="124" t="str">
        <f>IFERROR(INDEX(面试清单!D:D,MATCH(688,面试清单!P:P,0)),"")</f>
        <v>0208</v>
      </c>
      <c r="D689" s="11" t="s">
        <v>42</v>
      </c>
      <c r="E689" s="11" t="s">
        <v>64</v>
      </c>
      <c r="F689" s="11" t="s">
        <v>179</v>
      </c>
      <c r="G689" s="15">
        <v>46091</v>
      </c>
      <c r="H689" s="14" t="str">
        <f>IFERROR(INDEX(面试清单!H:H,MATCH(688,面试清单!P:P,0)),"")</f>
        <v>线下</v>
      </c>
      <c r="I689" s="13" t="s">
        <v>29</v>
      </c>
      <c r="J689" s="14">
        <f ca="1" t="shared" si="31"/>
        <v>98</v>
      </c>
      <c r="K689" s="14">
        <f ca="1" t="shared" si="32"/>
        <v>16</v>
      </c>
    </row>
    <row r="690" ht="18" spans="1:11">
      <c r="A690" s="10">
        <f t="shared" si="30"/>
        <v>689</v>
      </c>
      <c r="B690" s="11" t="s">
        <v>4631</v>
      </c>
      <c r="C690" s="125" t="str">
        <f>IFERROR(INDEX(面试清单!D:D,MATCH(689,面试清单!P:P,0)),"")</f>
        <v>0209</v>
      </c>
      <c r="D690" s="11" t="s">
        <v>42</v>
      </c>
      <c r="E690" s="11" t="s">
        <v>64</v>
      </c>
      <c r="F690" s="11" t="s">
        <v>179</v>
      </c>
      <c r="G690" s="15">
        <v>46091</v>
      </c>
      <c r="H690" s="10" t="str">
        <f>IFERROR(INDEX(面试清单!H:H,MATCH(689,面试清单!P:P,0)),"")</f>
        <v>线下</v>
      </c>
      <c r="I690" s="13" t="s">
        <v>29</v>
      </c>
      <c r="J690" s="10">
        <f ca="1" t="shared" si="31"/>
        <v>98</v>
      </c>
      <c r="K690" s="10">
        <f ca="1" t="shared" si="32"/>
        <v>16</v>
      </c>
    </row>
    <row r="691" ht="18" spans="1:11">
      <c r="A691" s="14">
        <f t="shared" si="30"/>
        <v>690</v>
      </c>
      <c r="B691" s="11" t="s">
        <v>4632</v>
      </c>
      <c r="C691" s="124" t="str">
        <f>IFERROR(INDEX(面试清单!D:D,MATCH(690,面试清单!P:P,0)),"")</f>
        <v>0212</v>
      </c>
      <c r="D691" s="11" t="s">
        <v>42</v>
      </c>
      <c r="E691" s="11" t="s">
        <v>64</v>
      </c>
      <c r="F691" s="11" t="s">
        <v>179</v>
      </c>
      <c r="G691" s="15">
        <v>46091</v>
      </c>
      <c r="H691" s="14" t="str">
        <f>IFERROR(INDEX(面试清单!H:H,MATCH(690,面试清单!P:P,0)),"")</f>
        <v>线下</v>
      </c>
      <c r="I691" s="13" t="s">
        <v>29</v>
      </c>
      <c r="J691" s="14">
        <f ca="1" t="shared" si="31"/>
        <v>98</v>
      </c>
      <c r="K691" s="14">
        <f ca="1" t="shared" si="32"/>
        <v>16</v>
      </c>
    </row>
    <row r="692" ht="18" spans="1:11">
      <c r="A692" s="10">
        <f t="shared" si="30"/>
        <v>691</v>
      </c>
      <c r="B692" s="11" t="s">
        <v>4633</v>
      </c>
      <c r="C692" s="125" t="str">
        <f>IFERROR(INDEX(面试清单!D:D,MATCH(691,面试清单!P:P,0)),"")</f>
        <v>0214</v>
      </c>
      <c r="D692" s="11" t="s">
        <v>42</v>
      </c>
      <c r="E692" s="11" t="s">
        <v>64</v>
      </c>
      <c r="F692" s="11" t="s">
        <v>179</v>
      </c>
      <c r="G692" s="15">
        <v>46091</v>
      </c>
      <c r="H692" s="10" t="str">
        <f>IFERROR(INDEX(面试清单!H:H,MATCH(691,面试清单!P:P,0)),"")</f>
        <v>线下</v>
      </c>
      <c r="I692" s="13" t="s">
        <v>29</v>
      </c>
      <c r="J692" s="10">
        <f ca="1" t="shared" si="31"/>
        <v>98</v>
      </c>
      <c r="K692" s="10">
        <f ca="1" t="shared" si="32"/>
        <v>16</v>
      </c>
    </row>
    <row r="693" ht="18" spans="1:11">
      <c r="A693" s="14">
        <f t="shared" si="30"/>
        <v>692</v>
      </c>
      <c r="B693" s="11" t="s">
        <v>4634</v>
      </c>
      <c r="C693" s="124" t="str">
        <f>IFERROR(INDEX(面试清单!D:D,MATCH(692,面试清单!P:P,0)),"")</f>
        <v>0217</v>
      </c>
      <c r="D693" s="11" t="s">
        <v>42</v>
      </c>
      <c r="E693" s="11" t="s">
        <v>64</v>
      </c>
      <c r="F693" s="11" t="s">
        <v>179</v>
      </c>
      <c r="G693" s="15">
        <v>46091</v>
      </c>
      <c r="H693" s="14" t="str">
        <f>IFERROR(INDEX(面试清单!H:H,MATCH(692,面试清单!P:P,0)),"")</f>
        <v>线下</v>
      </c>
      <c r="I693" s="13" t="s">
        <v>29</v>
      </c>
      <c r="J693" s="14">
        <f ca="1" t="shared" si="31"/>
        <v>98</v>
      </c>
      <c r="K693" s="14">
        <f ca="1" t="shared" si="32"/>
        <v>16</v>
      </c>
    </row>
    <row r="694" ht="18" spans="1:11">
      <c r="A694" s="10">
        <f t="shared" si="30"/>
        <v>693</v>
      </c>
      <c r="B694" s="11" t="s">
        <v>4635</v>
      </c>
      <c r="C694" s="10" t="str">
        <f>IFERROR(INDEX(面试清单!D:D,MATCH(693,面试清单!P:P,0)),"")</f>
        <v/>
      </c>
      <c r="D694" s="11" t="s">
        <v>42</v>
      </c>
      <c r="E694" s="11" t="s">
        <v>64</v>
      </c>
      <c r="F694" s="11" t="s">
        <v>179</v>
      </c>
      <c r="G694" s="15">
        <v>46091</v>
      </c>
      <c r="H694" s="10" t="str">
        <f>IFERROR(INDEX(面试清单!H:H,MATCH(693,面试清单!P:P,0)),"")</f>
        <v/>
      </c>
      <c r="I694" s="13" t="s">
        <v>29</v>
      </c>
      <c r="J694" s="10">
        <f ca="1" t="shared" si="31"/>
        <v>98</v>
      </c>
      <c r="K694" s="10">
        <f ca="1" t="shared" si="32"/>
        <v>16</v>
      </c>
    </row>
    <row r="695" ht="18" spans="1:11">
      <c r="A695" s="14">
        <f t="shared" si="30"/>
        <v>694</v>
      </c>
      <c r="B695" s="11" t="s">
        <v>4636</v>
      </c>
      <c r="C695" s="14" t="str">
        <f>IFERROR(INDEX(面试清单!D:D,MATCH(694,面试清单!P:P,0)),"")</f>
        <v/>
      </c>
      <c r="D695" s="11" t="s">
        <v>42</v>
      </c>
      <c r="E695" s="11" t="s">
        <v>64</v>
      </c>
      <c r="F695" s="11" t="s">
        <v>179</v>
      </c>
      <c r="G695" s="15">
        <v>46091</v>
      </c>
      <c r="H695" s="14" t="str">
        <f>IFERROR(INDEX(面试清单!H:H,MATCH(694,面试清单!P:P,0)),"")</f>
        <v/>
      </c>
      <c r="I695" s="13" t="s">
        <v>29</v>
      </c>
      <c r="J695" s="14">
        <f ca="1" t="shared" si="31"/>
        <v>98</v>
      </c>
      <c r="K695" s="14">
        <f ca="1" t="shared" si="32"/>
        <v>16</v>
      </c>
    </row>
    <row r="696" ht="18" spans="1:11">
      <c r="A696" s="10">
        <f t="shared" si="30"/>
        <v>695</v>
      </c>
      <c r="B696" s="11" t="s">
        <v>4637</v>
      </c>
      <c r="C696" s="125" t="str">
        <f>IFERROR(INDEX(面试清单!D:D,MATCH(695,面试清单!P:P,0)),"")</f>
        <v>0221</v>
      </c>
      <c r="D696" s="11" t="s">
        <v>42</v>
      </c>
      <c r="E696" s="11" t="s">
        <v>62</v>
      </c>
      <c r="F696" s="11" t="s">
        <v>103</v>
      </c>
      <c r="G696" s="15">
        <v>46092</v>
      </c>
      <c r="H696" s="10" t="str">
        <f>IFERROR(INDEX(面试清单!H:H,MATCH(695,面试清单!P:P,0)),"")</f>
        <v>线下</v>
      </c>
      <c r="I696" s="13" t="s">
        <v>29</v>
      </c>
      <c r="J696" s="10">
        <f ca="1" t="shared" si="31"/>
        <v>97</v>
      </c>
      <c r="K696" s="10">
        <f ca="1" t="shared" si="32"/>
        <v>16</v>
      </c>
    </row>
    <row r="697" ht="18" spans="1:11">
      <c r="A697" s="14">
        <f t="shared" si="30"/>
        <v>696</v>
      </c>
      <c r="B697" s="11" t="s">
        <v>4638</v>
      </c>
      <c r="C697" s="124" t="str">
        <f>IFERROR(INDEX(面试清单!D:D,MATCH(696,面试清单!P:P,0)),"")</f>
        <v>0222</v>
      </c>
      <c r="D697" s="11" t="s">
        <v>42</v>
      </c>
      <c r="E697" s="11" t="s">
        <v>62</v>
      </c>
      <c r="F697" s="11" t="s">
        <v>103</v>
      </c>
      <c r="G697" s="15">
        <v>46092</v>
      </c>
      <c r="H697" s="14" t="str">
        <f>IFERROR(INDEX(面试清单!H:H,MATCH(696,面试清单!P:P,0)),"")</f>
        <v>线下</v>
      </c>
      <c r="I697" s="13" t="s">
        <v>29</v>
      </c>
      <c r="J697" s="14">
        <f ca="1" t="shared" si="31"/>
        <v>97</v>
      </c>
      <c r="K697" s="14">
        <f ca="1" t="shared" si="32"/>
        <v>16</v>
      </c>
    </row>
    <row r="698" ht="18" spans="1:11">
      <c r="A698" s="10">
        <f t="shared" si="30"/>
        <v>697</v>
      </c>
      <c r="B698" s="11" t="s">
        <v>4639</v>
      </c>
      <c r="C698" s="125" t="str">
        <f>IFERROR(INDEX(面试清单!D:D,MATCH(697,面试清单!P:P,0)),"")</f>
        <v>0208</v>
      </c>
      <c r="D698" s="11" t="s">
        <v>42</v>
      </c>
      <c r="E698" s="11" t="s">
        <v>62</v>
      </c>
      <c r="F698" s="11" t="s">
        <v>124</v>
      </c>
      <c r="G698" s="15">
        <v>46092</v>
      </c>
      <c r="H698" s="10" t="str">
        <f>IFERROR(INDEX(面试清单!H:H,MATCH(697,面试清单!P:P,0)),"")</f>
        <v>线下</v>
      </c>
      <c r="I698" s="13" t="s">
        <v>29</v>
      </c>
      <c r="J698" s="10">
        <f ca="1" t="shared" si="31"/>
        <v>97</v>
      </c>
      <c r="K698" s="10">
        <f ca="1" t="shared" si="32"/>
        <v>16</v>
      </c>
    </row>
    <row r="699" ht="18" spans="1:11">
      <c r="A699" s="14">
        <f t="shared" si="30"/>
        <v>698</v>
      </c>
      <c r="B699" s="11" t="s">
        <v>4640</v>
      </c>
      <c r="C699" s="14" t="str">
        <f>IFERROR(INDEX(面试清单!D:D,MATCH(698,面试清单!P:P,0)),"")</f>
        <v/>
      </c>
      <c r="D699" s="11" t="s">
        <v>43</v>
      </c>
      <c r="E699" s="11" t="s">
        <v>62</v>
      </c>
      <c r="F699" s="11" t="s">
        <v>135</v>
      </c>
      <c r="G699" s="15">
        <v>46092</v>
      </c>
      <c r="H699" s="14" t="str">
        <f>IFERROR(INDEX(面试清单!H:H,MATCH(698,面试清单!P:P,0)),"")</f>
        <v/>
      </c>
      <c r="I699" s="13" t="s">
        <v>29</v>
      </c>
      <c r="J699" s="14">
        <f ca="1" t="shared" si="31"/>
        <v>97</v>
      </c>
      <c r="K699" s="14">
        <f ca="1" t="shared" si="32"/>
        <v>16</v>
      </c>
    </row>
    <row r="700" ht="18" spans="1:11">
      <c r="A700" s="10">
        <f t="shared" si="30"/>
        <v>699</v>
      </c>
      <c r="B700" s="11" t="s">
        <v>4641</v>
      </c>
      <c r="C700" s="125" t="str">
        <f>IFERROR(INDEX(面试清单!D:D,MATCH(699,面试清单!P:P,0)),"")</f>
        <v>0212</v>
      </c>
      <c r="D700" s="11" t="s">
        <v>42</v>
      </c>
      <c r="E700" s="11" t="s">
        <v>63</v>
      </c>
      <c r="F700" s="11" t="s">
        <v>103</v>
      </c>
      <c r="G700" s="15">
        <v>46092</v>
      </c>
      <c r="H700" s="10" t="str">
        <f>IFERROR(INDEX(面试清单!H:H,MATCH(699,面试清单!P:P,0)),"")</f>
        <v>线下</v>
      </c>
      <c r="I700" s="13" t="s">
        <v>29</v>
      </c>
      <c r="J700" s="10">
        <f ca="1" t="shared" si="31"/>
        <v>97</v>
      </c>
      <c r="K700" s="10">
        <f ca="1" t="shared" si="32"/>
        <v>16</v>
      </c>
    </row>
    <row r="701" ht="18" spans="1:11">
      <c r="A701" s="14">
        <f t="shared" si="30"/>
        <v>700</v>
      </c>
      <c r="B701" s="11" t="s">
        <v>4642</v>
      </c>
      <c r="C701" s="14" t="str">
        <f>IFERROR(INDEX(面试清单!D:D,MATCH(700,面试清单!P:P,0)),"")</f>
        <v/>
      </c>
      <c r="D701" s="11" t="s">
        <v>42</v>
      </c>
      <c r="E701" s="11" t="s">
        <v>64</v>
      </c>
      <c r="F701" s="11" t="s">
        <v>135</v>
      </c>
      <c r="G701" s="15">
        <v>46092</v>
      </c>
      <c r="H701" s="14" t="str">
        <f>IFERROR(INDEX(面试清单!H:H,MATCH(700,面试清单!P:P,0)),"")</f>
        <v/>
      </c>
      <c r="I701" s="13" t="s">
        <v>29</v>
      </c>
      <c r="J701" s="14">
        <f ca="1" t="shared" si="31"/>
        <v>97</v>
      </c>
      <c r="K701" s="14">
        <f ca="1" t="shared" si="32"/>
        <v>16</v>
      </c>
    </row>
    <row r="702" ht="18" spans="1:11">
      <c r="A702" s="10">
        <f t="shared" si="30"/>
        <v>701</v>
      </c>
      <c r="B702" s="11" t="s">
        <v>4643</v>
      </c>
      <c r="C702" s="10" t="str">
        <f>IFERROR(INDEX(面试清单!D:D,MATCH(701,面试清单!P:P,0)),"")</f>
        <v/>
      </c>
      <c r="D702" s="11" t="s">
        <v>42</v>
      </c>
      <c r="E702" s="11" t="s">
        <v>64</v>
      </c>
      <c r="F702" s="11" t="s">
        <v>135</v>
      </c>
      <c r="G702" s="15">
        <v>46092</v>
      </c>
      <c r="H702" s="10" t="str">
        <f>IFERROR(INDEX(面试清单!H:H,MATCH(701,面试清单!P:P,0)),"")</f>
        <v/>
      </c>
      <c r="I702" s="13" t="s">
        <v>29</v>
      </c>
      <c r="J702" s="10">
        <f ca="1" t="shared" si="31"/>
        <v>97</v>
      </c>
      <c r="K702" s="10">
        <f ca="1" t="shared" si="32"/>
        <v>16</v>
      </c>
    </row>
    <row r="703" ht="18" spans="1:11">
      <c r="A703" s="14">
        <f t="shared" si="30"/>
        <v>702</v>
      </c>
      <c r="B703" s="11" t="s">
        <v>4644</v>
      </c>
      <c r="C703" s="14" t="str">
        <f>IFERROR(INDEX(面试清单!D:D,MATCH(702,面试清单!P:P,0)),"")</f>
        <v/>
      </c>
      <c r="D703" s="11" t="s">
        <v>42</v>
      </c>
      <c r="E703" s="11" t="s">
        <v>63</v>
      </c>
      <c r="F703" s="11" t="s">
        <v>129</v>
      </c>
      <c r="G703" s="15">
        <v>46092</v>
      </c>
      <c r="H703" s="14" t="str">
        <f>IFERROR(INDEX(面试清单!H:H,MATCH(702,面试清单!P:P,0)),"")</f>
        <v/>
      </c>
      <c r="I703" s="13" t="s">
        <v>29</v>
      </c>
      <c r="J703" s="14">
        <f ca="1" t="shared" si="31"/>
        <v>97</v>
      </c>
      <c r="K703" s="14">
        <f ca="1" t="shared" si="32"/>
        <v>16</v>
      </c>
    </row>
    <row r="704" ht="18" spans="1:11">
      <c r="A704" s="10">
        <f t="shared" si="30"/>
        <v>703</v>
      </c>
      <c r="B704" s="11" t="s">
        <v>4645</v>
      </c>
      <c r="C704" s="10" t="str">
        <f>IFERROR(INDEX(面试清单!D:D,MATCH(703,面试清单!P:P,0)),"")</f>
        <v/>
      </c>
      <c r="D704" s="11" t="s">
        <v>42</v>
      </c>
      <c r="E704" s="11" t="s">
        <v>63</v>
      </c>
      <c r="F704" s="11" t="s">
        <v>129</v>
      </c>
      <c r="G704" s="15">
        <v>46092</v>
      </c>
      <c r="H704" s="10" t="str">
        <f>IFERROR(INDEX(面试清单!H:H,MATCH(703,面试清单!P:P,0)),"")</f>
        <v/>
      </c>
      <c r="I704" s="13" t="s">
        <v>29</v>
      </c>
      <c r="J704" s="10">
        <f ca="1" t="shared" si="31"/>
        <v>97</v>
      </c>
      <c r="K704" s="10">
        <f ca="1" t="shared" si="32"/>
        <v>16</v>
      </c>
    </row>
    <row r="705" ht="18" spans="1:11">
      <c r="A705" s="14">
        <f t="shared" si="30"/>
        <v>704</v>
      </c>
      <c r="B705" s="11" t="s">
        <v>4646</v>
      </c>
      <c r="C705" s="124" t="str">
        <f>IFERROR(INDEX(面试清单!D:D,MATCH(704,面试清单!P:P,0)),"")</f>
        <v>0221</v>
      </c>
      <c r="D705" s="11" t="s">
        <v>42</v>
      </c>
      <c r="E705" s="11" t="s">
        <v>62</v>
      </c>
      <c r="F705" s="11" t="s">
        <v>733</v>
      </c>
      <c r="G705" s="15">
        <v>46092</v>
      </c>
      <c r="H705" s="14" t="str">
        <f>IFERROR(INDEX(面试清单!H:H,MATCH(704,面试清单!P:P,0)),"")</f>
        <v>线下</v>
      </c>
      <c r="I705" s="13" t="s">
        <v>29</v>
      </c>
      <c r="J705" s="14">
        <f ca="1" t="shared" si="31"/>
        <v>97</v>
      </c>
      <c r="K705" s="14">
        <f ca="1" t="shared" si="32"/>
        <v>16</v>
      </c>
    </row>
    <row r="706" ht="18" spans="1:11">
      <c r="A706" s="10">
        <f t="shared" ref="A706:A769" si="33">IF(B706&lt;&gt;"",ROW()-1,"")</f>
        <v>705</v>
      </c>
      <c r="B706" s="11" t="s">
        <v>4647</v>
      </c>
      <c r="C706" s="10" t="str">
        <f>IFERROR(INDEX(面试清单!D:D,MATCH(705,面试清单!P:P,0)),"")</f>
        <v/>
      </c>
      <c r="D706" s="11" t="s">
        <v>42</v>
      </c>
      <c r="E706" s="11" t="s">
        <v>62</v>
      </c>
      <c r="F706" s="11" t="s">
        <v>103</v>
      </c>
      <c r="G706" s="15">
        <v>46092</v>
      </c>
      <c r="H706" s="10" t="str">
        <f>IFERROR(INDEX(面试清单!H:H,MATCH(705,面试清单!P:P,0)),"")</f>
        <v/>
      </c>
      <c r="I706" s="13" t="s">
        <v>29</v>
      </c>
      <c r="J706" s="10">
        <f ca="1" t="shared" ref="J706:J769" si="34">IF(G706&lt;&gt;"",TODAY()-G706,"")</f>
        <v>97</v>
      </c>
      <c r="K706" s="10">
        <f ca="1" t="shared" ref="K706:K769" si="35">IF(G706&lt;&gt;"",MAX(0,MIN(TODAY(),EOMONTH(TODAY(),0))-MAX(G706,EOMONTH(TODAY(),-1)+1)+1),"")</f>
        <v>16</v>
      </c>
    </row>
    <row r="707" ht="18" spans="1:11">
      <c r="A707" s="14">
        <f t="shared" si="33"/>
        <v>706</v>
      </c>
      <c r="B707" s="11" t="s">
        <v>4648</v>
      </c>
      <c r="C707" s="14" t="str">
        <f>IFERROR(INDEX(面试清单!D:D,MATCH(706,面试清单!P:P,0)),"")</f>
        <v/>
      </c>
      <c r="D707" s="11" t="s">
        <v>42</v>
      </c>
      <c r="E707" s="11" t="s">
        <v>63</v>
      </c>
      <c r="F707" s="11" t="s">
        <v>103</v>
      </c>
      <c r="G707" s="15">
        <v>46092</v>
      </c>
      <c r="H707" s="14" t="str">
        <f>IFERROR(INDEX(面试清单!H:H,MATCH(706,面试清单!P:P,0)),"")</f>
        <v/>
      </c>
      <c r="I707" s="13" t="s">
        <v>29</v>
      </c>
      <c r="J707" s="14">
        <f ca="1" t="shared" si="34"/>
        <v>97</v>
      </c>
      <c r="K707" s="14">
        <f ca="1" t="shared" si="35"/>
        <v>16</v>
      </c>
    </row>
    <row r="708" ht="18" spans="1:11">
      <c r="A708" s="10">
        <f t="shared" si="33"/>
        <v>707</v>
      </c>
      <c r="B708" s="11" t="s">
        <v>4649</v>
      </c>
      <c r="C708" s="10" t="str">
        <f>IFERROR(INDEX(面试清单!D:D,MATCH(707,面试清单!P:P,0)),"")</f>
        <v/>
      </c>
      <c r="D708" s="11" t="s">
        <v>42</v>
      </c>
      <c r="E708" s="11" t="s">
        <v>63</v>
      </c>
      <c r="F708" s="11" t="s">
        <v>124</v>
      </c>
      <c r="G708" s="15">
        <v>46092</v>
      </c>
      <c r="H708" s="10" t="str">
        <f>IFERROR(INDEX(面试清单!H:H,MATCH(707,面试清单!P:P,0)),"")</f>
        <v/>
      </c>
      <c r="I708" s="13" t="s">
        <v>29</v>
      </c>
      <c r="J708" s="10">
        <f ca="1" t="shared" si="34"/>
        <v>97</v>
      </c>
      <c r="K708" s="10">
        <f ca="1" t="shared" si="35"/>
        <v>16</v>
      </c>
    </row>
    <row r="709" ht="18" spans="1:11">
      <c r="A709" s="14">
        <f t="shared" si="33"/>
        <v>708</v>
      </c>
      <c r="B709" s="11" t="s">
        <v>4650</v>
      </c>
      <c r="C709" s="14" t="str">
        <f>IFERROR(INDEX(面试清单!D:D,MATCH(708,面试清单!P:P,0)),"")</f>
        <v/>
      </c>
      <c r="D709" s="11" t="s">
        <v>42</v>
      </c>
      <c r="E709" s="11" t="s">
        <v>62</v>
      </c>
      <c r="F709" s="11" t="s">
        <v>124</v>
      </c>
      <c r="G709" s="15">
        <v>46092</v>
      </c>
      <c r="H709" s="14" t="str">
        <f>IFERROR(INDEX(面试清单!H:H,MATCH(708,面试清单!P:P,0)),"")</f>
        <v/>
      </c>
      <c r="I709" s="13" t="s">
        <v>29</v>
      </c>
      <c r="J709" s="14">
        <f ca="1" t="shared" si="34"/>
        <v>97</v>
      </c>
      <c r="K709" s="14">
        <f ca="1" t="shared" si="35"/>
        <v>16</v>
      </c>
    </row>
    <row r="710" ht="18" spans="1:11">
      <c r="A710" s="10">
        <f t="shared" si="33"/>
        <v>709</v>
      </c>
      <c r="B710" s="11" t="s">
        <v>4651</v>
      </c>
      <c r="C710" s="125" t="str">
        <f>IFERROR(INDEX(面试清单!D:D,MATCH(709,面试清单!P:P,0)),"")</f>
        <v>0214</v>
      </c>
      <c r="D710" s="11" t="s">
        <v>42</v>
      </c>
      <c r="E710" s="11" t="s">
        <v>63</v>
      </c>
      <c r="F710" s="11" t="s">
        <v>176</v>
      </c>
      <c r="G710" s="15">
        <v>46092</v>
      </c>
      <c r="H710" s="10" t="str">
        <f>IFERROR(INDEX(面试清单!H:H,MATCH(709,面试清单!P:P,0)),"")</f>
        <v>线下</v>
      </c>
      <c r="I710" s="13" t="s">
        <v>29</v>
      </c>
      <c r="J710" s="10">
        <f ca="1" t="shared" si="34"/>
        <v>97</v>
      </c>
      <c r="K710" s="10">
        <f ca="1" t="shared" si="35"/>
        <v>16</v>
      </c>
    </row>
    <row r="711" ht="18" spans="1:11">
      <c r="A711" s="14">
        <f t="shared" si="33"/>
        <v>710</v>
      </c>
      <c r="B711" s="11" t="s">
        <v>4652</v>
      </c>
      <c r="C711" s="124" t="str">
        <f>IFERROR(INDEX(面试清单!D:D,MATCH(710,面试清单!P:P,0)),"")</f>
        <v>0217</v>
      </c>
      <c r="D711" s="11" t="s">
        <v>42</v>
      </c>
      <c r="E711" s="11" t="s">
        <v>62</v>
      </c>
      <c r="F711" s="11" t="s">
        <v>124</v>
      </c>
      <c r="G711" s="15">
        <v>46092</v>
      </c>
      <c r="H711" s="14" t="str">
        <f>IFERROR(INDEX(面试清单!H:H,MATCH(710,面试清单!P:P,0)),"")</f>
        <v>线下</v>
      </c>
      <c r="I711" s="13" t="s">
        <v>29</v>
      </c>
      <c r="J711" s="14">
        <f ca="1" t="shared" si="34"/>
        <v>97</v>
      </c>
      <c r="K711" s="14">
        <f ca="1" t="shared" si="35"/>
        <v>16</v>
      </c>
    </row>
    <row r="712" ht="18" spans="1:11">
      <c r="A712" s="10">
        <f t="shared" si="33"/>
        <v>711</v>
      </c>
      <c r="B712" s="11" t="s">
        <v>4653</v>
      </c>
      <c r="C712" s="125" t="str">
        <f>IFERROR(INDEX(面试清单!D:D,MATCH(711,面试清单!P:P,0)),"")</f>
        <v>0218</v>
      </c>
      <c r="D712" s="11" t="s">
        <v>42</v>
      </c>
      <c r="E712" s="11" t="s">
        <v>62</v>
      </c>
      <c r="F712" s="11" t="s">
        <v>103</v>
      </c>
      <c r="G712" s="15">
        <v>46092</v>
      </c>
      <c r="H712" s="10" t="str">
        <f>IFERROR(INDEX(面试清单!H:H,MATCH(711,面试清单!P:P,0)),"")</f>
        <v>线下</v>
      </c>
      <c r="I712" s="13" t="s">
        <v>29</v>
      </c>
      <c r="J712" s="10">
        <f ca="1" t="shared" si="34"/>
        <v>97</v>
      </c>
      <c r="K712" s="10">
        <f ca="1" t="shared" si="35"/>
        <v>16</v>
      </c>
    </row>
    <row r="713" ht="18" spans="1:11">
      <c r="A713" s="14">
        <f t="shared" si="33"/>
        <v>712</v>
      </c>
      <c r="B713" s="11" t="s">
        <v>4654</v>
      </c>
      <c r="C713" s="124" t="str">
        <f>IFERROR(INDEX(面试清单!D:D,MATCH(712,面试清单!P:P,0)),"")</f>
        <v>0220</v>
      </c>
      <c r="D713" s="11" t="s">
        <v>42</v>
      </c>
      <c r="E713" s="11" t="s">
        <v>62</v>
      </c>
      <c r="F713" s="11" t="s">
        <v>233</v>
      </c>
      <c r="G713" s="15">
        <v>46092</v>
      </c>
      <c r="H713" s="14" t="str">
        <f>IFERROR(INDEX(面试清单!H:H,MATCH(712,面试清单!P:P,0)),"")</f>
        <v>线下</v>
      </c>
      <c r="I713" s="13" t="s">
        <v>29</v>
      </c>
      <c r="J713" s="14">
        <f ca="1" t="shared" si="34"/>
        <v>97</v>
      </c>
      <c r="K713" s="14">
        <f ca="1" t="shared" si="35"/>
        <v>16</v>
      </c>
    </row>
    <row r="714" ht="18" spans="1:11">
      <c r="A714" s="10">
        <f t="shared" si="33"/>
        <v>713</v>
      </c>
      <c r="B714" s="11" t="s">
        <v>4655</v>
      </c>
      <c r="C714" s="10" t="str">
        <f>IFERROR(INDEX(面试清单!D:D,MATCH(713,面试清单!P:P,0)),"")</f>
        <v/>
      </c>
      <c r="D714" s="11" t="s">
        <v>42</v>
      </c>
      <c r="E714" s="11" t="s">
        <v>62</v>
      </c>
      <c r="F714" s="11" t="s">
        <v>233</v>
      </c>
      <c r="G714" s="15">
        <v>46092</v>
      </c>
      <c r="H714" s="10" t="str">
        <f>IFERROR(INDEX(面试清单!H:H,MATCH(713,面试清单!P:P,0)),"")</f>
        <v/>
      </c>
      <c r="I714" s="13" t="s">
        <v>29</v>
      </c>
      <c r="J714" s="10">
        <f ca="1" t="shared" si="34"/>
        <v>97</v>
      </c>
      <c r="K714" s="10">
        <f ca="1" t="shared" si="35"/>
        <v>16</v>
      </c>
    </row>
    <row r="715" ht="18" spans="1:11">
      <c r="A715" s="14">
        <f t="shared" si="33"/>
        <v>714</v>
      </c>
      <c r="B715" s="11" t="s">
        <v>4656</v>
      </c>
      <c r="C715" s="14" t="str">
        <f>IFERROR(INDEX(面试清单!D:D,MATCH(714,面试清单!P:P,0)),"")</f>
        <v/>
      </c>
      <c r="D715" s="11" t="s">
        <v>42</v>
      </c>
      <c r="E715" s="11" t="s">
        <v>63</v>
      </c>
      <c r="F715" s="11" t="s">
        <v>103</v>
      </c>
      <c r="G715" s="15">
        <v>46092</v>
      </c>
      <c r="H715" s="14" t="str">
        <f>IFERROR(INDEX(面试清单!H:H,MATCH(714,面试清单!P:P,0)),"")</f>
        <v/>
      </c>
      <c r="I715" s="13" t="s">
        <v>29</v>
      </c>
      <c r="J715" s="14">
        <f ca="1" t="shared" si="34"/>
        <v>97</v>
      </c>
      <c r="K715" s="14">
        <f ca="1" t="shared" si="35"/>
        <v>16</v>
      </c>
    </row>
    <row r="716" ht="18" spans="1:11">
      <c r="A716" s="10">
        <f t="shared" si="33"/>
        <v>715</v>
      </c>
      <c r="B716" s="11" t="s">
        <v>4657</v>
      </c>
      <c r="C716" s="125" t="str">
        <f>IFERROR(INDEX(面试清单!D:D,MATCH(715,面试清单!P:P,0)),"")</f>
        <v>0208</v>
      </c>
      <c r="D716" s="11" t="s">
        <v>42</v>
      </c>
      <c r="E716" s="11" t="s">
        <v>64</v>
      </c>
      <c r="F716" s="11" t="s">
        <v>179</v>
      </c>
      <c r="G716" s="15">
        <v>46092</v>
      </c>
      <c r="H716" s="10" t="str">
        <f>IFERROR(INDEX(面试清单!H:H,MATCH(715,面试清单!P:P,0)),"")</f>
        <v>线下</v>
      </c>
      <c r="I716" s="13" t="s">
        <v>29</v>
      </c>
      <c r="J716" s="10">
        <f ca="1" t="shared" si="34"/>
        <v>97</v>
      </c>
      <c r="K716" s="10">
        <f ca="1" t="shared" si="35"/>
        <v>16</v>
      </c>
    </row>
    <row r="717" ht="18" spans="1:11">
      <c r="A717" s="14">
        <f t="shared" si="33"/>
        <v>716</v>
      </c>
      <c r="B717" s="11" t="s">
        <v>4658</v>
      </c>
      <c r="C717" s="14" t="str">
        <f>IFERROR(INDEX(面试清单!D:D,MATCH(716,面试清单!P:P,0)),"")</f>
        <v/>
      </c>
      <c r="D717" s="11" t="s">
        <v>42</v>
      </c>
      <c r="E717" s="11" t="s">
        <v>63</v>
      </c>
      <c r="F717" s="11" t="s">
        <v>129</v>
      </c>
      <c r="G717" s="15">
        <v>46093</v>
      </c>
      <c r="H717" s="14" t="str">
        <f>IFERROR(INDEX(面试清单!H:H,MATCH(716,面试清单!P:P,0)),"")</f>
        <v/>
      </c>
      <c r="I717" s="13" t="s">
        <v>29</v>
      </c>
      <c r="J717" s="14">
        <f ca="1" t="shared" si="34"/>
        <v>96</v>
      </c>
      <c r="K717" s="14">
        <f ca="1" t="shared" si="35"/>
        <v>16</v>
      </c>
    </row>
    <row r="718" ht="18" spans="1:11">
      <c r="A718" s="10">
        <f t="shared" si="33"/>
        <v>717</v>
      </c>
      <c r="B718" s="11" t="s">
        <v>4659</v>
      </c>
      <c r="C718" s="125" t="str">
        <f>IFERROR(INDEX(面试清单!D:D,MATCH(717,面试清单!P:P,0)),"")</f>
        <v>0212</v>
      </c>
      <c r="D718" s="11" t="s">
        <v>42</v>
      </c>
      <c r="E718" s="11" t="s">
        <v>62</v>
      </c>
      <c r="F718" s="11" t="s">
        <v>110</v>
      </c>
      <c r="G718" s="15">
        <v>46093</v>
      </c>
      <c r="H718" s="10" t="str">
        <f>IFERROR(INDEX(面试清单!H:H,MATCH(717,面试清单!P:P,0)),"")</f>
        <v>线下</v>
      </c>
      <c r="I718" s="13" t="s">
        <v>29</v>
      </c>
      <c r="J718" s="10">
        <f ca="1" t="shared" si="34"/>
        <v>96</v>
      </c>
      <c r="K718" s="10">
        <f ca="1" t="shared" si="35"/>
        <v>16</v>
      </c>
    </row>
    <row r="719" ht="18" spans="1:11">
      <c r="A719" s="14">
        <f t="shared" si="33"/>
        <v>718</v>
      </c>
      <c r="B719" s="11" t="s">
        <v>4660</v>
      </c>
      <c r="C719" s="124" t="str">
        <f>IFERROR(INDEX(面试清单!D:D,MATCH(718,面试清单!P:P,0)),"")</f>
        <v>0214</v>
      </c>
      <c r="D719" s="11" t="s">
        <v>42</v>
      </c>
      <c r="E719" s="11" t="s">
        <v>63</v>
      </c>
      <c r="F719" s="11" t="s">
        <v>733</v>
      </c>
      <c r="G719" s="15">
        <v>46093</v>
      </c>
      <c r="H719" s="14" t="str">
        <f>IFERROR(INDEX(面试清单!H:H,MATCH(718,面试清单!P:P,0)),"")</f>
        <v>线下</v>
      </c>
      <c r="I719" s="13" t="s">
        <v>29</v>
      </c>
      <c r="J719" s="14">
        <f ca="1" t="shared" si="34"/>
        <v>96</v>
      </c>
      <c r="K719" s="14">
        <f ca="1" t="shared" si="35"/>
        <v>16</v>
      </c>
    </row>
    <row r="720" ht="18" spans="1:11">
      <c r="A720" s="10">
        <f t="shared" si="33"/>
        <v>719</v>
      </c>
      <c r="B720" s="11" t="s">
        <v>4661</v>
      </c>
      <c r="C720" s="125" t="str">
        <f>IFERROR(INDEX(面试清单!D:D,MATCH(719,面试清单!P:P,0)),"")</f>
        <v>0217</v>
      </c>
      <c r="D720" s="11" t="s">
        <v>42</v>
      </c>
      <c r="E720" s="11" t="s">
        <v>62</v>
      </c>
      <c r="F720" s="11" t="s">
        <v>124</v>
      </c>
      <c r="G720" s="15">
        <v>46093</v>
      </c>
      <c r="H720" s="10" t="str">
        <f>IFERROR(INDEX(面试清单!H:H,MATCH(719,面试清单!P:P,0)),"")</f>
        <v>线下</v>
      </c>
      <c r="I720" s="13" t="s">
        <v>29</v>
      </c>
      <c r="J720" s="10">
        <f ca="1" t="shared" si="34"/>
        <v>96</v>
      </c>
      <c r="K720" s="10">
        <f ca="1" t="shared" si="35"/>
        <v>16</v>
      </c>
    </row>
    <row r="721" ht="18" spans="1:11">
      <c r="A721" s="14">
        <f t="shared" si="33"/>
        <v>720</v>
      </c>
      <c r="B721" s="11" t="s">
        <v>4662</v>
      </c>
      <c r="C721" s="124" t="str">
        <f>IFERROR(INDEX(面试清单!D:D,MATCH(720,面试清单!P:P,0)),"")</f>
        <v>0218</v>
      </c>
      <c r="D721" s="11" t="s">
        <v>43</v>
      </c>
      <c r="E721" s="11" t="s">
        <v>63</v>
      </c>
      <c r="F721" s="11" t="s">
        <v>509</v>
      </c>
      <c r="G721" s="15">
        <v>46093</v>
      </c>
      <c r="H721" s="14" t="str">
        <f>IFERROR(INDEX(面试清单!H:H,MATCH(720,面试清单!P:P,0)),"")</f>
        <v>线下</v>
      </c>
      <c r="I721" s="13" t="s">
        <v>29</v>
      </c>
      <c r="J721" s="14">
        <f ca="1" t="shared" si="34"/>
        <v>96</v>
      </c>
      <c r="K721" s="14">
        <f ca="1" t="shared" si="35"/>
        <v>16</v>
      </c>
    </row>
    <row r="722" ht="18" spans="1:11">
      <c r="A722" s="10">
        <f t="shared" si="33"/>
        <v>721</v>
      </c>
      <c r="B722" s="11" t="s">
        <v>4663</v>
      </c>
      <c r="C722" s="10" t="str">
        <f>IFERROR(INDEX(面试清单!D:D,MATCH(721,面试清单!P:P,0)),"")</f>
        <v/>
      </c>
      <c r="D722" s="11" t="s">
        <v>42</v>
      </c>
      <c r="E722" s="11" t="s">
        <v>62</v>
      </c>
      <c r="F722" s="11" t="s">
        <v>307</v>
      </c>
      <c r="G722" s="15">
        <v>46093</v>
      </c>
      <c r="H722" s="10" t="str">
        <f>IFERROR(INDEX(面试清单!H:H,MATCH(721,面试清单!P:P,0)),"")</f>
        <v/>
      </c>
      <c r="I722" s="13" t="s">
        <v>29</v>
      </c>
      <c r="J722" s="10">
        <f ca="1" t="shared" si="34"/>
        <v>96</v>
      </c>
      <c r="K722" s="10">
        <f ca="1" t="shared" si="35"/>
        <v>16</v>
      </c>
    </row>
    <row r="723" ht="18" spans="1:11">
      <c r="A723" s="14">
        <f t="shared" si="33"/>
        <v>722</v>
      </c>
      <c r="B723" s="11" t="s">
        <v>4664</v>
      </c>
      <c r="C723" s="124" t="str">
        <f>IFERROR(INDEX(面试清单!D:D,MATCH(722,面试清单!P:P,0)),"")</f>
        <v>0221</v>
      </c>
      <c r="D723" s="11" t="s">
        <v>43</v>
      </c>
      <c r="E723" s="11" t="s">
        <v>62</v>
      </c>
      <c r="F723" s="11" t="s">
        <v>148</v>
      </c>
      <c r="G723" s="15">
        <v>46093</v>
      </c>
      <c r="H723" s="14" t="str">
        <f>IFERROR(INDEX(面试清单!H:H,MATCH(722,面试清单!P:P,0)),"")</f>
        <v>线下</v>
      </c>
      <c r="I723" s="13" t="s">
        <v>29</v>
      </c>
      <c r="J723" s="14">
        <f ca="1" t="shared" si="34"/>
        <v>96</v>
      </c>
      <c r="K723" s="14">
        <f ca="1" t="shared" si="35"/>
        <v>16</v>
      </c>
    </row>
    <row r="724" ht="18" spans="1:11">
      <c r="A724" s="10">
        <f t="shared" si="33"/>
        <v>723</v>
      </c>
      <c r="B724" s="11" t="s">
        <v>4665</v>
      </c>
      <c r="C724" s="125" t="str">
        <f>IFERROR(INDEX(面试清单!D:D,MATCH(723,面试清单!P:P,0)),"")</f>
        <v>0222</v>
      </c>
      <c r="D724" s="11" t="s">
        <v>43</v>
      </c>
      <c r="E724" s="11" t="s">
        <v>62</v>
      </c>
      <c r="F724" s="11" t="s">
        <v>505</v>
      </c>
      <c r="G724" s="15">
        <v>46093</v>
      </c>
      <c r="H724" s="10" t="str">
        <f>IFERROR(INDEX(面试清单!H:H,MATCH(723,面试清单!P:P,0)),"")</f>
        <v>线下</v>
      </c>
      <c r="I724" s="13" t="s">
        <v>29</v>
      </c>
      <c r="J724" s="10">
        <f ca="1" t="shared" si="34"/>
        <v>96</v>
      </c>
      <c r="K724" s="10">
        <f ca="1" t="shared" si="35"/>
        <v>16</v>
      </c>
    </row>
    <row r="725" ht="18" spans="1:11">
      <c r="A725" s="14">
        <f t="shared" si="33"/>
        <v>724</v>
      </c>
      <c r="B725" s="11" t="s">
        <v>4666</v>
      </c>
      <c r="C725" s="14" t="str">
        <f>IFERROR(INDEX(面试清单!D:D,MATCH(724,面试清单!P:P,0)),"")</f>
        <v/>
      </c>
      <c r="D725" s="11" t="s">
        <v>42</v>
      </c>
      <c r="E725" s="11" t="s">
        <v>62</v>
      </c>
      <c r="F725" s="11" t="s">
        <v>129</v>
      </c>
      <c r="G725" s="15">
        <v>46093</v>
      </c>
      <c r="H725" s="14" t="str">
        <f>IFERROR(INDEX(面试清单!H:H,MATCH(724,面试清单!P:P,0)),"")</f>
        <v/>
      </c>
      <c r="I725" s="13" t="s">
        <v>29</v>
      </c>
      <c r="J725" s="14">
        <f ca="1" t="shared" si="34"/>
        <v>96</v>
      </c>
      <c r="K725" s="14">
        <f ca="1" t="shared" si="35"/>
        <v>16</v>
      </c>
    </row>
    <row r="726" ht="18" spans="1:11">
      <c r="A726" s="10">
        <f t="shared" si="33"/>
        <v>725</v>
      </c>
      <c r="B726" s="11" t="s">
        <v>4667</v>
      </c>
      <c r="C726" s="10" t="str">
        <f>IFERROR(INDEX(面试清单!D:D,MATCH(725,面试清单!P:P,0)),"")</f>
        <v/>
      </c>
      <c r="D726" s="11" t="s">
        <v>42</v>
      </c>
      <c r="E726" s="11" t="s">
        <v>64</v>
      </c>
      <c r="F726" s="11" t="s">
        <v>135</v>
      </c>
      <c r="G726" s="15">
        <v>46093</v>
      </c>
      <c r="H726" s="10" t="str">
        <f>IFERROR(INDEX(面试清单!H:H,MATCH(725,面试清单!P:P,0)),"")</f>
        <v/>
      </c>
      <c r="I726" s="13" t="s">
        <v>29</v>
      </c>
      <c r="J726" s="10">
        <f ca="1" t="shared" si="34"/>
        <v>96</v>
      </c>
      <c r="K726" s="10">
        <f ca="1" t="shared" si="35"/>
        <v>16</v>
      </c>
    </row>
    <row r="727" ht="18" spans="1:11">
      <c r="A727" s="14">
        <f t="shared" si="33"/>
        <v>726</v>
      </c>
      <c r="B727" s="11" t="s">
        <v>4668</v>
      </c>
      <c r="C727" s="14" t="str">
        <f>IFERROR(INDEX(面试清单!D:D,MATCH(726,面试清单!P:P,0)),"")</f>
        <v/>
      </c>
      <c r="D727" s="11" t="s">
        <v>74</v>
      </c>
      <c r="E727" s="11" t="s">
        <v>64</v>
      </c>
      <c r="F727" s="11" t="s">
        <v>135</v>
      </c>
      <c r="G727" s="15">
        <v>46093</v>
      </c>
      <c r="H727" s="14" t="str">
        <f>IFERROR(INDEX(面试清单!H:H,MATCH(726,面试清单!P:P,0)),"")</f>
        <v/>
      </c>
      <c r="I727" s="13" t="s">
        <v>29</v>
      </c>
      <c r="J727" s="14">
        <f ca="1" t="shared" si="34"/>
        <v>96</v>
      </c>
      <c r="K727" s="14">
        <f ca="1" t="shared" si="35"/>
        <v>16</v>
      </c>
    </row>
    <row r="728" ht="18" spans="1:11">
      <c r="A728" s="10">
        <f t="shared" si="33"/>
        <v>727</v>
      </c>
      <c r="B728" s="11" t="s">
        <v>4669</v>
      </c>
      <c r="C728" s="10" t="str">
        <f>IFERROR(INDEX(面试清单!D:D,MATCH(727,面试清单!P:P,0)),"")</f>
        <v/>
      </c>
      <c r="D728" s="11" t="s">
        <v>74</v>
      </c>
      <c r="E728" s="11" t="s">
        <v>64</v>
      </c>
      <c r="F728" s="11" t="s">
        <v>135</v>
      </c>
      <c r="G728" s="15">
        <v>46093</v>
      </c>
      <c r="H728" s="10" t="str">
        <f>IFERROR(INDEX(面试清单!H:H,MATCH(727,面试清单!P:P,0)),"")</f>
        <v/>
      </c>
      <c r="I728" s="13" t="s">
        <v>29</v>
      </c>
      <c r="J728" s="10">
        <f ca="1" t="shared" si="34"/>
        <v>96</v>
      </c>
      <c r="K728" s="10">
        <f ca="1" t="shared" si="35"/>
        <v>16</v>
      </c>
    </row>
    <row r="729" ht="18" spans="1:11">
      <c r="A729" s="14">
        <f t="shared" si="33"/>
        <v>728</v>
      </c>
      <c r="B729" s="11" t="s">
        <v>4670</v>
      </c>
      <c r="C729" s="124" t="str">
        <f>IFERROR(INDEX(面试清单!D:D,MATCH(728,面试清单!P:P,0)),"")</f>
        <v>0214</v>
      </c>
      <c r="D729" s="11" t="s">
        <v>43</v>
      </c>
      <c r="E729" s="11" t="s">
        <v>64</v>
      </c>
      <c r="F729" s="11" t="s">
        <v>179</v>
      </c>
      <c r="G729" s="15">
        <v>46093</v>
      </c>
      <c r="H729" s="14" t="str">
        <f>IFERROR(INDEX(面试清单!H:H,MATCH(728,面试清单!P:P,0)),"")</f>
        <v>线下</v>
      </c>
      <c r="I729" s="13" t="s">
        <v>29</v>
      </c>
      <c r="J729" s="14">
        <f ca="1" t="shared" si="34"/>
        <v>96</v>
      </c>
      <c r="K729" s="14">
        <f ca="1" t="shared" si="35"/>
        <v>16</v>
      </c>
    </row>
    <row r="730" ht="18" spans="1:11">
      <c r="A730" s="10">
        <f t="shared" si="33"/>
        <v>729</v>
      </c>
      <c r="B730" s="11" t="s">
        <v>4671</v>
      </c>
      <c r="C730" s="10" t="str">
        <f>IFERROR(INDEX(面试清单!D:D,MATCH(729,面试清单!P:P,0)),"")</f>
        <v/>
      </c>
      <c r="D730" s="11" t="s">
        <v>43</v>
      </c>
      <c r="E730" s="11" t="s">
        <v>64</v>
      </c>
      <c r="F730" s="11" t="s">
        <v>179</v>
      </c>
      <c r="G730" s="15">
        <v>46093</v>
      </c>
      <c r="H730" s="10" t="str">
        <f>IFERROR(INDEX(面试清单!H:H,MATCH(729,面试清单!P:P,0)),"")</f>
        <v/>
      </c>
      <c r="I730" s="13" t="s">
        <v>29</v>
      </c>
      <c r="J730" s="10">
        <f ca="1" t="shared" si="34"/>
        <v>96</v>
      </c>
      <c r="K730" s="10">
        <f ca="1" t="shared" si="35"/>
        <v>16</v>
      </c>
    </row>
    <row r="731" ht="18" spans="1:11">
      <c r="A731" s="14">
        <f t="shared" si="33"/>
        <v>730</v>
      </c>
      <c r="B731" s="11" t="s">
        <v>2151</v>
      </c>
      <c r="C731" s="14" t="str">
        <f>IFERROR(INDEX(面试清单!D:D,MATCH(730,面试清单!P:P,0)),"")</f>
        <v/>
      </c>
      <c r="D731" s="11" t="s">
        <v>43</v>
      </c>
      <c r="E731" s="11" t="s">
        <v>64</v>
      </c>
      <c r="F731" s="11" t="s">
        <v>179</v>
      </c>
      <c r="G731" s="15">
        <v>46093</v>
      </c>
      <c r="H731" s="14" t="str">
        <f>IFERROR(INDEX(面试清单!H:H,MATCH(730,面试清单!P:P,0)),"")</f>
        <v/>
      </c>
      <c r="I731" s="13" t="s">
        <v>29</v>
      </c>
      <c r="J731" s="14">
        <f ca="1" t="shared" si="34"/>
        <v>96</v>
      </c>
      <c r="K731" s="14">
        <f ca="1" t="shared" si="35"/>
        <v>16</v>
      </c>
    </row>
    <row r="732" ht="18" spans="1:11">
      <c r="A732" s="10">
        <f t="shared" si="33"/>
        <v>731</v>
      </c>
      <c r="B732" s="11" t="s">
        <v>4672</v>
      </c>
      <c r="C732" s="10" t="str">
        <f>IFERROR(INDEX(面试清单!D:D,MATCH(731,面试清单!P:P,0)),"")</f>
        <v/>
      </c>
      <c r="D732" s="11" t="s">
        <v>43</v>
      </c>
      <c r="E732" s="11" t="s">
        <v>64</v>
      </c>
      <c r="F732" s="11" t="s">
        <v>179</v>
      </c>
      <c r="G732" s="15">
        <v>46093</v>
      </c>
      <c r="H732" s="10" t="str">
        <f>IFERROR(INDEX(面试清单!H:H,MATCH(731,面试清单!P:P,0)),"")</f>
        <v/>
      </c>
      <c r="I732" s="13" t="s">
        <v>29</v>
      </c>
      <c r="J732" s="10">
        <f ca="1" t="shared" si="34"/>
        <v>96</v>
      </c>
      <c r="K732" s="10">
        <f ca="1" t="shared" si="35"/>
        <v>16</v>
      </c>
    </row>
    <row r="733" ht="18" spans="1:11">
      <c r="A733" s="14">
        <f t="shared" si="33"/>
        <v>732</v>
      </c>
      <c r="B733" s="11" t="s">
        <v>4673</v>
      </c>
      <c r="C733" s="14" t="str">
        <f>IFERROR(INDEX(面试清单!D:D,MATCH(732,面试清单!P:P,0)),"")</f>
        <v/>
      </c>
      <c r="D733" s="11" t="s">
        <v>43</v>
      </c>
      <c r="E733" s="11" t="s">
        <v>64</v>
      </c>
      <c r="F733" s="11" t="s">
        <v>179</v>
      </c>
      <c r="G733" s="15">
        <v>46093</v>
      </c>
      <c r="H733" s="14" t="str">
        <f>IFERROR(INDEX(面试清单!H:H,MATCH(732,面试清单!P:P,0)),"")</f>
        <v/>
      </c>
      <c r="I733" s="13" t="s">
        <v>29</v>
      </c>
      <c r="J733" s="14">
        <f ca="1" t="shared" si="34"/>
        <v>96</v>
      </c>
      <c r="K733" s="14">
        <f ca="1" t="shared" si="35"/>
        <v>16</v>
      </c>
    </row>
    <row r="734" ht="18" spans="1:11">
      <c r="A734" s="10">
        <f t="shared" si="33"/>
        <v>733</v>
      </c>
      <c r="B734" s="11" t="s">
        <v>4674</v>
      </c>
      <c r="C734" s="10" t="str">
        <f>IFERROR(INDEX(面试清单!D:D,MATCH(733,面试清单!P:P,0)),"")</f>
        <v/>
      </c>
      <c r="D734" s="11" t="s">
        <v>43</v>
      </c>
      <c r="E734" s="11" t="s">
        <v>62</v>
      </c>
      <c r="F734" s="11" t="s">
        <v>129</v>
      </c>
      <c r="G734" s="15">
        <v>46093</v>
      </c>
      <c r="H734" s="10" t="str">
        <f>IFERROR(INDEX(面试清单!H:H,MATCH(733,面试清单!P:P,0)),"")</f>
        <v/>
      </c>
      <c r="I734" s="13" t="s">
        <v>29</v>
      </c>
      <c r="J734" s="10">
        <f ca="1" t="shared" si="34"/>
        <v>96</v>
      </c>
      <c r="K734" s="10">
        <f ca="1" t="shared" si="35"/>
        <v>16</v>
      </c>
    </row>
    <row r="735" ht="18" spans="1:11">
      <c r="A735" s="14">
        <f t="shared" si="33"/>
        <v>734</v>
      </c>
      <c r="B735" s="11" t="s">
        <v>4675</v>
      </c>
      <c r="C735" s="14" t="str">
        <f>IFERROR(INDEX(面试清单!D:D,MATCH(734,面试清单!P:P,0)),"")</f>
        <v/>
      </c>
      <c r="D735" s="11" t="s">
        <v>74</v>
      </c>
      <c r="E735" s="11" t="s">
        <v>64</v>
      </c>
      <c r="F735" s="11" t="s">
        <v>179</v>
      </c>
      <c r="G735" s="15">
        <v>46093</v>
      </c>
      <c r="H735" s="14" t="str">
        <f>IFERROR(INDEX(面试清单!H:H,MATCH(734,面试清单!P:P,0)),"")</f>
        <v/>
      </c>
      <c r="I735" s="13" t="s">
        <v>29</v>
      </c>
      <c r="J735" s="14">
        <f ca="1" t="shared" si="34"/>
        <v>96</v>
      </c>
      <c r="K735" s="14">
        <f ca="1" t="shared" si="35"/>
        <v>16</v>
      </c>
    </row>
    <row r="736" ht="18" spans="1:11">
      <c r="A736" s="10">
        <f t="shared" si="33"/>
        <v>735</v>
      </c>
      <c r="B736" s="11" t="s">
        <v>4676</v>
      </c>
      <c r="C736" s="10" t="str">
        <f>IFERROR(INDEX(面试清单!D:D,MATCH(735,面试清单!P:P,0)),"")</f>
        <v/>
      </c>
      <c r="D736" s="11" t="s">
        <v>42</v>
      </c>
      <c r="E736" s="11" t="s">
        <v>63</v>
      </c>
      <c r="F736" s="11" t="s">
        <v>509</v>
      </c>
      <c r="G736" s="15">
        <v>46094</v>
      </c>
      <c r="H736" s="10" t="str">
        <f>IFERROR(INDEX(面试清单!H:H,MATCH(735,面试清单!P:P,0)),"")</f>
        <v/>
      </c>
      <c r="I736" s="13" t="s">
        <v>29</v>
      </c>
      <c r="J736" s="10">
        <f ca="1" t="shared" si="34"/>
        <v>95</v>
      </c>
      <c r="K736" s="10">
        <f ca="1" t="shared" si="35"/>
        <v>16</v>
      </c>
    </row>
    <row r="737" ht="18" spans="1:11">
      <c r="A737" s="14">
        <f t="shared" si="33"/>
        <v>736</v>
      </c>
      <c r="B737" s="11" t="s">
        <v>4677</v>
      </c>
      <c r="C737" s="14" t="str">
        <f>IFERROR(INDEX(面试清单!D:D,MATCH(736,面试清单!P:P,0)),"")</f>
        <v/>
      </c>
      <c r="D737" s="11" t="s">
        <v>42</v>
      </c>
      <c r="E737" s="11" t="s">
        <v>62</v>
      </c>
      <c r="F737" s="11" t="s">
        <v>103</v>
      </c>
      <c r="G737" s="15">
        <v>46094</v>
      </c>
      <c r="H737" s="14" t="str">
        <f>IFERROR(INDEX(面试清单!H:H,MATCH(736,面试清单!P:P,0)),"")</f>
        <v/>
      </c>
      <c r="I737" s="13" t="s">
        <v>29</v>
      </c>
      <c r="J737" s="14">
        <f ca="1" t="shared" si="34"/>
        <v>95</v>
      </c>
      <c r="K737" s="14">
        <f ca="1" t="shared" si="35"/>
        <v>16</v>
      </c>
    </row>
    <row r="738" ht="18" spans="1:11">
      <c r="A738" s="10">
        <f t="shared" si="33"/>
        <v>737</v>
      </c>
      <c r="B738" s="11" t="s">
        <v>4678</v>
      </c>
      <c r="C738" s="10" t="str">
        <f>IFERROR(INDEX(面试清单!D:D,MATCH(737,面试清单!P:P,0)),"")</f>
        <v/>
      </c>
      <c r="D738" s="11" t="s">
        <v>42</v>
      </c>
      <c r="E738" s="11" t="s">
        <v>62</v>
      </c>
      <c r="F738" s="11" t="s">
        <v>103</v>
      </c>
      <c r="G738" s="15">
        <v>46094</v>
      </c>
      <c r="H738" s="10" t="str">
        <f>IFERROR(INDEX(面试清单!H:H,MATCH(737,面试清单!P:P,0)),"")</f>
        <v/>
      </c>
      <c r="I738" s="13" t="s">
        <v>29</v>
      </c>
      <c r="J738" s="10">
        <f ca="1" t="shared" si="34"/>
        <v>95</v>
      </c>
      <c r="K738" s="10">
        <f ca="1" t="shared" si="35"/>
        <v>16</v>
      </c>
    </row>
    <row r="739" ht="18" spans="1:11">
      <c r="A739" s="14">
        <f t="shared" si="33"/>
        <v>738</v>
      </c>
      <c r="B739" s="11" t="s">
        <v>4679</v>
      </c>
      <c r="C739" s="14" t="str">
        <f>IFERROR(INDEX(面试清单!D:D,MATCH(738,面试清单!P:P,0)),"")</f>
        <v/>
      </c>
      <c r="D739" s="11" t="s">
        <v>42</v>
      </c>
      <c r="E739" s="11" t="s">
        <v>62</v>
      </c>
      <c r="F739" s="11" t="s">
        <v>103</v>
      </c>
      <c r="G739" s="15">
        <v>46094</v>
      </c>
      <c r="H739" s="14" t="str">
        <f>IFERROR(INDEX(面试清单!H:H,MATCH(738,面试清单!P:P,0)),"")</f>
        <v/>
      </c>
      <c r="I739" s="13" t="s">
        <v>29</v>
      </c>
      <c r="J739" s="14">
        <f ca="1" t="shared" si="34"/>
        <v>95</v>
      </c>
      <c r="K739" s="14">
        <f ca="1" t="shared" si="35"/>
        <v>16</v>
      </c>
    </row>
    <row r="740" ht="18" spans="1:11">
      <c r="A740" s="10">
        <f t="shared" si="33"/>
        <v>739</v>
      </c>
      <c r="B740" s="11" t="s">
        <v>4680</v>
      </c>
      <c r="C740" s="125" t="str">
        <f>IFERROR(INDEX(面试清单!D:D,MATCH(739,面试清单!P:P,0)),"")</f>
        <v>0218</v>
      </c>
      <c r="D740" s="11" t="s">
        <v>42</v>
      </c>
      <c r="E740" s="11" t="s">
        <v>62</v>
      </c>
      <c r="F740" s="11" t="s">
        <v>124</v>
      </c>
      <c r="G740" s="15">
        <v>46094</v>
      </c>
      <c r="H740" s="10" t="str">
        <f>IFERROR(INDEX(面试清单!H:H,MATCH(739,面试清单!P:P,0)),"")</f>
        <v>线下</v>
      </c>
      <c r="I740" s="13" t="s">
        <v>29</v>
      </c>
      <c r="J740" s="10">
        <f ca="1" t="shared" si="34"/>
        <v>95</v>
      </c>
      <c r="K740" s="10">
        <f ca="1" t="shared" si="35"/>
        <v>16</v>
      </c>
    </row>
    <row r="741" ht="18" spans="1:11">
      <c r="A741" s="14">
        <f t="shared" si="33"/>
        <v>740</v>
      </c>
      <c r="B741" s="11" t="s">
        <v>4681</v>
      </c>
      <c r="C741" s="124" t="str">
        <f>IFERROR(INDEX(面试清单!D:D,MATCH(740,面试清单!P:P,0)),"")</f>
        <v>0220</v>
      </c>
      <c r="D741" s="11" t="s">
        <v>42</v>
      </c>
      <c r="E741" s="11" t="s">
        <v>62</v>
      </c>
      <c r="F741" s="11" t="s">
        <v>509</v>
      </c>
      <c r="G741" s="15">
        <v>46094</v>
      </c>
      <c r="H741" s="14" t="str">
        <f>IFERROR(INDEX(面试清单!H:H,MATCH(740,面试清单!P:P,0)),"")</f>
        <v>线下</v>
      </c>
      <c r="I741" s="13" t="s">
        <v>29</v>
      </c>
      <c r="J741" s="14">
        <f ca="1" t="shared" si="34"/>
        <v>95</v>
      </c>
      <c r="K741" s="14">
        <f ca="1" t="shared" si="35"/>
        <v>16</v>
      </c>
    </row>
    <row r="742" ht="18" spans="1:11">
      <c r="A742" s="10">
        <f t="shared" si="33"/>
        <v>741</v>
      </c>
      <c r="B742" s="11" t="s">
        <v>4682</v>
      </c>
      <c r="C742" s="10" t="str">
        <f>IFERROR(INDEX(面试清单!D:D,MATCH(741,面试清单!P:P,0)),"")</f>
        <v/>
      </c>
      <c r="D742" s="11" t="s">
        <v>42</v>
      </c>
      <c r="E742" s="11" t="s">
        <v>64</v>
      </c>
      <c r="F742" s="123" t="s">
        <v>505</v>
      </c>
      <c r="G742" s="15">
        <v>46094</v>
      </c>
      <c r="H742" s="10" t="str">
        <f>IFERROR(INDEX(面试清单!H:H,MATCH(741,面试清单!P:P,0)),"")</f>
        <v/>
      </c>
      <c r="I742" s="13" t="s">
        <v>29</v>
      </c>
      <c r="J742" s="10">
        <f ca="1" t="shared" si="34"/>
        <v>95</v>
      </c>
      <c r="K742" s="10">
        <f ca="1" t="shared" si="35"/>
        <v>16</v>
      </c>
    </row>
    <row r="743" ht="18" spans="1:11">
      <c r="A743" s="14">
        <f t="shared" si="33"/>
        <v>742</v>
      </c>
      <c r="B743" s="11" t="s">
        <v>1088</v>
      </c>
      <c r="C743" s="124" t="str">
        <f>IFERROR(INDEX(面试清单!D:D,MATCH(742,面试清单!P:P,0)),"")</f>
        <v>0222</v>
      </c>
      <c r="D743" s="11" t="s">
        <v>42</v>
      </c>
      <c r="E743" s="11" t="s">
        <v>64</v>
      </c>
      <c r="F743" s="11" t="s">
        <v>179</v>
      </c>
      <c r="G743" s="15">
        <v>46094</v>
      </c>
      <c r="H743" s="14" t="str">
        <f>IFERROR(INDEX(面试清单!H:H,MATCH(742,面试清单!P:P,0)),"")</f>
        <v>线下</v>
      </c>
      <c r="I743" s="13" t="s">
        <v>29</v>
      </c>
      <c r="J743" s="14">
        <f ca="1" t="shared" si="34"/>
        <v>95</v>
      </c>
      <c r="K743" s="14">
        <f ca="1" t="shared" si="35"/>
        <v>16</v>
      </c>
    </row>
    <row r="744" ht="18" spans="1:11">
      <c r="A744" s="10">
        <f t="shared" si="33"/>
        <v>743</v>
      </c>
      <c r="B744" s="11" t="s">
        <v>4683</v>
      </c>
      <c r="C744" s="125" t="str">
        <f>IFERROR(INDEX(面试清单!D:D,MATCH(743,面试清单!P:P,0)),"")</f>
        <v>0208</v>
      </c>
      <c r="D744" s="11" t="s">
        <v>42</v>
      </c>
      <c r="E744" s="11" t="s">
        <v>64</v>
      </c>
      <c r="F744" s="11" t="s">
        <v>135</v>
      </c>
      <c r="G744" s="15">
        <v>46094</v>
      </c>
      <c r="H744" s="10" t="str">
        <f>IFERROR(INDEX(面试清单!H:H,MATCH(743,面试清单!P:P,0)),"")</f>
        <v>线下</v>
      </c>
      <c r="I744" s="13" t="s">
        <v>29</v>
      </c>
      <c r="J744" s="10">
        <f ca="1" t="shared" si="34"/>
        <v>95</v>
      </c>
      <c r="K744" s="10">
        <f ca="1" t="shared" si="35"/>
        <v>16</v>
      </c>
    </row>
    <row r="745" ht="18" spans="1:11">
      <c r="A745" s="14">
        <f t="shared" si="33"/>
        <v>744</v>
      </c>
      <c r="B745" s="11" t="s">
        <v>4684</v>
      </c>
      <c r="C745" s="124" t="str">
        <f>IFERROR(INDEX(面试清单!D:D,MATCH(744,面试清单!P:P,0)),"")</f>
        <v>0209</v>
      </c>
      <c r="D745" s="11" t="s">
        <v>42</v>
      </c>
      <c r="E745" s="11" t="s">
        <v>64</v>
      </c>
      <c r="F745" s="11" t="s">
        <v>179</v>
      </c>
      <c r="G745" s="15">
        <v>46094</v>
      </c>
      <c r="H745" s="14" t="str">
        <f>IFERROR(INDEX(面试清单!H:H,MATCH(744,面试清单!P:P,0)),"")</f>
        <v>线下</v>
      </c>
      <c r="I745" s="13" t="s">
        <v>29</v>
      </c>
      <c r="J745" s="14">
        <f ca="1" t="shared" si="34"/>
        <v>95</v>
      </c>
      <c r="K745" s="14">
        <f ca="1" t="shared" si="35"/>
        <v>16</v>
      </c>
    </row>
    <row r="746" ht="18" spans="1:11">
      <c r="A746" s="10">
        <f t="shared" si="33"/>
        <v>745</v>
      </c>
      <c r="B746" s="11" t="s">
        <v>4685</v>
      </c>
      <c r="C746" s="10" t="str">
        <f>IFERROR(INDEX(面试清单!D:D,MATCH(745,面试清单!P:P,0)),"")</f>
        <v/>
      </c>
      <c r="D746" s="11" t="s">
        <v>42</v>
      </c>
      <c r="E746" s="11" t="s">
        <v>64</v>
      </c>
      <c r="F746" s="11" t="s">
        <v>179</v>
      </c>
      <c r="G746" s="15">
        <v>46094</v>
      </c>
      <c r="H746" s="10" t="str">
        <f>IFERROR(INDEX(面试清单!H:H,MATCH(745,面试清单!P:P,0)),"")</f>
        <v/>
      </c>
      <c r="I746" s="13" t="s">
        <v>29</v>
      </c>
      <c r="J746" s="10">
        <f ca="1" t="shared" si="34"/>
        <v>95</v>
      </c>
      <c r="K746" s="10">
        <f ca="1" t="shared" si="35"/>
        <v>16</v>
      </c>
    </row>
    <row r="747" ht="18" spans="1:11">
      <c r="A747" s="14">
        <f t="shared" si="33"/>
        <v>746</v>
      </c>
      <c r="B747" s="11" t="s">
        <v>4686</v>
      </c>
      <c r="C747" s="124" t="str">
        <f>IFERROR(INDEX(面试清单!D:D,MATCH(746,面试清单!P:P,0)),"")</f>
        <v>0214</v>
      </c>
      <c r="D747" s="11" t="s">
        <v>42</v>
      </c>
      <c r="E747" s="11" t="s">
        <v>62</v>
      </c>
      <c r="F747" s="11" t="s">
        <v>103</v>
      </c>
      <c r="G747" s="15">
        <v>46095</v>
      </c>
      <c r="H747" s="14" t="str">
        <f>IFERROR(INDEX(面试清单!H:H,MATCH(746,面试清单!P:P,0)),"")</f>
        <v>线下</v>
      </c>
      <c r="I747" s="13" t="s">
        <v>29</v>
      </c>
      <c r="J747" s="14">
        <f ca="1" t="shared" si="34"/>
        <v>94</v>
      </c>
      <c r="K747" s="14">
        <f ca="1" t="shared" si="35"/>
        <v>16</v>
      </c>
    </row>
    <row r="748" ht="18" spans="1:11">
      <c r="A748" s="10">
        <f t="shared" si="33"/>
        <v>747</v>
      </c>
      <c r="B748" s="11" t="s">
        <v>4687</v>
      </c>
      <c r="C748" s="125" t="str">
        <f>IFERROR(INDEX(面试清单!D:D,MATCH(747,面试清单!P:P,0)),"")</f>
        <v>0217</v>
      </c>
      <c r="D748" s="11" t="s">
        <v>42</v>
      </c>
      <c r="E748" s="11" t="s">
        <v>62</v>
      </c>
      <c r="F748" s="11" t="s">
        <v>103</v>
      </c>
      <c r="G748" s="15">
        <v>46095</v>
      </c>
      <c r="H748" s="10" t="str">
        <f>IFERROR(INDEX(面试清单!H:H,MATCH(747,面试清单!P:P,0)),"")</f>
        <v>线下</v>
      </c>
      <c r="I748" s="13" t="s">
        <v>29</v>
      </c>
      <c r="J748" s="10">
        <f ca="1" t="shared" si="34"/>
        <v>94</v>
      </c>
      <c r="K748" s="10">
        <f ca="1" t="shared" si="35"/>
        <v>16</v>
      </c>
    </row>
    <row r="749" ht="18" spans="1:11">
      <c r="A749" s="14">
        <f t="shared" si="33"/>
        <v>748</v>
      </c>
      <c r="B749" s="11" t="s">
        <v>4688</v>
      </c>
      <c r="C749" s="124" t="str">
        <f>IFERROR(INDEX(面试清单!D:D,MATCH(748,面试清单!P:P,0)),"")</f>
        <v>0218</v>
      </c>
      <c r="D749" s="11" t="s">
        <v>42</v>
      </c>
      <c r="E749" s="11" t="s">
        <v>62</v>
      </c>
      <c r="F749" s="11" t="s">
        <v>124</v>
      </c>
      <c r="G749" s="15">
        <v>46095</v>
      </c>
      <c r="H749" s="14" t="str">
        <f>IFERROR(INDEX(面试清单!H:H,MATCH(748,面试清单!P:P,0)),"")</f>
        <v>线下</v>
      </c>
      <c r="I749" s="13" t="s">
        <v>29</v>
      </c>
      <c r="J749" s="14">
        <f ca="1" t="shared" si="34"/>
        <v>94</v>
      </c>
      <c r="K749" s="14">
        <f ca="1" t="shared" si="35"/>
        <v>16</v>
      </c>
    </row>
    <row r="750" ht="18" spans="1:11">
      <c r="A750" s="10">
        <f t="shared" si="33"/>
        <v>749</v>
      </c>
      <c r="B750" s="11" t="s">
        <v>4689</v>
      </c>
      <c r="C750" s="125" t="str">
        <f>IFERROR(INDEX(面试清单!D:D,MATCH(749,面试清单!P:P,0)),"")</f>
        <v>0220</v>
      </c>
      <c r="D750" s="11" t="s">
        <v>42</v>
      </c>
      <c r="E750" s="11" t="s">
        <v>63</v>
      </c>
      <c r="F750" s="11" t="s">
        <v>110</v>
      </c>
      <c r="G750" s="15">
        <v>46095</v>
      </c>
      <c r="H750" s="10" t="str">
        <f>IFERROR(INDEX(面试清单!H:H,MATCH(749,面试清单!P:P,0)),"")</f>
        <v>线下</v>
      </c>
      <c r="I750" s="13" t="s">
        <v>29</v>
      </c>
      <c r="J750" s="10">
        <f ca="1" t="shared" si="34"/>
        <v>94</v>
      </c>
      <c r="K750" s="10">
        <f ca="1" t="shared" si="35"/>
        <v>16</v>
      </c>
    </row>
    <row r="751" ht="18" spans="1:11">
      <c r="A751" s="14">
        <f t="shared" si="33"/>
        <v>750</v>
      </c>
      <c r="B751" s="11" t="s">
        <v>4690</v>
      </c>
      <c r="C751" s="14" t="str">
        <f>IFERROR(INDEX(面试清单!D:D,MATCH(750,面试清单!P:P,0)),"")</f>
        <v/>
      </c>
      <c r="D751" s="11" t="s">
        <v>42</v>
      </c>
      <c r="E751" s="11" t="s">
        <v>62</v>
      </c>
      <c r="F751" s="11" t="s">
        <v>179</v>
      </c>
      <c r="G751" s="15">
        <v>46095</v>
      </c>
      <c r="H751" s="14" t="str">
        <f>IFERROR(INDEX(面试清单!H:H,MATCH(750,面试清单!P:P,0)),"")</f>
        <v/>
      </c>
      <c r="I751" s="13" t="s">
        <v>29</v>
      </c>
      <c r="J751" s="14">
        <f ca="1" t="shared" si="34"/>
        <v>94</v>
      </c>
      <c r="K751" s="14">
        <f ca="1" t="shared" si="35"/>
        <v>16</v>
      </c>
    </row>
    <row r="752" ht="18" spans="1:11">
      <c r="A752" s="10">
        <f t="shared" si="33"/>
        <v>751</v>
      </c>
      <c r="B752" s="11" t="s">
        <v>4691</v>
      </c>
      <c r="C752" s="10" t="str">
        <f>IFERROR(INDEX(面试清单!D:D,MATCH(751,面试清单!P:P,0)),"")</f>
        <v/>
      </c>
      <c r="D752" s="11" t="s">
        <v>42</v>
      </c>
      <c r="E752" s="11" t="s">
        <v>63</v>
      </c>
      <c r="F752" s="11" t="s">
        <v>173</v>
      </c>
      <c r="G752" s="15">
        <v>46095</v>
      </c>
      <c r="H752" s="10" t="str">
        <f>IFERROR(INDEX(面试清单!H:H,MATCH(751,面试清单!P:P,0)),"")</f>
        <v/>
      </c>
      <c r="I752" s="13" t="s">
        <v>29</v>
      </c>
      <c r="J752" s="10">
        <f ca="1" t="shared" si="34"/>
        <v>94</v>
      </c>
      <c r="K752" s="10">
        <f ca="1" t="shared" si="35"/>
        <v>16</v>
      </c>
    </row>
    <row r="753" ht="18" spans="1:11">
      <c r="A753" s="14">
        <f t="shared" si="33"/>
        <v>752</v>
      </c>
      <c r="B753" s="11" t="s">
        <v>4692</v>
      </c>
      <c r="C753" s="124" t="str">
        <f>IFERROR(INDEX(面试清单!D:D,MATCH(752,面试清单!P:P,0)),"")</f>
        <v>0208</v>
      </c>
      <c r="D753" s="11" t="s">
        <v>42</v>
      </c>
      <c r="E753" s="11" t="s">
        <v>63</v>
      </c>
      <c r="F753" s="11" t="s">
        <v>173</v>
      </c>
      <c r="G753" s="15">
        <v>46095</v>
      </c>
      <c r="H753" s="14" t="str">
        <f>IFERROR(INDEX(面试清单!H:H,MATCH(752,面试清单!P:P,0)),"")</f>
        <v>线下</v>
      </c>
      <c r="I753" s="13" t="s">
        <v>29</v>
      </c>
      <c r="J753" s="14">
        <f ca="1" t="shared" si="34"/>
        <v>94</v>
      </c>
      <c r="K753" s="14">
        <f ca="1" t="shared" si="35"/>
        <v>16</v>
      </c>
    </row>
    <row r="754" ht="18" spans="1:11">
      <c r="A754" s="10">
        <f t="shared" si="33"/>
        <v>753</v>
      </c>
      <c r="B754" s="11" t="s">
        <v>4693</v>
      </c>
      <c r="C754" s="125" t="str">
        <f>IFERROR(INDEX(面试清单!D:D,MATCH(753,面试清单!P:P,0)),"")</f>
        <v>0209</v>
      </c>
      <c r="D754" s="11" t="s">
        <v>73</v>
      </c>
      <c r="E754" s="11" t="s">
        <v>63</v>
      </c>
      <c r="F754" s="11" t="s">
        <v>690</v>
      </c>
      <c r="G754" s="15">
        <v>46095</v>
      </c>
      <c r="H754" s="10" t="str">
        <f>IFERROR(INDEX(面试清单!H:H,MATCH(753,面试清单!P:P,0)),"")</f>
        <v>线下</v>
      </c>
      <c r="I754" s="13" t="s">
        <v>29</v>
      </c>
      <c r="J754" s="10">
        <f ca="1" t="shared" si="34"/>
        <v>94</v>
      </c>
      <c r="K754" s="10">
        <f ca="1" t="shared" si="35"/>
        <v>16</v>
      </c>
    </row>
    <row r="755" ht="18" spans="1:11">
      <c r="A755" s="14">
        <f t="shared" si="33"/>
        <v>754</v>
      </c>
      <c r="B755" s="11" t="s">
        <v>4694</v>
      </c>
      <c r="C755" s="124" t="str">
        <f>IFERROR(INDEX(面试清单!D:D,MATCH(754,面试清单!P:P,0)),"")</f>
        <v>0212</v>
      </c>
      <c r="D755" s="11" t="s">
        <v>73</v>
      </c>
      <c r="E755" s="11" t="s">
        <v>63</v>
      </c>
      <c r="F755" s="11" t="s">
        <v>690</v>
      </c>
      <c r="G755" s="15">
        <v>46095</v>
      </c>
      <c r="H755" s="14" t="str">
        <f>IFERROR(INDEX(面试清单!H:H,MATCH(754,面试清单!P:P,0)),"")</f>
        <v>线下</v>
      </c>
      <c r="I755" s="13" t="s">
        <v>29</v>
      </c>
      <c r="J755" s="14">
        <f ca="1" t="shared" si="34"/>
        <v>94</v>
      </c>
      <c r="K755" s="14">
        <f ca="1" t="shared" si="35"/>
        <v>16</v>
      </c>
    </row>
    <row r="756" ht="18" spans="1:11">
      <c r="A756" s="10">
        <f t="shared" si="33"/>
        <v>755</v>
      </c>
      <c r="B756" s="11" t="s">
        <v>4695</v>
      </c>
      <c r="C756" s="125" t="str">
        <f>IFERROR(INDEX(面试清单!D:D,MATCH(755,面试清单!P:P,0)),"")</f>
        <v>0214</v>
      </c>
      <c r="D756" s="11" t="s">
        <v>42</v>
      </c>
      <c r="E756" s="11" t="s">
        <v>62</v>
      </c>
      <c r="F756" s="11" t="s">
        <v>233</v>
      </c>
      <c r="G756" s="15">
        <v>46095</v>
      </c>
      <c r="H756" s="10" t="str">
        <f>IFERROR(INDEX(面试清单!H:H,MATCH(755,面试清单!P:P,0)),"")</f>
        <v>线下</v>
      </c>
      <c r="I756" s="13" t="s">
        <v>29</v>
      </c>
      <c r="J756" s="10">
        <f ca="1" t="shared" si="34"/>
        <v>94</v>
      </c>
      <c r="K756" s="10">
        <f ca="1" t="shared" si="35"/>
        <v>16</v>
      </c>
    </row>
    <row r="757" ht="18" spans="1:11">
      <c r="A757" s="14">
        <f t="shared" si="33"/>
        <v>756</v>
      </c>
      <c r="B757" s="11" t="s">
        <v>4696</v>
      </c>
      <c r="C757" s="14" t="str">
        <f>IFERROR(INDEX(面试清单!D:D,MATCH(756,面试清单!P:P,0)),"")</f>
        <v/>
      </c>
      <c r="D757" s="11" t="s">
        <v>42</v>
      </c>
      <c r="E757" s="11" t="s">
        <v>63</v>
      </c>
      <c r="F757" s="11" t="s">
        <v>509</v>
      </c>
      <c r="G757" s="15">
        <v>46095</v>
      </c>
      <c r="H757" s="14" t="str">
        <f>IFERROR(INDEX(面试清单!H:H,MATCH(756,面试清单!P:P,0)),"")</f>
        <v/>
      </c>
      <c r="I757" s="13" t="s">
        <v>29</v>
      </c>
      <c r="J757" s="14">
        <f ca="1" t="shared" si="34"/>
        <v>94</v>
      </c>
      <c r="K757" s="14">
        <f ca="1" t="shared" si="35"/>
        <v>16</v>
      </c>
    </row>
    <row r="758" ht="18" spans="1:11">
      <c r="A758" s="10">
        <f t="shared" si="33"/>
        <v>757</v>
      </c>
      <c r="B758" s="11" t="s">
        <v>4697</v>
      </c>
      <c r="C758" s="125" t="str">
        <f>IFERROR(INDEX(面试清单!D:D,MATCH(757,面试清单!P:P,0)),"")</f>
        <v>0218</v>
      </c>
      <c r="D758" s="11" t="s">
        <v>42</v>
      </c>
      <c r="E758" s="11" t="s">
        <v>63</v>
      </c>
      <c r="F758" s="11" t="s">
        <v>690</v>
      </c>
      <c r="G758" s="15">
        <v>46095</v>
      </c>
      <c r="H758" s="10" t="str">
        <f>IFERROR(INDEX(面试清单!H:H,MATCH(757,面试清单!P:P,0)),"")</f>
        <v>线下</v>
      </c>
      <c r="I758" s="13" t="s">
        <v>29</v>
      </c>
      <c r="J758" s="10">
        <f ca="1" t="shared" si="34"/>
        <v>94</v>
      </c>
      <c r="K758" s="10">
        <f ca="1" t="shared" si="35"/>
        <v>16</v>
      </c>
    </row>
    <row r="759" ht="18" spans="1:11">
      <c r="A759" s="14">
        <f t="shared" si="33"/>
        <v>758</v>
      </c>
      <c r="B759" s="11" t="s">
        <v>4698</v>
      </c>
      <c r="C759" s="124" t="str">
        <f>IFERROR(INDEX(面试清单!D:D,MATCH(758,面试清单!P:P,0)),"")</f>
        <v>0220</v>
      </c>
      <c r="D759" s="11" t="s">
        <v>74</v>
      </c>
      <c r="E759" s="11" t="s">
        <v>64</v>
      </c>
      <c r="F759" s="11" t="s">
        <v>179</v>
      </c>
      <c r="G759" s="15">
        <v>46094</v>
      </c>
      <c r="H759" s="14" t="str">
        <f>IFERROR(INDEX(面试清单!H:H,MATCH(758,面试清单!P:P,0)),"")</f>
        <v>线下</v>
      </c>
      <c r="I759" s="13" t="s">
        <v>29</v>
      </c>
      <c r="J759" s="14">
        <f ca="1" t="shared" si="34"/>
        <v>95</v>
      </c>
      <c r="K759" s="14">
        <f ca="1" t="shared" si="35"/>
        <v>16</v>
      </c>
    </row>
    <row r="760" ht="18" spans="1:11">
      <c r="A760" s="10">
        <f t="shared" si="33"/>
        <v>759</v>
      </c>
      <c r="B760" s="11" t="s">
        <v>4699</v>
      </c>
      <c r="C760" s="125" t="str">
        <f>IFERROR(INDEX(面试清单!D:D,MATCH(759,面试清单!P:P,0)),"")</f>
        <v>0221</v>
      </c>
      <c r="D760" s="11" t="s">
        <v>73</v>
      </c>
      <c r="E760" s="11" t="s">
        <v>62</v>
      </c>
      <c r="F760" s="11" t="s">
        <v>129</v>
      </c>
      <c r="G760" s="15">
        <v>46096</v>
      </c>
      <c r="H760" s="10" t="str">
        <f>IFERROR(INDEX(面试清单!H:H,MATCH(759,面试清单!P:P,0)),"")</f>
        <v>线下</v>
      </c>
      <c r="I760" s="13" t="s">
        <v>29</v>
      </c>
      <c r="J760" s="10">
        <f ca="1" t="shared" si="34"/>
        <v>93</v>
      </c>
      <c r="K760" s="10">
        <f ca="1" t="shared" si="35"/>
        <v>16</v>
      </c>
    </row>
    <row r="761" ht="18" spans="1:11">
      <c r="A761" s="14">
        <f t="shared" si="33"/>
        <v>760</v>
      </c>
      <c r="B761" s="11" t="s">
        <v>4700</v>
      </c>
      <c r="C761" s="124" t="str">
        <f>IFERROR(INDEX(面试清单!D:D,MATCH(760,面试清单!P:P,0)),"")</f>
        <v>0222</v>
      </c>
      <c r="D761" s="11" t="s">
        <v>42</v>
      </c>
      <c r="E761" s="11" t="s">
        <v>62</v>
      </c>
      <c r="F761" s="11" t="s">
        <v>110</v>
      </c>
      <c r="G761" s="15">
        <v>46096</v>
      </c>
      <c r="H761" s="14" t="str">
        <f>IFERROR(INDEX(面试清单!H:H,MATCH(760,面试清单!P:P,0)),"")</f>
        <v>线下</v>
      </c>
      <c r="I761" s="13" t="s">
        <v>29</v>
      </c>
      <c r="J761" s="14">
        <f ca="1" t="shared" si="34"/>
        <v>93</v>
      </c>
      <c r="K761" s="14">
        <f ca="1" t="shared" si="35"/>
        <v>16</v>
      </c>
    </row>
    <row r="762" ht="18" spans="1:11">
      <c r="A762" s="10">
        <f t="shared" si="33"/>
        <v>761</v>
      </c>
      <c r="B762" s="11" t="s">
        <v>4701</v>
      </c>
      <c r="C762" s="125" t="str">
        <f>IFERROR(INDEX(面试清单!D:D,MATCH(761,面试清单!P:P,0)),"")</f>
        <v>0208</v>
      </c>
      <c r="D762" s="11" t="s">
        <v>42</v>
      </c>
      <c r="E762" s="11" t="s">
        <v>63</v>
      </c>
      <c r="F762" s="11" t="s">
        <v>509</v>
      </c>
      <c r="G762" s="15">
        <v>46096</v>
      </c>
      <c r="H762" s="10" t="str">
        <f>IFERROR(INDEX(面试清单!H:H,MATCH(761,面试清单!P:P,0)),"")</f>
        <v>线下</v>
      </c>
      <c r="I762" s="13" t="s">
        <v>29</v>
      </c>
      <c r="J762" s="10">
        <f ca="1" t="shared" si="34"/>
        <v>93</v>
      </c>
      <c r="K762" s="10">
        <f ca="1" t="shared" si="35"/>
        <v>16</v>
      </c>
    </row>
    <row r="763" ht="18" spans="1:11">
      <c r="A763" s="14">
        <f t="shared" si="33"/>
        <v>762</v>
      </c>
      <c r="B763" s="11" t="s">
        <v>4702</v>
      </c>
      <c r="C763" s="124" t="str">
        <f>IFERROR(INDEX(面试清单!D:D,MATCH(762,面试清单!P:P,0)),"")</f>
        <v>0209</v>
      </c>
      <c r="D763" s="11" t="s">
        <v>42</v>
      </c>
      <c r="E763" s="11" t="s">
        <v>63</v>
      </c>
      <c r="F763" s="11" t="s">
        <v>124</v>
      </c>
      <c r="G763" s="15">
        <v>46096</v>
      </c>
      <c r="H763" s="14" t="str">
        <f>IFERROR(INDEX(面试清单!H:H,MATCH(762,面试清单!P:P,0)),"")</f>
        <v>线下</v>
      </c>
      <c r="I763" s="13" t="s">
        <v>29</v>
      </c>
      <c r="J763" s="14">
        <f ca="1" t="shared" si="34"/>
        <v>93</v>
      </c>
      <c r="K763" s="14">
        <f ca="1" t="shared" si="35"/>
        <v>16</v>
      </c>
    </row>
    <row r="764" ht="18" spans="1:11">
      <c r="A764" s="10">
        <f t="shared" si="33"/>
        <v>763</v>
      </c>
      <c r="B764" s="11" t="s">
        <v>4703</v>
      </c>
      <c r="C764" s="125" t="str">
        <f>IFERROR(INDEX(面试清单!D:D,MATCH(763,面试清单!P:P,0)),"")</f>
        <v>0212</v>
      </c>
      <c r="D764" s="11" t="s">
        <v>42</v>
      </c>
      <c r="E764" s="11" t="s">
        <v>63</v>
      </c>
      <c r="F764" s="11" t="s">
        <v>124</v>
      </c>
      <c r="G764" s="15">
        <v>46096</v>
      </c>
      <c r="H764" s="10" t="str">
        <f>IFERROR(INDEX(面试清单!H:H,MATCH(763,面试清单!P:P,0)),"")</f>
        <v>线下</v>
      </c>
      <c r="I764" s="13" t="s">
        <v>29</v>
      </c>
      <c r="J764" s="10">
        <f ca="1" t="shared" si="34"/>
        <v>93</v>
      </c>
      <c r="K764" s="10">
        <f ca="1" t="shared" si="35"/>
        <v>16</v>
      </c>
    </row>
    <row r="765" ht="18" spans="1:11">
      <c r="A765" s="14">
        <f t="shared" si="33"/>
        <v>764</v>
      </c>
      <c r="B765" s="11" t="s">
        <v>4704</v>
      </c>
      <c r="C765" s="14" t="str">
        <f>IFERROR(INDEX(面试清单!D:D,MATCH(764,面试清单!P:P,0)),"")</f>
        <v/>
      </c>
      <c r="D765" s="11" t="s">
        <v>42</v>
      </c>
      <c r="E765" s="11" t="s">
        <v>63</v>
      </c>
      <c r="F765" s="11" t="s">
        <v>176</v>
      </c>
      <c r="G765" s="15">
        <v>46097</v>
      </c>
      <c r="H765" s="14" t="str">
        <f>IFERROR(INDEX(面试清单!H:H,MATCH(764,面试清单!P:P,0)),"")</f>
        <v/>
      </c>
      <c r="I765" s="13" t="s">
        <v>29</v>
      </c>
      <c r="J765" s="14">
        <f ca="1" t="shared" si="34"/>
        <v>92</v>
      </c>
      <c r="K765" s="14">
        <f ca="1" t="shared" si="35"/>
        <v>16</v>
      </c>
    </row>
    <row r="766" ht="18" spans="1:11">
      <c r="A766" s="10">
        <f t="shared" si="33"/>
        <v>765</v>
      </c>
      <c r="B766" s="11" t="s">
        <v>4705</v>
      </c>
      <c r="C766" s="125" t="str">
        <f>IFERROR(INDEX(面试清单!D:D,MATCH(765,面试清单!P:P,0)),"")</f>
        <v>0217</v>
      </c>
      <c r="D766" s="11" t="s">
        <v>42</v>
      </c>
      <c r="E766" s="11" t="s">
        <v>63</v>
      </c>
      <c r="F766" s="11" t="s">
        <v>103</v>
      </c>
      <c r="G766" s="15">
        <v>46097</v>
      </c>
      <c r="H766" s="10" t="str">
        <f>IFERROR(INDEX(面试清单!H:H,MATCH(765,面试清单!P:P,0)),"")</f>
        <v>线下</v>
      </c>
      <c r="I766" s="13" t="s">
        <v>29</v>
      </c>
      <c r="J766" s="10">
        <f ca="1" t="shared" si="34"/>
        <v>92</v>
      </c>
      <c r="K766" s="10">
        <f ca="1" t="shared" si="35"/>
        <v>16</v>
      </c>
    </row>
    <row r="767" ht="18" spans="1:11">
      <c r="A767" s="14">
        <f t="shared" si="33"/>
        <v>766</v>
      </c>
      <c r="B767" s="11" t="s">
        <v>4706</v>
      </c>
      <c r="C767" s="124" t="str">
        <f>IFERROR(INDEX(面试清单!D:D,MATCH(766,面试清单!P:P,0)),"")</f>
        <v>0218</v>
      </c>
      <c r="D767" s="11" t="s">
        <v>42</v>
      </c>
      <c r="E767" s="11" t="s">
        <v>63</v>
      </c>
      <c r="F767" s="11" t="s">
        <v>135</v>
      </c>
      <c r="G767" s="15">
        <v>46097</v>
      </c>
      <c r="H767" s="14" t="str">
        <f>IFERROR(INDEX(面试清单!H:H,MATCH(766,面试清单!P:P,0)),"")</f>
        <v>线下</v>
      </c>
      <c r="I767" s="13" t="s">
        <v>29</v>
      </c>
      <c r="J767" s="14">
        <f ca="1" t="shared" si="34"/>
        <v>92</v>
      </c>
      <c r="K767" s="14">
        <f ca="1" t="shared" si="35"/>
        <v>16</v>
      </c>
    </row>
    <row r="768" ht="18" spans="1:11">
      <c r="A768" s="10">
        <f t="shared" si="33"/>
        <v>767</v>
      </c>
      <c r="B768" s="11" t="s">
        <v>4707</v>
      </c>
      <c r="C768" s="125" t="str">
        <f>IFERROR(INDEX(面试清单!D:D,MATCH(767,面试清单!P:P,0)),"")</f>
        <v>0220</v>
      </c>
      <c r="D768" s="11" t="s">
        <v>42</v>
      </c>
      <c r="E768" s="11" t="s">
        <v>62</v>
      </c>
      <c r="F768" s="11" t="s">
        <v>233</v>
      </c>
      <c r="G768" s="15">
        <v>46097</v>
      </c>
      <c r="H768" s="10" t="str">
        <f>IFERROR(INDEX(面试清单!H:H,MATCH(767,面试清单!P:P,0)),"")</f>
        <v>线下</v>
      </c>
      <c r="I768" s="13" t="s">
        <v>29</v>
      </c>
      <c r="J768" s="10">
        <f ca="1" t="shared" si="34"/>
        <v>92</v>
      </c>
      <c r="K768" s="10">
        <f ca="1" t="shared" si="35"/>
        <v>16</v>
      </c>
    </row>
    <row r="769" ht="18" spans="1:11">
      <c r="A769" s="14">
        <f t="shared" si="33"/>
        <v>768</v>
      </c>
      <c r="B769" s="11" t="s">
        <v>4708</v>
      </c>
      <c r="C769" s="124" t="str">
        <f>IFERROR(INDEX(面试清单!D:D,MATCH(768,面试清单!P:P,0)),"")</f>
        <v>0221</v>
      </c>
      <c r="D769" s="11" t="s">
        <v>42</v>
      </c>
      <c r="E769" s="11" t="s">
        <v>62</v>
      </c>
      <c r="F769" s="11" t="s">
        <v>132</v>
      </c>
      <c r="G769" s="15">
        <v>46097</v>
      </c>
      <c r="H769" s="14" t="str">
        <f>IFERROR(INDEX(面试清单!H:H,MATCH(768,面试清单!P:P,0)),"")</f>
        <v>线下</v>
      </c>
      <c r="I769" s="13" t="s">
        <v>29</v>
      </c>
      <c r="J769" s="14">
        <f ca="1" t="shared" si="34"/>
        <v>92</v>
      </c>
      <c r="K769" s="14">
        <f ca="1" t="shared" si="35"/>
        <v>16</v>
      </c>
    </row>
    <row r="770" ht="18" spans="1:11">
      <c r="A770" s="10">
        <f t="shared" ref="A770:A833" si="36">IF(B770&lt;&gt;"",ROW()-1,"")</f>
        <v>769</v>
      </c>
      <c r="B770" s="11" t="s">
        <v>4709</v>
      </c>
      <c r="C770" s="10" t="str">
        <f>IFERROR(INDEX(面试清单!D:D,MATCH(769,面试清单!P:P,0)),"")</f>
        <v/>
      </c>
      <c r="D770" s="11" t="s">
        <v>42</v>
      </c>
      <c r="E770" s="11" t="s">
        <v>63</v>
      </c>
      <c r="F770" s="11" t="s">
        <v>103</v>
      </c>
      <c r="G770" s="15">
        <v>46097</v>
      </c>
      <c r="H770" s="10" t="str">
        <f>IFERROR(INDEX(面试清单!H:H,MATCH(769,面试清单!P:P,0)),"")</f>
        <v/>
      </c>
      <c r="I770" s="13" t="s">
        <v>29</v>
      </c>
      <c r="J770" s="10">
        <f ca="1" t="shared" ref="J770:J833" si="37">IF(G770&lt;&gt;"",TODAY()-G770,"")</f>
        <v>92</v>
      </c>
      <c r="K770" s="10">
        <f ca="1" t="shared" ref="K770:K833" si="38">IF(G770&lt;&gt;"",MAX(0,MIN(TODAY(),EOMONTH(TODAY(),0))-MAX(G770,EOMONTH(TODAY(),-1)+1)+1),"")</f>
        <v>16</v>
      </c>
    </row>
    <row r="771" ht="18" spans="1:11">
      <c r="A771" s="14">
        <f t="shared" si="36"/>
        <v>770</v>
      </c>
      <c r="B771" s="11" t="s">
        <v>4710</v>
      </c>
      <c r="C771" s="14" t="str">
        <f>IFERROR(INDEX(面试清单!D:D,MATCH(770,面试清单!P:P,0)),"")</f>
        <v/>
      </c>
      <c r="D771" s="11" t="s">
        <v>42</v>
      </c>
      <c r="E771" s="11" t="s">
        <v>62</v>
      </c>
      <c r="F771" s="11" t="s">
        <v>129</v>
      </c>
      <c r="G771" s="15">
        <v>46097</v>
      </c>
      <c r="H771" s="14" t="str">
        <f>IFERROR(INDEX(面试清单!H:H,MATCH(770,面试清单!P:P,0)),"")</f>
        <v/>
      </c>
      <c r="I771" s="13" t="s">
        <v>29</v>
      </c>
      <c r="J771" s="14">
        <f ca="1" t="shared" si="37"/>
        <v>92</v>
      </c>
      <c r="K771" s="14">
        <f ca="1" t="shared" si="38"/>
        <v>16</v>
      </c>
    </row>
    <row r="772" ht="18" spans="1:11">
      <c r="A772" s="10">
        <f t="shared" si="36"/>
        <v>771</v>
      </c>
      <c r="B772" s="11" t="s">
        <v>4711</v>
      </c>
      <c r="C772" s="10" t="str">
        <f>IFERROR(INDEX(面试清单!D:D,MATCH(771,面试清单!P:P,0)),"")</f>
        <v/>
      </c>
      <c r="D772" s="11" t="s">
        <v>73</v>
      </c>
      <c r="E772" s="11" t="s">
        <v>62</v>
      </c>
      <c r="F772" s="11" t="s">
        <v>124</v>
      </c>
      <c r="G772" s="15">
        <v>46097</v>
      </c>
      <c r="H772" s="10" t="str">
        <f>IFERROR(INDEX(面试清单!H:H,MATCH(771,面试清单!P:P,0)),"")</f>
        <v/>
      </c>
      <c r="I772" s="13" t="s">
        <v>29</v>
      </c>
      <c r="J772" s="10">
        <f ca="1" t="shared" si="37"/>
        <v>92</v>
      </c>
      <c r="K772" s="10">
        <f ca="1" t="shared" si="38"/>
        <v>16</v>
      </c>
    </row>
    <row r="773" ht="18" spans="1:11">
      <c r="A773" s="14">
        <f t="shared" si="36"/>
        <v>772</v>
      </c>
      <c r="B773" s="11" t="s">
        <v>4712</v>
      </c>
      <c r="C773" s="14" t="str">
        <f>IFERROR(INDEX(面试清单!D:D,MATCH(772,面试清单!P:P,0)),"")</f>
        <v/>
      </c>
      <c r="D773" s="11" t="s">
        <v>43</v>
      </c>
      <c r="E773" s="11" t="s">
        <v>63</v>
      </c>
      <c r="F773" s="11" t="s">
        <v>117</v>
      </c>
      <c r="G773" s="15">
        <v>46097</v>
      </c>
      <c r="H773" s="14" t="str">
        <f>IFERROR(INDEX(面试清单!H:H,MATCH(772,面试清单!P:P,0)),"")</f>
        <v/>
      </c>
      <c r="I773" s="13" t="s">
        <v>29</v>
      </c>
      <c r="J773" s="14">
        <f ca="1" t="shared" si="37"/>
        <v>92</v>
      </c>
      <c r="K773" s="14">
        <f ca="1" t="shared" si="38"/>
        <v>16</v>
      </c>
    </row>
    <row r="774" ht="18" spans="1:11">
      <c r="A774" s="10">
        <f t="shared" si="36"/>
        <v>773</v>
      </c>
      <c r="B774" s="11" t="s">
        <v>4713</v>
      </c>
      <c r="C774" s="10" t="str">
        <f>IFERROR(INDEX(面试清单!D:D,MATCH(773,面试清单!P:P,0)),"")</f>
        <v/>
      </c>
      <c r="D774" s="11" t="s">
        <v>42</v>
      </c>
      <c r="E774" s="11" t="s">
        <v>62</v>
      </c>
      <c r="F774" s="11" t="s">
        <v>103</v>
      </c>
      <c r="G774" s="15">
        <v>46097</v>
      </c>
      <c r="H774" s="10" t="str">
        <f>IFERROR(INDEX(面试清单!H:H,MATCH(773,面试清单!P:P,0)),"")</f>
        <v/>
      </c>
      <c r="I774" s="13" t="s">
        <v>29</v>
      </c>
      <c r="J774" s="10">
        <f ca="1" t="shared" si="37"/>
        <v>92</v>
      </c>
      <c r="K774" s="10">
        <f ca="1" t="shared" si="38"/>
        <v>16</v>
      </c>
    </row>
    <row r="775" ht="18" spans="1:11">
      <c r="A775" s="14">
        <f t="shared" si="36"/>
        <v>774</v>
      </c>
      <c r="B775" s="11" t="s">
        <v>4714</v>
      </c>
      <c r="C775" s="124" t="str">
        <f>IFERROR(INDEX(面试清单!D:D,MATCH(774,面试清单!P:P,0)),"")</f>
        <v>0217</v>
      </c>
      <c r="D775" s="11" t="s">
        <v>42</v>
      </c>
      <c r="E775" s="11" t="s">
        <v>62</v>
      </c>
      <c r="F775" s="11" t="s">
        <v>233</v>
      </c>
      <c r="G775" s="15">
        <v>46098</v>
      </c>
      <c r="H775" s="14" t="str">
        <f>IFERROR(INDEX(面试清单!H:H,MATCH(774,面试清单!P:P,0)),"")</f>
        <v>线下</v>
      </c>
      <c r="I775" s="13" t="s">
        <v>29</v>
      </c>
      <c r="J775" s="14">
        <f ca="1" t="shared" si="37"/>
        <v>91</v>
      </c>
      <c r="K775" s="14">
        <f ca="1" t="shared" si="38"/>
        <v>16</v>
      </c>
    </row>
    <row r="776" ht="18" spans="1:11">
      <c r="A776" s="10">
        <f t="shared" si="36"/>
        <v>775</v>
      </c>
      <c r="B776" s="11" t="s">
        <v>4715</v>
      </c>
      <c r="C776" s="125" t="str">
        <f>IFERROR(INDEX(面试清单!D:D,MATCH(775,面试清单!P:P,0)),"")</f>
        <v>0218</v>
      </c>
      <c r="D776" s="11" t="s">
        <v>42</v>
      </c>
      <c r="E776" s="11" t="s">
        <v>62</v>
      </c>
      <c r="F776" s="11" t="s">
        <v>124</v>
      </c>
      <c r="G776" s="15">
        <v>46098</v>
      </c>
      <c r="H776" s="10" t="str">
        <f>IFERROR(INDEX(面试清单!H:H,MATCH(775,面试清单!P:P,0)),"")</f>
        <v>线下</v>
      </c>
      <c r="I776" s="13" t="s">
        <v>29</v>
      </c>
      <c r="J776" s="10">
        <f ca="1" t="shared" si="37"/>
        <v>91</v>
      </c>
      <c r="K776" s="10">
        <f ca="1" t="shared" si="38"/>
        <v>16</v>
      </c>
    </row>
    <row r="777" ht="18" spans="1:11">
      <c r="A777" s="14">
        <f t="shared" si="36"/>
        <v>776</v>
      </c>
      <c r="B777" s="11" t="s">
        <v>4716</v>
      </c>
      <c r="C777" s="14" t="str">
        <f>IFERROR(INDEX(面试清单!D:D,MATCH(776,面试清单!P:P,0)),"")</f>
        <v/>
      </c>
      <c r="D777" s="11" t="s">
        <v>42</v>
      </c>
      <c r="E777" s="11" t="s">
        <v>62</v>
      </c>
      <c r="F777" s="11" t="s">
        <v>307</v>
      </c>
      <c r="G777" s="15">
        <v>46098</v>
      </c>
      <c r="H777" s="14" t="str">
        <f>IFERROR(INDEX(面试清单!H:H,MATCH(776,面试清单!P:P,0)),"")</f>
        <v/>
      </c>
      <c r="I777" s="13" t="s">
        <v>29</v>
      </c>
      <c r="J777" s="14">
        <f ca="1" t="shared" si="37"/>
        <v>91</v>
      </c>
      <c r="K777" s="14">
        <f ca="1" t="shared" si="38"/>
        <v>16</v>
      </c>
    </row>
    <row r="778" ht="18" spans="1:11">
      <c r="A778" s="10">
        <f t="shared" si="36"/>
        <v>777</v>
      </c>
      <c r="B778" s="11" t="s">
        <v>4717</v>
      </c>
      <c r="C778" s="10" t="str">
        <f>IFERROR(INDEX(面试清单!D:D,MATCH(777,面试清单!P:P,0)),"")</f>
        <v/>
      </c>
      <c r="D778" s="11" t="s">
        <v>42</v>
      </c>
      <c r="E778" s="11" t="s">
        <v>63</v>
      </c>
      <c r="F778" s="11" t="s">
        <v>132</v>
      </c>
      <c r="G778" s="15">
        <v>46098</v>
      </c>
      <c r="H778" s="10" t="str">
        <f>IFERROR(INDEX(面试清单!H:H,MATCH(777,面试清单!P:P,0)),"")</f>
        <v/>
      </c>
      <c r="I778" s="13" t="s">
        <v>29</v>
      </c>
      <c r="J778" s="10">
        <f ca="1" t="shared" si="37"/>
        <v>91</v>
      </c>
      <c r="K778" s="10">
        <f ca="1" t="shared" si="38"/>
        <v>16</v>
      </c>
    </row>
    <row r="779" ht="18" spans="1:11">
      <c r="A779" s="14">
        <f t="shared" si="36"/>
        <v>778</v>
      </c>
      <c r="B779" s="11" t="s">
        <v>4718</v>
      </c>
      <c r="C779" s="124" t="str">
        <f>IFERROR(INDEX(面试清单!D:D,MATCH(778,面试清单!P:P,0)),"")</f>
        <v>0222</v>
      </c>
      <c r="D779" s="11" t="s">
        <v>42</v>
      </c>
      <c r="E779" s="11" t="s">
        <v>63</v>
      </c>
      <c r="F779" s="11" t="s">
        <v>332</v>
      </c>
      <c r="G779" s="15">
        <v>46098</v>
      </c>
      <c r="H779" s="14" t="str">
        <f>IFERROR(INDEX(面试清单!H:H,MATCH(778,面试清单!P:P,0)),"")</f>
        <v>线下</v>
      </c>
      <c r="I779" s="13" t="s">
        <v>29</v>
      </c>
      <c r="J779" s="14">
        <f ca="1" t="shared" si="37"/>
        <v>91</v>
      </c>
      <c r="K779" s="14">
        <f ca="1" t="shared" si="38"/>
        <v>16</v>
      </c>
    </row>
    <row r="780" ht="18" spans="1:11">
      <c r="A780" s="10">
        <f t="shared" si="36"/>
        <v>779</v>
      </c>
      <c r="B780" s="11" t="s">
        <v>4719</v>
      </c>
      <c r="C780" s="125" t="str">
        <f>IFERROR(INDEX(面试清单!D:D,MATCH(779,面试清单!P:P,0)),"")</f>
        <v>0208</v>
      </c>
      <c r="D780" s="11" t="s">
        <v>42</v>
      </c>
      <c r="E780" s="11" t="s">
        <v>62</v>
      </c>
      <c r="F780" s="11" t="s">
        <v>179</v>
      </c>
      <c r="G780" s="15">
        <v>46098</v>
      </c>
      <c r="H780" s="10" t="str">
        <f>IFERROR(INDEX(面试清单!H:H,MATCH(779,面试清单!P:P,0)),"")</f>
        <v>线下</v>
      </c>
      <c r="I780" s="13" t="s">
        <v>29</v>
      </c>
      <c r="J780" s="10">
        <f ca="1" t="shared" si="37"/>
        <v>91</v>
      </c>
      <c r="K780" s="10">
        <f ca="1" t="shared" si="38"/>
        <v>16</v>
      </c>
    </row>
    <row r="781" ht="18" spans="1:11">
      <c r="A781" s="14">
        <f t="shared" si="36"/>
        <v>780</v>
      </c>
      <c r="B781" s="11" t="s">
        <v>4720</v>
      </c>
      <c r="C781" s="124" t="str">
        <f>IFERROR(INDEX(面试清单!D:D,MATCH(780,面试清单!P:P,0)),"")</f>
        <v>0208</v>
      </c>
      <c r="D781" s="11" t="s">
        <v>42</v>
      </c>
      <c r="E781" s="11" t="s">
        <v>62</v>
      </c>
      <c r="F781" s="11" t="s">
        <v>103</v>
      </c>
      <c r="G781" s="15">
        <v>46098</v>
      </c>
      <c r="H781" s="14" t="str">
        <f>IFERROR(INDEX(面试清单!H:H,MATCH(780,面试清单!P:P,0)),"")</f>
        <v>线下</v>
      </c>
      <c r="I781" s="13" t="s">
        <v>29</v>
      </c>
      <c r="J781" s="14">
        <f ca="1" t="shared" si="37"/>
        <v>91</v>
      </c>
      <c r="K781" s="14">
        <f ca="1" t="shared" si="38"/>
        <v>16</v>
      </c>
    </row>
    <row r="782" ht="18" spans="1:11">
      <c r="A782" s="10">
        <f t="shared" si="36"/>
        <v>781</v>
      </c>
      <c r="B782" s="11" t="s">
        <v>4721</v>
      </c>
      <c r="C782" s="125" t="str">
        <f>IFERROR(INDEX(面试清单!D:D,MATCH(781,面试清单!P:P,0)),"")</f>
        <v>0209</v>
      </c>
      <c r="D782" s="11" t="s">
        <v>43</v>
      </c>
      <c r="E782" s="11" t="s">
        <v>62</v>
      </c>
      <c r="F782" s="11" t="s">
        <v>233</v>
      </c>
      <c r="G782" s="15">
        <v>46098</v>
      </c>
      <c r="H782" s="10" t="str">
        <f>IFERROR(INDEX(面试清单!H:H,MATCH(781,面试清单!P:P,0)),"")</f>
        <v>线下</v>
      </c>
      <c r="I782" s="13" t="s">
        <v>29</v>
      </c>
      <c r="J782" s="10">
        <f ca="1" t="shared" si="37"/>
        <v>91</v>
      </c>
      <c r="K782" s="10">
        <f ca="1" t="shared" si="38"/>
        <v>16</v>
      </c>
    </row>
    <row r="783" ht="18" spans="1:11">
      <c r="A783" s="14">
        <f t="shared" si="36"/>
        <v>782</v>
      </c>
      <c r="B783" s="11" t="s">
        <v>4722</v>
      </c>
      <c r="C783" s="124" t="str">
        <f>IFERROR(INDEX(面试清单!D:D,MATCH(782,面试清单!P:P,0)),"")</f>
        <v>0212</v>
      </c>
      <c r="D783" s="11" t="s">
        <v>42</v>
      </c>
      <c r="E783" s="11" t="s">
        <v>63</v>
      </c>
      <c r="F783" s="11" t="s">
        <v>124</v>
      </c>
      <c r="G783" s="15">
        <v>46098</v>
      </c>
      <c r="H783" s="14" t="str">
        <f>IFERROR(INDEX(面试清单!H:H,MATCH(782,面试清单!P:P,0)),"")</f>
        <v>线下</v>
      </c>
      <c r="I783" s="13" t="s">
        <v>29</v>
      </c>
      <c r="J783" s="14">
        <f ca="1" t="shared" si="37"/>
        <v>91</v>
      </c>
      <c r="K783" s="14">
        <f ca="1" t="shared" si="38"/>
        <v>16</v>
      </c>
    </row>
    <row r="784" ht="18" spans="1:11">
      <c r="A784" s="10">
        <f t="shared" si="36"/>
        <v>783</v>
      </c>
      <c r="B784" s="11" t="s">
        <v>4723</v>
      </c>
      <c r="C784" s="125" t="str">
        <f>IFERROR(INDEX(面试清单!D:D,MATCH(783,面试清单!P:P,0)),"")</f>
        <v>0214</v>
      </c>
      <c r="D784" s="11" t="s">
        <v>43</v>
      </c>
      <c r="E784" s="11" t="s">
        <v>62</v>
      </c>
      <c r="F784" s="11" t="s">
        <v>179</v>
      </c>
      <c r="G784" s="15">
        <v>46098</v>
      </c>
      <c r="H784" s="10" t="str">
        <f>IFERROR(INDEX(面试清单!H:H,MATCH(783,面试清单!P:P,0)),"")</f>
        <v>线下</v>
      </c>
      <c r="I784" s="13" t="s">
        <v>29</v>
      </c>
      <c r="J784" s="10">
        <f ca="1" t="shared" si="37"/>
        <v>91</v>
      </c>
      <c r="K784" s="10">
        <f ca="1" t="shared" si="38"/>
        <v>16</v>
      </c>
    </row>
    <row r="785" ht="18" spans="1:11">
      <c r="A785" s="14">
        <f t="shared" si="36"/>
        <v>784</v>
      </c>
      <c r="B785" s="11" t="s">
        <v>4724</v>
      </c>
      <c r="C785" s="14" t="str">
        <f>IFERROR(INDEX(面试清单!D:D,MATCH(784,面试清单!P:P,0)),"")</f>
        <v/>
      </c>
      <c r="D785" s="11" t="s">
        <v>74</v>
      </c>
      <c r="E785" s="11" t="s">
        <v>190</v>
      </c>
      <c r="F785" s="11" t="s">
        <v>179</v>
      </c>
      <c r="G785" s="15">
        <v>46098</v>
      </c>
      <c r="H785" s="14" t="str">
        <f>IFERROR(INDEX(面试清单!H:H,MATCH(784,面试清单!P:P,0)),"")</f>
        <v/>
      </c>
      <c r="I785" s="13" t="s">
        <v>29</v>
      </c>
      <c r="J785" s="14">
        <f ca="1" t="shared" si="37"/>
        <v>91</v>
      </c>
      <c r="K785" s="14">
        <f ca="1" t="shared" si="38"/>
        <v>16</v>
      </c>
    </row>
    <row r="786" ht="18" spans="1:11">
      <c r="A786" s="10">
        <f t="shared" si="36"/>
        <v>785</v>
      </c>
      <c r="B786" s="11" t="s">
        <v>4725</v>
      </c>
      <c r="C786" s="10" t="str">
        <f>IFERROR(INDEX(面试清单!D:D,MATCH(785,面试清单!P:P,0)),"")</f>
        <v/>
      </c>
      <c r="D786" s="11" t="s">
        <v>42</v>
      </c>
      <c r="E786" s="11" t="s">
        <v>62</v>
      </c>
      <c r="F786" s="11" t="s">
        <v>233</v>
      </c>
      <c r="G786" s="15">
        <v>46099</v>
      </c>
      <c r="H786" s="10" t="str">
        <f>IFERROR(INDEX(面试清单!H:H,MATCH(785,面试清单!P:P,0)),"")</f>
        <v/>
      </c>
      <c r="I786" s="13" t="s">
        <v>29</v>
      </c>
      <c r="J786" s="10">
        <f ca="1" t="shared" si="37"/>
        <v>90</v>
      </c>
      <c r="K786" s="10">
        <f ca="1" t="shared" si="38"/>
        <v>16</v>
      </c>
    </row>
    <row r="787" ht="18" spans="1:11">
      <c r="A787" s="14">
        <f t="shared" si="36"/>
        <v>786</v>
      </c>
      <c r="B787" s="11" t="s">
        <v>4726</v>
      </c>
      <c r="C787" s="124" t="str">
        <f>IFERROR(INDEX(面试清单!D:D,MATCH(786,面试清单!P:P,0)),"")</f>
        <v>0220</v>
      </c>
      <c r="D787" s="11" t="s">
        <v>42</v>
      </c>
      <c r="E787" s="11" t="s">
        <v>62</v>
      </c>
      <c r="F787" s="11" t="s">
        <v>124</v>
      </c>
      <c r="G787" s="15">
        <v>46099</v>
      </c>
      <c r="H787" s="14" t="str">
        <f>IFERROR(INDEX(面试清单!H:H,MATCH(786,面试清单!P:P,0)),"")</f>
        <v>线下</v>
      </c>
      <c r="I787" s="13" t="s">
        <v>29</v>
      </c>
      <c r="J787" s="14">
        <f ca="1" t="shared" si="37"/>
        <v>90</v>
      </c>
      <c r="K787" s="14">
        <f ca="1" t="shared" si="38"/>
        <v>16</v>
      </c>
    </row>
    <row r="788" ht="18" spans="1:11">
      <c r="A788" s="10">
        <f t="shared" si="36"/>
        <v>787</v>
      </c>
      <c r="B788" s="11" t="s">
        <v>4727</v>
      </c>
      <c r="C788" s="125" t="str">
        <f>IFERROR(INDEX(面试清单!D:D,MATCH(787,面试清单!P:P,0)),"")</f>
        <v>0221</v>
      </c>
      <c r="D788" s="11" t="s">
        <v>42</v>
      </c>
      <c r="E788" s="11" t="s">
        <v>62</v>
      </c>
      <c r="F788" s="11" t="s">
        <v>176</v>
      </c>
      <c r="G788" s="15">
        <v>46099</v>
      </c>
      <c r="H788" s="10" t="str">
        <f>IFERROR(INDEX(面试清单!H:H,MATCH(787,面试清单!P:P,0)),"")</f>
        <v>线下</v>
      </c>
      <c r="I788" s="13" t="s">
        <v>29</v>
      </c>
      <c r="J788" s="10">
        <f ca="1" t="shared" si="37"/>
        <v>90</v>
      </c>
      <c r="K788" s="10">
        <f ca="1" t="shared" si="38"/>
        <v>16</v>
      </c>
    </row>
    <row r="789" ht="18" spans="1:11">
      <c r="A789" s="14">
        <f t="shared" si="36"/>
        <v>788</v>
      </c>
      <c r="B789" s="11" t="s">
        <v>4728</v>
      </c>
      <c r="C789" s="124" t="str">
        <f>IFERROR(INDEX(面试清单!D:D,MATCH(788,面试清单!P:P,0)),"")</f>
        <v>0222</v>
      </c>
      <c r="D789" s="11" t="s">
        <v>42</v>
      </c>
      <c r="E789" s="11" t="s">
        <v>62</v>
      </c>
      <c r="F789" s="11" t="s">
        <v>176</v>
      </c>
      <c r="G789" s="15">
        <v>46099</v>
      </c>
      <c r="H789" s="14" t="str">
        <f>IFERROR(INDEX(面试清单!H:H,MATCH(788,面试清单!P:P,0)),"")</f>
        <v>线下</v>
      </c>
      <c r="I789" s="13" t="s">
        <v>29</v>
      </c>
      <c r="J789" s="14">
        <f ca="1" t="shared" si="37"/>
        <v>90</v>
      </c>
      <c r="K789" s="14">
        <f ca="1" t="shared" si="38"/>
        <v>16</v>
      </c>
    </row>
    <row r="790" ht="18" spans="1:11">
      <c r="A790" s="10">
        <f t="shared" si="36"/>
        <v>789</v>
      </c>
      <c r="B790" s="11" t="s">
        <v>4729</v>
      </c>
      <c r="C790" s="125" t="str">
        <f>IFERROR(INDEX(面试清单!D:D,MATCH(789,面试清单!P:P,0)),"")</f>
        <v>0208</v>
      </c>
      <c r="D790" s="11" t="s">
        <v>42</v>
      </c>
      <c r="E790" s="11" t="s">
        <v>62</v>
      </c>
      <c r="F790" s="11" t="s">
        <v>176</v>
      </c>
      <c r="G790" s="15">
        <v>46099</v>
      </c>
      <c r="H790" s="10" t="str">
        <f>IFERROR(INDEX(面试清单!H:H,MATCH(789,面试清单!P:P,0)),"")</f>
        <v>线下</v>
      </c>
      <c r="I790" s="13" t="s">
        <v>29</v>
      </c>
      <c r="J790" s="10">
        <f ca="1" t="shared" si="37"/>
        <v>90</v>
      </c>
      <c r="K790" s="10">
        <f ca="1" t="shared" si="38"/>
        <v>16</v>
      </c>
    </row>
    <row r="791" ht="18" spans="1:11">
      <c r="A791" s="14">
        <f t="shared" si="36"/>
        <v>790</v>
      </c>
      <c r="B791" s="11" t="s">
        <v>4730</v>
      </c>
      <c r="C791" s="14" t="str">
        <f>IFERROR(INDEX(面试清单!D:D,MATCH(790,面试清单!P:P,0)),"")</f>
        <v/>
      </c>
      <c r="D791" s="11" t="s">
        <v>42</v>
      </c>
      <c r="E791" s="11" t="s">
        <v>63</v>
      </c>
      <c r="F791" s="11" t="s">
        <v>176</v>
      </c>
      <c r="G791" s="15">
        <v>46099</v>
      </c>
      <c r="H791" s="14" t="str">
        <f>IFERROR(INDEX(面试清单!H:H,MATCH(790,面试清单!P:P,0)),"")</f>
        <v/>
      </c>
      <c r="I791" s="13" t="s">
        <v>29</v>
      </c>
      <c r="J791" s="14">
        <f ca="1" t="shared" si="37"/>
        <v>90</v>
      </c>
      <c r="K791" s="14">
        <f ca="1" t="shared" si="38"/>
        <v>16</v>
      </c>
    </row>
    <row r="792" ht="18" spans="1:11">
      <c r="A792" s="10">
        <f t="shared" si="36"/>
        <v>791</v>
      </c>
      <c r="B792" s="11" t="s">
        <v>4731</v>
      </c>
      <c r="C792" s="10" t="str">
        <f>IFERROR(INDEX(面试清单!D:D,MATCH(791,面试清单!P:P,0)),"")</f>
        <v/>
      </c>
      <c r="D792" s="11" t="s">
        <v>42</v>
      </c>
      <c r="E792" s="11" t="s">
        <v>63</v>
      </c>
      <c r="F792" s="11" t="s">
        <v>173</v>
      </c>
      <c r="G792" s="15">
        <v>46099</v>
      </c>
      <c r="H792" s="10" t="str">
        <f>IFERROR(INDEX(面试清单!H:H,MATCH(791,面试清单!P:P,0)),"")</f>
        <v/>
      </c>
      <c r="I792" s="13" t="s">
        <v>29</v>
      </c>
      <c r="J792" s="10">
        <f ca="1" t="shared" si="37"/>
        <v>90</v>
      </c>
      <c r="K792" s="10">
        <f ca="1" t="shared" si="38"/>
        <v>16</v>
      </c>
    </row>
    <row r="793" ht="18" spans="1:11">
      <c r="A793" s="14">
        <f t="shared" si="36"/>
        <v>792</v>
      </c>
      <c r="B793" s="11" t="s">
        <v>4732</v>
      </c>
      <c r="C793" s="14" t="str">
        <f>IFERROR(INDEX(面试清单!D:D,MATCH(792,面试清单!P:P,0)),"")</f>
        <v/>
      </c>
      <c r="D793" s="11" t="s">
        <v>73</v>
      </c>
      <c r="E793" s="11" t="s">
        <v>62</v>
      </c>
      <c r="F793" s="11" t="s">
        <v>690</v>
      </c>
      <c r="G793" s="15">
        <v>46099</v>
      </c>
      <c r="H793" s="14" t="str">
        <f>IFERROR(INDEX(面试清单!H:H,MATCH(792,面试清单!P:P,0)),"")</f>
        <v/>
      </c>
      <c r="I793" s="13" t="s">
        <v>29</v>
      </c>
      <c r="J793" s="14">
        <f ca="1" t="shared" si="37"/>
        <v>90</v>
      </c>
      <c r="K793" s="14">
        <f ca="1" t="shared" si="38"/>
        <v>16</v>
      </c>
    </row>
    <row r="794" ht="18" spans="1:11">
      <c r="A794" s="10">
        <f t="shared" si="36"/>
        <v>793</v>
      </c>
      <c r="B794" s="11" t="s">
        <v>4733</v>
      </c>
      <c r="C794" s="125" t="str">
        <f>IFERROR(INDEX(面试清单!D:D,MATCH(793,面试清单!P:P,0)),"")</f>
        <v>0217</v>
      </c>
      <c r="D794" s="11" t="s">
        <v>42</v>
      </c>
      <c r="E794" s="11" t="s">
        <v>62</v>
      </c>
      <c r="F794" s="11" t="s">
        <v>179</v>
      </c>
      <c r="G794" s="15">
        <v>46099</v>
      </c>
      <c r="H794" s="10" t="str">
        <f>IFERROR(INDEX(面试清单!H:H,MATCH(793,面试清单!P:P,0)),"")</f>
        <v>线下</v>
      </c>
      <c r="I794" s="13" t="s">
        <v>29</v>
      </c>
      <c r="J794" s="10">
        <f ca="1" t="shared" si="37"/>
        <v>90</v>
      </c>
      <c r="K794" s="10">
        <f ca="1" t="shared" si="38"/>
        <v>16</v>
      </c>
    </row>
    <row r="795" ht="18" spans="1:11">
      <c r="A795" s="14">
        <f t="shared" si="36"/>
        <v>794</v>
      </c>
      <c r="B795" s="11" t="s">
        <v>4734</v>
      </c>
      <c r="C795" s="124" t="str">
        <f>IFERROR(INDEX(面试清单!D:D,MATCH(794,面试清单!P:P,0)),"")</f>
        <v>0218</v>
      </c>
      <c r="D795" s="11" t="s">
        <v>42</v>
      </c>
      <c r="E795" s="11" t="s">
        <v>62</v>
      </c>
      <c r="F795" s="11" t="s">
        <v>179</v>
      </c>
      <c r="G795" s="15">
        <v>46099</v>
      </c>
      <c r="H795" s="14" t="str">
        <f>IFERROR(INDEX(面试清单!H:H,MATCH(794,面试清单!P:P,0)),"")</f>
        <v>线下</v>
      </c>
      <c r="I795" s="13" t="s">
        <v>29</v>
      </c>
      <c r="J795" s="14">
        <f ca="1" t="shared" si="37"/>
        <v>90</v>
      </c>
      <c r="K795" s="14">
        <f ca="1" t="shared" si="38"/>
        <v>16</v>
      </c>
    </row>
    <row r="796" ht="18" spans="1:11">
      <c r="A796" s="10">
        <f t="shared" si="36"/>
        <v>795</v>
      </c>
      <c r="B796" s="11" t="s">
        <v>4735</v>
      </c>
      <c r="C796" s="125" t="str">
        <f>IFERROR(INDEX(面试清单!D:D,MATCH(795,面试清单!P:P,0)),"")</f>
        <v>0220</v>
      </c>
      <c r="D796" s="11" t="s">
        <v>43</v>
      </c>
      <c r="E796" s="11" t="s">
        <v>62</v>
      </c>
      <c r="F796" s="11" t="s">
        <v>426</v>
      </c>
      <c r="G796" s="15">
        <v>46088</v>
      </c>
      <c r="H796" s="10" t="str">
        <f>IFERROR(INDEX(面试清单!H:H,MATCH(795,面试清单!P:P,0)),"")</f>
        <v>线下</v>
      </c>
      <c r="I796" s="13" t="s">
        <v>29</v>
      </c>
      <c r="J796" s="10">
        <f ca="1" t="shared" si="37"/>
        <v>101</v>
      </c>
      <c r="K796" s="10">
        <f ca="1" t="shared" si="38"/>
        <v>16</v>
      </c>
    </row>
    <row r="797" ht="18" spans="1:11">
      <c r="A797" s="14">
        <f t="shared" si="36"/>
        <v>796</v>
      </c>
      <c r="B797" s="11" t="s">
        <v>4736</v>
      </c>
      <c r="C797" s="14" t="str">
        <f>IFERROR(INDEX(面试清单!D:D,MATCH(796,面试清单!P:P,0)),"")</f>
        <v/>
      </c>
      <c r="D797" s="11" t="s">
        <v>43</v>
      </c>
      <c r="E797" s="11" t="s">
        <v>62</v>
      </c>
      <c r="F797" s="11" t="s">
        <v>132</v>
      </c>
      <c r="G797" s="15">
        <v>46099</v>
      </c>
      <c r="H797" s="14" t="str">
        <f>IFERROR(INDEX(面试清单!H:H,MATCH(796,面试清单!P:P,0)),"")</f>
        <v/>
      </c>
      <c r="I797" s="13" t="s">
        <v>29</v>
      </c>
      <c r="J797" s="14">
        <f ca="1" t="shared" si="37"/>
        <v>90</v>
      </c>
      <c r="K797" s="14">
        <f ca="1" t="shared" si="38"/>
        <v>16</v>
      </c>
    </row>
    <row r="798" ht="18" spans="1:11">
      <c r="A798" s="10">
        <f t="shared" si="36"/>
        <v>797</v>
      </c>
      <c r="B798" s="11" t="s">
        <v>4737</v>
      </c>
      <c r="C798" s="10" t="str">
        <f>IFERROR(INDEX(面试清单!D:D,MATCH(797,面试清单!P:P,0)),"")</f>
        <v/>
      </c>
      <c r="D798" s="11" t="s">
        <v>42</v>
      </c>
      <c r="E798" s="11" t="s">
        <v>62</v>
      </c>
      <c r="F798" s="11" t="s">
        <v>733</v>
      </c>
      <c r="G798" s="15">
        <v>46100</v>
      </c>
      <c r="H798" s="10" t="str">
        <f>IFERROR(INDEX(面试清单!H:H,MATCH(797,面试清单!P:P,0)),"")</f>
        <v/>
      </c>
      <c r="I798" s="13" t="s">
        <v>29</v>
      </c>
      <c r="J798" s="10">
        <f ca="1" t="shared" si="37"/>
        <v>89</v>
      </c>
      <c r="K798" s="10">
        <f ca="1" t="shared" si="38"/>
        <v>16</v>
      </c>
    </row>
    <row r="799" ht="18" spans="1:11">
      <c r="A799" s="14">
        <f t="shared" si="36"/>
        <v>798</v>
      </c>
      <c r="B799" s="11" t="s">
        <v>4738</v>
      </c>
      <c r="C799" s="14" t="str">
        <f>IFERROR(INDEX(面试清单!D:D,MATCH(798,面试清单!P:P,0)),"")</f>
        <v/>
      </c>
      <c r="D799" s="11" t="s">
        <v>42</v>
      </c>
      <c r="E799" s="11" t="s">
        <v>62</v>
      </c>
      <c r="F799" s="11" t="s">
        <v>124</v>
      </c>
      <c r="G799" s="15">
        <v>46100</v>
      </c>
      <c r="H799" s="14" t="str">
        <f>IFERROR(INDEX(面试清单!H:H,MATCH(798,面试清单!P:P,0)),"")</f>
        <v/>
      </c>
      <c r="I799" s="13" t="s">
        <v>29</v>
      </c>
      <c r="J799" s="14">
        <f ca="1" t="shared" si="37"/>
        <v>89</v>
      </c>
      <c r="K799" s="14">
        <f ca="1" t="shared" si="38"/>
        <v>16</v>
      </c>
    </row>
    <row r="800" ht="18" spans="1:11">
      <c r="A800" s="10">
        <f t="shared" si="36"/>
        <v>799</v>
      </c>
      <c r="B800" s="11" t="s">
        <v>4739</v>
      </c>
      <c r="C800" s="10" t="str">
        <f>IFERROR(INDEX(面试清单!D:D,MATCH(799,面试清单!P:P,0)),"")</f>
        <v/>
      </c>
      <c r="D800" s="11" t="s">
        <v>42</v>
      </c>
      <c r="E800" s="11" t="s">
        <v>62</v>
      </c>
      <c r="F800" s="11" t="s">
        <v>103</v>
      </c>
      <c r="G800" s="15">
        <v>46100</v>
      </c>
      <c r="H800" s="10" t="str">
        <f>IFERROR(INDEX(面试清单!H:H,MATCH(799,面试清单!P:P,0)),"")</f>
        <v/>
      </c>
      <c r="I800" s="13" t="s">
        <v>29</v>
      </c>
      <c r="J800" s="10">
        <f ca="1" t="shared" si="37"/>
        <v>89</v>
      </c>
      <c r="K800" s="10">
        <f ca="1" t="shared" si="38"/>
        <v>16</v>
      </c>
    </row>
    <row r="801" ht="18" spans="1:11">
      <c r="A801" s="14">
        <f t="shared" si="36"/>
        <v>800</v>
      </c>
      <c r="B801" s="11" t="s">
        <v>4740</v>
      </c>
      <c r="C801" s="14" t="str">
        <f>IFERROR(INDEX(面试清单!D:D,MATCH(800,面试清单!P:P,0)),"")</f>
        <v/>
      </c>
      <c r="D801" s="11" t="s">
        <v>42</v>
      </c>
      <c r="E801" s="11" t="s">
        <v>62</v>
      </c>
      <c r="F801" s="11" t="s">
        <v>103</v>
      </c>
      <c r="G801" s="15">
        <v>46100</v>
      </c>
      <c r="H801" s="14" t="str">
        <f>IFERROR(INDEX(面试清单!H:H,MATCH(800,面试清单!P:P,0)),"")</f>
        <v/>
      </c>
      <c r="I801" s="13" t="s">
        <v>29</v>
      </c>
      <c r="J801" s="14">
        <f ca="1" t="shared" si="37"/>
        <v>89</v>
      </c>
      <c r="K801" s="14">
        <f ca="1" t="shared" si="38"/>
        <v>16</v>
      </c>
    </row>
    <row r="802" ht="18" spans="1:11">
      <c r="A802" s="10">
        <f t="shared" si="36"/>
        <v>801</v>
      </c>
      <c r="B802" s="11" t="s">
        <v>4741</v>
      </c>
      <c r="C802" s="10" t="str">
        <f>IFERROR(INDEX(面试清单!D:D,MATCH(801,面试清单!P:P,0)),"")</f>
        <v/>
      </c>
      <c r="D802" s="11" t="s">
        <v>42</v>
      </c>
      <c r="E802" s="11" t="s">
        <v>62</v>
      </c>
      <c r="F802" s="11" t="s">
        <v>1166</v>
      </c>
      <c r="G802" s="15">
        <v>46100</v>
      </c>
      <c r="H802" s="10" t="str">
        <f>IFERROR(INDEX(面试清单!H:H,MATCH(801,面试清单!P:P,0)),"")</f>
        <v/>
      </c>
      <c r="I802" s="13" t="s">
        <v>29</v>
      </c>
      <c r="J802" s="10">
        <f ca="1" t="shared" si="37"/>
        <v>89</v>
      </c>
      <c r="K802" s="10">
        <f ca="1" t="shared" si="38"/>
        <v>16</v>
      </c>
    </row>
    <row r="803" ht="18" spans="1:11">
      <c r="A803" s="14">
        <f t="shared" si="36"/>
        <v>802</v>
      </c>
      <c r="B803" s="11" t="s">
        <v>2052</v>
      </c>
      <c r="C803" s="14" t="str">
        <f>IFERROR(INDEX(面试清单!D:D,MATCH(802,面试清单!P:P,0)),"")</f>
        <v/>
      </c>
      <c r="D803" s="11" t="s">
        <v>43</v>
      </c>
      <c r="E803" s="11" t="s">
        <v>62</v>
      </c>
      <c r="F803" s="11" t="s">
        <v>132</v>
      </c>
      <c r="G803" s="15">
        <v>46100</v>
      </c>
      <c r="H803" s="14" t="str">
        <f>IFERROR(INDEX(面试清单!H:H,MATCH(802,面试清单!P:P,0)),"")</f>
        <v/>
      </c>
      <c r="I803" s="13" t="s">
        <v>29</v>
      </c>
      <c r="J803" s="14">
        <f ca="1" t="shared" si="37"/>
        <v>89</v>
      </c>
      <c r="K803" s="14">
        <f ca="1" t="shared" si="38"/>
        <v>16</v>
      </c>
    </row>
    <row r="804" ht="18" spans="1:11">
      <c r="A804" s="10">
        <f t="shared" si="36"/>
        <v>803</v>
      </c>
      <c r="B804" s="11" t="s">
        <v>4742</v>
      </c>
      <c r="C804" s="10" t="str">
        <f>IFERROR(INDEX(面试清单!D:D,MATCH(803,面试清单!P:P,0)),"")</f>
        <v/>
      </c>
      <c r="D804" s="11" t="s">
        <v>43</v>
      </c>
      <c r="E804" s="11" t="s">
        <v>64</v>
      </c>
      <c r="F804" s="11" t="s">
        <v>124</v>
      </c>
      <c r="G804" s="15">
        <v>46100</v>
      </c>
      <c r="H804" s="10" t="str">
        <f>IFERROR(INDEX(面试清单!H:H,MATCH(803,面试清单!P:P,0)),"")</f>
        <v/>
      </c>
      <c r="I804" s="13" t="s">
        <v>29</v>
      </c>
      <c r="J804" s="10">
        <f ca="1" t="shared" si="37"/>
        <v>89</v>
      </c>
      <c r="K804" s="10">
        <f ca="1" t="shared" si="38"/>
        <v>16</v>
      </c>
    </row>
    <row r="805" ht="18" spans="1:11">
      <c r="A805" s="14">
        <f t="shared" si="36"/>
        <v>804</v>
      </c>
      <c r="B805" s="11" t="s">
        <v>4743</v>
      </c>
      <c r="C805" s="14" t="str">
        <f>IFERROR(INDEX(面试清单!D:D,MATCH(804,面试清单!P:P,0)),"")</f>
        <v/>
      </c>
      <c r="D805" s="11" t="s">
        <v>43</v>
      </c>
      <c r="E805" s="11" t="s">
        <v>62</v>
      </c>
      <c r="F805" s="11" t="s">
        <v>124</v>
      </c>
      <c r="G805" s="15">
        <v>46100</v>
      </c>
      <c r="H805" s="14" t="str">
        <f>IFERROR(INDEX(面试清单!H:H,MATCH(804,面试清单!P:P,0)),"")</f>
        <v/>
      </c>
      <c r="I805" s="13" t="s">
        <v>29</v>
      </c>
      <c r="J805" s="14">
        <f ca="1" t="shared" si="37"/>
        <v>89</v>
      </c>
      <c r="K805" s="14">
        <f ca="1" t="shared" si="38"/>
        <v>16</v>
      </c>
    </row>
    <row r="806" ht="18" spans="1:11">
      <c r="A806" s="10">
        <f t="shared" si="36"/>
        <v>805</v>
      </c>
      <c r="B806" s="11" t="s">
        <v>4744</v>
      </c>
      <c r="C806" s="10" t="str">
        <f>IFERROR(INDEX(面试清单!D:D,MATCH(805,面试清单!P:P,0)),"")</f>
        <v/>
      </c>
      <c r="D806" s="11" t="s">
        <v>43</v>
      </c>
      <c r="E806" s="11" t="s">
        <v>62</v>
      </c>
      <c r="F806" s="11" t="s">
        <v>233</v>
      </c>
      <c r="G806" s="15">
        <v>46100</v>
      </c>
      <c r="H806" s="10" t="str">
        <f>IFERROR(INDEX(面试清单!H:H,MATCH(805,面试清单!P:P,0)),"")</f>
        <v/>
      </c>
      <c r="I806" s="13" t="s">
        <v>29</v>
      </c>
      <c r="J806" s="10">
        <f ca="1" t="shared" si="37"/>
        <v>89</v>
      </c>
      <c r="K806" s="10">
        <f ca="1" t="shared" si="38"/>
        <v>16</v>
      </c>
    </row>
    <row r="807" ht="18" spans="1:11">
      <c r="A807" s="14">
        <f t="shared" si="36"/>
        <v>806</v>
      </c>
      <c r="B807" s="11" t="s">
        <v>4745</v>
      </c>
      <c r="C807" s="14" t="str">
        <f>IFERROR(INDEX(面试清单!D:D,MATCH(806,面试清单!P:P,0)),"")</f>
        <v/>
      </c>
      <c r="D807" s="11" t="s">
        <v>43</v>
      </c>
      <c r="E807" s="11" t="s">
        <v>62</v>
      </c>
      <c r="F807" s="11" t="s">
        <v>233</v>
      </c>
      <c r="G807" s="15">
        <v>46100</v>
      </c>
      <c r="H807" s="14" t="str">
        <f>IFERROR(INDEX(面试清单!H:H,MATCH(806,面试清单!P:P,0)),"")</f>
        <v/>
      </c>
      <c r="I807" s="13" t="s">
        <v>29</v>
      </c>
      <c r="J807" s="14">
        <f ca="1" t="shared" si="37"/>
        <v>89</v>
      </c>
      <c r="K807" s="14">
        <f ca="1" t="shared" si="38"/>
        <v>16</v>
      </c>
    </row>
    <row r="808" ht="18" spans="1:11">
      <c r="A808" s="10">
        <f t="shared" si="36"/>
        <v>807</v>
      </c>
      <c r="B808" s="11" t="s">
        <v>4746</v>
      </c>
      <c r="C808" s="10" t="str">
        <f>IFERROR(INDEX(面试清单!D:D,MATCH(807,面试清单!P:P,0)),"")</f>
        <v/>
      </c>
      <c r="D808" s="11" t="s">
        <v>43</v>
      </c>
      <c r="E808" s="11" t="s">
        <v>63</v>
      </c>
      <c r="F808" s="11" t="s">
        <v>233</v>
      </c>
      <c r="G808" s="15">
        <v>46100</v>
      </c>
      <c r="H808" s="10" t="str">
        <f>IFERROR(INDEX(面试清单!H:H,MATCH(807,面试清单!P:P,0)),"")</f>
        <v/>
      </c>
      <c r="I808" s="13" t="s">
        <v>29</v>
      </c>
      <c r="J808" s="10">
        <f ca="1" t="shared" si="37"/>
        <v>89</v>
      </c>
      <c r="K808" s="10">
        <f ca="1" t="shared" si="38"/>
        <v>16</v>
      </c>
    </row>
    <row r="809" ht="18" spans="1:11">
      <c r="A809" s="14">
        <f t="shared" si="36"/>
        <v>808</v>
      </c>
      <c r="B809" s="11" t="s">
        <v>4747</v>
      </c>
      <c r="C809" s="124" t="str">
        <f>IFERROR(INDEX(面试清单!D:D,MATCH(808,面试清单!P:P,0)),"")</f>
        <v>0209</v>
      </c>
      <c r="D809" s="11" t="s">
        <v>43</v>
      </c>
      <c r="E809" s="11" t="s">
        <v>62</v>
      </c>
      <c r="F809" s="11" t="s">
        <v>103</v>
      </c>
      <c r="G809" s="15">
        <v>46100</v>
      </c>
      <c r="H809" s="14" t="str">
        <f>IFERROR(INDEX(面试清单!H:H,MATCH(808,面试清单!P:P,0)),"")</f>
        <v>线下</v>
      </c>
      <c r="I809" s="13" t="s">
        <v>29</v>
      </c>
      <c r="J809" s="14">
        <f ca="1" t="shared" si="37"/>
        <v>89</v>
      </c>
      <c r="K809" s="14">
        <f ca="1" t="shared" si="38"/>
        <v>16</v>
      </c>
    </row>
    <row r="810" ht="18" spans="1:11">
      <c r="A810" s="10">
        <f t="shared" si="36"/>
        <v>809</v>
      </c>
      <c r="B810" s="11" t="s">
        <v>4748</v>
      </c>
      <c r="C810" s="125" t="str">
        <f>IFERROR(INDEX(面试清单!D:D,MATCH(809,面试清单!P:P,0)),"")</f>
        <v>0212</v>
      </c>
      <c r="D810" s="11" t="s">
        <v>42</v>
      </c>
      <c r="E810" s="11" t="s">
        <v>62</v>
      </c>
      <c r="F810" s="11" t="s">
        <v>103</v>
      </c>
      <c r="G810" s="15">
        <v>46100</v>
      </c>
      <c r="H810" s="10" t="str">
        <f>IFERROR(INDEX(面试清单!H:H,MATCH(809,面试清单!P:P,0)),"")</f>
        <v>线下</v>
      </c>
      <c r="I810" s="13" t="s">
        <v>29</v>
      </c>
      <c r="J810" s="10">
        <f ca="1" t="shared" si="37"/>
        <v>89</v>
      </c>
      <c r="K810" s="10">
        <f ca="1" t="shared" si="38"/>
        <v>16</v>
      </c>
    </row>
    <row r="811" ht="18" spans="1:11">
      <c r="A811" s="14">
        <f t="shared" si="36"/>
        <v>810</v>
      </c>
      <c r="B811" s="11" t="s">
        <v>4749</v>
      </c>
      <c r="C811" s="124" t="str">
        <f>IFERROR(INDEX(面试清单!D:D,MATCH(810,面试清单!P:P,0)),"")</f>
        <v>0214</v>
      </c>
      <c r="D811" s="11" t="s">
        <v>43</v>
      </c>
      <c r="E811" s="11" t="s">
        <v>64</v>
      </c>
      <c r="F811" s="11" t="s">
        <v>179</v>
      </c>
      <c r="G811" s="15">
        <v>46100</v>
      </c>
      <c r="H811" s="14" t="str">
        <f>IFERROR(INDEX(面试清单!H:H,MATCH(810,面试清单!P:P,0)),"")</f>
        <v>线下</v>
      </c>
      <c r="I811" s="13" t="s">
        <v>29</v>
      </c>
      <c r="J811" s="14">
        <f ca="1" t="shared" si="37"/>
        <v>89</v>
      </c>
      <c r="K811" s="14">
        <f ca="1" t="shared" si="38"/>
        <v>16</v>
      </c>
    </row>
    <row r="812" ht="18" spans="1:11">
      <c r="A812" s="10">
        <f t="shared" si="36"/>
        <v>811</v>
      </c>
      <c r="B812" s="11" t="s">
        <v>4750</v>
      </c>
      <c r="C812" s="10" t="str">
        <f>IFERROR(INDEX(面试清单!D:D,MATCH(811,面试清单!P:P,0)),"")</f>
        <v/>
      </c>
      <c r="D812" s="11" t="s">
        <v>43</v>
      </c>
      <c r="E812" s="11" t="s">
        <v>62</v>
      </c>
      <c r="F812" s="11" t="s">
        <v>233</v>
      </c>
      <c r="G812" s="15">
        <v>46100</v>
      </c>
      <c r="H812" s="10" t="str">
        <f>IFERROR(INDEX(面试清单!H:H,MATCH(811,面试清单!P:P,0)),"")</f>
        <v/>
      </c>
      <c r="I812" s="13" t="s">
        <v>29</v>
      </c>
      <c r="J812" s="10">
        <f ca="1" t="shared" si="37"/>
        <v>89</v>
      </c>
      <c r="K812" s="10">
        <f ca="1" t="shared" si="38"/>
        <v>16</v>
      </c>
    </row>
    <row r="813" ht="18" spans="1:11">
      <c r="A813" s="14">
        <f t="shared" si="36"/>
        <v>812</v>
      </c>
      <c r="B813" s="11" t="s">
        <v>4751</v>
      </c>
      <c r="C813" s="14" t="str">
        <f>IFERROR(INDEX(面试清单!D:D,MATCH(812,面试清单!P:P,0)),"")</f>
        <v/>
      </c>
      <c r="D813" s="11" t="s">
        <v>43</v>
      </c>
      <c r="E813" s="11" t="s">
        <v>63</v>
      </c>
      <c r="F813" s="11" t="s">
        <v>246</v>
      </c>
      <c r="G813" s="15">
        <v>46100</v>
      </c>
      <c r="H813" s="14" t="str">
        <f>IFERROR(INDEX(面试清单!H:H,MATCH(812,面试清单!P:P,0)),"")</f>
        <v/>
      </c>
      <c r="I813" s="13" t="s">
        <v>29</v>
      </c>
      <c r="J813" s="14">
        <f ca="1" t="shared" si="37"/>
        <v>89</v>
      </c>
      <c r="K813" s="14">
        <f ca="1" t="shared" si="38"/>
        <v>16</v>
      </c>
    </row>
    <row r="814" ht="18" spans="1:11">
      <c r="A814" s="10">
        <f t="shared" si="36"/>
        <v>813</v>
      </c>
      <c r="B814" s="11" t="s">
        <v>4752</v>
      </c>
      <c r="C814" s="125" t="str">
        <f>IFERROR(INDEX(面试清单!D:D,MATCH(813,面试清单!P:P,0)),"")</f>
        <v>0220</v>
      </c>
      <c r="D814" s="11" t="s">
        <v>43</v>
      </c>
      <c r="E814" s="11" t="s">
        <v>64</v>
      </c>
      <c r="F814" s="11" t="s">
        <v>179</v>
      </c>
      <c r="G814" s="15">
        <v>46100</v>
      </c>
      <c r="H814" s="10" t="str">
        <f>IFERROR(INDEX(面试清单!H:H,MATCH(813,面试清单!P:P,0)),"")</f>
        <v>线下</v>
      </c>
      <c r="I814" s="13" t="s">
        <v>29</v>
      </c>
      <c r="J814" s="10">
        <f ca="1" t="shared" si="37"/>
        <v>89</v>
      </c>
      <c r="K814" s="10">
        <f ca="1" t="shared" si="38"/>
        <v>16</v>
      </c>
    </row>
    <row r="815" ht="18" spans="1:11">
      <c r="A815" s="14">
        <f t="shared" si="36"/>
        <v>814</v>
      </c>
      <c r="B815" s="11" t="s">
        <v>4753</v>
      </c>
      <c r="C815" s="14" t="str">
        <f>IFERROR(INDEX(面试清单!D:D,MATCH(814,面试清单!P:P,0)),"")</f>
        <v/>
      </c>
      <c r="D815" s="11" t="s">
        <v>43</v>
      </c>
      <c r="E815" s="11" t="s">
        <v>62</v>
      </c>
      <c r="F815" s="11" t="s">
        <v>124</v>
      </c>
      <c r="G815" s="15">
        <v>46101</v>
      </c>
      <c r="H815" s="14" t="str">
        <f>IFERROR(INDEX(面试清单!H:H,MATCH(814,面试清单!P:P,0)),"")</f>
        <v/>
      </c>
      <c r="I815" s="13" t="s">
        <v>29</v>
      </c>
      <c r="J815" s="14">
        <f ca="1" t="shared" si="37"/>
        <v>88</v>
      </c>
      <c r="K815" s="14">
        <f ca="1" t="shared" si="38"/>
        <v>16</v>
      </c>
    </row>
    <row r="816" ht="18" spans="1:11">
      <c r="A816" s="10">
        <f t="shared" si="36"/>
        <v>815</v>
      </c>
      <c r="B816" s="11" t="s">
        <v>4754</v>
      </c>
      <c r="C816" s="10" t="str">
        <f>IFERROR(INDEX(面试清单!D:D,MATCH(815,面试清单!P:P,0)),"")</f>
        <v/>
      </c>
      <c r="D816" s="11" t="s">
        <v>43</v>
      </c>
      <c r="E816" s="11" t="s">
        <v>63</v>
      </c>
      <c r="F816" s="11" t="s">
        <v>124</v>
      </c>
      <c r="G816" s="15">
        <v>46101</v>
      </c>
      <c r="H816" s="10" t="str">
        <f>IFERROR(INDEX(面试清单!H:H,MATCH(815,面试清单!P:P,0)),"")</f>
        <v/>
      </c>
      <c r="I816" s="13" t="s">
        <v>29</v>
      </c>
      <c r="J816" s="10">
        <f ca="1" t="shared" si="37"/>
        <v>88</v>
      </c>
      <c r="K816" s="10">
        <f ca="1" t="shared" si="38"/>
        <v>16</v>
      </c>
    </row>
    <row r="817" ht="18" spans="1:11">
      <c r="A817" s="14">
        <f t="shared" si="36"/>
        <v>816</v>
      </c>
      <c r="B817" s="11" t="s">
        <v>4755</v>
      </c>
      <c r="C817" s="14" t="str">
        <f>IFERROR(INDEX(面试清单!D:D,MATCH(816,面试清单!P:P,0)),"")</f>
        <v/>
      </c>
      <c r="D817" s="11" t="s">
        <v>43</v>
      </c>
      <c r="E817" s="11" t="s">
        <v>62</v>
      </c>
      <c r="F817" s="11" t="s">
        <v>117</v>
      </c>
      <c r="G817" s="15">
        <v>46101</v>
      </c>
      <c r="H817" s="14" t="str">
        <f>IFERROR(INDEX(面试清单!H:H,MATCH(816,面试清单!P:P,0)),"")</f>
        <v/>
      </c>
      <c r="I817" s="13" t="s">
        <v>29</v>
      </c>
      <c r="J817" s="14">
        <f ca="1" t="shared" si="37"/>
        <v>88</v>
      </c>
      <c r="K817" s="14">
        <f ca="1" t="shared" si="38"/>
        <v>16</v>
      </c>
    </row>
    <row r="818" ht="18" spans="1:11">
      <c r="A818" s="10">
        <f t="shared" si="36"/>
        <v>817</v>
      </c>
      <c r="B818" s="11" t="s">
        <v>4756</v>
      </c>
      <c r="C818" s="10" t="str">
        <f>IFERROR(INDEX(面试清单!D:D,MATCH(817,面试清单!P:P,0)),"")</f>
        <v/>
      </c>
      <c r="D818" s="11" t="s">
        <v>43</v>
      </c>
      <c r="E818" s="11" t="s">
        <v>63</v>
      </c>
      <c r="F818" s="11" t="s">
        <v>135</v>
      </c>
      <c r="G818" s="15">
        <v>46101</v>
      </c>
      <c r="H818" s="10" t="str">
        <f>IFERROR(INDEX(面试清单!H:H,MATCH(817,面试清单!P:P,0)),"")</f>
        <v/>
      </c>
      <c r="I818" s="13" t="s">
        <v>29</v>
      </c>
      <c r="J818" s="10">
        <f ca="1" t="shared" si="37"/>
        <v>88</v>
      </c>
      <c r="K818" s="10">
        <f ca="1" t="shared" si="38"/>
        <v>16</v>
      </c>
    </row>
    <row r="819" ht="18" spans="1:11">
      <c r="A819" s="14">
        <f t="shared" si="36"/>
        <v>818</v>
      </c>
      <c r="B819" s="11" t="s">
        <v>4757</v>
      </c>
      <c r="C819" s="124" t="str">
        <f>IFERROR(INDEX(面试清单!D:D,MATCH(818,面试清单!P:P,0)),"")</f>
        <v>0212</v>
      </c>
      <c r="D819" s="11" t="s">
        <v>42</v>
      </c>
      <c r="E819" s="11" t="s">
        <v>62</v>
      </c>
      <c r="F819" s="11" t="s">
        <v>103</v>
      </c>
      <c r="G819" s="15">
        <v>46101</v>
      </c>
      <c r="H819" s="14" t="str">
        <f>IFERROR(INDEX(面试清单!H:H,MATCH(818,面试清单!P:P,0)),"")</f>
        <v>线下</v>
      </c>
      <c r="I819" s="13" t="s">
        <v>29</v>
      </c>
      <c r="J819" s="14">
        <f ca="1" t="shared" si="37"/>
        <v>88</v>
      </c>
      <c r="K819" s="14">
        <f ca="1" t="shared" si="38"/>
        <v>16</v>
      </c>
    </row>
    <row r="820" ht="18" spans="1:11">
      <c r="A820" s="10">
        <f t="shared" si="36"/>
        <v>819</v>
      </c>
      <c r="B820" s="11" t="s">
        <v>4758</v>
      </c>
      <c r="C820" s="10" t="str">
        <f>IFERROR(INDEX(面试清单!D:D,MATCH(819,面试清单!P:P,0)),"")</f>
        <v/>
      </c>
      <c r="D820" s="11" t="s">
        <v>43</v>
      </c>
      <c r="E820" s="11" t="s">
        <v>63</v>
      </c>
      <c r="F820" s="11" t="s">
        <v>124</v>
      </c>
      <c r="G820" s="15">
        <v>46102</v>
      </c>
      <c r="H820" s="10" t="str">
        <f>IFERROR(INDEX(面试清单!H:H,MATCH(819,面试清单!P:P,0)),"")</f>
        <v/>
      </c>
      <c r="I820" s="13" t="s">
        <v>29</v>
      </c>
      <c r="J820" s="10">
        <f ca="1" t="shared" si="37"/>
        <v>87</v>
      </c>
      <c r="K820" s="10">
        <f ca="1" t="shared" si="38"/>
        <v>16</v>
      </c>
    </row>
    <row r="821" ht="18" spans="1:11">
      <c r="A821" s="14">
        <f t="shared" si="36"/>
        <v>820</v>
      </c>
      <c r="B821" s="11" t="s">
        <v>4759</v>
      </c>
      <c r="C821" s="124" t="str">
        <f>IFERROR(INDEX(面试清单!D:D,MATCH(820,面试清单!P:P,0)),"")</f>
        <v>0217</v>
      </c>
      <c r="D821" s="11" t="s">
        <v>43</v>
      </c>
      <c r="E821" s="11" t="s">
        <v>63</v>
      </c>
      <c r="F821" s="11" t="s">
        <v>124</v>
      </c>
      <c r="G821" s="15">
        <v>46102</v>
      </c>
      <c r="H821" s="14" t="str">
        <f>IFERROR(INDEX(面试清单!H:H,MATCH(820,面试清单!P:P,0)),"")</f>
        <v>线下</v>
      </c>
      <c r="I821" s="13" t="s">
        <v>29</v>
      </c>
      <c r="J821" s="14">
        <f ca="1" t="shared" si="37"/>
        <v>87</v>
      </c>
      <c r="K821" s="14">
        <f ca="1" t="shared" si="38"/>
        <v>16</v>
      </c>
    </row>
    <row r="822" ht="18" spans="1:11">
      <c r="A822" s="10">
        <f t="shared" si="36"/>
        <v>821</v>
      </c>
      <c r="B822" s="11" t="s">
        <v>4760</v>
      </c>
      <c r="C822" s="125" t="str">
        <f>IFERROR(INDEX(面试清单!D:D,MATCH(821,面试清单!P:P,0)),"")</f>
        <v>0218</v>
      </c>
      <c r="D822" s="11" t="s">
        <v>43</v>
      </c>
      <c r="E822" s="11" t="s">
        <v>62</v>
      </c>
      <c r="F822" s="11" t="s">
        <v>426</v>
      </c>
      <c r="G822" s="15">
        <v>46102</v>
      </c>
      <c r="H822" s="10" t="str">
        <f>IFERROR(INDEX(面试清单!H:H,MATCH(821,面试清单!P:P,0)),"")</f>
        <v>线下</v>
      </c>
      <c r="I822" s="13" t="s">
        <v>29</v>
      </c>
      <c r="J822" s="10">
        <f ca="1" t="shared" si="37"/>
        <v>87</v>
      </c>
      <c r="K822" s="10">
        <f ca="1" t="shared" si="38"/>
        <v>16</v>
      </c>
    </row>
    <row r="823" ht="18" spans="1:11">
      <c r="A823" s="14">
        <f t="shared" si="36"/>
        <v>822</v>
      </c>
      <c r="B823" s="11" t="s">
        <v>4761</v>
      </c>
      <c r="C823" s="124" t="str">
        <f>IFERROR(INDEX(面试清单!D:D,MATCH(822,面试清单!P:P,0)),"")</f>
        <v>0220</v>
      </c>
      <c r="D823" s="11" t="s">
        <v>43</v>
      </c>
      <c r="E823" s="11" t="s">
        <v>62</v>
      </c>
      <c r="F823" s="11" t="s">
        <v>132</v>
      </c>
      <c r="G823" s="15">
        <v>46102</v>
      </c>
      <c r="H823" s="14" t="str">
        <f>IFERROR(INDEX(面试清单!H:H,MATCH(822,面试清单!P:P,0)),"")</f>
        <v>线下</v>
      </c>
      <c r="I823" s="13" t="s">
        <v>29</v>
      </c>
      <c r="J823" s="14">
        <f ca="1" t="shared" si="37"/>
        <v>87</v>
      </c>
      <c r="K823" s="14">
        <f ca="1" t="shared" si="38"/>
        <v>16</v>
      </c>
    </row>
    <row r="824" ht="18" spans="1:11">
      <c r="A824" s="10">
        <f t="shared" si="36"/>
        <v>823</v>
      </c>
      <c r="B824" s="11" t="s">
        <v>4762</v>
      </c>
      <c r="C824" s="10" t="str">
        <f>IFERROR(INDEX(面试清单!D:D,MATCH(823,面试清单!P:P,0)),"")</f>
        <v/>
      </c>
      <c r="D824" s="11" t="s">
        <v>42</v>
      </c>
      <c r="E824" s="11" t="s">
        <v>62</v>
      </c>
      <c r="F824" s="11" t="s">
        <v>233</v>
      </c>
      <c r="G824" s="15">
        <v>46102</v>
      </c>
      <c r="H824" s="10" t="str">
        <f>IFERROR(INDEX(面试清单!H:H,MATCH(823,面试清单!P:P,0)),"")</f>
        <v/>
      </c>
      <c r="I824" s="13" t="s">
        <v>29</v>
      </c>
      <c r="J824" s="10">
        <f ca="1" t="shared" si="37"/>
        <v>87</v>
      </c>
      <c r="K824" s="10">
        <f ca="1" t="shared" si="38"/>
        <v>16</v>
      </c>
    </row>
    <row r="825" ht="18" spans="1:11">
      <c r="A825" s="14">
        <f t="shared" si="36"/>
        <v>824</v>
      </c>
      <c r="B825" s="11" t="s">
        <v>4763</v>
      </c>
      <c r="C825" s="124" t="str">
        <f>IFERROR(INDEX(面试清单!D:D,MATCH(824,面试清单!P:P,0)),"")</f>
        <v>0222</v>
      </c>
      <c r="D825" s="11" t="s">
        <v>74</v>
      </c>
      <c r="E825" s="11" t="s">
        <v>64</v>
      </c>
      <c r="F825" s="11" t="s">
        <v>179</v>
      </c>
      <c r="G825" s="15">
        <v>46102</v>
      </c>
      <c r="H825" s="14" t="str">
        <f>IFERROR(INDEX(面试清单!H:H,MATCH(824,面试清单!P:P,0)),"")</f>
        <v>线下</v>
      </c>
      <c r="I825" s="13" t="s">
        <v>29</v>
      </c>
      <c r="J825" s="14">
        <f ca="1" t="shared" si="37"/>
        <v>87</v>
      </c>
      <c r="K825" s="14">
        <f ca="1" t="shared" si="38"/>
        <v>16</v>
      </c>
    </row>
    <row r="826" ht="18" spans="1:11">
      <c r="A826" s="10">
        <f t="shared" si="36"/>
        <v>825</v>
      </c>
      <c r="B826" s="11" t="s">
        <v>4764</v>
      </c>
      <c r="C826" s="125" t="str">
        <f>IFERROR(INDEX(面试清单!D:D,MATCH(825,面试清单!P:P,0)),"")</f>
        <v>0208</v>
      </c>
      <c r="D826" s="11" t="s">
        <v>74</v>
      </c>
      <c r="E826" s="11" t="s">
        <v>64</v>
      </c>
      <c r="F826" s="11" t="s">
        <v>179</v>
      </c>
      <c r="G826" s="15">
        <v>46102</v>
      </c>
      <c r="H826" s="10" t="str">
        <f>IFERROR(INDEX(面试清单!H:H,MATCH(825,面试清单!P:P,0)),"")</f>
        <v>线下</v>
      </c>
      <c r="I826" s="13" t="s">
        <v>29</v>
      </c>
      <c r="J826" s="10">
        <f ca="1" t="shared" si="37"/>
        <v>87</v>
      </c>
      <c r="K826" s="10">
        <f ca="1" t="shared" si="38"/>
        <v>16</v>
      </c>
    </row>
    <row r="827" ht="18" spans="1:11">
      <c r="A827" s="14">
        <f t="shared" si="36"/>
        <v>826</v>
      </c>
      <c r="B827" s="11" t="s">
        <v>4765</v>
      </c>
      <c r="C827" s="124" t="str">
        <f>IFERROR(INDEX(面试清单!D:D,MATCH(826,面试清单!P:P,0)),"")</f>
        <v>0209</v>
      </c>
      <c r="D827" s="11" t="s">
        <v>43</v>
      </c>
      <c r="E827" s="11" t="s">
        <v>64</v>
      </c>
      <c r="F827" s="11" t="s">
        <v>135</v>
      </c>
      <c r="G827" s="15">
        <v>46102</v>
      </c>
      <c r="H827" s="14" t="str">
        <f>IFERROR(INDEX(面试清单!H:H,MATCH(826,面试清单!P:P,0)),"")</f>
        <v>线下</v>
      </c>
      <c r="I827" s="13" t="s">
        <v>29</v>
      </c>
      <c r="J827" s="14">
        <f ca="1" t="shared" si="37"/>
        <v>87</v>
      </c>
      <c r="K827" s="14">
        <f ca="1" t="shared" si="38"/>
        <v>16</v>
      </c>
    </row>
    <row r="828" ht="18" spans="1:11">
      <c r="A828" s="10">
        <f t="shared" si="36"/>
        <v>827</v>
      </c>
      <c r="B828" s="11" t="s">
        <v>4766</v>
      </c>
      <c r="C828" s="125" t="str">
        <f>IFERROR(INDEX(面试清单!D:D,MATCH(827,面试清单!P:P,0)),"")</f>
        <v>0212</v>
      </c>
      <c r="D828" s="11" t="s">
        <v>74</v>
      </c>
      <c r="E828" s="11" t="s">
        <v>64</v>
      </c>
      <c r="F828" s="11" t="s">
        <v>179</v>
      </c>
      <c r="G828" s="15">
        <v>46102</v>
      </c>
      <c r="H828" s="10" t="str">
        <f>IFERROR(INDEX(面试清单!H:H,MATCH(827,面试清单!P:P,0)),"")</f>
        <v>线下</v>
      </c>
      <c r="I828" s="13" t="s">
        <v>29</v>
      </c>
      <c r="J828" s="10">
        <f ca="1" t="shared" si="37"/>
        <v>87</v>
      </c>
      <c r="K828" s="10">
        <f ca="1" t="shared" si="38"/>
        <v>16</v>
      </c>
    </row>
    <row r="829" ht="18" spans="1:11">
      <c r="A829" s="14">
        <f t="shared" si="36"/>
        <v>828</v>
      </c>
      <c r="B829" s="11" t="s">
        <v>4767</v>
      </c>
      <c r="C829" s="124" t="str">
        <f>IFERROR(INDEX(面试清单!D:D,MATCH(828,面试清单!P:P,0)),"")</f>
        <v>0214</v>
      </c>
      <c r="D829" s="11" t="s">
        <v>74</v>
      </c>
      <c r="E829" s="11" t="s">
        <v>64</v>
      </c>
      <c r="F829" s="11" t="s">
        <v>179</v>
      </c>
      <c r="G829" s="15">
        <v>46102</v>
      </c>
      <c r="H829" s="14" t="str">
        <f>IFERROR(INDEX(面试清单!H:H,MATCH(828,面试清单!P:P,0)),"")</f>
        <v>线下</v>
      </c>
      <c r="I829" s="13" t="s">
        <v>29</v>
      </c>
      <c r="J829" s="14">
        <f ca="1" t="shared" si="37"/>
        <v>87</v>
      </c>
      <c r="K829" s="14">
        <f ca="1" t="shared" si="38"/>
        <v>16</v>
      </c>
    </row>
    <row r="830" ht="18" spans="1:11">
      <c r="A830" s="10">
        <f t="shared" si="36"/>
        <v>829</v>
      </c>
      <c r="B830" s="11" t="s">
        <v>4768</v>
      </c>
      <c r="C830" s="10" t="str">
        <f>IFERROR(INDEX(面试清单!D:D,MATCH(829,面试清单!P:P,0)),"")</f>
        <v/>
      </c>
      <c r="D830" s="11" t="s">
        <v>43</v>
      </c>
      <c r="E830" s="11" t="s">
        <v>64</v>
      </c>
      <c r="F830" s="11" t="s">
        <v>179</v>
      </c>
      <c r="G830" s="15">
        <v>46102</v>
      </c>
      <c r="H830" s="10" t="str">
        <f>IFERROR(INDEX(面试清单!H:H,MATCH(829,面试清单!P:P,0)),"")</f>
        <v/>
      </c>
      <c r="I830" s="13" t="s">
        <v>29</v>
      </c>
      <c r="J830" s="10">
        <f ca="1" t="shared" si="37"/>
        <v>87</v>
      </c>
      <c r="K830" s="10">
        <f ca="1" t="shared" si="38"/>
        <v>16</v>
      </c>
    </row>
    <row r="831" ht="18" spans="1:11">
      <c r="A831" s="14">
        <f t="shared" si="36"/>
        <v>830</v>
      </c>
      <c r="B831" s="11" t="s">
        <v>4769</v>
      </c>
      <c r="C831" s="124" t="str">
        <f>IFERROR(INDEX(面试清单!D:D,MATCH(830,面试清单!P:P,0)),"")</f>
        <v>0218</v>
      </c>
      <c r="D831" s="11" t="s">
        <v>43</v>
      </c>
      <c r="E831" s="11" t="s">
        <v>64</v>
      </c>
      <c r="F831" s="11" t="s">
        <v>179</v>
      </c>
      <c r="G831" s="15">
        <v>46102</v>
      </c>
      <c r="H831" s="14" t="str">
        <f>IFERROR(INDEX(面试清单!H:H,MATCH(830,面试清单!P:P,0)),"")</f>
        <v>线下</v>
      </c>
      <c r="I831" s="13" t="s">
        <v>29</v>
      </c>
      <c r="J831" s="14">
        <f ca="1" t="shared" si="37"/>
        <v>87</v>
      </c>
      <c r="K831" s="14">
        <f ca="1" t="shared" si="38"/>
        <v>16</v>
      </c>
    </row>
    <row r="832" ht="18" spans="1:11">
      <c r="A832" s="10">
        <f t="shared" si="36"/>
        <v>831</v>
      </c>
      <c r="B832" s="11" t="s">
        <v>4770</v>
      </c>
      <c r="C832" s="125" t="str">
        <f>IFERROR(INDEX(面试清单!D:D,MATCH(831,面试清单!P:P,0)),"")</f>
        <v>0220</v>
      </c>
      <c r="D832" s="11" t="s">
        <v>43</v>
      </c>
      <c r="E832" s="11" t="s">
        <v>62</v>
      </c>
      <c r="F832" s="11" t="s">
        <v>176</v>
      </c>
      <c r="G832" s="15">
        <v>46103</v>
      </c>
      <c r="H832" s="10" t="str">
        <f>IFERROR(INDEX(面试清单!H:H,MATCH(831,面试清单!P:P,0)),"")</f>
        <v>线下</v>
      </c>
      <c r="I832" s="13" t="s">
        <v>29</v>
      </c>
      <c r="J832" s="10">
        <f ca="1" t="shared" si="37"/>
        <v>86</v>
      </c>
      <c r="K832" s="10">
        <f ca="1" t="shared" si="38"/>
        <v>16</v>
      </c>
    </row>
    <row r="833" ht="18" spans="1:11">
      <c r="A833" s="14">
        <f t="shared" si="36"/>
        <v>832</v>
      </c>
      <c r="B833" s="11" t="s">
        <v>4771</v>
      </c>
      <c r="C833" s="124" t="str">
        <f>IFERROR(INDEX(面试清单!D:D,MATCH(832,面试清单!P:P,0)),"")</f>
        <v>0221</v>
      </c>
      <c r="D833" s="11" t="s">
        <v>43</v>
      </c>
      <c r="E833" s="11" t="s">
        <v>62</v>
      </c>
      <c r="F833" s="11" t="s">
        <v>176</v>
      </c>
      <c r="G833" s="15">
        <v>46103</v>
      </c>
      <c r="H833" s="14" t="str">
        <f>IFERROR(INDEX(面试清单!H:H,MATCH(832,面试清单!P:P,0)),"")</f>
        <v>线下</v>
      </c>
      <c r="I833" s="13" t="s">
        <v>29</v>
      </c>
      <c r="J833" s="14">
        <f ca="1" t="shared" si="37"/>
        <v>86</v>
      </c>
      <c r="K833" s="14">
        <f ca="1" t="shared" si="38"/>
        <v>16</v>
      </c>
    </row>
    <row r="834" ht="18" spans="1:11">
      <c r="A834" s="10">
        <f t="shared" ref="A834:A897" si="39">IF(B834&lt;&gt;"",ROW()-1,"")</f>
        <v>833</v>
      </c>
      <c r="B834" s="11" t="s">
        <v>4772</v>
      </c>
      <c r="C834" s="125" t="str">
        <f>IFERROR(INDEX(面试清单!D:D,MATCH(833,面试清单!P:P,0)),"")</f>
        <v>0222</v>
      </c>
      <c r="D834" s="11" t="s">
        <v>42</v>
      </c>
      <c r="E834" s="11" t="s">
        <v>62</v>
      </c>
      <c r="F834" s="11" t="s">
        <v>176</v>
      </c>
      <c r="G834" s="15">
        <v>46103</v>
      </c>
      <c r="H834" s="10" t="str">
        <f>IFERROR(INDEX(面试清单!H:H,MATCH(833,面试清单!P:P,0)),"")</f>
        <v>线下</v>
      </c>
      <c r="I834" s="13" t="s">
        <v>29</v>
      </c>
      <c r="J834" s="10">
        <f ca="1" t="shared" ref="J834:J897" si="40">IF(G834&lt;&gt;"",TODAY()-G834,"")</f>
        <v>86</v>
      </c>
      <c r="K834" s="10">
        <f ca="1" t="shared" ref="K834:K897" si="41">IF(G834&lt;&gt;"",MAX(0,MIN(TODAY(),EOMONTH(TODAY(),0))-MAX(G834,EOMONTH(TODAY(),-1)+1)+1),"")</f>
        <v>16</v>
      </c>
    </row>
    <row r="835" ht="18" spans="1:11">
      <c r="A835" s="14">
        <f t="shared" si="39"/>
        <v>834</v>
      </c>
      <c r="B835" s="11" t="s">
        <v>4773</v>
      </c>
      <c r="C835" s="124" t="str">
        <f>IFERROR(INDEX(面试清单!D:D,MATCH(834,面试清单!P:P,0)),"")</f>
        <v>0208</v>
      </c>
      <c r="D835" s="11" t="s">
        <v>42</v>
      </c>
      <c r="E835" s="11" t="s">
        <v>62</v>
      </c>
      <c r="F835" s="11" t="s">
        <v>690</v>
      </c>
      <c r="G835" s="15">
        <v>46103</v>
      </c>
      <c r="H835" s="14" t="str">
        <f>IFERROR(INDEX(面试清单!H:H,MATCH(834,面试清单!P:P,0)),"")</f>
        <v>线下</v>
      </c>
      <c r="I835" s="13" t="s">
        <v>29</v>
      </c>
      <c r="J835" s="14">
        <f ca="1" t="shared" si="40"/>
        <v>86</v>
      </c>
      <c r="K835" s="14">
        <f ca="1" t="shared" si="41"/>
        <v>16</v>
      </c>
    </row>
    <row r="836" ht="18" spans="1:11">
      <c r="A836" s="10">
        <f t="shared" si="39"/>
        <v>835</v>
      </c>
      <c r="B836" s="11" t="s">
        <v>4774</v>
      </c>
      <c r="C836" s="10" t="str">
        <f>IFERROR(INDEX(面试清单!D:D,MATCH(835,面试清单!P:P,0)),"")</f>
        <v/>
      </c>
      <c r="D836" s="11" t="s">
        <v>43</v>
      </c>
      <c r="E836" s="11" t="s">
        <v>63</v>
      </c>
      <c r="F836" s="11" t="s">
        <v>129</v>
      </c>
      <c r="G836" s="15">
        <v>46104</v>
      </c>
      <c r="H836" s="10" t="str">
        <f>IFERROR(INDEX(面试清单!H:H,MATCH(835,面试清单!P:P,0)),"")</f>
        <v/>
      </c>
      <c r="I836" s="13" t="s">
        <v>29</v>
      </c>
      <c r="J836" s="10">
        <f ca="1" t="shared" si="40"/>
        <v>85</v>
      </c>
      <c r="K836" s="10">
        <f ca="1" t="shared" si="41"/>
        <v>16</v>
      </c>
    </row>
    <row r="837" ht="18" spans="1:11">
      <c r="A837" s="14">
        <f t="shared" si="39"/>
        <v>836</v>
      </c>
      <c r="B837" s="11" t="s">
        <v>4775</v>
      </c>
      <c r="C837" s="14" t="str">
        <f>IFERROR(INDEX(面试清单!D:D,MATCH(836,面试清单!P:P,0)),"")</f>
        <v/>
      </c>
      <c r="D837" s="11" t="s">
        <v>43</v>
      </c>
      <c r="E837" s="11" t="s">
        <v>63</v>
      </c>
      <c r="F837" s="11" t="s">
        <v>129</v>
      </c>
      <c r="G837" s="15">
        <v>46104</v>
      </c>
      <c r="H837" s="14" t="str">
        <f>IFERROR(INDEX(面试清单!H:H,MATCH(836,面试清单!P:P,0)),"")</f>
        <v/>
      </c>
      <c r="I837" s="13" t="s">
        <v>29</v>
      </c>
      <c r="J837" s="14">
        <f ca="1" t="shared" si="40"/>
        <v>85</v>
      </c>
      <c r="K837" s="14">
        <f ca="1" t="shared" si="41"/>
        <v>16</v>
      </c>
    </row>
    <row r="838" ht="18" spans="1:11">
      <c r="A838" s="10">
        <f t="shared" si="39"/>
        <v>837</v>
      </c>
      <c r="B838" s="11" t="s">
        <v>4776</v>
      </c>
      <c r="C838" s="10" t="str">
        <f>IFERROR(INDEX(面试清单!D:D,MATCH(837,面试清单!P:P,0)),"")</f>
        <v/>
      </c>
      <c r="D838" s="11" t="s">
        <v>42</v>
      </c>
      <c r="E838" s="11" t="s">
        <v>63</v>
      </c>
      <c r="F838" s="11" t="s">
        <v>690</v>
      </c>
      <c r="G838" s="15">
        <v>46104</v>
      </c>
      <c r="H838" s="10" t="str">
        <f>IFERROR(INDEX(面试清单!H:H,MATCH(837,面试清单!P:P,0)),"")</f>
        <v/>
      </c>
      <c r="I838" s="13" t="s">
        <v>29</v>
      </c>
      <c r="J838" s="10">
        <f ca="1" t="shared" si="40"/>
        <v>85</v>
      </c>
      <c r="K838" s="10">
        <f ca="1" t="shared" si="41"/>
        <v>16</v>
      </c>
    </row>
    <row r="839" ht="18" spans="1:11">
      <c r="A839" s="14">
        <f t="shared" si="39"/>
        <v>838</v>
      </c>
      <c r="B839" s="11" t="s">
        <v>4777</v>
      </c>
      <c r="C839" s="14" t="str">
        <f>IFERROR(INDEX(面试清单!D:D,MATCH(838,面试清单!P:P,0)),"")</f>
        <v/>
      </c>
      <c r="D839" s="11" t="s">
        <v>43</v>
      </c>
      <c r="E839" s="11" t="s">
        <v>63</v>
      </c>
      <c r="F839" s="11" t="s">
        <v>733</v>
      </c>
      <c r="G839" s="15">
        <v>46104</v>
      </c>
      <c r="H839" s="14" t="str">
        <f>IFERROR(INDEX(面试清单!H:H,MATCH(838,面试清单!P:P,0)),"")</f>
        <v/>
      </c>
      <c r="I839" s="13" t="s">
        <v>29</v>
      </c>
      <c r="J839" s="14">
        <f ca="1" t="shared" si="40"/>
        <v>85</v>
      </c>
      <c r="K839" s="14">
        <f ca="1" t="shared" si="41"/>
        <v>16</v>
      </c>
    </row>
    <row r="840" ht="18" spans="1:11">
      <c r="A840" s="10">
        <f t="shared" si="39"/>
        <v>839</v>
      </c>
      <c r="B840" s="11" t="s">
        <v>4778</v>
      </c>
      <c r="C840" s="10" t="str">
        <f>IFERROR(INDEX(面试清单!D:D,MATCH(839,面试清单!P:P,0)),"")</f>
        <v/>
      </c>
      <c r="D840" s="11" t="s">
        <v>43</v>
      </c>
      <c r="E840" s="11" t="s">
        <v>63</v>
      </c>
      <c r="F840" s="11" t="s">
        <v>733</v>
      </c>
      <c r="G840" s="15">
        <v>46104</v>
      </c>
      <c r="H840" s="10" t="str">
        <f>IFERROR(INDEX(面试清单!H:H,MATCH(839,面试清单!P:P,0)),"")</f>
        <v/>
      </c>
      <c r="I840" s="13" t="s">
        <v>29</v>
      </c>
      <c r="J840" s="10">
        <f ca="1" t="shared" si="40"/>
        <v>85</v>
      </c>
      <c r="K840" s="10">
        <f ca="1" t="shared" si="41"/>
        <v>16</v>
      </c>
    </row>
    <row r="841" ht="18" spans="1:11">
      <c r="A841" s="14">
        <f t="shared" si="39"/>
        <v>840</v>
      </c>
      <c r="B841" s="11" t="s">
        <v>4779</v>
      </c>
      <c r="C841" s="14" t="str">
        <f>IFERROR(INDEX(面试清单!D:D,MATCH(840,面试清单!P:P,0)),"")</f>
        <v/>
      </c>
      <c r="D841" s="11" t="s">
        <v>43</v>
      </c>
      <c r="E841" s="11" t="s">
        <v>62</v>
      </c>
      <c r="F841" s="11" t="s">
        <v>246</v>
      </c>
      <c r="G841" s="15">
        <v>46104</v>
      </c>
      <c r="H841" s="14" t="str">
        <f>IFERROR(INDEX(面试清单!H:H,MATCH(840,面试清单!P:P,0)),"")</f>
        <v/>
      </c>
      <c r="I841" s="13" t="s">
        <v>29</v>
      </c>
      <c r="J841" s="14">
        <f ca="1" t="shared" si="40"/>
        <v>85</v>
      </c>
      <c r="K841" s="14">
        <f ca="1" t="shared" si="41"/>
        <v>16</v>
      </c>
    </row>
    <row r="842" ht="18" spans="1:11">
      <c r="A842" s="10">
        <f t="shared" si="39"/>
        <v>841</v>
      </c>
      <c r="B842" s="11" t="s">
        <v>4780</v>
      </c>
      <c r="C842" s="125" t="str">
        <f>IFERROR(INDEX(面试清单!D:D,MATCH(841,面试清单!P:P,0)),"")</f>
        <v>0220</v>
      </c>
      <c r="D842" s="11" t="s">
        <v>43</v>
      </c>
      <c r="E842" s="11" t="s">
        <v>62</v>
      </c>
      <c r="F842" s="11" t="s">
        <v>103</v>
      </c>
      <c r="G842" s="15">
        <v>46104</v>
      </c>
      <c r="H842" s="10" t="str">
        <f>IFERROR(INDEX(面试清单!H:H,MATCH(841,面试清单!P:P,0)),"")</f>
        <v>线下</v>
      </c>
      <c r="I842" s="13" t="s">
        <v>29</v>
      </c>
      <c r="J842" s="10">
        <f ca="1" t="shared" si="40"/>
        <v>85</v>
      </c>
      <c r="K842" s="10">
        <f ca="1" t="shared" si="41"/>
        <v>16</v>
      </c>
    </row>
    <row r="843" ht="18" spans="1:11">
      <c r="A843" s="14">
        <f t="shared" si="39"/>
        <v>842</v>
      </c>
      <c r="B843" s="11" t="s">
        <v>4781</v>
      </c>
      <c r="C843" s="124" t="str">
        <f>IFERROR(INDEX(面试清单!D:D,MATCH(842,面试清单!P:P,0)),"")</f>
        <v>0221</v>
      </c>
      <c r="D843" s="11" t="s">
        <v>43</v>
      </c>
      <c r="E843" s="11" t="s">
        <v>62</v>
      </c>
      <c r="F843" s="11" t="s">
        <v>124</v>
      </c>
      <c r="G843" s="15">
        <v>46104</v>
      </c>
      <c r="H843" s="14" t="str">
        <f>IFERROR(INDEX(面试清单!H:H,MATCH(842,面试清单!P:P,0)),"")</f>
        <v>线下</v>
      </c>
      <c r="I843" s="13" t="s">
        <v>29</v>
      </c>
      <c r="J843" s="14">
        <f ca="1" t="shared" si="40"/>
        <v>85</v>
      </c>
      <c r="K843" s="14">
        <f ca="1" t="shared" si="41"/>
        <v>16</v>
      </c>
    </row>
    <row r="844" ht="18" spans="1:11">
      <c r="A844" s="10">
        <f t="shared" si="39"/>
        <v>843</v>
      </c>
      <c r="B844" s="11" t="s">
        <v>4782</v>
      </c>
      <c r="C844" s="125" t="str">
        <f>IFERROR(INDEX(面试清单!D:D,MATCH(843,面试清单!P:P,0)),"")</f>
        <v>0222</v>
      </c>
      <c r="D844" s="11" t="s">
        <v>42</v>
      </c>
      <c r="E844" s="11" t="s">
        <v>62</v>
      </c>
      <c r="F844" s="11" t="s">
        <v>1542</v>
      </c>
      <c r="G844" s="15">
        <v>46104</v>
      </c>
      <c r="H844" s="10" t="str">
        <f>IFERROR(INDEX(面试清单!H:H,MATCH(843,面试清单!P:P,0)),"")</f>
        <v>线下</v>
      </c>
      <c r="I844" s="13" t="s">
        <v>29</v>
      </c>
      <c r="J844" s="10">
        <f ca="1" t="shared" si="40"/>
        <v>85</v>
      </c>
      <c r="K844" s="10">
        <f ca="1" t="shared" si="41"/>
        <v>16</v>
      </c>
    </row>
    <row r="845" ht="18" spans="1:11">
      <c r="A845" s="14">
        <f t="shared" si="39"/>
        <v>844</v>
      </c>
      <c r="B845" s="11" t="s">
        <v>4783</v>
      </c>
      <c r="C845" s="14" t="str">
        <f>IFERROR(INDEX(面试清单!D:D,MATCH(844,面试清单!P:P,0)),"")</f>
        <v/>
      </c>
      <c r="D845" s="11" t="s">
        <v>42</v>
      </c>
      <c r="E845" s="11" t="s">
        <v>63</v>
      </c>
      <c r="F845" s="11" t="s">
        <v>132</v>
      </c>
      <c r="G845" s="15">
        <v>46104</v>
      </c>
      <c r="H845" s="14" t="str">
        <f>IFERROR(INDEX(面试清单!H:H,MATCH(844,面试清单!P:P,0)),"")</f>
        <v/>
      </c>
      <c r="I845" s="13" t="s">
        <v>29</v>
      </c>
      <c r="J845" s="14">
        <f ca="1" t="shared" si="40"/>
        <v>85</v>
      </c>
      <c r="K845" s="14">
        <f ca="1" t="shared" si="41"/>
        <v>16</v>
      </c>
    </row>
    <row r="846" ht="18" spans="1:11">
      <c r="A846" s="10">
        <f t="shared" si="39"/>
        <v>845</v>
      </c>
      <c r="B846" s="11" t="s">
        <v>4784</v>
      </c>
      <c r="C846" s="125" t="str">
        <f>IFERROR(INDEX(面试清单!D:D,MATCH(845,面试清单!P:P,0)),"")</f>
        <v>0209</v>
      </c>
      <c r="D846" s="11" t="s">
        <v>43</v>
      </c>
      <c r="E846" s="11" t="s">
        <v>63</v>
      </c>
      <c r="F846" s="11" t="s">
        <v>148</v>
      </c>
      <c r="G846" s="15">
        <v>46104</v>
      </c>
      <c r="H846" s="10" t="str">
        <f>IFERROR(INDEX(面试清单!H:H,MATCH(845,面试清单!P:P,0)),"")</f>
        <v>线下</v>
      </c>
      <c r="I846" s="13" t="s">
        <v>29</v>
      </c>
      <c r="J846" s="10">
        <f ca="1" t="shared" si="40"/>
        <v>85</v>
      </c>
      <c r="K846" s="10">
        <f ca="1" t="shared" si="41"/>
        <v>16</v>
      </c>
    </row>
    <row r="847" ht="18" spans="1:11">
      <c r="A847" s="14">
        <f t="shared" si="39"/>
        <v>846</v>
      </c>
      <c r="B847" s="11" t="s">
        <v>4785</v>
      </c>
      <c r="C847" s="124" t="str">
        <f>IFERROR(INDEX(面试清单!D:D,MATCH(846,面试清单!P:P,0)),"")</f>
        <v>0212</v>
      </c>
      <c r="D847" s="11" t="s">
        <v>43</v>
      </c>
      <c r="E847" s="11" t="s">
        <v>62</v>
      </c>
      <c r="F847" s="11" t="s">
        <v>173</v>
      </c>
      <c r="G847" s="15">
        <v>46104</v>
      </c>
      <c r="H847" s="14" t="str">
        <f>IFERROR(INDEX(面试清单!H:H,MATCH(846,面试清单!P:P,0)),"")</f>
        <v>线下</v>
      </c>
      <c r="I847" s="13" t="s">
        <v>29</v>
      </c>
      <c r="J847" s="14">
        <f ca="1" t="shared" si="40"/>
        <v>85</v>
      </c>
      <c r="K847" s="14">
        <f ca="1" t="shared" si="41"/>
        <v>16</v>
      </c>
    </row>
    <row r="848" ht="18" spans="1:11">
      <c r="A848" s="10">
        <f t="shared" si="39"/>
        <v>847</v>
      </c>
      <c r="B848" s="11" t="s">
        <v>2127</v>
      </c>
      <c r="C848" s="125" t="str">
        <f>IFERROR(INDEX(面试清单!D:D,MATCH(847,面试清单!P:P,0)),"")</f>
        <v>0214</v>
      </c>
      <c r="D848" s="11" t="s">
        <v>43</v>
      </c>
      <c r="E848" s="11" t="s">
        <v>62</v>
      </c>
      <c r="F848" s="11" t="s">
        <v>132</v>
      </c>
      <c r="G848" s="15">
        <v>46104</v>
      </c>
      <c r="H848" s="10" t="str">
        <f>IFERROR(INDEX(面试清单!H:H,MATCH(847,面试清单!P:P,0)),"")</f>
        <v>线下</v>
      </c>
      <c r="I848" s="13" t="s">
        <v>29</v>
      </c>
      <c r="J848" s="10">
        <f ca="1" t="shared" si="40"/>
        <v>85</v>
      </c>
      <c r="K848" s="10">
        <f ca="1" t="shared" si="41"/>
        <v>16</v>
      </c>
    </row>
    <row r="849" ht="18" spans="1:11">
      <c r="A849" s="14">
        <f t="shared" si="39"/>
        <v>848</v>
      </c>
      <c r="B849" s="11" t="s">
        <v>4786</v>
      </c>
      <c r="C849" s="124" t="str">
        <f>IFERROR(INDEX(面试清单!D:D,MATCH(848,面试清单!P:P,0)),"")</f>
        <v>0217</v>
      </c>
      <c r="D849" s="11" t="s">
        <v>43</v>
      </c>
      <c r="E849" s="11" t="s">
        <v>63</v>
      </c>
      <c r="F849" s="11" t="s">
        <v>129</v>
      </c>
      <c r="G849" s="15">
        <v>46104</v>
      </c>
      <c r="H849" s="14" t="str">
        <f>IFERROR(INDEX(面试清单!H:H,MATCH(848,面试清单!P:P,0)),"")</f>
        <v>线下</v>
      </c>
      <c r="I849" s="13" t="s">
        <v>29</v>
      </c>
      <c r="J849" s="14">
        <f ca="1" t="shared" si="40"/>
        <v>85</v>
      </c>
      <c r="K849" s="14">
        <f ca="1" t="shared" si="41"/>
        <v>16</v>
      </c>
    </row>
    <row r="850" ht="18" spans="1:11">
      <c r="A850" s="10">
        <f t="shared" si="39"/>
        <v>849</v>
      </c>
      <c r="B850" s="11" t="s">
        <v>4787</v>
      </c>
      <c r="C850" s="125" t="str">
        <f>IFERROR(INDEX(面试清单!D:D,MATCH(849,面试清单!P:P,0)),"")</f>
        <v>0218</v>
      </c>
      <c r="D850" s="11" t="s">
        <v>74</v>
      </c>
      <c r="E850" s="11" t="s">
        <v>64</v>
      </c>
      <c r="F850" s="11" t="s">
        <v>135</v>
      </c>
      <c r="G850" s="15">
        <v>46104</v>
      </c>
      <c r="H850" s="10" t="str">
        <f>IFERROR(INDEX(面试清单!H:H,MATCH(849,面试清单!P:P,0)),"")</f>
        <v>线下</v>
      </c>
      <c r="I850" s="13" t="s">
        <v>29</v>
      </c>
      <c r="J850" s="10">
        <f ca="1" t="shared" si="40"/>
        <v>85</v>
      </c>
      <c r="K850" s="10">
        <f ca="1" t="shared" si="41"/>
        <v>16</v>
      </c>
    </row>
    <row r="851" ht="18" spans="1:11">
      <c r="A851" s="14">
        <f t="shared" si="39"/>
        <v>850</v>
      </c>
      <c r="B851" s="11" t="s">
        <v>4788</v>
      </c>
      <c r="C851" s="14" t="str">
        <f>IFERROR(INDEX(面试清单!D:D,MATCH(850,面试清单!P:P,0)),"")</f>
        <v/>
      </c>
      <c r="D851" s="11" t="s">
        <v>74</v>
      </c>
      <c r="E851" s="11" t="s">
        <v>64</v>
      </c>
      <c r="F851" s="11" t="s">
        <v>135</v>
      </c>
      <c r="G851" s="15">
        <v>46104</v>
      </c>
      <c r="H851" s="14" t="str">
        <f>IFERROR(INDEX(面试清单!H:H,MATCH(850,面试清单!P:P,0)),"")</f>
        <v/>
      </c>
      <c r="I851" s="13" t="s">
        <v>29</v>
      </c>
      <c r="J851" s="14">
        <f ca="1" t="shared" si="40"/>
        <v>85</v>
      </c>
      <c r="K851" s="14">
        <f ca="1" t="shared" si="41"/>
        <v>16</v>
      </c>
    </row>
    <row r="852" ht="18" spans="1:11">
      <c r="A852" s="10">
        <f t="shared" si="39"/>
        <v>851</v>
      </c>
      <c r="B852" s="11" t="s">
        <v>4789</v>
      </c>
      <c r="C852" s="10" t="str">
        <f>IFERROR(INDEX(面试清单!D:D,MATCH(851,面试清单!P:P,0)),"")</f>
        <v/>
      </c>
      <c r="D852" s="11" t="s">
        <v>43</v>
      </c>
      <c r="E852" s="11" t="s">
        <v>64</v>
      </c>
      <c r="F852" s="11" t="s">
        <v>135</v>
      </c>
      <c r="G852" s="15">
        <v>46104</v>
      </c>
      <c r="H852" s="10" t="str">
        <f>IFERROR(INDEX(面试清单!H:H,MATCH(851,面试清单!P:P,0)),"")</f>
        <v/>
      </c>
      <c r="I852" s="13" t="s">
        <v>29</v>
      </c>
      <c r="J852" s="10">
        <f ca="1" t="shared" si="40"/>
        <v>85</v>
      </c>
      <c r="K852" s="10">
        <f ca="1" t="shared" si="41"/>
        <v>16</v>
      </c>
    </row>
    <row r="853" ht="18" spans="1:11">
      <c r="A853" s="14">
        <f t="shared" si="39"/>
        <v>852</v>
      </c>
      <c r="B853" s="11" t="s">
        <v>4790</v>
      </c>
      <c r="C853" s="14" t="str">
        <f>IFERROR(INDEX(面试清单!D:D,MATCH(852,面试清单!P:P,0)),"")</f>
        <v/>
      </c>
      <c r="D853" s="11" t="s">
        <v>43</v>
      </c>
      <c r="E853" s="11" t="s">
        <v>64</v>
      </c>
      <c r="F853" s="11" t="s">
        <v>135</v>
      </c>
      <c r="G853" s="15">
        <v>46104</v>
      </c>
      <c r="H853" s="14" t="str">
        <f>IFERROR(INDEX(面试清单!H:H,MATCH(852,面试清单!P:P,0)),"")</f>
        <v/>
      </c>
      <c r="I853" s="13" t="s">
        <v>29</v>
      </c>
      <c r="J853" s="14">
        <f ca="1" t="shared" si="40"/>
        <v>85</v>
      </c>
      <c r="K853" s="14">
        <f ca="1" t="shared" si="41"/>
        <v>16</v>
      </c>
    </row>
    <row r="854" ht="18" spans="1:11">
      <c r="A854" s="10">
        <f t="shared" si="39"/>
        <v>853</v>
      </c>
      <c r="B854" s="11" t="s">
        <v>4791</v>
      </c>
      <c r="C854" s="125" t="str">
        <f>IFERROR(INDEX(面试清单!D:D,MATCH(853,面试清单!P:P,0)),"")</f>
        <v>0208</v>
      </c>
      <c r="D854" s="11" t="s">
        <v>74</v>
      </c>
      <c r="E854" s="11" t="s">
        <v>64</v>
      </c>
      <c r="F854" s="11" t="s">
        <v>179</v>
      </c>
      <c r="G854" s="15">
        <v>46104</v>
      </c>
      <c r="H854" s="10" t="str">
        <f>IFERROR(INDEX(面试清单!H:H,MATCH(853,面试清单!P:P,0)),"")</f>
        <v>线下</v>
      </c>
      <c r="I854" s="13" t="s">
        <v>29</v>
      </c>
      <c r="J854" s="10">
        <f ca="1" t="shared" si="40"/>
        <v>85</v>
      </c>
      <c r="K854" s="10">
        <f ca="1" t="shared" si="41"/>
        <v>16</v>
      </c>
    </row>
    <row r="855" ht="18" spans="1:11">
      <c r="A855" s="14">
        <f t="shared" si="39"/>
        <v>854</v>
      </c>
      <c r="B855" s="11" t="s">
        <v>4792</v>
      </c>
      <c r="C855" s="124" t="str">
        <f>IFERROR(INDEX(面试清单!D:D,MATCH(854,面试清单!P:P,0)),"")</f>
        <v>0209</v>
      </c>
      <c r="D855" s="11" t="s">
        <v>43</v>
      </c>
      <c r="E855" s="11" t="s">
        <v>64</v>
      </c>
      <c r="F855" s="11" t="s">
        <v>179</v>
      </c>
      <c r="G855" s="15">
        <v>46104</v>
      </c>
      <c r="H855" s="14" t="str">
        <f>IFERROR(INDEX(面试清单!H:H,MATCH(854,面试清单!P:P,0)),"")</f>
        <v>线下</v>
      </c>
      <c r="I855" s="13" t="s">
        <v>29</v>
      </c>
      <c r="J855" s="14">
        <f ca="1" t="shared" si="40"/>
        <v>85</v>
      </c>
      <c r="K855" s="14">
        <f ca="1" t="shared" si="41"/>
        <v>16</v>
      </c>
    </row>
    <row r="856" ht="18" spans="1:11">
      <c r="A856" s="10">
        <f t="shared" si="39"/>
        <v>855</v>
      </c>
      <c r="B856" s="11" t="s">
        <v>4793</v>
      </c>
      <c r="C856" s="125" t="str">
        <f>IFERROR(INDEX(面试清单!D:D,MATCH(855,面试清单!P:P,0)),"")</f>
        <v>0212</v>
      </c>
      <c r="D856" s="11" t="s">
        <v>42</v>
      </c>
      <c r="E856" s="11" t="s">
        <v>63</v>
      </c>
      <c r="F856" s="11" t="s">
        <v>117</v>
      </c>
      <c r="G856" s="15">
        <v>46104</v>
      </c>
      <c r="H856" s="10" t="str">
        <f>IFERROR(INDEX(面试清单!H:H,MATCH(855,面试清单!P:P,0)),"")</f>
        <v>线下</v>
      </c>
      <c r="I856" s="13" t="s">
        <v>29</v>
      </c>
      <c r="J856" s="10">
        <f ca="1" t="shared" si="40"/>
        <v>85</v>
      </c>
      <c r="K856" s="10">
        <f ca="1" t="shared" si="41"/>
        <v>16</v>
      </c>
    </row>
    <row r="857" ht="18" spans="1:11">
      <c r="A857" s="14">
        <f t="shared" si="39"/>
        <v>856</v>
      </c>
      <c r="B857" s="11" t="s">
        <v>4794</v>
      </c>
      <c r="C857" s="14" t="str">
        <f>IFERROR(INDEX(面试清单!D:D,MATCH(856,面试清单!P:P,0)),"")</f>
        <v/>
      </c>
      <c r="D857" s="11" t="s">
        <v>42</v>
      </c>
      <c r="E857" s="11" t="s">
        <v>62</v>
      </c>
      <c r="F857" s="11" t="s">
        <v>148</v>
      </c>
      <c r="G857" s="15">
        <v>46104</v>
      </c>
      <c r="H857" s="14" t="str">
        <f>IFERROR(INDEX(面试清单!H:H,MATCH(856,面试清单!P:P,0)),"")</f>
        <v/>
      </c>
      <c r="I857" s="13" t="s">
        <v>29</v>
      </c>
      <c r="J857" s="14">
        <f ca="1" t="shared" si="40"/>
        <v>85</v>
      </c>
      <c r="K857" s="14">
        <f ca="1" t="shared" si="41"/>
        <v>16</v>
      </c>
    </row>
    <row r="858" ht="18" spans="1:11">
      <c r="A858" s="10">
        <f t="shared" si="39"/>
        <v>857</v>
      </c>
      <c r="B858" s="11" t="s">
        <v>4795</v>
      </c>
      <c r="C858" s="125" t="str">
        <f>IFERROR(INDEX(面试清单!D:D,MATCH(857,面试清单!P:P,0)),"")</f>
        <v>0217</v>
      </c>
      <c r="D858" s="11" t="s">
        <v>43</v>
      </c>
      <c r="E858" s="11" t="s">
        <v>62</v>
      </c>
      <c r="F858" s="11" t="s">
        <v>124</v>
      </c>
      <c r="G858" s="15">
        <v>46105</v>
      </c>
      <c r="H858" s="10" t="str">
        <f>IFERROR(INDEX(面试清单!H:H,MATCH(857,面试清单!P:P,0)),"")</f>
        <v>线下</v>
      </c>
      <c r="I858" s="13" t="s">
        <v>29</v>
      </c>
      <c r="J858" s="10">
        <f ca="1" t="shared" si="40"/>
        <v>84</v>
      </c>
      <c r="K858" s="10">
        <f ca="1" t="shared" si="41"/>
        <v>16</v>
      </c>
    </row>
    <row r="859" ht="18" spans="1:11">
      <c r="A859" s="14">
        <f t="shared" si="39"/>
        <v>858</v>
      </c>
      <c r="B859" s="11" t="s">
        <v>4796</v>
      </c>
      <c r="C859" s="124" t="str">
        <f>IFERROR(INDEX(面试清单!D:D,MATCH(858,面试清单!P:P,0)),"")</f>
        <v>0218</v>
      </c>
      <c r="D859" s="11" t="s">
        <v>42</v>
      </c>
      <c r="E859" s="11" t="s">
        <v>62</v>
      </c>
      <c r="F859" s="11" t="s">
        <v>124</v>
      </c>
      <c r="G859" s="15">
        <v>46105</v>
      </c>
      <c r="H859" s="14" t="str">
        <f>IFERROR(INDEX(面试清单!H:H,MATCH(858,面试清单!P:P,0)),"")</f>
        <v>线下</v>
      </c>
      <c r="I859" s="13" t="s">
        <v>29</v>
      </c>
      <c r="J859" s="14">
        <f ca="1" t="shared" si="40"/>
        <v>84</v>
      </c>
      <c r="K859" s="14">
        <f ca="1" t="shared" si="41"/>
        <v>16</v>
      </c>
    </row>
    <row r="860" ht="18" spans="1:11">
      <c r="A860" s="10">
        <f t="shared" si="39"/>
        <v>859</v>
      </c>
      <c r="B860" s="11" t="s">
        <v>4797</v>
      </c>
      <c r="C860" s="125" t="str">
        <f>IFERROR(INDEX(面试清单!D:D,MATCH(859,面试清单!P:P,0)),"")</f>
        <v>0220</v>
      </c>
      <c r="D860" s="11" t="s">
        <v>43</v>
      </c>
      <c r="E860" s="11" t="s">
        <v>63</v>
      </c>
      <c r="F860" s="11" t="s">
        <v>124</v>
      </c>
      <c r="G860" s="15">
        <v>46105</v>
      </c>
      <c r="H860" s="10" t="str">
        <f>IFERROR(INDEX(面试清单!H:H,MATCH(859,面试清单!P:P,0)),"")</f>
        <v>线下</v>
      </c>
      <c r="I860" s="13" t="s">
        <v>29</v>
      </c>
      <c r="J860" s="10">
        <f ca="1" t="shared" si="40"/>
        <v>84</v>
      </c>
      <c r="K860" s="10">
        <f ca="1" t="shared" si="41"/>
        <v>16</v>
      </c>
    </row>
    <row r="861" ht="18" spans="1:11">
      <c r="A861" s="14">
        <f t="shared" si="39"/>
        <v>860</v>
      </c>
      <c r="B861" s="11" t="s">
        <v>4798</v>
      </c>
      <c r="C861" s="124" t="str">
        <f>IFERROR(INDEX(面试清单!D:D,MATCH(860,面试清单!P:P,0)),"")</f>
        <v>0221</v>
      </c>
      <c r="D861" s="11" t="s">
        <v>42</v>
      </c>
      <c r="E861" s="11" t="s">
        <v>62</v>
      </c>
      <c r="F861" s="11" t="s">
        <v>124</v>
      </c>
      <c r="G861" s="15">
        <v>46105</v>
      </c>
      <c r="H861" s="14" t="str">
        <f>IFERROR(INDEX(面试清单!H:H,MATCH(860,面试清单!P:P,0)),"")</f>
        <v>线下</v>
      </c>
      <c r="I861" s="13" t="s">
        <v>29</v>
      </c>
      <c r="J861" s="14">
        <f ca="1" t="shared" si="40"/>
        <v>84</v>
      </c>
      <c r="K861" s="14">
        <f ca="1" t="shared" si="41"/>
        <v>16</v>
      </c>
    </row>
    <row r="862" ht="18" spans="1:11">
      <c r="A862" s="10">
        <f t="shared" si="39"/>
        <v>861</v>
      </c>
      <c r="B862" s="11" t="s">
        <v>4799</v>
      </c>
      <c r="C862" s="125" t="str">
        <f>IFERROR(INDEX(面试清单!D:D,MATCH(861,面试清单!P:P,0)),"")</f>
        <v>0222</v>
      </c>
      <c r="D862" s="11" t="s">
        <v>43</v>
      </c>
      <c r="E862" s="11" t="s">
        <v>62</v>
      </c>
      <c r="F862" s="11" t="s">
        <v>103</v>
      </c>
      <c r="G862" s="15">
        <v>46105</v>
      </c>
      <c r="H862" s="10" t="str">
        <f>IFERROR(INDEX(面试清单!H:H,MATCH(861,面试清单!P:P,0)),"")</f>
        <v>线下</v>
      </c>
      <c r="I862" s="13" t="s">
        <v>29</v>
      </c>
      <c r="J862" s="10">
        <f ca="1" t="shared" si="40"/>
        <v>84</v>
      </c>
      <c r="K862" s="10">
        <f ca="1" t="shared" si="41"/>
        <v>16</v>
      </c>
    </row>
    <row r="863" ht="18" spans="1:11">
      <c r="A863" s="14">
        <f t="shared" si="39"/>
        <v>862</v>
      </c>
      <c r="B863" s="11" t="s">
        <v>4800</v>
      </c>
      <c r="C863" s="124" t="str">
        <f>IFERROR(INDEX(面试清单!D:D,MATCH(862,面试清单!P:P,0)),"")</f>
        <v>0208</v>
      </c>
      <c r="D863" s="11" t="s">
        <v>42</v>
      </c>
      <c r="E863" s="11" t="s">
        <v>62</v>
      </c>
      <c r="F863" s="11" t="s">
        <v>179</v>
      </c>
      <c r="G863" s="15">
        <v>46105</v>
      </c>
      <c r="H863" s="14" t="str">
        <f>IFERROR(INDEX(面试清单!H:H,MATCH(862,面试清单!P:P,0)),"")</f>
        <v>线下</v>
      </c>
      <c r="I863" s="13" t="s">
        <v>29</v>
      </c>
      <c r="J863" s="14">
        <f ca="1" t="shared" si="40"/>
        <v>84</v>
      </c>
      <c r="K863" s="14">
        <f ca="1" t="shared" si="41"/>
        <v>16</v>
      </c>
    </row>
    <row r="864" ht="18" spans="1:11">
      <c r="A864" s="10">
        <f t="shared" si="39"/>
        <v>863</v>
      </c>
      <c r="B864" s="11" t="s">
        <v>4801</v>
      </c>
      <c r="C864" s="125" t="str">
        <f>IFERROR(INDEX(面试清单!D:D,MATCH(863,面试清单!P:P,0)),"")</f>
        <v>0209</v>
      </c>
      <c r="D864" s="11" t="s">
        <v>43</v>
      </c>
      <c r="E864" s="11" t="s">
        <v>62</v>
      </c>
      <c r="F864" s="11" t="s">
        <v>129</v>
      </c>
      <c r="G864" s="15">
        <v>46105</v>
      </c>
      <c r="H864" s="10" t="str">
        <f>IFERROR(INDEX(面试清单!H:H,MATCH(863,面试清单!P:P,0)),"")</f>
        <v>线下</v>
      </c>
      <c r="I864" s="13" t="s">
        <v>29</v>
      </c>
      <c r="J864" s="10">
        <f ca="1" t="shared" si="40"/>
        <v>84</v>
      </c>
      <c r="K864" s="10">
        <f ca="1" t="shared" si="41"/>
        <v>16</v>
      </c>
    </row>
    <row r="865" ht="18" spans="1:11">
      <c r="A865" s="14">
        <f t="shared" si="39"/>
        <v>864</v>
      </c>
      <c r="B865" s="11" t="s">
        <v>4802</v>
      </c>
      <c r="C865" s="124" t="str">
        <f>IFERROR(INDEX(面试清单!D:D,MATCH(864,面试清单!P:P,0)),"")</f>
        <v>0212</v>
      </c>
      <c r="D865" s="11" t="s">
        <v>43</v>
      </c>
      <c r="E865" s="11" t="s">
        <v>62</v>
      </c>
      <c r="F865" s="11" t="s">
        <v>129</v>
      </c>
      <c r="G865" s="15">
        <v>46105</v>
      </c>
      <c r="H865" s="14" t="str">
        <f>IFERROR(INDEX(面试清单!H:H,MATCH(864,面试清单!P:P,0)),"")</f>
        <v>线下</v>
      </c>
      <c r="I865" s="13" t="s">
        <v>29</v>
      </c>
      <c r="J865" s="14">
        <f ca="1" t="shared" si="40"/>
        <v>84</v>
      </c>
      <c r="K865" s="14">
        <f ca="1" t="shared" si="41"/>
        <v>16</v>
      </c>
    </row>
    <row r="866" ht="18" spans="1:11">
      <c r="A866" s="10">
        <f t="shared" si="39"/>
        <v>865</v>
      </c>
      <c r="B866" s="11" t="s">
        <v>4803</v>
      </c>
      <c r="C866" s="10" t="str">
        <f>IFERROR(INDEX(面试清单!D:D,MATCH(865,面试清单!P:P,0)),"")</f>
        <v/>
      </c>
      <c r="D866" s="11" t="s">
        <v>43</v>
      </c>
      <c r="E866" s="11" t="s">
        <v>63</v>
      </c>
      <c r="F866" s="11" t="s">
        <v>733</v>
      </c>
      <c r="G866" s="15">
        <v>46105</v>
      </c>
      <c r="H866" s="10" t="str">
        <f>IFERROR(INDEX(面试清单!H:H,MATCH(865,面试清单!P:P,0)),"")</f>
        <v/>
      </c>
      <c r="I866" s="13" t="s">
        <v>29</v>
      </c>
      <c r="J866" s="10">
        <f ca="1" t="shared" si="40"/>
        <v>84</v>
      </c>
      <c r="K866" s="10">
        <f ca="1" t="shared" si="41"/>
        <v>16</v>
      </c>
    </row>
    <row r="867" ht="18" spans="1:11">
      <c r="A867" s="14">
        <f t="shared" si="39"/>
        <v>866</v>
      </c>
      <c r="B867" s="11" t="s">
        <v>4804</v>
      </c>
      <c r="C867" s="124" t="str">
        <f>IFERROR(INDEX(面试清单!D:D,MATCH(866,面试清单!P:P,0)),"")</f>
        <v>0217</v>
      </c>
      <c r="D867" s="11" t="s">
        <v>43</v>
      </c>
      <c r="E867" s="11" t="s">
        <v>62</v>
      </c>
      <c r="F867" s="11" t="s">
        <v>132</v>
      </c>
      <c r="G867" s="15">
        <v>46105</v>
      </c>
      <c r="H867" s="14" t="str">
        <f>IFERROR(INDEX(面试清单!H:H,MATCH(866,面试清单!P:P,0)),"")</f>
        <v>线下</v>
      </c>
      <c r="I867" s="13" t="s">
        <v>29</v>
      </c>
      <c r="J867" s="14">
        <f ca="1" t="shared" si="40"/>
        <v>84</v>
      </c>
      <c r="K867" s="14">
        <f ca="1" t="shared" si="41"/>
        <v>16</v>
      </c>
    </row>
    <row r="868" ht="18" spans="1:11">
      <c r="A868" s="10">
        <f t="shared" si="39"/>
        <v>867</v>
      </c>
      <c r="B868" s="11" t="s">
        <v>4805</v>
      </c>
      <c r="C868" s="125" t="str">
        <f>IFERROR(INDEX(面试清单!D:D,MATCH(867,面试清单!P:P,0)),"")</f>
        <v>0218</v>
      </c>
      <c r="D868" s="11" t="s">
        <v>74</v>
      </c>
      <c r="E868" s="11" t="s">
        <v>64</v>
      </c>
      <c r="F868" s="11" t="s">
        <v>135</v>
      </c>
      <c r="G868" s="15">
        <v>46105</v>
      </c>
      <c r="H868" s="10" t="str">
        <f>IFERROR(INDEX(面试清单!H:H,MATCH(867,面试清单!P:P,0)),"")</f>
        <v>线下</v>
      </c>
      <c r="I868" s="13" t="s">
        <v>29</v>
      </c>
      <c r="J868" s="10">
        <f ca="1" t="shared" si="40"/>
        <v>84</v>
      </c>
      <c r="K868" s="10">
        <f ca="1" t="shared" si="41"/>
        <v>16</v>
      </c>
    </row>
    <row r="869" ht="18" spans="1:11">
      <c r="A869" s="14">
        <f t="shared" si="39"/>
        <v>868</v>
      </c>
      <c r="B869" s="11" t="s">
        <v>4806</v>
      </c>
      <c r="C869" s="14" t="str">
        <f>IFERROR(INDEX(面试清单!D:D,MATCH(868,面试清单!P:P,0)),"")</f>
        <v/>
      </c>
      <c r="D869" s="11" t="s">
        <v>74</v>
      </c>
      <c r="E869" s="11" t="s">
        <v>64</v>
      </c>
      <c r="F869" s="11" t="s">
        <v>179</v>
      </c>
      <c r="G869" s="15">
        <v>46105</v>
      </c>
      <c r="H869" s="14" t="str">
        <f>IFERROR(INDEX(面试清单!H:H,MATCH(868,面试清单!P:P,0)),"")</f>
        <v/>
      </c>
      <c r="I869" s="13" t="s">
        <v>29</v>
      </c>
      <c r="J869" s="14">
        <f ca="1" t="shared" si="40"/>
        <v>84</v>
      </c>
      <c r="K869" s="14">
        <f ca="1" t="shared" si="41"/>
        <v>16</v>
      </c>
    </row>
    <row r="870" ht="18" spans="1:11">
      <c r="A870" s="10">
        <f t="shared" si="39"/>
        <v>869</v>
      </c>
      <c r="B870" s="11" t="s">
        <v>4807</v>
      </c>
      <c r="C870" s="10" t="str">
        <f>IFERROR(INDEX(面试清单!D:D,MATCH(869,面试清单!P:P,0)),"")</f>
        <v/>
      </c>
      <c r="D870" s="11" t="s">
        <v>74</v>
      </c>
      <c r="E870" s="11" t="s">
        <v>64</v>
      </c>
      <c r="F870" s="11" t="s">
        <v>179</v>
      </c>
      <c r="G870" s="15">
        <v>46105</v>
      </c>
      <c r="H870" s="10" t="str">
        <f>IFERROR(INDEX(面试清单!H:H,MATCH(869,面试清单!P:P,0)),"")</f>
        <v/>
      </c>
      <c r="I870" s="13" t="s">
        <v>29</v>
      </c>
      <c r="J870" s="10">
        <f ca="1" t="shared" si="40"/>
        <v>84</v>
      </c>
      <c r="K870" s="10">
        <f ca="1" t="shared" si="41"/>
        <v>16</v>
      </c>
    </row>
    <row r="871" ht="18" spans="1:11">
      <c r="A871" s="14">
        <f t="shared" si="39"/>
        <v>870</v>
      </c>
      <c r="B871" s="11" t="s">
        <v>4808</v>
      </c>
      <c r="C871" s="14" t="str">
        <f>IFERROR(INDEX(面试清单!D:D,MATCH(870,面试清单!P:P,0)),"")</f>
        <v/>
      </c>
      <c r="D871" s="11" t="s">
        <v>74</v>
      </c>
      <c r="E871" s="11" t="s">
        <v>64</v>
      </c>
      <c r="F871" s="11" t="s">
        <v>135</v>
      </c>
      <c r="G871" s="15">
        <v>46105</v>
      </c>
      <c r="H871" s="14" t="str">
        <f>IFERROR(INDEX(面试清单!H:H,MATCH(870,面试清单!P:P,0)),"")</f>
        <v/>
      </c>
      <c r="I871" s="13" t="s">
        <v>29</v>
      </c>
      <c r="J871" s="14">
        <f ca="1" t="shared" si="40"/>
        <v>84</v>
      </c>
      <c r="K871" s="14">
        <f ca="1" t="shared" si="41"/>
        <v>16</v>
      </c>
    </row>
    <row r="872" ht="18" spans="1:11">
      <c r="A872" s="10">
        <f t="shared" si="39"/>
        <v>871</v>
      </c>
      <c r="B872" s="11" t="s">
        <v>4809</v>
      </c>
      <c r="C872" s="10" t="str">
        <f>IFERROR(INDEX(面试清单!D:D,MATCH(871,面试清单!P:P,0)),"")</f>
        <v/>
      </c>
      <c r="D872" s="11" t="s">
        <v>43</v>
      </c>
      <c r="E872" s="11" t="s">
        <v>63</v>
      </c>
      <c r="F872" s="11" t="s">
        <v>129</v>
      </c>
      <c r="G872" s="15">
        <v>46105</v>
      </c>
      <c r="H872" s="10" t="str">
        <f>IFERROR(INDEX(面试清单!H:H,MATCH(871,面试清单!P:P,0)),"")</f>
        <v/>
      </c>
      <c r="I872" s="13" t="s">
        <v>29</v>
      </c>
      <c r="J872" s="10">
        <f ca="1" t="shared" si="40"/>
        <v>84</v>
      </c>
      <c r="K872" s="10">
        <f ca="1" t="shared" si="41"/>
        <v>16</v>
      </c>
    </row>
    <row r="873" ht="18" spans="1:11">
      <c r="A873" s="14">
        <f t="shared" si="39"/>
        <v>872</v>
      </c>
      <c r="B873" s="11" t="s">
        <v>4810</v>
      </c>
      <c r="C873" s="14" t="str">
        <f>IFERROR(INDEX(面试清单!D:D,MATCH(872,面试清单!P:P,0)),"")</f>
        <v/>
      </c>
      <c r="D873" s="11" t="s">
        <v>43</v>
      </c>
      <c r="E873" s="11" t="s">
        <v>63</v>
      </c>
      <c r="F873" s="11" t="s">
        <v>176</v>
      </c>
      <c r="G873" s="15">
        <v>46106</v>
      </c>
      <c r="H873" s="14" t="str">
        <f>IFERROR(INDEX(面试清单!H:H,MATCH(872,面试清单!P:P,0)),"")</f>
        <v/>
      </c>
      <c r="I873" s="13" t="s">
        <v>29</v>
      </c>
      <c r="J873" s="14">
        <f ca="1" t="shared" si="40"/>
        <v>83</v>
      </c>
      <c r="K873" s="14">
        <f ca="1" t="shared" si="41"/>
        <v>16</v>
      </c>
    </row>
    <row r="874" ht="36" spans="1:11">
      <c r="A874" s="10">
        <f t="shared" si="39"/>
        <v>873</v>
      </c>
      <c r="B874" s="11" t="s">
        <v>4811</v>
      </c>
      <c r="C874" s="125" t="str">
        <f>IFERROR(INDEX(面试清单!D:D,MATCH(873,面试清单!P:P,0)),"")</f>
        <v>0212</v>
      </c>
      <c r="D874" s="11" t="s">
        <v>43</v>
      </c>
      <c r="E874" s="11" t="s">
        <v>62</v>
      </c>
      <c r="F874" s="11" t="s">
        <v>129</v>
      </c>
      <c r="G874" s="15">
        <v>46106</v>
      </c>
      <c r="H874" s="10" t="str">
        <f>IFERROR(INDEX(面试清单!H:H,MATCH(873,面试清单!P:P,0)),"")</f>
        <v>线下</v>
      </c>
      <c r="I874" s="13" t="s">
        <v>29</v>
      </c>
      <c r="J874" s="10">
        <f ca="1" t="shared" si="40"/>
        <v>83</v>
      </c>
      <c r="K874" s="10">
        <f ca="1" t="shared" si="41"/>
        <v>16</v>
      </c>
    </row>
    <row r="875" ht="18" spans="1:11">
      <c r="A875" s="14">
        <f t="shared" si="39"/>
        <v>874</v>
      </c>
      <c r="B875" s="11" t="s">
        <v>4812</v>
      </c>
      <c r="C875" s="14" t="str">
        <f>IFERROR(INDEX(面试清单!D:D,MATCH(874,面试清单!P:P,0)),"")</f>
        <v/>
      </c>
      <c r="D875" s="11" t="s">
        <v>42</v>
      </c>
      <c r="E875" s="11" t="s">
        <v>63</v>
      </c>
      <c r="F875" s="11" t="s">
        <v>129</v>
      </c>
      <c r="G875" s="15">
        <v>46106</v>
      </c>
      <c r="H875" s="14" t="str">
        <f>IFERROR(INDEX(面试清单!H:H,MATCH(874,面试清单!P:P,0)),"")</f>
        <v/>
      </c>
      <c r="I875" s="13" t="s">
        <v>29</v>
      </c>
      <c r="J875" s="14">
        <f ca="1" t="shared" si="40"/>
        <v>83</v>
      </c>
      <c r="K875" s="14">
        <f ca="1" t="shared" si="41"/>
        <v>16</v>
      </c>
    </row>
    <row r="876" ht="18" spans="1:11">
      <c r="A876" s="10">
        <f t="shared" si="39"/>
        <v>875</v>
      </c>
      <c r="B876" s="11" t="s">
        <v>4813</v>
      </c>
      <c r="C876" s="10" t="str">
        <f>IFERROR(INDEX(面试清单!D:D,MATCH(875,面试清单!P:P,0)),"")</f>
        <v/>
      </c>
      <c r="D876" s="11" t="s">
        <v>42</v>
      </c>
      <c r="E876" s="11" t="s">
        <v>63</v>
      </c>
      <c r="F876" s="11" t="s">
        <v>124</v>
      </c>
      <c r="G876" s="15">
        <v>46106</v>
      </c>
      <c r="H876" s="10" t="str">
        <f>IFERROR(INDEX(面试清单!H:H,MATCH(875,面试清单!P:P,0)),"")</f>
        <v/>
      </c>
      <c r="I876" s="13" t="s">
        <v>29</v>
      </c>
      <c r="J876" s="10">
        <f ca="1" t="shared" si="40"/>
        <v>83</v>
      </c>
      <c r="K876" s="10">
        <f ca="1" t="shared" si="41"/>
        <v>16</v>
      </c>
    </row>
    <row r="877" ht="18" spans="1:11">
      <c r="A877" s="14">
        <f t="shared" si="39"/>
        <v>876</v>
      </c>
      <c r="B877" s="11" t="s">
        <v>4814</v>
      </c>
      <c r="C877" s="14" t="str">
        <f>IFERROR(INDEX(面试清单!D:D,MATCH(876,面试清单!P:P,0)),"")</f>
        <v/>
      </c>
      <c r="D877" s="11" t="s">
        <v>43</v>
      </c>
      <c r="E877" s="11" t="s">
        <v>63</v>
      </c>
      <c r="F877" s="11" t="s">
        <v>124</v>
      </c>
      <c r="G877" s="15">
        <v>46106</v>
      </c>
      <c r="H877" s="14" t="str">
        <f>IFERROR(INDEX(面试清单!H:H,MATCH(876,面试清单!P:P,0)),"")</f>
        <v/>
      </c>
      <c r="I877" s="13" t="s">
        <v>29</v>
      </c>
      <c r="J877" s="14">
        <f ca="1" t="shared" si="40"/>
        <v>83</v>
      </c>
      <c r="K877" s="14">
        <f ca="1" t="shared" si="41"/>
        <v>16</v>
      </c>
    </row>
    <row r="878" ht="18" spans="1:11">
      <c r="A878" s="10">
        <f t="shared" si="39"/>
        <v>877</v>
      </c>
      <c r="B878" s="11" t="s">
        <v>4815</v>
      </c>
      <c r="C878" s="10" t="str">
        <f>IFERROR(INDEX(面试清单!D:D,MATCH(877,面试清单!P:P,0)),"")</f>
        <v/>
      </c>
      <c r="D878" s="11" t="s">
        <v>43</v>
      </c>
      <c r="E878" s="11" t="s">
        <v>62</v>
      </c>
      <c r="F878" s="11" t="s">
        <v>124</v>
      </c>
      <c r="G878" s="15">
        <v>46106</v>
      </c>
      <c r="H878" s="10" t="str">
        <f>IFERROR(INDEX(面试清单!H:H,MATCH(877,面试清单!P:P,0)),"")</f>
        <v/>
      </c>
      <c r="I878" s="13" t="s">
        <v>29</v>
      </c>
      <c r="J878" s="10">
        <f ca="1" t="shared" si="40"/>
        <v>83</v>
      </c>
      <c r="K878" s="10">
        <f ca="1" t="shared" si="41"/>
        <v>16</v>
      </c>
    </row>
    <row r="879" ht="18" spans="1:11">
      <c r="A879" s="14">
        <f t="shared" si="39"/>
        <v>878</v>
      </c>
      <c r="B879" s="11" t="s">
        <v>4816</v>
      </c>
      <c r="C879" s="14" t="str">
        <f>IFERROR(INDEX(面试清单!D:D,MATCH(878,面试清单!P:P,0)),"")</f>
        <v/>
      </c>
      <c r="D879" s="11" t="s">
        <v>43</v>
      </c>
      <c r="E879" s="11" t="s">
        <v>63</v>
      </c>
      <c r="F879" s="11" t="s">
        <v>124</v>
      </c>
      <c r="G879" s="15">
        <v>46106</v>
      </c>
      <c r="H879" s="14" t="str">
        <f>IFERROR(INDEX(面试清单!H:H,MATCH(878,面试清单!P:P,0)),"")</f>
        <v/>
      </c>
      <c r="I879" s="13" t="s">
        <v>29</v>
      </c>
      <c r="J879" s="14">
        <f ca="1" t="shared" si="40"/>
        <v>83</v>
      </c>
      <c r="K879" s="14">
        <f ca="1" t="shared" si="41"/>
        <v>16</v>
      </c>
    </row>
    <row r="880" ht="18" spans="1:11">
      <c r="A880" s="10">
        <f t="shared" si="39"/>
        <v>879</v>
      </c>
      <c r="B880" s="11" t="s">
        <v>4817</v>
      </c>
      <c r="C880" s="125" t="str">
        <f>IFERROR(INDEX(面试清单!D:D,MATCH(879,面试清单!P:P,0)),"")</f>
        <v>0222</v>
      </c>
      <c r="D880" s="11" t="s">
        <v>42</v>
      </c>
      <c r="E880" s="11" t="s">
        <v>62</v>
      </c>
      <c r="F880" s="11" t="s">
        <v>509</v>
      </c>
      <c r="G880" s="15">
        <v>46106</v>
      </c>
      <c r="H880" s="10" t="str">
        <f>IFERROR(INDEX(面试清单!H:H,MATCH(879,面试清单!P:P,0)),"")</f>
        <v>线下</v>
      </c>
      <c r="I880" s="13" t="s">
        <v>29</v>
      </c>
      <c r="J880" s="10">
        <f ca="1" t="shared" si="40"/>
        <v>83</v>
      </c>
      <c r="K880" s="10">
        <f ca="1" t="shared" si="41"/>
        <v>16</v>
      </c>
    </row>
    <row r="881" ht="18" spans="1:11">
      <c r="A881" s="14">
        <f t="shared" si="39"/>
        <v>880</v>
      </c>
      <c r="B881" s="11" t="s">
        <v>4818</v>
      </c>
      <c r="C881" s="14" t="str">
        <f>IFERROR(INDEX(面试清单!D:D,MATCH(880,面试清单!P:P,0)),"")</f>
        <v/>
      </c>
      <c r="D881" s="11" t="s">
        <v>42</v>
      </c>
      <c r="E881" s="11" t="s">
        <v>62</v>
      </c>
      <c r="F881" s="11" t="s">
        <v>135</v>
      </c>
      <c r="G881" s="15">
        <v>46106</v>
      </c>
      <c r="H881" s="14" t="str">
        <f>IFERROR(INDEX(面试清单!H:H,MATCH(880,面试清单!P:P,0)),"")</f>
        <v/>
      </c>
      <c r="I881" s="13" t="s">
        <v>29</v>
      </c>
      <c r="J881" s="14">
        <f ca="1" t="shared" si="40"/>
        <v>83</v>
      </c>
      <c r="K881" s="14">
        <f ca="1" t="shared" si="41"/>
        <v>16</v>
      </c>
    </row>
    <row r="882" ht="18" spans="1:11">
      <c r="A882" s="10">
        <f t="shared" si="39"/>
        <v>881</v>
      </c>
      <c r="B882" s="11" t="s">
        <v>4819</v>
      </c>
      <c r="C882" s="125" t="str">
        <f>IFERROR(INDEX(面试清单!D:D,MATCH(881,面试清单!P:P,0)),"")</f>
        <v>0209</v>
      </c>
      <c r="D882" s="11" t="s">
        <v>42</v>
      </c>
      <c r="E882" s="11" t="s">
        <v>62</v>
      </c>
      <c r="F882" s="11" t="s">
        <v>135</v>
      </c>
      <c r="G882" s="15">
        <v>46106</v>
      </c>
      <c r="H882" s="10" t="str">
        <f>IFERROR(INDEX(面试清单!H:H,MATCH(881,面试清单!P:P,0)),"")</f>
        <v>线下</v>
      </c>
      <c r="I882" s="13" t="s">
        <v>29</v>
      </c>
      <c r="J882" s="10">
        <f ca="1" t="shared" si="40"/>
        <v>83</v>
      </c>
      <c r="K882" s="10">
        <f ca="1" t="shared" si="41"/>
        <v>16</v>
      </c>
    </row>
    <row r="883" ht="18" spans="1:11">
      <c r="A883" s="14">
        <f t="shared" si="39"/>
        <v>882</v>
      </c>
      <c r="B883" s="11" t="s">
        <v>4820</v>
      </c>
      <c r="C883" s="124" t="str">
        <f>IFERROR(INDEX(面试清单!D:D,MATCH(882,面试清单!P:P,0)),"")</f>
        <v>0212</v>
      </c>
      <c r="D883" s="11" t="s">
        <v>74</v>
      </c>
      <c r="E883" s="11" t="s">
        <v>64</v>
      </c>
      <c r="F883" s="11" t="s">
        <v>179</v>
      </c>
      <c r="G883" s="15">
        <v>46106</v>
      </c>
      <c r="H883" s="14" t="str">
        <f>IFERROR(INDEX(面试清单!H:H,MATCH(882,面试清单!P:P,0)),"")</f>
        <v>线下</v>
      </c>
      <c r="I883" s="13" t="s">
        <v>29</v>
      </c>
      <c r="J883" s="14">
        <f ca="1" t="shared" si="40"/>
        <v>83</v>
      </c>
      <c r="K883" s="14">
        <f ca="1" t="shared" si="41"/>
        <v>16</v>
      </c>
    </row>
    <row r="884" ht="18" spans="1:11">
      <c r="A884" s="10">
        <f t="shared" si="39"/>
        <v>883</v>
      </c>
      <c r="B884" s="11" t="s">
        <v>4821</v>
      </c>
      <c r="C884" s="125" t="str">
        <f>IFERROR(INDEX(面试清单!D:D,MATCH(883,面试清单!P:P,0)),"")</f>
        <v>0214</v>
      </c>
      <c r="D884" s="11" t="s">
        <v>43</v>
      </c>
      <c r="E884" s="11" t="s">
        <v>63</v>
      </c>
      <c r="F884" s="11" t="s">
        <v>690</v>
      </c>
      <c r="G884" s="15">
        <v>46106</v>
      </c>
      <c r="H884" s="10" t="str">
        <f>IFERROR(INDEX(面试清单!H:H,MATCH(883,面试清单!P:P,0)),"")</f>
        <v>线下</v>
      </c>
      <c r="I884" s="13" t="s">
        <v>29</v>
      </c>
      <c r="J884" s="10">
        <f ca="1" t="shared" si="40"/>
        <v>83</v>
      </c>
      <c r="K884" s="10">
        <f ca="1" t="shared" si="41"/>
        <v>16</v>
      </c>
    </row>
    <row r="885" ht="36" spans="1:11">
      <c r="A885" s="14">
        <f t="shared" si="39"/>
        <v>884</v>
      </c>
      <c r="B885" s="11" t="s">
        <v>4822</v>
      </c>
      <c r="C885" s="124" t="str">
        <f>IFERROR(INDEX(面试清单!D:D,MATCH(884,面试清单!P:P,0)),"")</f>
        <v>0217</v>
      </c>
      <c r="D885" s="11" t="s">
        <v>43</v>
      </c>
      <c r="E885" s="11" t="s">
        <v>62</v>
      </c>
      <c r="F885" s="11" t="s">
        <v>129</v>
      </c>
      <c r="G885" s="15">
        <v>46106</v>
      </c>
      <c r="H885" s="14" t="str">
        <f>IFERROR(INDEX(面试清单!H:H,MATCH(884,面试清单!P:P,0)),"")</f>
        <v>线下</v>
      </c>
      <c r="I885" s="13" t="s">
        <v>29</v>
      </c>
      <c r="J885" s="14">
        <f ca="1" t="shared" si="40"/>
        <v>83</v>
      </c>
      <c r="K885" s="14">
        <f ca="1" t="shared" si="41"/>
        <v>16</v>
      </c>
    </row>
    <row r="886" ht="18" spans="1:11">
      <c r="A886" s="10">
        <f t="shared" si="39"/>
        <v>885</v>
      </c>
      <c r="B886" s="11" t="s">
        <v>4823</v>
      </c>
      <c r="C886" s="10" t="str">
        <f>IFERROR(INDEX(面试清单!D:D,MATCH(885,面试清单!P:P,0)),"")</f>
        <v/>
      </c>
      <c r="D886" s="11" t="s">
        <v>43</v>
      </c>
      <c r="E886" s="11" t="s">
        <v>62</v>
      </c>
      <c r="F886" s="11" t="s">
        <v>129</v>
      </c>
      <c r="G886" s="15">
        <v>46106</v>
      </c>
      <c r="H886" s="10" t="str">
        <f>IFERROR(INDEX(面试清单!H:H,MATCH(885,面试清单!P:P,0)),"")</f>
        <v/>
      </c>
      <c r="I886" s="13" t="s">
        <v>29</v>
      </c>
      <c r="J886" s="10">
        <f ca="1" t="shared" si="40"/>
        <v>83</v>
      </c>
      <c r="K886" s="10">
        <f ca="1" t="shared" si="41"/>
        <v>16</v>
      </c>
    </row>
    <row r="887" ht="18" spans="1:11">
      <c r="A887" s="14">
        <f t="shared" si="39"/>
        <v>886</v>
      </c>
      <c r="B887" s="11" t="s">
        <v>4824</v>
      </c>
      <c r="C887" s="14" t="str">
        <f>IFERROR(INDEX(面试清单!D:D,MATCH(886,面试清单!P:P,0)),"")</f>
        <v/>
      </c>
      <c r="D887" s="11" t="s">
        <v>43</v>
      </c>
      <c r="E887" s="11" t="s">
        <v>62</v>
      </c>
      <c r="F887" s="11" t="s">
        <v>129</v>
      </c>
      <c r="G887" s="15">
        <v>46106</v>
      </c>
      <c r="H887" s="14" t="str">
        <f>IFERROR(INDEX(面试清单!H:H,MATCH(886,面试清单!P:P,0)),"")</f>
        <v/>
      </c>
      <c r="I887" s="13" t="s">
        <v>29</v>
      </c>
      <c r="J887" s="14">
        <f ca="1" t="shared" si="40"/>
        <v>83</v>
      </c>
      <c r="K887" s="14">
        <f ca="1" t="shared" si="41"/>
        <v>16</v>
      </c>
    </row>
    <row r="888" ht="18" spans="1:11">
      <c r="A888" s="10">
        <f t="shared" si="39"/>
        <v>887</v>
      </c>
      <c r="B888" s="11" t="s">
        <v>4825</v>
      </c>
      <c r="C888" s="125" t="str">
        <f>IFERROR(INDEX(面试清单!D:D,MATCH(887,面试清单!P:P,0)),"")</f>
        <v>0221</v>
      </c>
      <c r="D888" s="11" t="s">
        <v>43</v>
      </c>
      <c r="E888" s="11" t="s">
        <v>62</v>
      </c>
      <c r="F888" s="11" t="s">
        <v>129</v>
      </c>
      <c r="G888" s="15">
        <v>46106</v>
      </c>
      <c r="H888" s="10" t="str">
        <f>IFERROR(INDEX(面试清单!H:H,MATCH(887,面试清单!P:P,0)),"")</f>
        <v>线下</v>
      </c>
      <c r="I888" s="13" t="s">
        <v>29</v>
      </c>
      <c r="J888" s="10">
        <f ca="1" t="shared" si="40"/>
        <v>83</v>
      </c>
      <c r="K888" s="10">
        <f ca="1" t="shared" si="41"/>
        <v>16</v>
      </c>
    </row>
    <row r="889" ht="18" spans="1:11">
      <c r="A889" s="14">
        <f t="shared" si="39"/>
        <v>888</v>
      </c>
      <c r="B889" s="11" t="s">
        <v>1361</v>
      </c>
      <c r="C889" s="124" t="str">
        <f>IFERROR(INDEX(面试清单!D:D,MATCH(888,面试清单!P:P,0)),"")</f>
        <v>0222</v>
      </c>
      <c r="D889" s="11" t="s">
        <v>43</v>
      </c>
      <c r="E889" s="11" t="s">
        <v>62</v>
      </c>
      <c r="F889" s="11" t="s">
        <v>129</v>
      </c>
      <c r="G889" s="15">
        <v>46106</v>
      </c>
      <c r="H889" s="14" t="str">
        <f>IFERROR(INDEX(面试清单!H:H,MATCH(888,面试清单!P:P,0)),"")</f>
        <v>线下</v>
      </c>
      <c r="I889" s="13" t="s">
        <v>29</v>
      </c>
      <c r="J889" s="14">
        <f ca="1" t="shared" si="40"/>
        <v>83</v>
      </c>
      <c r="K889" s="14">
        <f ca="1" t="shared" si="41"/>
        <v>16</v>
      </c>
    </row>
    <row r="890" ht="18" spans="1:11">
      <c r="A890" s="10">
        <f t="shared" si="39"/>
        <v>889</v>
      </c>
      <c r="B890" s="11" t="s">
        <v>4826</v>
      </c>
      <c r="C890" s="125" t="str">
        <f>IFERROR(INDEX(面试清单!D:D,MATCH(889,面试清单!P:P,0)),"")</f>
        <v>0208</v>
      </c>
      <c r="D890" s="11" t="s">
        <v>42</v>
      </c>
      <c r="E890" s="11" t="s">
        <v>62</v>
      </c>
      <c r="F890" s="11" t="s">
        <v>132</v>
      </c>
      <c r="G890" s="15">
        <v>46097</v>
      </c>
      <c r="H890" s="10" t="str">
        <f>IFERROR(INDEX(面试清单!H:H,MATCH(889,面试清单!P:P,0)),"")</f>
        <v>线下</v>
      </c>
      <c r="I890" s="13" t="s">
        <v>29</v>
      </c>
      <c r="J890" s="10">
        <f ca="1" t="shared" si="40"/>
        <v>92</v>
      </c>
      <c r="K890" s="10">
        <f ca="1" t="shared" si="41"/>
        <v>16</v>
      </c>
    </row>
    <row r="891" ht="18" spans="1:11">
      <c r="A891" s="14">
        <f t="shared" si="39"/>
        <v>890</v>
      </c>
      <c r="B891" s="11" t="s">
        <v>4827</v>
      </c>
      <c r="C891" s="124" t="str">
        <f>IFERROR(INDEX(面试清单!D:D,MATCH(890,面试清单!P:P,0)),"")</f>
        <v>0208</v>
      </c>
      <c r="D891" s="11" t="s">
        <v>43</v>
      </c>
      <c r="E891" s="11" t="s">
        <v>63</v>
      </c>
      <c r="F891" s="11" t="s">
        <v>135</v>
      </c>
      <c r="G891" s="15">
        <v>46101</v>
      </c>
      <c r="H891" s="14" t="str">
        <f>IFERROR(INDEX(面试清单!H:H,MATCH(890,面试清单!P:P,0)),"")</f>
        <v>线下</v>
      </c>
      <c r="I891" s="13" t="s">
        <v>29</v>
      </c>
      <c r="J891" s="14">
        <f ca="1" t="shared" si="40"/>
        <v>88</v>
      </c>
      <c r="K891" s="14">
        <f ca="1" t="shared" si="41"/>
        <v>16</v>
      </c>
    </row>
    <row r="892" ht="18" spans="1:11">
      <c r="A892" s="10">
        <f t="shared" si="39"/>
        <v>891</v>
      </c>
      <c r="B892" s="11" t="s">
        <v>4828</v>
      </c>
      <c r="C892" s="10" t="str">
        <f>IFERROR(INDEX(面试清单!D:D,MATCH(891,面试清单!P:P,0)),"")</f>
        <v/>
      </c>
      <c r="D892" s="11" t="s">
        <v>73</v>
      </c>
      <c r="E892" s="11" t="s">
        <v>62</v>
      </c>
      <c r="F892" s="11" t="s">
        <v>129</v>
      </c>
      <c r="G892" s="15">
        <v>46106</v>
      </c>
      <c r="H892" s="10" t="str">
        <f>IFERROR(INDEX(面试清单!H:H,MATCH(891,面试清单!P:P,0)),"")</f>
        <v/>
      </c>
      <c r="I892" s="13" t="s">
        <v>29</v>
      </c>
      <c r="J892" s="10">
        <f ca="1" t="shared" si="40"/>
        <v>83</v>
      </c>
      <c r="K892" s="10">
        <f ca="1" t="shared" si="41"/>
        <v>16</v>
      </c>
    </row>
    <row r="893" ht="18" spans="1:11">
      <c r="A893" s="14">
        <f t="shared" si="39"/>
        <v>892</v>
      </c>
      <c r="B893" s="11" t="s">
        <v>4829</v>
      </c>
      <c r="C893" s="14" t="str">
        <f>IFERROR(INDEX(面试清单!D:D,MATCH(892,面试清单!P:P,0)),"")</f>
        <v/>
      </c>
      <c r="D893" s="11" t="s">
        <v>73</v>
      </c>
      <c r="E893" s="11" t="s">
        <v>62</v>
      </c>
      <c r="F893" s="11" t="s">
        <v>129</v>
      </c>
      <c r="G893" s="15">
        <v>46106</v>
      </c>
      <c r="H893" s="14" t="str">
        <f>IFERROR(INDEX(面试清单!H:H,MATCH(892,面试清单!P:P,0)),"")</f>
        <v/>
      </c>
      <c r="I893" s="13" t="s">
        <v>29</v>
      </c>
      <c r="J893" s="14">
        <f ca="1" t="shared" si="40"/>
        <v>83</v>
      </c>
      <c r="K893" s="14">
        <f ca="1" t="shared" si="41"/>
        <v>16</v>
      </c>
    </row>
    <row r="894" ht="18" spans="1:11">
      <c r="A894" s="10">
        <f t="shared" si="39"/>
        <v>893</v>
      </c>
      <c r="B894" s="11" t="s">
        <v>4830</v>
      </c>
      <c r="C894" s="125" t="str">
        <f>IFERROR(INDEX(面试清单!D:D,MATCH(893,面试清单!P:P,0)),"")</f>
        <v>0214</v>
      </c>
      <c r="D894" s="11" t="s">
        <v>73</v>
      </c>
      <c r="E894" s="11" t="s">
        <v>62</v>
      </c>
      <c r="F894" s="11" t="s">
        <v>129</v>
      </c>
      <c r="G894" s="15">
        <v>46107</v>
      </c>
      <c r="H894" s="10" t="str">
        <f>IFERROR(INDEX(面试清单!H:H,MATCH(893,面试清单!P:P,0)),"")</f>
        <v>线下</v>
      </c>
      <c r="I894" s="13" t="s">
        <v>29</v>
      </c>
      <c r="J894" s="10">
        <f ca="1" t="shared" si="40"/>
        <v>82</v>
      </c>
      <c r="K894" s="10">
        <f ca="1" t="shared" si="41"/>
        <v>16</v>
      </c>
    </row>
    <row r="895" ht="18" spans="1:11">
      <c r="A895" s="14">
        <f t="shared" si="39"/>
        <v>894</v>
      </c>
      <c r="B895" s="11" t="s">
        <v>4831</v>
      </c>
      <c r="C895" s="14" t="str">
        <f>IFERROR(INDEX(面试清单!D:D,MATCH(894,面试清单!P:P,0)),"")</f>
        <v/>
      </c>
      <c r="D895" s="11" t="s">
        <v>43</v>
      </c>
      <c r="E895" s="11" t="s">
        <v>63</v>
      </c>
      <c r="F895" s="11" t="s">
        <v>117</v>
      </c>
      <c r="G895" s="15">
        <v>46107</v>
      </c>
      <c r="H895" s="14" t="str">
        <f>IFERROR(INDEX(面试清单!H:H,MATCH(894,面试清单!P:P,0)),"")</f>
        <v/>
      </c>
      <c r="I895" s="13" t="s">
        <v>29</v>
      </c>
      <c r="J895" s="14">
        <f ca="1" t="shared" si="40"/>
        <v>82</v>
      </c>
      <c r="K895" s="14">
        <f ca="1" t="shared" si="41"/>
        <v>16</v>
      </c>
    </row>
    <row r="896" ht="18" spans="1:11">
      <c r="A896" s="10">
        <f t="shared" si="39"/>
        <v>895</v>
      </c>
      <c r="B896" s="11" t="s">
        <v>4832</v>
      </c>
      <c r="C896" s="10" t="str">
        <f>IFERROR(INDEX(面试清单!D:D,MATCH(895,面试清单!P:P,0)),"")</f>
        <v/>
      </c>
      <c r="D896" s="11" t="s">
        <v>42</v>
      </c>
      <c r="E896" s="11" t="s">
        <v>62</v>
      </c>
      <c r="F896" s="11" t="s">
        <v>124</v>
      </c>
      <c r="G896" s="15">
        <v>46107</v>
      </c>
      <c r="H896" s="10" t="str">
        <f>IFERROR(INDEX(面试清单!H:H,MATCH(895,面试清单!P:P,0)),"")</f>
        <v/>
      </c>
      <c r="I896" s="13" t="s">
        <v>29</v>
      </c>
      <c r="J896" s="10">
        <f ca="1" t="shared" si="40"/>
        <v>82</v>
      </c>
      <c r="K896" s="10">
        <f ca="1" t="shared" si="41"/>
        <v>16</v>
      </c>
    </row>
    <row r="897" ht="18" spans="1:11">
      <c r="A897" s="14">
        <f t="shared" si="39"/>
        <v>896</v>
      </c>
      <c r="B897" s="11" t="s">
        <v>4833</v>
      </c>
      <c r="C897" s="124" t="str">
        <f>IFERROR(INDEX(面试清单!D:D,MATCH(896,面试清单!P:P,0)),"")</f>
        <v>0220</v>
      </c>
      <c r="D897" s="11" t="s">
        <v>43</v>
      </c>
      <c r="E897" s="11" t="s">
        <v>62</v>
      </c>
      <c r="F897" s="11" t="s">
        <v>110</v>
      </c>
      <c r="G897" s="15">
        <v>46107</v>
      </c>
      <c r="H897" s="14" t="str">
        <f>IFERROR(INDEX(面试清单!H:H,MATCH(896,面试清单!P:P,0)),"")</f>
        <v>线下</v>
      </c>
      <c r="I897" s="13" t="s">
        <v>29</v>
      </c>
      <c r="J897" s="14">
        <f ca="1" t="shared" si="40"/>
        <v>82</v>
      </c>
      <c r="K897" s="14">
        <f ca="1" t="shared" si="41"/>
        <v>16</v>
      </c>
    </row>
    <row r="898" ht="18" spans="1:11">
      <c r="A898" s="10">
        <f t="shared" ref="A898:A961" si="42">IF(B898&lt;&gt;"",ROW()-1,"")</f>
        <v>897</v>
      </c>
      <c r="B898" s="11" t="s">
        <v>4834</v>
      </c>
      <c r="C898" s="125" t="str">
        <f>IFERROR(INDEX(面试清单!D:D,MATCH(897,面试清单!P:P,0)),"")</f>
        <v>0221</v>
      </c>
      <c r="D898" s="11" t="s">
        <v>42</v>
      </c>
      <c r="E898" s="11" t="s">
        <v>63</v>
      </c>
      <c r="F898" s="11" t="s">
        <v>132</v>
      </c>
      <c r="G898" s="15">
        <v>46107</v>
      </c>
      <c r="H898" s="10" t="str">
        <f>IFERROR(INDEX(面试清单!H:H,MATCH(897,面试清单!P:P,0)),"")</f>
        <v>线下</v>
      </c>
      <c r="I898" s="13" t="s">
        <v>29</v>
      </c>
      <c r="J898" s="10">
        <f ca="1" t="shared" ref="J898:J961" si="43">IF(G898&lt;&gt;"",TODAY()-G898,"")</f>
        <v>82</v>
      </c>
      <c r="K898" s="10">
        <f ca="1" t="shared" ref="K898:K961" si="44">IF(G898&lt;&gt;"",MAX(0,MIN(TODAY(),EOMONTH(TODAY(),0))-MAX(G898,EOMONTH(TODAY(),-1)+1)+1),"")</f>
        <v>16</v>
      </c>
    </row>
    <row r="899" ht="18" spans="1:11">
      <c r="A899" s="14">
        <f t="shared" si="42"/>
        <v>898</v>
      </c>
      <c r="B899" s="11" t="s">
        <v>4835</v>
      </c>
      <c r="C899" s="124" t="str">
        <f>IFERROR(INDEX(面试清单!D:D,MATCH(898,面试清单!P:P,0)),"")</f>
        <v>0222</v>
      </c>
      <c r="D899" s="11" t="s">
        <v>43</v>
      </c>
      <c r="E899" s="11" t="s">
        <v>63</v>
      </c>
      <c r="F899" s="11" t="s">
        <v>132</v>
      </c>
      <c r="G899" s="15">
        <v>46107</v>
      </c>
      <c r="H899" s="14" t="str">
        <f>IFERROR(INDEX(面试清单!H:H,MATCH(898,面试清单!P:P,0)),"")</f>
        <v>线下</v>
      </c>
      <c r="I899" s="13" t="s">
        <v>29</v>
      </c>
      <c r="J899" s="14">
        <f ca="1" t="shared" si="43"/>
        <v>82</v>
      </c>
      <c r="K899" s="14">
        <f ca="1" t="shared" si="44"/>
        <v>16</v>
      </c>
    </row>
    <row r="900" ht="18" spans="1:11">
      <c r="A900" s="10">
        <f t="shared" si="42"/>
        <v>899</v>
      </c>
      <c r="B900" s="11" t="s">
        <v>4836</v>
      </c>
      <c r="C900" s="10" t="str">
        <f>IFERROR(INDEX(面试清单!D:D,MATCH(899,面试清单!P:P,0)),"")</f>
        <v/>
      </c>
      <c r="D900" s="11" t="s">
        <v>43</v>
      </c>
      <c r="E900" s="11" t="s">
        <v>62</v>
      </c>
      <c r="F900" s="11" t="s">
        <v>307</v>
      </c>
      <c r="G900" s="15">
        <v>46107</v>
      </c>
      <c r="H900" s="10" t="str">
        <f>IFERROR(INDEX(面试清单!H:H,MATCH(899,面试清单!P:P,0)),"")</f>
        <v/>
      </c>
      <c r="I900" s="13" t="s">
        <v>29</v>
      </c>
      <c r="J900" s="10">
        <f ca="1" t="shared" si="43"/>
        <v>82</v>
      </c>
      <c r="K900" s="10">
        <f ca="1" t="shared" si="44"/>
        <v>16</v>
      </c>
    </row>
    <row r="901" ht="18" spans="1:11">
      <c r="A901" s="14">
        <f t="shared" si="42"/>
        <v>900</v>
      </c>
      <c r="B901" s="11" t="s">
        <v>4837</v>
      </c>
      <c r="C901" s="124" t="str">
        <f>IFERROR(INDEX(面试清单!D:D,MATCH(900,面试清单!P:P,0)),"")</f>
        <v>0209</v>
      </c>
      <c r="D901" s="11" t="s">
        <v>42</v>
      </c>
      <c r="E901" s="11" t="s">
        <v>62</v>
      </c>
      <c r="F901" s="11" t="s">
        <v>124</v>
      </c>
      <c r="G901" s="15">
        <v>46107</v>
      </c>
      <c r="H901" s="14" t="str">
        <f>IFERROR(INDEX(面试清单!H:H,MATCH(900,面试清单!P:P,0)),"")</f>
        <v>线下</v>
      </c>
      <c r="I901" s="13" t="s">
        <v>29</v>
      </c>
      <c r="J901" s="14">
        <f ca="1" t="shared" si="43"/>
        <v>82</v>
      </c>
      <c r="K901" s="14">
        <f ca="1" t="shared" si="44"/>
        <v>16</v>
      </c>
    </row>
    <row r="902" ht="18" spans="1:11">
      <c r="A902" s="10">
        <f t="shared" si="42"/>
        <v>901</v>
      </c>
      <c r="B902" s="11" t="s">
        <v>4838</v>
      </c>
      <c r="C902" s="125" t="str">
        <f>IFERROR(INDEX(面试清单!D:D,MATCH(901,面试清单!P:P,0)),"")</f>
        <v>0212</v>
      </c>
      <c r="D902" s="11" t="s">
        <v>42</v>
      </c>
      <c r="E902" s="11" t="s">
        <v>62</v>
      </c>
      <c r="F902" s="11" t="s">
        <v>103</v>
      </c>
      <c r="G902" s="15">
        <v>46107</v>
      </c>
      <c r="H902" s="10" t="str">
        <f>IFERROR(INDEX(面试清单!H:H,MATCH(901,面试清单!P:P,0)),"")</f>
        <v>线下</v>
      </c>
      <c r="I902" s="13" t="s">
        <v>29</v>
      </c>
      <c r="J902" s="10">
        <f ca="1" t="shared" si="43"/>
        <v>82</v>
      </c>
      <c r="K902" s="10">
        <f ca="1" t="shared" si="44"/>
        <v>16</v>
      </c>
    </row>
    <row r="903" ht="18" spans="1:11">
      <c r="A903" s="14">
        <f t="shared" si="42"/>
        <v>902</v>
      </c>
      <c r="B903" s="11" t="s">
        <v>4839</v>
      </c>
      <c r="C903" s="124" t="str">
        <f>IFERROR(INDEX(面试清单!D:D,MATCH(902,面试清单!P:P,0)),"")</f>
        <v>0214</v>
      </c>
      <c r="D903" s="11" t="s">
        <v>42</v>
      </c>
      <c r="E903" s="11" t="s">
        <v>62</v>
      </c>
      <c r="F903" s="11" t="s">
        <v>103</v>
      </c>
      <c r="G903" s="15">
        <v>46107</v>
      </c>
      <c r="H903" s="14" t="str">
        <f>IFERROR(INDEX(面试清单!H:H,MATCH(902,面试清单!P:P,0)),"")</f>
        <v>线下</v>
      </c>
      <c r="I903" s="13" t="s">
        <v>29</v>
      </c>
      <c r="J903" s="14">
        <f ca="1" t="shared" si="43"/>
        <v>82</v>
      </c>
      <c r="K903" s="14">
        <f ca="1" t="shared" si="44"/>
        <v>16</v>
      </c>
    </row>
    <row r="904" ht="18" spans="1:11">
      <c r="A904" s="10">
        <f t="shared" si="42"/>
        <v>903</v>
      </c>
      <c r="B904" s="11" t="s">
        <v>4840</v>
      </c>
      <c r="C904" s="125" t="str">
        <f>IFERROR(INDEX(面试清单!D:D,MATCH(903,面试清单!P:P,0)),"")</f>
        <v>0217</v>
      </c>
      <c r="D904" s="11" t="s">
        <v>43</v>
      </c>
      <c r="E904" s="11" t="s">
        <v>62</v>
      </c>
      <c r="F904" s="11" t="s">
        <v>129</v>
      </c>
      <c r="G904" s="15">
        <v>46107</v>
      </c>
      <c r="H904" s="10" t="str">
        <f>IFERROR(INDEX(面试清单!H:H,MATCH(903,面试清单!P:P,0)),"")</f>
        <v>线下</v>
      </c>
      <c r="I904" s="13" t="s">
        <v>29</v>
      </c>
      <c r="J904" s="10">
        <f ca="1" t="shared" si="43"/>
        <v>82</v>
      </c>
      <c r="K904" s="10">
        <f ca="1" t="shared" si="44"/>
        <v>16</v>
      </c>
    </row>
    <row r="905" ht="18" spans="1:11">
      <c r="A905" s="14">
        <f t="shared" si="42"/>
        <v>904</v>
      </c>
      <c r="B905" s="11" t="s">
        <v>4841</v>
      </c>
      <c r="C905" s="124" t="str">
        <f>IFERROR(INDEX(面试清单!D:D,MATCH(904,面试清单!P:P,0)),"")</f>
        <v>0218</v>
      </c>
      <c r="D905" s="11" t="s">
        <v>43</v>
      </c>
      <c r="E905" s="11" t="s">
        <v>62</v>
      </c>
      <c r="F905" s="11" t="s">
        <v>179</v>
      </c>
      <c r="G905" s="15">
        <v>46107</v>
      </c>
      <c r="H905" s="14" t="str">
        <f>IFERROR(INDEX(面试清单!H:H,MATCH(904,面试清单!P:P,0)),"")</f>
        <v>线下</v>
      </c>
      <c r="I905" s="13" t="s">
        <v>29</v>
      </c>
      <c r="J905" s="14">
        <f ca="1" t="shared" si="43"/>
        <v>82</v>
      </c>
      <c r="K905" s="14">
        <f ca="1" t="shared" si="44"/>
        <v>16</v>
      </c>
    </row>
    <row r="906" ht="18" spans="1:11">
      <c r="A906" s="10">
        <f t="shared" si="42"/>
        <v>905</v>
      </c>
      <c r="B906" s="11" t="s">
        <v>4842</v>
      </c>
      <c r="C906" s="125" t="str">
        <f>IFERROR(INDEX(面试清单!D:D,MATCH(905,面试清单!P:P,0)),"")</f>
        <v>0220</v>
      </c>
      <c r="D906" s="11" t="s">
        <v>43</v>
      </c>
      <c r="E906" s="11" t="s">
        <v>62</v>
      </c>
      <c r="F906" s="11" t="s">
        <v>176</v>
      </c>
      <c r="G906" s="15">
        <v>46107</v>
      </c>
      <c r="H906" s="10" t="str">
        <f>IFERROR(INDEX(面试清单!H:H,MATCH(905,面试清单!P:P,0)),"")</f>
        <v>线下</v>
      </c>
      <c r="I906" s="13" t="s">
        <v>29</v>
      </c>
      <c r="J906" s="10">
        <f ca="1" t="shared" si="43"/>
        <v>82</v>
      </c>
      <c r="K906" s="10">
        <f ca="1" t="shared" si="44"/>
        <v>16</v>
      </c>
    </row>
    <row r="907" ht="18" spans="1:11">
      <c r="A907" s="14">
        <f t="shared" si="42"/>
        <v>906</v>
      </c>
      <c r="B907" s="11" t="s">
        <v>4843</v>
      </c>
      <c r="C907" s="124" t="str">
        <f>IFERROR(INDEX(面试清单!D:D,MATCH(906,面试清单!P:P,0)),"")</f>
        <v>0221</v>
      </c>
      <c r="D907" s="11" t="s">
        <v>42</v>
      </c>
      <c r="E907" s="11" t="s">
        <v>62</v>
      </c>
      <c r="F907" s="11" t="s">
        <v>733</v>
      </c>
      <c r="G907" s="15">
        <v>46107</v>
      </c>
      <c r="H907" s="14" t="str">
        <f>IFERROR(INDEX(面试清单!H:H,MATCH(906,面试清单!P:P,0)),"")</f>
        <v>线下</v>
      </c>
      <c r="I907" s="13" t="s">
        <v>29</v>
      </c>
      <c r="J907" s="14">
        <f ca="1" t="shared" si="43"/>
        <v>82</v>
      </c>
      <c r="K907" s="14">
        <f ca="1" t="shared" si="44"/>
        <v>16</v>
      </c>
    </row>
    <row r="908" ht="18" spans="1:11">
      <c r="A908" s="10">
        <f t="shared" si="42"/>
        <v>907</v>
      </c>
      <c r="B908" s="11" t="s">
        <v>4844</v>
      </c>
      <c r="C908" s="10" t="str">
        <f>IFERROR(INDEX(面试清单!D:D,MATCH(907,面试清单!P:P,0)),"")</f>
        <v/>
      </c>
      <c r="D908" s="11" t="s">
        <v>74</v>
      </c>
      <c r="E908" s="11" t="s">
        <v>64</v>
      </c>
      <c r="F908" s="11" t="s">
        <v>179</v>
      </c>
      <c r="G908" s="15">
        <v>46107</v>
      </c>
      <c r="H908" s="10" t="str">
        <f>IFERROR(INDEX(面试清单!H:H,MATCH(907,面试清单!P:P,0)),"")</f>
        <v/>
      </c>
      <c r="I908" s="13" t="s">
        <v>29</v>
      </c>
      <c r="J908" s="10">
        <f ca="1" t="shared" si="43"/>
        <v>82</v>
      </c>
      <c r="K908" s="10">
        <f ca="1" t="shared" si="44"/>
        <v>16</v>
      </c>
    </row>
    <row r="909" ht="18" spans="1:11">
      <c r="A909" s="14">
        <f t="shared" si="42"/>
        <v>908</v>
      </c>
      <c r="B909" s="11" t="s">
        <v>4845</v>
      </c>
      <c r="C909" s="124" t="str">
        <f>IFERROR(INDEX(面试清单!D:D,MATCH(908,面试清单!P:P,0)),"")</f>
        <v>0208</v>
      </c>
      <c r="D909" s="11" t="s">
        <v>43</v>
      </c>
      <c r="E909" s="11" t="s">
        <v>64</v>
      </c>
      <c r="F909" s="11" t="s">
        <v>179</v>
      </c>
      <c r="G909" s="15">
        <v>46107</v>
      </c>
      <c r="H909" s="14" t="str">
        <f>IFERROR(INDEX(面试清单!H:H,MATCH(908,面试清单!P:P,0)),"")</f>
        <v>线下</v>
      </c>
      <c r="I909" s="13" t="s">
        <v>29</v>
      </c>
      <c r="J909" s="14">
        <f ca="1" t="shared" si="43"/>
        <v>82</v>
      </c>
      <c r="K909" s="14">
        <f ca="1" t="shared" si="44"/>
        <v>16</v>
      </c>
    </row>
    <row r="910" ht="18" spans="1:11">
      <c r="A910" s="10">
        <f t="shared" si="42"/>
        <v>909</v>
      </c>
      <c r="B910" s="11" t="s">
        <v>4846</v>
      </c>
      <c r="C910" s="10" t="str">
        <f>IFERROR(INDEX(面试清单!D:D,MATCH(909,面试清单!P:P,0)),"")</f>
        <v/>
      </c>
      <c r="D910" s="11" t="s">
        <v>42</v>
      </c>
      <c r="E910" s="11" t="s">
        <v>63</v>
      </c>
      <c r="F910" s="11" t="s">
        <v>103</v>
      </c>
      <c r="G910" s="15">
        <v>46108</v>
      </c>
      <c r="H910" s="10" t="str">
        <f>IFERROR(INDEX(面试清单!H:H,MATCH(909,面试清单!P:P,0)),"")</f>
        <v/>
      </c>
      <c r="I910" s="13" t="s">
        <v>29</v>
      </c>
      <c r="J910" s="10">
        <f ca="1" t="shared" si="43"/>
        <v>81</v>
      </c>
      <c r="K910" s="10">
        <f ca="1" t="shared" si="44"/>
        <v>16</v>
      </c>
    </row>
    <row r="911" ht="18" spans="1:11">
      <c r="A911" s="14">
        <f t="shared" si="42"/>
        <v>910</v>
      </c>
      <c r="B911" s="11" t="s">
        <v>4847</v>
      </c>
      <c r="C911" s="14" t="str">
        <f>IFERROR(INDEX(面试清单!D:D,MATCH(910,面试清单!P:P,0)),"")</f>
        <v/>
      </c>
      <c r="D911" s="11" t="s">
        <v>73</v>
      </c>
      <c r="E911" s="11" t="s">
        <v>63</v>
      </c>
      <c r="F911" s="11" t="s">
        <v>129</v>
      </c>
      <c r="G911" s="15">
        <v>46108</v>
      </c>
      <c r="H911" s="14" t="str">
        <f>IFERROR(INDEX(面试清单!H:H,MATCH(910,面试清单!P:P,0)),"")</f>
        <v/>
      </c>
      <c r="I911" s="13" t="s">
        <v>29</v>
      </c>
      <c r="J911" s="14">
        <f ca="1" t="shared" si="43"/>
        <v>81</v>
      </c>
      <c r="K911" s="14">
        <f ca="1" t="shared" si="44"/>
        <v>16</v>
      </c>
    </row>
    <row r="912" ht="18" spans="1:11">
      <c r="A912" s="10">
        <f t="shared" si="42"/>
        <v>911</v>
      </c>
      <c r="B912" s="11" t="s">
        <v>4848</v>
      </c>
      <c r="C912" s="10" t="str">
        <f>IFERROR(INDEX(面试清单!D:D,MATCH(911,面试清单!P:P,0)),"")</f>
        <v/>
      </c>
      <c r="D912" s="11" t="s">
        <v>42</v>
      </c>
      <c r="E912" s="11" t="s">
        <v>62</v>
      </c>
      <c r="F912" s="11" t="s">
        <v>124</v>
      </c>
      <c r="G912" s="15">
        <v>46108</v>
      </c>
      <c r="H912" s="10" t="str">
        <f>IFERROR(INDEX(面试清单!H:H,MATCH(911,面试清单!P:P,0)),"")</f>
        <v/>
      </c>
      <c r="I912" s="13" t="s">
        <v>29</v>
      </c>
      <c r="J912" s="10">
        <f ca="1" t="shared" si="43"/>
        <v>81</v>
      </c>
      <c r="K912" s="10">
        <f ca="1" t="shared" si="44"/>
        <v>16</v>
      </c>
    </row>
    <row r="913" ht="18" spans="1:11">
      <c r="A913" s="14">
        <f t="shared" si="42"/>
        <v>912</v>
      </c>
      <c r="B913" s="11" t="s">
        <v>4849</v>
      </c>
      <c r="C913" s="14" t="str">
        <f>IFERROR(INDEX(面试清单!D:D,MATCH(912,面试清单!P:P,0)),"")</f>
        <v/>
      </c>
      <c r="D913" s="11" t="s">
        <v>42</v>
      </c>
      <c r="E913" s="11" t="s">
        <v>62</v>
      </c>
      <c r="F913" s="11" t="s">
        <v>124</v>
      </c>
      <c r="G913" s="15">
        <v>46108</v>
      </c>
      <c r="H913" s="14" t="str">
        <f>IFERROR(INDEX(面试清单!H:H,MATCH(912,面试清单!P:P,0)),"")</f>
        <v/>
      </c>
      <c r="I913" s="13" t="s">
        <v>29</v>
      </c>
      <c r="J913" s="14">
        <f ca="1" t="shared" si="43"/>
        <v>81</v>
      </c>
      <c r="K913" s="14">
        <f ca="1" t="shared" si="44"/>
        <v>16</v>
      </c>
    </row>
    <row r="914" ht="18" spans="1:11">
      <c r="A914" s="10">
        <f t="shared" si="42"/>
        <v>913</v>
      </c>
      <c r="B914" s="11" t="s">
        <v>4850</v>
      </c>
      <c r="C914" s="10" t="str">
        <f>IFERROR(INDEX(面试清单!D:D,MATCH(913,面试清单!P:P,0)),"")</f>
        <v/>
      </c>
      <c r="D914" s="11" t="s">
        <v>42</v>
      </c>
      <c r="E914" s="11" t="s">
        <v>63</v>
      </c>
      <c r="F914" s="11" t="s">
        <v>129</v>
      </c>
      <c r="G914" s="15">
        <v>46108</v>
      </c>
      <c r="H914" s="10" t="str">
        <f>IFERROR(INDEX(面试清单!H:H,MATCH(913,面试清单!P:P,0)),"")</f>
        <v/>
      </c>
      <c r="I914" s="13" t="s">
        <v>29</v>
      </c>
      <c r="J914" s="10">
        <f ca="1" t="shared" si="43"/>
        <v>81</v>
      </c>
      <c r="K914" s="10">
        <f ca="1" t="shared" si="44"/>
        <v>16</v>
      </c>
    </row>
    <row r="915" ht="18" spans="1:11">
      <c r="A915" s="14">
        <f t="shared" si="42"/>
        <v>914</v>
      </c>
      <c r="B915" s="11" t="s">
        <v>4851</v>
      </c>
      <c r="C915" s="124" t="str">
        <f>IFERROR(INDEX(面试清单!D:D,MATCH(914,面试清单!P:P,0)),"")</f>
        <v>0220</v>
      </c>
      <c r="D915" s="11" t="s">
        <v>42</v>
      </c>
      <c r="E915" s="11" t="s">
        <v>62</v>
      </c>
      <c r="F915" s="11" t="s">
        <v>307</v>
      </c>
      <c r="G915" s="15">
        <v>46108</v>
      </c>
      <c r="H915" s="14" t="str">
        <f>IFERROR(INDEX(面试清单!H:H,MATCH(914,面试清单!P:P,0)),"")</f>
        <v>线上</v>
      </c>
      <c r="I915" s="13" t="s">
        <v>29</v>
      </c>
      <c r="J915" s="14">
        <f ca="1" t="shared" si="43"/>
        <v>81</v>
      </c>
      <c r="K915" s="14">
        <f ca="1" t="shared" si="44"/>
        <v>16</v>
      </c>
    </row>
    <row r="916" ht="18" spans="1:11">
      <c r="A916" s="10">
        <f t="shared" si="42"/>
        <v>915</v>
      </c>
      <c r="B916" s="11" t="s">
        <v>4852</v>
      </c>
      <c r="C916" s="10" t="str">
        <f>IFERROR(INDEX(面试清单!D:D,MATCH(915,面试清单!P:P,0)),"")</f>
        <v/>
      </c>
      <c r="D916" s="11" t="s">
        <v>42</v>
      </c>
      <c r="E916" s="11" t="s">
        <v>62</v>
      </c>
      <c r="F916" s="11" t="s">
        <v>173</v>
      </c>
      <c r="G916" s="15">
        <v>46108</v>
      </c>
      <c r="H916" s="10" t="str">
        <f>IFERROR(INDEX(面试清单!H:H,MATCH(915,面试清单!P:P,0)),"")</f>
        <v/>
      </c>
      <c r="I916" s="13" t="s">
        <v>29</v>
      </c>
      <c r="J916" s="10">
        <f ca="1" t="shared" si="43"/>
        <v>81</v>
      </c>
      <c r="K916" s="10">
        <f ca="1" t="shared" si="44"/>
        <v>16</v>
      </c>
    </row>
    <row r="917" ht="18" spans="1:11">
      <c r="A917" s="14">
        <f t="shared" si="42"/>
        <v>916</v>
      </c>
      <c r="B917" s="11" t="s">
        <v>4853</v>
      </c>
      <c r="C917" s="14" t="str">
        <f>IFERROR(INDEX(面试清单!D:D,MATCH(916,面试清单!P:P,0)),"")</f>
        <v/>
      </c>
      <c r="D917" s="11" t="s">
        <v>43</v>
      </c>
      <c r="E917" s="11" t="s">
        <v>63</v>
      </c>
      <c r="F917" s="11" t="s">
        <v>132</v>
      </c>
      <c r="G917" s="15">
        <v>46108</v>
      </c>
      <c r="H917" s="14" t="str">
        <f>IFERROR(INDEX(面试清单!H:H,MATCH(916,面试清单!P:P,0)),"")</f>
        <v/>
      </c>
      <c r="I917" s="13" t="s">
        <v>29</v>
      </c>
      <c r="J917" s="14">
        <f ca="1" t="shared" si="43"/>
        <v>81</v>
      </c>
      <c r="K917" s="14">
        <f ca="1" t="shared" si="44"/>
        <v>16</v>
      </c>
    </row>
    <row r="918" ht="18" spans="1:11">
      <c r="A918" s="10">
        <f t="shared" si="42"/>
        <v>917</v>
      </c>
      <c r="B918" s="11" t="s">
        <v>4854</v>
      </c>
      <c r="C918" s="10" t="str">
        <f>IFERROR(INDEX(面试清单!D:D,MATCH(917,面试清单!P:P,0)),"")</f>
        <v/>
      </c>
      <c r="D918" s="11" t="s">
        <v>42</v>
      </c>
      <c r="E918" s="11" t="s">
        <v>62</v>
      </c>
      <c r="F918" s="11" t="s">
        <v>307</v>
      </c>
      <c r="G918" s="15">
        <v>46108</v>
      </c>
      <c r="H918" s="10" t="str">
        <f>IFERROR(INDEX(面试清单!H:H,MATCH(917,面试清单!P:P,0)),"")</f>
        <v/>
      </c>
      <c r="I918" s="13" t="s">
        <v>29</v>
      </c>
      <c r="J918" s="10">
        <f ca="1" t="shared" si="43"/>
        <v>81</v>
      </c>
      <c r="K918" s="10">
        <f ca="1" t="shared" si="44"/>
        <v>16</v>
      </c>
    </row>
    <row r="919" ht="18" spans="1:11">
      <c r="A919" s="14">
        <f t="shared" si="42"/>
        <v>918</v>
      </c>
      <c r="B919" s="11" t="s">
        <v>4855</v>
      </c>
      <c r="C919" s="14" t="str">
        <f>IFERROR(INDEX(面试清单!D:D,MATCH(918,面试清单!P:P,0)),"")</f>
        <v/>
      </c>
      <c r="D919" s="11" t="s">
        <v>43</v>
      </c>
      <c r="E919" s="11" t="s">
        <v>63</v>
      </c>
      <c r="F919" s="11" t="s">
        <v>132</v>
      </c>
      <c r="G919" s="15">
        <v>46108</v>
      </c>
      <c r="H919" s="14" t="str">
        <f>IFERROR(INDEX(面试清单!H:H,MATCH(918,面试清单!P:P,0)),"")</f>
        <v/>
      </c>
      <c r="I919" s="13" t="s">
        <v>29</v>
      </c>
      <c r="J919" s="14">
        <f ca="1" t="shared" si="43"/>
        <v>81</v>
      </c>
      <c r="K919" s="14">
        <f ca="1" t="shared" si="44"/>
        <v>16</v>
      </c>
    </row>
    <row r="920" ht="18" spans="1:11">
      <c r="A920" s="10">
        <f t="shared" si="42"/>
        <v>919</v>
      </c>
      <c r="B920" s="11" t="s">
        <v>4856</v>
      </c>
      <c r="C920" s="125" t="str">
        <f>IFERROR(INDEX(面试清单!D:D,MATCH(919,面试清单!P:P,0)),"")</f>
        <v>0212</v>
      </c>
      <c r="D920" s="11" t="s">
        <v>43</v>
      </c>
      <c r="E920" s="11" t="s">
        <v>64</v>
      </c>
      <c r="F920" s="11" t="s">
        <v>179</v>
      </c>
      <c r="G920" s="15">
        <v>46108</v>
      </c>
      <c r="H920" s="10" t="str">
        <f>IFERROR(INDEX(面试清单!H:H,MATCH(919,面试清单!P:P,0)),"")</f>
        <v>线上</v>
      </c>
      <c r="I920" s="13" t="s">
        <v>29</v>
      </c>
      <c r="J920" s="10">
        <f ca="1" t="shared" si="43"/>
        <v>81</v>
      </c>
      <c r="K920" s="10">
        <f ca="1" t="shared" si="44"/>
        <v>16</v>
      </c>
    </row>
    <row r="921" ht="18" spans="1:11">
      <c r="A921" s="14">
        <f t="shared" si="42"/>
        <v>920</v>
      </c>
      <c r="B921" s="11" t="s">
        <v>4857</v>
      </c>
      <c r="C921" s="14" t="str">
        <f>IFERROR(INDEX(面试清单!D:D,MATCH(920,面试清单!P:P,0)),"")</f>
        <v/>
      </c>
      <c r="D921" s="11" t="s">
        <v>43</v>
      </c>
      <c r="E921" s="11" t="s">
        <v>63</v>
      </c>
      <c r="F921" s="11" t="s">
        <v>132</v>
      </c>
      <c r="G921" s="15">
        <v>46108</v>
      </c>
      <c r="H921" s="14" t="str">
        <f>IFERROR(INDEX(面试清单!H:H,MATCH(920,面试清单!P:P,0)),"")</f>
        <v/>
      </c>
      <c r="I921" s="13" t="s">
        <v>29</v>
      </c>
      <c r="J921" s="14">
        <f ca="1" t="shared" si="43"/>
        <v>81</v>
      </c>
      <c r="K921" s="14">
        <f ca="1" t="shared" si="44"/>
        <v>16</v>
      </c>
    </row>
    <row r="922" ht="18" spans="1:11">
      <c r="A922" s="10">
        <f t="shared" si="42"/>
        <v>921</v>
      </c>
      <c r="B922" s="11" t="s">
        <v>4858</v>
      </c>
      <c r="C922" s="10" t="str">
        <f>IFERROR(INDEX(面试清单!D:D,MATCH(921,面试清单!P:P,0)),"")</f>
        <v/>
      </c>
      <c r="D922" s="11" t="s">
        <v>43</v>
      </c>
      <c r="E922" s="11" t="s">
        <v>63</v>
      </c>
      <c r="F922" s="11" t="s">
        <v>176</v>
      </c>
      <c r="G922" s="15">
        <v>46109</v>
      </c>
      <c r="H922" s="10" t="str">
        <f>IFERROR(INDEX(面试清单!H:H,MATCH(921,面试清单!P:P,0)),"")</f>
        <v/>
      </c>
      <c r="I922" s="13" t="s">
        <v>29</v>
      </c>
      <c r="J922" s="10">
        <f ca="1" t="shared" si="43"/>
        <v>80</v>
      </c>
      <c r="K922" s="10">
        <f ca="1" t="shared" si="44"/>
        <v>16</v>
      </c>
    </row>
    <row r="923" ht="18" spans="1:11">
      <c r="A923" s="14">
        <f t="shared" si="42"/>
        <v>922</v>
      </c>
      <c r="B923" s="11" t="s">
        <v>4859</v>
      </c>
      <c r="C923" s="14" t="str">
        <f>IFERROR(INDEX(面试清单!D:D,MATCH(922,面试清单!P:P,0)),"")</f>
        <v/>
      </c>
      <c r="D923" s="11" t="s">
        <v>42</v>
      </c>
      <c r="E923" s="11" t="s">
        <v>62</v>
      </c>
      <c r="F923" s="11" t="s">
        <v>124</v>
      </c>
      <c r="G923" s="15">
        <v>46109</v>
      </c>
      <c r="H923" s="14" t="str">
        <f>IFERROR(INDEX(面试清单!H:H,MATCH(922,面试清单!P:P,0)),"")</f>
        <v/>
      </c>
      <c r="I923" s="13" t="s">
        <v>29</v>
      </c>
      <c r="J923" s="14">
        <f ca="1" t="shared" si="43"/>
        <v>80</v>
      </c>
      <c r="K923" s="14">
        <f ca="1" t="shared" si="44"/>
        <v>16</v>
      </c>
    </row>
    <row r="924" ht="18" spans="1:11">
      <c r="A924" s="10">
        <f t="shared" si="42"/>
        <v>923</v>
      </c>
      <c r="B924" s="11" t="s">
        <v>4860</v>
      </c>
      <c r="C924" s="10" t="str">
        <f>IFERROR(INDEX(面试清单!D:D,MATCH(923,面试清单!P:P,0)),"")</f>
        <v/>
      </c>
      <c r="D924" s="11" t="s">
        <v>43</v>
      </c>
      <c r="E924" s="11" t="s">
        <v>62</v>
      </c>
      <c r="F924" s="11" t="s">
        <v>135</v>
      </c>
      <c r="G924" s="15">
        <v>46109</v>
      </c>
      <c r="H924" s="10" t="str">
        <f>IFERROR(INDEX(面试清单!H:H,MATCH(923,面试清单!P:P,0)),"")</f>
        <v/>
      </c>
      <c r="I924" s="13" t="s">
        <v>29</v>
      </c>
      <c r="J924" s="10">
        <f ca="1" t="shared" si="43"/>
        <v>80</v>
      </c>
      <c r="K924" s="10">
        <f ca="1" t="shared" si="44"/>
        <v>16</v>
      </c>
    </row>
    <row r="925" ht="18" spans="1:11">
      <c r="A925" s="14">
        <f t="shared" si="42"/>
        <v>924</v>
      </c>
      <c r="B925" s="11" t="s">
        <v>4861</v>
      </c>
      <c r="C925" s="14" t="str">
        <f>IFERROR(INDEX(面试清单!D:D,MATCH(924,面试清单!P:P,0)),"")</f>
        <v/>
      </c>
      <c r="D925" s="11" t="s">
        <v>43</v>
      </c>
      <c r="E925" s="11" t="s">
        <v>62</v>
      </c>
      <c r="F925" s="11" t="s">
        <v>124</v>
      </c>
      <c r="G925" s="15">
        <v>46109</v>
      </c>
      <c r="H925" s="14" t="str">
        <f>IFERROR(INDEX(面试清单!H:H,MATCH(924,面试清单!P:P,0)),"")</f>
        <v/>
      </c>
      <c r="I925" s="13" t="s">
        <v>29</v>
      </c>
      <c r="J925" s="14">
        <f ca="1" t="shared" si="43"/>
        <v>80</v>
      </c>
      <c r="K925" s="14">
        <f ca="1" t="shared" si="44"/>
        <v>16</v>
      </c>
    </row>
    <row r="926" ht="18" spans="1:11">
      <c r="A926" s="10">
        <f t="shared" si="42"/>
        <v>925</v>
      </c>
      <c r="B926" s="11" t="s">
        <v>4862</v>
      </c>
      <c r="C926" s="10" t="str">
        <f>IFERROR(INDEX(面试清单!D:D,MATCH(925,面试清单!P:P,0)),"")</f>
        <v/>
      </c>
      <c r="D926" s="11" t="s">
        <v>42</v>
      </c>
      <c r="E926" s="11" t="s">
        <v>62</v>
      </c>
      <c r="F926" s="11" t="s">
        <v>129</v>
      </c>
      <c r="G926" s="15">
        <v>46109</v>
      </c>
      <c r="H926" s="10" t="str">
        <f>IFERROR(INDEX(面试清单!H:H,MATCH(925,面试清单!P:P,0)),"")</f>
        <v/>
      </c>
      <c r="I926" s="13" t="s">
        <v>29</v>
      </c>
      <c r="J926" s="10">
        <f ca="1" t="shared" si="43"/>
        <v>80</v>
      </c>
      <c r="K926" s="10">
        <f ca="1" t="shared" si="44"/>
        <v>16</v>
      </c>
    </row>
    <row r="927" ht="18" spans="1:11">
      <c r="A927" s="14">
        <f t="shared" si="42"/>
        <v>926</v>
      </c>
      <c r="B927" s="11" t="s">
        <v>4863</v>
      </c>
      <c r="C927" s="14" t="str">
        <f>IFERROR(INDEX(面试清单!D:D,MATCH(926,面试清单!P:P,0)),"")</f>
        <v/>
      </c>
      <c r="D927" s="11" t="s">
        <v>42</v>
      </c>
      <c r="E927" s="11" t="s">
        <v>63</v>
      </c>
      <c r="F927" s="11" t="s">
        <v>3379</v>
      </c>
      <c r="G927" s="15">
        <v>46109</v>
      </c>
      <c r="H927" s="14" t="str">
        <f>IFERROR(INDEX(面试清单!H:H,MATCH(926,面试清单!P:P,0)),"")</f>
        <v/>
      </c>
      <c r="I927" s="13" t="s">
        <v>29</v>
      </c>
      <c r="J927" s="14">
        <f ca="1" t="shared" si="43"/>
        <v>80</v>
      </c>
      <c r="K927" s="14">
        <f ca="1" t="shared" si="44"/>
        <v>16</v>
      </c>
    </row>
    <row r="928" ht="18" spans="1:11">
      <c r="A928" s="10">
        <f t="shared" si="42"/>
        <v>927</v>
      </c>
      <c r="B928" s="11" t="s">
        <v>4864</v>
      </c>
      <c r="C928" s="10" t="str">
        <f>IFERROR(INDEX(面试清单!D:D,MATCH(927,面试清单!P:P,0)),"")</f>
        <v/>
      </c>
      <c r="D928" s="11" t="s">
        <v>42</v>
      </c>
      <c r="E928" s="11" t="s">
        <v>62</v>
      </c>
      <c r="F928" s="11" t="s">
        <v>110</v>
      </c>
      <c r="G928" s="15">
        <v>46109</v>
      </c>
      <c r="H928" s="10" t="str">
        <f>IFERROR(INDEX(面试清单!H:H,MATCH(927,面试清单!P:P,0)),"")</f>
        <v/>
      </c>
      <c r="I928" s="13" t="s">
        <v>29</v>
      </c>
      <c r="J928" s="10">
        <f ca="1" t="shared" si="43"/>
        <v>80</v>
      </c>
      <c r="K928" s="10">
        <f ca="1" t="shared" si="44"/>
        <v>16</v>
      </c>
    </row>
    <row r="929" ht="18" spans="1:11">
      <c r="A929" s="14">
        <f t="shared" si="42"/>
        <v>928</v>
      </c>
      <c r="B929" s="11" t="s">
        <v>4865</v>
      </c>
      <c r="C929" s="14" t="str">
        <f>IFERROR(INDEX(面试清单!D:D,MATCH(928,面试清单!P:P,0)),"")</f>
        <v/>
      </c>
      <c r="D929" s="11" t="s">
        <v>42</v>
      </c>
      <c r="E929" s="11" t="s">
        <v>62</v>
      </c>
      <c r="F929" s="11" t="s">
        <v>179</v>
      </c>
      <c r="G929" s="15">
        <v>46109</v>
      </c>
      <c r="H929" s="14" t="str">
        <f>IFERROR(INDEX(面试清单!H:H,MATCH(928,面试清单!P:P,0)),"")</f>
        <v/>
      </c>
      <c r="I929" s="13" t="s">
        <v>29</v>
      </c>
      <c r="J929" s="14">
        <f ca="1" t="shared" si="43"/>
        <v>80</v>
      </c>
      <c r="K929" s="14">
        <f ca="1" t="shared" si="44"/>
        <v>16</v>
      </c>
    </row>
    <row r="930" ht="18" spans="1:11">
      <c r="A930" s="10">
        <f t="shared" si="42"/>
        <v>929</v>
      </c>
      <c r="B930" s="11" t="s">
        <v>4866</v>
      </c>
      <c r="C930" s="10" t="str">
        <f>IFERROR(INDEX(面试清单!D:D,MATCH(929,面试清单!P:P,0)),"")</f>
        <v/>
      </c>
      <c r="D930" s="11" t="s">
        <v>43</v>
      </c>
      <c r="E930" s="11" t="s">
        <v>62</v>
      </c>
      <c r="F930" s="11" t="s">
        <v>129</v>
      </c>
      <c r="G930" s="15">
        <v>46109</v>
      </c>
      <c r="H930" s="10" t="str">
        <f>IFERROR(INDEX(面试清单!H:H,MATCH(929,面试清单!P:P,0)),"")</f>
        <v/>
      </c>
      <c r="I930" s="13" t="s">
        <v>29</v>
      </c>
      <c r="J930" s="10">
        <f ca="1" t="shared" si="43"/>
        <v>80</v>
      </c>
      <c r="K930" s="10">
        <f ca="1" t="shared" si="44"/>
        <v>16</v>
      </c>
    </row>
    <row r="931" ht="18" spans="1:11">
      <c r="A931" s="14">
        <f t="shared" si="42"/>
        <v>930</v>
      </c>
      <c r="B931" s="11" t="s">
        <v>4867</v>
      </c>
      <c r="C931" s="14" t="str">
        <f>IFERROR(INDEX(面试清单!D:D,MATCH(930,面试清单!P:P,0)),"")</f>
        <v/>
      </c>
      <c r="D931" s="11" t="s">
        <v>42</v>
      </c>
      <c r="E931" s="11" t="s">
        <v>62</v>
      </c>
      <c r="F931" s="11" t="s">
        <v>103</v>
      </c>
      <c r="G931" s="15">
        <v>46109</v>
      </c>
      <c r="H931" s="14" t="str">
        <f>IFERROR(INDEX(面试清单!H:H,MATCH(930,面试清单!P:P,0)),"")</f>
        <v/>
      </c>
      <c r="I931" s="13" t="s">
        <v>29</v>
      </c>
      <c r="J931" s="14">
        <f ca="1" t="shared" si="43"/>
        <v>80</v>
      </c>
      <c r="K931" s="14">
        <f ca="1" t="shared" si="44"/>
        <v>16</v>
      </c>
    </row>
    <row r="932" ht="18" spans="1:11">
      <c r="A932" s="10">
        <f t="shared" si="42"/>
        <v>931</v>
      </c>
      <c r="B932" s="11" t="s">
        <v>4868</v>
      </c>
      <c r="C932" s="125" t="str">
        <f>IFERROR(INDEX(面试清单!D:D,MATCH(931,面试清单!P:P,0)),"")</f>
        <v>0218</v>
      </c>
      <c r="D932" s="11" t="s">
        <v>42</v>
      </c>
      <c r="E932" s="11" t="s">
        <v>62</v>
      </c>
      <c r="F932" s="11" t="s">
        <v>103</v>
      </c>
      <c r="G932" s="15">
        <v>46109</v>
      </c>
      <c r="H932" s="10" t="str">
        <f>IFERROR(INDEX(面试清单!H:H,MATCH(931,面试清单!P:P,0)),"")</f>
        <v>线上</v>
      </c>
      <c r="I932" s="13" t="s">
        <v>29</v>
      </c>
      <c r="J932" s="10">
        <f ca="1" t="shared" si="43"/>
        <v>80</v>
      </c>
      <c r="K932" s="10">
        <f ca="1" t="shared" si="44"/>
        <v>16</v>
      </c>
    </row>
    <row r="933" ht="18" spans="1:11">
      <c r="A933" s="14">
        <f t="shared" si="42"/>
        <v>932</v>
      </c>
      <c r="B933" s="11" t="s">
        <v>4869</v>
      </c>
      <c r="C933" s="14" t="str">
        <f>IFERROR(INDEX(面试清单!D:D,MATCH(932,面试清单!P:P,0)),"")</f>
        <v/>
      </c>
      <c r="D933" s="11" t="s">
        <v>42</v>
      </c>
      <c r="E933" s="11" t="s">
        <v>62</v>
      </c>
      <c r="F933" s="11" t="s">
        <v>103</v>
      </c>
      <c r="G933" s="15">
        <v>46109</v>
      </c>
      <c r="H933" s="14" t="str">
        <f>IFERROR(INDEX(面试清单!H:H,MATCH(932,面试清单!P:P,0)),"")</f>
        <v/>
      </c>
      <c r="I933" s="13" t="s">
        <v>29</v>
      </c>
      <c r="J933" s="14">
        <f ca="1" t="shared" si="43"/>
        <v>80</v>
      </c>
      <c r="K933" s="14">
        <f ca="1" t="shared" si="44"/>
        <v>16</v>
      </c>
    </row>
    <row r="934" ht="18" spans="1:11">
      <c r="A934" s="10">
        <f t="shared" si="42"/>
        <v>933</v>
      </c>
      <c r="B934" s="11" t="s">
        <v>4870</v>
      </c>
      <c r="C934" s="125" t="str">
        <f>IFERROR(INDEX(面试清单!D:D,MATCH(933,面试清单!P:P,0)),"")</f>
        <v>0221</v>
      </c>
      <c r="D934" s="11" t="s">
        <v>42</v>
      </c>
      <c r="E934" s="11" t="s">
        <v>62</v>
      </c>
      <c r="F934" s="11" t="s">
        <v>103</v>
      </c>
      <c r="G934" s="15">
        <v>46109</v>
      </c>
      <c r="H934" s="10" t="str">
        <f>IFERROR(INDEX(面试清单!H:H,MATCH(933,面试清单!P:P,0)),"")</f>
        <v>线上</v>
      </c>
      <c r="I934" s="13" t="s">
        <v>29</v>
      </c>
      <c r="J934" s="10">
        <f ca="1" t="shared" si="43"/>
        <v>80</v>
      </c>
      <c r="K934" s="10">
        <f ca="1" t="shared" si="44"/>
        <v>16</v>
      </c>
    </row>
    <row r="935" ht="18" spans="1:11">
      <c r="A935" s="14">
        <f t="shared" si="42"/>
        <v>934</v>
      </c>
      <c r="B935" s="11" t="s">
        <v>4871</v>
      </c>
      <c r="C935" s="14" t="str">
        <f>IFERROR(INDEX(面试清单!D:D,MATCH(934,面试清单!P:P,0)),"")</f>
        <v/>
      </c>
      <c r="D935" s="11" t="s">
        <v>74</v>
      </c>
      <c r="E935" s="11" t="s">
        <v>64</v>
      </c>
      <c r="F935" s="11" t="s">
        <v>179</v>
      </c>
      <c r="G935" s="15">
        <v>46109</v>
      </c>
      <c r="H935" s="14" t="str">
        <f>IFERROR(INDEX(面试清单!H:H,MATCH(934,面试清单!P:P,0)),"")</f>
        <v/>
      </c>
      <c r="I935" s="13" t="s">
        <v>29</v>
      </c>
      <c r="J935" s="14">
        <f ca="1" t="shared" si="43"/>
        <v>80</v>
      </c>
      <c r="K935" s="14">
        <f ca="1" t="shared" si="44"/>
        <v>16</v>
      </c>
    </row>
    <row r="936" ht="18" spans="1:11">
      <c r="A936" s="10">
        <f t="shared" si="42"/>
        <v>935</v>
      </c>
      <c r="B936" s="11" t="s">
        <v>4872</v>
      </c>
      <c r="C936" s="10" t="str">
        <f>IFERROR(INDEX(面试清单!D:D,MATCH(935,面试清单!P:P,0)),"")</f>
        <v/>
      </c>
      <c r="D936" s="11" t="s">
        <v>73</v>
      </c>
      <c r="E936" s="11" t="s">
        <v>63</v>
      </c>
      <c r="F936" s="11" t="s">
        <v>129</v>
      </c>
      <c r="G936" s="15">
        <v>46110</v>
      </c>
      <c r="H936" s="10" t="str">
        <f>IFERROR(INDEX(面试清单!H:H,MATCH(935,面试清单!P:P,0)),"")</f>
        <v/>
      </c>
      <c r="I936" s="13" t="s">
        <v>29</v>
      </c>
      <c r="J936" s="10">
        <f ca="1" t="shared" si="43"/>
        <v>79</v>
      </c>
      <c r="K936" s="10">
        <f ca="1" t="shared" si="44"/>
        <v>16</v>
      </c>
    </row>
    <row r="937" ht="18" spans="1:11">
      <c r="A937" s="14">
        <f t="shared" si="42"/>
        <v>936</v>
      </c>
      <c r="B937" s="11" t="s">
        <v>4873</v>
      </c>
      <c r="C937" s="14" t="str">
        <f>IFERROR(INDEX(面试清单!D:D,MATCH(936,面试清单!P:P,0)),"")</f>
        <v/>
      </c>
      <c r="D937" s="11" t="s">
        <v>73</v>
      </c>
      <c r="E937" s="11" t="s">
        <v>62</v>
      </c>
      <c r="F937" s="11" t="s">
        <v>129</v>
      </c>
      <c r="G937" s="15">
        <v>46110</v>
      </c>
      <c r="H937" s="14" t="str">
        <f>IFERROR(INDEX(面试清单!H:H,MATCH(936,面试清单!P:P,0)),"")</f>
        <v/>
      </c>
      <c r="I937" s="13" t="s">
        <v>29</v>
      </c>
      <c r="J937" s="14">
        <f ca="1" t="shared" si="43"/>
        <v>79</v>
      </c>
      <c r="K937" s="14">
        <f ca="1" t="shared" si="44"/>
        <v>16</v>
      </c>
    </row>
    <row r="938" ht="18" spans="1:11">
      <c r="A938" s="10">
        <f t="shared" si="42"/>
        <v>937</v>
      </c>
      <c r="B938" s="11" t="s">
        <v>4874</v>
      </c>
      <c r="C938" s="10" t="str">
        <f>IFERROR(INDEX(面试清单!D:D,MATCH(937,面试清单!P:P,0)),"")</f>
        <v/>
      </c>
      <c r="D938" s="11" t="s">
        <v>73</v>
      </c>
      <c r="E938" s="11" t="s">
        <v>62</v>
      </c>
      <c r="F938" s="11" t="s">
        <v>129</v>
      </c>
      <c r="G938" s="15">
        <v>46110</v>
      </c>
      <c r="H938" s="10" t="str">
        <f>IFERROR(INDEX(面试清单!H:H,MATCH(937,面试清单!P:P,0)),"")</f>
        <v/>
      </c>
      <c r="I938" s="13" t="s">
        <v>29</v>
      </c>
      <c r="J938" s="10">
        <f ca="1" t="shared" si="43"/>
        <v>79</v>
      </c>
      <c r="K938" s="10">
        <f ca="1" t="shared" si="44"/>
        <v>16</v>
      </c>
    </row>
    <row r="939" ht="18" spans="1:11">
      <c r="A939" s="14">
        <f t="shared" si="42"/>
        <v>938</v>
      </c>
      <c r="B939" s="11" t="s">
        <v>4875</v>
      </c>
      <c r="C939" s="14" t="str">
        <f>IFERROR(INDEX(面试清单!D:D,MATCH(938,面试清单!P:P,0)),"")</f>
        <v/>
      </c>
      <c r="D939" s="11" t="s">
        <v>42</v>
      </c>
      <c r="E939" s="11" t="s">
        <v>62</v>
      </c>
      <c r="F939" s="11" t="s">
        <v>3379</v>
      </c>
      <c r="G939" s="15">
        <v>46110</v>
      </c>
      <c r="H939" s="14" t="str">
        <f>IFERROR(INDEX(面试清单!H:H,MATCH(938,面试清单!P:P,0)),"")</f>
        <v/>
      </c>
      <c r="I939" s="13" t="s">
        <v>29</v>
      </c>
      <c r="J939" s="14">
        <f ca="1" t="shared" si="43"/>
        <v>79</v>
      </c>
      <c r="K939" s="14">
        <f ca="1" t="shared" si="44"/>
        <v>16</v>
      </c>
    </row>
    <row r="940" ht="18" spans="1:11">
      <c r="A940" s="10">
        <f t="shared" si="42"/>
        <v>939</v>
      </c>
      <c r="B940" s="11" t="s">
        <v>4876</v>
      </c>
      <c r="C940" s="125" t="str">
        <f>IFERROR(INDEX(面试清单!D:D,MATCH(939,面试清单!P:P,0)),"")</f>
        <v>0217</v>
      </c>
      <c r="D940" s="11" t="s">
        <v>73</v>
      </c>
      <c r="E940" s="11" t="s">
        <v>63</v>
      </c>
      <c r="F940" s="11" t="s">
        <v>129</v>
      </c>
      <c r="G940" s="15">
        <v>46110</v>
      </c>
      <c r="H940" s="10" t="str">
        <f>IFERROR(INDEX(面试清单!H:H,MATCH(939,面试清单!P:P,0)),"")</f>
        <v>线上</v>
      </c>
      <c r="I940" s="13" t="s">
        <v>29</v>
      </c>
      <c r="J940" s="10">
        <f ca="1" t="shared" si="43"/>
        <v>79</v>
      </c>
      <c r="K940" s="10">
        <f ca="1" t="shared" si="44"/>
        <v>16</v>
      </c>
    </row>
    <row r="941" ht="18" spans="1:11">
      <c r="A941" s="14">
        <f t="shared" si="42"/>
        <v>940</v>
      </c>
      <c r="B941" s="11" t="s">
        <v>4877</v>
      </c>
      <c r="C941" s="124" t="str">
        <f>IFERROR(INDEX(面试清单!D:D,MATCH(940,面试清单!P:P,0)),"")</f>
        <v>0218</v>
      </c>
      <c r="D941" s="11" t="s">
        <v>43</v>
      </c>
      <c r="E941" s="11" t="s">
        <v>63</v>
      </c>
      <c r="F941" s="11" t="s">
        <v>233</v>
      </c>
      <c r="G941" s="15">
        <v>46110</v>
      </c>
      <c r="H941" s="14" t="str">
        <f>IFERROR(INDEX(面试清单!H:H,MATCH(940,面试清单!P:P,0)),"")</f>
        <v>线上</v>
      </c>
      <c r="I941" s="13" t="s">
        <v>29</v>
      </c>
      <c r="J941" s="14">
        <f ca="1" t="shared" si="43"/>
        <v>79</v>
      </c>
      <c r="K941" s="14">
        <f ca="1" t="shared" si="44"/>
        <v>16</v>
      </c>
    </row>
    <row r="942" ht="18" spans="1:11">
      <c r="A942" s="10">
        <f t="shared" si="42"/>
        <v>941</v>
      </c>
      <c r="B942" s="11" t="s">
        <v>4878</v>
      </c>
      <c r="C942" s="125" t="str">
        <f>IFERROR(INDEX(面试清单!D:D,MATCH(941,面试清单!P:P,0)),"")</f>
        <v>0220</v>
      </c>
      <c r="D942" s="11" t="s">
        <v>74</v>
      </c>
      <c r="E942" s="11" t="s">
        <v>64</v>
      </c>
      <c r="F942" s="11" t="s">
        <v>179</v>
      </c>
      <c r="G942" s="15">
        <v>46110</v>
      </c>
      <c r="H942" s="10" t="str">
        <f>IFERROR(INDEX(面试清单!H:H,MATCH(941,面试清单!P:P,0)),"")</f>
        <v>线上</v>
      </c>
      <c r="I942" s="13" t="s">
        <v>29</v>
      </c>
      <c r="J942" s="10">
        <f ca="1" t="shared" si="43"/>
        <v>79</v>
      </c>
      <c r="K942" s="10">
        <f ca="1" t="shared" si="44"/>
        <v>16</v>
      </c>
    </row>
    <row r="943" ht="18" spans="1:11">
      <c r="A943" s="14">
        <f t="shared" si="42"/>
        <v>942</v>
      </c>
      <c r="B943" s="11" t="s">
        <v>4879</v>
      </c>
      <c r="C943" s="14" t="str">
        <f>IFERROR(INDEX(面试清单!D:D,MATCH(942,面试清单!P:P,0)),"")</f>
        <v/>
      </c>
      <c r="D943" s="11" t="s">
        <v>43</v>
      </c>
      <c r="E943" s="11" t="s">
        <v>64</v>
      </c>
      <c r="F943" s="11" t="s">
        <v>179</v>
      </c>
      <c r="G943" s="15">
        <v>46110</v>
      </c>
      <c r="H943" s="14" t="str">
        <f>IFERROR(INDEX(面试清单!H:H,MATCH(942,面试清单!P:P,0)),"")</f>
        <v/>
      </c>
      <c r="I943" s="13" t="s">
        <v>29</v>
      </c>
      <c r="J943" s="14">
        <f ca="1" t="shared" si="43"/>
        <v>79</v>
      </c>
      <c r="K943" s="14">
        <f ca="1" t="shared" si="44"/>
        <v>16</v>
      </c>
    </row>
    <row r="944" ht="18" spans="1:11">
      <c r="A944" s="10">
        <f t="shared" si="42"/>
        <v>943</v>
      </c>
      <c r="B944" s="11" t="s">
        <v>4880</v>
      </c>
      <c r="C944" s="10" t="str">
        <f>IFERROR(INDEX(面试清单!D:D,MATCH(943,面试清单!P:P,0)),"")</f>
        <v/>
      </c>
      <c r="D944" s="11" t="s">
        <v>73</v>
      </c>
      <c r="E944" s="11" t="s">
        <v>63</v>
      </c>
      <c r="F944" s="11" t="s">
        <v>129</v>
      </c>
      <c r="G944" s="15">
        <v>46110</v>
      </c>
      <c r="H944" s="10" t="str">
        <f>IFERROR(INDEX(面试清单!H:H,MATCH(943,面试清单!P:P,0)),"")</f>
        <v/>
      </c>
      <c r="I944" s="13" t="s">
        <v>29</v>
      </c>
      <c r="J944" s="10">
        <f ca="1" t="shared" si="43"/>
        <v>79</v>
      </c>
      <c r="K944" s="10">
        <f ca="1" t="shared" si="44"/>
        <v>16</v>
      </c>
    </row>
    <row r="945" ht="18" spans="1:11">
      <c r="A945" s="14">
        <f t="shared" si="42"/>
        <v>944</v>
      </c>
      <c r="B945" s="11" t="s">
        <v>4881</v>
      </c>
      <c r="C945" s="14" t="str">
        <f>IFERROR(INDEX(面试清单!D:D,MATCH(944,面试清单!P:P,0)),"")</f>
        <v/>
      </c>
      <c r="D945" s="11" t="s">
        <v>73</v>
      </c>
      <c r="E945" s="11" t="s">
        <v>62</v>
      </c>
      <c r="F945" s="11" t="s">
        <v>129</v>
      </c>
      <c r="G945" s="15">
        <v>46110</v>
      </c>
      <c r="H945" s="14" t="str">
        <f>IFERROR(INDEX(面试清单!H:H,MATCH(944,面试清单!P:P,0)),"")</f>
        <v/>
      </c>
      <c r="I945" s="13" t="s">
        <v>29</v>
      </c>
      <c r="J945" s="14">
        <f ca="1" t="shared" si="43"/>
        <v>79</v>
      </c>
      <c r="K945" s="14">
        <f ca="1" t="shared" si="44"/>
        <v>16</v>
      </c>
    </row>
    <row r="946" ht="18" spans="1:11">
      <c r="A946" s="10">
        <f t="shared" si="42"/>
        <v>945</v>
      </c>
      <c r="B946" s="11" t="s">
        <v>4882</v>
      </c>
      <c r="C946" s="125" t="str">
        <f>IFERROR(INDEX(面试清单!D:D,MATCH(945,面试清单!P:P,0)),"")</f>
        <v>0208</v>
      </c>
      <c r="D946" s="11" t="s">
        <v>42</v>
      </c>
      <c r="E946" s="11" t="s">
        <v>62</v>
      </c>
      <c r="F946" s="11" t="s">
        <v>246</v>
      </c>
      <c r="G946" s="15">
        <v>46111</v>
      </c>
      <c r="H946" s="10" t="str">
        <f>IFERROR(INDEX(面试清单!H:H,MATCH(945,面试清单!P:P,0)),"")</f>
        <v>线上</v>
      </c>
      <c r="I946" s="13" t="s">
        <v>29</v>
      </c>
      <c r="J946" s="10">
        <f ca="1" t="shared" si="43"/>
        <v>78</v>
      </c>
      <c r="K946" s="10">
        <f ca="1" t="shared" si="44"/>
        <v>16</v>
      </c>
    </row>
    <row r="947" ht="18" spans="1:11">
      <c r="A947" s="14">
        <f t="shared" si="42"/>
        <v>946</v>
      </c>
      <c r="B947" s="11" t="s">
        <v>4883</v>
      </c>
      <c r="C947" s="14" t="str">
        <f>IFERROR(INDEX(面试清单!D:D,MATCH(946,面试清单!P:P,0)),"")</f>
        <v/>
      </c>
      <c r="D947" s="11" t="s">
        <v>43</v>
      </c>
      <c r="E947" s="11" t="s">
        <v>63</v>
      </c>
      <c r="F947" s="11" t="s">
        <v>129</v>
      </c>
      <c r="G947" s="15">
        <v>46111</v>
      </c>
      <c r="H947" s="14" t="str">
        <f>IFERROR(INDEX(面试清单!H:H,MATCH(946,面试清单!P:P,0)),"")</f>
        <v/>
      </c>
      <c r="I947" s="13" t="s">
        <v>29</v>
      </c>
      <c r="J947" s="14">
        <f ca="1" t="shared" si="43"/>
        <v>78</v>
      </c>
      <c r="K947" s="14">
        <f ca="1" t="shared" si="44"/>
        <v>16</v>
      </c>
    </row>
    <row r="948" ht="18" spans="1:11">
      <c r="A948" s="10">
        <f t="shared" si="42"/>
        <v>947</v>
      </c>
      <c r="B948" s="11" t="s">
        <v>4884</v>
      </c>
      <c r="C948" s="10" t="str">
        <f>IFERROR(INDEX(面试清单!D:D,MATCH(947,面试清单!P:P,0)),"")</f>
        <v/>
      </c>
      <c r="D948" s="11" t="s">
        <v>43</v>
      </c>
      <c r="E948" s="11" t="s">
        <v>63</v>
      </c>
      <c r="F948" s="11" t="s">
        <v>129</v>
      </c>
      <c r="G948" s="15">
        <v>46111</v>
      </c>
      <c r="H948" s="10" t="str">
        <f>IFERROR(INDEX(面试清单!H:H,MATCH(947,面试清单!P:P,0)),"")</f>
        <v/>
      </c>
      <c r="I948" s="13" t="s">
        <v>29</v>
      </c>
      <c r="J948" s="10">
        <f ca="1" t="shared" si="43"/>
        <v>78</v>
      </c>
      <c r="K948" s="10">
        <f ca="1" t="shared" si="44"/>
        <v>16</v>
      </c>
    </row>
    <row r="949" ht="18" spans="1:11">
      <c r="A949" s="14">
        <f t="shared" si="42"/>
        <v>948</v>
      </c>
      <c r="B949" s="11" t="s">
        <v>4885</v>
      </c>
      <c r="C949" s="124" t="str">
        <f>IFERROR(INDEX(面试清单!D:D,MATCH(948,面试清单!P:P,0)),"")</f>
        <v>0214</v>
      </c>
      <c r="D949" s="11" t="s">
        <v>42</v>
      </c>
      <c r="E949" s="11" t="s">
        <v>62</v>
      </c>
      <c r="F949" s="11" t="s">
        <v>103</v>
      </c>
      <c r="G949" s="15">
        <v>46111</v>
      </c>
      <c r="H949" s="14" t="str">
        <f>IFERROR(INDEX(面试清单!H:H,MATCH(948,面试清单!P:P,0)),"")</f>
        <v>线上</v>
      </c>
      <c r="I949" s="13" t="s">
        <v>29</v>
      </c>
      <c r="J949" s="14">
        <f ca="1" t="shared" si="43"/>
        <v>78</v>
      </c>
      <c r="K949" s="14">
        <f ca="1" t="shared" si="44"/>
        <v>16</v>
      </c>
    </row>
    <row r="950" ht="18" spans="1:11">
      <c r="A950" s="10">
        <f t="shared" si="42"/>
        <v>949</v>
      </c>
      <c r="B950" s="11" t="s">
        <v>4886</v>
      </c>
      <c r="C950" s="125" t="str">
        <f>IFERROR(INDEX(面试清单!D:D,MATCH(949,面试清单!P:P,0)),"")</f>
        <v>0217</v>
      </c>
      <c r="D950" s="11" t="s">
        <v>74</v>
      </c>
      <c r="E950" s="11" t="s">
        <v>190</v>
      </c>
      <c r="F950" s="11" t="s">
        <v>179</v>
      </c>
      <c r="G950" s="15">
        <v>46111</v>
      </c>
      <c r="H950" s="10" t="str">
        <f>IFERROR(INDEX(面试清单!H:H,MATCH(949,面试清单!P:P,0)),"")</f>
        <v>线上</v>
      </c>
      <c r="I950" s="13" t="s">
        <v>29</v>
      </c>
      <c r="J950" s="10">
        <f ca="1" t="shared" si="43"/>
        <v>78</v>
      </c>
      <c r="K950" s="10">
        <f ca="1" t="shared" si="44"/>
        <v>16</v>
      </c>
    </row>
    <row r="951" ht="18" spans="1:11">
      <c r="A951" s="14">
        <f t="shared" si="42"/>
        <v>950</v>
      </c>
      <c r="B951" s="11" t="s">
        <v>4887</v>
      </c>
      <c r="C951" s="124" t="str">
        <f>IFERROR(INDEX(面试清单!D:D,MATCH(950,面试清单!P:P,0)),"")</f>
        <v>0218</v>
      </c>
      <c r="D951" s="11" t="s">
        <v>42</v>
      </c>
      <c r="E951" s="11" t="s">
        <v>62</v>
      </c>
      <c r="F951" s="11" t="s">
        <v>179</v>
      </c>
      <c r="G951" s="15">
        <v>46112</v>
      </c>
      <c r="H951" s="14" t="str">
        <f>IFERROR(INDEX(面试清单!H:H,MATCH(950,面试清单!P:P,0)),"")</f>
        <v>线上</v>
      </c>
      <c r="I951" s="13" t="s">
        <v>29</v>
      </c>
      <c r="J951" s="14">
        <f ca="1" t="shared" si="43"/>
        <v>77</v>
      </c>
      <c r="K951" s="14">
        <f ca="1" t="shared" si="44"/>
        <v>16</v>
      </c>
    </row>
    <row r="952" ht="18" spans="1:11">
      <c r="A952" s="10">
        <f t="shared" si="42"/>
        <v>951</v>
      </c>
      <c r="B952" s="11" t="s">
        <v>4888</v>
      </c>
      <c r="C952" s="10" t="str">
        <f>IFERROR(INDEX(面试清单!D:D,MATCH(951,面试清单!P:P,0)),"")</f>
        <v/>
      </c>
      <c r="D952" s="11" t="s">
        <v>42</v>
      </c>
      <c r="E952" s="11" t="s">
        <v>62</v>
      </c>
      <c r="F952" s="11" t="s">
        <v>1166</v>
      </c>
      <c r="G952" s="15">
        <v>46112</v>
      </c>
      <c r="H952" s="10" t="str">
        <f>IFERROR(INDEX(面试清单!H:H,MATCH(951,面试清单!P:P,0)),"")</f>
        <v/>
      </c>
      <c r="I952" s="13" t="s">
        <v>29</v>
      </c>
      <c r="J952" s="10">
        <f ca="1" t="shared" si="43"/>
        <v>77</v>
      </c>
      <c r="K952" s="10">
        <f ca="1" t="shared" si="44"/>
        <v>16</v>
      </c>
    </row>
    <row r="953" ht="18" spans="1:11">
      <c r="A953" s="14">
        <f t="shared" si="42"/>
        <v>952</v>
      </c>
      <c r="B953" s="11" t="s">
        <v>4889</v>
      </c>
      <c r="C953" s="14" t="str">
        <f>IFERROR(INDEX(面试清单!D:D,MATCH(952,面试清单!P:P,0)),"")</f>
        <v/>
      </c>
      <c r="D953" s="11" t="s">
        <v>42</v>
      </c>
      <c r="E953" s="11" t="s">
        <v>62</v>
      </c>
      <c r="F953" s="11" t="s">
        <v>1166</v>
      </c>
      <c r="G953" s="15">
        <v>46112</v>
      </c>
      <c r="H953" s="14" t="str">
        <f>IFERROR(INDEX(面试清单!H:H,MATCH(952,面试清单!P:P,0)),"")</f>
        <v/>
      </c>
      <c r="I953" s="13" t="s">
        <v>29</v>
      </c>
      <c r="J953" s="14">
        <f ca="1" t="shared" si="43"/>
        <v>77</v>
      </c>
      <c r="K953" s="14">
        <f ca="1" t="shared" si="44"/>
        <v>16</v>
      </c>
    </row>
    <row r="954" ht="18" spans="1:11">
      <c r="A954" s="10">
        <f t="shared" si="42"/>
        <v>953</v>
      </c>
      <c r="B954" s="11" t="s">
        <v>4890</v>
      </c>
      <c r="C954" s="125" t="str">
        <f>IFERROR(INDEX(面试清单!D:D,MATCH(953,面试清单!P:P,0)),"")</f>
        <v>0222</v>
      </c>
      <c r="D954" s="11" t="s">
        <v>42</v>
      </c>
      <c r="E954" s="11" t="s">
        <v>62</v>
      </c>
      <c r="F954" s="11" t="s">
        <v>124</v>
      </c>
      <c r="G954" s="15">
        <v>46112</v>
      </c>
      <c r="H954" s="10" t="str">
        <f>IFERROR(INDEX(面试清单!H:H,MATCH(953,面试清单!P:P,0)),"")</f>
        <v>线上</v>
      </c>
      <c r="I954" s="13" t="s">
        <v>29</v>
      </c>
      <c r="J954" s="10">
        <f ca="1" t="shared" si="43"/>
        <v>77</v>
      </c>
      <c r="K954" s="10">
        <f ca="1" t="shared" si="44"/>
        <v>16</v>
      </c>
    </row>
    <row r="955" ht="36" spans="1:11">
      <c r="A955" s="14">
        <f t="shared" si="42"/>
        <v>954</v>
      </c>
      <c r="B955" s="11" t="s">
        <v>4891</v>
      </c>
      <c r="C955" s="124" t="str">
        <f>IFERROR(INDEX(面试清单!D:D,MATCH(954,面试清单!P:P,0)),"")</f>
        <v>0208</v>
      </c>
      <c r="D955" s="11" t="s">
        <v>74</v>
      </c>
      <c r="E955" s="11" t="s">
        <v>4892</v>
      </c>
      <c r="F955" s="11" t="s">
        <v>3706</v>
      </c>
      <c r="G955" s="15">
        <v>46112</v>
      </c>
      <c r="H955" s="14" t="str">
        <f>IFERROR(INDEX(面试清单!H:H,MATCH(954,面试清单!P:P,0)),"")</f>
        <v>线上</v>
      </c>
      <c r="I955" s="13" t="s">
        <v>29</v>
      </c>
      <c r="J955" s="14">
        <f ca="1" t="shared" si="43"/>
        <v>77</v>
      </c>
      <c r="K955" s="14">
        <f ca="1" t="shared" si="44"/>
        <v>16</v>
      </c>
    </row>
    <row r="956" ht="18" spans="1:11">
      <c r="A956" s="10">
        <f t="shared" si="42"/>
        <v>955</v>
      </c>
      <c r="B956" s="11" t="s">
        <v>4893</v>
      </c>
      <c r="C956" s="10" t="str">
        <f>IFERROR(INDEX(面试清单!D:D,MATCH(955,面试清单!P:P,0)),"")</f>
        <v/>
      </c>
      <c r="D956" s="11" t="s">
        <v>42</v>
      </c>
      <c r="E956" s="11" t="s">
        <v>63</v>
      </c>
      <c r="F956" s="11" t="s">
        <v>509</v>
      </c>
      <c r="G956" s="15">
        <v>46113</v>
      </c>
      <c r="H956" s="10" t="str">
        <f>IFERROR(INDEX(面试清单!H:H,MATCH(955,面试清单!P:P,0)),"")</f>
        <v/>
      </c>
      <c r="I956" s="13" t="s">
        <v>29</v>
      </c>
      <c r="J956" s="10">
        <f ca="1" t="shared" si="43"/>
        <v>76</v>
      </c>
      <c r="K956" s="10">
        <f ca="1" t="shared" si="44"/>
        <v>16</v>
      </c>
    </row>
    <row r="957" ht="36" spans="1:11">
      <c r="A957" s="14">
        <f t="shared" si="42"/>
        <v>956</v>
      </c>
      <c r="B957" s="11" t="s">
        <v>4894</v>
      </c>
      <c r="C957" s="14" t="str">
        <f>IFERROR(INDEX(面试清单!D:D,MATCH(956,面试清单!P:P,0)),"")</f>
        <v/>
      </c>
      <c r="D957" s="11" t="s">
        <v>74</v>
      </c>
      <c r="E957" s="11" t="s">
        <v>4895</v>
      </c>
      <c r="F957" s="11" t="s">
        <v>3706</v>
      </c>
      <c r="G957" s="15">
        <v>46113</v>
      </c>
      <c r="H957" s="14" t="str">
        <f>IFERROR(INDEX(面试清单!H:H,MATCH(956,面试清单!P:P,0)),"")</f>
        <v/>
      </c>
      <c r="I957" s="13" t="s">
        <v>29</v>
      </c>
      <c r="J957" s="14">
        <f ca="1" t="shared" si="43"/>
        <v>76</v>
      </c>
      <c r="K957" s="14">
        <f ca="1" t="shared" si="44"/>
        <v>16</v>
      </c>
    </row>
    <row r="958" ht="18" spans="1:11">
      <c r="A958" s="10">
        <f t="shared" si="42"/>
        <v>957</v>
      </c>
      <c r="B958" s="11" t="s">
        <v>4896</v>
      </c>
      <c r="C958" s="10" t="str">
        <f>IFERROR(INDEX(面试清单!D:D,MATCH(957,面试清单!P:P,0)),"")</f>
        <v/>
      </c>
      <c r="D958" s="11" t="s">
        <v>74</v>
      </c>
      <c r="E958" s="11" t="s">
        <v>190</v>
      </c>
      <c r="F958" s="11" t="s">
        <v>179</v>
      </c>
      <c r="G958" s="15">
        <v>46113</v>
      </c>
      <c r="H958" s="10" t="str">
        <f>IFERROR(INDEX(面试清单!H:H,MATCH(957,面试清单!P:P,0)),"")</f>
        <v/>
      </c>
      <c r="I958" s="13" t="s">
        <v>29</v>
      </c>
      <c r="J958" s="10">
        <f ca="1" t="shared" si="43"/>
        <v>76</v>
      </c>
      <c r="K958" s="10">
        <f ca="1" t="shared" si="44"/>
        <v>16</v>
      </c>
    </row>
    <row r="959" ht="18" spans="1:11">
      <c r="A959" s="14">
        <f t="shared" si="42"/>
        <v>958</v>
      </c>
      <c r="B959" s="11" t="s">
        <v>4897</v>
      </c>
      <c r="C959" s="14" t="str">
        <f>IFERROR(INDEX(面试清单!D:D,MATCH(958,面试清单!P:P,0)),"")</f>
        <v/>
      </c>
      <c r="D959" s="11" t="s">
        <v>43</v>
      </c>
      <c r="E959" s="11" t="s">
        <v>64</v>
      </c>
      <c r="F959" s="11" t="s">
        <v>179</v>
      </c>
      <c r="G959" s="15">
        <v>46113</v>
      </c>
      <c r="H959" s="14" t="str">
        <f>IFERROR(INDEX(面试清单!H:H,MATCH(958,面试清单!P:P,0)),"")</f>
        <v/>
      </c>
      <c r="I959" s="13" t="s">
        <v>29</v>
      </c>
      <c r="J959" s="14">
        <f ca="1" t="shared" si="43"/>
        <v>76</v>
      </c>
      <c r="K959" s="14">
        <f ca="1" t="shared" si="44"/>
        <v>16</v>
      </c>
    </row>
    <row r="960" ht="18" spans="1:11">
      <c r="A960" s="10">
        <f t="shared" si="42"/>
        <v>959</v>
      </c>
      <c r="B960" s="11" t="s">
        <v>4898</v>
      </c>
      <c r="C960" s="10" t="str">
        <f>IFERROR(INDEX(面试清单!D:D,MATCH(959,面试清单!P:P,0)),"")</f>
        <v/>
      </c>
      <c r="D960" s="11" t="s">
        <v>42</v>
      </c>
      <c r="E960" s="11" t="s">
        <v>62</v>
      </c>
      <c r="F960" s="11" t="s">
        <v>426</v>
      </c>
      <c r="G960" s="15">
        <v>46114</v>
      </c>
      <c r="H960" s="10" t="str">
        <f>IFERROR(INDEX(面试清单!H:H,MATCH(959,面试清单!P:P,0)),"")</f>
        <v/>
      </c>
      <c r="I960" s="13" t="s">
        <v>29</v>
      </c>
      <c r="J960" s="10">
        <f ca="1" t="shared" si="43"/>
        <v>75</v>
      </c>
      <c r="K960" s="10">
        <f ca="1" t="shared" si="44"/>
        <v>16</v>
      </c>
    </row>
    <row r="961" ht="18" spans="1:11">
      <c r="A961" s="14">
        <f t="shared" si="42"/>
        <v>960</v>
      </c>
      <c r="B961" s="11" t="s">
        <v>4899</v>
      </c>
      <c r="C961" s="14" t="str">
        <f>IFERROR(INDEX(面试清单!D:D,MATCH(960,面试清单!P:P,0)),"")</f>
        <v/>
      </c>
      <c r="D961" s="11" t="s">
        <v>42</v>
      </c>
      <c r="E961" s="11" t="s">
        <v>62</v>
      </c>
      <c r="F961" s="11" t="s">
        <v>103</v>
      </c>
      <c r="G961" s="15">
        <v>46114</v>
      </c>
      <c r="H961" s="14" t="str">
        <f>IFERROR(INDEX(面试清单!H:H,MATCH(960,面试清单!P:P,0)),"")</f>
        <v/>
      </c>
      <c r="I961" s="13" t="s">
        <v>29</v>
      </c>
      <c r="J961" s="14">
        <f ca="1" t="shared" si="43"/>
        <v>75</v>
      </c>
      <c r="K961" s="14">
        <f ca="1" t="shared" si="44"/>
        <v>16</v>
      </c>
    </row>
    <row r="962" ht="18" spans="1:11">
      <c r="A962" s="10">
        <f t="shared" ref="A962:A1025" si="45">IF(B962&lt;&gt;"",ROW()-1,"")</f>
        <v>961</v>
      </c>
      <c r="B962" s="11" t="s">
        <v>4900</v>
      </c>
      <c r="C962" s="10" t="str">
        <f>IFERROR(INDEX(面试清单!D:D,MATCH(961,面试清单!P:P,0)),"")</f>
        <v/>
      </c>
      <c r="D962" s="11" t="s">
        <v>42</v>
      </c>
      <c r="E962" s="11" t="s">
        <v>63</v>
      </c>
      <c r="F962" s="11" t="s">
        <v>307</v>
      </c>
      <c r="G962" s="15">
        <v>46114</v>
      </c>
      <c r="H962" s="10" t="str">
        <f>IFERROR(INDEX(面试清单!H:H,MATCH(961,面试清单!P:P,0)),"")</f>
        <v/>
      </c>
      <c r="I962" s="13" t="s">
        <v>29</v>
      </c>
      <c r="J962" s="10">
        <f ca="1" t="shared" ref="J962:J1025" si="46">IF(G962&lt;&gt;"",TODAY()-G962,"")</f>
        <v>75</v>
      </c>
      <c r="K962" s="10">
        <f ca="1" t="shared" ref="K962:K1025" si="47">IF(G962&lt;&gt;"",MAX(0,MIN(TODAY(),EOMONTH(TODAY(),0))-MAX(G962,EOMONTH(TODAY(),-1)+1)+1),"")</f>
        <v>16</v>
      </c>
    </row>
    <row r="963" ht="18" spans="1:11">
      <c r="A963" s="14">
        <f t="shared" si="45"/>
        <v>962</v>
      </c>
      <c r="B963" s="11" t="s">
        <v>4901</v>
      </c>
      <c r="C963" s="124" t="str">
        <f>IFERROR(INDEX(面试清单!D:D,MATCH(962,面试清单!P:P,0)),"")</f>
        <v>0222</v>
      </c>
      <c r="D963" s="11" t="s">
        <v>42</v>
      </c>
      <c r="E963" s="11" t="s">
        <v>62</v>
      </c>
      <c r="F963" s="11" t="s">
        <v>103</v>
      </c>
      <c r="G963" s="15">
        <v>46115</v>
      </c>
      <c r="H963" s="14" t="str">
        <f>IFERROR(INDEX(面试清单!H:H,MATCH(962,面试清单!P:P,0)),"")</f>
        <v>线上</v>
      </c>
      <c r="I963" s="13" t="s">
        <v>29</v>
      </c>
      <c r="J963" s="14">
        <f ca="1" t="shared" si="46"/>
        <v>74</v>
      </c>
      <c r="K963" s="14">
        <f ca="1" t="shared" si="47"/>
        <v>16</v>
      </c>
    </row>
    <row r="964" ht="18" spans="1:11">
      <c r="A964" s="10">
        <f t="shared" si="45"/>
        <v>963</v>
      </c>
      <c r="B964" s="11" t="s">
        <v>4902</v>
      </c>
      <c r="C964" s="10" t="str">
        <f>IFERROR(INDEX(面试清单!D:D,MATCH(963,面试清单!P:P,0)),"")</f>
        <v/>
      </c>
      <c r="D964" s="11" t="s">
        <v>42</v>
      </c>
      <c r="E964" s="11" t="s">
        <v>63</v>
      </c>
      <c r="F964" s="11" t="s">
        <v>246</v>
      </c>
      <c r="G964" s="15">
        <v>46115</v>
      </c>
      <c r="H964" s="10" t="str">
        <f>IFERROR(INDEX(面试清单!H:H,MATCH(963,面试清单!P:P,0)),"")</f>
        <v/>
      </c>
      <c r="I964" s="13" t="s">
        <v>29</v>
      </c>
      <c r="J964" s="10">
        <f ca="1" t="shared" si="46"/>
        <v>74</v>
      </c>
      <c r="K964" s="10">
        <f ca="1" t="shared" si="47"/>
        <v>16</v>
      </c>
    </row>
    <row r="965" ht="18" spans="1:11">
      <c r="A965" s="14">
        <f t="shared" si="45"/>
        <v>964</v>
      </c>
      <c r="B965" s="11" t="s">
        <v>4903</v>
      </c>
      <c r="C965" s="124" t="str">
        <f>IFERROR(INDEX(面试清单!D:D,MATCH(964,面试清单!P:P,0)),"")</f>
        <v>0209</v>
      </c>
      <c r="D965" s="11" t="s">
        <v>42</v>
      </c>
      <c r="E965" s="11" t="s">
        <v>63</v>
      </c>
      <c r="F965" s="11" t="s">
        <v>129</v>
      </c>
      <c r="G965" s="15">
        <v>46115</v>
      </c>
      <c r="H965" s="14" t="str">
        <f>IFERROR(INDEX(面试清单!H:H,MATCH(964,面试清单!P:P,0)),"")</f>
        <v>线上</v>
      </c>
      <c r="I965" s="13" t="s">
        <v>29</v>
      </c>
      <c r="J965" s="14">
        <f ca="1" t="shared" si="46"/>
        <v>74</v>
      </c>
      <c r="K965" s="14">
        <f ca="1" t="shared" si="47"/>
        <v>16</v>
      </c>
    </row>
    <row r="966" ht="18" spans="1:11">
      <c r="A966" s="10">
        <f t="shared" si="45"/>
        <v>965</v>
      </c>
      <c r="B966" s="11" t="s">
        <v>4904</v>
      </c>
      <c r="C966" s="10" t="str">
        <f>IFERROR(INDEX(面试清单!D:D,MATCH(965,面试清单!P:P,0)),"")</f>
        <v/>
      </c>
      <c r="D966" s="11" t="s">
        <v>42</v>
      </c>
      <c r="E966" s="11" t="s">
        <v>62</v>
      </c>
      <c r="F966" s="11" t="s">
        <v>505</v>
      </c>
      <c r="G966" s="15">
        <v>46115</v>
      </c>
      <c r="H966" s="10" t="str">
        <f>IFERROR(INDEX(面试清单!H:H,MATCH(965,面试清单!P:P,0)),"")</f>
        <v/>
      </c>
      <c r="I966" s="13" t="s">
        <v>29</v>
      </c>
      <c r="J966" s="10">
        <f ca="1" t="shared" si="46"/>
        <v>74</v>
      </c>
      <c r="K966" s="10">
        <f ca="1" t="shared" si="47"/>
        <v>16</v>
      </c>
    </row>
    <row r="967" ht="18" spans="1:11">
      <c r="A967" s="14">
        <f t="shared" si="45"/>
        <v>966</v>
      </c>
      <c r="B967" s="11" t="s">
        <v>4905</v>
      </c>
      <c r="C967" s="14" t="str">
        <f>IFERROR(INDEX(面试清单!D:D,MATCH(966,面试清单!P:P,0)),"")</f>
        <v/>
      </c>
      <c r="D967" s="11" t="s">
        <v>42</v>
      </c>
      <c r="E967" s="11" t="s">
        <v>62</v>
      </c>
      <c r="F967" s="11" t="s">
        <v>505</v>
      </c>
      <c r="G967" s="15">
        <v>46116</v>
      </c>
      <c r="H967" s="14" t="str">
        <f>IFERROR(INDEX(面试清单!H:H,MATCH(966,面试清单!P:P,0)),"")</f>
        <v/>
      </c>
      <c r="I967" s="13" t="s">
        <v>29</v>
      </c>
      <c r="J967" s="14">
        <f ca="1" t="shared" si="46"/>
        <v>73</v>
      </c>
      <c r="K967" s="14">
        <f ca="1" t="shared" si="47"/>
        <v>16</v>
      </c>
    </row>
    <row r="968" ht="18" spans="1:11">
      <c r="A968" s="10">
        <f t="shared" si="45"/>
        <v>967</v>
      </c>
      <c r="B968" s="11" t="s">
        <v>4906</v>
      </c>
      <c r="C968" s="10" t="str">
        <f>IFERROR(INDEX(面试清单!D:D,MATCH(967,面试清单!P:P,0)),"")</f>
        <v/>
      </c>
      <c r="D968" s="11" t="s">
        <v>42</v>
      </c>
      <c r="E968" s="11" t="s">
        <v>62</v>
      </c>
      <c r="F968" s="11" t="s">
        <v>307</v>
      </c>
      <c r="G968" s="15">
        <v>46117</v>
      </c>
      <c r="H968" s="10" t="str">
        <f>IFERROR(INDEX(面试清单!H:H,MATCH(967,面试清单!P:P,0)),"")</f>
        <v/>
      </c>
      <c r="I968" s="13" t="s">
        <v>29</v>
      </c>
      <c r="J968" s="10">
        <f ca="1" t="shared" si="46"/>
        <v>72</v>
      </c>
      <c r="K968" s="10">
        <f ca="1" t="shared" si="47"/>
        <v>16</v>
      </c>
    </row>
    <row r="969" ht="18" spans="1:11">
      <c r="A969" s="14">
        <f t="shared" si="45"/>
        <v>968</v>
      </c>
      <c r="B969" s="11" t="s">
        <v>4907</v>
      </c>
      <c r="C969" s="14" t="str">
        <f>IFERROR(INDEX(面试清单!D:D,MATCH(968,面试清单!P:P,0)),"")</f>
        <v/>
      </c>
      <c r="D969" s="11" t="s">
        <v>42</v>
      </c>
      <c r="E969" s="11" t="s">
        <v>62</v>
      </c>
      <c r="F969" s="11" t="s">
        <v>132</v>
      </c>
      <c r="G969" s="15">
        <v>46118</v>
      </c>
      <c r="H969" s="14" t="str">
        <f>IFERROR(INDEX(面试清单!H:H,MATCH(968,面试清单!P:P,0)),"")</f>
        <v/>
      </c>
      <c r="I969" s="13" t="s">
        <v>29</v>
      </c>
      <c r="J969" s="14">
        <f ca="1" t="shared" si="46"/>
        <v>71</v>
      </c>
      <c r="K969" s="14">
        <f ca="1" t="shared" si="47"/>
        <v>16</v>
      </c>
    </row>
    <row r="970" ht="18" spans="1:11">
      <c r="A970" s="10">
        <f t="shared" si="45"/>
        <v>969</v>
      </c>
      <c r="B970" s="11" t="s">
        <v>4908</v>
      </c>
      <c r="C970" s="10" t="str">
        <f>IFERROR(INDEX(面试清单!D:D,MATCH(969,面试清单!P:P,0)),"")</f>
        <v/>
      </c>
      <c r="D970" s="11" t="s">
        <v>42</v>
      </c>
      <c r="E970" s="11" t="s">
        <v>63</v>
      </c>
      <c r="F970" s="11" t="s">
        <v>124</v>
      </c>
      <c r="G970" s="15">
        <v>46118</v>
      </c>
      <c r="H970" s="10" t="str">
        <f>IFERROR(INDEX(面试清单!H:H,MATCH(969,面试清单!P:P,0)),"")</f>
        <v/>
      </c>
      <c r="I970" s="13" t="s">
        <v>29</v>
      </c>
      <c r="J970" s="10">
        <f ca="1" t="shared" si="46"/>
        <v>71</v>
      </c>
      <c r="K970" s="10">
        <f ca="1" t="shared" si="47"/>
        <v>16</v>
      </c>
    </row>
    <row r="971" ht="18" spans="1:11">
      <c r="A971" s="14">
        <f t="shared" si="45"/>
        <v>970</v>
      </c>
      <c r="B971" s="11" t="s">
        <v>4909</v>
      </c>
      <c r="C971" s="124" t="str">
        <f>IFERROR(INDEX(面试清单!D:D,MATCH(970,面试清单!P:P,0)),"")</f>
        <v>0221</v>
      </c>
      <c r="D971" s="11" t="s">
        <v>42</v>
      </c>
      <c r="E971" s="11" t="s">
        <v>62</v>
      </c>
      <c r="F971" s="11" t="s">
        <v>103</v>
      </c>
      <c r="G971" s="15">
        <v>46118</v>
      </c>
      <c r="H971" s="14" t="str">
        <f>IFERROR(INDEX(面试清单!H:H,MATCH(970,面试清单!P:P,0)),"")</f>
        <v>线上</v>
      </c>
      <c r="I971" s="13" t="s">
        <v>29</v>
      </c>
      <c r="J971" s="14">
        <f ca="1" t="shared" si="46"/>
        <v>71</v>
      </c>
      <c r="K971" s="14">
        <f ca="1" t="shared" si="47"/>
        <v>16</v>
      </c>
    </row>
    <row r="972" ht="18" spans="1:11">
      <c r="A972" s="10">
        <f t="shared" si="45"/>
        <v>971</v>
      </c>
      <c r="B972" s="11" t="s">
        <v>4910</v>
      </c>
      <c r="C972" s="10" t="str">
        <f>IFERROR(INDEX(面试清单!D:D,MATCH(971,面试清单!P:P,0)),"")</f>
        <v/>
      </c>
      <c r="D972" s="11" t="s">
        <v>42</v>
      </c>
      <c r="E972" s="11" t="s">
        <v>62</v>
      </c>
      <c r="F972" s="11" t="s">
        <v>148</v>
      </c>
      <c r="G972" s="15">
        <v>46118</v>
      </c>
      <c r="H972" s="10" t="str">
        <f>IFERROR(INDEX(面试清单!H:H,MATCH(971,面试清单!P:P,0)),"")</f>
        <v/>
      </c>
      <c r="I972" s="13" t="s">
        <v>29</v>
      </c>
      <c r="J972" s="10">
        <f ca="1" t="shared" si="46"/>
        <v>71</v>
      </c>
      <c r="K972" s="10">
        <f ca="1" t="shared" si="47"/>
        <v>16</v>
      </c>
    </row>
    <row r="973" ht="18" spans="1:11">
      <c r="A973" s="14">
        <f t="shared" si="45"/>
        <v>972</v>
      </c>
      <c r="B973" s="11" t="s">
        <v>4911</v>
      </c>
      <c r="C973" s="14" t="str">
        <f>IFERROR(INDEX(面试清单!D:D,MATCH(972,面试清单!P:P,0)),"")</f>
        <v/>
      </c>
      <c r="D973" s="11" t="s">
        <v>42</v>
      </c>
      <c r="E973" s="11" t="s">
        <v>63</v>
      </c>
      <c r="F973" s="11" t="s">
        <v>148</v>
      </c>
      <c r="G973" s="15">
        <v>46119</v>
      </c>
      <c r="H973" s="14" t="str">
        <f>IFERROR(INDEX(面试清单!H:H,MATCH(972,面试清单!P:P,0)),"")</f>
        <v/>
      </c>
      <c r="I973" s="13" t="s">
        <v>29</v>
      </c>
      <c r="J973" s="14">
        <f ca="1" t="shared" si="46"/>
        <v>70</v>
      </c>
      <c r="K973" s="14">
        <f ca="1" t="shared" si="47"/>
        <v>16</v>
      </c>
    </row>
    <row r="974" ht="18" spans="1:11">
      <c r="A974" s="10">
        <f t="shared" si="45"/>
        <v>973</v>
      </c>
      <c r="B974" s="11" t="s">
        <v>4912</v>
      </c>
      <c r="C974" s="10" t="str">
        <f>IFERROR(INDEX(面试清单!D:D,MATCH(973,面试清单!P:P,0)),"")</f>
        <v/>
      </c>
      <c r="D974" s="11" t="s">
        <v>42</v>
      </c>
      <c r="E974" s="11" t="s">
        <v>63</v>
      </c>
      <c r="F974" s="11" t="s">
        <v>148</v>
      </c>
      <c r="G974" s="15">
        <v>46119</v>
      </c>
      <c r="H974" s="10" t="str">
        <f>IFERROR(INDEX(面试清单!H:H,MATCH(973,面试清单!P:P,0)),"")</f>
        <v/>
      </c>
      <c r="I974" s="13" t="s">
        <v>29</v>
      </c>
      <c r="J974" s="10">
        <f ca="1" t="shared" si="46"/>
        <v>70</v>
      </c>
      <c r="K974" s="10">
        <f ca="1" t="shared" si="47"/>
        <v>16</v>
      </c>
    </row>
    <row r="975" ht="18" spans="1:11">
      <c r="A975" s="14">
        <f t="shared" si="45"/>
        <v>974</v>
      </c>
      <c r="B975" s="11" t="s">
        <v>2524</v>
      </c>
      <c r="C975" s="14" t="str">
        <f>IFERROR(INDEX(面试清单!D:D,MATCH(974,面试清单!P:P,0)),"")</f>
        <v/>
      </c>
      <c r="D975" s="11" t="s">
        <v>42</v>
      </c>
      <c r="E975" s="11" t="s">
        <v>63</v>
      </c>
      <c r="F975" s="11" t="s">
        <v>129</v>
      </c>
      <c r="G975" s="15">
        <v>46119</v>
      </c>
      <c r="H975" s="14" t="str">
        <f>IFERROR(INDEX(面试清单!H:H,MATCH(974,面试清单!P:P,0)),"")</f>
        <v/>
      </c>
      <c r="I975" s="13" t="s">
        <v>29</v>
      </c>
      <c r="J975" s="14">
        <f ca="1" t="shared" si="46"/>
        <v>70</v>
      </c>
      <c r="K975" s="14">
        <f ca="1" t="shared" si="47"/>
        <v>16</v>
      </c>
    </row>
    <row r="976" ht="18" spans="1:11">
      <c r="A976" s="10">
        <f t="shared" si="45"/>
        <v>975</v>
      </c>
      <c r="B976" s="11" t="s">
        <v>4913</v>
      </c>
      <c r="C976" s="10" t="str">
        <f>IFERROR(INDEX(面试清单!D:D,MATCH(975,面试清单!P:P,0)),"")</f>
        <v/>
      </c>
      <c r="D976" s="11" t="s">
        <v>42</v>
      </c>
      <c r="E976" s="11" t="s">
        <v>62</v>
      </c>
      <c r="F976" s="11" t="s">
        <v>129</v>
      </c>
      <c r="G976" s="15">
        <v>46119</v>
      </c>
      <c r="H976" s="10" t="str">
        <f>IFERROR(INDEX(面试清单!H:H,MATCH(975,面试清单!P:P,0)),"")</f>
        <v/>
      </c>
      <c r="I976" s="13" t="s">
        <v>29</v>
      </c>
      <c r="J976" s="10">
        <f ca="1" t="shared" si="46"/>
        <v>70</v>
      </c>
      <c r="K976" s="10">
        <f ca="1" t="shared" si="47"/>
        <v>16</v>
      </c>
    </row>
    <row r="977" ht="18" spans="1:11">
      <c r="A977" s="14">
        <f t="shared" si="45"/>
        <v>976</v>
      </c>
      <c r="B977" s="11" t="s">
        <v>4914</v>
      </c>
      <c r="C977" s="14" t="str">
        <f>IFERROR(INDEX(面试清单!D:D,MATCH(976,面试清单!P:P,0)),"")</f>
        <v/>
      </c>
      <c r="D977" s="11" t="s">
        <v>42</v>
      </c>
      <c r="E977" s="11" t="s">
        <v>63</v>
      </c>
      <c r="F977" s="11" t="s">
        <v>129</v>
      </c>
      <c r="G977" s="15">
        <v>46119</v>
      </c>
      <c r="H977" s="14" t="str">
        <f>IFERROR(INDEX(面试清单!H:H,MATCH(976,面试清单!P:P,0)),"")</f>
        <v/>
      </c>
      <c r="I977" s="13" t="s">
        <v>29</v>
      </c>
      <c r="J977" s="14">
        <f ca="1" t="shared" si="46"/>
        <v>70</v>
      </c>
      <c r="K977" s="14">
        <f ca="1" t="shared" si="47"/>
        <v>16</v>
      </c>
    </row>
    <row r="978" ht="18" spans="1:11">
      <c r="A978" s="10">
        <f t="shared" si="45"/>
        <v>977</v>
      </c>
      <c r="B978" s="11" t="s">
        <v>4915</v>
      </c>
      <c r="C978" s="10" t="str">
        <f>IFERROR(INDEX(面试清单!D:D,MATCH(977,面试清单!P:P,0)),"")</f>
        <v/>
      </c>
      <c r="D978" s="11" t="s">
        <v>42</v>
      </c>
      <c r="E978" s="11" t="s">
        <v>63</v>
      </c>
      <c r="F978" s="11" t="s">
        <v>233</v>
      </c>
      <c r="G978" s="15">
        <v>46119</v>
      </c>
      <c r="H978" s="10" t="str">
        <f>IFERROR(INDEX(面试清单!H:H,MATCH(977,面试清单!P:P,0)),"")</f>
        <v/>
      </c>
      <c r="I978" s="13" t="s">
        <v>29</v>
      </c>
      <c r="J978" s="10">
        <f ca="1" t="shared" si="46"/>
        <v>70</v>
      </c>
      <c r="K978" s="10">
        <f ca="1" t="shared" si="47"/>
        <v>16</v>
      </c>
    </row>
    <row r="979" ht="18" spans="1:11">
      <c r="A979" s="14">
        <f t="shared" si="45"/>
        <v>978</v>
      </c>
      <c r="B979" s="11" t="s">
        <v>4916</v>
      </c>
      <c r="C979" s="14" t="str">
        <f>IFERROR(INDEX(面试清单!D:D,MATCH(978,面试清单!P:P,0)),"")</f>
        <v/>
      </c>
      <c r="D979" s="11" t="s">
        <v>42</v>
      </c>
      <c r="E979" s="11" t="s">
        <v>63</v>
      </c>
      <c r="F979" s="11" t="s">
        <v>103</v>
      </c>
      <c r="G979" s="15">
        <v>46119</v>
      </c>
      <c r="H979" s="14" t="str">
        <f>IFERROR(INDEX(面试清单!H:H,MATCH(978,面试清单!P:P,0)),"")</f>
        <v/>
      </c>
      <c r="I979" s="13" t="s">
        <v>29</v>
      </c>
      <c r="J979" s="14">
        <f ca="1" t="shared" si="46"/>
        <v>70</v>
      </c>
      <c r="K979" s="14">
        <f ca="1" t="shared" si="47"/>
        <v>16</v>
      </c>
    </row>
    <row r="980" ht="18" spans="1:11">
      <c r="A980" s="10">
        <f t="shared" si="45"/>
        <v>979</v>
      </c>
      <c r="B980" s="11" t="s">
        <v>4917</v>
      </c>
      <c r="C980" s="10" t="str">
        <f>IFERROR(INDEX(面试清单!D:D,MATCH(979,面试清单!P:P,0)),"")</f>
        <v/>
      </c>
      <c r="D980" s="11" t="s">
        <v>42</v>
      </c>
      <c r="E980" s="11" t="s">
        <v>62</v>
      </c>
      <c r="F980" s="11" t="s">
        <v>110</v>
      </c>
      <c r="G980" s="15">
        <v>46119</v>
      </c>
      <c r="H980" s="10" t="str">
        <f>IFERROR(INDEX(面试清单!H:H,MATCH(979,面试清单!P:P,0)),"")</f>
        <v/>
      </c>
      <c r="I980" s="13" t="s">
        <v>29</v>
      </c>
      <c r="J980" s="10">
        <f ca="1" t="shared" si="46"/>
        <v>70</v>
      </c>
      <c r="K980" s="10">
        <f ca="1" t="shared" si="47"/>
        <v>16</v>
      </c>
    </row>
    <row r="981" ht="18" spans="1:11">
      <c r="A981" s="14">
        <f t="shared" si="45"/>
        <v>980</v>
      </c>
      <c r="B981" s="11" t="s">
        <v>4918</v>
      </c>
      <c r="C981" s="14" t="str">
        <f>IFERROR(INDEX(面试清单!D:D,MATCH(980,面试清单!P:P,0)),"")</f>
        <v/>
      </c>
      <c r="D981" s="11" t="s">
        <v>42</v>
      </c>
      <c r="E981" s="11" t="s">
        <v>62</v>
      </c>
      <c r="F981" s="11" t="s">
        <v>173</v>
      </c>
      <c r="G981" s="15">
        <v>46119</v>
      </c>
      <c r="H981" s="14" t="str">
        <f>IFERROR(INDEX(面试清单!H:H,MATCH(980,面试清单!P:P,0)),"")</f>
        <v/>
      </c>
      <c r="I981" s="13" t="s">
        <v>29</v>
      </c>
      <c r="J981" s="14">
        <f ca="1" t="shared" si="46"/>
        <v>70</v>
      </c>
      <c r="K981" s="14">
        <f ca="1" t="shared" si="47"/>
        <v>16</v>
      </c>
    </row>
    <row r="982" ht="18" spans="1:11">
      <c r="A982" s="10">
        <f t="shared" si="45"/>
        <v>981</v>
      </c>
      <c r="B982" s="11" t="s">
        <v>4919</v>
      </c>
      <c r="C982" s="10" t="str">
        <f>IFERROR(INDEX(面试清单!D:D,MATCH(981,面试清单!P:P,0)),"")</f>
        <v/>
      </c>
      <c r="D982" s="11" t="s">
        <v>42</v>
      </c>
      <c r="E982" s="11" t="s">
        <v>62</v>
      </c>
      <c r="F982" s="11" t="s">
        <v>233</v>
      </c>
      <c r="G982" s="15">
        <v>46119</v>
      </c>
      <c r="H982" s="10" t="str">
        <f>IFERROR(INDEX(面试清单!H:H,MATCH(981,面试清单!P:P,0)),"")</f>
        <v/>
      </c>
      <c r="I982" s="13" t="s">
        <v>29</v>
      </c>
      <c r="J982" s="10">
        <f ca="1" t="shared" si="46"/>
        <v>70</v>
      </c>
      <c r="K982" s="10">
        <f ca="1" t="shared" si="47"/>
        <v>16</v>
      </c>
    </row>
    <row r="983" ht="18" spans="1:11">
      <c r="A983" s="14">
        <f t="shared" si="45"/>
        <v>982</v>
      </c>
      <c r="B983" s="11" t="s">
        <v>4920</v>
      </c>
      <c r="C983" s="124" t="str">
        <f>IFERROR(INDEX(面试清单!D:D,MATCH(982,面试清单!P:P,0)),"")</f>
        <v>0209</v>
      </c>
      <c r="D983" s="11" t="s">
        <v>42</v>
      </c>
      <c r="E983" s="11" t="s">
        <v>62</v>
      </c>
      <c r="F983" s="11" t="s">
        <v>179</v>
      </c>
      <c r="G983" s="15">
        <v>46119</v>
      </c>
      <c r="H983" s="14" t="str">
        <f>IFERROR(INDEX(面试清单!H:H,MATCH(982,面试清单!P:P,0)),"")</f>
        <v>线上</v>
      </c>
      <c r="I983" s="13" t="s">
        <v>29</v>
      </c>
      <c r="J983" s="14">
        <f ca="1" t="shared" si="46"/>
        <v>70</v>
      </c>
      <c r="K983" s="14">
        <f ca="1" t="shared" si="47"/>
        <v>16</v>
      </c>
    </row>
    <row r="984" ht="18" spans="1:11">
      <c r="A984" s="10">
        <f t="shared" si="45"/>
        <v>983</v>
      </c>
      <c r="B984" s="11" t="s">
        <v>4921</v>
      </c>
      <c r="C984" s="10" t="str">
        <f>IFERROR(INDEX(面试清单!D:D,MATCH(983,面试清单!P:P,0)),"")</f>
        <v/>
      </c>
      <c r="D984" s="11" t="s">
        <v>42</v>
      </c>
      <c r="E984" s="11" t="s">
        <v>62</v>
      </c>
      <c r="F984" s="11" t="s">
        <v>103</v>
      </c>
      <c r="G984" s="15">
        <v>46119</v>
      </c>
      <c r="H984" s="10" t="str">
        <f>IFERROR(INDEX(面试清单!H:H,MATCH(983,面试清单!P:P,0)),"")</f>
        <v/>
      </c>
      <c r="I984" s="13" t="s">
        <v>29</v>
      </c>
      <c r="J984" s="10">
        <f ca="1" t="shared" si="46"/>
        <v>70</v>
      </c>
      <c r="K984" s="10">
        <f ca="1" t="shared" si="47"/>
        <v>16</v>
      </c>
    </row>
    <row r="985" ht="18" spans="1:11">
      <c r="A985" s="14">
        <f t="shared" si="45"/>
        <v>984</v>
      </c>
      <c r="B985" s="11" t="s">
        <v>4922</v>
      </c>
      <c r="C985" s="124" t="str">
        <f>IFERROR(INDEX(面试清单!D:D,MATCH(984,面试清单!P:P,0)),"")</f>
        <v>0214</v>
      </c>
      <c r="D985" s="11" t="s">
        <v>42</v>
      </c>
      <c r="E985" s="11" t="s">
        <v>62</v>
      </c>
      <c r="F985" s="11" t="s">
        <v>103</v>
      </c>
      <c r="G985" s="15">
        <v>46119</v>
      </c>
      <c r="H985" s="14" t="str">
        <f>IFERROR(INDEX(面试清单!H:H,MATCH(984,面试清单!P:P,0)),"")</f>
        <v>线上</v>
      </c>
      <c r="I985" s="13" t="s">
        <v>29</v>
      </c>
      <c r="J985" s="14">
        <f ca="1" t="shared" si="46"/>
        <v>70</v>
      </c>
      <c r="K985" s="14">
        <f ca="1" t="shared" si="47"/>
        <v>16</v>
      </c>
    </row>
    <row r="986" ht="18" spans="1:11">
      <c r="A986" s="10">
        <f t="shared" si="45"/>
        <v>985</v>
      </c>
      <c r="B986" s="11" t="s">
        <v>4923</v>
      </c>
      <c r="C986" s="10" t="str">
        <f>IFERROR(INDEX(面试清单!D:D,MATCH(985,面试清单!P:P,0)),"")</f>
        <v/>
      </c>
      <c r="D986" s="11" t="s">
        <v>42</v>
      </c>
      <c r="E986" s="11" t="s">
        <v>63</v>
      </c>
      <c r="F986" s="11" t="s">
        <v>103</v>
      </c>
      <c r="G986" s="15">
        <v>46119</v>
      </c>
      <c r="H986" s="10" t="str">
        <f>IFERROR(INDEX(面试清单!H:H,MATCH(985,面试清单!P:P,0)),"")</f>
        <v/>
      </c>
      <c r="I986" s="13" t="s">
        <v>29</v>
      </c>
      <c r="J986" s="10">
        <f ca="1" t="shared" si="46"/>
        <v>70</v>
      </c>
      <c r="K986" s="10">
        <f ca="1" t="shared" si="47"/>
        <v>16</v>
      </c>
    </row>
    <row r="987" ht="18" spans="1:11">
      <c r="A987" s="14">
        <f t="shared" si="45"/>
        <v>986</v>
      </c>
      <c r="B987" s="11" t="s">
        <v>4924</v>
      </c>
      <c r="C987" s="14" t="str">
        <f>IFERROR(INDEX(面试清单!D:D,MATCH(986,面试清单!P:P,0)),"")</f>
        <v/>
      </c>
      <c r="D987" s="11" t="s">
        <v>42</v>
      </c>
      <c r="E987" s="11" t="s">
        <v>63</v>
      </c>
      <c r="F987" s="11" t="s">
        <v>103</v>
      </c>
      <c r="G987" s="15">
        <v>46119</v>
      </c>
      <c r="H987" s="14" t="str">
        <f>IFERROR(INDEX(面试清单!H:H,MATCH(986,面试清单!P:P,0)),"")</f>
        <v/>
      </c>
      <c r="I987" s="13" t="s">
        <v>29</v>
      </c>
      <c r="J987" s="14">
        <f ca="1" t="shared" si="46"/>
        <v>70</v>
      </c>
      <c r="K987" s="14">
        <f ca="1" t="shared" si="47"/>
        <v>16</v>
      </c>
    </row>
    <row r="988" ht="18" spans="1:11">
      <c r="A988" s="10">
        <f t="shared" si="45"/>
        <v>987</v>
      </c>
      <c r="B988" s="11" t="s">
        <v>4925</v>
      </c>
      <c r="C988" s="10" t="str">
        <f>IFERROR(INDEX(面试清单!D:D,MATCH(987,面试清单!P:P,0)),"")</f>
        <v/>
      </c>
      <c r="D988" s="11" t="s">
        <v>42</v>
      </c>
      <c r="E988" s="11" t="s">
        <v>63</v>
      </c>
      <c r="F988" s="11" t="s">
        <v>103</v>
      </c>
      <c r="G988" s="15">
        <v>46119</v>
      </c>
      <c r="H988" s="10" t="str">
        <f>IFERROR(INDEX(面试清单!H:H,MATCH(987,面试清单!P:P,0)),"")</f>
        <v/>
      </c>
      <c r="I988" s="13" t="s">
        <v>29</v>
      </c>
      <c r="J988" s="10">
        <f ca="1" t="shared" si="46"/>
        <v>70</v>
      </c>
      <c r="K988" s="10">
        <f ca="1" t="shared" si="47"/>
        <v>16</v>
      </c>
    </row>
    <row r="989" ht="18" spans="1:11">
      <c r="A989" s="14">
        <f t="shared" si="45"/>
        <v>988</v>
      </c>
      <c r="B989" s="11" t="s">
        <v>4926</v>
      </c>
      <c r="C989" s="14" t="str">
        <f>IFERROR(INDEX(面试清单!D:D,MATCH(988,面试清单!P:P,0)),"")</f>
        <v/>
      </c>
      <c r="D989" s="11" t="s">
        <v>42</v>
      </c>
      <c r="E989" s="11" t="s">
        <v>63</v>
      </c>
      <c r="F989" s="11" t="s">
        <v>129</v>
      </c>
      <c r="G989" s="15">
        <v>46119</v>
      </c>
      <c r="H989" s="14" t="str">
        <f>IFERROR(INDEX(面试清单!H:H,MATCH(988,面试清单!P:P,0)),"")</f>
        <v/>
      </c>
      <c r="I989" s="13" t="s">
        <v>29</v>
      </c>
      <c r="J989" s="14">
        <f ca="1" t="shared" si="46"/>
        <v>70</v>
      </c>
      <c r="K989" s="14">
        <f ca="1" t="shared" si="47"/>
        <v>16</v>
      </c>
    </row>
    <row r="990" ht="18" spans="1:11">
      <c r="A990" s="10">
        <f t="shared" si="45"/>
        <v>989</v>
      </c>
      <c r="B990" s="11" t="s">
        <v>4927</v>
      </c>
      <c r="C990" s="125" t="str">
        <f>IFERROR(INDEX(面试清单!D:D,MATCH(989,面试清单!P:P,0)),"")</f>
        <v>0222</v>
      </c>
      <c r="D990" s="11" t="s">
        <v>74</v>
      </c>
      <c r="E990" s="11" t="s">
        <v>64</v>
      </c>
      <c r="F990" s="11" t="s">
        <v>135</v>
      </c>
      <c r="G990" s="15">
        <v>46119</v>
      </c>
      <c r="H990" s="10" t="str">
        <f>IFERROR(INDEX(面试清单!H:H,MATCH(989,面试清单!P:P,0)),"")</f>
        <v>线上</v>
      </c>
      <c r="I990" s="13" t="s">
        <v>29</v>
      </c>
      <c r="J990" s="10">
        <f ca="1" t="shared" si="46"/>
        <v>70</v>
      </c>
      <c r="K990" s="10">
        <f ca="1" t="shared" si="47"/>
        <v>16</v>
      </c>
    </row>
    <row r="991" ht="18" spans="1:11">
      <c r="A991" s="14">
        <f t="shared" si="45"/>
        <v>990</v>
      </c>
      <c r="B991" s="11" t="s">
        <v>4928</v>
      </c>
      <c r="C991" s="124" t="str">
        <f>IFERROR(INDEX(面试清单!D:D,MATCH(990,面试清单!P:P,0)),"")</f>
        <v>0208</v>
      </c>
      <c r="D991" s="11" t="s">
        <v>74</v>
      </c>
      <c r="E991" s="11" t="s">
        <v>64</v>
      </c>
      <c r="F991" s="11" t="s">
        <v>135</v>
      </c>
      <c r="G991" s="15">
        <v>46119</v>
      </c>
      <c r="H991" s="14" t="str">
        <f>IFERROR(INDEX(面试清单!H:H,MATCH(990,面试清单!P:P,0)),"")</f>
        <v>线上</v>
      </c>
      <c r="I991" s="13" t="s">
        <v>29</v>
      </c>
      <c r="J991" s="14">
        <f ca="1" t="shared" si="46"/>
        <v>70</v>
      </c>
      <c r="K991" s="14">
        <f ca="1" t="shared" si="47"/>
        <v>16</v>
      </c>
    </row>
    <row r="992" ht="18" spans="1:11">
      <c r="A992" s="10">
        <f t="shared" si="45"/>
        <v>991</v>
      </c>
      <c r="B992" s="11" t="s">
        <v>4929</v>
      </c>
      <c r="C992" s="125" t="str">
        <f>IFERROR(INDEX(面试清单!D:D,MATCH(991,面试清单!P:P,0)),"")</f>
        <v>0209</v>
      </c>
      <c r="D992" s="11" t="s">
        <v>74</v>
      </c>
      <c r="E992" s="11" t="s">
        <v>64</v>
      </c>
      <c r="F992" s="11" t="s">
        <v>135</v>
      </c>
      <c r="G992" s="15">
        <v>46119</v>
      </c>
      <c r="H992" s="10" t="str">
        <f>IFERROR(INDEX(面试清单!H:H,MATCH(991,面试清单!P:P,0)),"")</f>
        <v>线上</v>
      </c>
      <c r="I992" s="13" t="s">
        <v>29</v>
      </c>
      <c r="J992" s="10">
        <f ca="1" t="shared" si="46"/>
        <v>70</v>
      </c>
      <c r="K992" s="10">
        <f ca="1" t="shared" si="47"/>
        <v>16</v>
      </c>
    </row>
    <row r="993" ht="18" spans="1:11">
      <c r="A993" s="14">
        <f t="shared" si="45"/>
        <v>992</v>
      </c>
      <c r="B993" s="11" t="s">
        <v>4930</v>
      </c>
      <c r="C993" s="124" t="str">
        <f>IFERROR(INDEX(面试清单!D:D,MATCH(992,面试清单!P:P,0)),"")</f>
        <v>0212</v>
      </c>
      <c r="D993" s="11" t="s">
        <v>74</v>
      </c>
      <c r="E993" s="11" t="s">
        <v>64</v>
      </c>
      <c r="F993" s="11" t="s">
        <v>135</v>
      </c>
      <c r="G993" s="15">
        <v>46119</v>
      </c>
      <c r="H993" s="14" t="str">
        <f>IFERROR(INDEX(面试清单!H:H,MATCH(992,面试清单!P:P,0)),"")</f>
        <v>线上</v>
      </c>
      <c r="I993" s="13" t="s">
        <v>29</v>
      </c>
      <c r="J993" s="14">
        <f ca="1" t="shared" si="46"/>
        <v>70</v>
      </c>
      <c r="K993" s="14">
        <f ca="1" t="shared" si="47"/>
        <v>16</v>
      </c>
    </row>
    <row r="994" ht="18" spans="1:11">
      <c r="A994" s="10">
        <f t="shared" si="45"/>
        <v>993</v>
      </c>
      <c r="B994" s="11" t="s">
        <v>4931</v>
      </c>
      <c r="C994" s="10" t="str">
        <f>IFERROR(INDEX(面试清单!D:D,MATCH(993,面试清单!P:P,0)),"")</f>
        <v/>
      </c>
      <c r="D994" s="11" t="s">
        <v>74</v>
      </c>
      <c r="E994" s="11" t="s">
        <v>64</v>
      </c>
      <c r="F994" s="11" t="s">
        <v>135</v>
      </c>
      <c r="G994" s="15">
        <v>46119</v>
      </c>
      <c r="H994" s="10" t="str">
        <f>IFERROR(INDEX(面试清单!H:H,MATCH(993,面试清单!P:P,0)),"")</f>
        <v/>
      </c>
      <c r="I994" s="13" t="s">
        <v>29</v>
      </c>
      <c r="J994" s="10">
        <f ca="1" t="shared" si="46"/>
        <v>70</v>
      </c>
      <c r="K994" s="10">
        <f ca="1" t="shared" si="47"/>
        <v>16</v>
      </c>
    </row>
    <row r="995" ht="18" spans="1:11">
      <c r="A995" s="14">
        <f t="shared" si="45"/>
        <v>994</v>
      </c>
      <c r="B995" s="11" t="s">
        <v>4932</v>
      </c>
      <c r="C995" s="14" t="str">
        <f>IFERROR(INDEX(面试清单!D:D,MATCH(994,面试清单!P:P,0)),"")</f>
        <v/>
      </c>
      <c r="D995" s="11" t="s">
        <v>74</v>
      </c>
      <c r="E995" s="11" t="s">
        <v>64</v>
      </c>
      <c r="F995" s="11" t="s">
        <v>135</v>
      </c>
      <c r="G995" s="15">
        <v>46119</v>
      </c>
      <c r="H995" s="14" t="str">
        <f>IFERROR(INDEX(面试清单!H:H,MATCH(994,面试清单!P:P,0)),"")</f>
        <v/>
      </c>
      <c r="I995" s="13" t="s">
        <v>29</v>
      </c>
      <c r="J995" s="14">
        <f ca="1" t="shared" si="46"/>
        <v>70</v>
      </c>
      <c r="K995" s="14">
        <f ca="1" t="shared" si="47"/>
        <v>16</v>
      </c>
    </row>
    <row r="996" ht="18" spans="1:11">
      <c r="A996" s="10">
        <f t="shared" si="45"/>
        <v>995</v>
      </c>
      <c r="B996" s="11" t="s">
        <v>4933</v>
      </c>
      <c r="C996" s="125" t="str">
        <f>IFERROR(INDEX(面试清单!D:D,MATCH(995,面试清单!P:P,0)),"")</f>
        <v>0218</v>
      </c>
      <c r="D996" s="11" t="s">
        <v>74</v>
      </c>
      <c r="E996" s="11" t="s">
        <v>64</v>
      </c>
      <c r="F996" s="11" t="s">
        <v>179</v>
      </c>
      <c r="G996" s="15">
        <v>46119</v>
      </c>
      <c r="H996" s="10" t="str">
        <f>IFERROR(INDEX(面试清单!H:H,MATCH(995,面试清单!P:P,0)),"")</f>
        <v>线上</v>
      </c>
      <c r="I996" s="13" t="s">
        <v>29</v>
      </c>
      <c r="J996" s="10">
        <f ca="1" t="shared" si="46"/>
        <v>70</v>
      </c>
      <c r="K996" s="10">
        <f ca="1" t="shared" si="47"/>
        <v>16</v>
      </c>
    </row>
    <row r="997" ht="18" spans="1:11">
      <c r="A997" s="14">
        <f t="shared" si="45"/>
        <v>996</v>
      </c>
      <c r="B997" s="11" t="s">
        <v>4934</v>
      </c>
      <c r="C997" s="124" t="str">
        <f>IFERROR(INDEX(面试清单!D:D,MATCH(996,面试清单!P:P,0)),"")</f>
        <v>0220</v>
      </c>
      <c r="D997" s="11" t="s">
        <v>42</v>
      </c>
      <c r="E997" s="11" t="s">
        <v>63</v>
      </c>
      <c r="F997" s="11" t="s">
        <v>307</v>
      </c>
      <c r="G997" s="15">
        <v>46120</v>
      </c>
      <c r="H997" s="14" t="str">
        <f>IFERROR(INDEX(面试清单!H:H,MATCH(996,面试清单!P:P,0)),"")</f>
        <v>线上</v>
      </c>
      <c r="I997" s="13" t="s">
        <v>29</v>
      </c>
      <c r="J997" s="14">
        <f ca="1" t="shared" si="46"/>
        <v>69</v>
      </c>
      <c r="K997" s="14">
        <f ca="1" t="shared" si="47"/>
        <v>16</v>
      </c>
    </row>
    <row r="998" ht="18" spans="1:11">
      <c r="A998" s="10">
        <f t="shared" si="45"/>
        <v>997</v>
      </c>
      <c r="B998" s="11" t="s">
        <v>4935</v>
      </c>
      <c r="C998" s="10" t="str">
        <f>IFERROR(INDEX(面试清单!D:D,MATCH(997,面试清单!P:P,0)),"")</f>
        <v/>
      </c>
      <c r="D998" s="11" t="s">
        <v>42</v>
      </c>
      <c r="E998" s="11" t="s">
        <v>63</v>
      </c>
      <c r="F998" s="11" t="s">
        <v>426</v>
      </c>
      <c r="G998" s="15">
        <v>46120</v>
      </c>
      <c r="H998" s="10" t="str">
        <f>IFERROR(INDEX(面试清单!H:H,MATCH(997,面试清单!P:P,0)),"")</f>
        <v/>
      </c>
      <c r="I998" s="13" t="s">
        <v>29</v>
      </c>
      <c r="J998" s="10">
        <f ca="1" t="shared" si="46"/>
        <v>69</v>
      </c>
      <c r="K998" s="10">
        <f ca="1" t="shared" si="47"/>
        <v>16</v>
      </c>
    </row>
    <row r="999" ht="18" spans="1:11">
      <c r="A999" s="14">
        <f t="shared" si="45"/>
        <v>998</v>
      </c>
      <c r="B999" s="11" t="s">
        <v>4936</v>
      </c>
      <c r="C999" s="124" t="str">
        <f>IFERROR(INDEX(面试清单!D:D,MATCH(998,面试清单!P:P,0)),"")</f>
        <v>0222</v>
      </c>
      <c r="D999" s="11" t="s">
        <v>43</v>
      </c>
      <c r="E999" s="11" t="s">
        <v>62</v>
      </c>
      <c r="F999" s="11" t="s">
        <v>307</v>
      </c>
      <c r="G999" s="15">
        <v>46121</v>
      </c>
      <c r="H999" s="14" t="str">
        <f>IFERROR(INDEX(面试清单!H:H,MATCH(998,面试清单!P:P,0)),"")</f>
        <v>线上</v>
      </c>
      <c r="I999" s="13" t="s">
        <v>29</v>
      </c>
      <c r="J999" s="14">
        <f ca="1" t="shared" si="46"/>
        <v>68</v>
      </c>
      <c r="K999" s="14">
        <f ca="1" t="shared" si="47"/>
        <v>16</v>
      </c>
    </row>
    <row r="1000" ht="18" spans="1:11">
      <c r="A1000" s="10">
        <f t="shared" si="45"/>
        <v>999</v>
      </c>
      <c r="B1000" s="11" t="s">
        <v>4937</v>
      </c>
      <c r="C1000" s="10" t="str">
        <f>IFERROR(INDEX(面试清单!D:D,MATCH(999,面试清单!P:P,0)),"")</f>
        <v/>
      </c>
      <c r="D1000" s="11" t="s">
        <v>43</v>
      </c>
      <c r="E1000" s="11" t="s">
        <v>63</v>
      </c>
      <c r="F1000" s="11" t="s">
        <v>103</v>
      </c>
      <c r="G1000" s="15">
        <v>46121</v>
      </c>
      <c r="H1000" s="10" t="str">
        <f>IFERROR(INDEX(面试清单!H:H,MATCH(999,面试清单!P:P,0)),"")</f>
        <v/>
      </c>
      <c r="I1000" s="13" t="s">
        <v>29</v>
      </c>
      <c r="J1000" s="10">
        <f ca="1" t="shared" si="46"/>
        <v>68</v>
      </c>
      <c r="K1000" s="10">
        <f ca="1" t="shared" si="47"/>
        <v>16</v>
      </c>
    </row>
    <row r="1001" ht="18" spans="1:11">
      <c r="A1001" s="14">
        <f t="shared" si="45"/>
        <v>1000</v>
      </c>
      <c r="B1001" s="11" t="s">
        <v>4938</v>
      </c>
      <c r="C1001" s="124" t="str">
        <f>IFERROR(INDEX(面试清单!D:D,MATCH(1000,面试清单!P:P,0)),"")</f>
        <v>0208</v>
      </c>
      <c r="D1001" s="11" t="s">
        <v>42</v>
      </c>
      <c r="E1001" s="11" t="s">
        <v>62</v>
      </c>
      <c r="F1001" s="11" t="s">
        <v>179</v>
      </c>
      <c r="G1001" s="15">
        <v>46121</v>
      </c>
      <c r="H1001" s="14" t="str">
        <f>IFERROR(INDEX(面试清单!H:H,MATCH(1000,面试清单!P:P,0)),"")</f>
        <v>线上</v>
      </c>
      <c r="I1001" s="13" t="s">
        <v>29</v>
      </c>
      <c r="J1001" s="14">
        <f ca="1" t="shared" si="46"/>
        <v>68</v>
      </c>
      <c r="K1001" s="14">
        <f ca="1" t="shared" si="47"/>
        <v>16</v>
      </c>
    </row>
    <row r="1002" ht="18" spans="1:11">
      <c r="A1002" s="10">
        <f t="shared" si="45"/>
        <v>1001</v>
      </c>
      <c r="B1002" s="11" t="s">
        <v>4939</v>
      </c>
      <c r="C1002" s="10" t="str">
        <f>IFERROR(INDEX(面试清单!D:D,MATCH(1001,面试清单!P:P,0)),"")</f>
        <v/>
      </c>
      <c r="D1002" s="11" t="s">
        <v>42</v>
      </c>
      <c r="E1002" s="11" t="s">
        <v>62</v>
      </c>
      <c r="F1002" s="11" t="s">
        <v>505</v>
      </c>
      <c r="G1002" s="15">
        <v>46121</v>
      </c>
      <c r="H1002" s="10" t="str">
        <f>IFERROR(INDEX(面试清单!H:H,MATCH(1001,面试清单!P:P,0)),"")</f>
        <v/>
      </c>
      <c r="I1002" s="13" t="s">
        <v>29</v>
      </c>
      <c r="J1002" s="10">
        <f ca="1" t="shared" si="46"/>
        <v>68</v>
      </c>
      <c r="K1002" s="10">
        <f ca="1" t="shared" si="47"/>
        <v>16</v>
      </c>
    </row>
    <row r="1003" ht="18" spans="1:11">
      <c r="A1003" s="14">
        <f t="shared" si="45"/>
        <v>1002</v>
      </c>
      <c r="B1003" s="11" t="s">
        <v>4940</v>
      </c>
      <c r="C1003" s="14" t="str">
        <f>IFERROR(INDEX(面试清单!D:D,MATCH(1002,面试清单!P:P,0)),"")</f>
        <v/>
      </c>
      <c r="D1003" s="11" t="s">
        <v>74</v>
      </c>
      <c r="E1003" s="11" t="s">
        <v>190</v>
      </c>
      <c r="F1003" s="11" t="s">
        <v>179</v>
      </c>
      <c r="G1003" s="15">
        <v>46121</v>
      </c>
      <c r="H1003" s="14" t="str">
        <f>IFERROR(INDEX(面试清单!H:H,MATCH(1002,面试清单!P:P,0)),"")</f>
        <v/>
      </c>
      <c r="I1003" s="13" t="s">
        <v>29</v>
      </c>
      <c r="J1003" s="14">
        <f ca="1" t="shared" si="46"/>
        <v>68</v>
      </c>
      <c r="K1003" s="14">
        <f ca="1" t="shared" si="47"/>
        <v>16</v>
      </c>
    </row>
    <row r="1004" ht="18" spans="1:11">
      <c r="A1004" s="10">
        <f t="shared" si="45"/>
        <v>1003</v>
      </c>
      <c r="B1004" s="11" t="s">
        <v>4941</v>
      </c>
      <c r="C1004" s="10" t="str">
        <f>IFERROR(INDEX(面试清单!D:D,MATCH(1003,面试清单!P:P,0)),"")</f>
        <v/>
      </c>
      <c r="D1004" s="11" t="s">
        <v>43</v>
      </c>
      <c r="E1004" s="11" t="s">
        <v>63</v>
      </c>
      <c r="F1004" s="11" t="s">
        <v>103</v>
      </c>
      <c r="G1004" s="15">
        <v>46122</v>
      </c>
      <c r="H1004" s="10" t="str">
        <f>IFERROR(INDEX(面试清单!H:H,MATCH(1003,面试清单!P:P,0)),"")</f>
        <v/>
      </c>
      <c r="I1004" s="13" t="s">
        <v>29</v>
      </c>
      <c r="J1004" s="10">
        <f ca="1" t="shared" si="46"/>
        <v>67</v>
      </c>
      <c r="K1004" s="10">
        <f ca="1" t="shared" si="47"/>
        <v>16</v>
      </c>
    </row>
    <row r="1005" ht="18" spans="1:11">
      <c r="A1005" s="14">
        <f t="shared" si="45"/>
        <v>1004</v>
      </c>
      <c r="B1005" s="11" t="s">
        <v>4942</v>
      </c>
      <c r="C1005" s="14" t="str">
        <f>IFERROR(INDEX(面试清单!D:D,MATCH(1004,面试清单!P:P,0)),"")</f>
        <v/>
      </c>
      <c r="D1005" s="11" t="s">
        <v>43</v>
      </c>
      <c r="E1005" s="11" t="s">
        <v>63</v>
      </c>
      <c r="F1005" s="11" t="s">
        <v>103</v>
      </c>
      <c r="G1005" s="15">
        <v>46122</v>
      </c>
      <c r="H1005" s="14" t="str">
        <f>IFERROR(INDEX(面试清单!H:H,MATCH(1004,面试清单!P:P,0)),"")</f>
        <v/>
      </c>
      <c r="I1005" s="13" t="s">
        <v>29</v>
      </c>
      <c r="J1005" s="14">
        <f ca="1" t="shared" si="46"/>
        <v>67</v>
      </c>
      <c r="K1005" s="14">
        <f ca="1" t="shared" si="47"/>
        <v>16</v>
      </c>
    </row>
    <row r="1006" ht="18" spans="1:11">
      <c r="A1006" s="10">
        <f t="shared" si="45"/>
        <v>1005</v>
      </c>
      <c r="B1006" s="11" t="s">
        <v>4943</v>
      </c>
      <c r="C1006" s="10" t="str">
        <f>IFERROR(INDEX(面试清单!D:D,MATCH(1005,面试清单!P:P,0)),"")</f>
        <v/>
      </c>
      <c r="D1006" s="11" t="s">
        <v>42</v>
      </c>
      <c r="E1006" s="11" t="s">
        <v>63</v>
      </c>
      <c r="F1006" s="11" t="s">
        <v>233</v>
      </c>
      <c r="G1006" s="15">
        <v>46122</v>
      </c>
      <c r="H1006" s="10" t="str">
        <f>IFERROR(INDEX(面试清单!H:H,MATCH(1005,面试清单!P:P,0)),"")</f>
        <v/>
      </c>
      <c r="I1006" s="13" t="s">
        <v>29</v>
      </c>
      <c r="J1006" s="10">
        <f ca="1" t="shared" si="46"/>
        <v>67</v>
      </c>
      <c r="K1006" s="10">
        <f ca="1" t="shared" si="47"/>
        <v>16</v>
      </c>
    </row>
    <row r="1007" ht="18" spans="1:11">
      <c r="A1007" s="14">
        <f t="shared" si="45"/>
        <v>1006</v>
      </c>
      <c r="B1007" s="11" t="s">
        <v>4944</v>
      </c>
      <c r="C1007" s="124" t="str">
        <f>IFERROR(INDEX(面试清单!D:D,MATCH(1006,面试清单!P:P,0)),"")</f>
        <v>0220</v>
      </c>
      <c r="D1007" s="11" t="s">
        <v>42</v>
      </c>
      <c r="E1007" s="11" t="s">
        <v>63</v>
      </c>
      <c r="F1007" s="11" t="s">
        <v>129</v>
      </c>
      <c r="G1007" s="15">
        <v>46125</v>
      </c>
      <c r="H1007" s="14" t="str">
        <f>IFERROR(INDEX(面试清单!H:H,MATCH(1006,面试清单!P:P,0)),"")</f>
        <v>线上</v>
      </c>
      <c r="I1007" s="13" t="s">
        <v>29</v>
      </c>
      <c r="J1007" s="14">
        <f ca="1" t="shared" si="46"/>
        <v>64</v>
      </c>
      <c r="K1007" s="14">
        <f ca="1" t="shared" si="47"/>
        <v>16</v>
      </c>
    </row>
    <row r="1008" ht="18" spans="1:11">
      <c r="A1008" s="10">
        <f t="shared" si="45"/>
        <v>1007</v>
      </c>
      <c r="B1008" s="11" t="s">
        <v>4945</v>
      </c>
      <c r="C1008" s="125" t="str">
        <f>IFERROR(INDEX(面试清单!D:D,MATCH(1007,面试清单!P:P,0)),"")</f>
        <v>0221</v>
      </c>
      <c r="D1008" s="11" t="s">
        <v>43</v>
      </c>
      <c r="E1008" s="11" t="s">
        <v>62</v>
      </c>
      <c r="F1008" s="11" t="s">
        <v>129</v>
      </c>
      <c r="G1008" s="15">
        <v>46125</v>
      </c>
      <c r="H1008" s="10" t="str">
        <f>IFERROR(INDEX(面试清单!H:H,MATCH(1007,面试清单!P:P,0)),"")</f>
        <v>线上</v>
      </c>
      <c r="I1008" s="13" t="s">
        <v>29</v>
      </c>
      <c r="J1008" s="10">
        <f ca="1" t="shared" si="46"/>
        <v>64</v>
      </c>
      <c r="K1008" s="10">
        <f ca="1" t="shared" si="47"/>
        <v>16</v>
      </c>
    </row>
    <row r="1009" ht="18" spans="1:11">
      <c r="A1009" s="14">
        <f t="shared" si="45"/>
        <v>1008</v>
      </c>
      <c r="B1009" s="11" t="s">
        <v>4946</v>
      </c>
      <c r="C1009" s="14" t="str">
        <f>IFERROR(INDEX(面试清单!D:D,MATCH(1008,面试清单!P:P,0)),"")</f>
        <v/>
      </c>
      <c r="D1009" s="11" t="s">
        <v>43</v>
      </c>
      <c r="E1009" s="11" t="s">
        <v>62</v>
      </c>
      <c r="F1009" s="11" t="s">
        <v>129</v>
      </c>
      <c r="G1009" s="15">
        <v>46125</v>
      </c>
      <c r="H1009" s="14" t="str">
        <f>IFERROR(INDEX(面试清单!H:H,MATCH(1008,面试清单!P:P,0)),"")</f>
        <v/>
      </c>
      <c r="I1009" s="13" t="s">
        <v>29</v>
      </c>
      <c r="J1009" s="14">
        <f ca="1" t="shared" si="46"/>
        <v>64</v>
      </c>
      <c r="K1009" s="14">
        <f ca="1" t="shared" si="47"/>
        <v>16</v>
      </c>
    </row>
    <row r="1010" ht="18" spans="1:11">
      <c r="A1010" s="10">
        <f t="shared" si="45"/>
        <v>1009</v>
      </c>
      <c r="B1010" s="11" t="s">
        <v>4947</v>
      </c>
      <c r="C1010" s="10" t="str">
        <f>IFERROR(INDEX(面试清单!D:D,MATCH(1009,面试清单!P:P,0)),"")</f>
        <v/>
      </c>
      <c r="D1010" s="11" t="s">
        <v>43</v>
      </c>
      <c r="E1010" s="11" t="s">
        <v>63</v>
      </c>
      <c r="F1010" s="123" t="s">
        <v>505</v>
      </c>
      <c r="G1010" s="15">
        <v>46125</v>
      </c>
      <c r="H1010" s="10" t="str">
        <f>IFERROR(INDEX(面试清单!H:H,MATCH(1009,面试清单!P:P,0)),"")</f>
        <v/>
      </c>
      <c r="I1010" s="13" t="s">
        <v>29</v>
      </c>
      <c r="J1010" s="10">
        <f ca="1" t="shared" si="46"/>
        <v>64</v>
      </c>
      <c r="K1010" s="10">
        <f ca="1" t="shared" si="47"/>
        <v>16</v>
      </c>
    </row>
    <row r="1011" ht="18" spans="1:11">
      <c r="A1011" s="14">
        <f t="shared" si="45"/>
        <v>1010</v>
      </c>
      <c r="B1011" s="11" t="s">
        <v>4948</v>
      </c>
      <c r="C1011" s="14" t="str">
        <f>IFERROR(INDEX(面试清单!D:D,MATCH(1010,面试清单!P:P,0)),"")</f>
        <v/>
      </c>
      <c r="D1011" s="11" t="s">
        <v>43</v>
      </c>
      <c r="E1011" s="11" t="s">
        <v>63</v>
      </c>
      <c r="F1011" s="123" t="s">
        <v>505</v>
      </c>
      <c r="G1011" s="15">
        <v>46125</v>
      </c>
      <c r="H1011" s="14" t="str">
        <f>IFERROR(INDEX(面试清单!H:H,MATCH(1010,面试清单!P:P,0)),"")</f>
        <v/>
      </c>
      <c r="I1011" s="13" t="s">
        <v>29</v>
      </c>
      <c r="J1011" s="14">
        <f ca="1" t="shared" si="46"/>
        <v>64</v>
      </c>
      <c r="K1011" s="14">
        <f ca="1" t="shared" si="47"/>
        <v>16</v>
      </c>
    </row>
    <row r="1012" ht="18" spans="1:11">
      <c r="A1012" s="10">
        <f t="shared" si="45"/>
        <v>1011</v>
      </c>
      <c r="B1012" s="11" t="s">
        <v>4949</v>
      </c>
      <c r="C1012" s="10" t="str">
        <f>IFERROR(INDEX(面试清单!D:D,MATCH(1011,面试清单!P:P,0)),"")</f>
        <v/>
      </c>
      <c r="D1012" s="11" t="s">
        <v>42</v>
      </c>
      <c r="E1012" s="11" t="s">
        <v>62</v>
      </c>
      <c r="F1012" s="123" t="s">
        <v>505</v>
      </c>
      <c r="G1012" s="15">
        <v>46125</v>
      </c>
      <c r="H1012" s="10" t="str">
        <f>IFERROR(INDEX(面试清单!H:H,MATCH(1011,面试清单!P:P,0)),"")</f>
        <v/>
      </c>
      <c r="I1012" s="13" t="s">
        <v>29</v>
      </c>
      <c r="J1012" s="10">
        <f ca="1" t="shared" si="46"/>
        <v>64</v>
      </c>
      <c r="K1012" s="10">
        <f ca="1" t="shared" si="47"/>
        <v>16</v>
      </c>
    </row>
    <row r="1013" ht="18" spans="1:11">
      <c r="A1013" s="14">
        <f t="shared" si="45"/>
        <v>1012</v>
      </c>
      <c r="B1013" s="11" t="s">
        <v>4950</v>
      </c>
      <c r="C1013" s="14" t="str">
        <f>IFERROR(INDEX(面试清单!D:D,MATCH(1012,面试清单!P:P,0)),"")</f>
        <v/>
      </c>
      <c r="D1013" s="11" t="s">
        <v>42</v>
      </c>
      <c r="E1013" s="11" t="s">
        <v>62</v>
      </c>
      <c r="F1013" s="11" t="s">
        <v>179</v>
      </c>
      <c r="G1013" s="15">
        <v>46125</v>
      </c>
      <c r="H1013" s="14" t="str">
        <f>IFERROR(INDEX(面试清单!H:H,MATCH(1012,面试清单!P:P,0)),"")</f>
        <v/>
      </c>
      <c r="I1013" s="13" t="s">
        <v>29</v>
      </c>
      <c r="J1013" s="14">
        <f ca="1" t="shared" si="46"/>
        <v>64</v>
      </c>
      <c r="K1013" s="14">
        <f ca="1" t="shared" si="47"/>
        <v>16</v>
      </c>
    </row>
    <row r="1014" ht="18" spans="1:11">
      <c r="A1014" s="10">
        <f t="shared" si="45"/>
        <v>1013</v>
      </c>
      <c r="B1014" s="11" t="s">
        <v>4951</v>
      </c>
      <c r="C1014" s="10" t="str">
        <f>IFERROR(INDEX(面试清单!D:D,MATCH(1013,面试清单!P:P,0)),"")</f>
        <v/>
      </c>
      <c r="D1014" s="11" t="s">
        <v>42</v>
      </c>
      <c r="E1014" s="11" t="s">
        <v>62</v>
      </c>
      <c r="F1014" s="11" t="s">
        <v>179</v>
      </c>
      <c r="G1014" s="15">
        <v>46125</v>
      </c>
      <c r="H1014" s="10" t="str">
        <f>IFERROR(INDEX(面试清单!H:H,MATCH(1013,面试清单!P:P,0)),"")</f>
        <v/>
      </c>
      <c r="I1014" s="13" t="s">
        <v>29</v>
      </c>
      <c r="J1014" s="10">
        <f ca="1" t="shared" si="46"/>
        <v>64</v>
      </c>
      <c r="K1014" s="10">
        <f ca="1" t="shared" si="47"/>
        <v>16</v>
      </c>
    </row>
    <row r="1015" ht="18" spans="1:11">
      <c r="A1015" s="14">
        <f t="shared" si="45"/>
        <v>1014</v>
      </c>
      <c r="B1015" s="11" t="s">
        <v>4952</v>
      </c>
      <c r="C1015" s="14" t="str">
        <f>IFERROR(INDEX(面试清单!D:D,MATCH(1014,面试清单!P:P,0)),"")</f>
        <v/>
      </c>
      <c r="D1015" s="11" t="s">
        <v>43</v>
      </c>
      <c r="E1015" s="11" t="s">
        <v>62</v>
      </c>
      <c r="F1015" s="11" t="s">
        <v>124</v>
      </c>
      <c r="G1015" s="15">
        <v>46125</v>
      </c>
      <c r="H1015" s="14" t="str">
        <f>IFERROR(INDEX(面试清单!H:H,MATCH(1014,面试清单!P:P,0)),"")</f>
        <v/>
      </c>
      <c r="I1015" s="13" t="s">
        <v>29</v>
      </c>
      <c r="J1015" s="14">
        <f ca="1" t="shared" si="46"/>
        <v>64</v>
      </c>
      <c r="K1015" s="14">
        <f ca="1" t="shared" si="47"/>
        <v>16</v>
      </c>
    </row>
    <row r="1016" ht="18" spans="1:11">
      <c r="A1016" s="10">
        <f t="shared" si="45"/>
        <v>1015</v>
      </c>
      <c r="B1016" s="11" t="s">
        <v>4953</v>
      </c>
      <c r="C1016" s="10" t="str">
        <f>IFERROR(INDEX(面试清单!D:D,MATCH(1015,面试清单!P:P,0)),"")</f>
        <v/>
      </c>
      <c r="D1016" s="11" t="s">
        <v>43</v>
      </c>
      <c r="E1016" s="11" t="s">
        <v>63</v>
      </c>
      <c r="F1016" s="11" t="s">
        <v>124</v>
      </c>
      <c r="G1016" s="15">
        <v>46125</v>
      </c>
      <c r="H1016" s="10" t="str">
        <f>IFERROR(INDEX(面试清单!H:H,MATCH(1015,面试清单!P:P,0)),"")</f>
        <v/>
      </c>
      <c r="I1016" s="13" t="s">
        <v>29</v>
      </c>
      <c r="J1016" s="10">
        <f ca="1" t="shared" si="46"/>
        <v>64</v>
      </c>
      <c r="K1016" s="10">
        <f ca="1" t="shared" si="47"/>
        <v>16</v>
      </c>
    </row>
    <row r="1017" ht="18" spans="1:11">
      <c r="A1017" s="14">
        <f t="shared" si="45"/>
        <v>1016</v>
      </c>
      <c r="B1017" s="11" t="s">
        <v>4954</v>
      </c>
      <c r="C1017" s="124" t="str">
        <f>IFERROR(INDEX(面试清单!D:D,MATCH(1016,面试清单!P:P,0)),"")</f>
        <v>0221</v>
      </c>
      <c r="D1017" s="11" t="s">
        <v>42</v>
      </c>
      <c r="E1017" s="11" t="s">
        <v>62</v>
      </c>
      <c r="F1017" s="11" t="s">
        <v>124</v>
      </c>
      <c r="G1017" s="15">
        <v>46125</v>
      </c>
      <c r="H1017" s="14" t="str">
        <f>IFERROR(INDEX(面试清单!H:H,MATCH(1016,面试清单!P:P,0)),"")</f>
        <v>线上</v>
      </c>
      <c r="I1017" s="13" t="s">
        <v>29</v>
      </c>
      <c r="J1017" s="14">
        <f ca="1" t="shared" si="46"/>
        <v>64</v>
      </c>
      <c r="K1017" s="14">
        <f ca="1" t="shared" si="47"/>
        <v>16</v>
      </c>
    </row>
    <row r="1018" ht="18" spans="1:11">
      <c r="A1018" s="10">
        <f t="shared" si="45"/>
        <v>1017</v>
      </c>
      <c r="B1018" s="11" t="s">
        <v>4955</v>
      </c>
      <c r="C1018" s="10" t="str">
        <f>IFERROR(INDEX(面试清单!D:D,MATCH(1017,面试清单!P:P,0)),"")</f>
        <v/>
      </c>
      <c r="D1018" s="11" t="s">
        <v>42</v>
      </c>
      <c r="E1018" s="11" t="s">
        <v>62</v>
      </c>
      <c r="F1018" s="11" t="s">
        <v>124</v>
      </c>
      <c r="G1018" s="15">
        <v>46125</v>
      </c>
      <c r="H1018" s="10" t="str">
        <f>IFERROR(INDEX(面试清单!H:H,MATCH(1017,面试清单!P:P,0)),"")</f>
        <v/>
      </c>
      <c r="I1018" s="13" t="s">
        <v>29</v>
      </c>
      <c r="J1018" s="10">
        <f ca="1" t="shared" si="46"/>
        <v>64</v>
      </c>
      <c r="K1018" s="10">
        <f ca="1" t="shared" si="47"/>
        <v>16</v>
      </c>
    </row>
    <row r="1019" ht="18" spans="1:11">
      <c r="A1019" s="14">
        <f t="shared" si="45"/>
        <v>1018</v>
      </c>
      <c r="B1019" s="11" t="s">
        <v>4956</v>
      </c>
      <c r="C1019" s="124" t="str">
        <f>IFERROR(INDEX(面试清单!D:D,MATCH(1018,面试清单!P:P,0)),"")</f>
        <v>0208</v>
      </c>
      <c r="D1019" s="11" t="s">
        <v>42</v>
      </c>
      <c r="E1019" s="11" t="s">
        <v>63</v>
      </c>
      <c r="F1019" s="11" t="s">
        <v>124</v>
      </c>
      <c r="G1019" s="15">
        <v>46125</v>
      </c>
      <c r="H1019" s="14" t="str">
        <f>IFERROR(INDEX(面试清单!H:H,MATCH(1018,面试清单!P:P,0)),"")</f>
        <v>线上</v>
      </c>
      <c r="I1019" s="13" t="s">
        <v>29</v>
      </c>
      <c r="J1019" s="14">
        <f ca="1" t="shared" si="46"/>
        <v>64</v>
      </c>
      <c r="K1019" s="14">
        <f ca="1" t="shared" si="47"/>
        <v>16</v>
      </c>
    </row>
    <row r="1020" ht="18" spans="1:11">
      <c r="A1020" s="10">
        <f t="shared" si="45"/>
        <v>1019</v>
      </c>
      <c r="B1020" s="11" t="s">
        <v>4957</v>
      </c>
      <c r="C1020" s="10" t="str">
        <f>IFERROR(INDEX(面试清单!D:D,MATCH(1019,面试清单!P:P,0)),"")</f>
        <v/>
      </c>
      <c r="D1020" s="11" t="s">
        <v>43</v>
      </c>
      <c r="E1020" s="11" t="s">
        <v>63</v>
      </c>
      <c r="F1020" s="11" t="s">
        <v>124</v>
      </c>
      <c r="G1020" s="15">
        <v>46125</v>
      </c>
      <c r="H1020" s="10" t="str">
        <f>IFERROR(INDEX(面试清单!H:H,MATCH(1019,面试清单!P:P,0)),"")</f>
        <v/>
      </c>
      <c r="I1020" s="13" t="s">
        <v>29</v>
      </c>
      <c r="J1020" s="10">
        <f ca="1" t="shared" si="46"/>
        <v>64</v>
      </c>
      <c r="K1020" s="10">
        <f ca="1" t="shared" si="47"/>
        <v>16</v>
      </c>
    </row>
    <row r="1021" ht="18" spans="1:11">
      <c r="A1021" s="14">
        <f t="shared" si="45"/>
        <v>1020</v>
      </c>
      <c r="B1021" s="11" t="s">
        <v>4958</v>
      </c>
      <c r="C1021" s="124" t="str">
        <f>IFERROR(INDEX(面试清单!D:D,MATCH(1020,面试清单!P:P,0)),"")</f>
        <v>0212</v>
      </c>
      <c r="D1021" s="11" t="s">
        <v>43</v>
      </c>
      <c r="E1021" s="11" t="s">
        <v>63</v>
      </c>
      <c r="F1021" s="11" t="s">
        <v>124</v>
      </c>
      <c r="G1021" s="15">
        <v>46125</v>
      </c>
      <c r="H1021" s="14" t="str">
        <f>IFERROR(INDEX(面试清单!H:H,MATCH(1020,面试清单!P:P,0)),"")</f>
        <v>线上</v>
      </c>
      <c r="I1021" s="13" t="s">
        <v>29</v>
      </c>
      <c r="J1021" s="14">
        <f ca="1" t="shared" si="46"/>
        <v>64</v>
      </c>
      <c r="K1021" s="14">
        <f ca="1" t="shared" si="47"/>
        <v>16</v>
      </c>
    </row>
    <row r="1022" ht="18" spans="1:11">
      <c r="A1022" s="10">
        <f t="shared" si="45"/>
        <v>1021</v>
      </c>
      <c r="B1022" s="11" t="s">
        <v>4959</v>
      </c>
      <c r="C1022" s="10" t="str">
        <f>IFERROR(INDEX(面试清单!D:D,MATCH(1021,面试清单!P:P,0)),"")</f>
        <v/>
      </c>
      <c r="D1022" s="11" t="s">
        <v>42</v>
      </c>
      <c r="E1022" s="11" t="s">
        <v>62</v>
      </c>
      <c r="F1022" s="11" t="s">
        <v>124</v>
      </c>
      <c r="G1022" s="15">
        <v>46125</v>
      </c>
      <c r="H1022" s="10" t="str">
        <f>IFERROR(INDEX(面试清单!H:H,MATCH(1021,面试清单!P:P,0)),"")</f>
        <v/>
      </c>
      <c r="I1022" s="13" t="s">
        <v>29</v>
      </c>
      <c r="J1022" s="10">
        <f ca="1" t="shared" si="46"/>
        <v>64</v>
      </c>
      <c r="K1022" s="10">
        <f ca="1" t="shared" si="47"/>
        <v>16</v>
      </c>
    </row>
    <row r="1023" ht="18" spans="1:11">
      <c r="A1023" s="14">
        <f t="shared" si="45"/>
        <v>1022</v>
      </c>
      <c r="B1023" s="11" t="s">
        <v>4960</v>
      </c>
      <c r="C1023" s="14" t="str">
        <f>IFERROR(INDEX(面试清单!D:D,MATCH(1022,面试清单!P:P,0)),"")</f>
        <v/>
      </c>
      <c r="D1023" s="11" t="s">
        <v>42</v>
      </c>
      <c r="E1023" s="11" t="s">
        <v>62</v>
      </c>
      <c r="F1023" s="11" t="s">
        <v>124</v>
      </c>
      <c r="G1023" s="15">
        <v>46125</v>
      </c>
      <c r="H1023" s="14" t="str">
        <f>IFERROR(INDEX(面试清单!H:H,MATCH(1022,面试清单!P:P,0)),"")</f>
        <v/>
      </c>
      <c r="I1023" s="13" t="s">
        <v>29</v>
      </c>
      <c r="J1023" s="14">
        <f ca="1" t="shared" si="46"/>
        <v>64</v>
      </c>
      <c r="K1023" s="14">
        <f ca="1" t="shared" si="47"/>
        <v>16</v>
      </c>
    </row>
    <row r="1024" ht="18" spans="1:11">
      <c r="A1024" s="10">
        <f t="shared" si="45"/>
        <v>1023</v>
      </c>
      <c r="B1024" s="11" t="s">
        <v>4961</v>
      </c>
      <c r="C1024" s="10" t="str">
        <f>IFERROR(INDEX(面试清单!D:D,MATCH(1023,面试清单!P:P,0)),"")</f>
        <v/>
      </c>
      <c r="D1024" s="11" t="s">
        <v>43</v>
      </c>
      <c r="E1024" s="11" t="s">
        <v>63</v>
      </c>
      <c r="F1024" s="11" t="s">
        <v>246</v>
      </c>
      <c r="G1024" s="15">
        <v>46125</v>
      </c>
      <c r="H1024" s="10" t="str">
        <f>IFERROR(INDEX(面试清单!H:H,MATCH(1023,面试清单!P:P,0)),"")</f>
        <v/>
      </c>
      <c r="I1024" s="13" t="s">
        <v>29</v>
      </c>
      <c r="J1024" s="10">
        <f ca="1" t="shared" si="46"/>
        <v>64</v>
      </c>
      <c r="K1024" s="10">
        <f ca="1" t="shared" si="47"/>
        <v>16</v>
      </c>
    </row>
    <row r="1025" ht="18" spans="1:11">
      <c r="A1025" s="14">
        <f t="shared" si="45"/>
        <v>1024</v>
      </c>
      <c r="B1025" s="11" t="s">
        <v>4962</v>
      </c>
      <c r="C1025" s="14" t="str">
        <f>IFERROR(INDEX(面试清单!D:D,MATCH(1024,面试清单!P:P,0)),"")</f>
        <v/>
      </c>
      <c r="D1025" s="11" t="s">
        <v>42</v>
      </c>
      <c r="E1025" s="11" t="s">
        <v>62</v>
      </c>
      <c r="F1025" s="11" t="s">
        <v>110</v>
      </c>
      <c r="G1025" s="15">
        <v>46125</v>
      </c>
      <c r="H1025" s="14" t="str">
        <f>IFERROR(INDEX(面试清单!H:H,MATCH(1024,面试清单!P:P,0)),"")</f>
        <v/>
      </c>
      <c r="I1025" s="13" t="s">
        <v>29</v>
      </c>
      <c r="J1025" s="14">
        <f ca="1" t="shared" si="46"/>
        <v>64</v>
      </c>
      <c r="K1025" s="14">
        <f ca="1" t="shared" si="47"/>
        <v>16</v>
      </c>
    </row>
    <row r="1026" ht="18" spans="1:11">
      <c r="A1026" s="10">
        <f t="shared" ref="A1026:A1089" si="48">IF(B1026&lt;&gt;"",ROW()-1,"")</f>
        <v>1025</v>
      </c>
      <c r="B1026" s="11" t="s">
        <v>4963</v>
      </c>
      <c r="C1026" s="10" t="str">
        <f>IFERROR(INDEX(面试清单!D:D,MATCH(1025,面试清单!P:P,0)),"")</f>
        <v/>
      </c>
      <c r="D1026" s="11" t="s">
        <v>43</v>
      </c>
      <c r="E1026" s="11" t="s">
        <v>63</v>
      </c>
      <c r="F1026" s="11" t="s">
        <v>733</v>
      </c>
      <c r="G1026" s="15">
        <v>46125</v>
      </c>
      <c r="H1026" s="10" t="str">
        <f>IFERROR(INDEX(面试清单!H:H,MATCH(1025,面试清单!P:P,0)),"")</f>
        <v/>
      </c>
      <c r="I1026" s="13" t="s">
        <v>29</v>
      </c>
      <c r="J1026" s="10">
        <f ca="1" t="shared" ref="J1026:J1089" si="49">IF(G1026&lt;&gt;"",TODAY()-G1026,"")</f>
        <v>64</v>
      </c>
      <c r="K1026" s="10">
        <f ca="1" t="shared" ref="K1026:K1089" si="50">IF(G1026&lt;&gt;"",MAX(0,MIN(TODAY(),EOMONTH(TODAY(),0))-MAX(G1026,EOMONTH(TODAY(),-1)+1)+1),"")</f>
        <v>16</v>
      </c>
    </row>
    <row r="1027" ht="18" spans="1:11">
      <c r="A1027" s="14">
        <f t="shared" si="48"/>
        <v>1026</v>
      </c>
      <c r="B1027" s="11" t="s">
        <v>4964</v>
      </c>
      <c r="C1027" s="14" t="str">
        <f>IFERROR(INDEX(面试清单!D:D,MATCH(1026,面试清单!P:P,0)),"")</f>
        <v/>
      </c>
      <c r="D1027" s="11" t="s">
        <v>43</v>
      </c>
      <c r="E1027" s="11" t="s">
        <v>63</v>
      </c>
      <c r="F1027" s="11" t="s">
        <v>733</v>
      </c>
      <c r="G1027" s="15">
        <v>46125</v>
      </c>
      <c r="H1027" s="14" t="str">
        <f>IFERROR(INDEX(面试清单!H:H,MATCH(1026,面试清单!P:P,0)),"")</f>
        <v/>
      </c>
      <c r="I1027" s="13" t="s">
        <v>29</v>
      </c>
      <c r="J1027" s="14">
        <f ca="1" t="shared" si="49"/>
        <v>64</v>
      </c>
      <c r="K1027" s="14">
        <f ca="1" t="shared" si="50"/>
        <v>16</v>
      </c>
    </row>
    <row r="1028" ht="18" spans="1:11">
      <c r="A1028" s="10">
        <f t="shared" si="48"/>
        <v>1027</v>
      </c>
      <c r="B1028" s="11" t="s">
        <v>4965</v>
      </c>
      <c r="C1028" s="10" t="str">
        <f>IFERROR(INDEX(面试清单!D:D,MATCH(1027,面试清单!P:P,0)),"")</f>
        <v/>
      </c>
      <c r="D1028" s="11" t="s">
        <v>43</v>
      </c>
      <c r="E1028" s="11" t="s">
        <v>62</v>
      </c>
      <c r="F1028" s="11" t="s">
        <v>246</v>
      </c>
      <c r="G1028" s="15">
        <v>46125</v>
      </c>
      <c r="H1028" s="10" t="str">
        <f>IFERROR(INDEX(面试清单!H:H,MATCH(1027,面试清单!P:P,0)),"")</f>
        <v/>
      </c>
      <c r="I1028" s="13" t="s">
        <v>29</v>
      </c>
      <c r="J1028" s="10">
        <f ca="1" t="shared" si="49"/>
        <v>64</v>
      </c>
      <c r="K1028" s="10">
        <f ca="1" t="shared" si="50"/>
        <v>16</v>
      </c>
    </row>
    <row r="1029" ht="18" spans="1:11">
      <c r="A1029" s="14">
        <f t="shared" si="48"/>
        <v>1028</v>
      </c>
      <c r="B1029" s="11" t="s">
        <v>4966</v>
      </c>
      <c r="C1029" s="14" t="str">
        <f>IFERROR(INDEX(面试清单!D:D,MATCH(1028,面试清单!P:P,0)),"")</f>
        <v/>
      </c>
      <c r="D1029" s="11" t="s">
        <v>42</v>
      </c>
      <c r="E1029" s="11" t="s">
        <v>63</v>
      </c>
      <c r="F1029" s="11" t="s">
        <v>246</v>
      </c>
      <c r="G1029" s="15">
        <v>46125</v>
      </c>
      <c r="H1029" s="14" t="str">
        <f>IFERROR(INDEX(面试清单!H:H,MATCH(1028,面试清单!P:P,0)),"")</f>
        <v/>
      </c>
      <c r="I1029" s="13" t="s">
        <v>29</v>
      </c>
      <c r="J1029" s="14">
        <f ca="1" t="shared" si="49"/>
        <v>64</v>
      </c>
      <c r="K1029" s="14">
        <f ca="1" t="shared" si="50"/>
        <v>16</v>
      </c>
    </row>
    <row r="1030" ht="18" spans="1:11">
      <c r="A1030" s="10">
        <f t="shared" si="48"/>
        <v>1029</v>
      </c>
      <c r="B1030" s="11" t="s">
        <v>3078</v>
      </c>
      <c r="C1030" s="125" t="str">
        <f>IFERROR(INDEX(面试清单!D:D,MATCH(1029,面试清单!P:P,0)),"")</f>
        <v>0212</v>
      </c>
      <c r="D1030" s="11" t="s">
        <v>42</v>
      </c>
      <c r="E1030" s="11" t="s">
        <v>62</v>
      </c>
      <c r="F1030" s="11" t="s">
        <v>246</v>
      </c>
      <c r="G1030" s="15">
        <v>46125</v>
      </c>
      <c r="H1030" s="10" t="str">
        <f>IFERROR(INDEX(面试清单!H:H,MATCH(1029,面试清单!P:P,0)),"")</f>
        <v>线上</v>
      </c>
      <c r="I1030" s="13" t="s">
        <v>29</v>
      </c>
      <c r="J1030" s="10">
        <f ca="1" t="shared" si="49"/>
        <v>64</v>
      </c>
      <c r="K1030" s="10">
        <f ca="1" t="shared" si="50"/>
        <v>16</v>
      </c>
    </row>
    <row r="1031" ht="18" spans="1:11">
      <c r="A1031" s="14">
        <f t="shared" si="48"/>
        <v>1030</v>
      </c>
      <c r="B1031" s="11" t="s">
        <v>4967</v>
      </c>
      <c r="C1031" s="14" t="str">
        <f>IFERROR(INDEX(面试清单!D:D,MATCH(1030,面试清单!P:P,0)),"")</f>
        <v/>
      </c>
      <c r="D1031" s="11" t="s">
        <v>42</v>
      </c>
      <c r="E1031" s="11" t="s">
        <v>62</v>
      </c>
      <c r="F1031" s="11" t="s">
        <v>246</v>
      </c>
      <c r="G1031" s="15">
        <v>46125</v>
      </c>
      <c r="H1031" s="14" t="str">
        <f>IFERROR(INDEX(面试清单!H:H,MATCH(1030,面试清单!P:P,0)),"")</f>
        <v/>
      </c>
      <c r="I1031" s="13" t="s">
        <v>29</v>
      </c>
      <c r="J1031" s="14">
        <f ca="1" t="shared" si="49"/>
        <v>64</v>
      </c>
      <c r="K1031" s="14">
        <f ca="1" t="shared" si="50"/>
        <v>16</v>
      </c>
    </row>
    <row r="1032" ht="18" spans="1:11">
      <c r="A1032" s="10">
        <f t="shared" si="48"/>
        <v>1031</v>
      </c>
      <c r="B1032" s="11" t="s">
        <v>4968</v>
      </c>
      <c r="C1032" s="125" t="str">
        <f>IFERROR(INDEX(面试清单!D:D,MATCH(1031,面试清单!P:P,0)),"")</f>
        <v>0217</v>
      </c>
      <c r="D1032" s="11" t="s">
        <v>42</v>
      </c>
      <c r="E1032" s="11" t="s">
        <v>62</v>
      </c>
      <c r="F1032" s="11" t="s">
        <v>103</v>
      </c>
      <c r="G1032" s="15">
        <v>46125</v>
      </c>
      <c r="H1032" s="10" t="str">
        <f>IFERROR(INDEX(面试清单!H:H,MATCH(1031,面试清单!P:P,0)),"")</f>
        <v>线上</v>
      </c>
      <c r="I1032" s="13" t="s">
        <v>29</v>
      </c>
      <c r="J1032" s="10">
        <f ca="1" t="shared" si="49"/>
        <v>64</v>
      </c>
      <c r="K1032" s="10">
        <f ca="1" t="shared" si="50"/>
        <v>16</v>
      </c>
    </row>
    <row r="1033" ht="18" spans="1:11">
      <c r="A1033" s="14">
        <f t="shared" si="48"/>
        <v>1032</v>
      </c>
      <c r="B1033" s="11" t="s">
        <v>4969</v>
      </c>
      <c r="C1033" s="14" t="str">
        <f>IFERROR(INDEX(面试清单!D:D,MATCH(1032,面试清单!P:P,0)),"")</f>
        <v/>
      </c>
      <c r="D1033" s="11" t="s">
        <v>42</v>
      </c>
      <c r="E1033" s="11" t="s">
        <v>62</v>
      </c>
      <c r="F1033" s="11" t="s">
        <v>103</v>
      </c>
      <c r="G1033" s="15">
        <v>46125</v>
      </c>
      <c r="H1033" s="14" t="str">
        <f>IFERROR(INDEX(面试清单!H:H,MATCH(1032,面试清单!P:P,0)),"")</f>
        <v/>
      </c>
      <c r="I1033" s="13" t="s">
        <v>29</v>
      </c>
      <c r="J1033" s="14">
        <f ca="1" t="shared" si="49"/>
        <v>64</v>
      </c>
      <c r="K1033" s="14">
        <f ca="1" t="shared" si="50"/>
        <v>16</v>
      </c>
    </row>
    <row r="1034" ht="18" spans="1:11">
      <c r="A1034" s="10">
        <f t="shared" si="48"/>
        <v>1033</v>
      </c>
      <c r="B1034" s="11" t="s">
        <v>4970</v>
      </c>
      <c r="C1034" s="10" t="str">
        <f>IFERROR(INDEX(面试清单!D:D,MATCH(1033,面试清单!P:P,0)),"")</f>
        <v/>
      </c>
      <c r="D1034" s="11" t="s">
        <v>42</v>
      </c>
      <c r="E1034" s="11" t="s">
        <v>62</v>
      </c>
      <c r="F1034" s="11" t="s">
        <v>103</v>
      </c>
      <c r="G1034" s="15">
        <v>46125</v>
      </c>
      <c r="H1034" s="10" t="str">
        <f>IFERROR(INDEX(面试清单!H:H,MATCH(1033,面试清单!P:P,0)),"")</f>
        <v/>
      </c>
      <c r="I1034" s="13" t="s">
        <v>29</v>
      </c>
      <c r="J1034" s="10">
        <f ca="1" t="shared" si="49"/>
        <v>64</v>
      </c>
      <c r="K1034" s="10">
        <f ca="1" t="shared" si="50"/>
        <v>16</v>
      </c>
    </row>
    <row r="1035" ht="18" spans="1:11">
      <c r="A1035" s="14">
        <f t="shared" si="48"/>
        <v>1034</v>
      </c>
      <c r="B1035" s="11" t="s">
        <v>4971</v>
      </c>
      <c r="C1035" s="14" t="str">
        <f>IFERROR(INDEX(面试清单!D:D,MATCH(1034,面试清单!P:P,0)),"")</f>
        <v/>
      </c>
      <c r="D1035" s="11" t="s">
        <v>42</v>
      </c>
      <c r="E1035" s="11" t="s">
        <v>62</v>
      </c>
      <c r="F1035" s="11" t="s">
        <v>117</v>
      </c>
      <c r="G1035" s="15">
        <v>46125</v>
      </c>
      <c r="H1035" s="14" t="str">
        <f>IFERROR(INDEX(面试清单!H:H,MATCH(1034,面试清单!P:P,0)),"")</f>
        <v/>
      </c>
      <c r="I1035" s="13" t="s">
        <v>29</v>
      </c>
      <c r="J1035" s="14">
        <f ca="1" t="shared" si="49"/>
        <v>64</v>
      </c>
      <c r="K1035" s="14">
        <f ca="1" t="shared" si="50"/>
        <v>16</v>
      </c>
    </row>
    <row r="1036" ht="18" spans="1:11">
      <c r="A1036" s="10">
        <f t="shared" si="48"/>
        <v>1035</v>
      </c>
      <c r="B1036" s="11" t="s">
        <v>4972</v>
      </c>
      <c r="C1036" s="10" t="str">
        <f>IFERROR(INDEX(面试清单!D:D,MATCH(1035,面试清单!P:P,0)),"")</f>
        <v/>
      </c>
      <c r="D1036" s="11" t="s">
        <v>42</v>
      </c>
      <c r="E1036" s="11" t="s">
        <v>63</v>
      </c>
      <c r="F1036" s="11" t="s">
        <v>117</v>
      </c>
      <c r="G1036" s="15">
        <v>46125</v>
      </c>
      <c r="H1036" s="10" t="str">
        <f>IFERROR(INDEX(面试清单!H:H,MATCH(1035,面试清单!P:P,0)),"")</f>
        <v/>
      </c>
      <c r="I1036" s="13" t="s">
        <v>29</v>
      </c>
      <c r="J1036" s="10">
        <f ca="1" t="shared" si="49"/>
        <v>64</v>
      </c>
      <c r="K1036" s="10">
        <f ca="1" t="shared" si="50"/>
        <v>16</v>
      </c>
    </row>
    <row r="1037" ht="18" spans="1:11">
      <c r="A1037" s="14">
        <f t="shared" si="48"/>
        <v>1036</v>
      </c>
      <c r="B1037" s="11" t="s">
        <v>4973</v>
      </c>
      <c r="C1037" s="14" t="str">
        <f>IFERROR(INDEX(面试清单!D:D,MATCH(1036,面试清单!P:P,0)),"")</f>
        <v/>
      </c>
      <c r="D1037" s="11" t="s">
        <v>42</v>
      </c>
      <c r="E1037" s="11" t="s">
        <v>63</v>
      </c>
      <c r="F1037" s="11" t="s">
        <v>117</v>
      </c>
      <c r="G1037" s="15">
        <v>46125</v>
      </c>
      <c r="H1037" s="14" t="str">
        <f>IFERROR(INDEX(面试清单!H:H,MATCH(1036,面试清单!P:P,0)),"")</f>
        <v/>
      </c>
      <c r="I1037" s="13" t="s">
        <v>29</v>
      </c>
      <c r="J1037" s="14">
        <f ca="1" t="shared" si="49"/>
        <v>64</v>
      </c>
      <c r="K1037" s="14">
        <f ca="1" t="shared" si="50"/>
        <v>16</v>
      </c>
    </row>
    <row r="1038" ht="18" spans="1:11">
      <c r="A1038" s="10">
        <f t="shared" si="48"/>
        <v>1037</v>
      </c>
      <c r="B1038" s="11" t="s">
        <v>4974</v>
      </c>
      <c r="C1038" s="10" t="str">
        <f>IFERROR(INDEX(面试清单!D:D,MATCH(1037,面试清单!P:P,0)),"")</f>
        <v/>
      </c>
      <c r="D1038" s="11" t="s">
        <v>42</v>
      </c>
      <c r="E1038" s="11" t="s">
        <v>63</v>
      </c>
      <c r="F1038" s="11" t="s">
        <v>117</v>
      </c>
      <c r="G1038" s="15">
        <v>46125</v>
      </c>
      <c r="H1038" s="10" t="str">
        <f>IFERROR(INDEX(面试清单!H:H,MATCH(1037,面试清单!P:P,0)),"")</f>
        <v/>
      </c>
      <c r="I1038" s="13" t="s">
        <v>29</v>
      </c>
      <c r="J1038" s="10">
        <f ca="1" t="shared" si="49"/>
        <v>64</v>
      </c>
      <c r="K1038" s="10">
        <f ca="1" t="shared" si="50"/>
        <v>16</v>
      </c>
    </row>
    <row r="1039" ht="18" spans="1:11">
      <c r="A1039" s="14">
        <f t="shared" si="48"/>
        <v>1038</v>
      </c>
      <c r="B1039" s="11" t="s">
        <v>4975</v>
      </c>
      <c r="C1039" s="14" t="str">
        <f>IFERROR(INDEX(面试清单!D:D,MATCH(1038,面试清单!P:P,0)),"")</f>
        <v/>
      </c>
      <c r="D1039" s="11" t="s">
        <v>43</v>
      </c>
      <c r="E1039" s="11" t="s">
        <v>62</v>
      </c>
      <c r="F1039" s="11" t="s">
        <v>117</v>
      </c>
      <c r="G1039" s="15">
        <v>46125</v>
      </c>
      <c r="H1039" s="14" t="str">
        <f>IFERROR(INDEX(面试清单!H:H,MATCH(1038,面试清单!P:P,0)),"")</f>
        <v/>
      </c>
      <c r="I1039" s="13" t="s">
        <v>29</v>
      </c>
      <c r="J1039" s="14">
        <f ca="1" t="shared" si="49"/>
        <v>64</v>
      </c>
      <c r="K1039" s="14">
        <f ca="1" t="shared" si="50"/>
        <v>16</v>
      </c>
    </row>
    <row r="1040" ht="18" spans="1:11">
      <c r="A1040" s="10">
        <f t="shared" si="48"/>
        <v>1039</v>
      </c>
      <c r="B1040" s="11" t="s">
        <v>4976</v>
      </c>
      <c r="C1040" s="10" t="str">
        <f>IFERROR(INDEX(面试清单!D:D,MATCH(1039,面试清单!P:P,0)),"")</f>
        <v/>
      </c>
      <c r="D1040" s="11" t="s">
        <v>43</v>
      </c>
      <c r="E1040" s="11" t="s">
        <v>62</v>
      </c>
      <c r="F1040" s="11" t="s">
        <v>132</v>
      </c>
      <c r="G1040" s="15">
        <v>46125</v>
      </c>
      <c r="H1040" s="10" t="str">
        <f>IFERROR(INDEX(面试清单!H:H,MATCH(1039,面试清单!P:P,0)),"")</f>
        <v/>
      </c>
      <c r="I1040" s="13" t="s">
        <v>29</v>
      </c>
      <c r="J1040" s="10">
        <f ca="1" t="shared" si="49"/>
        <v>64</v>
      </c>
      <c r="K1040" s="10">
        <f ca="1" t="shared" si="50"/>
        <v>16</v>
      </c>
    </row>
    <row r="1041" ht="18" spans="1:11">
      <c r="A1041" s="14">
        <f t="shared" si="48"/>
        <v>1040</v>
      </c>
      <c r="B1041" s="11" t="s">
        <v>4977</v>
      </c>
      <c r="C1041" s="14" t="str">
        <f>IFERROR(INDEX(面试清单!D:D,MATCH(1040,面试清单!P:P,0)),"")</f>
        <v/>
      </c>
      <c r="D1041" s="11" t="s">
        <v>43</v>
      </c>
      <c r="E1041" s="11" t="s">
        <v>63</v>
      </c>
      <c r="F1041" s="11" t="s">
        <v>132</v>
      </c>
      <c r="G1041" s="15">
        <v>46125</v>
      </c>
      <c r="H1041" s="14" t="str">
        <f>IFERROR(INDEX(面试清单!H:H,MATCH(1040,面试清单!P:P,0)),"")</f>
        <v/>
      </c>
      <c r="I1041" s="13" t="s">
        <v>29</v>
      </c>
      <c r="J1041" s="14">
        <f ca="1" t="shared" si="49"/>
        <v>64</v>
      </c>
      <c r="K1041" s="14">
        <f ca="1" t="shared" si="50"/>
        <v>16</v>
      </c>
    </row>
    <row r="1042" ht="18" spans="1:11">
      <c r="A1042" s="10">
        <f t="shared" si="48"/>
        <v>1041</v>
      </c>
      <c r="B1042" s="11" t="s">
        <v>4978</v>
      </c>
      <c r="C1042" s="125" t="str">
        <f>IFERROR(INDEX(面试清单!D:D,MATCH(1041,面试清单!P:P,0)),"")</f>
        <v>0218</v>
      </c>
      <c r="D1042" s="11" t="s">
        <v>43</v>
      </c>
      <c r="E1042" s="11" t="s">
        <v>62</v>
      </c>
      <c r="F1042" s="11" t="s">
        <v>132</v>
      </c>
      <c r="G1042" s="15">
        <v>46125</v>
      </c>
      <c r="H1042" s="10" t="str">
        <f>IFERROR(INDEX(面试清单!H:H,MATCH(1041,面试清单!P:P,0)),"")</f>
        <v>线上</v>
      </c>
      <c r="I1042" s="13" t="s">
        <v>29</v>
      </c>
      <c r="J1042" s="10">
        <f ca="1" t="shared" si="49"/>
        <v>64</v>
      </c>
      <c r="K1042" s="10">
        <f ca="1" t="shared" si="50"/>
        <v>16</v>
      </c>
    </row>
    <row r="1043" ht="18" spans="1:11">
      <c r="A1043" s="14">
        <f t="shared" si="48"/>
        <v>1042</v>
      </c>
      <c r="B1043" s="11" t="s">
        <v>4979</v>
      </c>
      <c r="C1043" s="14" t="str">
        <f>IFERROR(INDEX(面试清单!D:D,MATCH(1042,面试清单!P:P,0)),"")</f>
        <v/>
      </c>
      <c r="D1043" s="11" t="s">
        <v>43</v>
      </c>
      <c r="E1043" s="11" t="s">
        <v>62</v>
      </c>
      <c r="F1043" s="11" t="s">
        <v>132</v>
      </c>
      <c r="G1043" s="15">
        <v>46125</v>
      </c>
      <c r="H1043" s="14" t="str">
        <f>IFERROR(INDEX(面试清单!H:H,MATCH(1042,面试清单!P:P,0)),"")</f>
        <v/>
      </c>
      <c r="I1043" s="13" t="s">
        <v>29</v>
      </c>
      <c r="J1043" s="14">
        <f ca="1" t="shared" si="49"/>
        <v>64</v>
      </c>
      <c r="K1043" s="14">
        <f ca="1" t="shared" si="50"/>
        <v>16</v>
      </c>
    </row>
    <row r="1044" ht="18" spans="1:11">
      <c r="A1044" s="10">
        <f t="shared" si="48"/>
        <v>1043</v>
      </c>
      <c r="B1044" s="11" t="s">
        <v>4980</v>
      </c>
      <c r="C1044" s="125" t="str">
        <f>IFERROR(INDEX(面试清单!D:D,MATCH(1043,面试清单!P:P,0)),"")</f>
        <v>0221</v>
      </c>
      <c r="D1044" s="11" t="s">
        <v>43</v>
      </c>
      <c r="E1044" s="11" t="s">
        <v>62</v>
      </c>
      <c r="F1044" s="11" t="s">
        <v>233</v>
      </c>
      <c r="G1044" s="15">
        <v>46125</v>
      </c>
      <c r="H1044" s="10" t="str">
        <f>IFERROR(INDEX(面试清单!H:H,MATCH(1043,面试清单!P:P,0)),"")</f>
        <v>线上</v>
      </c>
      <c r="I1044" s="13" t="s">
        <v>29</v>
      </c>
      <c r="J1044" s="10">
        <f ca="1" t="shared" si="49"/>
        <v>64</v>
      </c>
      <c r="K1044" s="10">
        <f ca="1" t="shared" si="50"/>
        <v>16</v>
      </c>
    </row>
    <row r="1045" ht="18" spans="1:11">
      <c r="A1045" s="14">
        <f t="shared" si="48"/>
        <v>1044</v>
      </c>
      <c r="B1045" s="11" t="s">
        <v>4981</v>
      </c>
      <c r="C1045" s="14" t="str">
        <f>IFERROR(INDEX(面试清单!D:D,MATCH(1044,面试清单!P:P,0)),"")</f>
        <v/>
      </c>
      <c r="D1045" s="11" t="s">
        <v>43</v>
      </c>
      <c r="E1045" s="11" t="s">
        <v>62</v>
      </c>
      <c r="F1045" s="11" t="s">
        <v>173</v>
      </c>
      <c r="G1045" s="15">
        <v>46125</v>
      </c>
      <c r="H1045" s="14" t="str">
        <f>IFERROR(INDEX(面试清单!H:H,MATCH(1044,面试清单!P:P,0)),"")</f>
        <v/>
      </c>
      <c r="I1045" s="13" t="s">
        <v>29</v>
      </c>
      <c r="J1045" s="14">
        <f ca="1" t="shared" si="49"/>
        <v>64</v>
      </c>
      <c r="K1045" s="14">
        <f ca="1" t="shared" si="50"/>
        <v>16</v>
      </c>
    </row>
    <row r="1046" ht="18" spans="1:11">
      <c r="A1046" s="10">
        <f t="shared" si="48"/>
        <v>1045</v>
      </c>
      <c r="B1046" s="11" t="s">
        <v>4982</v>
      </c>
      <c r="C1046" s="125" t="str">
        <f>IFERROR(INDEX(面试清单!D:D,MATCH(1045,面试清单!P:P,0)),"")</f>
        <v>0208</v>
      </c>
      <c r="D1046" s="11" t="s">
        <v>43</v>
      </c>
      <c r="E1046" s="11" t="s">
        <v>62</v>
      </c>
      <c r="F1046" s="11" t="s">
        <v>173</v>
      </c>
      <c r="G1046" s="15">
        <v>46125</v>
      </c>
      <c r="H1046" s="10" t="str">
        <f>IFERROR(INDEX(面试清单!H:H,MATCH(1045,面试清单!P:P,0)),"")</f>
        <v>线上</v>
      </c>
      <c r="I1046" s="13" t="s">
        <v>29</v>
      </c>
      <c r="J1046" s="10">
        <f ca="1" t="shared" si="49"/>
        <v>64</v>
      </c>
      <c r="K1046" s="10">
        <f ca="1" t="shared" si="50"/>
        <v>16</v>
      </c>
    </row>
    <row r="1047" ht="18" spans="1:11">
      <c r="A1047" s="14">
        <f t="shared" si="48"/>
        <v>1046</v>
      </c>
      <c r="B1047" s="11" t="s">
        <v>4983</v>
      </c>
      <c r="C1047" s="124" t="str">
        <f>IFERROR(INDEX(面试清单!D:D,MATCH(1046,面试清单!P:P,0)),"")</f>
        <v>0209</v>
      </c>
      <c r="D1047" s="11" t="s">
        <v>42</v>
      </c>
      <c r="E1047" s="11" t="s">
        <v>62</v>
      </c>
      <c r="F1047" s="11" t="s">
        <v>173</v>
      </c>
      <c r="G1047" s="15">
        <v>46125</v>
      </c>
      <c r="H1047" s="14" t="str">
        <f>IFERROR(INDEX(面试清单!H:H,MATCH(1046,面试清单!P:P,0)),"")</f>
        <v>线上</v>
      </c>
      <c r="I1047" s="13" t="s">
        <v>29</v>
      </c>
      <c r="J1047" s="14">
        <f ca="1" t="shared" si="49"/>
        <v>64</v>
      </c>
      <c r="K1047" s="14">
        <f ca="1" t="shared" si="50"/>
        <v>16</v>
      </c>
    </row>
    <row r="1048" ht="18" spans="1:11">
      <c r="A1048" s="10">
        <f t="shared" si="48"/>
        <v>1047</v>
      </c>
      <c r="B1048" s="11" t="s">
        <v>4984</v>
      </c>
      <c r="C1048" s="10" t="str">
        <f>IFERROR(INDEX(面试清单!D:D,MATCH(1047,面试清单!P:P,0)),"")</f>
        <v/>
      </c>
      <c r="D1048" s="11" t="s">
        <v>42</v>
      </c>
      <c r="E1048" s="11" t="s">
        <v>63</v>
      </c>
      <c r="F1048" s="11" t="s">
        <v>173</v>
      </c>
      <c r="G1048" s="15">
        <v>46125</v>
      </c>
      <c r="H1048" s="10" t="str">
        <f>IFERROR(INDEX(面试清单!H:H,MATCH(1047,面试清单!P:P,0)),"")</f>
        <v/>
      </c>
      <c r="I1048" s="13" t="s">
        <v>29</v>
      </c>
      <c r="J1048" s="10">
        <f ca="1" t="shared" si="49"/>
        <v>64</v>
      </c>
      <c r="K1048" s="10">
        <f ca="1" t="shared" si="50"/>
        <v>16</v>
      </c>
    </row>
    <row r="1049" ht="18" spans="1:11">
      <c r="A1049" s="14">
        <f t="shared" si="48"/>
        <v>1048</v>
      </c>
      <c r="B1049" s="11" t="s">
        <v>4985</v>
      </c>
      <c r="C1049" s="14" t="str">
        <f>IFERROR(INDEX(面试清单!D:D,MATCH(1048,面试清单!P:P,0)),"")</f>
        <v/>
      </c>
      <c r="D1049" s="11" t="s">
        <v>43</v>
      </c>
      <c r="E1049" s="11" t="s">
        <v>62</v>
      </c>
      <c r="F1049" s="11" t="s">
        <v>124</v>
      </c>
      <c r="G1049" s="15">
        <v>46125</v>
      </c>
      <c r="H1049" s="14" t="str">
        <f>IFERROR(INDEX(面试清单!H:H,MATCH(1048,面试清单!P:P,0)),"")</f>
        <v/>
      </c>
      <c r="I1049" s="13" t="s">
        <v>29</v>
      </c>
      <c r="J1049" s="14">
        <f ca="1" t="shared" si="49"/>
        <v>64</v>
      </c>
      <c r="K1049" s="14">
        <f ca="1" t="shared" si="50"/>
        <v>16</v>
      </c>
    </row>
    <row r="1050" ht="18" spans="1:11">
      <c r="A1050" s="10">
        <f t="shared" si="48"/>
        <v>1049</v>
      </c>
      <c r="B1050" s="11" t="s">
        <v>4986</v>
      </c>
      <c r="C1050" s="10" t="str">
        <f>IFERROR(INDEX(面试清单!D:D,MATCH(1049,面试清单!P:P,0)),"")</f>
        <v/>
      </c>
      <c r="D1050" s="11" t="s">
        <v>43</v>
      </c>
      <c r="E1050" s="11" t="s">
        <v>63</v>
      </c>
      <c r="F1050" s="11" t="s">
        <v>332</v>
      </c>
      <c r="G1050" s="15">
        <v>46125</v>
      </c>
      <c r="H1050" s="10" t="str">
        <f>IFERROR(INDEX(面试清单!H:H,MATCH(1049,面试清单!P:P,0)),"")</f>
        <v/>
      </c>
      <c r="I1050" s="13" t="s">
        <v>29</v>
      </c>
      <c r="J1050" s="10">
        <f ca="1" t="shared" si="49"/>
        <v>64</v>
      </c>
      <c r="K1050" s="10">
        <f ca="1" t="shared" si="50"/>
        <v>16</v>
      </c>
    </row>
    <row r="1051" ht="18" spans="1:11">
      <c r="A1051" s="14">
        <f t="shared" si="48"/>
        <v>1050</v>
      </c>
      <c r="B1051" s="11" t="s">
        <v>4987</v>
      </c>
      <c r="C1051" s="14" t="str">
        <f>IFERROR(INDEX(面试清单!D:D,MATCH(1050,面试清单!P:P,0)),"")</f>
        <v/>
      </c>
      <c r="D1051" s="11" t="s">
        <v>42</v>
      </c>
      <c r="E1051" s="11" t="s">
        <v>62</v>
      </c>
      <c r="F1051" s="11" t="s">
        <v>509</v>
      </c>
      <c r="G1051" s="15">
        <v>46125</v>
      </c>
      <c r="H1051" s="14" t="str">
        <f>IFERROR(INDEX(面试清单!H:H,MATCH(1050,面试清单!P:P,0)),"")</f>
        <v/>
      </c>
      <c r="I1051" s="13" t="s">
        <v>29</v>
      </c>
      <c r="J1051" s="14">
        <f ca="1" t="shared" si="49"/>
        <v>64</v>
      </c>
      <c r="K1051" s="14">
        <f ca="1" t="shared" si="50"/>
        <v>16</v>
      </c>
    </row>
    <row r="1052" ht="18" spans="1:11">
      <c r="A1052" s="10">
        <f t="shared" si="48"/>
        <v>1051</v>
      </c>
      <c r="B1052" s="11" t="s">
        <v>4988</v>
      </c>
      <c r="C1052" s="10" t="str">
        <f>IFERROR(INDEX(面试清单!D:D,MATCH(1051,面试清单!P:P,0)),"")</f>
        <v/>
      </c>
      <c r="D1052" s="11" t="s">
        <v>43</v>
      </c>
      <c r="E1052" s="11" t="s">
        <v>62</v>
      </c>
      <c r="F1052" s="11" t="s">
        <v>148</v>
      </c>
      <c r="G1052" s="15">
        <v>46125</v>
      </c>
      <c r="H1052" s="10" t="str">
        <f>IFERROR(INDEX(面试清单!H:H,MATCH(1051,面试清单!P:P,0)),"")</f>
        <v/>
      </c>
      <c r="I1052" s="13" t="s">
        <v>29</v>
      </c>
      <c r="J1052" s="10">
        <f ca="1" t="shared" si="49"/>
        <v>64</v>
      </c>
      <c r="K1052" s="10">
        <f ca="1" t="shared" si="50"/>
        <v>16</v>
      </c>
    </row>
    <row r="1053" ht="18" spans="1:11">
      <c r="A1053" s="14">
        <f t="shared" si="48"/>
        <v>1052</v>
      </c>
      <c r="B1053" s="11" t="s">
        <v>4989</v>
      </c>
      <c r="C1053" s="14" t="str">
        <f>IFERROR(INDEX(面试清单!D:D,MATCH(1052,面试清单!P:P,0)),"")</f>
        <v/>
      </c>
      <c r="D1053" s="11" t="s">
        <v>43</v>
      </c>
      <c r="E1053" s="11" t="s">
        <v>63</v>
      </c>
      <c r="F1053" s="11" t="s">
        <v>505</v>
      </c>
      <c r="G1053" s="15">
        <v>46125</v>
      </c>
      <c r="H1053" s="14" t="str">
        <f>IFERROR(INDEX(面试清单!H:H,MATCH(1052,面试清单!P:P,0)),"")</f>
        <v/>
      </c>
      <c r="I1053" s="13" t="s">
        <v>29</v>
      </c>
      <c r="J1053" s="14">
        <f ca="1" t="shared" si="49"/>
        <v>64</v>
      </c>
      <c r="K1053" s="14">
        <f ca="1" t="shared" si="50"/>
        <v>16</v>
      </c>
    </row>
    <row r="1054" ht="18" spans="1:11">
      <c r="A1054" s="10">
        <f t="shared" si="48"/>
        <v>1053</v>
      </c>
      <c r="B1054" s="11" t="s">
        <v>4990</v>
      </c>
      <c r="C1054" s="10" t="str">
        <f>IFERROR(INDEX(面试清单!D:D,MATCH(1053,面试清单!P:P,0)),"")</f>
        <v/>
      </c>
      <c r="D1054" s="11" t="s">
        <v>42</v>
      </c>
      <c r="E1054" s="11" t="s">
        <v>63</v>
      </c>
      <c r="F1054" s="11" t="s">
        <v>509</v>
      </c>
      <c r="G1054" s="15">
        <v>46125</v>
      </c>
      <c r="H1054" s="10" t="str">
        <f>IFERROR(INDEX(面试清单!H:H,MATCH(1053,面试清单!P:P,0)),"")</f>
        <v/>
      </c>
      <c r="I1054" s="13" t="s">
        <v>29</v>
      </c>
      <c r="J1054" s="10">
        <f ca="1" t="shared" si="49"/>
        <v>64</v>
      </c>
      <c r="K1054" s="10">
        <f ca="1" t="shared" si="50"/>
        <v>16</v>
      </c>
    </row>
    <row r="1055" ht="18" spans="1:11">
      <c r="A1055" s="14">
        <f t="shared" si="48"/>
        <v>1054</v>
      </c>
      <c r="B1055" s="11" t="s">
        <v>4991</v>
      </c>
      <c r="C1055" s="14" t="str">
        <f>IFERROR(INDEX(面试清单!D:D,MATCH(1054,面试清单!P:P,0)),"")</f>
        <v/>
      </c>
      <c r="D1055" s="11" t="s">
        <v>42</v>
      </c>
      <c r="E1055" s="11" t="s">
        <v>62</v>
      </c>
      <c r="F1055" s="11" t="s">
        <v>233</v>
      </c>
      <c r="G1055" s="15">
        <v>46125</v>
      </c>
      <c r="H1055" s="14" t="str">
        <f>IFERROR(INDEX(面试清单!H:H,MATCH(1054,面试清单!P:P,0)),"")</f>
        <v/>
      </c>
      <c r="I1055" s="13" t="s">
        <v>29</v>
      </c>
      <c r="J1055" s="14">
        <f ca="1" t="shared" si="49"/>
        <v>64</v>
      </c>
      <c r="K1055" s="14">
        <f ca="1" t="shared" si="50"/>
        <v>16</v>
      </c>
    </row>
    <row r="1056" ht="18" spans="1:11">
      <c r="A1056" s="10">
        <f t="shared" si="48"/>
        <v>1055</v>
      </c>
      <c r="B1056" s="11" t="s">
        <v>4992</v>
      </c>
      <c r="C1056" s="10" t="str">
        <f>IFERROR(INDEX(面试清单!D:D,MATCH(1055,面试清单!P:P,0)),"")</f>
        <v/>
      </c>
      <c r="D1056" s="11" t="s">
        <v>74</v>
      </c>
      <c r="E1056" s="11" t="s">
        <v>190</v>
      </c>
      <c r="F1056" s="11" t="s">
        <v>179</v>
      </c>
      <c r="G1056" s="15">
        <v>46125</v>
      </c>
      <c r="H1056" s="10" t="str">
        <f>IFERROR(INDEX(面试清单!H:H,MATCH(1055,面试清单!P:P,0)),"")</f>
        <v/>
      </c>
      <c r="I1056" s="13" t="s">
        <v>29</v>
      </c>
      <c r="J1056" s="10">
        <f ca="1" t="shared" si="49"/>
        <v>64</v>
      </c>
      <c r="K1056" s="10">
        <f ca="1" t="shared" si="50"/>
        <v>16</v>
      </c>
    </row>
    <row r="1057" ht="18" spans="1:11">
      <c r="A1057" s="14">
        <f t="shared" si="48"/>
        <v>1056</v>
      </c>
      <c r="B1057" s="11" t="s">
        <v>4993</v>
      </c>
      <c r="C1057" s="14" t="str">
        <f>IFERROR(INDEX(面试清单!D:D,MATCH(1056,面试清单!P:P,0)),"")</f>
        <v/>
      </c>
      <c r="D1057" s="11" t="s">
        <v>42</v>
      </c>
      <c r="E1057" s="11" t="s">
        <v>62</v>
      </c>
      <c r="F1057" s="11" t="s">
        <v>233</v>
      </c>
      <c r="G1057" s="15">
        <v>46125</v>
      </c>
      <c r="H1057" s="14" t="str">
        <f>IFERROR(INDEX(面试清单!H:H,MATCH(1056,面试清单!P:P,0)),"")</f>
        <v/>
      </c>
      <c r="I1057" s="13" t="s">
        <v>29</v>
      </c>
      <c r="J1057" s="14">
        <f ca="1" t="shared" si="49"/>
        <v>64</v>
      </c>
      <c r="K1057" s="14">
        <f ca="1" t="shared" si="50"/>
        <v>16</v>
      </c>
    </row>
    <row r="1058" ht="18" spans="1:11">
      <c r="A1058" s="10">
        <f t="shared" si="48"/>
        <v>1057</v>
      </c>
      <c r="B1058" s="11" t="s">
        <v>4994</v>
      </c>
      <c r="C1058" s="10" t="str">
        <f>IFERROR(INDEX(面试清单!D:D,MATCH(1057,面试清单!P:P,0)),"")</f>
        <v/>
      </c>
      <c r="D1058" s="11" t="s">
        <v>42</v>
      </c>
      <c r="E1058" s="11" t="s">
        <v>62</v>
      </c>
      <c r="F1058" s="11" t="s">
        <v>110</v>
      </c>
      <c r="G1058" s="15">
        <v>46125</v>
      </c>
      <c r="H1058" s="10" t="str">
        <f>IFERROR(INDEX(面试清单!H:H,MATCH(1057,面试清单!P:P,0)),"")</f>
        <v/>
      </c>
      <c r="I1058" s="13" t="s">
        <v>29</v>
      </c>
      <c r="J1058" s="10">
        <f ca="1" t="shared" si="49"/>
        <v>64</v>
      </c>
      <c r="K1058" s="10">
        <f ca="1" t="shared" si="50"/>
        <v>16</v>
      </c>
    </row>
    <row r="1059" ht="18" spans="1:11">
      <c r="A1059" s="14">
        <f t="shared" si="48"/>
        <v>1058</v>
      </c>
      <c r="B1059" s="11" t="s">
        <v>4995</v>
      </c>
      <c r="C1059" s="14" t="str">
        <f>IFERROR(INDEX(面试清单!D:D,MATCH(1058,面试清单!P:P,0)),"")</f>
        <v/>
      </c>
      <c r="D1059" s="11" t="s">
        <v>42</v>
      </c>
      <c r="E1059" s="11" t="s">
        <v>62</v>
      </c>
      <c r="F1059" s="11" t="s">
        <v>110</v>
      </c>
      <c r="G1059" s="15">
        <v>46125</v>
      </c>
      <c r="H1059" s="14" t="str">
        <f>IFERROR(INDEX(面试清单!H:H,MATCH(1058,面试清单!P:P,0)),"")</f>
        <v/>
      </c>
      <c r="I1059" s="13" t="s">
        <v>29</v>
      </c>
      <c r="J1059" s="14">
        <f ca="1" t="shared" si="49"/>
        <v>64</v>
      </c>
      <c r="K1059" s="14">
        <f ca="1" t="shared" si="50"/>
        <v>16</v>
      </c>
    </row>
    <row r="1060" ht="18" spans="1:11">
      <c r="A1060" s="10">
        <f t="shared" si="48"/>
        <v>1059</v>
      </c>
      <c r="B1060" s="11" t="s">
        <v>4996</v>
      </c>
      <c r="C1060" s="10" t="str">
        <f>IFERROR(INDEX(面试清单!D:D,MATCH(1059,面试清单!P:P,0)),"")</f>
        <v/>
      </c>
      <c r="D1060" s="11" t="s">
        <v>42</v>
      </c>
      <c r="E1060" s="11" t="s">
        <v>62</v>
      </c>
      <c r="F1060" s="11" t="s">
        <v>103</v>
      </c>
      <c r="G1060" s="15">
        <v>46125</v>
      </c>
      <c r="H1060" s="10" t="str">
        <f>IFERROR(INDEX(面试清单!H:H,MATCH(1059,面试清单!P:P,0)),"")</f>
        <v/>
      </c>
      <c r="I1060" s="13" t="s">
        <v>29</v>
      </c>
      <c r="J1060" s="10">
        <f ca="1" t="shared" si="49"/>
        <v>64</v>
      </c>
      <c r="K1060" s="10">
        <f ca="1" t="shared" si="50"/>
        <v>16</v>
      </c>
    </row>
    <row r="1061" ht="18" spans="1:11">
      <c r="A1061" s="14">
        <f t="shared" si="48"/>
        <v>1060</v>
      </c>
      <c r="B1061" s="11" t="s">
        <v>4997</v>
      </c>
      <c r="C1061" s="14" t="str">
        <f>IFERROR(INDEX(面试清单!D:D,MATCH(1060,面试清单!P:P,0)),"")</f>
        <v/>
      </c>
      <c r="D1061" s="11" t="s">
        <v>42</v>
      </c>
      <c r="E1061" s="11" t="s">
        <v>62</v>
      </c>
      <c r="F1061" s="11" t="s">
        <v>103</v>
      </c>
      <c r="G1061" s="15">
        <v>46125</v>
      </c>
      <c r="H1061" s="14" t="str">
        <f>IFERROR(INDEX(面试清单!H:H,MATCH(1060,面试清单!P:P,0)),"")</f>
        <v/>
      </c>
      <c r="I1061" s="13" t="s">
        <v>29</v>
      </c>
      <c r="J1061" s="14">
        <f ca="1" t="shared" si="49"/>
        <v>64</v>
      </c>
      <c r="K1061" s="14">
        <f ca="1" t="shared" si="50"/>
        <v>16</v>
      </c>
    </row>
    <row r="1062" ht="18" spans="1:11">
      <c r="A1062" s="10">
        <f t="shared" si="48"/>
        <v>1061</v>
      </c>
      <c r="B1062" s="11" t="s">
        <v>4998</v>
      </c>
      <c r="C1062" s="10" t="str">
        <f>IFERROR(INDEX(面试清单!D:D,MATCH(1061,面试清单!P:P,0)),"")</f>
        <v/>
      </c>
      <c r="D1062" s="11" t="s">
        <v>43</v>
      </c>
      <c r="E1062" s="11" t="s">
        <v>62</v>
      </c>
      <c r="F1062" s="11" t="s">
        <v>103</v>
      </c>
      <c r="G1062" s="15">
        <v>46125</v>
      </c>
      <c r="H1062" s="10" t="str">
        <f>IFERROR(INDEX(面试清单!H:H,MATCH(1061,面试清单!P:P,0)),"")</f>
        <v/>
      </c>
      <c r="I1062" s="13" t="s">
        <v>29</v>
      </c>
      <c r="J1062" s="10">
        <f ca="1" t="shared" si="49"/>
        <v>64</v>
      </c>
      <c r="K1062" s="10">
        <f ca="1" t="shared" si="50"/>
        <v>16</v>
      </c>
    </row>
    <row r="1063" ht="18" spans="1:11">
      <c r="A1063" s="14">
        <f t="shared" si="48"/>
        <v>1062</v>
      </c>
      <c r="B1063" s="11" t="s">
        <v>4999</v>
      </c>
      <c r="C1063" s="14" t="str">
        <f>IFERROR(INDEX(面试清单!D:D,MATCH(1062,面试清单!P:P,0)),"")</f>
        <v/>
      </c>
      <c r="D1063" s="11" t="s">
        <v>43</v>
      </c>
      <c r="E1063" s="11" t="s">
        <v>62</v>
      </c>
      <c r="F1063" s="11" t="s">
        <v>103</v>
      </c>
      <c r="G1063" s="15">
        <v>46125</v>
      </c>
      <c r="H1063" s="14" t="str">
        <f>IFERROR(INDEX(面试清单!H:H,MATCH(1062,面试清单!P:P,0)),"")</f>
        <v/>
      </c>
      <c r="I1063" s="13" t="s">
        <v>29</v>
      </c>
      <c r="J1063" s="14">
        <f ca="1" t="shared" si="49"/>
        <v>64</v>
      </c>
      <c r="K1063" s="14">
        <f ca="1" t="shared" si="50"/>
        <v>16</v>
      </c>
    </row>
    <row r="1064" ht="18" spans="1:11">
      <c r="A1064" s="10">
        <f t="shared" si="48"/>
        <v>1063</v>
      </c>
      <c r="B1064" s="11" t="s">
        <v>5000</v>
      </c>
      <c r="C1064" s="10" t="str">
        <f>IFERROR(INDEX(面试清单!D:D,MATCH(1063,面试清单!P:P,0)),"")</f>
        <v/>
      </c>
      <c r="D1064" s="11" t="s">
        <v>42</v>
      </c>
      <c r="E1064" s="11" t="s">
        <v>62</v>
      </c>
      <c r="F1064" s="11" t="s">
        <v>173</v>
      </c>
      <c r="G1064" s="15">
        <v>46125</v>
      </c>
      <c r="H1064" s="10" t="str">
        <f>IFERROR(INDEX(面试清单!H:H,MATCH(1063,面试清单!P:P,0)),"")</f>
        <v/>
      </c>
      <c r="I1064" s="13" t="s">
        <v>29</v>
      </c>
      <c r="J1064" s="10">
        <f ca="1" t="shared" si="49"/>
        <v>64</v>
      </c>
      <c r="K1064" s="10">
        <f ca="1" t="shared" si="50"/>
        <v>16</v>
      </c>
    </row>
    <row r="1065" ht="18" spans="1:11">
      <c r="A1065" s="14">
        <f t="shared" si="48"/>
        <v>1064</v>
      </c>
      <c r="B1065" s="11" t="s">
        <v>5001</v>
      </c>
      <c r="C1065" s="124" t="str">
        <f>IFERROR(INDEX(面试清单!D:D,MATCH(1064,面试清单!P:P,0)),"")</f>
        <v>0208</v>
      </c>
      <c r="D1065" s="11" t="s">
        <v>42</v>
      </c>
      <c r="E1065" s="11" t="s">
        <v>62</v>
      </c>
      <c r="F1065" s="11" t="s">
        <v>173</v>
      </c>
      <c r="G1065" s="15">
        <v>46125</v>
      </c>
      <c r="H1065" s="14" t="str">
        <f>IFERROR(INDEX(面试清单!H:H,MATCH(1064,面试清单!P:P,0)),"")</f>
        <v>线上</v>
      </c>
      <c r="I1065" s="13" t="s">
        <v>29</v>
      </c>
      <c r="J1065" s="14">
        <f ca="1" t="shared" si="49"/>
        <v>64</v>
      </c>
      <c r="K1065" s="14">
        <f ca="1" t="shared" si="50"/>
        <v>16</v>
      </c>
    </row>
    <row r="1066" ht="18" spans="1:11">
      <c r="A1066" s="10">
        <f t="shared" si="48"/>
        <v>1065</v>
      </c>
      <c r="B1066" s="11" t="s">
        <v>5002</v>
      </c>
      <c r="C1066" s="125" t="str">
        <f>IFERROR(INDEX(面试清单!D:D,MATCH(1065,面试清单!P:P,0)),"")</f>
        <v>0209</v>
      </c>
      <c r="D1066" s="11" t="s">
        <v>42</v>
      </c>
      <c r="E1066" s="11" t="s">
        <v>62</v>
      </c>
      <c r="F1066" s="11" t="s">
        <v>103</v>
      </c>
      <c r="G1066" s="15">
        <v>46125</v>
      </c>
      <c r="H1066" s="10" t="str">
        <f>IFERROR(INDEX(面试清单!H:H,MATCH(1065,面试清单!P:P,0)),"")</f>
        <v>线上</v>
      </c>
      <c r="I1066" s="13" t="s">
        <v>29</v>
      </c>
      <c r="J1066" s="10">
        <f ca="1" t="shared" si="49"/>
        <v>64</v>
      </c>
      <c r="K1066" s="10">
        <f ca="1" t="shared" si="50"/>
        <v>16</v>
      </c>
    </row>
    <row r="1067" ht="18" spans="1:11">
      <c r="A1067" s="14">
        <f t="shared" si="48"/>
        <v>1066</v>
      </c>
      <c r="B1067" s="11" t="s">
        <v>5003</v>
      </c>
      <c r="C1067" s="14" t="str">
        <f>IFERROR(INDEX(面试清单!D:D,MATCH(1066,面试清单!P:P,0)),"")</f>
        <v/>
      </c>
      <c r="D1067" s="11" t="s">
        <v>42</v>
      </c>
      <c r="E1067" s="11" t="s">
        <v>62</v>
      </c>
      <c r="F1067" s="11" t="s">
        <v>103</v>
      </c>
      <c r="G1067" s="15">
        <v>46125</v>
      </c>
      <c r="H1067" s="14" t="str">
        <f>IFERROR(INDEX(面试清单!H:H,MATCH(1066,面试清单!P:P,0)),"")</f>
        <v/>
      </c>
      <c r="I1067" s="13" t="s">
        <v>29</v>
      </c>
      <c r="J1067" s="14">
        <f ca="1" t="shared" si="49"/>
        <v>64</v>
      </c>
      <c r="K1067" s="14">
        <f ca="1" t="shared" si="50"/>
        <v>16</v>
      </c>
    </row>
    <row r="1068" ht="18" spans="1:11">
      <c r="A1068" s="10">
        <f t="shared" si="48"/>
        <v>1067</v>
      </c>
      <c r="B1068" s="11" t="s">
        <v>5004</v>
      </c>
      <c r="C1068" s="10" t="str">
        <f>IFERROR(INDEX(面试清单!D:D,MATCH(1067,面试清单!P:P,0)),"")</f>
        <v/>
      </c>
      <c r="D1068" s="11" t="s">
        <v>43</v>
      </c>
      <c r="E1068" s="11" t="s">
        <v>62</v>
      </c>
      <c r="F1068" s="11" t="s">
        <v>179</v>
      </c>
      <c r="G1068" s="15">
        <v>46125</v>
      </c>
      <c r="H1068" s="10" t="str">
        <f>IFERROR(INDEX(面试清单!H:H,MATCH(1067,面试清单!P:P,0)),"")</f>
        <v/>
      </c>
      <c r="I1068" s="13" t="s">
        <v>29</v>
      </c>
      <c r="J1068" s="10">
        <f ca="1" t="shared" si="49"/>
        <v>64</v>
      </c>
      <c r="K1068" s="10">
        <f ca="1" t="shared" si="50"/>
        <v>16</v>
      </c>
    </row>
    <row r="1069" ht="18" spans="1:11">
      <c r="A1069" s="14">
        <f t="shared" si="48"/>
        <v>1068</v>
      </c>
      <c r="B1069" s="11" t="s">
        <v>5005</v>
      </c>
      <c r="C1069" s="14" t="str">
        <f>IFERROR(INDEX(面试清单!D:D,MATCH(1068,面试清单!P:P,0)),"")</f>
        <v/>
      </c>
      <c r="D1069" s="11" t="s">
        <v>43</v>
      </c>
      <c r="E1069" s="11" t="s">
        <v>62</v>
      </c>
      <c r="F1069" s="11" t="s">
        <v>129</v>
      </c>
      <c r="G1069" s="15">
        <v>46126</v>
      </c>
      <c r="H1069" s="14" t="str">
        <f>IFERROR(INDEX(面试清单!H:H,MATCH(1068,面试清单!P:P,0)),"")</f>
        <v/>
      </c>
      <c r="I1069" s="13" t="s">
        <v>29</v>
      </c>
      <c r="J1069" s="14">
        <f ca="1" t="shared" si="49"/>
        <v>63</v>
      </c>
      <c r="K1069" s="14">
        <f ca="1" t="shared" si="50"/>
        <v>16</v>
      </c>
    </row>
    <row r="1070" ht="18" spans="1:11">
      <c r="A1070" s="10">
        <f t="shared" si="48"/>
        <v>1069</v>
      </c>
      <c r="B1070" s="11" t="s">
        <v>5006</v>
      </c>
      <c r="C1070" s="10" t="str">
        <f>IFERROR(INDEX(面试清单!D:D,MATCH(1069,面试清单!P:P,0)),"")</f>
        <v/>
      </c>
      <c r="D1070" s="11" t="s">
        <v>43</v>
      </c>
      <c r="E1070" s="11" t="s">
        <v>62</v>
      </c>
      <c r="F1070" s="11" t="s">
        <v>129</v>
      </c>
      <c r="G1070" s="15">
        <v>46126</v>
      </c>
      <c r="H1070" s="10" t="str">
        <f>IFERROR(INDEX(面试清单!H:H,MATCH(1069,面试清单!P:P,0)),"")</f>
        <v/>
      </c>
      <c r="I1070" s="13" t="s">
        <v>29</v>
      </c>
      <c r="J1070" s="10">
        <f ca="1" t="shared" si="49"/>
        <v>63</v>
      </c>
      <c r="K1070" s="10">
        <f ca="1" t="shared" si="50"/>
        <v>16</v>
      </c>
    </row>
    <row r="1071" ht="18" spans="1:11">
      <c r="A1071" s="14">
        <f t="shared" si="48"/>
        <v>1070</v>
      </c>
      <c r="B1071" s="11" t="s">
        <v>5007</v>
      </c>
      <c r="C1071" s="14" t="str">
        <f>IFERROR(INDEX(面试清单!D:D,MATCH(1070,面试清单!P:P,0)),"")</f>
        <v/>
      </c>
      <c r="D1071" s="11" t="s">
        <v>43</v>
      </c>
      <c r="E1071" s="11" t="s">
        <v>63</v>
      </c>
      <c r="F1071" s="11" t="s">
        <v>176</v>
      </c>
      <c r="G1071" s="15">
        <v>46126</v>
      </c>
      <c r="H1071" s="14" t="str">
        <f>IFERROR(INDEX(面试清单!H:H,MATCH(1070,面试清单!P:P,0)),"")</f>
        <v/>
      </c>
      <c r="I1071" s="13" t="s">
        <v>29</v>
      </c>
      <c r="J1071" s="14">
        <f ca="1" t="shared" si="49"/>
        <v>63</v>
      </c>
      <c r="K1071" s="14">
        <f ca="1" t="shared" si="50"/>
        <v>16</v>
      </c>
    </row>
    <row r="1072" ht="18" spans="1:11">
      <c r="A1072" s="10">
        <f t="shared" si="48"/>
        <v>1071</v>
      </c>
      <c r="B1072" s="11" t="s">
        <v>5008</v>
      </c>
      <c r="C1072" s="10" t="str">
        <f>IFERROR(INDEX(面试清单!D:D,MATCH(1071,面试清单!P:P,0)),"")</f>
        <v/>
      </c>
      <c r="D1072" s="11" t="s">
        <v>43</v>
      </c>
      <c r="E1072" s="11" t="s">
        <v>62</v>
      </c>
      <c r="F1072" s="11" t="s">
        <v>176</v>
      </c>
      <c r="G1072" s="15">
        <v>46126</v>
      </c>
      <c r="H1072" s="10" t="str">
        <f>IFERROR(INDEX(面试清单!H:H,MATCH(1071,面试清单!P:P,0)),"")</f>
        <v/>
      </c>
      <c r="I1072" s="13" t="s">
        <v>29</v>
      </c>
      <c r="J1072" s="10">
        <f ca="1" t="shared" si="49"/>
        <v>63</v>
      </c>
      <c r="K1072" s="10">
        <f ca="1" t="shared" si="50"/>
        <v>16</v>
      </c>
    </row>
    <row r="1073" ht="18" spans="1:11">
      <c r="A1073" s="14">
        <f t="shared" si="48"/>
        <v>1072</v>
      </c>
      <c r="B1073" s="11" t="s">
        <v>5009</v>
      </c>
      <c r="C1073" s="14" t="str">
        <f>IFERROR(INDEX(面试清单!D:D,MATCH(1072,面试清单!P:P,0)),"")</f>
        <v/>
      </c>
      <c r="D1073" s="11" t="s">
        <v>43</v>
      </c>
      <c r="E1073" s="11" t="s">
        <v>62</v>
      </c>
      <c r="F1073" s="11" t="s">
        <v>103</v>
      </c>
      <c r="G1073" s="15">
        <v>46126</v>
      </c>
      <c r="H1073" s="14" t="str">
        <f>IFERROR(INDEX(面试清单!H:H,MATCH(1072,面试清单!P:P,0)),"")</f>
        <v/>
      </c>
      <c r="I1073" s="13" t="s">
        <v>29</v>
      </c>
      <c r="J1073" s="14">
        <f ca="1" t="shared" si="49"/>
        <v>63</v>
      </c>
      <c r="K1073" s="14">
        <f ca="1" t="shared" si="50"/>
        <v>16</v>
      </c>
    </row>
    <row r="1074" ht="18" spans="1:11">
      <c r="A1074" s="10">
        <f t="shared" si="48"/>
        <v>1073</v>
      </c>
      <c r="B1074" s="11" t="s">
        <v>5010</v>
      </c>
      <c r="C1074" s="10" t="str">
        <f>IFERROR(INDEX(面试清单!D:D,MATCH(1073,面试清单!P:P,0)),"")</f>
        <v/>
      </c>
      <c r="D1074" s="11" t="s">
        <v>43</v>
      </c>
      <c r="E1074" s="11" t="s">
        <v>62</v>
      </c>
      <c r="F1074" s="11" t="s">
        <v>103</v>
      </c>
      <c r="G1074" s="15">
        <v>46126</v>
      </c>
      <c r="H1074" s="10" t="str">
        <f>IFERROR(INDEX(面试清单!H:H,MATCH(1073,面试清单!P:P,0)),"")</f>
        <v/>
      </c>
      <c r="I1074" s="13" t="s">
        <v>29</v>
      </c>
      <c r="J1074" s="10">
        <f ca="1" t="shared" si="49"/>
        <v>63</v>
      </c>
      <c r="K1074" s="10">
        <f ca="1" t="shared" si="50"/>
        <v>16</v>
      </c>
    </row>
    <row r="1075" ht="18" spans="1:11">
      <c r="A1075" s="14">
        <f t="shared" si="48"/>
        <v>1074</v>
      </c>
      <c r="B1075" s="11" t="s">
        <v>5011</v>
      </c>
      <c r="C1075" s="14" t="str">
        <f>IFERROR(INDEX(面试清单!D:D,MATCH(1074,面试清单!P:P,0)),"")</f>
        <v/>
      </c>
      <c r="D1075" s="11" t="s">
        <v>43</v>
      </c>
      <c r="E1075" s="11" t="s">
        <v>63</v>
      </c>
      <c r="F1075" s="11" t="s">
        <v>103</v>
      </c>
      <c r="G1075" s="15">
        <v>46126</v>
      </c>
      <c r="H1075" s="14" t="str">
        <f>IFERROR(INDEX(面试清单!H:H,MATCH(1074,面试清单!P:P,0)),"")</f>
        <v/>
      </c>
      <c r="I1075" s="13" t="s">
        <v>29</v>
      </c>
      <c r="J1075" s="14">
        <f ca="1" t="shared" si="49"/>
        <v>63</v>
      </c>
      <c r="K1075" s="14">
        <f ca="1" t="shared" si="50"/>
        <v>16</v>
      </c>
    </row>
    <row r="1076" ht="18" spans="1:11">
      <c r="A1076" s="10">
        <f t="shared" si="48"/>
        <v>1075</v>
      </c>
      <c r="B1076" s="11" t="s">
        <v>5012</v>
      </c>
      <c r="C1076" s="10" t="str">
        <f>IFERROR(INDEX(面试清单!D:D,MATCH(1075,面试清单!P:P,0)),"")</f>
        <v/>
      </c>
      <c r="D1076" s="11" t="s">
        <v>42</v>
      </c>
      <c r="E1076" s="11" t="s">
        <v>62</v>
      </c>
      <c r="F1076" s="11" t="s">
        <v>233</v>
      </c>
      <c r="G1076" s="15">
        <v>46126</v>
      </c>
      <c r="H1076" s="10" t="str">
        <f>IFERROR(INDEX(面试清单!H:H,MATCH(1075,面试清单!P:P,0)),"")</f>
        <v/>
      </c>
      <c r="I1076" s="13" t="s">
        <v>29</v>
      </c>
      <c r="J1076" s="10">
        <f ca="1" t="shared" si="49"/>
        <v>63</v>
      </c>
      <c r="K1076" s="10">
        <f ca="1" t="shared" si="50"/>
        <v>16</v>
      </c>
    </row>
    <row r="1077" ht="18" spans="1:11">
      <c r="A1077" s="14">
        <f t="shared" si="48"/>
        <v>1076</v>
      </c>
      <c r="B1077" s="11" t="s">
        <v>5013</v>
      </c>
      <c r="C1077" s="14" t="str">
        <f>IFERROR(INDEX(面试清单!D:D,MATCH(1076,面试清单!P:P,0)),"")</f>
        <v/>
      </c>
      <c r="D1077" s="11" t="s">
        <v>42</v>
      </c>
      <c r="E1077" s="11" t="s">
        <v>63</v>
      </c>
      <c r="F1077" s="11" t="s">
        <v>179</v>
      </c>
      <c r="G1077" s="15">
        <v>46126</v>
      </c>
      <c r="H1077" s="14" t="str">
        <f>IFERROR(INDEX(面试清单!H:H,MATCH(1076,面试清单!P:P,0)),"")</f>
        <v/>
      </c>
      <c r="I1077" s="13" t="s">
        <v>29</v>
      </c>
      <c r="J1077" s="14">
        <f ca="1" t="shared" si="49"/>
        <v>63</v>
      </c>
      <c r="K1077" s="14">
        <f ca="1" t="shared" si="50"/>
        <v>16</v>
      </c>
    </row>
    <row r="1078" ht="18" spans="1:11">
      <c r="A1078" s="10">
        <f t="shared" si="48"/>
        <v>1077</v>
      </c>
      <c r="B1078" s="11" t="s">
        <v>5014</v>
      </c>
      <c r="C1078" s="10" t="str">
        <f>IFERROR(INDEX(面试清单!D:D,MATCH(1077,面试清单!P:P,0)),"")</f>
        <v/>
      </c>
      <c r="D1078" s="11" t="s">
        <v>43</v>
      </c>
      <c r="E1078" s="11" t="s">
        <v>62</v>
      </c>
      <c r="F1078" s="11" t="s">
        <v>179</v>
      </c>
      <c r="G1078" s="15">
        <v>46126</v>
      </c>
      <c r="H1078" s="10" t="str">
        <f>IFERROR(INDEX(面试清单!H:H,MATCH(1077,面试清单!P:P,0)),"")</f>
        <v/>
      </c>
      <c r="I1078" s="13" t="s">
        <v>29</v>
      </c>
      <c r="J1078" s="10">
        <f ca="1" t="shared" si="49"/>
        <v>63</v>
      </c>
      <c r="K1078" s="10">
        <f ca="1" t="shared" si="50"/>
        <v>16</v>
      </c>
    </row>
    <row r="1079" ht="18" spans="1:11">
      <c r="A1079" s="14">
        <f t="shared" si="48"/>
        <v>1078</v>
      </c>
      <c r="B1079" s="11" t="s">
        <v>5015</v>
      </c>
      <c r="C1079" s="14" t="str">
        <f>IFERROR(INDEX(面试清单!D:D,MATCH(1078,面试清单!P:P,0)),"")</f>
        <v/>
      </c>
      <c r="D1079" s="11" t="s">
        <v>42</v>
      </c>
      <c r="E1079" s="11" t="s">
        <v>62</v>
      </c>
      <c r="F1079" s="11" t="s">
        <v>124</v>
      </c>
      <c r="G1079" s="15">
        <v>46126</v>
      </c>
      <c r="H1079" s="14" t="str">
        <f>IFERROR(INDEX(面试清单!H:H,MATCH(1078,面试清单!P:P,0)),"")</f>
        <v/>
      </c>
      <c r="I1079" s="13" t="s">
        <v>29</v>
      </c>
      <c r="J1079" s="14">
        <f ca="1" t="shared" si="49"/>
        <v>63</v>
      </c>
      <c r="K1079" s="14">
        <f ca="1" t="shared" si="50"/>
        <v>16</v>
      </c>
    </row>
    <row r="1080" ht="18" spans="1:11">
      <c r="A1080" s="10">
        <f t="shared" si="48"/>
        <v>1079</v>
      </c>
      <c r="B1080" s="11" t="s">
        <v>5016</v>
      </c>
      <c r="C1080" s="10" t="str">
        <f>IFERROR(INDEX(面试清单!D:D,MATCH(1079,面试清单!P:P,0)),"")</f>
        <v/>
      </c>
      <c r="D1080" s="11" t="s">
        <v>42</v>
      </c>
      <c r="E1080" s="11" t="s">
        <v>62</v>
      </c>
      <c r="F1080" s="11" t="s">
        <v>124</v>
      </c>
      <c r="G1080" s="15">
        <v>46126</v>
      </c>
      <c r="H1080" s="10" t="str">
        <f>IFERROR(INDEX(面试清单!H:H,MATCH(1079,面试清单!P:P,0)),"")</f>
        <v/>
      </c>
      <c r="I1080" s="13" t="s">
        <v>29</v>
      </c>
      <c r="J1080" s="10">
        <f ca="1" t="shared" si="49"/>
        <v>63</v>
      </c>
      <c r="K1080" s="10">
        <f ca="1" t="shared" si="50"/>
        <v>16</v>
      </c>
    </row>
    <row r="1081" ht="18" spans="1:11">
      <c r="A1081" s="14">
        <f t="shared" si="48"/>
        <v>1080</v>
      </c>
      <c r="B1081" s="11" t="s">
        <v>5017</v>
      </c>
      <c r="C1081" s="14" t="str">
        <f>IFERROR(INDEX(面试清单!D:D,MATCH(1080,面试清单!P:P,0)),"")</f>
        <v/>
      </c>
      <c r="D1081" s="11" t="s">
        <v>43</v>
      </c>
      <c r="E1081" s="11" t="s">
        <v>63</v>
      </c>
      <c r="F1081" s="11" t="s">
        <v>124</v>
      </c>
      <c r="G1081" s="15">
        <v>46126</v>
      </c>
      <c r="H1081" s="14" t="str">
        <f>IFERROR(INDEX(面试清单!H:H,MATCH(1080,面试清单!P:P,0)),"")</f>
        <v/>
      </c>
      <c r="I1081" s="13" t="s">
        <v>29</v>
      </c>
      <c r="J1081" s="14">
        <f ca="1" t="shared" si="49"/>
        <v>63</v>
      </c>
      <c r="K1081" s="14">
        <f ca="1" t="shared" si="50"/>
        <v>16</v>
      </c>
    </row>
    <row r="1082" ht="36" spans="1:11">
      <c r="A1082" s="10">
        <f t="shared" si="48"/>
        <v>1081</v>
      </c>
      <c r="B1082" s="11" t="s">
        <v>5018</v>
      </c>
      <c r="C1082" s="10" t="str">
        <f>IFERROR(INDEX(面试清单!D:D,MATCH(1081,面试清单!P:P,0)),"")</f>
        <v/>
      </c>
      <c r="D1082" s="11" t="s">
        <v>42</v>
      </c>
      <c r="E1082" s="11" t="s">
        <v>62</v>
      </c>
      <c r="F1082" s="11" t="s">
        <v>124</v>
      </c>
      <c r="G1082" s="15">
        <v>46126</v>
      </c>
      <c r="H1082" s="10" t="str">
        <f>IFERROR(INDEX(面试清单!H:H,MATCH(1081,面试清单!P:P,0)),"")</f>
        <v/>
      </c>
      <c r="I1082" s="13" t="s">
        <v>29</v>
      </c>
      <c r="J1082" s="10">
        <f ca="1" t="shared" si="49"/>
        <v>63</v>
      </c>
      <c r="K1082" s="10">
        <f ca="1" t="shared" si="50"/>
        <v>16</v>
      </c>
    </row>
    <row r="1083" ht="18" spans="1:11">
      <c r="A1083" s="14">
        <f t="shared" si="48"/>
        <v>1082</v>
      </c>
      <c r="B1083" s="11" t="s">
        <v>5019</v>
      </c>
      <c r="C1083" s="14" t="str">
        <f>IFERROR(INDEX(面试清单!D:D,MATCH(1082,面试清单!P:P,0)),"")</f>
        <v/>
      </c>
      <c r="D1083" s="11" t="s">
        <v>43</v>
      </c>
      <c r="E1083" s="11" t="s">
        <v>63</v>
      </c>
      <c r="F1083" s="11" t="s">
        <v>124</v>
      </c>
      <c r="G1083" s="15">
        <v>46126</v>
      </c>
      <c r="H1083" s="14" t="str">
        <f>IFERROR(INDEX(面试清单!H:H,MATCH(1082,面试清单!P:P,0)),"")</f>
        <v/>
      </c>
      <c r="I1083" s="13" t="s">
        <v>29</v>
      </c>
      <c r="J1083" s="14">
        <f ca="1" t="shared" si="49"/>
        <v>63</v>
      </c>
      <c r="K1083" s="14">
        <f ca="1" t="shared" si="50"/>
        <v>16</v>
      </c>
    </row>
    <row r="1084" ht="18" spans="1:11">
      <c r="A1084" s="10">
        <f t="shared" si="48"/>
        <v>1083</v>
      </c>
      <c r="B1084" s="11" t="s">
        <v>5020</v>
      </c>
      <c r="C1084" s="10" t="str">
        <f>IFERROR(INDEX(面试清单!D:D,MATCH(1083,面试清单!P:P,0)),"")</f>
        <v/>
      </c>
      <c r="D1084" s="11" t="s">
        <v>43</v>
      </c>
      <c r="E1084" s="11" t="s">
        <v>62</v>
      </c>
      <c r="F1084" s="11" t="s">
        <v>307</v>
      </c>
      <c r="G1084" s="15">
        <v>46126</v>
      </c>
      <c r="H1084" s="10" t="str">
        <f>IFERROR(INDEX(面试清单!H:H,MATCH(1083,面试清单!P:P,0)),"")</f>
        <v/>
      </c>
      <c r="I1084" s="13" t="s">
        <v>29</v>
      </c>
      <c r="J1084" s="10">
        <f ca="1" t="shared" si="49"/>
        <v>63</v>
      </c>
      <c r="K1084" s="10">
        <f ca="1" t="shared" si="50"/>
        <v>16</v>
      </c>
    </row>
    <row r="1085" ht="18" spans="1:11">
      <c r="A1085" s="14">
        <f t="shared" si="48"/>
        <v>1084</v>
      </c>
      <c r="B1085" s="11" t="s">
        <v>5021</v>
      </c>
      <c r="C1085" s="14" t="str">
        <f>IFERROR(INDEX(面试清单!D:D,MATCH(1084,面试清单!P:P,0)),"")</f>
        <v/>
      </c>
      <c r="D1085" s="11" t="s">
        <v>42</v>
      </c>
      <c r="E1085" s="11" t="s">
        <v>62</v>
      </c>
      <c r="F1085" s="123" t="s">
        <v>505</v>
      </c>
      <c r="G1085" s="15">
        <v>46126</v>
      </c>
      <c r="H1085" s="14" t="str">
        <f>IFERROR(INDEX(面试清单!H:H,MATCH(1084,面试清单!P:P,0)),"")</f>
        <v/>
      </c>
      <c r="I1085" s="13" t="s">
        <v>29</v>
      </c>
      <c r="J1085" s="14">
        <f ca="1" t="shared" si="49"/>
        <v>63</v>
      </c>
      <c r="K1085" s="14">
        <f ca="1" t="shared" si="50"/>
        <v>16</v>
      </c>
    </row>
    <row r="1086" ht="18" spans="1:11">
      <c r="A1086" s="10">
        <f t="shared" si="48"/>
        <v>1085</v>
      </c>
      <c r="B1086" s="11" t="s">
        <v>5022</v>
      </c>
      <c r="C1086" s="10" t="str">
        <f>IFERROR(INDEX(面试清单!D:D,MATCH(1085,面试清单!P:P,0)),"")</f>
        <v/>
      </c>
      <c r="D1086" s="11" t="s">
        <v>43</v>
      </c>
      <c r="E1086" s="11" t="s">
        <v>63</v>
      </c>
      <c r="F1086" s="11" t="s">
        <v>124</v>
      </c>
      <c r="G1086" s="15">
        <v>46126</v>
      </c>
      <c r="H1086" s="10" t="str">
        <f>IFERROR(INDEX(面试清单!H:H,MATCH(1085,面试清单!P:P,0)),"")</f>
        <v/>
      </c>
      <c r="I1086" s="13" t="s">
        <v>29</v>
      </c>
      <c r="J1086" s="10">
        <f ca="1" t="shared" si="49"/>
        <v>63</v>
      </c>
      <c r="K1086" s="10">
        <f ca="1" t="shared" si="50"/>
        <v>16</v>
      </c>
    </row>
    <row r="1087" ht="18" spans="1:11">
      <c r="A1087" s="14">
        <f t="shared" si="48"/>
        <v>1086</v>
      </c>
      <c r="B1087" s="11" t="s">
        <v>5023</v>
      </c>
      <c r="C1087" s="14" t="str">
        <f>IFERROR(INDEX(面试清单!D:D,MATCH(1086,面试清单!P:P,0)),"")</f>
        <v/>
      </c>
      <c r="D1087" s="11" t="s">
        <v>42</v>
      </c>
      <c r="E1087" s="11" t="s">
        <v>62</v>
      </c>
      <c r="F1087" s="11" t="s">
        <v>509</v>
      </c>
      <c r="G1087" s="15">
        <v>46126</v>
      </c>
      <c r="H1087" s="14" t="str">
        <f>IFERROR(INDEX(面试清单!H:H,MATCH(1086,面试清单!P:P,0)),"")</f>
        <v/>
      </c>
      <c r="I1087" s="13" t="s">
        <v>29</v>
      </c>
      <c r="J1087" s="14">
        <f ca="1" t="shared" si="49"/>
        <v>63</v>
      </c>
      <c r="K1087" s="14">
        <f ca="1" t="shared" si="50"/>
        <v>16</v>
      </c>
    </row>
    <row r="1088" ht="18" spans="1:11">
      <c r="A1088" s="10">
        <f t="shared" si="48"/>
        <v>1087</v>
      </c>
      <c r="B1088" s="11" t="s">
        <v>5024</v>
      </c>
      <c r="C1088" s="10" t="str">
        <f>IFERROR(INDEX(面试清单!D:D,MATCH(1087,面试清单!P:P,0)),"")</f>
        <v/>
      </c>
      <c r="D1088" s="11" t="s">
        <v>43</v>
      </c>
      <c r="E1088" s="11" t="s">
        <v>62</v>
      </c>
      <c r="F1088" s="11" t="s">
        <v>132</v>
      </c>
      <c r="G1088" s="15">
        <v>46126</v>
      </c>
      <c r="H1088" s="10" t="str">
        <f>IFERROR(INDEX(面试清单!H:H,MATCH(1087,面试清单!P:P,0)),"")</f>
        <v/>
      </c>
      <c r="I1088" s="13" t="s">
        <v>29</v>
      </c>
      <c r="J1088" s="10">
        <f ca="1" t="shared" si="49"/>
        <v>63</v>
      </c>
      <c r="K1088" s="10">
        <f ca="1" t="shared" si="50"/>
        <v>16</v>
      </c>
    </row>
    <row r="1089" ht="18" spans="1:11">
      <c r="A1089" s="14">
        <f t="shared" si="48"/>
        <v>1088</v>
      </c>
      <c r="B1089" s="11" t="s">
        <v>5025</v>
      </c>
      <c r="C1089" s="14" t="str">
        <f>IFERROR(INDEX(面试清单!D:D,MATCH(1088,面试清单!P:P,0)),"")</f>
        <v/>
      </c>
      <c r="D1089" s="11" t="s">
        <v>43</v>
      </c>
      <c r="E1089" s="11" t="s">
        <v>62</v>
      </c>
      <c r="F1089" s="11" t="s">
        <v>132</v>
      </c>
      <c r="G1089" s="15">
        <v>46126</v>
      </c>
      <c r="H1089" s="14" t="str">
        <f>IFERROR(INDEX(面试清单!H:H,MATCH(1088,面试清单!P:P,0)),"")</f>
        <v/>
      </c>
      <c r="I1089" s="13" t="s">
        <v>29</v>
      </c>
      <c r="J1089" s="14">
        <f ca="1" t="shared" si="49"/>
        <v>63</v>
      </c>
      <c r="K1089" s="14">
        <f ca="1" t="shared" si="50"/>
        <v>16</v>
      </c>
    </row>
    <row r="1090" ht="18" spans="1:11">
      <c r="A1090" s="10">
        <f t="shared" ref="A1090:A1153" si="51">IF(B1090&lt;&gt;"",ROW()-1,"")</f>
        <v>1089</v>
      </c>
      <c r="B1090" s="11" t="s">
        <v>5026</v>
      </c>
      <c r="C1090" s="10" t="str">
        <f>IFERROR(INDEX(面试清单!D:D,MATCH(1089,面试清单!P:P,0)),"")</f>
        <v/>
      </c>
      <c r="D1090" s="11" t="s">
        <v>43</v>
      </c>
      <c r="E1090" s="11" t="s">
        <v>63</v>
      </c>
      <c r="F1090" s="11" t="s">
        <v>124</v>
      </c>
      <c r="G1090" s="15">
        <v>46126</v>
      </c>
      <c r="H1090" s="10" t="str">
        <f>IFERROR(INDEX(面试清单!H:H,MATCH(1089,面试清单!P:P,0)),"")</f>
        <v/>
      </c>
      <c r="I1090" s="13" t="s">
        <v>29</v>
      </c>
      <c r="J1090" s="10">
        <f ca="1" t="shared" ref="J1090:J1153" si="52">IF(G1090&lt;&gt;"",TODAY()-G1090,"")</f>
        <v>63</v>
      </c>
      <c r="K1090" s="10">
        <f ca="1" t="shared" ref="K1090:K1153" si="53">IF(G1090&lt;&gt;"",MAX(0,MIN(TODAY(),EOMONTH(TODAY(),0))-MAX(G1090,EOMONTH(TODAY(),-1)+1)+1),"")</f>
        <v>16</v>
      </c>
    </row>
    <row r="1091" ht="18" spans="1:11">
      <c r="A1091" s="14">
        <f t="shared" si="51"/>
        <v>1090</v>
      </c>
      <c r="B1091" s="11" t="s">
        <v>5027</v>
      </c>
      <c r="C1091" s="14" t="str">
        <f>IFERROR(INDEX(面试清单!D:D,MATCH(1090,面试清单!P:P,0)),"")</f>
        <v/>
      </c>
      <c r="D1091" s="11" t="s">
        <v>42</v>
      </c>
      <c r="E1091" s="11" t="s">
        <v>62</v>
      </c>
      <c r="F1091" s="11" t="s">
        <v>129</v>
      </c>
      <c r="G1091" s="15">
        <v>46126</v>
      </c>
      <c r="H1091" s="14" t="str">
        <f>IFERROR(INDEX(面试清单!H:H,MATCH(1090,面试清单!P:P,0)),"")</f>
        <v/>
      </c>
      <c r="I1091" s="13" t="s">
        <v>29</v>
      </c>
      <c r="J1091" s="14">
        <f ca="1" t="shared" si="52"/>
        <v>63</v>
      </c>
      <c r="K1091" s="14">
        <f ca="1" t="shared" si="53"/>
        <v>16</v>
      </c>
    </row>
    <row r="1092" ht="18" spans="1:11">
      <c r="A1092" s="10">
        <f t="shared" si="51"/>
        <v>1091</v>
      </c>
      <c r="B1092" s="11" t="s">
        <v>5028</v>
      </c>
      <c r="C1092" s="10" t="str">
        <f>IFERROR(INDEX(面试清单!D:D,MATCH(1091,面试清单!P:P,0)),"")</f>
        <v/>
      </c>
      <c r="D1092" s="11" t="s">
        <v>43</v>
      </c>
      <c r="E1092" s="11" t="s">
        <v>63</v>
      </c>
      <c r="F1092" s="11" t="s">
        <v>135</v>
      </c>
      <c r="G1092" s="15">
        <v>46126</v>
      </c>
      <c r="H1092" s="10" t="str">
        <f>IFERROR(INDEX(面试清单!H:H,MATCH(1091,面试清单!P:P,0)),"")</f>
        <v/>
      </c>
      <c r="I1092" s="13" t="s">
        <v>29</v>
      </c>
      <c r="J1092" s="10">
        <f ca="1" t="shared" si="52"/>
        <v>63</v>
      </c>
      <c r="K1092" s="10">
        <f ca="1" t="shared" si="53"/>
        <v>16</v>
      </c>
    </row>
    <row r="1093" ht="18" spans="1:11">
      <c r="A1093" s="14">
        <f t="shared" si="51"/>
        <v>1092</v>
      </c>
      <c r="B1093" s="11" t="s">
        <v>5029</v>
      </c>
      <c r="C1093" s="14" t="str">
        <f>IFERROR(INDEX(面试清单!D:D,MATCH(1092,面试清单!P:P,0)),"")</f>
        <v/>
      </c>
      <c r="D1093" s="11" t="s">
        <v>43</v>
      </c>
      <c r="E1093" s="11" t="s">
        <v>62</v>
      </c>
      <c r="F1093" s="11" t="s">
        <v>103</v>
      </c>
      <c r="G1093" s="15">
        <v>46126</v>
      </c>
      <c r="H1093" s="14" t="str">
        <f>IFERROR(INDEX(面试清单!H:H,MATCH(1092,面试清单!P:P,0)),"")</f>
        <v/>
      </c>
      <c r="I1093" s="13" t="s">
        <v>29</v>
      </c>
      <c r="J1093" s="14">
        <f ca="1" t="shared" si="52"/>
        <v>63</v>
      </c>
      <c r="K1093" s="14">
        <f ca="1" t="shared" si="53"/>
        <v>16</v>
      </c>
    </row>
    <row r="1094" ht="18" spans="1:11">
      <c r="A1094" s="10">
        <f t="shared" si="51"/>
        <v>1093</v>
      </c>
      <c r="B1094" s="11" t="s">
        <v>5030</v>
      </c>
      <c r="C1094" s="10" t="str">
        <f>IFERROR(INDEX(面试清单!D:D,MATCH(1093,面试清单!P:P,0)),"")</f>
        <v/>
      </c>
      <c r="D1094" s="11" t="s">
        <v>42</v>
      </c>
      <c r="E1094" s="11" t="s">
        <v>62</v>
      </c>
      <c r="F1094" s="11" t="s">
        <v>179</v>
      </c>
      <c r="G1094" s="15">
        <v>46126</v>
      </c>
      <c r="H1094" s="10" t="str">
        <f>IFERROR(INDEX(面试清单!H:H,MATCH(1093,面试清单!P:P,0)),"")</f>
        <v/>
      </c>
      <c r="I1094" s="13" t="s">
        <v>29</v>
      </c>
      <c r="J1094" s="10">
        <f ca="1" t="shared" si="52"/>
        <v>63</v>
      </c>
      <c r="K1094" s="10">
        <f ca="1" t="shared" si="53"/>
        <v>16</v>
      </c>
    </row>
    <row r="1095" ht="18" spans="1:11">
      <c r="A1095" s="14">
        <f t="shared" si="51"/>
        <v>1094</v>
      </c>
      <c r="B1095" s="11" t="s">
        <v>5031</v>
      </c>
      <c r="C1095" s="14" t="str">
        <f>IFERROR(INDEX(面试清单!D:D,MATCH(1094,面试清单!P:P,0)),"")</f>
        <v/>
      </c>
      <c r="D1095" s="11" t="s">
        <v>43</v>
      </c>
      <c r="E1095" s="11" t="s">
        <v>63</v>
      </c>
      <c r="F1095" s="11" t="s">
        <v>129</v>
      </c>
      <c r="G1095" s="15">
        <v>46126</v>
      </c>
      <c r="H1095" s="14" t="str">
        <f>IFERROR(INDEX(面试清单!H:H,MATCH(1094,面试清单!P:P,0)),"")</f>
        <v/>
      </c>
      <c r="I1095" s="13" t="s">
        <v>29</v>
      </c>
      <c r="J1095" s="14">
        <f ca="1" t="shared" si="52"/>
        <v>63</v>
      </c>
      <c r="K1095" s="14">
        <f ca="1" t="shared" si="53"/>
        <v>16</v>
      </c>
    </row>
    <row r="1096" ht="18" spans="1:11">
      <c r="A1096" s="10">
        <f t="shared" si="51"/>
        <v>1095</v>
      </c>
      <c r="B1096" s="11" t="s">
        <v>5032</v>
      </c>
      <c r="C1096" s="10" t="str">
        <f>IFERROR(INDEX(面试清单!D:D,MATCH(1095,面试清单!P:P,0)),"")</f>
        <v/>
      </c>
      <c r="D1096" s="11" t="s">
        <v>42</v>
      </c>
      <c r="E1096" s="11" t="s">
        <v>62</v>
      </c>
      <c r="F1096" s="11" t="s">
        <v>110</v>
      </c>
      <c r="G1096" s="15">
        <v>46127</v>
      </c>
      <c r="H1096" s="10" t="str">
        <f>IFERROR(INDEX(面试清单!H:H,MATCH(1095,面试清单!P:P,0)),"")</f>
        <v/>
      </c>
      <c r="I1096" s="13" t="s">
        <v>29</v>
      </c>
      <c r="J1096" s="10">
        <f ca="1" t="shared" si="52"/>
        <v>62</v>
      </c>
      <c r="K1096" s="10">
        <f ca="1" t="shared" si="53"/>
        <v>16</v>
      </c>
    </row>
    <row r="1097" ht="18" spans="1:11">
      <c r="A1097" s="14">
        <f t="shared" si="51"/>
        <v>1096</v>
      </c>
      <c r="B1097" s="11" t="s">
        <v>5033</v>
      </c>
      <c r="C1097" s="14" t="str">
        <f>IFERROR(INDEX(面试清单!D:D,MATCH(1096,面试清单!P:P,0)),"")</f>
        <v/>
      </c>
      <c r="D1097" s="11" t="s">
        <v>42</v>
      </c>
      <c r="E1097" s="11" t="s">
        <v>63</v>
      </c>
      <c r="F1097" s="11" t="s">
        <v>129</v>
      </c>
      <c r="G1097" s="15">
        <v>46127</v>
      </c>
      <c r="H1097" s="14" t="str">
        <f>IFERROR(INDEX(面试清单!H:H,MATCH(1096,面试清单!P:P,0)),"")</f>
        <v/>
      </c>
      <c r="I1097" s="13" t="s">
        <v>29</v>
      </c>
      <c r="J1097" s="14">
        <f ca="1" t="shared" si="52"/>
        <v>62</v>
      </c>
      <c r="K1097" s="14">
        <f ca="1" t="shared" si="53"/>
        <v>16</v>
      </c>
    </row>
    <row r="1098" ht="18" spans="1:11">
      <c r="A1098" s="10">
        <f t="shared" si="51"/>
        <v>1097</v>
      </c>
      <c r="B1098" s="11" t="s">
        <v>5034</v>
      </c>
      <c r="C1098" s="10" t="str">
        <f>IFERROR(INDEX(面试清单!D:D,MATCH(1097,面试清单!P:P,0)),"")</f>
        <v/>
      </c>
      <c r="D1098" s="11" t="s">
        <v>43</v>
      </c>
      <c r="E1098" s="11" t="s">
        <v>62</v>
      </c>
      <c r="F1098" s="11" t="s">
        <v>179</v>
      </c>
      <c r="G1098" s="15">
        <v>46127</v>
      </c>
      <c r="H1098" s="10" t="str">
        <f>IFERROR(INDEX(面试清单!H:H,MATCH(1097,面试清单!P:P,0)),"")</f>
        <v/>
      </c>
      <c r="I1098" s="13" t="s">
        <v>29</v>
      </c>
      <c r="J1098" s="10">
        <f ca="1" t="shared" si="52"/>
        <v>62</v>
      </c>
      <c r="K1098" s="10">
        <f ca="1" t="shared" si="53"/>
        <v>16</v>
      </c>
    </row>
    <row r="1099" ht="18" spans="1:11">
      <c r="A1099" s="14">
        <f t="shared" si="51"/>
        <v>1098</v>
      </c>
      <c r="B1099" s="11" t="s">
        <v>5035</v>
      </c>
      <c r="C1099" s="124" t="str">
        <f>IFERROR(INDEX(面试清单!D:D,MATCH(1098,面试清单!P:P,0)),"")</f>
        <v>0221</v>
      </c>
      <c r="D1099" s="11" t="s">
        <v>42</v>
      </c>
      <c r="E1099" s="11" t="s">
        <v>63</v>
      </c>
      <c r="F1099" s="11" t="s">
        <v>148</v>
      </c>
      <c r="G1099" s="15">
        <v>46127</v>
      </c>
      <c r="H1099" s="14" t="str">
        <f>IFERROR(INDEX(面试清单!H:H,MATCH(1098,面试清单!P:P,0)),"")</f>
        <v>线上</v>
      </c>
      <c r="I1099" s="13" t="s">
        <v>29</v>
      </c>
      <c r="J1099" s="14">
        <f ca="1" t="shared" si="52"/>
        <v>62</v>
      </c>
      <c r="K1099" s="14">
        <f ca="1" t="shared" si="53"/>
        <v>16</v>
      </c>
    </row>
    <row r="1100" ht="18" spans="1:11">
      <c r="A1100" s="10">
        <f t="shared" si="51"/>
        <v>1099</v>
      </c>
      <c r="B1100" s="11" t="s">
        <v>5036</v>
      </c>
      <c r="C1100" s="10" t="str">
        <f>IFERROR(INDEX(面试清单!D:D,MATCH(1099,面试清单!P:P,0)),"")</f>
        <v/>
      </c>
      <c r="D1100" s="11" t="s">
        <v>43</v>
      </c>
      <c r="E1100" s="11" t="s">
        <v>63</v>
      </c>
      <c r="F1100" s="11" t="s">
        <v>509</v>
      </c>
      <c r="G1100" s="15">
        <v>46127</v>
      </c>
      <c r="H1100" s="10" t="str">
        <f>IFERROR(INDEX(面试清单!H:H,MATCH(1099,面试清单!P:P,0)),"")</f>
        <v/>
      </c>
      <c r="I1100" s="13" t="s">
        <v>29</v>
      </c>
      <c r="J1100" s="10">
        <f ca="1" t="shared" si="52"/>
        <v>62</v>
      </c>
      <c r="K1100" s="10">
        <f ca="1" t="shared" si="53"/>
        <v>16</v>
      </c>
    </row>
    <row r="1101" ht="18" spans="1:11">
      <c r="A1101" s="14">
        <f t="shared" si="51"/>
        <v>1100</v>
      </c>
      <c r="B1101" s="11" t="s">
        <v>5037</v>
      </c>
      <c r="C1101" s="14" t="str">
        <f>IFERROR(INDEX(面试清单!D:D,MATCH(1100,面试清单!P:P,0)),"")</f>
        <v/>
      </c>
      <c r="D1101" s="11" t="s">
        <v>42</v>
      </c>
      <c r="E1101" s="11" t="s">
        <v>63</v>
      </c>
      <c r="F1101" s="11" t="s">
        <v>117</v>
      </c>
      <c r="G1101" s="15">
        <v>46127</v>
      </c>
      <c r="H1101" s="14" t="str">
        <f>IFERROR(INDEX(面试清单!H:H,MATCH(1100,面试清单!P:P,0)),"")</f>
        <v/>
      </c>
      <c r="I1101" s="13" t="s">
        <v>29</v>
      </c>
      <c r="J1101" s="14">
        <f ca="1" t="shared" si="52"/>
        <v>62</v>
      </c>
      <c r="K1101" s="14">
        <f ca="1" t="shared" si="53"/>
        <v>16</v>
      </c>
    </row>
    <row r="1102" ht="18" spans="1:11">
      <c r="A1102" s="10">
        <f t="shared" si="51"/>
        <v>1101</v>
      </c>
      <c r="B1102" s="11" t="s">
        <v>5038</v>
      </c>
      <c r="C1102" s="10" t="str">
        <f>IFERROR(INDEX(面试清单!D:D,MATCH(1101,面试清单!P:P,0)),"")</f>
        <v/>
      </c>
      <c r="D1102" s="11" t="s">
        <v>42</v>
      </c>
      <c r="E1102" s="11" t="s">
        <v>63</v>
      </c>
      <c r="F1102" s="11" t="s">
        <v>117</v>
      </c>
      <c r="G1102" s="15">
        <v>46127</v>
      </c>
      <c r="H1102" s="10" t="str">
        <f>IFERROR(INDEX(面试清单!H:H,MATCH(1101,面试清单!P:P,0)),"")</f>
        <v/>
      </c>
      <c r="I1102" s="13" t="s">
        <v>29</v>
      </c>
      <c r="J1102" s="10">
        <f ca="1" t="shared" si="52"/>
        <v>62</v>
      </c>
      <c r="K1102" s="10">
        <f ca="1" t="shared" si="53"/>
        <v>16</v>
      </c>
    </row>
    <row r="1103" ht="36" spans="1:11">
      <c r="A1103" s="14">
        <f t="shared" si="51"/>
        <v>1102</v>
      </c>
      <c r="B1103" s="11" t="s">
        <v>5039</v>
      </c>
      <c r="C1103" s="14" t="str">
        <f>IFERROR(INDEX(面试清单!D:D,MATCH(1102,面试清单!P:P,0)),"")</f>
        <v/>
      </c>
      <c r="D1103" s="11" t="s">
        <v>42</v>
      </c>
      <c r="E1103" s="11" t="s">
        <v>63</v>
      </c>
      <c r="F1103" s="11" t="s">
        <v>117</v>
      </c>
      <c r="G1103" s="15">
        <v>46127</v>
      </c>
      <c r="H1103" s="14" t="str">
        <f>IFERROR(INDEX(面试清单!H:H,MATCH(1102,面试清单!P:P,0)),"")</f>
        <v/>
      </c>
      <c r="I1103" s="13" t="s">
        <v>29</v>
      </c>
      <c r="J1103" s="14">
        <f ca="1" t="shared" si="52"/>
        <v>62</v>
      </c>
      <c r="K1103" s="14">
        <f ca="1" t="shared" si="53"/>
        <v>16</v>
      </c>
    </row>
    <row r="1104" ht="18" spans="1:11">
      <c r="A1104" s="10">
        <f t="shared" si="51"/>
        <v>1103</v>
      </c>
      <c r="B1104" s="11" t="s">
        <v>5040</v>
      </c>
      <c r="C1104" s="10" t="str">
        <f>IFERROR(INDEX(面试清单!D:D,MATCH(1103,面试清单!P:P,0)),"")</f>
        <v/>
      </c>
      <c r="D1104" s="11" t="s">
        <v>42</v>
      </c>
      <c r="E1104" s="11" t="s">
        <v>62</v>
      </c>
      <c r="F1104" s="11" t="s">
        <v>332</v>
      </c>
      <c r="G1104" s="15">
        <v>46127</v>
      </c>
      <c r="H1104" s="10" t="str">
        <f>IFERROR(INDEX(面试清单!H:H,MATCH(1103,面试清单!P:P,0)),"")</f>
        <v/>
      </c>
      <c r="I1104" s="13" t="s">
        <v>29</v>
      </c>
      <c r="J1104" s="10">
        <f ca="1" t="shared" si="52"/>
        <v>62</v>
      </c>
      <c r="K1104" s="10">
        <f ca="1" t="shared" si="53"/>
        <v>16</v>
      </c>
    </row>
    <row r="1105" ht="18" spans="1:11">
      <c r="A1105" s="14">
        <f t="shared" si="51"/>
        <v>1104</v>
      </c>
      <c r="B1105" s="11" t="s">
        <v>5041</v>
      </c>
      <c r="C1105" s="14" t="str">
        <f>IFERROR(INDEX(面试清单!D:D,MATCH(1104,面试清单!P:P,0)),"")</f>
        <v/>
      </c>
      <c r="D1105" s="11" t="s">
        <v>42</v>
      </c>
      <c r="E1105" s="11" t="s">
        <v>62</v>
      </c>
      <c r="F1105" s="11" t="s">
        <v>505</v>
      </c>
      <c r="G1105" s="15">
        <v>46127</v>
      </c>
      <c r="H1105" s="14" t="str">
        <f>IFERROR(INDEX(面试清单!H:H,MATCH(1104,面试清单!P:P,0)),"")</f>
        <v/>
      </c>
      <c r="I1105" s="13" t="s">
        <v>29</v>
      </c>
      <c r="J1105" s="14">
        <f ca="1" t="shared" si="52"/>
        <v>62</v>
      </c>
      <c r="K1105" s="14">
        <f ca="1" t="shared" si="53"/>
        <v>16</v>
      </c>
    </row>
    <row r="1106" ht="18" spans="1:11">
      <c r="A1106" s="10">
        <f t="shared" si="51"/>
        <v>1105</v>
      </c>
      <c r="B1106" s="11" t="s">
        <v>3852</v>
      </c>
      <c r="C1106" s="10" t="str">
        <f>IFERROR(INDEX(面试清单!D:D,MATCH(1105,面试清单!P:P,0)),"")</f>
        <v/>
      </c>
      <c r="D1106" s="11" t="s">
        <v>43</v>
      </c>
      <c r="E1106" s="11" t="s">
        <v>63</v>
      </c>
      <c r="F1106" s="11" t="s">
        <v>129</v>
      </c>
      <c r="G1106" s="15">
        <v>46127</v>
      </c>
      <c r="H1106" s="10" t="str">
        <f>IFERROR(INDEX(面试清单!H:H,MATCH(1105,面试清单!P:P,0)),"")</f>
        <v/>
      </c>
      <c r="I1106" s="13" t="s">
        <v>29</v>
      </c>
      <c r="J1106" s="10">
        <f ca="1" t="shared" si="52"/>
        <v>62</v>
      </c>
      <c r="K1106" s="10">
        <f ca="1" t="shared" si="53"/>
        <v>16</v>
      </c>
    </row>
    <row r="1107" ht="18" spans="1:11">
      <c r="A1107" s="14">
        <f t="shared" si="51"/>
        <v>1106</v>
      </c>
      <c r="B1107" s="11" t="s">
        <v>5042</v>
      </c>
      <c r="C1107" s="14" t="str">
        <f>IFERROR(INDEX(面试清单!D:D,MATCH(1106,面试清单!P:P,0)),"")</f>
        <v/>
      </c>
      <c r="D1107" s="11" t="s">
        <v>42</v>
      </c>
      <c r="E1107" s="11" t="s">
        <v>62</v>
      </c>
      <c r="F1107" s="11" t="s">
        <v>124</v>
      </c>
      <c r="G1107" s="15">
        <v>46127</v>
      </c>
      <c r="H1107" s="14" t="str">
        <f>IFERROR(INDEX(面试清单!H:H,MATCH(1106,面试清单!P:P,0)),"")</f>
        <v/>
      </c>
      <c r="I1107" s="13" t="s">
        <v>29</v>
      </c>
      <c r="J1107" s="14">
        <f ca="1" t="shared" si="52"/>
        <v>62</v>
      </c>
      <c r="K1107" s="14">
        <f ca="1" t="shared" si="53"/>
        <v>16</v>
      </c>
    </row>
    <row r="1108" ht="18" spans="1:11">
      <c r="A1108" s="10">
        <f t="shared" si="51"/>
        <v>1107</v>
      </c>
      <c r="B1108" s="11" t="s">
        <v>5043</v>
      </c>
      <c r="C1108" s="125" t="str">
        <f>IFERROR(INDEX(面试清单!D:D,MATCH(1107,面试清单!P:P,0)),"")</f>
        <v>0221</v>
      </c>
      <c r="D1108" s="11" t="s">
        <v>42</v>
      </c>
      <c r="E1108" s="11" t="s">
        <v>62</v>
      </c>
      <c r="F1108" s="11" t="s">
        <v>233</v>
      </c>
      <c r="G1108" s="15">
        <v>46127</v>
      </c>
      <c r="H1108" s="10" t="str">
        <f>IFERROR(INDEX(面试清单!H:H,MATCH(1107,面试清单!P:P,0)),"")</f>
        <v>线上</v>
      </c>
      <c r="I1108" s="13" t="s">
        <v>29</v>
      </c>
      <c r="J1108" s="10">
        <f ca="1" t="shared" si="52"/>
        <v>62</v>
      </c>
      <c r="K1108" s="10">
        <f ca="1" t="shared" si="53"/>
        <v>16</v>
      </c>
    </row>
    <row r="1109" ht="18" spans="1:11">
      <c r="A1109" s="14">
        <f t="shared" si="51"/>
        <v>1108</v>
      </c>
      <c r="B1109" s="11" t="s">
        <v>5044</v>
      </c>
      <c r="C1109" s="124" t="str">
        <f>IFERROR(INDEX(面试清单!D:D,MATCH(1108,面试清单!P:P,0)),"")</f>
        <v>0222</v>
      </c>
      <c r="D1109" s="11" t="s">
        <v>42</v>
      </c>
      <c r="E1109" s="11" t="s">
        <v>62</v>
      </c>
      <c r="F1109" s="11" t="s">
        <v>110</v>
      </c>
      <c r="G1109" s="15">
        <v>46128</v>
      </c>
      <c r="H1109" s="14" t="str">
        <f>IFERROR(INDEX(面试清单!H:H,MATCH(1108,面试清单!P:P,0)),"")</f>
        <v>线上</v>
      </c>
      <c r="I1109" s="13" t="s">
        <v>29</v>
      </c>
      <c r="J1109" s="14">
        <f ca="1" t="shared" si="52"/>
        <v>61</v>
      </c>
      <c r="K1109" s="14">
        <f ca="1" t="shared" si="53"/>
        <v>16</v>
      </c>
    </row>
    <row r="1110" ht="18" spans="1:11">
      <c r="A1110" s="10">
        <f t="shared" si="51"/>
        <v>1109</v>
      </c>
      <c r="B1110" s="11" t="s">
        <v>5045</v>
      </c>
      <c r="C1110" s="10" t="str">
        <f>IFERROR(INDEX(面试清单!D:D,MATCH(1109,面试清单!P:P,0)),"")</f>
        <v/>
      </c>
      <c r="D1110" s="11" t="s">
        <v>42</v>
      </c>
      <c r="E1110" s="11" t="s">
        <v>62</v>
      </c>
      <c r="F1110" s="11" t="s">
        <v>110</v>
      </c>
      <c r="G1110" s="15">
        <v>46128</v>
      </c>
      <c r="H1110" s="10" t="str">
        <f>IFERROR(INDEX(面试清单!H:H,MATCH(1109,面试清单!P:P,0)),"")</f>
        <v/>
      </c>
      <c r="I1110" s="13" t="s">
        <v>29</v>
      </c>
      <c r="J1110" s="10">
        <f ca="1" t="shared" si="52"/>
        <v>61</v>
      </c>
      <c r="K1110" s="10">
        <f ca="1" t="shared" si="53"/>
        <v>16</v>
      </c>
    </row>
    <row r="1111" ht="18" spans="1:11">
      <c r="A1111" s="14">
        <f t="shared" si="51"/>
        <v>1110</v>
      </c>
      <c r="B1111" s="11" t="s">
        <v>5046</v>
      </c>
      <c r="C1111" s="14" t="str">
        <f>IFERROR(INDEX(面试清单!D:D,MATCH(1110,面试清单!P:P,0)),"")</f>
        <v/>
      </c>
      <c r="D1111" s="11" t="s">
        <v>42</v>
      </c>
      <c r="E1111" s="11" t="s">
        <v>62</v>
      </c>
      <c r="F1111" s="11" t="s">
        <v>129</v>
      </c>
      <c r="G1111" s="15">
        <v>46128</v>
      </c>
      <c r="H1111" s="14" t="str">
        <f>IFERROR(INDEX(面试清单!H:H,MATCH(1110,面试清单!P:P,0)),"")</f>
        <v/>
      </c>
      <c r="I1111" s="13" t="s">
        <v>29</v>
      </c>
      <c r="J1111" s="14">
        <f ca="1" t="shared" si="52"/>
        <v>61</v>
      </c>
      <c r="K1111" s="14">
        <f ca="1" t="shared" si="53"/>
        <v>16</v>
      </c>
    </row>
    <row r="1112" ht="18" spans="1:11">
      <c r="A1112" s="10">
        <f t="shared" si="51"/>
        <v>1111</v>
      </c>
      <c r="B1112" s="11" t="s">
        <v>5047</v>
      </c>
      <c r="C1112" s="10" t="str">
        <f>IFERROR(INDEX(面试清单!D:D,MATCH(1111,面试清单!P:P,0)),"")</f>
        <v/>
      </c>
      <c r="D1112" s="11" t="s">
        <v>42</v>
      </c>
      <c r="E1112" s="11" t="s">
        <v>62</v>
      </c>
      <c r="F1112" s="11" t="s">
        <v>103</v>
      </c>
      <c r="G1112" s="15">
        <v>46128</v>
      </c>
      <c r="H1112" s="10" t="str">
        <f>IFERROR(INDEX(面试清单!H:H,MATCH(1111,面试清单!P:P,0)),"")</f>
        <v/>
      </c>
      <c r="I1112" s="13" t="s">
        <v>29</v>
      </c>
      <c r="J1112" s="10">
        <f ca="1" t="shared" si="52"/>
        <v>61</v>
      </c>
      <c r="K1112" s="10">
        <f ca="1" t="shared" si="53"/>
        <v>16</v>
      </c>
    </row>
    <row r="1113" ht="18" spans="1:11">
      <c r="A1113" s="14">
        <f t="shared" si="51"/>
        <v>1112</v>
      </c>
      <c r="B1113" s="11" t="s">
        <v>5048</v>
      </c>
      <c r="C1113" s="14" t="str">
        <f>IFERROR(INDEX(面试清单!D:D,MATCH(1112,面试清单!P:P,0)),"")</f>
        <v/>
      </c>
      <c r="D1113" s="11" t="s">
        <v>42</v>
      </c>
      <c r="E1113" s="11" t="s">
        <v>63</v>
      </c>
      <c r="F1113" s="11" t="s">
        <v>117</v>
      </c>
      <c r="G1113" s="15">
        <v>46128</v>
      </c>
      <c r="H1113" s="14" t="str">
        <f>IFERROR(INDEX(面试清单!H:H,MATCH(1112,面试清单!P:P,0)),"")</f>
        <v/>
      </c>
      <c r="I1113" s="13" t="s">
        <v>29</v>
      </c>
      <c r="J1113" s="14">
        <f ca="1" t="shared" si="52"/>
        <v>61</v>
      </c>
      <c r="K1113" s="14">
        <f ca="1" t="shared" si="53"/>
        <v>16</v>
      </c>
    </row>
    <row r="1114" ht="18" spans="1:11">
      <c r="A1114" s="10">
        <f t="shared" si="51"/>
        <v>1113</v>
      </c>
      <c r="B1114" s="11" t="s">
        <v>5049</v>
      </c>
      <c r="C1114" s="10" t="str">
        <f>IFERROR(INDEX(面试清单!D:D,MATCH(1113,面试清单!P:P,0)),"")</f>
        <v/>
      </c>
      <c r="D1114" s="11" t="s">
        <v>43</v>
      </c>
      <c r="E1114" s="11" t="s">
        <v>62</v>
      </c>
      <c r="F1114" s="11" t="s">
        <v>103</v>
      </c>
      <c r="G1114" s="15">
        <v>46128</v>
      </c>
      <c r="H1114" s="10" t="str">
        <f>IFERROR(INDEX(面试清单!H:H,MATCH(1113,面试清单!P:P,0)),"")</f>
        <v/>
      </c>
      <c r="I1114" s="13" t="s">
        <v>29</v>
      </c>
      <c r="J1114" s="10">
        <f ca="1" t="shared" si="52"/>
        <v>61</v>
      </c>
      <c r="K1114" s="10">
        <f ca="1" t="shared" si="53"/>
        <v>16</v>
      </c>
    </row>
    <row r="1115" ht="18" spans="1:11">
      <c r="A1115" s="14">
        <f t="shared" si="51"/>
        <v>1114</v>
      </c>
      <c r="B1115" s="11" t="s">
        <v>5050</v>
      </c>
      <c r="C1115" s="14" t="str">
        <f>IFERROR(INDEX(面试清单!D:D,MATCH(1114,面试清单!P:P,0)),"")</f>
        <v/>
      </c>
      <c r="D1115" s="11" t="s">
        <v>42</v>
      </c>
      <c r="E1115" s="11" t="s">
        <v>63</v>
      </c>
      <c r="F1115" s="11" t="s">
        <v>733</v>
      </c>
      <c r="G1115" s="15">
        <v>46128</v>
      </c>
      <c r="H1115" s="14" t="str">
        <f>IFERROR(INDEX(面试清单!H:H,MATCH(1114,面试清单!P:P,0)),"")</f>
        <v/>
      </c>
      <c r="I1115" s="13" t="s">
        <v>29</v>
      </c>
      <c r="J1115" s="14">
        <f ca="1" t="shared" si="52"/>
        <v>61</v>
      </c>
      <c r="K1115" s="14">
        <f ca="1" t="shared" si="53"/>
        <v>16</v>
      </c>
    </row>
    <row r="1116" ht="18" spans="1:11">
      <c r="A1116" s="10">
        <f t="shared" si="51"/>
        <v>1115</v>
      </c>
      <c r="B1116" s="11" t="s">
        <v>5051</v>
      </c>
      <c r="C1116" s="10" t="str">
        <f>IFERROR(INDEX(面试清单!D:D,MATCH(1115,面试清单!P:P,0)),"")</f>
        <v/>
      </c>
      <c r="D1116" s="11" t="s">
        <v>42</v>
      </c>
      <c r="E1116" s="11" t="s">
        <v>62</v>
      </c>
      <c r="F1116" s="11" t="s">
        <v>179</v>
      </c>
      <c r="G1116" s="15">
        <v>46128</v>
      </c>
      <c r="H1116" s="10" t="str">
        <f>IFERROR(INDEX(面试清单!H:H,MATCH(1115,面试清单!P:P,0)),"")</f>
        <v/>
      </c>
      <c r="I1116" s="13" t="s">
        <v>29</v>
      </c>
      <c r="J1116" s="10">
        <f ca="1" t="shared" si="52"/>
        <v>61</v>
      </c>
      <c r="K1116" s="10">
        <f ca="1" t="shared" si="53"/>
        <v>16</v>
      </c>
    </row>
    <row r="1117" ht="18" spans="1:11">
      <c r="A1117" s="14">
        <f t="shared" si="51"/>
        <v>1116</v>
      </c>
      <c r="B1117" s="11" t="s">
        <v>5052</v>
      </c>
      <c r="C1117" s="14" t="str">
        <f>IFERROR(INDEX(面试清单!D:D,MATCH(1116,面试清单!P:P,0)),"")</f>
        <v/>
      </c>
      <c r="D1117" s="11" t="s">
        <v>42</v>
      </c>
      <c r="E1117" s="11" t="s">
        <v>62</v>
      </c>
      <c r="F1117" s="11" t="s">
        <v>179</v>
      </c>
      <c r="G1117" s="15">
        <v>46128</v>
      </c>
      <c r="H1117" s="14" t="str">
        <f>IFERROR(INDEX(面试清单!H:H,MATCH(1116,面试清单!P:P,0)),"")</f>
        <v/>
      </c>
      <c r="I1117" s="13" t="s">
        <v>29</v>
      </c>
      <c r="J1117" s="14">
        <f ca="1" t="shared" si="52"/>
        <v>61</v>
      </c>
      <c r="K1117" s="14">
        <f ca="1" t="shared" si="53"/>
        <v>16</v>
      </c>
    </row>
    <row r="1118" ht="18" spans="1:11">
      <c r="A1118" s="10">
        <f t="shared" si="51"/>
        <v>1117</v>
      </c>
      <c r="B1118" s="11" t="s">
        <v>5053</v>
      </c>
      <c r="C1118" s="10" t="str">
        <f>IFERROR(INDEX(面试清单!D:D,MATCH(1117,面试清单!P:P,0)),"")</f>
        <v/>
      </c>
      <c r="D1118" s="11" t="s">
        <v>42</v>
      </c>
      <c r="E1118" s="11" t="s">
        <v>63</v>
      </c>
      <c r="F1118" s="11" t="s">
        <v>129</v>
      </c>
      <c r="G1118" s="15">
        <v>46128</v>
      </c>
      <c r="H1118" s="10" t="str">
        <f>IFERROR(INDEX(面试清单!H:H,MATCH(1117,面试清单!P:P,0)),"")</f>
        <v/>
      </c>
      <c r="I1118" s="13" t="s">
        <v>29</v>
      </c>
      <c r="J1118" s="10">
        <f ca="1" t="shared" si="52"/>
        <v>61</v>
      </c>
      <c r="K1118" s="10">
        <f ca="1" t="shared" si="53"/>
        <v>16</v>
      </c>
    </row>
    <row r="1119" ht="18" spans="1:11">
      <c r="A1119" s="14">
        <f t="shared" si="51"/>
        <v>1118</v>
      </c>
      <c r="B1119" s="11" t="s">
        <v>5054</v>
      </c>
      <c r="C1119" s="14" t="str">
        <f>IFERROR(INDEX(面试清单!D:D,MATCH(1118,面试清单!P:P,0)),"")</f>
        <v/>
      </c>
      <c r="D1119" s="11" t="s">
        <v>74</v>
      </c>
      <c r="E1119" s="11" t="s">
        <v>64</v>
      </c>
      <c r="F1119" s="11" t="s">
        <v>179</v>
      </c>
      <c r="G1119" s="15">
        <v>46128</v>
      </c>
      <c r="H1119" s="14" t="str">
        <f>IFERROR(INDEX(面试清单!H:H,MATCH(1118,面试清单!P:P,0)),"")</f>
        <v/>
      </c>
      <c r="I1119" s="13" t="s">
        <v>29</v>
      </c>
      <c r="J1119" s="14">
        <f ca="1" t="shared" si="52"/>
        <v>61</v>
      </c>
      <c r="K1119" s="14">
        <f ca="1" t="shared" si="53"/>
        <v>16</v>
      </c>
    </row>
    <row r="1120" ht="18" spans="1:11">
      <c r="A1120" s="10">
        <f t="shared" si="51"/>
        <v>1119</v>
      </c>
      <c r="B1120" s="11" t="s">
        <v>5055</v>
      </c>
      <c r="C1120" s="10" t="str">
        <f>IFERROR(INDEX(面试清单!D:D,MATCH(1119,面试清单!P:P,0)),"")</f>
        <v/>
      </c>
      <c r="D1120" s="11" t="s">
        <v>74</v>
      </c>
      <c r="E1120" s="11" t="s">
        <v>64</v>
      </c>
      <c r="F1120" s="11" t="s">
        <v>179</v>
      </c>
      <c r="G1120" s="15">
        <v>46128</v>
      </c>
      <c r="H1120" s="10" t="str">
        <f>IFERROR(INDEX(面试清单!H:H,MATCH(1119,面试清单!P:P,0)),"")</f>
        <v/>
      </c>
      <c r="I1120" s="13" t="s">
        <v>29</v>
      </c>
      <c r="J1120" s="10">
        <f ca="1" t="shared" si="52"/>
        <v>61</v>
      </c>
      <c r="K1120" s="10">
        <f ca="1" t="shared" si="53"/>
        <v>16</v>
      </c>
    </row>
    <row r="1121" ht="18" spans="1:11">
      <c r="A1121" s="14">
        <f t="shared" si="51"/>
        <v>1120</v>
      </c>
      <c r="B1121" s="11" t="s">
        <v>5056</v>
      </c>
      <c r="C1121" s="124" t="str">
        <f>IFERROR(INDEX(面试清单!D:D,MATCH(1120,面试清单!P:P,0)),"")</f>
        <v>0209</v>
      </c>
      <c r="D1121" s="11" t="s">
        <v>74</v>
      </c>
      <c r="E1121" s="11" t="s">
        <v>64</v>
      </c>
      <c r="F1121" s="11" t="s">
        <v>117</v>
      </c>
      <c r="G1121" s="15">
        <v>46128</v>
      </c>
      <c r="H1121" s="14" t="str">
        <f>IFERROR(INDEX(面试清单!H:H,MATCH(1120,面试清单!P:P,0)),"")</f>
        <v>线上</v>
      </c>
      <c r="I1121" s="13" t="s">
        <v>29</v>
      </c>
      <c r="J1121" s="14">
        <f ca="1" t="shared" si="52"/>
        <v>61</v>
      </c>
      <c r="K1121" s="14">
        <f ca="1" t="shared" si="53"/>
        <v>16</v>
      </c>
    </row>
    <row r="1122" ht="18" spans="1:11">
      <c r="A1122" s="10">
        <f t="shared" si="51"/>
        <v>1121</v>
      </c>
      <c r="B1122" s="11" t="s">
        <v>5057</v>
      </c>
      <c r="C1122" s="125" t="str">
        <f>IFERROR(INDEX(面试清单!D:D,MATCH(1121,面试清单!P:P,0)),"")</f>
        <v>0212</v>
      </c>
      <c r="D1122" s="11" t="s">
        <v>74</v>
      </c>
      <c r="E1122" s="11" t="s">
        <v>64</v>
      </c>
      <c r="F1122" s="11" t="s">
        <v>117</v>
      </c>
      <c r="G1122" s="15">
        <v>46128</v>
      </c>
      <c r="H1122" s="10" t="str">
        <f>IFERROR(INDEX(面试清单!H:H,MATCH(1121,面试清单!P:P,0)),"")</f>
        <v>线上</v>
      </c>
      <c r="I1122" s="13" t="s">
        <v>29</v>
      </c>
      <c r="J1122" s="10">
        <f ca="1" t="shared" si="52"/>
        <v>61</v>
      </c>
      <c r="K1122" s="10">
        <f ca="1" t="shared" si="53"/>
        <v>16</v>
      </c>
    </row>
    <row r="1123" ht="18" spans="1:11">
      <c r="A1123" s="14">
        <f t="shared" si="51"/>
        <v>1122</v>
      </c>
      <c r="B1123" s="11" t="s">
        <v>5058</v>
      </c>
      <c r="C1123" s="14" t="str">
        <f>IFERROR(INDEX(面试清单!D:D,MATCH(1122,面试清单!P:P,0)),"")</f>
        <v/>
      </c>
      <c r="D1123" s="11" t="s">
        <v>74</v>
      </c>
      <c r="E1123" s="11" t="s">
        <v>64</v>
      </c>
      <c r="F1123" s="11" t="s">
        <v>117</v>
      </c>
      <c r="G1123" s="15">
        <v>46128</v>
      </c>
      <c r="H1123" s="14" t="str">
        <f>IFERROR(INDEX(面试清单!H:H,MATCH(1122,面试清单!P:P,0)),"")</f>
        <v/>
      </c>
      <c r="I1123" s="13" t="s">
        <v>29</v>
      </c>
      <c r="J1123" s="14">
        <f ca="1" t="shared" si="52"/>
        <v>61</v>
      </c>
      <c r="K1123" s="14">
        <f ca="1" t="shared" si="53"/>
        <v>16</v>
      </c>
    </row>
    <row r="1124" ht="18" spans="1:11">
      <c r="A1124" s="10">
        <f t="shared" si="51"/>
        <v>1123</v>
      </c>
      <c r="B1124" s="11" t="s">
        <v>5059</v>
      </c>
      <c r="C1124" s="10" t="str">
        <f>IFERROR(INDEX(面试清单!D:D,MATCH(1123,面试清单!P:P,0)),"")</f>
        <v/>
      </c>
      <c r="D1124" s="11" t="s">
        <v>74</v>
      </c>
      <c r="E1124" s="11" t="s">
        <v>64</v>
      </c>
      <c r="F1124" s="11" t="s">
        <v>117</v>
      </c>
      <c r="G1124" s="15">
        <v>46128</v>
      </c>
      <c r="H1124" s="10" t="str">
        <f>IFERROR(INDEX(面试清单!H:H,MATCH(1123,面试清单!P:P,0)),"")</f>
        <v/>
      </c>
      <c r="I1124" s="13" t="s">
        <v>29</v>
      </c>
      <c r="J1124" s="10">
        <f ca="1" t="shared" si="52"/>
        <v>61</v>
      </c>
      <c r="K1124" s="10">
        <f ca="1" t="shared" si="53"/>
        <v>16</v>
      </c>
    </row>
    <row r="1125" ht="18" spans="1:11">
      <c r="A1125" s="14">
        <f t="shared" si="51"/>
        <v>1124</v>
      </c>
      <c r="B1125" s="11" t="s">
        <v>5060</v>
      </c>
      <c r="C1125" s="14" t="str">
        <f>IFERROR(INDEX(面试清单!D:D,MATCH(1124,面试清单!P:P,0)),"")</f>
        <v/>
      </c>
      <c r="D1125" s="11" t="s">
        <v>74</v>
      </c>
      <c r="E1125" s="11" t="s">
        <v>64</v>
      </c>
      <c r="F1125" s="11" t="s">
        <v>117</v>
      </c>
      <c r="G1125" s="15">
        <v>46128</v>
      </c>
      <c r="H1125" s="14" t="str">
        <f>IFERROR(INDEX(面试清单!H:H,MATCH(1124,面试清单!P:P,0)),"")</f>
        <v/>
      </c>
      <c r="I1125" s="13" t="s">
        <v>29</v>
      </c>
      <c r="J1125" s="14">
        <f ca="1" t="shared" si="52"/>
        <v>61</v>
      </c>
      <c r="K1125" s="14">
        <f ca="1" t="shared" si="53"/>
        <v>16</v>
      </c>
    </row>
    <row r="1126" ht="18" spans="1:11">
      <c r="A1126" s="10">
        <f t="shared" si="51"/>
        <v>1125</v>
      </c>
      <c r="B1126" s="11" t="s">
        <v>5061</v>
      </c>
      <c r="C1126" s="125" t="str">
        <f>IFERROR(INDEX(面试清单!D:D,MATCH(1125,面试清单!P:P,0)),"")</f>
        <v>0220</v>
      </c>
      <c r="D1126" s="11" t="s">
        <v>74</v>
      </c>
      <c r="E1126" s="11" t="s">
        <v>190</v>
      </c>
      <c r="F1126" s="11" t="s">
        <v>179</v>
      </c>
      <c r="G1126" s="15">
        <v>46128</v>
      </c>
      <c r="H1126" s="10" t="str">
        <f>IFERROR(INDEX(面试清单!H:H,MATCH(1125,面试清单!P:P,0)),"")</f>
        <v>线上</v>
      </c>
      <c r="I1126" s="13" t="s">
        <v>29</v>
      </c>
      <c r="J1126" s="10">
        <f ca="1" t="shared" si="52"/>
        <v>61</v>
      </c>
      <c r="K1126" s="10">
        <f ca="1" t="shared" si="53"/>
        <v>16</v>
      </c>
    </row>
    <row r="1127" ht="18" spans="1:11">
      <c r="A1127" s="14">
        <f t="shared" si="51"/>
        <v>1126</v>
      </c>
      <c r="B1127" s="11" t="s">
        <v>5062</v>
      </c>
      <c r="C1127" s="14" t="str">
        <f>IFERROR(INDEX(面试清单!D:D,MATCH(1126,面试清单!P:P,0)),"")</f>
        <v/>
      </c>
      <c r="D1127" s="11" t="s">
        <v>42</v>
      </c>
      <c r="E1127" s="11" t="s">
        <v>62</v>
      </c>
      <c r="F1127" s="11" t="s">
        <v>179</v>
      </c>
      <c r="G1127" s="15">
        <v>46129</v>
      </c>
      <c r="H1127" s="14" t="str">
        <f>IFERROR(INDEX(面试清单!H:H,MATCH(1126,面试清单!P:P,0)),"")</f>
        <v/>
      </c>
      <c r="I1127" s="13" t="s">
        <v>29</v>
      </c>
      <c r="J1127" s="14">
        <f ca="1" t="shared" si="52"/>
        <v>60</v>
      </c>
      <c r="K1127" s="14">
        <f ca="1" t="shared" si="53"/>
        <v>16</v>
      </c>
    </row>
    <row r="1128" ht="18" spans="1:11">
      <c r="A1128" s="10">
        <f t="shared" si="51"/>
        <v>1127</v>
      </c>
      <c r="B1128" s="11" t="s">
        <v>5063</v>
      </c>
      <c r="C1128" s="10" t="str">
        <f>IFERROR(INDEX(面试清单!D:D,MATCH(1127,面试清单!P:P,0)),"")</f>
        <v/>
      </c>
      <c r="D1128" s="11" t="s">
        <v>42</v>
      </c>
      <c r="E1128" s="11" t="s">
        <v>62</v>
      </c>
      <c r="F1128" s="11" t="s">
        <v>179</v>
      </c>
      <c r="G1128" s="15">
        <v>46129</v>
      </c>
      <c r="H1128" s="10" t="str">
        <f>IFERROR(INDEX(面试清单!H:H,MATCH(1127,面试清单!P:P,0)),"")</f>
        <v/>
      </c>
      <c r="I1128" s="13" t="s">
        <v>29</v>
      </c>
      <c r="J1128" s="10">
        <f ca="1" t="shared" si="52"/>
        <v>60</v>
      </c>
      <c r="K1128" s="10">
        <f ca="1" t="shared" si="53"/>
        <v>16</v>
      </c>
    </row>
    <row r="1129" ht="18" spans="1:11">
      <c r="A1129" s="14">
        <f t="shared" si="51"/>
        <v>1128</v>
      </c>
      <c r="B1129" s="11" t="s">
        <v>5064</v>
      </c>
      <c r="C1129" s="14" t="str">
        <f>IFERROR(INDEX(面试清单!D:D,MATCH(1128,面试清单!P:P,0)),"")</f>
        <v/>
      </c>
      <c r="D1129" s="11" t="s">
        <v>43</v>
      </c>
      <c r="E1129" s="11" t="s">
        <v>62</v>
      </c>
      <c r="F1129" s="11" t="s">
        <v>103</v>
      </c>
      <c r="G1129" s="15">
        <v>46129</v>
      </c>
      <c r="H1129" s="14" t="str">
        <f>IFERROR(INDEX(面试清单!H:H,MATCH(1128,面试清单!P:P,0)),"")</f>
        <v/>
      </c>
      <c r="I1129" s="13" t="s">
        <v>29</v>
      </c>
      <c r="J1129" s="14">
        <f ca="1" t="shared" si="52"/>
        <v>60</v>
      </c>
      <c r="K1129" s="14">
        <f ca="1" t="shared" si="53"/>
        <v>16</v>
      </c>
    </row>
    <row r="1130" ht="18" spans="1:11">
      <c r="A1130" s="10">
        <f t="shared" si="51"/>
        <v>1129</v>
      </c>
      <c r="B1130" s="11" t="s">
        <v>5065</v>
      </c>
      <c r="C1130" s="10" t="str">
        <f>IFERROR(INDEX(面试清单!D:D,MATCH(1129,面试清单!P:P,0)),"")</f>
        <v/>
      </c>
      <c r="D1130" s="11" t="s">
        <v>43</v>
      </c>
      <c r="E1130" s="11" t="s">
        <v>62</v>
      </c>
      <c r="F1130" s="11" t="s">
        <v>124</v>
      </c>
      <c r="G1130" s="15">
        <v>46129</v>
      </c>
      <c r="H1130" s="10" t="str">
        <f>IFERROR(INDEX(面试清单!H:H,MATCH(1129,面试清单!P:P,0)),"")</f>
        <v/>
      </c>
      <c r="I1130" s="13" t="s">
        <v>29</v>
      </c>
      <c r="J1130" s="10">
        <f ca="1" t="shared" si="52"/>
        <v>60</v>
      </c>
      <c r="K1130" s="10">
        <f ca="1" t="shared" si="53"/>
        <v>16</v>
      </c>
    </row>
    <row r="1131" ht="18" spans="1:11">
      <c r="A1131" s="14">
        <f t="shared" si="51"/>
        <v>1130</v>
      </c>
      <c r="B1131" s="11" t="s">
        <v>5066</v>
      </c>
      <c r="C1131" s="14" t="str">
        <f>IFERROR(INDEX(面试清单!D:D,MATCH(1130,面试清单!P:P,0)),"")</f>
        <v/>
      </c>
      <c r="D1131" s="11" t="s">
        <v>43</v>
      </c>
      <c r="E1131" s="11" t="s">
        <v>63</v>
      </c>
      <c r="F1131" s="11" t="s">
        <v>124</v>
      </c>
      <c r="G1131" s="15">
        <v>46129</v>
      </c>
      <c r="H1131" s="14" t="str">
        <f>IFERROR(INDEX(面试清单!H:H,MATCH(1130,面试清单!P:P,0)),"")</f>
        <v/>
      </c>
      <c r="I1131" s="13" t="s">
        <v>29</v>
      </c>
      <c r="J1131" s="14">
        <f ca="1" t="shared" si="52"/>
        <v>60</v>
      </c>
      <c r="K1131" s="14">
        <f ca="1" t="shared" si="53"/>
        <v>16</v>
      </c>
    </row>
    <row r="1132" ht="18" spans="1:11">
      <c r="A1132" s="10">
        <f t="shared" si="51"/>
        <v>1131</v>
      </c>
      <c r="B1132" s="11" t="s">
        <v>5067</v>
      </c>
      <c r="C1132" s="10" t="str">
        <f>IFERROR(INDEX(面试清单!D:D,MATCH(1131,面试清单!P:P,0)),"")</f>
        <v/>
      </c>
      <c r="D1132" s="11" t="s">
        <v>43</v>
      </c>
      <c r="E1132" s="11" t="s">
        <v>62</v>
      </c>
      <c r="F1132" s="11" t="s">
        <v>124</v>
      </c>
      <c r="G1132" s="15">
        <v>46129</v>
      </c>
      <c r="H1132" s="10" t="str">
        <f>IFERROR(INDEX(面试清单!H:H,MATCH(1131,面试清单!P:P,0)),"")</f>
        <v/>
      </c>
      <c r="I1132" s="13" t="s">
        <v>29</v>
      </c>
      <c r="J1132" s="10">
        <f ca="1" t="shared" si="52"/>
        <v>60</v>
      </c>
      <c r="K1132" s="10">
        <f ca="1" t="shared" si="53"/>
        <v>16</v>
      </c>
    </row>
    <row r="1133" ht="18" spans="1:11">
      <c r="A1133" s="14">
        <f t="shared" si="51"/>
        <v>1132</v>
      </c>
      <c r="B1133" s="11" t="s">
        <v>5068</v>
      </c>
      <c r="C1133" s="14" t="str">
        <f>IFERROR(INDEX(面试清单!D:D,MATCH(1132,面试清单!P:P,0)),"")</f>
        <v/>
      </c>
      <c r="D1133" s="11" t="s">
        <v>43</v>
      </c>
      <c r="E1133" s="11" t="s">
        <v>63</v>
      </c>
      <c r="F1133" s="11" t="s">
        <v>124</v>
      </c>
      <c r="G1133" s="15">
        <v>46129</v>
      </c>
      <c r="H1133" s="14" t="str">
        <f>IFERROR(INDEX(面试清单!H:H,MATCH(1132,面试清单!P:P,0)),"")</f>
        <v/>
      </c>
      <c r="I1133" s="13" t="s">
        <v>29</v>
      </c>
      <c r="J1133" s="14">
        <f ca="1" t="shared" si="52"/>
        <v>60</v>
      </c>
      <c r="K1133" s="14">
        <f ca="1" t="shared" si="53"/>
        <v>16</v>
      </c>
    </row>
    <row r="1134" ht="18" spans="1:11">
      <c r="A1134" s="10">
        <f t="shared" si="51"/>
        <v>1133</v>
      </c>
      <c r="B1134" s="11" t="s">
        <v>5069</v>
      </c>
      <c r="C1134" s="10" t="str">
        <f>IFERROR(INDEX(面试清单!D:D,MATCH(1133,面试清单!P:P,0)),"")</f>
        <v/>
      </c>
      <c r="D1134" s="11" t="s">
        <v>43</v>
      </c>
      <c r="E1134" s="11" t="s">
        <v>62</v>
      </c>
      <c r="F1134" s="11" t="s">
        <v>246</v>
      </c>
      <c r="G1134" s="15">
        <v>46129</v>
      </c>
      <c r="H1134" s="10" t="str">
        <f>IFERROR(INDEX(面试清单!H:H,MATCH(1133,面试清单!P:P,0)),"")</f>
        <v/>
      </c>
      <c r="I1134" s="13" t="s">
        <v>29</v>
      </c>
      <c r="J1134" s="10">
        <f ca="1" t="shared" si="52"/>
        <v>60</v>
      </c>
      <c r="K1134" s="10">
        <f ca="1" t="shared" si="53"/>
        <v>16</v>
      </c>
    </row>
    <row r="1135" ht="18" spans="1:11">
      <c r="A1135" s="14">
        <f t="shared" si="51"/>
        <v>1134</v>
      </c>
      <c r="B1135" s="11" t="s">
        <v>5070</v>
      </c>
      <c r="C1135" s="14" t="str">
        <f>IFERROR(INDEX(面试清单!D:D,MATCH(1134,面试清单!P:P,0)),"")</f>
        <v/>
      </c>
      <c r="D1135" s="11" t="s">
        <v>43</v>
      </c>
      <c r="E1135" s="11" t="s">
        <v>63</v>
      </c>
      <c r="F1135" s="11" t="s">
        <v>246</v>
      </c>
      <c r="G1135" s="15">
        <v>46129</v>
      </c>
      <c r="H1135" s="14" t="str">
        <f>IFERROR(INDEX(面试清单!H:H,MATCH(1134,面试清单!P:P,0)),"")</f>
        <v/>
      </c>
      <c r="I1135" s="13" t="s">
        <v>29</v>
      </c>
      <c r="J1135" s="14">
        <f ca="1" t="shared" si="52"/>
        <v>60</v>
      </c>
      <c r="K1135" s="14">
        <f ca="1" t="shared" si="53"/>
        <v>16</v>
      </c>
    </row>
    <row r="1136" ht="18" spans="1:11">
      <c r="A1136" s="10">
        <f t="shared" si="51"/>
        <v>1135</v>
      </c>
      <c r="B1136" s="11" t="s">
        <v>5071</v>
      </c>
      <c r="C1136" s="10" t="str">
        <f>IFERROR(INDEX(面试清单!D:D,MATCH(1135,面试清单!P:P,0)),"")</f>
        <v/>
      </c>
      <c r="D1136" s="11" t="s">
        <v>43</v>
      </c>
      <c r="E1136" s="11" t="s">
        <v>63</v>
      </c>
      <c r="F1136" s="11" t="s">
        <v>246</v>
      </c>
      <c r="G1136" s="15">
        <v>46129</v>
      </c>
      <c r="H1136" s="10" t="str">
        <f>IFERROR(INDEX(面试清单!H:H,MATCH(1135,面试清单!P:P,0)),"")</f>
        <v/>
      </c>
      <c r="I1136" s="13" t="s">
        <v>29</v>
      </c>
      <c r="J1136" s="10">
        <f ca="1" t="shared" si="52"/>
        <v>60</v>
      </c>
      <c r="K1136" s="10">
        <f ca="1" t="shared" si="53"/>
        <v>16</v>
      </c>
    </row>
    <row r="1137" ht="18" spans="1:11">
      <c r="A1137" s="14">
        <f t="shared" si="51"/>
        <v>1136</v>
      </c>
      <c r="B1137" s="11" t="s">
        <v>5072</v>
      </c>
      <c r="C1137" s="14" t="str">
        <f>IFERROR(INDEX(面试清单!D:D,MATCH(1136,面试清单!P:P,0)),"")</f>
        <v/>
      </c>
      <c r="D1137" s="11" t="s">
        <v>43</v>
      </c>
      <c r="E1137" s="11" t="s">
        <v>63</v>
      </c>
      <c r="F1137" s="11" t="s">
        <v>132</v>
      </c>
      <c r="G1137" s="15">
        <v>46129</v>
      </c>
      <c r="H1137" s="14" t="str">
        <f>IFERROR(INDEX(面试清单!H:H,MATCH(1136,面试清单!P:P,0)),"")</f>
        <v/>
      </c>
      <c r="I1137" s="13" t="s">
        <v>29</v>
      </c>
      <c r="J1137" s="14">
        <f ca="1" t="shared" si="52"/>
        <v>60</v>
      </c>
      <c r="K1137" s="14">
        <f ca="1" t="shared" si="53"/>
        <v>16</v>
      </c>
    </row>
    <row r="1138" ht="18" spans="1:11">
      <c r="A1138" s="10">
        <f t="shared" si="51"/>
        <v>1137</v>
      </c>
      <c r="B1138" s="11" t="s">
        <v>5073</v>
      </c>
      <c r="C1138" s="10" t="str">
        <f>IFERROR(INDEX(面试清单!D:D,MATCH(1137,面试清单!P:P,0)),"")</f>
        <v/>
      </c>
      <c r="D1138" s="11" t="s">
        <v>43</v>
      </c>
      <c r="E1138" s="11" t="s">
        <v>63</v>
      </c>
      <c r="F1138" s="11" t="s">
        <v>173</v>
      </c>
      <c r="G1138" s="15">
        <v>46129</v>
      </c>
      <c r="H1138" s="10" t="str">
        <f>IFERROR(INDEX(面试清单!H:H,MATCH(1137,面试清单!P:P,0)),"")</f>
        <v/>
      </c>
      <c r="I1138" s="13" t="s">
        <v>29</v>
      </c>
      <c r="J1138" s="10">
        <f ca="1" t="shared" si="52"/>
        <v>60</v>
      </c>
      <c r="K1138" s="10">
        <f ca="1" t="shared" si="53"/>
        <v>16</v>
      </c>
    </row>
    <row r="1139" ht="18" spans="1:11">
      <c r="A1139" s="14">
        <f t="shared" si="51"/>
        <v>1138</v>
      </c>
      <c r="B1139" s="11" t="s">
        <v>5074</v>
      </c>
      <c r="C1139" s="14" t="str">
        <f>IFERROR(INDEX(面试清单!D:D,MATCH(1138,面试清单!P:P,0)),"")</f>
        <v/>
      </c>
      <c r="D1139" s="11" t="s">
        <v>42</v>
      </c>
      <c r="E1139" s="11" t="s">
        <v>62</v>
      </c>
      <c r="F1139" s="11" t="s">
        <v>173</v>
      </c>
      <c r="G1139" s="15">
        <v>46129</v>
      </c>
      <c r="H1139" s="14" t="str">
        <f>IFERROR(INDEX(面试清单!H:H,MATCH(1138,面试清单!P:P,0)),"")</f>
        <v/>
      </c>
      <c r="I1139" s="13" t="s">
        <v>29</v>
      </c>
      <c r="J1139" s="14">
        <f ca="1" t="shared" si="52"/>
        <v>60</v>
      </c>
      <c r="K1139" s="14">
        <f ca="1" t="shared" si="53"/>
        <v>16</v>
      </c>
    </row>
    <row r="1140" ht="18" spans="1:11">
      <c r="A1140" s="10">
        <f t="shared" si="51"/>
        <v>1139</v>
      </c>
      <c r="B1140" s="11" t="s">
        <v>5075</v>
      </c>
      <c r="C1140" s="10" t="str">
        <f>IFERROR(INDEX(面试清单!D:D,MATCH(1139,面试清单!P:P,0)),"")</f>
        <v/>
      </c>
      <c r="D1140" s="11" t="s">
        <v>43</v>
      </c>
      <c r="E1140" s="11" t="s">
        <v>62</v>
      </c>
      <c r="F1140" s="11" t="s">
        <v>129</v>
      </c>
      <c r="G1140" s="15">
        <v>46129</v>
      </c>
      <c r="H1140" s="10" t="str">
        <f>IFERROR(INDEX(面试清单!H:H,MATCH(1139,面试清单!P:P,0)),"")</f>
        <v/>
      </c>
      <c r="I1140" s="13" t="s">
        <v>29</v>
      </c>
      <c r="J1140" s="10">
        <f ca="1" t="shared" si="52"/>
        <v>60</v>
      </c>
      <c r="K1140" s="10">
        <f ca="1" t="shared" si="53"/>
        <v>16</v>
      </c>
    </row>
    <row r="1141" ht="18" spans="1:11">
      <c r="A1141" s="14">
        <f t="shared" si="51"/>
        <v>1140</v>
      </c>
      <c r="B1141" s="11" t="s">
        <v>5076</v>
      </c>
      <c r="C1141" s="14" t="str">
        <f>IFERROR(INDEX(面试清单!D:D,MATCH(1140,面试清单!P:P,0)),"")</f>
        <v/>
      </c>
      <c r="D1141" s="11" t="s">
        <v>43</v>
      </c>
      <c r="E1141" s="11" t="s">
        <v>63</v>
      </c>
      <c r="F1141" s="11" t="s">
        <v>117</v>
      </c>
      <c r="G1141" s="15">
        <v>46129</v>
      </c>
      <c r="H1141" s="14" t="str">
        <f>IFERROR(INDEX(面试清单!H:H,MATCH(1140,面试清单!P:P,0)),"")</f>
        <v/>
      </c>
      <c r="I1141" s="13" t="s">
        <v>29</v>
      </c>
      <c r="J1141" s="14">
        <f ca="1" t="shared" si="52"/>
        <v>60</v>
      </c>
      <c r="K1141" s="14">
        <f ca="1" t="shared" si="53"/>
        <v>16</v>
      </c>
    </row>
    <row r="1142" ht="18" spans="1:11">
      <c r="A1142" s="10">
        <f t="shared" si="51"/>
        <v>1141</v>
      </c>
      <c r="B1142" s="11" t="s">
        <v>5077</v>
      </c>
      <c r="C1142" s="10" t="str">
        <f>IFERROR(INDEX(面试清单!D:D,MATCH(1141,面试清单!P:P,0)),"")</f>
        <v/>
      </c>
      <c r="D1142" s="11" t="s">
        <v>43</v>
      </c>
      <c r="E1142" s="11" t="s">
        <v>63</v>
      </c>
      <c r="F1142" s="11" t="s">
        <v>129</v>
      </c>
      <c r="G1142" s="15">
        <v>46129</v>
      </c>
      <c r="H1142" s="10" t="str">
        <f>IFERROR(INDEX(面试清单!H:H,MATCH(1141,面试清单!P:P,0)),"")</f>
        <v/>
      </c>
      <c r="I1142" s="13" t="s">
        <v>29</v>
      </c>
      <c r="J1142" s="10">
        <f ca="1" t="shared" si="52"/>
        <v>60</v>
      </c>
      <c r="K1142" s="10">
        <f ca="1" t="shared" si="53"/>
        <v>16</v>
      </c>
    </row>
    <row r="1143" ht="18" spans="1:11">
      <c r="A1143" s="14">
        <f t="shared" si="51"/>
        <v>1142</v>
      </c>
      <c r="B1143" s="11" t="s">
        <v>5078</v>
      </c>
      <c r="C1143" s="14" t="str">
        <f>IFERROR(INDEX(面试清单!D:D,MATCH(1142,面试清单!P:P,0)),"")</f>
        <v/>
      </c>
      <c r="D1143" s="11" t="s">
        <v>42</v>
      </c>
      <c r="E1143" s="11" t="s">
        <v>62</v>
      </c>
      <c r="F1143" s="11" t="s">
        <v>129</v>
      </c>
      <c r="G1143" s="15">
        <v>46129</v>
      </c>
      <c r="H1143" s="14" t="str">
        <f>IFERROR(INDEX(面试清单!H:H,MATCH(1142,面试清单!P:P,0)),"")</f>
        <v/>
      </c>
      <c r="I1143" s="13" t="s">
        <v>29</v>
      </c>
      <c r="J1143" s="14">
        <f ca="1" t="shared" si="52"/>
        <v>60</v>
      </c>
      <c r="K1143" s="14">
        <f ca="1" t="shared" si="53"/>
        <v>16</v>
      </c>
    </row>
    <row r="1144" ht="18" spans="1:11">
      <c r="A1144" s="10">
        <f t="shared" si="51"/>
        <v>1143</v>
      </c>
      <c r="B1144" s="11" t="s">
        <v>5079</v>
      </c>
      <c r="C1144" s="10" t="str">
        <f>IFERROR(INDEX(面试清单!D:D,MATCH(1143,面试清单!P:P,0)),"")</f>
        <v/>
      </c>
      <c r="D1144" s="11" t="s">
        <v>42</v>
      </c>
      <c r="E1144" s="11" t="s">
        <v>64</v>
      </c>
      <c r="F1144" s="11" t="s">
        <v>233</v>
      </c>
      <c r="G1144" s="15">
        <v>46129</v>
      </c>
      <c r="H1144" s="10" t="str">
        <f>IFERROR(INDEX(面试清单!H:H,MATCH(1143,面试清单!P:P,0)),"")</f>
        <v/>
      </c>
      <c r="I1144" s="13" t="s">
        <v>29</v>
      </c>
      <c r="J1144" s="10">
        <f ca="1" t="shared" si="52"/>
        <v>60</v>
      </c>
      <c r="K1144" s="10">
        <f ca="1" t="shared" si="53"/>
        <v>16</v>
      </c>
    </row>
    <row r="1145" ht="18" spans="1:11">
      <c r="A1145" s="14">
        <f t="shared" si="51"/>
        <v>1144</v>
      </c>
      <c r="B1145" s="11" t="s">
        <v>5080</v>
      </c>
      <c r="C1145" s="14" t="str">
        <f>IFERROR(INDEX(面试清单!D:D,MATCH(1144,面试清单!P:P,0)),"")</f>
        <v/>
      </c>
      <c r="D1145" s="11" t="s">
        <v>42</v>
      </c>
      <c r="E1145" s="11" t="s">
        <v>63</v>
      </c>
      <c r="F1145" s="11" t="s">
        <v>103</v>
      </c>
      <c r="G1145" s="15">
        <v>46129</v>
      </c>
      <c r="H1145" s="14" t="str">
        <f>IFERROR(INDEX(面试清单!H:H,MATCH(1144,面试清单!P:P,0)),"")</f>
        <v/>
      </c>
      <c r="I1145" s="13" t="s">
        <v>29</v>
      </c>
      <c r="J1145" s="14">
        <f ca="1" t="shared" si="52"/>
        <v>60</v>
      </c>
      <c r="K1145" s="14">
        <f ca="1" t="shared" si="53"/>
        <v>16</v>
      </c>
    </row>
    <row r="1146" ht="18" spans="1:11">
      <c r="A1146" s="10">
        <f t="shared" si="51"/>
        <v>1145</v>
      </c>
      <c r="B1146" s="11" t="s">
        <v>5081</v>
      </c>
      <c r="C1146" s="10" t="str">
        <f>IFERROR(INDEX(面试清单!D:D,MATCH(1145,面试清单!P:P,0)),"")</f>
        <v/>
      </c>
      <c r="D1146" s="11" t="s">
        <v>42</v>
      </c>
      <c r="E1146" s="11" t="s">
        <v>64</v>
      </c>
      <c r="F1146" s="11" t="s">
        <v>509</v>
      </c>
      <c r="G1146" s="15">
        <v>46129</v>
      </c>
      <c r="H1146" s="10" t="str">
        <f>IFERROR(INDEX(面试清单!H:H,MATCH(1145,面试清单!P:P,0)),"")</f>
        <v/>
      </c>
      <c r="I1146" s="13" t="s">
        <v>29</v>
      </c>
      <c r="J1146" s="10">
        <f ca="1" t="shared" si="52"/>
        <v>60</v>
      </c>
      <c r="K1146" s="10">
        <f ca="1" t="shared" si="53"/>
        <v>16</v>
      </c>
    </row>
    <row r="1147" ht="18" spans="1:11">
      <c r="A1147" s="14">
        <f t="shared" si="51"/>
        <v>1146</v>
      </c>
      <c r="B1147" s="11" t="s">
        <v>5082</v>
      </c>
      <c r="C1147" s="14" t="str">
        <f>IFERROR(INDEX(面试清单!D:D,MATCH(1146,面试清单!P:P,0)),"")</f>
        <v/>
      </c>
      <c r="D1147" s="11" t="s">
        <v>74</v>
      </c>
      <c r="E1147" s="11" t="s">
        <v>64</v>
      </c>
      <c r="F1147" s="11" t="s">
        <v>148</v>
      </c>
      <c r="G1147" s="15">
        <v>46129</v>
      </c>
      <c r="H1147" s="14" t="str">
        <f>IFERROR(INDEX(面试清单!H:H,MATCH(1146,面试清单!P:P,0)),"")</f>
        <v/>
      </c>
      <c r="I1147" s="13" t="s">
        <v>29</v>
      </c>
      <c r="J1147" s="14">
        <f ca="1" t="shared" si="52"/>
        <v>60</v>
      </c>
      <c r="K1147" s="14">
        <f ca="1" t="shared" si="53"/>
        <v>16</v>
      </c>
    </row>
    <row r="1148" ht="18" spans="1:11">
      <c r="A1148" s="10">
        <f t="shared" si="51"/>
        <v>1147</v>
      </c>
      <c r="B1148" s="11" t="s">
        <v>5083</v>
      </c>
      <c r="C1148" s="10" t="str">
        <f>IFERROR(INDEX(面试清单!D:D,MATCH(1147,面试清单!P:P,0)),"")</f>
        <v/>
      </c>
      <c r="D1148" s="11" t="s">
        <v>74</v>
      </c>
      <c r="E1148" s="11" t="s">
        <v>64</v>
      </c>
      <c r="F1148" s="11" t="s">
        <v>148</v>
      </c>
      <c r="G1148" s="15">
        <v>46129</v>
      </c>
      <c r="H1148" s="10" t="str">
        <f>IFERROR(INDEX(面试清单!H:H,MATCH(1147,面试清单!P:P,0)),"")</f>
        <v/>
      </c>
      <c r="I1148" s="13" t="s">
        <v>29</v>
      </c>
      <c r="J1148" s="10">
        <f ca="1" t="shared" si="52"/>
        <v>60</v>
      </c>
      <c r="K1148" s="10">
        <f ca="1" t="shared" si="53"/>
        <v>16</v>
      </c>
    </row>
    <row r="1149" ht="18" spans="1:11">
      <c r="A1149" s="14">
        <f t="shared" si="51"/>
        <v>1148</v>
      </c>
      <c r="B1149" s="11" t="s">
        <v>5084</v>
      </c>
      <c r="C1149" s="14" t="str">
        <f>IFERROR(INDEX(面试清单!D:D,MATCH(1148,面试清单!P:P,0)),"")</f>
        <v/>
      </c>
      <c r="D1149" s="11" t="s">
        <v>74</v>
      </c>
      <c r="E1149" s="11" t="s">
        <v>64</v>
      </c>
      <c r="F1149" s="11" t="s">
        <v>148</v>
      </c>
      <c r="G1149" s="15">
        <v>46129</v>
      </c>
      <c r="H1149" s="14" t="str">
        <f>IFERROR(INDEX(面试清单!H:H,MATCH(1148,面试清单!P:P,0)),"")</f>
        <v/>
      </c>
      <c r="I1149" s="13" t="s">
        <v>29</v>
      </c>
      <c r="J1149" s="14">
        <f ca="1" t="shared" si="52"/>
        <v>60</v>
      </c>
      <c r="K1149" s="14">
        <f ca="1" t="shared" si="53"/>
        <v>16</v>
      </c>
    </row>
    <row r="1150" ht="18" spans="1:11">
      <c r="A1150" s="10">
        <f t="shared" si="51"/>
        <v>1149</v>
      </c>
      <c r="B1150" s="11" t="s">
        <v>5085</v>
      </c>
      <c r="C1150" s="10" t="str">
        <f>IFERROR(INDEX(面试清单!D:D,MATCH(1149,面试清单!P:P,0)),"")</f>
        <v/>
      </c>
      <c r="D1150" s="11" t="s">
        <v>43</v>
      </c>
      <c r="E1150" s="11" t="s">
        <v>62</v>
      </c>
      <c r="F1150" s="11" t="s">
        <v>173</v>
      </c>
      <c r="G1150" s="15">
        <v>46129</v>
      </c>
      <c r="H1150" s="10" t="str">
        <f>IFERROR(INDEX(面试清单!H:H,MATCH(1149,面试清单!P:P,0)),"")</f>
        <v/>
      </c>
      <c r="I1150" s="13" t="s">
        <v>29</v>
      </c>
      <c r="J1150" s="10">
        <f ca="1" t="shared" si="52"/>
        <v>60</v>
      </c>
      <c r="K1150" s="10">
        <f ca="1" t="shared" si="53"/>
        <v>16</v>
      </c>
    </row>
    <row r="1151" ht="18" spans="1:11">
      <c r="A1151" s="14">
        <f t="shared" si="51"/>
        <v>1150</v>
      </c>
      <c r="B1151" s="11" t="s">
        <v>5086</v>
      </c>
      <c r="C1151" s="14" t="str">
        <f>IFERROR(INDEX(面试清单!D:D,MATCH(1150,面试清单!P:P,0)),"")</f>
        <v/>
      </c>
      <c r="D1151" s="11" t="s">
        <v>42</v>
      </c>
      <c r="E1151" s="11" t="s">
        <v>62</v>
      </c>
      <c r="F1151" s="11" t="s">
        <v>505</v>
      </c>
      <c r="G1151" s="15">
        <v>46129</v>
      </c>
      <c r="H1151" s="14" t="str">
        <f>IFERROR(INDEX(面试清单!H:H,MATCH(1150,面试清单!P:P,0)),"")</f>
        <v/>
      </c>
      <c r="I1151" s="13" t="s">
        <v>29</v>
      </c>
      <c r="J1151" s="14">
        <f ca="1" t="shared" si="52"/>
        <v>60</v>
      </c>
      <c r="K1151" s="14">
        <f ca="1" t="shared" si="53"/>
        <v>16</v>
      </c>
    </row>
    <row r="1152" ht="18" spans="1:11">
      <c r="A1152" s="10">
        <f t="shared" si="51"/>
        <v>1151</v>
      </c>
      <c r="B1152" s="11" t="s">
        <v>5087</v>
      </c>
      <c r="C1152" s="10" t="str">
        <f>IFERROR(INDEX(面试清单!D:D,MATCH(1151,面试清单!P:P,0)),"")</f>
        <v/>
      </c>
      <c r="D1152" s="11" t="s">
        <v>74</v>
      </c>
      <c r="E1152" s="11" t="s">
        <v>64</v>
      </c>
      <c r="F1152" s="11" t="s">
        <v>246</v>
      </c>
      <c r="G1152" s="15">
        <v>46129</v>
      </c>
      <c r="H1152" s="10" t="str">
        <f>IFERROR(INDEX(面试清单!H:H,MATCH(1151,面试清单!P:P,0)),"")</f>
        <v/>
      </c>
      <c r="I1152" s="13" t="s">
        <v>29</v>
      </c>
      <c r="J1152" s="10">
        <f ca="1" t="shared" si="52"/>
        <v>60</v>
      </c>
      <c r="K1152" s="10">
        <f ca="1" t="shared" si="53"/>
        <v>16</v>
      </c>
    </row>
    <row r="1153" ht="18" spans="1:11">
      <c r="A1153" s="14">
        <f t="shared" si="51"/>
        <v>1152</v>
      </c>
      <c r="B1153" s="11" t="s">
        <v>5088</v>
      </c>
      <c r="C1153" s="14" t="str">
        <f>IFERROR(INDEX(面试清单!D:D,MATCH(1152,面试清单!P:P,0)),"")</f>
        <v/>
      </c>
      <c r="D1153" s="11" t="s">
        <v>74</v>
      </c>
      <c r="E1153" s="11" t="s">
        <v>64</v>
      </c>
      <c r="F1153" s="11" t="s">
        <v>246</v>
      </c>
      <c r="G1153" s="15">
        <v>46129</v>
      </c>
      <c r="H1153" s="14" t="str">
        <f>IFERROR(INDEX(面试清单!H:H,MATCH(1152,面试清单!P:P,0)),"")</f>
        <v/>
      </c>
      <c r="I1153" s="13" t="s">
        <v>29</v>
      </c>
      <c r="J1153" s="14">
        <f ca="1" t="shared" si="52"/>
        <v>60</v>
      </c>
      <c r="K1153" s="14">
        <f ca="1" t="shared" si="53"/>
        <v>16</v>
      </c>
    </row>
    <row r="1154" ht="18" spans="1:11">
      <c r="A1154" s="10">
        <f t="shared" ref="A1154:A1217" si="54">IF(B1154&lt;&gt;"",ROW()-1,"")</f>
        <v>1153</v>
      </c>
      <c r="B1154" s="11" t="s">
        <v>5089</v>
      </c>
      <c r="C1154" s="10" t="str">
        <f>IFERROR(INDEX(面试清单!D:D,MATCH(1153,面试清单!P:P,0)),"")</f>
        <v/>
      </c>
      <c r="D1154" s="11" t="s">
        <v>74</v>
      </c>
      <c r="E1154" s="11" t="s">
        <v>64</v>
      </c>
      <c r="F1154" s="11" t="s">
        <v>246</v>
      </c>
      <c r="G1154" s="15">
        <v>46129</v>
      </c>
      <c r="H1154" s="10" t="str">
        <f>IFERROR(INDEX(面试清单!H:H,MATCH(1153,面试清单!P:P,0)),"")</f>
        <v/>
      </c>
      <c r="I1154" s="13" t="s">
        <v>29</v>
      </c>
      <c r="J1154" s="10">
        <f ca="1" t="shared" ref="J1154:J1217" si="55">IF(G1154&lt;&gt;"",TODAY()-G1154,"")</f>
        <v>60</v>
      </c>
      <c r="K1154" s="10">
        <f ca="1" t="shared" ref="K1154:K1217" si="56">IF(G1154&lt;&gt;"",MAX(0,MIN(TODAY(),EOMONTH(TODAY(),0))-MAX(G1154,EOMONTH(TODAY(),-1)+1)+1),"")</f>
        <v>16</v>
      </c>
    </row>
    <row r="1155" ht="18" spans="1:11">
      <c r="A1155" s="14">
        <f t="shared" si="54"/>
        <v>1154</v>
      </c>
      <c r="B1155" s="11" t="s">
        <v>5090</v>
      </c>
      <c r="C1155" s="14" t="str">
        <f>IFERROR(INDEX(面试清单!D:D,MATCH(1154,面试清单!P:P,0)),"")</f>
        <v/>
      </c>
      <c r="D1155" s="11" t="s">
        <v>74</v>
      </c>
      <c r="E1155" s="11" t="s">
        <v>64</v>
      </c>
      <c r="F1155" s="11" t="s">
        <v>246</v>
      </c>
      <c r="G1155" s="15">
        <v>46129</v>
      </c>
      <c r="H1155" s="14" t="str">
        <f>IFERROR(INDEX(面试清单!H:H,MATCH(1154,面试清单!P:P,0)),"")</f>
        <v/>
      </c>
      <c r="I1155" s="13" t="s">
        <v>29</v>
      </c>
      <c r="J1155" s="14">
        <f ca="1" t="shared" si="55"/>
        <v>60</v>
      </c>
      <c r="K1155" s="14">
        <f ca="1" t="shared" si="56"/>
        <v>16</v>
      </c>
    </row>
    <row r="1156" ht="18" spans="1:11">
      <c r="A1156" s="10">
        <f t="shared" si="54"/>
        <v>1155</v>
      </c>
      <c r="B1156" s="11" t="s">
        <v>5091</v>
      </c>
      <c r="C1156" s="10" t="str">
        <f>IFERROR(INDEX(面试清单!D:D,MATCH(1155,面试清单!P:P,0)),"")</f>
        <v/>
      </c>
      <c r="D1156" s="11" t="s">
        <v>74</v>
      </c>
      <c r="E1156" s="11" t="s">
        <v>64</v>
      </c>
      <c r="F1156" s="11" t="s">
        <v>246</v>
      </c>
      <c r="G1156" s="15">
        <v>46129</v>
      </c>
      <c r="H1156" s="10" t="str">
        <f>IFERROR(INDEX(面试清单!H:H,MATCH(1155,面试清单!P:P,0)),"")</f>
        <v/>
      </c>
      <c r="I1156" s="13" t="s">
        <v>29</v>
      </c>
      <c r="J1156" s="10">
        <f ca="1" t="shared" si="55"/>
        <v>60</v>
      </c>
      <c r="K1156" s="10">
        <f ca="1" t="shared" si="56"/>
        <v>16</v>
      </c>
    </row>
    <row r="1157" ht="18" spans="1:11">
      <c r="A1157" s="14">
        <f t="shared" si="54"/>
        <v>1156</v>
      </c>
      <c r="B1157" s="11" t="s">
        <v>5092</v>
      </c>
      <c r="C1157" s="14" t="str">
        <f>IFERROR(INDEX(面试清单!D:D,MATCH(1156,面试清单!P:P,0)),"")</f>
        <v/>
      </c>
      <c r="D1157" s="11" t="s">
        <v>42</v>
      </c>
      <c r="E1157" s="11" t="s">
        <v>63</v>
      </c>
      <c r="F1157" s="11" t="s">
        <v>176</v>
      </c>
      <c r="G1157" s="15">
        <v>46130</v>
      </c>
      <c r="H1157" s="14" t="str">
        <f>IFERROR(INDEX(面试清单!H:H,MATCH(1156,面试清单!P:P,0)),"")</f>
        <v/>
      </c>
      <c r="I1157" s="13" t="s">
        <v>29</v>
      </c>
      <c r="J1157" s="14">
        <f ca="1" t="shared" si="55"/>
        <v>59</v>
      </c>
      <c r="K1157" s="14">
        <f ca="1" t="shared" si="56"/>
        <v>16</v>
      </c>
    </row>
    <row r="1158" ht="18" spans="1:11">
      <c r="A1158" s="10">
        <f t="shared" si="54"/>
        <v>1157</v>
      </c>
      <c r="B1158" s="11" t="s">
        <v>5093</v>
      </c>
      <c r="C1158" s="10" t="str">
        <f>IFERROR(INDEX(面试清单!D:D,MATCH(1157,面试清单!P:P,0)),"")</f>
        <v/>
      </c>
      <c r="D1158" s="11" t="s">
        <v>42</v>
      </c>
      <c r="E1158" s="11" t="s">
        <v>62</v>
      </c>
      <c r="F1158" s="11" t="s">
        <v>129</v>
      </c>
      <c r="G1158" s="15">
        <v>46130</v>
      </c>
      <c r="H1158" s="10" t="str">
        <f>IFERROR(INDEX(面试清单!H:H,MATCH(1157,面试清单!P:P,0)),"")</f>
        <v/>
      </c>
      <c r="I1158" s="13" t="s">
        <v>29</v>
      </c>
      <c r="J1158" s="10">
        <f ca="1" t="shared" si="55"/>
        <v>59</v>
      </c>
      <c r="K1158" s="10">
        <f ca="1" t="shared" si="56"/>
        <v>16</v>
      </c>
    </row>
    <row r="1159" ht="18" spans="1:11">
      <c r="A1159" s="14">
        <f t="shared" si="54"/>
        <v>1158</v>
      </c>
      <c r="B1159" s="11" t="s">
        <v>5094</v>
      </c>
      <c r="C1159" s="14" t="str">
        <f>IFERROR(INDEX(面试清单!D:D,MATCH(1158,面试清单!P:P,0)),"")</f>
        <v/>
      </c>
      <c r="D1159" s="11" t="s">
        <v>43</v>
      </c>
      <c r="E1159" s="11" t="s">
        <v>63</v>
      </c>
      <c r="F1159" s="11" t="s">
        <v>129</v>
      </c>
      <c r="G1159" s="15">
        <v>46130</v>
      </c>
      <c r="H1159" s="14" t="str">
        <f>IFERROR(INDEX(面试清单!H:H,MATCH(1158,面试清单!P:P,0)),"")</f>
        <v/>
      </c>
      <c r="I1159" s="13" t="s">
        <v>29</v>
      </c>
      <c r="J1159" s="14">
        <f ca="1" t="shared" si="55"/>
        <v>59</v>
      </c>
      <c r="K1159" s="14">
        <f ca="1" t="shared" si="56"/>
        <v>16</v>
      </c>
    </row>
    <row r="1160" ht="18" spans="1:11">
      <c r="A1160" s="10">
        <f t="shared" si="54"/>
        <v>1159</v>
      </c>
      <c r="B1160" s="11" t="s">
        <v>5095</v>
      </c>
      <c r="C1160" s="10" t="str">
        <f>IFERROR(INDEX(面试清单!D:D,MATCH(1159,面试清单!P:P,0)),"")</f>
        <v/>
      </c>
      <c r="D1160" s="11" t="s">
        <v>43</v>
      </c>
      <c r="E1160" s="11" t="s">
        <v>63</v>
      </c>
      <c r="F1160" s="11" t="s">
        <v>129</v>
      </c>
      <c r="G1160" s="15">
        <v>46130</v>
      </c>
      <c r="H1160" s="10" t="str">
        <f>IFERROR(INDEX(面试清单!H:H,MATCH(1159,面试清单!P:P,0)),"")</f>
        <v/>
      </c>
      <c r="I1160" s="13" t="s">
        <v>29</v>
      </c>
      <c r="J1160" s="10">
        <f ca="1" t="shared" si="55"/>
        <v>59</v>
      </c>
      <c r="K1160" s="10">
        <f ca="1" t="shared" si="56"/>
        <v>16</v>
      </c>
    </row>
    <row r="1161" ht="18" spans="1:11">
      <c r="A1161" s="14">
        <f t="shared" si="54"/>
        <v>1160</v>
      </c>
      <c r="B1161" s="11" t="s">
        <v>2885</v>
      </c>
      <c r="C1161" s="14" t="str">
        <f>IFERROR(INDEX(面试清单!D:D,MATCH(1160,面试清单!P:P,0)),"")</f>
        <v/>
      </c>
      <c r="D1161" s="11" t="s">
        <v>42</v>
      </c>
      <c r="E1161" s="11" t="s">
        <v>63</v>
      </c>
      <c r="F1161" s="11" t="s">
        <v>129</v>
      </c>
      <c r="G1161" s="15">
        <v>46130</v>
      </c>
      <c r="H1161" s="14" t="str">
        <f>IFERROR(INDEX(面试清单!H:H,MATCH(1160,面试清单!P:P,0)),"")</f>
        <v/>
      </c>
      <c r="I1161" s="13" t="s">
        <v>29</v>
      </c>
      <c r="J1161" s="14">
        <f ca="1" t="shared" si="55"/>
        <v>59</v>
      </c>
      <c r="K1161" s="14">
        <f ca="1" t="shared" si="56"/>
        <v>16</v>
      </c>
    </row>
    <row r="1162" ht="18" spans="1:11">
      <c r="A1162" s="10">
        <f t="shared" si="54"/>
        <v>1161</v>
      </c>
      <c r="B1162" s="11" t="s">
        <v>5096</v>
      </c>
      <c r="C1162" s="10" t="str">
        <f>IFERROR(INDEX(面试清单!D:D,MATCH(1161,面试清单!P:P,0)),"")</f>
        <v/>
      </c>
      <c r="D1162" s="11" t="s">
        <v>42</v>
      </c>
      <c r="E1162" s="11" t="s">
        <v>63</v>
      </c>
      <c r="F1162" s="11" t="s">
        <v>129</v>
      </c>
      <c r="G1162" s="15">
        <v>46130</v>
      </c>
      <c r="H1162" s="10" t="str">
        <f>IFERROR(INDEX(面试清单!H:H,MATCH(1161,面试清单!P:P,0)),"")</f>
        <v/>
      </c>
      <c r="I1162" s="13" t="s">
        <v>29</v>
      </c>
      <c r="J1162" s="10">
        <f ca="1" t="shared" si="55"/>
        <v>59</v>
      </c>
      <c r="K1162" s="10">
        <f ca="1" t="shared" si="56"/>
        <v>16</v>
      </c>
    </row>
    <row r="1163" ht="18" spans="1:11">
      <c r="A1163" s="14">
        <f t="shared" si="54"/>
        <v>1162</v>
      </c>
      <c r="B1163" s="11" t="s">
        <v>5097</v>
      </c>
      <c r="C1163" s="14" t="str">
        <f>IFERROR(INDEX(面试清单!D:D,MATCH(1162,面试清单!P:P,0)),"")</f>
        <v/>
      </c>
      <c r="D1163" s="11" t="s">
        <v>42</v>
      </c>
      <c r="E1163" s="11" t="s">
        <v>63</v>
      </c>
      <c r="F1163" s="11" t="s">
        <v>129</v>
      </c>
      <c r="G1163" s="15">
        <v>46130</v>
      </c>
      <c r="H1163" s="14" t="str">
        <f>IFERROR(INDEX(面试清单!H:H,MATCH(1162,面试清单!P:P,0)),"")</f>
        <v/>
      </c>
      <c r="I1163" s="13" t="s">
        <v>29</v>
      </c>
      <c r="J1163" s="14">
        <f ca="1" t="shared" si="55"/>
        <v>59</v>
      </c>
      <c r="K1163" s="14">
        <f ca="1" t="shared" si="56"/>
        <v>16</v>
      </c>
    </row>
    <row r="1164" ht="18" spans="1:11">
      <c r="A1164" s="10">
        <f t="shared" si="54"/>
        <v>1163</v>
      </c>
      <c r="B1164" s="11" t="s">
        <v>5098</v>
      </c>
      <c r="C1164" s="10" t="str">
        <f>IFERROR(INDEX(面试清单!D:D,MATCH(1163,面试清单!P:P,0)),"")</f>
        <v/>
      </c>
      <c r="D1164" s="11" t="s">
        <v>43</v>
      </c>
      <c r="E1164" s="11" t="s">
        <v>62</v>
      </c>
      <c r="F1164" s="11" t="s">
        <v>103</v>
      </c>
      <c r="G1164" s="15">
        <v>46130</v>
      </c>
      <c r="H1164" s="10" t="str">
        <f>IFERROR(INDEX(面试清单!H:H,MATCH(1163,面试清单!P:P,0)),"")</f>
        <v/>
      </c>
      <c r="I1164" s="13" t="s">
        <v>29</v>
      </c>
      <c r="J1164" s="10">
        <f ca="1" t="shared" si="55"/>
        <v>59</v>
      </c>
      <c r="K1164" s="10">
        <f ca="1" t="shared" si="56"/>
        <v>16</v>
      </c>
    </row>
    <row r="1165" ht="18" spans="1:11">
      <c r="A1165" s="14">
        <f t="shared" si="54"/>
        <v>1164</v>
      </c>
      <c r="B1165" s="11" t="s">
        <v>5099</v>
      </c>
      <c r="C1165" s="14" t="str">
        <f>IFERROR(INDEX(面试清单!D:D,MATCH(1164,面试清单!P:P,0)),"")</f>
        <v/>
      </c>
      <c r="D1165" s="11" t="s">
        <v>42</v>
      </c>
      <c r="E1165" s="11" t="s">
        <v>62</v>
      </c>
      <c r="F1165" s="11" t="s">
        <v>233</v>
      </c>
      <c r="G1165" s="15">
        <v>46130</v>
      </c>
      <c r="H1165" s="14" t="str">
        <f>IFERROR(INDEX(面试清单!H:H,MATCH(1164,面试清单!P:P,0)),"")</f>
        <v/>
      </c>
      <c r="I1165" s="13" t="s">
        <v>29</v>
      </c>
      <c r="J1165" s="14">
        <f ca="1" t="shared" si="55"/>
        <v>59</v>
      </c>
      <c r="K1165" s="14">
        <f ca="1" t="shared" si="56"/>
        <v>16</v>
      </c>
    </row>
    <row r="1166" ht="18" spans="1:11">
      <c r="A1166" s="10">
        <f t="shared" si="54"/>
        <v>1165</v>
      </c>
      <c r="B1166" s="11" t="s">
        <v>5100</v>
      </c>
      <c r="C1166" s="10" t="str">
        <f>IFERROR(INDEX(面试清单!D:D,MATCH(1165,面试清单!P:P,0)),"")</f>
        <v/>
      </c>
      <c r="D1166" s="11" t="s">
        <v>74</v>
      </c>
      <c r="E1166" s="11" t="s">
        <v>64</v>
      </c>
      <c r="F1166" s="11" t="s">
        <v>246</v>
      </c>
      <c r="G1166" s="15">
        <v>46130</v>
      </c>
      <c r="H1166" s="10" t="str">
        <f>IFERROR(INDEX(面试清单!H:H,MATCH(1165,面试清单!P:P,0)),"")</f>
        <v/>
      </c>
      <c r="I1166" s="13" t="s">
        <v>29</v>
      </c>
      <c r="J1166" s="10">
        <f ca="1" t="shared" si="55"/>
        <v>59</v>
      </c>
      <c r="K1166" s="10">
        <f ca="1" t="shared" si="56"/>
        <v>16</v>
      </c>
    </row>
    <row r="1167" ht="18" spans="1:11">
      <c r="A1167" s="14">
        <f t="shared" si="54"/>
        <v>1166</v>
      </c>
      <c r="B1167" s="11" t="s">
        <v>5101</v>
      </c>
      <c r="C1167" s="124" t="str">
        <f>IFERROR(INDEX(面试清单!D:D,MATCH(1166,面试清单!P:P,0)),"")</f>
        <v>0209</v>
      </c>
      <c r="D1167" s="11" t="s">
        <v>74</v>
      </c>
      <c r="E1167" s="11" t="s">
        <v>64</v>
      </c>
      <c r="F1167" s="11" t="s">
        <v>246</v>
      </c>
      <c r="G1167" s="15">
        <v>46130</v>
      </c>
      <c r="H1167" s="14" t="str">
        <f>IFERROR(INDEX(面试清单!H:H,MATCH(1166,面试清单!P:P,0)),"")</f>
        <v>线上</v>
      </c>
      <c r="I1167" s="13" t="s">
        <v>29</v>
      </c>
      <c r="J1167" s="14">
        <f ca="1" t="shared" si="55"/>
        <v>59</v>
      </c>
      <c r="K1167" s="14">
        <f ca="1" t="shared" si="56"/>
        <v>16</v>
      </c>
    </row>
    <row r="1168" ht="18" spans="1:11">
      <c r="A1168" s="10">
        <f t="shared" si="54"/>
        <v>1167</v>
      </c>
      <c r="B1168" s="11" t="s">
        <v>5102</v>
      </c>
      <c r="C1168" s="125" t="str">
        <f>IFERROR(INDEX(面试清单!D:D,MATCH(1167,面试清单!P:P,0)),"")</f>
        <v>0212</v>
      </c>
      <c r="D1168" s="11" t="s">
        <v>74</v>
      </c>
      <c r="E1168" s="11" t="s">
        <v>64</v>
      </c>
      <c r="F1168" s="11" t="s">
        <v>246</v>
      </c>
      <c r="G1168" s="15">
        <v>46130</v>
      </c>
      <c r="H1168" s="10" t="str">
        <f>IFERROR(INDEX(面试清单!H:H,MATCH(1167,面试清单!P:P,0)),"")</f>
        <v>线上</v>
      </c>
      <c r="I1168" s="13" t="s">
        <v>29</v>
      </c>
      <c r="J1168" s="10">
        <f ca="1" t="shared" si="55"/>
        <v>59</v>
      </c>
      <c r="K1168" s="10">
        <f ca="1" t="shared" si="56"/>
        <v>16</v>
      </c>
    </row>
    <row r="1169" ht="18" spans="1:11">
      <c r="A1169" s="14">
        <f t="shared" si="54"/>
        <v>1168</v>
      </c>
      <c r="B1169" s="11" t="s">
        <v>5103</v>
      </c>
      <c r="C1169" s="124" t="str">
        <f>IFERROR(INDEX(面试清单!D:D,MATCH(1168,面试清单!P:P,0)),"")</f>
        <v>0214</v>
      </c>
      <c r="D1169" s="11" t="s">
        <v>74</v>
      </c>
      <c r="E1169" s="11" t="s">
        <v>64</v>
      </c>
      <c r="F1169" s="11" t="s">
        <v>246</v>
      </c>
      <c r="G1169" s="15">
        <v>46130</v>
      </c>
      <c r="H1169" s="14" t="str">
        <f>IFERROR(INDEX(面试清单!H:H,MATCH(1168,面试清单!P:P,0)),"")</f>
        <v>线上</v>
      </c>
      <c r="I1169" s="13" t="s">
        <v>29</v>
      </c>
      <c r="J1169" s="14">
        <f ca="1" t="shared" si="55"/>
        <v>59</v>
      </c>
      <c r="K1169" s="14">
        <f ca="1" t="shared" si="56"/>
        <v>16</v>
      </c>
    </row>
    <row r="1170" ht="18" spans="1:11">
      <c r="A1170" s="10">
        <f t="shared" si="54"/>
        <v>1169</v>
      </c>
      <c r="B1170" s="11" t="s">
        <v>5104</v>
      </c>
      <c r="C1170" s="125" t="str">
        <f>IFERROR(INDEX(面试清单!D:D,MATCH(1169,面试清单!P:P,0)),"")</f>
        <v>0217</v>
      </c>
      <c r="D1170" s="11" t="s">
        <v>43</v>
      </c>
      <c r="E1170" s="11" t="s">
        <v>63</v>
      </c>
      <c r="F1170" s="11" t="s">
        <v>173</v>
      </c>
      <c r="G1170" s="15">
        <v>46130</v>
      </c>
      <c r="H1170" s="10" t="str">
        <f>IFERROR(INDEX(面试清单!H:H,MATCH(1169,面试清单!P:P,0)),"")</f>
        <v>线上</v>
      </c>
      <c r="I1170" s="13" t="s">
        <v>29</v>
      </c>
      <c r="J1170" s="10">
        <f ca="1" t="shared" si="55"/>
        <v>59</v>
      </c>
      <c r="K1170" s="10">
        <f ca="1" t="shared" si="56"/>
        <v>16</v>
      </c>
    </row>
    <row r="1171" ht="18" spans="1:11">
      <c r="A1171" s="14">
        <f t="shared" si="54"/>
        <v>1170</v>
      </c>
      <c r="B1171" s="11" t="s">
        <v>5105</v>
      </c>
      <c r="C1171" s="14" t="str">
        <f>IFERROR(INDEX(面试清单!D:D,MATCH(1170,面试清单!P:P,0)),"")</f>
        <v/>
      </c>
      <c r="D1171" s="11" t="s">
        <v>74</v>
      </c>
      <c r="E1171" s="11" t="s">
        <v>64</v>
      </c>
      <c r="F1171" s="11" t="s">
        <v>117</v>
      </c>
      <c r="G1171" s="15">
        <v>46130</v>
      </c>
      <c r="H1171" s="14" t="str">
        <f>IFERROR(INDEX(面试清单!H:H,MATCH(1170,面试清单!P:P,0)),"")</f>
        <v/>
      </c>
      <c r="I1171" s="13" t="s">
        <v>29</v>
      </c>
      <c r="J1171" s="14">
        <f ca="1" t="shared" si="55"/>
        <v>59</v>
      </c>
      <c r="K1171" s="14">
        <f ca="1" t="shared" si="56"/>
        <v>16</v>
      </c>
    </row>
    <row r="1172" ht="18" spans="1:11">
      <c r="A1172" s="10">
        <f t="shared" si="54"/>
        <v>1171</v>
      </c>
      <c r="B1172" s="11" t="s">
        <v>5106</v>
      </c>
      <c r="C1172" s="10" t="str">
        <f>IFERROR(INDEX(面试清单!D:D,MATCH(1171,面试清单!P:P,0)),"")</f>
        <v/>
      </c>
      <c r="D1172" s="11" t="s">
        <v>74</v>
      </c>
      <c r="E1172" s="11" t="s">
        <v>64</v>
      </c>
      <c r="F1172" s="11" t="s">
        <v>148</v>
      </c>
      <c r="G1172" s="15">
        <v>46130</v>
      </c>
      <c r="H1172" s="10" t="str">
        <f>IFERROR(INDEX(面试清单!H:H,MATCH(1171,面试清单!P:P,0)),"")</f>
        <v/>
      </c>
      <c r="I1172" s="13" t="s">
        <v>29</v>
      </c>
      <c r="J1172" s="10">
        <f ca="1" t="shared" si="55"/>
        <v>59</v>
      </c>
      <c r="K1172" s="10">
        <f ca="1" t="shared" si="56"/>
        <v>16</v>
      </c>
    </row>
    <row r="1173" ht="18" spans="1:11">
      <c r="A1173" s="14">
        <f t="shared" si="54"/>
        <v>1172</v>
      </c>
      <c r="B1173" s="11" t="s">
        <v>5107</v>
      </c>
      <c r="C1173" s="124" t="str">
        <f>IFERROR(INDEX(面试清单!D:D,MATCH(1172,面试清单!P:P,0)),"")</f>
        <v>0221</v>
      </c>
      <c r="D1173" s="11" t="s">
        <v>74</v>
      </c>
      <c r="E1173" s="11" t="s">
        <v>64</v>
      </c>
      <c r="F1173" s="11" t="s">
        <v>148</v>
      </c>
      <c r="G1173" s="15">
        <v>46130</v>
      </c>
      <c r="H1173" s="14" t="str">
        <f>IFERROR(INDEX(面试清单!H:H,MATCH(1172,面试清单!P:P,0)),"")</f>
        <v>线上</v>
      </c>
      <c r="I1173" s="13" t="s">
        <v>29</v>
      </c>
      <c r="J1173" s="14">
        <f ca="1" t="shared" si="55"/>
        <v>59</v>
      </c>
      <c r="K1173" s="14">
        <f ca="1" t="shared" si="56"/>
        <v>16</v>
      </c>
    </row>
    <row r="1174" ht="18" spans="1:11">
      <c r="A1174" s="10">
        <f t="shared" si="54"/>
        <v>1173</v>
      </c>
      <c r="B1174" s="11" t="s">
        <v>5108</v>
      </c>
      <c r="C1174" s="10" t="str">
        <f>IFERROR(INDEX(面试清单!D:D,MATCH(1173,面试清单!P:P,0)),"")</f>
        <v/>
      </c>
      <c r="D1174" s="11" t="s">
        <v>43</v>
      </c>
      <c r="E1174" s="11" t="s">
        <v>62</v>
      </c>
      <c r="F1174" s="11" t="s">
        <v>129</v>
      </c>
      <c r="G1174" s="15">
        <v>46130</v>
      </c>
      <c r="H1174" s="10" t="str">
        <f>IFERROR(INDEX(面试清单!H:H,MATCH(1173,面试清单!P:P,0)),"")</f>
        <v/>
      </c>
      <c r="I1174" s="13" t="s">
        <v>29</v>
      </c>
      <c r="J1174" s="10">
        <f ca="1" t="shared" si="55"/>
        <v>59</v>
      </c>
      <c r="K1174" s="10">
        <f ca="1" t="shared" si="56"/>
        <v>16</v>
      </c>
    </row>
    <row r="1175" ht="18" spans="1:11">
      <c r="A1175" s="14">
        <f t="shared" si="54"/>
        <v>1174</v>
      </c>
      <c r="B1175" s="11" t="s">
        <v>5109</v>
      </c>
      <c r="C1175" s="14" t="str">
        <f>IFERROR(INDEX(面试清单!D:D,MATCH(1174,面试清单!P:P,0)),"")</f>
        <v/>
      </c>
      <c r="D1175" s="11" t="s">
        <v>42</v>
      </c>
      <c r="E1175" s="11" t="s">
        <v>62</v>
      </c>
      <c r="F1175" s="11" t="s">
        <v>124</v>
      </c>
      <c r="G1175" s="15">
        <v>46130</v>
      </c>
      <c r="H1175" s="14" t="str">
        <f>IFERROR(INDEX(面试清单!H:H,MATCH(1174,面试清单!P:P,0)),"")</f>
        <v/>
      </c>
      <c r="I1175" s="13" t="s">
        <v>29</v>
      </c>
      <c r="J1175" s="14">
        <f ca="1" t="shared" si="55"/>
        <v>59</v>
      </c>
      <c r="K1175" s="14">
        <f ca="1" t="shared" si="56"/>
        <v>16</v>
      </c>
    </row>
    <row r="1176" ht="18" spans="1:11">
      <c r="A1176" s="10">
        <f t="shared" si="54"/>
        <v>1175</v>
      </c>
      <c r="B1176" s="11" t="s">
        <v>5110</v>
      </c>
      <c r="C1176" s="10" t="str">
        <f>IFERROR(INDEX(面试清单!D:D,MATCH(1175,面试清单!P:P,0)),"")</f>
        <v/>
      </c>
      <c r="D1176" s="11" t="s">
        <v>42</v>
      </c>
      <c r="E1176" s="11" t="s">
        <v>62</v>
      </c>
      <c r="F1176" s="11" t="s">
        <v>179</v>
      </c>
      <c r="G1176" s="15">
        <v>46130</v>
      </c>
      <c r="H1176" s="10" t="str">
        <f>IFERROR(INDEX(面试清单!H:H,MATCH(1175,面试清单!P:P,0)),"")</f>
        <v/>
      </c>
      <c r="I1176" s="13" t="s">
        <v>29</v>
      </c>
      <c r="J1176" s="10">
        <f ca="1" t="shared" si="55"/>
        <v>59</v>
      </c>
      <c r="K1176" s="10">
        <f ca="1" t="shared" si="56"/>
        <v>16</v>
      </c>
    </row>
    <row r="1177" ht="18" spans="1:11">
      <c r="A1177" s="14">
        <f t="shared" si="54"/>
        <v>1176</v>
      </c>
      <c r="B1177" s="11" t="s">
        <v>5111</v>
      </c>
      <c r="C1177" s="14" t="str">
        <f>IFERROR(INDEX(面试清单!D:D,MATCH(1176,面试清单!P:P,0)),"")</f>
        <v/>
      </c>
      <c r="D1177" s="11" t="s">
        <v>42</v>
      </c>
      <c r="E1177" s="11" t="s">
        <v>63</v>
      </c>
      <c r="F1177" s="11" t="s">
        <v>233</v>
      </c>
      <c r="G1177" s="15">
        <v>46130</v>
      </c>
      <c r="H1177" s="14" t="str">
        <f>IFERROR(INDEX(面试清单!H:H,MATCH(1176,面试清单!P:P,0)),"")</f>
        <v/>
      </c>
      <c r="I1177" s="13" t="s">
        <v>29</v>
      </c>
      <c r="J1177" s="14">
        <f ca="1" t="shared" si="55"/>
        <v>59</v>
      </c>
      <c r="K1177" s="14">
        <f ca="1" t="shared" si="56"/>
        <v>16</v>
      </c>
    </row>
    <row r="1178" ht="18" spans="1:11">
      <c r="A1178" s="10">
        <f t="shared" si="54"/>
        <v>1177</v>
      </c>
      <c r="B1178" s="11" t="s">
        <v>5112</v>
      </c>
      <c r="C1178" s="10" t="str">
        <f>IFERROR(INDEX(面试清单!D:D,MATCH(1177,面试清单!P:P,0)),"")</f>
        <v/>
      </c>
      <c r="D1178" s="11" t="s">
        <v>42</v>
      </c>
      <c r="E1178" s="11" t="s">
        <v>64</v>
      </c>
      <c r="F1178" s="11" t="s">
        <v>179</v>
      </c>
      <c r="G1178" s="15">
        <v>46130</v>
      </c>
      <c r="H1178" s="10" t="str">
        <f>IFERROR(INDEX(面试清单!H:H,MATCH(1177,面试清单!P:P,0)),"")</f>
        <v/>
      </c>
      <c r="I1178" s="13" t="s">
        <v>29</v>
      </c>
      <c r="J1178" s="10">
        <f ca="1" t="shared" si="55"/>
        <v>59</v>
      </c>
      <c r="K1178" s="10">
        <f ca="1" t="shared" si="56"/>
        <v>16</v>
      </c>
    </row>
    <row r="1179" ht="18" spans="1:11">
      <c r="A1179" s="14">
        <f t="shared" si="54"/>
        <v>1178</v>
      </c>
      <c r="B1179" s="11" t="s">
        <v>5113</v>
      </c>
      <c r="C1179" s="14" t="str">
        <f>IFERROR(INDEX(面试清单!D:D,MATCH(1178,面试清单!P:P,0)),"")</f>
        <v/>
      </c>
      <c r="D1179" s="11" t="s">
        <v>42</v>
      </c>
      <c r="E1179" s="11" t="s">
        <v>64</v>
      </c>
      <c r="F1179" s="11" t="s">
        <v>179</v>
      </c>
      <c r="G1179" s="15">
        <v>46130</v>
      </c>
      <c r="H1179" s="14" t="str">
        <f>IFERROR(INDEX(面试清单!H:H,MATCH(1178,面试清单!P:P,0)),"")</f>
        <v/>
      </c>
      <c r="I1179" s="13" t="s">
        <v>29</v>
      </c>
      <c r="J1179" s="14">
        <f ca="1" t="shared" si="55"/>
        <v>59</v>
      </c>
      <c r="K1179" s="14">
        <f ca="1" t="shared" si="56"/>
        <v>16</v>
      </c>
    </row>
    <row r="1180" ht="18" spans="1:11">
      <c r="A1180" s="10">
        <f t="shared" si="54"/>
        <v>1179</v>
      </c>
      <c r="B1180" s="11" t="s">
        <v>5114</v>
      </c>
      <c r="C1180" s="10" t="str">
        <f>IFERROR(INDEX(面试清单!D:D,MATCH(1179,面试清单!P:P,0)),"")</f>
        <v/>
      </c>
      <c r="D1180" s="11" t="s">
        <v>43</v>
      </c>
      <c r="E1180" s="11" t="s">
        <v>63</v>
      </c>
      <c r="F1180" s="11" t="s">
        <v>103</v>
      </c>
      <c r="G1180" s="15">
        <v>46131</v>
      </c>
      <c r="H1180" s="10" t="str">
        <f>IFERROR(INDEX(面试清单!H:H,MATCH(1179,面试清单!P:P,0)),"")</f>
        <v/>
      </c>
      <c r="I1180" s="13" t="s">
        <v>29</v>
      </c>
      <c r="J1180" s="10">
        <f ca="1" t="shared" si="55"/>
        <v>58</v>
      </c>
      <c r="K1180" s="10">
        <f ca="1" t="shared" si="56"/>
        <v>16</v>
      </c>
    </row>
    <row r="1181" ht="18" spans="1:11">
      <c r="A1181" s="14">
        <f t="shared" si="54"/>
        <v>1180</v>
      </c>
      <c r="B1181" s="11" t="s">
        <v>5115</v>
      </c>
      <c r="C1181" s="14" t="str">
        <f>IFERROR(INDEX(面试清单!D:D,MATCH(1180,面试清单!P:P,0)),"")</f>
        <v/>
      </c>
      <c r="D1181" s="11" t="s">
        <v>42</v>
      </c>
      <c r="E1181" s="11" t="s">
        <v>62</v>
      </c>
      <c r="F1181" s="11" t="s">
        <v>124</v>
      </c>
      <c r="G1181" s="15">
        <v>46131</v>
      </c>
      <c r="H1181" s="14" t="str">
        <f>IFERROR(INDEX(面试清单!H:H,MATCH(1180,面试清单!P:P,0)),"")</f>
        <v/>
      </c>
      <c r="I1181" s="13" t="s">
        <v>29</v>
      </c>
      <c r="J1181" s="14">
        <f ca="1" t="shared" si="55"/>
        <v>58</v>
      </c>
      <c r="K1181" s="14">
        <f ca="1" t="shared" si="56"/>
        <v>16</v>
      </c>
    </row>
    <row r="1182" ht="18" spans="1:11">
      <c r="A1182" s="10">
        <f t="shared" si="54"/>
        <v>1181</v>
      </c>
      <c r="B1182" s="11" t="s">
        <v>5116</v>
      </c>
      <c r="C1182" s="125" t="str">
        <f>IFERROR(INDEX(面试清单!D:D,MATCH(1181,面试清单!P:P,0)),"")</f>
        <v>0221</v>
      </c>
      <c r="D1182" s="11" t="s">
        <v>42</v>
      </c>
      <c r="E1182" s="11" t="s">
        <v>62</v>
      </c>
      <c r="F1182" s="11" t="s">
        <v>246</v>
      </c>
      <c r="G1182" s="15">
        <v>46131</v>
      </c>
      <c r="H1182" s="10" t="str">
        <f>IFERROR(INDEX(面试清单!H:H,MATCH(1181,面试清单!P:P,0)),"")</f>
        <v>线上</v>
      </c>
      <c r="I1182" s="13" t="s">
        <v>29</v>
      </c>
      <c r="J1182" s="10">
        <f ca="1" t="shared" si="55"/>
        <v>58</v>
      </c>
      <c r="K1182" s="10">
        <f ca="1" t="shared" si="56"/>
        <v>16</v>
      </c>
    </row>
    <row r="1183" ht="18" spans="1:11">
      <c r="A1183" s="14">
        <f t="shared" si="54"/>
        <v>1182</v>
      </c>
      <c r="B1183" s="11" t="s">
        <v>5117</v>
      </c>
      <c r="C1183" s="14" t="str">
        <f>IFERROR(INDEX(面试清单!D:D,MATCH(1182,面试清单!P:P,0)),"")</f>
        <v/>
      </c>
      <c r="D1183" s="11" t="s">
        <v>42</v>
      </c>
      <c r="E1183" s="11" t="s">
        <v>63</v>
      </c>
      <c r="F1183" s="11" t="s">
        <v>117</v>
      </c>
      <c r="G1183" s="15">
        <v>46131</v>
      </c>
      <c r="H1183" s="14" t="str">
        <f>IFERROR(INDEX(面试清单!H:H,MATCH(1182,面试清单!P:P,0)),"")</f>
        <v/>
      </c>
      <c r="I1183" s="13" t="s">
        <v>29</v>
      </c>
      <c r="J1183" s="14">
        <f ca="1" t="shared" si="55"/>
        <v>58</v>
      </c>
      <c r="K1183" s="14">
        <f ca="1" t="shared" si="56"/>
        <v>16</v>
      </c>
    </row>
    <row r="1184" ht="18" spans="1:11">
      <c r="A1184" s="10">
        <f t="shared" si="54"/>
        <v>1183</v>
      </c>
      <c r="B1184" s="11" t="s">
        <v>5118</v>
      </c>
      <c r="C1184" s="10" t="str">
        <f>IFERROR(INDEX(面试清单!D:D,MATCH(1183,面试清单!P:P,0)),"")</f>
        <v/>
      </c>
      <c r="D1184" s="11" t="s">
        <v>42</v>
      </c>
      <c r="E1184" s="11" t="s">
        <v>63</v>
      </c>
      <c r="F1184" s="11" t="s">
        <v>117</v>
      </c>
      <c r="G1184" s="15">
        <v>46131</v>
      </c>
      <c r="H1184" s="10" t="str">
        <f>IFERROR(INDEX(面试清单!H:H,MATCH(1183,面试清单!P:P,0)),"")</f>
        <v/>
      </c>
      <c r="I1184" s="13" t="s">
        <v>29</v>
      </c>
      <c r="J1184" s="10">
        <f ca="1" t="shared" si="55"/>
        <v>58</v>
      </c>
      <c r="K1184" s="10">
        <f ca="1" t="shared" si="56"/>
        <v>16</v>
      </c>
    </row>
    <row r="1185" ht="18" spans="1:11">
      <c r="A1185" s="14">
        <f t="shared" si="54"/>
        <v>1184</v>
      </c>
      <c r="B1185" s="11" t="s">
        <v>5119</v>
      </c>
      <c r="C1185" s="14" t="str">
        <f>IFERROR(INDEX(面试清单!D:D,MATCH(1184,面试清单!P:P,0)),"")</f>
        <v/>
      </c>
      <c r="D1185" s="11" t="s">
        <v>42</v>
      </c>
      <c r="E1185" s="11" t="s">
        <v>62</v>
      </c>
      <c r="F1185" s="11" t="s">
        <v>307</v>
      </c>
      <c r="G1185" s="15">
        <v>46131</v>
      </c>
      <c r="H1185" s="14" t="str">
        <f>IFERROR(INDEX(面试清单!H:H,MATCH(1184,面试清单!P:P,0)),"")</f>
        <v/>
      </c>
      <c r="I1185" s="13" t="s">
        <v>29</v>
      </c>
      <c r="J1185" s="14">
        <f ca="1" t="shared" si="55"/>
        <v>58</v>
      </c>
      <c r="K1185" s="14">
        <f ca="1" t="shared" si="56"/>
        <v>16</v>
      </c>
    </row>
    <row r="1186" ht="18" spans="1:11">
      <c r="A1186" s="10">
        <f t="shared" si="54"/>
        <v>1185</v>
      </c>
      <c r="B1186" s="11" t="s">
        <v>5120</v>
      </c>
      <c r="C1186" s="10" t="str">
        <f>IFERROR(INDEX(面试清单!D:D,MATCH(1185,面试清单!P:P,0)),"")</f>
        <v/>
      </c>
      <c r="D1186" s="11" t="s">
        <v>42</v>
      </c>
      <c r="E1186" s="11" t="s">
        <v>63</v>
      </c>
      <c r="F1186" s="11" t="s">
        <v>129</v>
      </c>
      <c r="G1186" s="15">
        <v>46131</v>
      </c>
      <c r="H1186" s="10" t="str">
        <f>IFERROR(INDEX(面试清单!H:H,MATCH(1185,面试清单!P:P,0)),"")</f>
        <v/>
      </c>
      <c r="I1186" s="13" t="s">
        <v>29</v>
      </c>
      <c r="J1186" s="10">
        <f ca="1" t="shared" si="55"/>
        <v>58</v>
      </c>
      <c r="K1186" s="10">
        <f ca="1" t="shared" si="56"/>
        <v>16</v>
      </c>
    </row>
    <row r="1187" ht="18" spans="1:11">
      <c r="A1187" s="14">
        <f t="shared" si="54"/>
        <v>1186</v>
      </c>
      <c r="B1187" s="11" t="s">
        <v>5121</v>
      </c>
      <c r="C1187" s="14" t="str">
        <f>IFERROR(INDEX(面试清单!D:D,MATCH(1186,面试清单!P:P,0)),"")</f>
        <v/>
      </c>
      <c r="D1187" s="11" t="s">
        <v>43</v>
      </c>
      <c r="E1187" s="11" t="s">
        <v>63</v>
      </c>
      <c r="F1187" s="11" t="s">
        <v>129</v>
      </c>
      <c r="G1187" s="15">
        <v>46131</v>
      </c>
      <c r="H1187" s="14" t="str">
        <f>IFERROR(INDEX(面试清单!H:H,MATCH(1186,面试清单!P:P,0)),"")</f>
        <v/>
      </c>
      <c r="I1187" s="13" t="s">
        <v>29</v>
      </c>
      <c r="J1187" s="14">
        <f ca="1" t="shared" si="55"/>
        <v>58</v>
      </c>
      <c r="K1187" s="14">
        <f ca="1" t="shared" si="56"/>
        <v>16</v>
      </c>
    </row>
    <row r="1188" ht="18" spans="1:11">
      <c r="A1188" s="10">
        <f t="shared" si="54"/>
        <v>1187</v>
      </c>
      <c r="B1188" s="11" t="s">
        <v>5122</v>
      </c>
      <c r="C1188" s="10" t="str">
        <f>IFERROR(INDEX(面试清单!D:D,MATCH(1187,面试清单!P:P,0)),"")</f>
        <v/>
      </c>
      <c r="D1188" s="11" t="s">
        <v>42</v>
      </c>
      <c r="E1188" s="11" t="s">
        <v>63</v>
      </c>
      <c r="F1188" s="11" t="s">
        <v>1006</v>
      </c>
      <c r="G1188" s="15">
        <v>46131</v>
      </c>
      <c r="H1188" s="10" t="str">
        <f>IFERROR(INDEX(面试清单!H:H,MATCH(1187,面试清单!P:P,0)),"")</f>
        <v/>
      </c>
      <c r="I1188" s="13" t="s">
        <v>29</v>
      </c>
      <c r="J1188" s="10">
        <f ca="1" t="shared" si="55"/>
        <v>58</v>
      </c>
      <c r="K1188" s="10">
        <f ca="1" t="shared" si="56"/>
        <v>16</v>
      </c>
    </row>
    <row r="1189" ht="18" spans="1:11">
      <c r="A1189" s="14">
        <f t="shared" si="54"/>
        <v>1188</v>
      </c>
      <c r="B1189" s="11" t="s">
        <v>5123</v>
      </c>
      <c r="C1189" s="14" t="str">
        <f>IFERROR(INDEX(面试清单!D:D,MATCH(1188,面试清单!P:P,0)),"")</f>
        <v/>
      </c>
      <c r="D1189" s="11" t="s">
        <v>42</v>
      </c>
      <c r="E1189" s="11" t="s">
        <v>63</v>
      </c>
      <c r="F1189" s="11" t="s">
        <v>179</v>
      </c>
      <c r="G1189" s="15">
        <v>46131</v>
      </c>
      <c r="H1189" s="14" t="str">
        <f>IFERROR(INDEX(面试清单!H:H,MATCH(1188,面试清单!P:P,0)),"")</f>
        <v/>
      </c>
      <c r="I1189" s="13" t="s">
        <v>29</v>
      </c>
      <c r="J1189" s="14">
        <f ca="1" t="shared" si="55"/>
        <v>58</v>
      </c>
      <c r="K1189" s="14">
        <f ca="1" t="shared" si="56"/>
        <v>16</v>
      </c>
    </row>
    <row r="1190" ht="18" spans="1:11">
      <c r="A1190" s="10">
        <f t="shared" si="54"/>
        <v>1189</v>
      </c>
      <c r="B1190" s="11" t="s">
        <v>5124</v>
      </c>
      <c r="C1190" s="10" t="str">
        <f>IFERROR(INDEX(面试清单!D:D,MATCH(1189,面试清单!P:P,0)),"")</f>
        <v/>
      </c>
      <c r="D1190" s="11" t="s">
        <v>42</v>
      </c>
      <c r="E1190" s="11" t="s">
        <v>62</v>
      </c>
      <c r="F1190" s="11" t="s">
        <v>132</v>
      </c>
      <c r="G1190" s="15">
        <v>46131</v>
      </c>
      <c r="H1190" s="10" t="str">
        <f>IFERROR(INDEX(面试清单!H:H,MATCH(1189,面试清单!P:P,0)),"")</f>
        <v/>
      </c>
      <c r="I1190" s="13" t="s">
        <v>29</v>
      </c>
      <c r="J1190" s="10">
        <f ca="1" t="shared" si="55"/>
        <v>58</v>
      </c>
      <c r="K1190" s="10">
        <f ca="1" t="shared" si="56"/>
        <v>16</v>
      </c>
    </row>
    <row r="1191" ht="18" spans="1:11">
      <c r="A1191" s="14">
        <f t="shared" si="54"/>
        <v>1190</v>
      </c>
      <c r="B1191" s="11" t="s">
        <v>5125</v>
      </c>
      <c r="C1191" s="14" t="str">
        <f>IFERROR(INDEX(面试清单!D:D,MATCH(1190,面试清单!P:P,0)),"")</f>
        <v/>
      </c>
      <c r="D1191" s="11" t="s">
        <v>42</v>
      </c>
      <c r="E1191" s="11" t="s">
        <v>63</v>
      </c>
      <c r="F1191" s="11" t="s">
        <v>129</v>
      </c>
      <c r="G1191" s="15">
        <v>46131</v>
      </c>
      <c r="H1191" s="14" t="str">
        <f>IFERROR(INDEX(面试清单!H:H,MATCH(1190,面试清单!P:P,0)),"")</f>
        <v/>
      </c>
      <c r="I1191" s="13" t="s">
        <v>29</v>
      </c>
      <c r="J1191" s="14">
        <f ca="1" t="shared" si="55"/>
        <v>58</v>
      </c>
      <c r="K1191" s="14">
        <f ca="1" t="shared" si="56"/>
        <v>16</v>
      </c>
    </row>
    <row r="1192" ht="18" spans="1:11">
      <c r="A1192" s="10">
        <f t="shared" si="54"/>
        <v>1191</v>
      </c>
      <c r="B1192" s="11" t="s">
        <v>5126</v>
      </c>
      <c r="C1192" s="10" t="str">
        <f>IFERROR(INDEX(面试清单!D:D,MATCH(1191,面试清单!P:P,0)),"")</f>
        <v/>
      </c>
      <c r="D1192" s="11" t="s">
        <v>42</v>
      </c>
      <c r="E1192" s="11" t="s">
        <v>62</v>
      </c>
      <c r="F1192" s="11" t="s">
        <v>509</v>
      </c>
      <c r="G1192" s="15">
        <v>46131</v>
      </c>
      <c r="H1192" s="10" t="str">
        <f>IFERROR(INDEX(面试清单!H:H,MATCH(1191,面试清单!P:P,0)),"")</f>
        <v/>
      </c>
      <c r="I1192" s="13" t="s">
        <v>29</v>
      </c>
      <c r="J1192" s="10">
        <f ca="1" t="shared" si="55"/>
        <v>58</v>
      </c>
      <c r="K1192" s="10">
        <f ca="1" t="shared" si="56"/>
        <v>16</v>
      </c>
    </row>
    <row r="1193" ht="18" spans="1:11">
      <c r="A1193" s="14">
        <f t="shared" si="54"/>
        <v>1192</v>
      </c>
      <c r="B1193" s="11" t="s">
        <v>5127</v>
      </c>
      <c r="C1193" s="14" t="str">
        <f>IFERROR(INDEX(面试清单!D:D,MATCH(1192,面试清单!P:P,0)),"")</f>
        <v/>
      </c>
      <c r="D1193" s="11" t="s">
        <v>74</v>
      </c>
      <c r="E1193" s="11" t="s">
        <v>190</v>
      </c>
      <c r="F1193" s="11" t="s">
        <v>179</v>
      </c>
      <c r="G1193" s="15">
        <v>46131</v>
      </c>
      <c r="H1193" s="14" t="str">
        <f>IFERROR(INDEX(面试清单!H:H,MATCH(1192,面试清单!P:P,0)),"")</f>
        <v/>
      </c>
      <c r="I1193" s="13" t="s">
        <v>29</v>
      </c>
      <c r="J1193" s="14">
        <f ca="1" t="shared" si="55"/>
        <v>58</v>
      </c>
      <c r="K1193" s="14">
        <f ca="1" t="shared" si="56"/>
        <v>16</v>
      </c>
    </row>
    <row r="1194" ht="18" spans="1:11">
      <c r="A1194" s="10">
        <f t="shared" si="54"/>
        <v>1193</v>
      </c>
      <c r="B1194" s="11" t="s">
        <v>5128</v>
      </c>
      <c r="C1194" s="10" t="str">
        <f>IFERROR(INDEX(面试清单!D:D,MATCH(1193,面试清单!P:P,0)),"")</f>
        <v/>
      </c>
      <c r="D1194" s="11" t="s">
        <v>74</v>
      </c>
      <c r="E1194" s="11" t="s">
        <v>64</v>
      </c>
      <c r="F1194" s="11" t="s">
        <v>246</v>
      </c>
      <c r="G1194" s="15">
        <v>46131</v>
      </c>
      <c r="H1194" s="10" t="str">
        <f>IFERROR(INDEX(面试清单!H:H,MATCH(1193,面试清单!P:P,0)),"")</f>
        <v/>
      </c>
      <c r="I1194" s="13" t="s">
        <v>29</v>
      </c>
      <c r="J1194" s="10">
        <f ca="1" t="shared" si="55"/>
        <v>58</v>
      </c>
      <c r="K1194" s="10">
        <f ca="1" t="shared" si="56"/>
        <v>16</v>
      </c>
    </row>
    <row r="1195" ht="18" spans="1:11">
      <c r="A1195" s="14">
        <f t="shared" si="54"/>
        <v>1194</v>
      </c>
      <c r="B1195" s="11" t="s">
        <v>5129</v>
      </c>
      <c r="C1195" s="14" t="str">
        <f>IFERROR(INDEX(面试清单!D:D,MATCH(1194,面试清单!P:P,0)),"")</f>
        <v/>
      </c>
      <c r="D1195" s="11" t="s">
        <v>74</v>
      </c>
      <c r="E1195" s="11" t="s">
        <v>64</v>
      </c>
      <c r="F1195" s="11" t="s">
        <v>117</v>
      </c>
      <c r="G1195" s="15">
        <v>46131</v>
      </c>
      <c r="H1195" s="14" t="str">
        <f>IFERROR(INDEX(面试清单!H:H,MATCH(1194,面试清单!P:P,0)),"")</f>
        <v/>
      </c>
      <c r="I1195" s="13" t="s">
        <v>29</v>
      </c>
      <c r="J1195" s="14">
        <f ca="1" t="shared" si="55"/>
        <v>58</v>
      </c>
      <c r="K1195" s="14">
        <f ca="1" t="shared" si="56"/>
        <v>16</v>
      </c>
    </row>
    <row r="1196" ht="18" spans="1:11">
      <c r="A1196" s="10">
        <f t="shared" si="54"/>
        <v>1195</v>
      </c>
      <c r="B1196" s="11" t="s">
        <v>5130</v>
      </c>
      <c r="C1196" s="10" t="str">
        <f>IFERROR(INDEX(面试清单!D:D,MATCH(1195,面试清单!P:P,0)),"")</f>
        <v/>
      </c>
      <c r="D1196" s="11" t="s">
        <v>74</v>
      </c>
      <c r="E1196" s="11" t="s">
        <v>64</v>
      </c>
      <c r="F1196" s="11" t="s">
        <v>179</v>
      </c>
      <c r="G1196" s="15">
        <v>46131</v>
      </c>
      <c r="H1196" s="10" t="str">
        <f>IFERROR(INDEX(面试清单!H:H,MATCH(1195,面试清单!P:P,0)),"")</f>
        <v/>
      </c>
      <c r="I1196" s="13" t="s">
        <v>29</v>
      </c>
      <c r="J1196" s="10">
        <f ca="1" t="shared" si="55"/>
        <v>58</v>
      </c>
      <c r="K1196" s="10">
        <f ca="1" t="shared" si="56"/>
        <v>16</v>
      </c>
    </row>
    <row r="1197" ht="18" spans="1:11">
      <c r="A1197" s="14">
        <f t="shared" si="54"/>
        <v>1196</v>
      </c>
      <c r="B1197" s="11" t="s">
        <v>5131</v>
      </c>
      <c r="C1197" s="14" t="str">
        <f>IFERROR(INDEX(面试清单!D:D,MATCH(1196,面试清单!P:P,0)),"")</f>
        <v/>
      </c>
      <c r="D1197" s="11" t="s">
        <v>74</v>
      </c>
      <c r="E1197" s="11" t="s">
        <v>64</v>
      </c>
      <c r="F1197" s="11" t="s">
        <v>117</v>
      </c>
      <c r="G1197" s="15">
        <v>46131</v>
      </c>
      <c r="H1197" s="14" t="str">
        <f>IFERROR(INDEX(面试清单!H:H,MATCH(1196,面试清单!P:P,0)),"")</f>
        <v/>
      </c>
      <c r="I1197" s="13" t="s">
        <v>29</v>
      </c>
      <c r="J1197" s="14">
        <f ca="1" t="shared" si="55"/>
        <v>58</v>
      </c>
      <c r="K1197" s="14">
        <f ca="1" t="shared" si="56"/>
        <v>16</v>
      </c>
    </row>
    <row r="1198" ht="18" spans="1:11">
      <c r="A1198" s="10">
        <f t="shared" si="54"/>
        <v>1197</v>
      </c>
      <c r="B1198" s="11" t="s">
        <v>5132</v>
      </c>
      <c r="C1198" s="10" t="str">
        <f>IFERROR(INDEX(面试清单!D:D,MATCH(1197,面试清单!P:P,0)),"")</f>
        <v/>
      </c>
      <c r="D1198" s="11" t="s">
        <v>42</v>
      </c>
      <c r="E1198" s="11" t="s">
        <v>62</v>
      </c>
      <c r="F1198" s="11" t="s">
        <v>110</v>
      </c>
      <c r="G1198" s="15">
        <v>46132</v>
      </c>
      <c r="H1198" s="10" t="str">
        <f>IFERROR(INDEX(面试清单!H:H,MATCH(1197,面试清单!P:P,0)),"")</f>
        <v/>
      </c>
      <c r="I1198" s="13" t="s">
        <v>29</v>
      </c>
      <c r="J1198" s="10">
        <f ca="1" t="shared" si="55"/>
        <v>57</v>
      </c>
      <c r="K1198" s="10">
        <f ca="1" t="shared" si="56"/>
        <v>16</v>
      </c>
    </row>
    <row r="1199" ht="18" spans="1:11">
      <c r="A1199" s="14">
        <f t="shared" si="54"/>
        <v>1198</v>
      </c>
      <c r="B1199" s="11" t="s">
        <v>5133</v>
      </c>
      <c r="C1199" s="14" t="str">
        <f>IFERROR(INDEX(面试清单!D:D,MATCH(1198,面试清单!P:P,0)),"")</f>
        <v/>
      </c>
      <c r="D1199" s="11" t="s">
        <v>42</v>
      </c>
      <c r="E1199" s="11" t="s">
        <v>62</v>
      </c>
      <c r="F1199" s="11" t="s">
        <v>179</v>
      </c>
      <c r="G1199" s="15">
        <v>46132</v>
      </c>
      <c r="H1199" s="14" t="str">
        <f>IFERROR(INDEX(面试清单!H:H,MATCH(1198,面试清单!P:P,0)),"")</f>
        <v/>
      </c>
      <c r="I1199" s="13" t="s">
        <v>29</v>
      </c>
      <c r="J1199" s="14">
        <f ca="1" t="shared" si="55"/>
        <v>57</v>
      </c>
      <c r="K1199" s="14">
        <f ca="1" t="shared" si="56"/>
        <v>16</v>
      </c>
    </row>
    <row r="1200" ht="18" spans="1:11">
      <c r="A1200" s="10">
        <f t="shared" si="54"/>
        <v>1199</v>
      </c>
      <c r="B1200" s="11" t="s">
        <v>5134</v>
      </c>
      <c r="C1200" s="10" t="str">
        <f>IFERROR(INDEX(面试清单!D:D,MATCH(1199,面试清单!P:P,0)),"")</f>
        <v/>
      </c>
      <c r="D1200" s="11" t="s">
        <v>43</v>
      </c>
      <c r="E1200" s="11" t="s">
        <v>62</v>
      </c>
      <c r="F1200" s="11" t="s">
        <v>246</v>
      </c>
      <c r="G1200" s="15">
        <v>46132</v>
      </c>
      <c r="H1200" s="10" t="str">
        <f>IFERROR(INDEX(面试清单!H:H,MATCH(1199,面试清单!P:P,0)),"")</f>
        <v/>
      </c>
      <c r="I1200" s="13" t="s">
        <v>29</v>
      </c>
      <c r="J1200" s="10">
        <f ca="1" t="shared" si="55"/>
        <v>57</v>
      </c>
      <c r="K1200" s="10">
        <f ca="1" t="shared" si="56"/>
        <v>16</v>
      </c>
    </row>
    <row r="1201" ht="18" spans="1:11">
      <c r="A1201" s="14">
        <f t="shared" si="54"/>
        <v>1200</v>
      </c>
      <c r="B1201" s="11" t="s">
        <v>5135</v>
      </c>
      <c r="C1201" s="14" t="str">
        <f>IFERROR(INDEX(面试清单!D:D,MATCH(1200,面试清单!P:P,0)),"")</f>
        <v/>
      </c>
      <c r="D1201" s="11" t="s">
        <v>42</v>
      </c>
      <c r="E1201" s="11" t="s">
        <v>62</v>
      </c>
      <c r="F1201" s="11" t="s">
        <v>173</v>
      </c>
      <c r="G1201" s="15">
        <v>46132</v>
      </c>
      <c r="H1201" s="14" t="str">
        <f>IFERROR(INDEX(面试清单!H:H,MATCH(1200,面试清单!P:P,0)),"")</f>
        <v/>
      </c>
      <c r="I1201" s="13" t="s">
        <v>29</v>
      </c>
      <c r="J1201" s="14">
        <f ca="1" t="shared" si="55"/>
        <v>57</v>
      </c>
      <c r="K1201" s="14">
        <f ca="1" t="shared" si="56"/>
        <v>16</v>
      </c>
    </row>
    <row r="1202" ht="18" spans="1:11">
      <c r="A1202" s="10">
        <f t="shared" si="54"/>
        <v>1201</v>
      </c>
      <c r="B1202" s="11" t="s">
        <v>5136</v>
      </c>
      <c r="C1202" s="10" t="str">
        <f>IFERROR(INDEX(面试清单!D:D,MATCH(1201,面试清单!P:P,0)),"")</f>
        <v/>
      </c>
      <c r="D1202" s="11" t="s">
        <v>43</v>
      </c>
      <c r="E1202" s="11" t="s">
        <v>62</v>
      </c>
      <c r="F1202" s="11" t="s">
        <v>129</v>
      </c>
      <c r="G1202" s="15">
        <v>46132</v>
      </c>
      <c r="H1202" s="10" t="str">
        <f>IFERROR(INDEX(面试清单!H:H,MATCH(1201,面试清单!P:P,0)),"")</f>
        <v/>
      </c>
      <c r="I1202" s="13" t="s">
        <v>29</v>
      </c>
      <c r="J1202" s="10">
        <f ca="1" t="shared" si="55"/>
        <v>57</v>
      </c>
      <c r="K1202" s="10">
        <f ca="1" t="shared" si="56"/>
        <v>16</v>
      </c>
    </row>
    <row r="1203" ht="18" spans="1:11">
      <c r="A1203" s="14">
        <f t="shared" si="54"/>
        <v>1202</v>
      </c>
      <c r="B1203" s="11" t="s">
        <v>5137</v>
      </c>
      <c r="C1203" s="14" t="str">
        <f>IFERROR(INDEX(面试清单!D:D,MATCH(1202,面试清单!P:P,0)),"")</f>
        <v/>
      </c>
      <c r="D1203" s="11" t="s">
        <v>42</v>
      </c>
      <c r="E1203" s="11" t="s">
        <v>63</v>
      </c>
      <c r="F1203" s="11" t="s">
        <v>233</v>
      </c>
      <c r="G1203" s="15">
        <v>46132</v>
      </c>
      <c r="H1203" s="14" t="str">
        <f>IFERROR(INDEX(面试清单!H:H,MATCH(1202,面试清单!P:P,0)),"")</f>
        <v/>
      </c>
      <c r="I1203" s="13" t="s">
        <v>29</v>
      </c>
      <c r="J1203" s="14">
        <f ca="1" t="shared" si="55"/>
        <v>57</v>
      </c>
      <c r="K1203" s="14">
        <f ca="1" t="shared" si="56"/>
        <v>16</v>
      </c>
    </row>
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IFERROR(INDEX(面试清单!D:D,MATCH(1203,面试清单!P:P,0)),"")</f>
        <v/>
      </c>
      <c r="D1204" s="11" t="s">
        <v>42</v>
      </c>
      <c r="E1204" s="11" t="s">
        <v>63</v>
      </c>
      <c r="F1204" s="11" t="s">
        <v>103</v>
      </c>
      <c r="G1204" s="15">
        <v>46132</v>
      </c>
      <c r="H1204" s="10" t="str">
        <f>IFERROR(INDEX(面试清单!H:H,MATCH(1203,面试清单!P:P,0)),"")</f>
        <v/>
      </c>
      <c r="I1204" s="13" t="s">
        <v>29</v>
      </c>
      <c r="J1204" s="10">
        <f ca="1" t="shared" si="55"/>
        <v>57</v>
      </c>
      <c r="K1204" s="10">
        <f ca="1" t="shared" si="56"/>
        <v>16</v>
      </c>
    </row>
    <row r="1205" ht="18" spans="1:11">
      <c r="A1205" s="14">
        <f t="shared" si="54"/>
        <v>1204</v>
      </c>
      <c r="B1205" s="11" t="s">
        <v>5139</v>
      </c>
      <c r="C1205" s="14" t="str">
        <f>IFERROR(INDEX(面试清单!D:D,MATCH(1204,面试清单!P:P,0)),"")</f>
        <v/>
      </c>
      <c r="D1205" s="11" t="s">
        <v>42</v>
      </c>
      <c r="E1205" s="11" t="s">
        <v>62</v>
      </c>
      <c r="F1205" s="11" t="s">
        <v>179</v>
      </c>
      <c r="G1205" s="15">
        <v>46132</v>
      </c>
      <c r="H1205" s="14" t="str">
        <f>IFERROR(INDEX(面试清单!H:H,MATCH(1204,面试清单!P:P,0)),"")</f>
        <v/>
      </c>
      <c r="I1205" s="13" t="s">
        <v>29</v>
      </c>
      <c r="J1205" s="14">
        <f ca="1" t="shared" si="55"/>
        <v>57</v>
      </c>
      <c r="K1205" s="14">
        <f ca="1" t="shared" si="56"/>
        <v>16</v>
      </c>
    </row>
    <row r="1206" ht="18" spans="1:11">
      <c r="A1206" s="10">
        <f t="shared" si="54"/>
        <v>1205</v>
      </c>
      <c r="B1206" s="11" t="s">
        <v>5140</v>
      </c>
      <c r="C1206" s="10" t="str">
        <f>IFERROR(INDEX(面试清单!D:D,MATCH(1205,面试清单!P:P,0)),"")</f>
        <v/>
      </c>
      <c r="D1206" s="11" t="s">
        <v>74</v>
      </c>
      <c r="E1206" s="11" t="s">
        <v>64</v>
      </c>
      <c r="F1206" s="11" t="s">
        <v>179</v>
      </c>
      <c r="G1206" s="15">
        <v>46132</v>
      </c>
      <c r="H1206" s="10" t="str">
        <f>IFERROR(INDEX(面试清单!H:H,MATCH(1205,面试清单!P:P,0)),"")</f>
        <v/>
      </c>
      <c r="I1206" s="13" t="s">
        <v>29</v>
      </c>
      <c r="J1206" s="10">
        <f ca="1" t="shared" si="55"/>
        <v>57</v>
      </c>
      <c r="K1206" s="10">
        <f ca="1" t="shared" si="56"/>
        <v>16</v>
      </c>
    </row>
    <row r="1207" ht="18" spans="1:11">
      <c r="A1207" s="14">
        <f t="shared" si="54"/>
        <v>1206</v>
      </c>
      <c r="B1207" s="11" t="s">
        <v>5141</v>
      </c>
      <c r="C1207" s="14" t="str">
        <f>IFERROR(INDEX(面试清单!D:D,MATCH(1206,面试清单!P:P,0)),"")</f>
        <v/>
      </c>
      <c r="D1207" s="11" t="s">
        <v>74</v>
      </c>
      <c r="E1207" s="11" t="s">
        <v>64</v>
      </c>
      <c r="F1207" s="11" t="s">
        <v>148</v>
      </c>
      <c r="G1207" s="15">
        <v>46132</v>
      </c>
      <c r="H1207" s="14" t="str">
        <f>IFERROR(INDEX(面试清单!H:H,MATCH(1206,面试清单!P:P,0)),"")</f>
        <v/>
      </c>
      <c r="I1207" s="13" t="s">
        <v>29</v>
      </c>
      <c r="J1207" s="14">
        <f ca="1" t="shared" si="55"/>
        <v>57</v>
      </c>
      <c r="K1207" s="14">
        <f ca="1" t="shared" si="56"/>
        <v>16</v>
      </c>
    </row>
    <row r="1208" ht="18" spans="1:11">
      <c r="A1208" s="10">
        <f t="shared" si="54"/>
        <v>1207</v>
      </c>
      <c r="B1208" s="11" t="s">
        <v>5142</v>
      </c>
      <c r="C1208" s="125" t="str">
        <f>IFERROR(INDEX(面试清单!D:D,MATCH(1207,面试清单!P:P,0)),"")</f>
        <v>0220</v>
      </c>
      <c r="D1208" s="11" t="s">
        <v>43</v>
      </c>
      <c r="E1208" s="11" t="s">
        <v>62</v>
      </c>
      <c r="F1208" s="11" t="s">
        <v>509</v>
      </c>
      <c r="G1208" s="15">
        <v>46132</v>
      </c>
      <c r="H1208" s="10" t="str">
        <f>IFERROR(INDEX(面试清单!H:H,MATCH(1207,面试清单!P:P,0)),"")</f>
        <v>线上</v>
      </c>
      <c r="I1208" s="13" t="s">
        <v>29</v>
      </c>
      <c r="J1208" s="10">
        <f ca="1" t="shared" si="55"/>
        <v>57</v>
      </c>
      <c r="K1208" s="10">
        <f ca="1" t="shared" si="56"/>
        <v>16</v>
      </c>
    </row>
    <row r="1209" ht="18" spans="1:11">
      <c r="A1209" s="14">
        <f t="shared" si="54"/>
        <v>1208</v>
      </c>
      <c r="B1209" s="11" t="s">
        <v>5143</v>
      </c>
      <c r="C1209" s="14" t="str">
        <f>IFERROR(INDEX(面试清单!D:D,MATCH(1208,面试清单!P:P,0)),"")</f>
        <v/>
      </c>
      <c r="D1209" s="11" t="s">
        <v>43</v>
      </c>
      <c r="E1209" s="11" t="s">
        <v>63</v>
      </c>
      <c r="F1209" s="11" t="s">
        <v>148</v>
      </c>
      <c r="G1209" s="15">
        <v>46133</v>
      </c>
      <c r="H1209" s="14" t="str">
        <f>IFERROR(INDEX(面试清单!H:H,MATCH(1208,面试清单!P:P,0)),"")</f>
        <v/>
      </c>
      <c r="I1209" s="13" t="s">
        <v>29</v>
      </c>
      <c r="J1209" s="14">
        <f ca="1" t="shared" si="55"/>
        <v>56</v>
      </c>
      <c r="K1209" s="14">
        <f ca="1" t="shared" si="56"/>
        <v>16</v>
      </c>
    </row>
    <row r="1210" ht="36" spans="1:11">
      <c r="A1210" s="10">
        <f t="shared" si="54"/>
        <v>1209</v>
      </c>
      <c r="B1210" s="11" t="s">
        <v>5144</v>
      </c>
      <c r="C1210" s="10" t="str">
        <f>IFERROR(INDEX(面试清单!D:D,MATCH(1209,面试清单!P:P,0)),"")</f>
        <v/>
      </c>
      <c r="D1210" s="11" t="s">
        <v>42</v>
      </c>
      <c r="E1210" s="11" t="s">
        <v>63</v>
      </c>
      <c r="F1210" s="11" t="s">
        <v>124</v>
      </c>
      <c r="G1210" s="15">
        <v>46133</v>
      </c>
      <c r="H1210" s="10" t="str">
        <f>IFERROR(INDEX(面试清单!H:H,MATCH(1209,面试清单!P:P,0)),"")</f>
        <v/>
      </c>
      <c r="I1210" s="13" t="s">
        <v>29</v>
      </c>
      <c r="J1210" s="10">
        <f ca="1" t="shared" si="55"/>
        <v>56</v>
      </c>
      <c r="K1210" s="10">
        <f ca="1" t="shared" si="56"/>
        <v>16</v>
      </c>
    </row>
    <row r="1211" ht="18" spans="1:11">
      <c r="A1211" s="14">
        <f t="shared" si="54"/>
        <v>1210</v>
      </c>
      <c r="B1211" s="11" t="s">
        <v>5145</v>
      </c>
      <c r="C1211" s="14" t="str">
        <f>IFERROR(INDEX(面试清单!D:D,MATCH(1210,面试清单!P:P,0)),"")</f>
        <v/>
      </c>
      <c r="D1211" s="11" t="s">
        <v>43</v>
      </c>
      <c r="E1211" s="11" t="s">
        <v>63</v>
      </c>
      <c r="F1211" s="11" t="s">
        <v>124</v>
      </c>
      <c r="G1211" s="15">
        <v>46133</v>
      </c>
      <c r="H1211" s="14" t="str">
        <f>IFERROR(INDEX(面试清单!H:H,MATCH(1210,面试清单!P:P,0)),"")</f>
        <v/>
      </c>
      <c r="I1211" s="13" t="s">
        <v>29</v>
      </c>
      <c r="J1211" s="14">
        <f ca="1" t="shared" si="55"/>
        <v>56</v>
      </c>
      <c r="K1211" s="14">
        <f ca="1" t="shared" si="56"/>
        <v>16</v>
      </c>
    </row>
    <row r="1212" ht="18" spans="1:11">
      <c r="A1212" s="10">
        <f t="shared" si="54"/>
        <v>1211</v>
      </c>
      <c r="B1212" s="11" t="s">
        <v>5146</v>
      </c>
      <c r="C1212" s="10" t="str">
        <f>IFERROR(INDEX(面试清单!D:D,MATCH(1211,面试清单!P:P,0)),"")</f>
        <v/>
      </c>
      <c r="D1212" s="11" t="s">
        <v>43</v>
      </c>
      <c r="E1212" s="11" t="s">
        <v>62</v>
      </c>
      <c r="F1212" s="11" t="s">
        <v>103</v>
      </c>
      <c r="G1212" s="15">
        <v>46133</v>
      </c>
      <c r="H1212" s="10" t="str">
        <f>IFERROR(INDEX(面试清单!H:H,MATCH(1211,面试清单!P:P,0)),"")</f>
        <v/>
      </c>
      <c r="I1212" s="13" t="s">
        <v>29</v>
      </c>
      <c r="J1212" s="10">
        <f ca="1" t="shared" si="55"/>
        <v>56</v>
      </c>
      <c r="K1212" s="10">
        <f ca="1" t="shared" si="56"/>
        <v>16</v>
      </c>
    </row>
    <row r="1213" ht="18" spans="1:11">
      <c r="A1213" s="14">
        <f t="shared" si="54"/>
        <v>1212</v>
      </c>
      <c r="B1213" s="11" t="s">
        <v>5147</v>
      </c>
      <c r="C1213" s="124" t="str">
        <f>IFERROR(INDEX(面试清单!D:D,MATCH(1212,面试清单!P:P,0)),"")</f>
        <v>0212</v>
      </c>
      <c r="D1213" s="11" t="s">
        <v>43</v>
      </c>
      <c r="E1213" s="11" t="s">
        <v>62</v>
      </c>
      <c r="F1213" s="11" t="s">
        <v>103</v>
      </c>
      <c r="G1213" s="15">
        <v>46133</v>
      </c>
      <c r="H1213" s="14" t="str">
        <f>IFERROR(INDEX(面试清单!H:H,MATCH(1212,面试清单!P:P,0)),"")</f>
        <v>线上</v>
      </c>
      <c r="I1213" s="13" t="s">
        <v>29</v>
      </c>
      <c r="J1213" s="14">
        <f ca="1" t="shared" si="55"/>
        <v>56</v>
      </c>
      <c r="K1213" s="14">
        <f ca="1" t="shared" si="56"/>
        <v>16</v>
      </c>
    </row>
    <row r="1214" ht="18" spans="1:11">
      <c r="A1214" s="10">
        <f t="shared" si="54"/>
        <v>1213</v>
      </c>
      <c r="B1214" s="11" t="s">
        <v>5148</v>
      </c>
      <c r="C1214" s="125" t="str">
        <f>IFERROR(INDEX(面试清单!D:D,MATCH(1213,面试清单!P:P,0)),"")</f>
        <v>0214</v>
      </c>
      <c r="D1214" s="11" t="s">
        <v>43</v>
      </c>
      <c r="E1214" s="11" t="s">
        <v>63</v>
      </c>
      <c r="F1214" s="11" t="s">
        <v>103</v>
      </c>
      <c r="G1214" s="15">
        <v>46133</v>
      </c>
      <c r="H1214" s="10" t="str">
        <f>IFERROR(INDEX(面试清单!H:H,MATCH(1213,面试清单!P:P,0)),"")</f>
        <v>线上</v>
      </c>
      <c r="I1214" s="13" t="s">
        <v>29</v>
      </c>
      <c r="J1214" s="10">
        <f ca="1" t="shared" si="55"/>
        <v>56</v>
      </c>
      <c r="K1214" s="10">
        <f ca="1" t="shared" si="56"/>
        <v>16</v>
      </c>
    </row>
    <row r="1215" ht="18" spans="1:11">
      <c r="A1215" s="14">
        <f t="shared" si="54"/>
        <v>1214</v>
      </c>
      <c r="B1215" s="11" t="s">
        <v>5149</v>
      </c>
      <c r="C1215" s="124" t="str">
        <f>IFERROR(INDEX(面试清单!D:D,MATCH(1214,面试清单!P:P,0)),"")</f>
        <v>0217</v>
      </c>
      <c r="D1215" s="11" t="s">
        <v>43</v>
      </c>
      <c r="E1215" s="11" t="s">
        <v>63</v>
      </c>
      <c r="F1215" s="11" t="s">
        <v>179</v>
      </c>
      <c r="G1215" s="15">
        <v>46133</v>
      </c>
      <c r="H1215" s="14" t="str">
        <f>IFERROR(INDEX(面试清单!H:H,MATCH(1214,面试清单!P:P,0)),"")</f>
        <v>线上</v>
      </c>
      <c r="I1215" s="13" t="s">
        <v>29</v>
      </c>
      <c r="J1215" s="14">
        <f ca="1" t="shared" si="55"/>
        <v>56</v>
      </c>
      <c r="K1215" s="14">
        <f ca="1" t="shared" si="56"/>
        <v>16</v>
      </c>
    </row>
    <row r="1216" ht="18" spans="1:11">
      <c r="A1216" s="10">
        <f t="shared" si="54"/>
        <v>1215</v>
      </c>
      <c r="B1216" s="11" t="s">
        <v>5150</v>
      </c>
      <c r="C1216" s="125" t="str">
        <f>IFERROR(INDEX(面试清单!D:D,MATCH(1215,面试清单!P:P,0)),"")</f>
        <v>0218</v>
      </c>
      <c r="D1216" s="11" t="s">
        <v>74</v>
      </c>
      <c r="E1216" s="11" t="s">
        <v>64</v>
      </c>
      <c r="F1216" s="11" t="s">
        <v>117</v>
      </c>
      <c r="G1216" s="15">
        <v>46133</v>
      </c>
      <c r="H1216" s="10" t="str">
        <f>IFERROR(INDEX(面试清单!H:H,MATCH(1215,面试清单!P:P,0)),"")</f>
        <v>线上</v>
      </c>
      <c r="I1216" s="13" t="s">
        <v>29</v>
      </c>
      <c r="J1216" s="10">
        <f ca="1" t="shared" si="55"/>
        <v>56</v>
      </c>
      <c r="K1216" s="10">
        <f ca="1" t="shared" si="56"/>
        <v>16</v>
      </c>
    </row>
    <row r="1217" ht="18" spans="1:11">
      <c r="A1217" s="14">
        <f t="shared" si="54"/>
        <v>1216</v>
      </c>
      <c r="B1217" s="11" t="s">
        <v>5151</v>
      </c>
      <c r="C1217" s="124" t="str">
        <f>IFERROR(INDEX(面试清单!D:D,MATCH(1216,面试清单!P:P,0)),"")</f>
        <v>0220</v>
      </c>
      <c r="D1217" s="11" t="s">
        <v>74</v>
      </c>
      <c r="E1217" s="11" t="s">
        <v>64</v>
      </c>
      <c r="F1217" s="11" t="s">
        <v>148</v>
      </c>
      <c r="G1217" s="15">
        <v>46133</v>
      </c>
      <c r="H1217" s="14" t="str">
        <f>IFERROR(INDEX(面试清单!H:H,MATCH(1216,面试清单!P:P,0)),"")</f>
        <v>线上</v>
      </c>
      <c r="I1217" s="13" t="s">
        <v>29</v>
      </c>
      <c r="J1217" s="14">
        <f ca="1" t="shared" si="55"/>
        <v>56</v>
      </c>
      <c r="K1217" s="14">
        <f ca="1" t="shared" si="56"/>
        <v>16</v>
      </c>
    </row>
    <row r="1218" ht="18" spans="1:11">
      <c r="A1218" s="10">
        <f t="shared" ref="A1218:A1281" si="57">IF(B1218&lt;&gt;"",ROW()-1,"")</f>
        <v>1217</v>
      </c>
      <c r="B1218" s="11" t="s">
        <v>5152</v>
      </c>
      <c r="C1218" s="10" t="str">
        <f>IFERROR(INDEX(面试清单!D:D,MATCH(1217,面试清单!P:P,0)),"")</f>
        <v/>
      </c>
      <c r="D1218" s="11" t="s">
        <v>74</v>
      </c>
      <c r="E1218" s="11" t="s">
        <v>64</v>
      </c>
      <c r="F1218" s="11" t="s">
        <v>148</v>
      </c>
      <c r="G1218" s="15">
        <v>46133</v>
      </c>
      <c r="H1218" s="10" t="str">
        <f>IFERROR(INDEX(面试清单!H:H,MATCH(1217,面试清单!P:P,0)),"")</f>
        <v/>
      </c>
      <c r="I1218" s="13" t="s">
        <v>29</v>
      </c>
      <c r="J1218" s="10">
        <f ca="1" t="shared" ref="J1218:J1281" si="58">IF(G1218&lt;&gt;"",TODAY()-G1218,"")</f>
        <v>56</v>
      </c>
      <c r="K1218" s="10">
        <f ca="1" t="shared" ref="K1218:K1281" si="59">IF(G1218&lt;&gt;"",MAX(0,MIN(TODAY(),EOMONTH(TODAY(),0))-MAX(G1218,EOMONTH(TODAY(),-1)+1)+1),"")</f>
        <v>16</v>
      </c>
    </row>
    <row r="1219" ht="18" spans="1:11">
      <c r="A1219" s="14">
        <f t="shared" si="57"/>
        <v>1218</v>
      </c>
      <c r="B1219" s="11" t="s">
        <v>5153</v>
      </c>
      <c r="C1219" s="124" t="str">
        <f>IFERROR(INDEX(面试清单!D:D,MATCH(1218,面试清单!P:P,0)),"")</f>
        <v>0222</v>
      </c>
      <c r="D1219" s="11" t="s">
        <v>74</v>
      </c>
      <c r="E1219" s="11" t="s">
        <v>64</v>
      </c>
      <c r="F1219" s="11" t="s">
        <v>148</v>
      </c>
      <c r="G1219" s="15">
        <v>46133</v>
      </c>
      <c r="H1219" s="14" t="str">
        <f>IFERROR(INDEX(面试清单!H:H,MATCH(1218,面试清单!P:P,0)),"")</f>
        <v>线上</v>
      </c>
      <c r="I1219" s="13" t="s">
        <v>29</v>
      </c>
      <c r="J1219" s="14">
        <f ca="1" t="shared" si="58"/>
        <v>56</v>
      </c>
      <c r="K1219" s="14">
        <f ca="1" t="shared" si="59"/>
        <v>16</v>
      </c>
    </row>
    <row r="1220" ht="18" spans="1:11">
      <c r="A1220" s="10">
        <f t="shared" si="57"/>
        <v>1219</v>
      </c>
      <c r="B1220" s="11" t="s">
        <v>5154</v>
      </c>
      <c r="C1220" s="10" t="str">
        <f>IFERROR(INDEX(面试清单!D:D,MATCH(1219,面试清单!P:P,0)),"")</f>
        <v/>
      </c>
      <c r="D1220" s="11" t="s">
        <v>74</v>
      </c>
      <c r="E1220" s="11" t="s">
        <v>64</v>
      </c>
      <c r="F1220" s="11" t="s">
        <v>148</v>
      </c>
      <c r="G1220" s="15">
        <v>46133</v>
      </c>
      <c r="H1220" s="10" t="str">
        <f>IFERROR(INDEX(面试清单!H:H,MATCH(1219,面试清单!P:P,0)),"")</f>
        <v/>
      </c>
      <c r="I1220" s="13" t="s">
        <v>29</v>
      </c>
      <c r="J1220" s="10">
        <f ca="1" t="shared" si="58"/>
        <v>56</v>
      </c>
      <c r="K1220" s="10">
        <f ca="1" t="shared" si="59"/>
        <v>16</v>
      </c>
    </row>
    <row r="1221" ht="18" spans="1:11">
      <c r="A1221" s="14">
        <f t="shared" si="57"/>
        <v>1220</v>
      </c>
      <c r="B1221" s="11" t="s">
        <v>5155</v>
      </c>
      <c r="C1221" s="124" t="str">
        <f>IFERROR(INDEX(面试清单!D:D,MATCH(1220,面试清单!P:P,0)),"")</f>
        <v>0208</v>
      </c>
      <c r="D1221" s="11" t="s">
        <v>74</v>
      </c>
      <c r="E1221" s="11" t="s">
        <v>64</v>
      </c>
      <c r="F1221" s="11" t="s">
        <v>117</v>
      </c>
      <c r="G1221" s="15">
        <v>46133</v>
      </c>
      <c r="H1221" s="14" t="str">
        <f>IFERROR(INDEX(面试清单!H:H,MATCH(1220,面试清单!P:P,0)),"")</f>
        <v>线上</v>
      </c>
      <c r="I1221" s="13" t="s">
        <v>29</v>
      </c>
      <c r="J1221" s="14">
        <f ca="1" t="shared" si="58"/>
        <v>56</v>
      </c>
      <c r="K1221" s="14">
        <f ca="1" t="shared" si="59"/>
        <v>16</v>
      </c>
    </row>
    <row r="1222" ht="18" spans="1:11">
      <c r="A1222" s="10">
        <f t="shared" si="57"/>
        <v>1221</v>
      </c>
      <c r="B1222" s="11" t="s">
        <v>5156</v>
      </c>
      <c r="C1222" s="125" t="str">
        <f>IFERROR(INDEX(面试清单!D:D,MATCH(1221,面试清单!P:P,0)),"")</f>
        <v>0209</v>
      </c>
      <c r="D1222" s="11" t="s">
        <v>74</v>
      </c>
      <c r="E1222" s="11" t="s">
        <v>64</v>
      </c>
      <c r="F1222" s="11" t="s">
        <v>117</v>
      </c>
      <c r="G1222" s="15">
        <v>46133</v>
      </c>
      <c r="H1222" s="10" t="str">
        <f>IFERROR(INDEX(面试清单!H:H,MATCH(1221,面试清单!P:P,0)),"")</f>
        <v>线上</v>
      </c>
      <c r="I1222" s="13" t="s">
        <v>29</v>
      </c>
      <c r="J1222" s="10">
        <f ca="1" t="shared" si="58"/>
        <v>56</v>
      </c>
      <c r="K1222" s="10">
        <f ca="1" t="shared" si="59"/>
        <v>16</v>
      </c>
    </row>
    <row r="1223" ht="18" spans="1:11">
      <c r="A1223" s="14">
        <f t="shared" si="57"/>
        <v>1222</v>
      </c>
      <c r="B1223" s="11" t="s">
        <v>5157</v>
      </c>
      <c r="C1223" s="14" t="str">
        <f>IFERROR(INDEX(面试清单!D:D,MATCH(1222,面试清单!P:P,0)),"")</f>
        <v/>
      </c>
      <c r="D1223" s="11" t="s">
        <v>74</v>
      </c>
      <c r="E1223" s="11" t="s">
        <v>64</v>
      </c>
      <c r="F1223" s="11" t="s">
        <v>117</v>
      </c>
      <c r="G1223" s="15">
        <v>46133</v>
      </c>
      <c r="H1223" s="14" t="str">
        <f>IFERROR(INDEX(面试清单!H:H,MATCH(1222,面试清单!P:P,0)),"")</f>
        <v/>
      </c>
      <c r="I1223" s="13" t="s">
        <v>29</v>
      </c>
      <c r="J1223" s="14">
        <f ca="1" t="shared" si="58"/>
        <v>56</v>
      </c>
      <c r="K1223" s="14">
        <f ca="1" t="shared" si="59"/>
        <v>16</v>
      </c>
    </row>
    <row r="1224" ht="18" spans="1:11">
      <c r="A1224" s="10">
        <f t="shared" si="57"/>
        <v>1223</v>
      </c>
      <c r="B1224" s="11" t="s">
        <v>5158</v>
      </c>
      <c r="C1224" s="10" t="str">
        <f>IFERROR(INDEX(面试清单!D:D,MATCH(1223,面试清单!P:P,0)),"")</f>
        <v/>
      </c>
      <c r="D1224" s="11" t="s">
        <v>74</v>
      </c>
      <c r="E1224" s="11" t="s">
        <v>64</v>
      </c>
      <c r="F1224" s="11" t="s">
        <v>179</v>
      </c>
      <c r="G1224" s="15">
        <v>46133</v>
      </c>
      <c r="H1224" s="10" t="str">
        <f>IFERROR(INDEX(面试清单!H:H,MATCH(1223,面试清单!P:P,0)),"")</f>
        <v/>
      </c>
      <c r="I1224" s="13" t="s">
        <v>29</v>
      </c>
      <c r="J1224" s="10">
        <f ca="1" t="shared" si="58"/>
        <v>56</v>
      </c>
      <c r="K1224" s="10">
        <f ca="1" t="shared" si="59"/>
        <v>16</v>
      </c>
    </row>
    <row r="1225" ht="18" spans="1:11">
      <c r="A1225" s="14">
        <f t="shared" si="57"/>
        <v>1224</v>
      </c>
      <c r="B1225" s="11" t="s">
        <v>5159</v>
      </c>
      <c r="C1225" s="14" t="str">
        <f>IFERROR(INDEX(面试清单!D:D,MATCH(1224,面试清单!P:P,0)),"")</f>
        <v/>
      </c>
      <c r="D1225" s="11" t="s">
        <v>74</v>
      </c>
      <c r="E1225" s="11" t="s">
        <v>64</v>
      </c>
      <c r="F1225" s="11" t="s">
        <v>179</v>
      </c>
      <c r="G1225" s="15">
        <v>46133</v>
      </c>
      <c r="H1225" s="14" t="str">
        <f>IFERROR(INDEX(面试清单!H:H,MATCH(1224,面试清单!P:P,0)),"")</f>
        <v/>
      </c>
      <c r="I1225" s="13" t="s">
        <v>29</v>
      </c>
      <c r="J1225" s="14">
        <f ca="1" t="shared" si="58"/>
        <v>56</v>
      </c>
      <c r="K1225" s="14">
        <f ca="1" t="shared" si="59"/>
        <v>16</v>
      </c>
    </row>
    <row r="1226" ht="18" spans="1:11">
      <c r="A1226" s="10">
        <f t="shared" si="57"/>
        <v>1225</v>
      </c>
      <c r="B1226" s="11" t="s">
        <v>5160</v>
      </c>
      <c r="C1226" s="10" t="str">
        <f>IFERROR(INDEX(面试清单!D:D,MATCH(1225,面试清单!P:P,0)),"")</f>
        <v/>
      </c>
      <c r="D1226" s="11" t="s">
        <v>42</v>
      </c>
      <c r="E1226" s="11" t="s">
        <v>63</v>
      </c>
      <c r="F1226" s="11" t="s">
        <v>173</v>
      </c>
      <c r="G1226" s="15">
        <v>46133</v>
      </c>
      <c r="H1226" s="10" t="str">
        <f>IFERROR(INDEX(面试清单!H:H,MATCH(1225,面试清单!P:P,0)),"")</f>
        <v/>
      </c>
      <c r="I1226" s="13" t="s">
        <v>29</v>
      </c>
      <c r="J1226" s="10">
        <f ca="1" t="shared" si="58"/>
        <v>56</v>
      </c>
      <c r="K1226" s="10">
        <f ca="1" t="shared" si="59"/>
        <v>16</v>
      </c>
    </row>
    <row r="1227" ht="18" spans="1:11">
      <c r="A1227" s="14">
        <f t="shared" si="57"/>
        <v>1226</v>
      </c>
      <c r="B1227" s="11" t="s">
        <v>5161</v>
      </c>
      <c r="C1227" s="14" t="str">
        <f>IFERROR(INDEX(面试清单!D:D,MATCH(1226,面试清单!P:P,0)),"")</f>
        <v/>
      </c>
      <c r="D1227" s="11" t="s">
        <v>43</v>
      </c>
      <c r="E1227" s="11" t="s">
        <v>63</v>
      </c>
      <c r="F1227" s="11" t="s">
        <v>148</v>
      </c>
      <c r="G1227" s="15">
        <v>46134</v>
      </c>
      <c r="H1227" s="14" t="str">
        <f>IFERROR(INDEX(面试清单!H:H,MATCH(1226,面试清单!P:P,0)),"")</f>
        <v/>
      </c>
      <c r="I1227" s="13" t="s">
        <v>29</v>
      </c>
      <c r="J1227" s="14">
        <f ca="1" t="shared" si="58"/>
        <v>55</v>
      </c>
      <c r="K1227" s="14">
        <f ca="1" t="shared" si="59"/>
        <v>16</v>
      </c>
    </row>
    <row r="1228" ht="18" spans="1:11">
      <c r="A1228" s="10">
        <f t="shared" si="57"/>
        <v>1227</v>
      </c>
      <c r="B1228" s="11" t="s">
        <v>5162</v>
      </c>
      <c r="C1228" s="10" t="str">
        <f>IFERROR(INDEX(面试清单!D:D,MATCH(1227,面试清单!P:P,0)),"")</f>
        <v/>
      </c>
      <c r="D1228" s="11" t="s">
        <v>42</v>
      </c>
      <c r="E1228" s="11" t="s">
        <v>63</v>
      </c>
      <c r="F1228" s="11" t="s">
        <v>148</v>
      </c>
      <c r="G1228" s="15">
        <v>46134</v>
      </c>
      <c r="H1228" s="10" t="str">
        <f>IFERROR(INDEX(面试清单!H:H,MATCH(1227,面试清单!P:P,0)),"")</f>
        <v/>
      </c>
      <c r="I1228" s="13" t="s">
        <v>29</v>
      </c>
      <c r="J1228" s="10">
        <f ca="1" t="shared" si="58"/>
        <v>55</v>
      </c>
      <c r="K1228" s="10">
        <f ca="1" t="shared" si="59"/>
        <v>16</v>
      </c>
    </row>
    <row r="1229" ht="18" spans="1:11">
      <c r="A1229" s="14">
        <f t="shared" si="57"/>
        <v>1228</v>
      </c>
      <c r="B1229" s="11" t="s">
        <v>5163</v>
      </c>
      <c r="C1229" s="124" t="str">
        <f>IFERROR(INDEX(面试清单!D:D,MATCH(1228,面试清单!P:P,0)),"")</f>
        <v>0222</v>
      </c>
      <c r="D1229" s="11" t="s">
        <v>43</v>
      </c>
      <c r="E1229" s="11" t="s">
        <v>62</v>
      </c>
      <c r="F1229" s="11" t="s">
        <v>173</v>
      </c>
      <c r="G1229" s="15">
        <v>46134</v>
      </c>
      <c r="H1229" s="14" t="str">
        <f>IFERROR(INDEX(面试清单!H:H,MATCH(1228,面试清单!P:P,0)),"")</f>
        <v>线上</v>
      </c>
      <c r="I1229" s="13" t="s">
        <v>29</v>
      </c>
      <c r="J1229" s="14">
        <f ca="1" t="shared" si="58"/>
        <v>55</v>
      </c>
      <c r="K1229" s="14">
        <f ca="1" t="shared" si="59"/>
        <v>16</v>
      </c>
    </row>
    <row r="1230" ht="18" spans="1:11">
      <c r="A1230" s="10">
        <f t="shared" si="57"/>
        <v>1229</v>
      </c>
      <c r="B1230" s="11" t="s">
        <v>5164</v>
      </c>
      <c r="C1230" s="125" t="str">
        <f>IFERROR(INDEX(面试清单!D:D,MATCH(1229,面试清单!P:P,0)),"")</f>
        <v>0208</v>
      </c>
      <c r="D1230" s="11" t="s">
        <v>43</v>
      </c>
      <c r="E1230" s="11" t="s">
        <v>63</v>
      </c>
      <c r="F1230" s="11" t="s">
        <v>173</v>
      </c>
      <c r="G1230" s="15">
        <v>46134</v>
      </c>
      <c r="H1230" s="10" t="str">
        <f>IFERROR(INDEX(面试清单!H:H,MATCH(1229,面试清单!P:P,0)),"")</f>
        <v>线上</v>
      </c>
      <c r="I1230" s="13" t="s">
        <v>29</v>
      </c>
      <c r="J1230" s="10">
        <f ca="1" t="shared" si="58"/>
        <v>55</v>
      </c>
      <c r="K1230" s="10">
        <f ca="1" t="shared" si="59"/>
        <v>16</v>
      </c>
    </row>
    <row r="1231" ht="18" spans="1:11">
      <c r="A1231" s="14">
        <f t="shared" si="57"/>
        <v>1230</v>
      </c>
      <c r="B1231" s="11" t="s">
        <v>5165</v>
      </c>
      <c r="C1231" s="124" t="str">
        <f>IFERROR(INDEX(面试清单!D:D,MATCH(1230,面试清单!P:P,0)),"")</f>
        <v>0209</v>
      </c>
      <c r="D1231" s="11" t="s">
        <v>43</v>
      </c>
      <c r="E1231" s="11" t="s">
        <v>62</v>
      </c>
      <c r="F1231" s="11" t="s">
        <v>132</v>
      </c>
      <c r="G1231" s="15">
        <v>46134</v>
      </c>
      <c r="H1231" s="14" t="str">
        <f>IFERROR(INDEX(面试清单!H:H,MATCH(1230,面试清单!P:P,0)),"")</f>
        <v>线上</v>
      </c>
      <c r="I1231" s="13" t="s">
        <v>29</v>
      </c>
      <c r="J1231" s="14">
        <f ca="1" t="shared" si="58"/>
        <v>55</v>
      </c>
      <c r="K1231" s="14">
        <f ca="1" t="shared" si="59"/>
        <v>16</v>
      </c>
    </row>
    <row r="1232" ht="18" spans="1:11">
      <c r="A1232" s="10">
        <f t="shared" si="57"/>
        <v>1231</v>
      </c>
      <c r="B1232" s="11" t="s">
        <v>5166</v>
      </c>
      <c r="C1232" s="10" t="str">
        <f>IFERROR(INDEX(面试清单!D:D,MATCH(1231,面试清单!P:P,0)),"")</f>
        <v/>
      </c>
      <c r="D1232" s="11" t="s">
        <v>42</v>
      </c>
      <c r="E1232" s="11" t="s">
        <v>63</v>
      </c>
      <c r="F1232" s="11" t="s">
        <v>1166</v>
      </c>
      <c r="G1232" s="15">
        <v>46134</v>
      </c>
      <c r="H1232" s="10" t="str">
        <f>IFERROR(INDEX(面试清单!H:H,MATCH(1231,面试清单!P:P,0)),"")</f>
        <v/>
      </c>
      <c r="I1232" s="13" t="s">
        <v>29</v>
      </c>
      <c r="J1232" s="10">
        <f ca="1" t="shared" si="58"/>
        <v>55</v>
      </c>
      <c r="K1232" s="10">
        <f ca="1" t="shared" si="59"/>
        <v>16</v>
      </c>
    </row>
    <row r="1233" ht="18" spans="1:11">
      <c r="A1233" s="14">
        <f t="shared" si="57"/>
        <v>1232</v>
      </c>
      <c r="B1233" s="11" t="s">
        <v>5167</v>
      </c>
      <c r="C1233" s="124" t="str">
        <f>IFERROR(INDEX(面试清单!D:D,MATCH(1232,面试清单!P:P,0)),"")</f>
        <v>0214</v>
      </c>
      <c r="D1233" s="11" t="s">
        <v>43</v>
      </c>
      <c r="E1233" s="11" t="s">
        <v>62</v>
      </c>
      <c r="F1233" s="11" t="s">
        <v>124</v>
      </c>
      <c r="G1233" s="15">
        <v>46134</v>
      </c>
      <c r="H1233" s="14" t="str">
        <f>IFERROR(INDEX(面试清单!H:H,MATCH(1232,面试清单!P:P,0)),"")</f>
        <v>线上</v>
      </c>
      <c r="I1233" s="13" t="s">
        <v>29</v>
      </c>
      <c r="J1233" s="14">
        <f ca="1" t="shared" si="58"/>
        <v>55</v>
      </c>
      <c r="K1233" s="14">
        <f ca="1" t="shared" si="59"/>
        <v>16</v>
      </c>
    </row>
    <row r="1234" ht="18" spans="1:11">
      <c r="A1234" s="10">
        <f t="shared" si="57"/>
        <v>1233</v>
      </c>
      <c r="B1234" s="11" t="s">
        <v>5168</v>
      </c>
      <c r="C1234" s="10" t="str">
        <f>IFERROR(INDEX(面试清单!D:D,MATCH(1233,面试清单!P:P,0)),"")</f>
        <v/>
      </c>
      <c r="D1234" s="11" t="s">
        <v>43</v>
      </c>
      <c r="E1234" s="11" t="s">
        <v>62</v>
      </c>
      <c r="F1234" s="11" t="s">
        <v>103</v>
      </c>
      <c r="G1234" s="15">
        <v>46134</v>
      </c>
      <c r="H1234" s="10" t="str">
        <f>IFERROR(INDEX(面试清单!H:H,MATCH(1233,面试清单!P:P,0)),"")</f>
        <v/>
      </c>
      <c r="I1234" s="13" t="s">
        <v>29</v>
      </c>
      <c r="J1234" s="10">
        <f ca="1" t="shared" si="58"/>
        <v>55</v>
      </c>
      <c r="K1234" s="10">
        <f ca="1" t="shared" si="59"/>
        <v>16</v>
      </c>
    </row>
    <row r="1235" ht="18" spans="1:11">
      <c r="A1235" s="14">
        <f t="shared" si="57"/>
        <v>1234</v>
      </c>
      <c r="B1235" s="11" t="s">
        <v>5169</v>
      </c>
      <c r="C1235" s="14" t="str">
        <f>IFERROR(INDEX(面试清单!D:D,MATCH(1234,面试清单!P:P,0)),"")</f>
        <v/>
      </c>
      <c r="D1235" s="11" t="s">
        <v>43</v>
      </c>
      <c r="E1235" s="11" t="s">
        <v>62</v>
      </c>
      <c r="F1235" s="11" t="s">
        <v>103</v>
      </c>
      <c r="G1235" s="15">
        <v>46134</v>
      </c>
      <c r="H1235" s="14" t="str">
        <f>IFERROR(INDEX(面试清单!H:H,MATCH(1234,面试清单!P:P,0)),"")</f>
        <v/>
      </c>
      <c r="I1235" s="13" t="s">
        <v>29</v>
      </c>
      <c r="J1235" s="14">
        <f ca="1" t="shared" si="58"/>
        <v>55</v>
      </c>
      <c r="K1235" s="14">
        <f ca="1" t="shared" si="59"/>
        <v>16</v>
      </c>
    </row>
    <row r="1236" ht="18" spans="1:11">
      <c r="A1236" s="10">
        <f t="shared" si="57"/>
        <v>1235</v>
      </c>
      <c r="B1236" s="11" t="s">
        <v>5170</v>
      </c>
      <c r="C1236" s="125" t="str">
        <f>IFERROR(INDEX(面试清单!D:D,MATCH(1235,面试清单!P:P,0)),"")</f>
        <v>0220</v>
      </c>
      <c r="D1236" s="11" t="s">
        <v>43</v>
      </c>
      <c r="E1236" s="11" t="s">
        <v>63</v>
      </c>
      <c r="F1236" s="11" t="s">
        <v>179</v>
      </c>
      <c r="G1236" s="15">
        <v>46134</v>
      </c>
      <c r="H1236" s="10" t="str">
        <f>IFERROR(INDEX(面试清单!H:H,MATCH(1235,面试清单!P:P,0)),"")</f>
        <v>线上</v>
      </c>
      <c r="I1236" s="13" t="s">
        <v>29</v>
      </c>
      <c r="J1236" s="10">
        <f ca="1" t="shared" si="58"/>
        <v>55</v>
      </c>
      <c r="K1236" s="10">
        <f ca="1" t="shared" si="59"/>
        <v>16</v>
      </c>
    </row>
    <row r="1237" ht="18" spans="1:11">
      <c r="A1237" s="14">
        <f t="shared" si="57"/>
        <v>1236</v>
      </c>
      <c r="B1237" s="11" t="s">
        <v>5171</v>
      </c>
      <c r="C1237" s="124" t="str">
        <f>IFERROR(INDEX(面试清单!D:D,MATCH(1236,面试清单!P:P,0)),"")</f>
        <v>0221</v>
      </c>
      <c r="D1237" s="11" t="s">
        <v>43</v>
      </c>
      <c r="E1237" s="11" t="s">
        <v>62</v>
      </c>
      <c r="F1237" s="11" t="s">
        <v>103</v>
      </c>
      <c r="G1237" s="15">
        <v>46134</v>
      </c>
      <c r="H1237" s="14" t="str">
        <f>IFERROR(INDEX(面试清单!H:H,MATCH(1236,面试清单!P:P,0)),"")</f>
        <v>线上</v>
      </c>
      <c r="I1237" s="13" t="s">
        <v>29</v>
      </c>
      <c r="J1237" s="14">
        <f ca="1" t="shared" si="58"/>
        <v>55</v>
      </c>
      <c r="K1237" s="14">
        <f ca="1" t="shared" si="59"/>
        <v>16</v>
      </c>
    </row>
    <row r="1238" ht="18" spans="1:11">
      <c r="A1238" s="10">
        <f t="shared" si="57"/>
        <v>1237</v>
      </c>
      <c r="B1238" s="11" t="s">
        <v>5172</v>
      </c>
      <c r="C1238" s="10" t="str">
        <f>IFERROR(INDEX(面试清单!D:D,MATCH(1237,面试清单!P:P,0)),"")</f>
        <v/>
      </c>
      <c r="D1238" s="11" t="s">
        <v>74</v>
      </c>
      <c r="E1238" s="11" t="s">
        <v>64</v>
      </c>
      <c r="F1238" s="11" t="s">
        <v>117</v>
      </c>
      <c r="G1238" s="15">
        <v>46134</v>
      </c>
      <c r="H1238" s="10" t="str">
        <f>IFERROR(INDEX(面试清单!H:H,MATCH(1237,面试清单!P:P,0)),"")</f>
        <v/>
      </c>
      <c r="I1238" s="13" t="s">
        <v>29</v>
      </c>
      <c r="J1238" s="10">
        <f ca="1" t="shared" si="58"/>
        <v>55</v>
      </c>
      <c r="K1238" s="10">
        <f ca="1" t="shared" si="59"/>
        <v>16</v>
      </c>
    </row>
    <row r="1239" ht="18" spans="1:11">
      <c r="A1239" s="14">
        <f t="shared" si="57"/>
        <v>1238</v>
      </c>
      <c r="B1239" s="11" t="s">
        <v>5173</v>
      </c>
      <c r="C1239" s="14" t="str">
        <f>IFERROR(INDEX(面试清单!D:D,MATCH(1238,面试清单!P:P,0)),"")</f>
        <v/>
      </c>
      <c r="D1239" s="11" t="s">
        <v>74</v>
      </c>
      <c r="E1239" s="11" t="s">
        <v>64</v>
      </c>
      <c r="F1239" s="11" t="s">
        <v>426</v>
      </c>
      <c r="G1239" s="15">
        <v>46134</v>
      </c>
      <c r="H1239" s="14" t="str">
        <f>IFERROR(INDEX(面试清单!H:H,MATCH(1238,面试清单!P:P,0)),"")</f>
        <v/>
      </c>
      <c r="I1239" s="13" t="s">
        <v>29</v>
      </c>
      <c r="J1239" s="14">
        <f ca="1" t="shared" si="58"/>
        <v>55</v>
      </c>
      <c r="K1239" s="14">
        <f ca="1" t="shared" si="59"/>
        <v>16</v>
      </c>
    </row>
    <row r="1240" ht="18" spans="1:11">
      <c r="A1240" s="10">
        <f t="shared" si="57"/>
        <v>1239</v>
      </c>
      <c r="B1240" s="11" t="s">
        <v>5174</v>
      </c>
      <c r="C1240" s="10" t="str">
        <f>IFERROR(INDEX(面试清单!D:D,MATCH(1239,面试清单!P:P,0)),"")</f>
        <v/>
      </c>
      <c r="D1240" s="11" t="s">
        <v>74</v>
      </c>
      <c r="E1240" s="11" t="s">
        <v>64</v>
      </c>
      <c r="F1240" s="11" t="s">
        <v>117</v>
      </c>
      <c r="G1240" s="15">
        <v>46134</v>
      </c>
      <c r="H1240" s="10" t="str">
        <f>IFERROR(INDEX(面试清单!H:H,MATCH(1239,面试清单!P:P,0)),"")</f>
        <v/>
      </c>
      <c r="I1240" s="13" t="s">
        <v>29</v>
      </c>
      <c r="J1240" s="10">
        <f ca="1" t="shared" si="58"/>
        <v>55</v>
      </c>
      <c r="K1240" s="10">
        <f ca="1" t="shared" si="59"/>
        <v>16</v>
      </c>
    </row>
    <row r="1241" ht="18" spans="1:11">
      <c r="A1241" s="14">
        <f t="shared" si="57"/>
        <v>1240</v>
      </c>
      <c r="B1241" s="11" t="s">
        <v>5175</v>
      </c>
      <c r="C1241" s="124" t="str">
        <f>IFERROR(INDEX(面试清单!D:D,MATCH(1240,面试清单!P:P,0)),"")</f>
        <v>0212</v>
      </c>
      <c r="D1241" s="11" t="s">
        <v>74</v>
      </c>
      <c r="E1241" s="11" t="s">
        <v>64</v>
      </c>
      <c r="F1241" s="11" t="s">
        <v>117</v>
      </c>
      <c r="G1241" s="15">
        <v>46134</v>
      </c>
      <c r="H1241" s="14" t="str">
        <f>IFERROR(INDEX(面试清单!H:H,MATCH(1240,面试清单!P:P,0)),"")</f>
        <v>线上</v>
      </c>
      <c r="I1241" s="13" t="s">
        <v>29</v>
      </c>
      <c r="J1241" s="14">
        <f ca="1" t="shared" si="58"/>
        <v>55</v>
      </c>
      <c r="K1241" s="14">
        <f ca="1" t="shared" si="59"/>
        <v>16</v>
      </c>
    </row>
    <row r="1242" ht="18" spans="1:11">
      <c r="A1242" s="10">
        <f t="shared" si="57"/>
        <v>1241</v>
      </c>
      <c r="B1242" s="11" t="s">
        <v>5176</v>
      </c>
      <c r="C1242" s="125" t="str">
        <f>IFERROR(INDEX(面试清单!D:D,MATCH(1241,面试清单!P:P,0)),"")</f>
        <v>0214</v>
      </c>
      <c r="D1242" s="11" t="s">
        <v>74</v>
      </c>
      <c r="E1242" s="11" t="s">
        <v>64</v>
      </c>
      <c r="F1242" s="11" t="s">
        <v>117</v>
      </c>
      <c r="G1242" s="15">
        <v>46134</v>
      </c>
      <c r="H1242" s="10" t="str">
        <f>IFERROR(INDEX(面试清单!H:H,MATCH(1241,面试清单!P:P,0)),"")</f>
        <v>线上</v>
      </c>
      <c r="I1242" s="13" t="s">
        <v>29</v>
      </c>
      <c r="J1242" s="10">
        <f ca="1" t="shared" si="58"/>
        <v>55</v>
      </c>
      <c r="K1242" s="10">
        <f ca="1" t="shared" si="59"/>
        <v>16</v>
      </c>
    </row>
    <row r="1243" ht="18" spans="1:11">
      <c r="A1243" s="14">
        <f t="shared" si="57"/>
        <v>1242</v>
      </c>
      <c r="B1243" s="11" t="s">
        <v>5177</v>
      </c>
      <c r="C1243" s="14" t="str">
        <f>IFERROR(INDEX(面试清单!D:D,MATCH(1242,面试清单!P:P,0)),"")</f>
        <v/>
      </c>
      <c r="D1243" s="11" t="s">
        <v>74</v>
      </c>
      <c r="E1243" s="11" t="s">
        <v>190</v>
      </c>
      <c r="F1243" s="11" t="s">
        <v>179</v>
      </c>
      <c r="G1243" s="15">
        <v>46134</v>
      </c>
      <c r="H1243" s="14" t="str">
        <f>IFERROR(INDEX(面试清单!H:H,MATCH(1242,面试清单!P:P,0)),"")</f>
        <v/>
      </c>
      <c r="I1243" s="13" t="s">
        <v>29</v>
      </c>
      <c r="J1243" s="14">
        <f ca="1" t="shared" si="58"/>
        <v>55</v>
      </c>
      <c r="K1243" s="14">
        <f ca="1" t="shared" si="59"/>
        <v>16</v>
      </c>
    </row>
    <row r="1244" ht="18" spans="1:11">
      <c r="A1244" s="10">
        <f t="shared" si="57"/>
        <v>1243</v>
      </c>
      <c r="B1244" s="11" t="s">
        <v>5178</v>
      </c>
      <c r="C1244" s="125" t="str">
        <f>IFERROR(INDEX(面试清单!D:D,MATCH(1243,面试清单!P:P,0)),"")</f>
        <v>0218</v>
      </c>
      <c r="D1244" s="11" t="s">
        <v>42</v>
      </c>
      <c r="E1244" s="11" t="s">
        <v>62</v>
      </c>
      <c r="F1244" s="11" t="s">
        <v>129</v>
      </c>
      <c r="G1244" s="15">
        <v>46087</v>
      </c>
      <c r="H1244" s="10" t="str">
        <f>IFERROR(INDEX(面试清单!H:H,MATCH(1243,面试清单!P:P,0)),"")</f>
        <v>线上</v>
      </c>
      <c r="I1244" s="13" t="s">
        <v>29</v>
      </c>
      <c r="J1244" s="10">
        <f ca="1" t="shared" si="58"/>
        <v>102</v>
      </c>
      <c r="K1244" s="10">
        <f ca="1" t="shared" si="59"/>
        <v>16</v>
      </c>
    </row>
    <row r="1245" ht="18" spans="1:11">
      <c r="A1245" s="14">
        <f t="shared" si="57"/>
        <v>1244</v>
      </c>
      <c r="B1245" s="11" t="s">
        <v>5179</v>
      </c>
      <c r="C1245" s="124" t="str">
        <f>IFERROR(INDEX(面试清单!D:D,MATCH(1244,面试清单!P:P,0)),"")</f>
        <v>0220</v>
      </c>
      <c r="D1245" s="11" t="s">
        <v>43</v>
      </c>
      <c r="E1245" s="11" t="s">
        <v>62</v>
      </c>
      <c r="F1245" s="11" t="s">
        <v>124</v>
      </c>
      <c r="G1245" s="15">
        <v>46135</v>
      </c>
      <c r="H1245" s="14" t="str">
        <f>IFERROR(INDEX(面试清单!H:H,MATCH(1244,面试清单!P:P,0)),"")</f>
        <v>线上</v>
      </c>
      <c r="I1245" s="13" t="s">
        <v>29</v>
      </c>
      <c r="J1245" s="14">
        <f ca="1" t="shared" si="58"/>
        <v>54</v>
      </c>
      <c r="K1245" s="14">
        <f ca="1" t="shared" si="59"/>
        <v>16</v>
      </c>
    </row>
    <row r="1246" ht="18" spans="1:11">
      <c r="A1246" s="10">
        <f t="shared" si="57"/>
        <v>1245</v>
      </c>
      <c r="B1246" s="11" t="s">
        <v>5180</v>
      </c>
      <c r="C1246" s="10" t="str">
        <f>IFERROR(INDEX(面试清单!D:D,MATCH(1245,面试清单!P:P,0)),"")</f>
        <v/>
      </c>
      <c r="D1246" s="11" t="s">
        <v>43</v>
      </c>
      <c r="E1246" s="11" t="s">
        <v>63</v>
      </c>
      <c r="F1246" s="11" t="s">
        <v>307</v>
      </c>
      <c r="G1246" s="15">
        <v>46135</v>
      </c>
      <c r="H1246" s="10" t="str">
        <f>IFERROR(INDEX(面试清单!H:H,MATCH(1245,面试清单!P:P,0)),"")</f>
        <v/>
      </c>
      <c r="I1246" s="13" t="s">
        <v>29</v>
      </c>
      <c r="J1246" s="10">
        <f ca="1" t="shared" si="58"/>
        <v>54</v>
      </c>
      <c r="K1246" s="10">
        <f ca="1" t="shared" si="59"/>
        <v>16</v>
      </c>
    </row>
    <row r="1247" ht="18" spans="1:11">
      <c r="A1247" s="14">
        <f t="shared" si="57"/>
        <v>1246</v>
      </c>
      <c r="B1247" s="11" t="s">
        <v>5181</v>
      </c>
      <c r="C1247" s="14" t="str">
        <f>IFERROR(INDEX(面试清单!D:D,MATCH(1246,面试清单!P:P,0)),"")</f>
        <v/>
      </c>
      <c r="D1247" s="11" t="s">
        <v>43</v>
      </c>
      <c r="E1247" s="11" t="s">
        <v>63</v>
      </c>
      <c r="F1247" s="11" t="s">
        <v>173</v>
      </c>
      <c r="G1247" s="15">
        <v>46135</v>
      </c>
      <c r="H1247" s="14" t="str">
        <f>IFERROR(INDEX(面试清单!H:H,MATCH(1246,面试清单!P:P,0)),"")</f>
        <v/>
      </c>
      <c r="I1247" s="13" t="s">
        <v>29</v>
      </c>
      <c r="J1247" s="14">
        <f ca="1" t="shared" si="58"/>
        <v>54</v>
      </c>
      <c r="K1247" s="14">
        <f ca="1" t="shared" si="59"/>
        <v>16</v>
      </c>
    </row>
    <row r="1248" ht="18" spans="1:11">
      <c r="A1248" s="10">
        <f t="shared" si="57"/>
        <v>1247</v>
      </c>
      <c r="B1248" s="11" t="s">
        <v>5182</v>
      </c>
      <c r="C1248" s="10" t="str">
        <f>IFERROR(INDEX(面试清单!D:D,MATCH(1247,面试清单!P:P,0)),"")</f>
        <v/>
      </c>
      <c r="D1248" s="11" t="s">
        <v>42</v>
      </c>
      <c r="E1248" s="11" t="s">
        <v>63</v>
      </c>
      <c r="F1248" s="11" t="s">
        <v>148</v>
      </c>
      <c r="G1248" s="15">
        <v>46135</v>
      </c>
      <c r="H1248" s="10" t="str">
        <f>IFERROR(INDEX(面试清单!H:H,MATCH(1247,面试清单!P:P,0)),"")</f>
        <v/>
      </c>
      <c r="I1248" s="13" t="s">
        <v>29</v>
      </c>
      <c r="J1248" s="10">
        <f ca="1" t="shared" si="58"/>
        <v>54</v>
      </c>
      <c r="K1248" s="10">
        <f ca="1" t="shared" si="59"/>
        <v>16</v>
      </c>
    </row>
    <row r="1249" ht="18" spans="1:11">
      <c r="A1249" s="14">
        <f t="shared" si="57"/>
        <v>1248</v>
      </c>
      <c r="B1249" s="11" t="s">
        <v>5183</v>
      </c>
      <c r="C1249" s="14" t="str">
        <f>IFERROR(INDEX(面试清单!D:D,MATCH(1248,面试清单!P:P,0)),"")</f>
        <v/>
      </c>
      <c r="D1249" s="11" t="s">
        <v>42</v>
      </c>
      <c r="E1249" s="11" t="s">
        <v>63</v>
      </c>
      <c r="F1249" s="11" t="s">
        <v>332</v>
      </c>
      <c r="G1249" s="15">
        <v>46135</v>
      </c>
      <c r="H1249" s="14" t="str">
        <f>IFERROR(INDEX(面试清单!H:H,MATCH(1248,面试清单!P:P,0)),"")</f>
        <v/>
      </c>
      <c r="I1249" s="13" t="s">
        <v>29</v>
      </c>
      <c r="J1249" s="14">
        <f ca="1" t="shared" si="58"/>
        <v>54</v>
      </c>
      <c r="K1249" s="14">
        <f ca="1" t="shared" si="59"/>
        <v>16</v>
      </c>
    </row>
    <row r="1250" ht="18" spans="1:11">
      <c r="A1250" s="10">
        <f t="shared" si="57"/>
        <v>1249</v>
      </c>
      <c r="B1250" s="11" t="s">
        <v>5184</v>
      </c>
      <c r="C1250" s="10" t="str">
        <f>IFERROR(INDEX(面试清单!D:D,MATCH(1249,面试清单!P:P,0)),"")</f>
        <v/>
      </c>
      <c r="D1250" s="11" t="s">
        <v>42</v>
      </c>
      <c r="E1250" s="11" t="s">
        <v>62</v>
      </c>
      <c r="F1250" s="11" t="s">
        <v>176</v>
      </c>
      <c r="G1250" s="15">
        <v>46135</v>
      </c>
      <c r="H1250" s="10" t="str">
        <f>IFERROR(INDEX(面试清单!H:H,MATCH(1249,面试清单!P:P,0)),"")</f>
        <v/>
      </c>
      <c r="I1250" s="13" t="s">
        <v>29</v>
      </c>
      <c r="J1250" s="10">
        <f ca="1" t="shared" si="58"/>
        <v>54</v>
      </c>
      <c r="K1250" s="10">
        <f ca="1" t="shared" si="59"/>
        <v>16</v>
      </c>
    </row>
    <row r="1251" ht="18" spans="1:11">
      <c r="A1251" s="14">
        <f t="shared" si="57"/>
        <v>1250</v>
      </c>
      <c r="B1251" s="11" t="s">
        <v>5185</v>
      </c>
      <c r="C1251" s="124" t="str">
        <f>IFERROR(INDEX(面试清单!D:D,MATCH(1250,面试清单!P:P,0)),"")</f>
        <v>0214</v>
      </c>
      <c r="D1251" s="11" t="s">
        <v>43</v>
      </c>
      <c r="E1251" s="11" t="s">
        <v>62</v>
      </c>
      <c r="F1251" s="11" t="s">
        <v>103</v>
      </c>
      <c r="G1251" s="15">
        <v>46135</v>
      </c>
      <c r="H1251" s="14" t="str">
        <f>IFERROR(INDEX(面试清单!H:H,MATCH(1250,面试清单!P:P,0)),"")</f>
        <v>线上</v>
      </c>
      <c r="I1251" s="13" t="s">
        <v>29</v>
      </c>
      <c r="J1251" s="14">
        <f ca="1" t="shared" si="58"/>
        <v>54</v>
      </c>
      <c r="K1251" s="14">
        <f ca="1" t="shared" si="59"/>
        <v>16</v>
      </c>
    </row>
    <row r="1252" ht="18" spans="1:11">
      <c r="A1252" s="10">
        <f t="shared" si="57"/>
        <v>1251</v>
      </c>
      <c r="B1252" s="11" t="s">
        <v>5186</v>
      </c>
      <c r="C1252" s="125" t="str">
        <f>IFERROR(INDEX(面试清单!D:D,MATCH(1251,面试清单!P:P,0)),"")</f>
        <v>0217</v>
      </c>
      <c r="D1252" s="11" t="s">
        <v>43</v>
      </c>
      <c r="E1252" s="11" t="s">
        <v>62</v>
      </c>
      <c r="F1252" s="11" t="s">
        <v>103</v>
      </c>
      <c r="G1252" s="15">
        <v>46135</v>
      </c>
      <c r="H1252" s="10" t="str">
        <f>IFERROR(INDEX(面试清单!H:H,MATCH(1251,面试清单!P:P,0)),"")</f>
        <v>线上</v>
      </c>
      <c r="I1252" s="13" t="s">
        <v>29</v>
      </c>
      <c r="J1252" s="10">
        <f ca="1" t="shared" si="58"/>
        <v>54</v>
      </c>
      <c r="K1252" s="10">
        <f ca="1" t="shared" si="59"/>
        <v>16</v>
      </c>
    </row>
    <row r="1253" ht="18" spans="1:11">
      <c r="A1253" s="14">
        <f t="shared" si="57"/>
        <v>1252</v>
      </c>
      <c r="B1253" s="11" t="s">
        <v>5187</v>
      </c>
      <c r="C1253" s="14" t="str">
        <f>IFERROR(INDEX(面试清单!D:D,MATCH(1252,面试清单!P:P,0)),"")</f>
        <v/>
      </c>
      <c r="D1253" s="11" t="s">
        <v>42</v>
      </c>
      <c r="E1253" s="11" t="s">
        <v>63</v>
      </c>
      <c r="F1253" s="11" t="s">
        <v>332</v>
      </c>
      <c r="G1253" s="15">
        <v>46135</v>
      </c>
      <c r="H1253" s="14" t="str">
        <f>IFERROR(INDEX(面试清单!H:H,MATCH(1252,面试清单!P:P,0)),"")</f>
        <v/>
      </c>
      <c r="I1253" s="13" t="s">
        <v>29</v>
      </c>
      <c r="J1253" s="14">
        <f ca="1" t="shared" si="58"/>
        <v>54</v>
      </c>
      <c r="K1253" s="14">
        <f ca="1" t="shared" si="59"/>
        <v>16</v>
      </c>
    </row>
    <row r="1254" ht="18" spans="1:11">
      <c r="A1254" s="10">
        <f t="shared" si="57"/>
        <v>1253</v>
      </c>
      <c r="B1254" s="11" t="s">
        <v>5188</v>
      </c>
      <c r="C1254" s="10" t="str">
        <f>IFERROR(INDEX(面试清单!D:D,MATCH(1253,面试清单!P:P,0)),"")</f>
        <v/>
      </c>
      <c r="D1254" s="11" t="s">
        <v>74</v>
      </c>
      <c r="E1254" s="11" t="s">
        <v>64</v>
      </c>
      <c r="F1254" s="11" t="s">
        <v>246</v>
      </c>
      <c r="G1254" s="15">
        <v>46135</v>
      </c>
      <c r="H1254" s="10" t="str">
        <f>IFERROR(INDEX(面试清单!H:H,MATCH(1253,面试清单!P:P,0)),"")</f>
        <v/>
      </c>
      <c r="I1254" s="13" t="s">
        <v>29</v>
      </c>
      <c r="J1254" s="10">
        <f ca="1" t="shared" si="58"/>
        <v>54</v>
      </c>
      <c r="K1254" s="10">
        <f ca="1" t="shared" si="59"/>
        <v>16</v>
      </c>
    </row>
    <row r="1255" ht="18" spans="1:11">
      <c r="A1255" s="14">
        <f t="shared" si="57"/>
        <v>1254</v>
      </c>
      <c r="B1255" s="11" t="s">
        <v>5189</v>
      </c>
      <c r="C1255" s="124" t="str">
        <f>IFERROR(INDEX(面试清单!D:D,MATCH(1254,面试清单!P:P,0)),"")</f>
        <v>0221</v>
      </c>
      <c r="D1255" s="11" t="s">
        <v>74</v>
      </c>
      <c r="E1255" s="11" t="s">
        <v>190</v>
      </c>
      <c r="F1255" s="11" t="s">
        <v>426</v>
      </c>
      <c r="G1255" s="15">
        <v>46135</v>
      </c>
      <c r="H1255" s="14" t="str">
        <f>IFERROR(INDEX(面试清单!H:H,MATCH(1254,面试清单!P:P,0)),"")</f>
        <v>线上</v>
      </c>
      <c r="I1255" s="13" t="s">
        <v>29</v>
      </c>
      <c r="J1255" s="14">
        <f ca="1" t="shared" si="58"/>
        <v>54</v>
      </c>
      <c r="K1255" s="14">
        <f ca="1" t="shared" si="59"/>
        <v>16</v>
      </c>
    </row>
    <row r="1256" ht="18" spans="1:11">
      <c r="A1256" s="10">
        <f t="shared" si="57"/>
        <v>1255</v>
      </c>
      <c r="B1256" s="11" t="s">
        <v>5190</v>
      </c>
      <c r="C1256" s="125" t="str">
        <f>IFERROR(INDEX(面试清单!D:D,MATCH(1255,面试清单!P:P,0)),"")</f>
        <v>0222</v>
      </c>
      <c r="D1256" s="11" t="s">
        <v>74</v>
      </c>
      <c r="E1256" s="11" t="s">
        <v>64</v>
      </c>
      <c r="F1256" s="11" t="s">
        <v>148</v>
      </c>
      <c r="G1256" s="15">
        <v>46135</v>
      </c>
      <c r="H1256" s="10" t="str">
        <f>IFERROR(INDEX(面试清单!H:H,MATCH(1255,面试清单!P:P,0)),"")</f>
        <v>线上</v>
      </c>
      <c r="I1256" s="13" t="s">
        <v>29</v>
      </c>
      <c r="J1256" s="10">
        <f ca="1" t="shared" si="58"/>
        <v>54</v>
      </c>
      <c r="K1256" s="10">
        <f ca="1" t="shared" si="59"/>
        <v>16</v>
      </c>
    </row>
    <row r="1257" ht="18" spans="1:11">
      <c r="A1257" s="14">
        <f t="shared" si="57"/>
        <v>1256</v>
      </c>
      <c r="B1257" s="11" t="s">
        <v>5191</v>
      </c>
      <c r="C1257" s="124" t="str">
        <f>IFERROR(INDEX(面试清单!D:D,MATCH(1256,面试清单!P:P,0)),"")</f>
        <v>0208</v>
      </c>
      <c r="D1257" s="11" t="s">
        <v>74</v>
      </c>
      <c r="E1257" s="11" t="s">
        <v>64</v>
      </c>
      <c r="F1257" s="11" t="s">
        <v>148</v>
      </c>
      <c r="G1257" s="15">
        <v>46135</v>
      </c>
      <c r="H1257" s="14" t="str">
        <f>IFERROR(INDEX(面试清单!H:H,MATCH(1256,面试清单!P:P,0)),"")</f>
        <v>线上</v>
      </c>
      <c r="I1257" s="13" t="s">
        <v>29</v>
      </c>
      <c r="J1257" s="14">
        <f ca="1" t="shared" si="58"/>
        <v>54</v>
      </c>
      <c r="K1257" s="14">
        <f ca="1" t="shared" si="59"/>
        <v>16</v>
      </c>
    </row>
    <row r="1258" ht="18" spans="1:11">
      <c r="A1258" s="10">
        <f t="shared" si="57"/>
        <v>1257</v>
      </c>
      <c r="B1258" s="11" t="s">
        <v>5192</v>
      </c>
      <c r="C1258" s="10" t="str">
        <f>IFERROR(INDEX(面试清单!D:D,MATCH(1257,面试清单!P:P,0)),"")</f>
        <v/>
      </c>
      <c r="D1258" s="11" t="s">
        <v>74</v>
      </c>
      <c r="E1258" s="11" t="s">
        <v>64</v>
      </c>
      <c r="F1258" s="11" t="s">
        <v>148</v>
      </c>
      <c r="G1258" s="15">
        <v>46135</v>
      </c>
      <c r="H1258" s="10" t="str">
        <f>IFERROR(INDEX(面试清单!H:H,MATCH(1257,面试清单!P:P,0)),"")</f>
        <v/>
      </c>
      <c r="I1258" s="13" t="s">
        <v>29</v>
      </c>
      <c r="J1258" s="10">
        <f ca="1" t="shared" si="58"/>
        <v>54</v>
      </c>
      <c r="K1258" s="10">
        <f ca="1" t="shared" si="59"/>
        <v>16</v>
      </c>
    </row>
    <row r="1259" ht="18" spans="1:11">
      <c r="A1259" s="14">
        <f t="shared" si="57"/>
        <v>1258</v>
      </c>
      <c r="B1259" s="11" t="s">
        <v>5193</v>
      </c>
      <c r="C1259" s="124" t="str">
        <f>IFERROR(INDEX(面试清单!D:D,MATCH(1258,面试清单!P:P,0)),"")</f>
        <v>0212</v>
      </c>
      <c r="D1259" s="11" t="s">
        <v>74</v>
      </c>
      <c r="E1259" s="11" t="s">
        <v>64</v>
      </c>
      <c r="F1259" s="11" t="s">
        <v>148</v>
      </c>
      <c r="G1259" s="15">
        <v>46135</v>
      </c>
      <c r="H1259" s="14" t="str">
        <f>IFERROR(INDEX(面试清单!H:H,MATCH(1258,面试清单!P:P,0)),"")</f>
        <v>线上</v>
      </c>
      <c r="I1259" s="13" t="s">
        <v>29</v>
      </c>
      <c r="J1259" s="14">
        <f ca="1" t="shared" si="58"/>
        <v>54</v>
      </c>
      <c r="K1259" s="14">
        <f ca="1" t="shared" si="59"/>
        <v>16</v>
      </c>
    </row>
    <row r="1260" ht="18" spans="1:11">
      <c r="A1260" s="10">
        <f t="shared" si="57"/>
        <v>1259</v>
      </c>
      <c r="B1260" s="11" t="s">
        <v>5194</v>
      </c>
      <c r="C1260" s="10" t="str">
        <f>IFERROR(INDEX(面试清单!D:D,MATCH(1259,面试清单!P:P,0)),"")</f>
        <v/>
      </c>
      <c r="D1260" s="11" t="s">
        <v>43</v>
      </c>
      <c r="E1260" s="11" t="s">
        <v>64</v>
      </c>
      <c r="F1260" s="11" t="s">
        <v>103</v>
      </c>
      <c r="G1260" s="15">
        <v>46135</v>
      </c>
      <c r="H1260" s="10" t="str">
        <f>IFERROR(INDEX(面试清单!H:H,MATCH(1259,面试清单!P:P,0)),"")</f>
        <v/>
      </c>
      <c r="I1260" s="13" t="s">
        <v>29</v>
      </c>
      <c r="J1260" s="10">
        <f ca="1" t="shared" si="58"/>
        <v>54</v>
      </c>
      <c r="K1260" s="10">
        <f ca="1" t="shared" si="59"/>
        <v>16</v>
      </c>
    </row>
    <row r="1261" ht="18" spans="1:11">
      <c r="A1261" s="14">
        <f t="shared" si="57"/>
        <v>1260</v>
      </c>
      <c r="B1261" s="11" t="s">
        <v>5195</v>
      </c>
      <c r="C1261" s="14" t="str">
        <f>IFERROR(INDEX(面试清单!D:D,MATCH(1260,面试清单!P:P,0)),"")</f>
        <v/>
      </c>
      <c r="D1261" s="11" t="s">
        <v>74</v>
      </c>
      <c r="E1261" s="11" t="s">
        <v>64</v>
      </c>
      <c r="F1261" s="11" t="s">
        <v>179</v>
      </c>
      <c r="G1261" s="15">
        <v>46135</v>
      </c>
      <c r="H1261" s="14" t="str">
        <f>IFERROR(INDEX(面试清单!H:H,MATCH(1260,面试清单!P:P,0)),"")</f>
        <v/>
      </c>
      <c r="I1261" s="13" t="s">
        <v>29</v>
      </c>
      <c r="J1261" s="14">
        <f ca="1" t="shared" si="58"/>
        <v>54</v>
      </c>
      <c r="K1261" s="14">
        <f ca="1" t="shared" si="59"/>
        <v>16</v>
      </c>
    </row>
    <row r="1262" ht="18" spans="1:11">
      <c r="A1262" s="10">
        <f t="shared" si="57"/>
        <v>1261</v>
      </c>
      <c r="B1262" s="11" t="s">
        <v>5196</v>
      </c>
      <c r="C1262" s="10" t="str">
        <f>IFERROR(INDEX(面试清单!D:D,MATCH(1261,面试清单!P:P,0)),"")</f>
        <v/>
      </c>
      <c r="D1262" s="11" t="s">
        <v>43</v>
      </c>
      <c r="E1262" s="11" t="s">
        <v>62</v>
      </c>
      <c r="F1262" s="11" t="s">
        <v>233</v>
      </c>
      <c r="G1262" s="15">
        <v>46136</v>
      </c>
      <c r="H1262" s="10" t="str">
        <f>IFERROR(INDEX(面试清单!H:H,MATCH(1261,面试清单!P:P,0)),"")</f>
        <v/>
      </c>
      <c r="I1262" s="13" t="s">
        <v>29</v>
      </c>
      <c r="J1262" s="10">
        <f ca="1" t="shared" si="58"/>
        <v>53</v>
      </c>
      <c r="K1262" s="10">
        <f ca="1" t="shared" si="59"/>
        <v>16</v>
      </c>
    </row>
    <row r="1263" ht="18" spans="1:11">
      <c r="A1263" s="14">
        <f t="shared" si="57"/>
        <v>1262</v>
      </c>
      <c r="B1263" s="11" t="s">
        <v>5197</v>
      </c>
      <c r="C1263" s="124" t="str">
        <f>IFERROR(INDEX(面试清单!D:D,MATCH(1262,面试清单!P:P,0)),"")</f>
        <v>0220</v>
      </c>
      <c r="D1263" s="11" t="s">
        <v>43</v>
      </c>
      <c r="E1263" s="11" t="s">
        <v>63</v>
      </c>
      <c r="F1263" s="11" t="s">
        <v>246</v>
      </c>
      <c r="G1263" s="15">
        <v>46136</v>
      </c>
      <c r="H1263" s="14" t="str">
        <f>IFERROR(INDEX(面试清单!H:H,MATCH(1262,面试清单!P:P,0)),"")</f>
        <v>线上</v>
      </c>
      <c r="I1263" s="13" t="s">
        <v>29</v>
      </c>
      <c r="J1263" s="14">
        <f ca="1" t="shared" si="58"/>
        <v>53</v>
      </c>
      <c r="K1263" s="14">
        <f ca="1" t="shared" si="59"/>
        <v>16</v>
      </c>
    </row>
    <row r="1264" ht="18" spans="1:11">
      <c r="A1264" s="10">
        <f t="shared" si="57"/>
        <v>1263</v>
      </c>
      <c r="B1264" s="11" t="s">
        <v>5198</v>
      </c>
      <c r="C1264" s="125" t="str">
        <f>IFERROR(INDEX(面试清单!D:D,MATCH(1263,面试清单!P:P,0)),"")</f>
        <v>0221</v>
      </c>
      <c r="D1264" s="11" t="s">
        <v>43</v>
      </c>
      <c r="E1264" s="11" t="s">
        <v>63</v>
      </c>
      <c r="F1264" s="11" t="s">
        <v>179</v>
      </c>
      <c r="G1264" s="15">
        <v>46136</v>
      </c>
      <c r="H1264" s="10" t="str">
        <f>IFERROR(INDEX(面试清单!H:H,MATCH(1263,面试清单!P:P,0)),"")</f>
        <v>线上</v>
      </c>
      <c r="I1264" s="13" t="s">
        <v>29</v>
      </c>
      <c r="J1264" s="10">
        <f ca="1" t="shared" si="58"/>
        <v>53</v>
      </c>
      <c r="K1264" s="10">
        <f ca="1" t="shared" si="59"/>
        <v>16</v>
      </c>
    </row>
    <row r="1265" ht="18" spans="1:11">
      <c r="A1265" s="14">
        <f t="shared" si="57"/>
        <v>1264</v>
      </c>
      <c r="B1265" s="11" t="s">
        <v>5199</v>
      </c>
      <c r="C1265" s="14" t="str">
        <f>IFERROR(INDEX(面试清单!D:D,MATCH(1264,面试清单!P:P,0)),"")</f>
        <v/>
      </c>
      <c r="D1265" s="11" t="s">
        <v>43</v>
      </c>
      <c r="E1265" s="11" t="s">
        <v>63</v>
      </c>
      <c r="F1265" s="11" t="s">
        <v>124</v>
      </c>
      <c r="G1265" s="15">
        <v>46136</v>
      </c>
      <c r="H1265" s="14" t="str">
        <f>IFERROR(INDEX(面试清单!H:H,MATCH(1264,面试清单!P:P,0)),"")</f>
        <v/>
      </c>
      <c r="I1265" s="13" t="s">
        <v>29</v>
      </c>
      <c r="J1265" s="14">
        <f ca="1" t="shared" si="58"/>
        <v>53</v>
      </c>
      <c r="K1265" s="14">
        <f ca="1" t="shared" si="59"/>
        <v>16</v>
      </c>
    </row>
    <row r="1266" ht="18" spans="1:11">
      <c r="A1266" s="10">
        <f t="shared" si="57"/>
        <v>1265</v>
      </c>
      <c r="B1266" s="11" t="s">
        <v>5200</v>
      </c>
      <c r="C1266" s="125" t="str">
        <f>IFERROR(INDEX(面试清单!D:D,MATCH(1265,面试清单!P:P,0)),"")</f>
        <v>0208</v>
      </c>
      <c r="D1266" s="11" t="s">
        <v>43</v>
      </c>
      <c r="E1266" s="11" t="s">
        <v>62</v>
      </c>
      <c r="F1266" s="11" t="s">
        <v>124</v>
      </c>
      <c r="G1266" s="15">
        <v>46136</v>
      </c>
      <c r="H1266" s="10" t="str">
        <f>IFERROR(INDEX(面试清单!H:H,MATCH(1265,面试清单!P:P,0)),"")</f>
        <v>线上</v>
      </c>
      <c r="I1266" s="13" t="s">
        <v>29</v>
      </c>
      <c r="J1266" s="10">
        <f ca="1" t="shared" si="58"/>
        <v>53</v>
      </c>
      <c r="K1266" s="10">
        <f ca="1" t="shared" si="59"/>
        <v>16</v>
      </c>
    </row>
    <row r="1267" ht="18" spans="1:11">
      <c r="A1267" s="14">
        <f t="shared" si="57"/>
        <v>1266</v>
      </c>
      <c r="B1267" s="11" t="s">
        <v>5201</v>
      </c>
      <c r="C1267" s="124" t="str">
        <f>IFERROR(INDEX(面试清单!D:D,MATCH(1266,面试清单!P:P,0)),"")</f>
        <v>0209</v>
      </c>
      <c r="D1267" s="11" t="s">
        <v>43</v>
      </c>
      <c r="E1267" s="11" t="s">
        <v>62</v>
      </c>
      <c r="F1267" s="11" t="s">
        <v>124</v>
      </c>
      <c r="G1267" s="15">
        <v>46136</v>
      </c>
      <c r="H1267" s="14" t="str">
        <f>IFERROR(INDEX(面试清单!H:H,MATCH(1266,面试清单!P:P,0)),"")</f>
        <v>线上</v>
      </c>
      <c r="I1267" s="13" t="s">
        <v>29</v>
      </c>
      <c r="J1267" s="14">
        <f ca="1" t="shared" si="58"/>
        <v>53</v>
      </c>
      <c r="K1267" s="14">
        <f ca="1" t="shared" si="59"/>
        <v>16</v>
      </c>
    </row>
    <row r="1268" ht="18" spans="1:11">
      <c r="A1268" s="10">
        <f t="shared" si="57"/>
        <v>1267</v>
      </c>
      <c r="B1268" s="11" t="s">
        <v>5202</v>
      </c>
      <c r="C1268" s="125" t="str">
        <f>IFERROR(INDEX(面试清单!D:D,MATCH(1267,面试清单!P:P,0)),"")</f>
        <v>0212</v>
      </c>
      <c r="D1268" s="11" t="s">
        <v>43</v>
      </c>
      <c r="E1268" s="11" t="s">
        <v>63</v>
      </c>
      <c r="F1268" s="11" t="s">
        <v>124</v>
      </c>
      <c r="G1268" s="15">
        <v>46136</v>
      </c>
      <c r="H1268" s="10" t="str">
        <f>IFERROR(INDEX(面试清单!H:H,MATCH(1267,面试清单!P:P,0)),"")</f>
        <v>线上</v>
      </c>
      <c r="I1268" s="13" t="s">
        <v>29</v>
      </c>
      <c r="J1268" s="10">
        <f ca="1" t="shared" si="58"/>
        <v>53</v>
      </c>
      <c r="K1268" s="10">
        <f ca="1" t="shared" si="59"/>
        <v>16</v>
      </c>
    </row>
    <row r="1269" ht="18" spans="1:11">
      <c r="A1269" s="14">
        <f t="shared" si="57"/>
        <v>1268</v>
      </c>
      <c r="B1269" s="11" t="s">
        <v>5203</v>
      </c>
      <c r="C1269" s="14" t="str">
        <f>IFERROR(INDEX(面试清单!D:D,MATCH(1268,面试清单!P:P,0)),"")</f>
        <v/>
      </c>
      <c r="D1269" s="11" t="s">
        <v>43</v>
      </c>
      <c r="E1269" s="11" t="s">
        <v>62</v>
      </c>
      <c r="F1269" s="11" t="s">
        <v>148</v>
      </c>
      <c r="G1269" s="15">
        <v>46136</v>
      </c>
      <c r="H1269" s="14" t="str">
        <f>IFERROR(INDEX(面试清单!H:H,MATCH(1268,面试清单!P:P,0)),"")</f>
        <v/>
      </c>
      <c r="I1269" s="13" t="s">
        <v>29</v>
      </c>
      <c r="J1269" s="14">
        <f ca="1" t="shared" si="58"/>
        <v>53</v>
      </c>
      <c r="K1269" s="14">
        <f ca="1" t="shared" si="59"/>
        <v>16</v>
      </c>
    </row>
    <row r="1270" ht="18" spans="1:11">
      <c r="A1270" s="10">
        <f t="shared" si="57"/>
        <v>1269</v>
      </c>
      <c r="B1270" s="11" t="s">
        <v>5204</v>
      </c>
      <c r="C1270" s="125" t="str">
        <f>IFERROR(INDEX(面试清单!D:D,MATCH(1269,面试清单!P:P,0)),"")</f>
        <v>0217</v>
      </c>
      <c r="D1270" s="11" t="s">
        <v>43</v>
      </c>
      <c r="E1270" s="11" t="s">
        <v>62</v>
      </c>
      <c r="F1270" s="11" t="s">
        <v>148</v>
      </c>
      <c r="G1270" s="15">
        <v>46136</v>
      </c>
      <c r="H1270" s="10" t="str">
        <f>IFERROR(INDEX(面试清单!H:H,MATCH(1269,面试清单!P:P,0)),"")</f>
        <v>线上</v>
      </c>
      <c r="I1270" s="13" t="s">
        <v>29</v>
      </c>
      <c r="J1270" s="10">
        <f ca="1" t="shared" si="58"/>
        <v>53</v>
      </c>
      <c r="K1270" s="10">
        <f ca="1" t="shared" si="59"/>
        <v>16</v>
      </c>
    </row>
    <row r="1271" ht="18" spans="1:11">
      <c r="A1271" s="14">
        <f t="shared" si="57"/>
        <v>1270</v>
      </c>
      <c r="B1271" s="11" t="s">
        <v>5205</v>
      </c>
      <c r="C1271" s="14" t="str">
        <f>IFERROR(INDEX(面试清单!D:D,MATCH(1270,面试清单!P:P,0)),"")</f>
        <v/>
      </c>
      <c r="D1271" s="11" t="s">
        <v>43</v>
      </c>
      <c r="E1271" s="11" t="s">
        <v>63</v>
      </c>
      <c r="F1271" s="11" t="s">
        <v>148</v>
      </c>
      <c r="G1271" s="15">
        <v>46136</v>
      </c>
      <c r="H1271" s="14" t="str">
        <f>IFERROR(INDEX(面试清单!H:H,MATCH(1270,面试清单!P:P,0)),"")</f>
        <v/>
      </c>
      <c r="I1271" s="13" t="s">
        <v>29</v>
      </c>
      <c r="J1271" s="14">
        <f ca="1" t="shared" si="58"/>
        <v>53</v>
      </c>
      <c r="K1271" s="14">
        <f ca="1" t="shared" si="59"/>
        <v>16</v>
      </c>
    </row>
    <row r="1272" ht="18" spans="1:11">
      <c r="A1272" s="10">
        <f t="shared" si="57"/>
        <v>1271</v>
      </c>
      <c r="B1272" s="11" t="s">
        <v>5206</v>
      </c>
      <c r="C1272" s="10" t="str">
        <f>IFERROR(INDEX(面试清单!D:D,MATCH(1271,面试清单!P:P,0)),"")</f>
        <v/>
      </c>
      <c r="D1272" s="11" t="s">
        <v>74</v>
      </c>
      <c r="E1272" s="11" t="s">
        <v>64</v>
      </c>
      <c r="F1272" s="11" t="s">
        <v>135</v>
      </c>
      <c r="G1272" s="15">
        <v>46136</v>
      </c>
      <c r="H1272" s="10" t="str">
        <f>IFERROR(INDEX(面试清单!H:H,MATCH(1271,面试清单!P:P,0)),"")</f>
        <v/>
      </c>
      <c r="I1272" s="13" t="s">
        <v>29</v>
      </c>
      <c r="J1272" s="10">
        <f ca="1" t="shared" si="58"/>
        <v>53</v>
      </c>
      <c r="K1272" s="10">
        <f ca="1" t="shared" si="59"/>
        <v>16</v>
      </c>
    </row>
    <row r="1273" ht="18" spans="1:11">
      <c r="A1273" s="14">
        <f t="shared" si="57"/>
        <v>1272</v>
      </c>
      <c r="B1273" s="11" t="s">
        <v>5207</v>
      </c>
      <c r="C1273" s="124" t="str">
        <f>IFERROR(INDEX(面试清单!D:D,MATCH(1272,面试清单!P:P,0)),"")</f>
        <v>0221</v>
      </c>
      <c r="D1273" s="11" t="s">
        <v>74</v>
      </c>
      <c r="E1273" s="11" t="s">
        <v>64</v>
      </c>
      <c r="F1273" s="11" t="s">
        <v>135</v>
      </c>
      <c r="G1273" s="15">
        <v>46136</v>
      </c>
      <c r="H1273" s="14" t="str">
        <f>IFERROR(INDEX(面试清单!H:H,MATCH(1272,面试清单!P:P,0)),"")</f>
        <v>线上</v>
      </c>
      <c r="I1273" s="13" t="s">
        <v>29</v>
      </c>
      <c r="J1273" s="14">
        <f ca="1" t="shared" si="58"/>
        <v>53</v>
      </c>
      <c r="K1273" s="14">
        <f ca="1" t="shared" si="59"/>
        <v>16</v>
      </c>
    </row>
    <row r="1274" ht="18" spans="1:11">
      <c r="A1274" s="10">
        <f t="shared" si="57"/>
        <v>1273</v>
      </c>
      <c r="B1274" s="11" t="s">
        <v>5208</v>
      </c>
      <c r="C1274" s="125" t="str">
        <f>IFERROR(INDEX(面试清单!D:D,MATCH(1273,面试清单!P:P,0)),"")</f>
        <v>0222</v>
      </c>
      <c r="D1274" s="11" t="s">
        <v>43</v>
      </c>
      <c r="E1274" s="11" t="s">
        <v>63</v>
      </c>
      <c r="F1274" s="11" t="s">
        <v>103</v>
      </c>
      <c r="G1274" s="15">
        <v>46136</v>
      </c>
      <c r="H1274" s="10" t="str">
        <f>IFERROR(INDEX(面试清单!H:H,MATCH(1273,面试清单!P:P,0)),"")</f>
        <v>线上</v>
      </c>
      <c r="I1274" s="13" t="s">
        <v>29</v>
      </c>
      <c r="J1274" s="10">
        <f ca="1" t="shared" si="58"/>
        <v>53</v>
      </c>
      <c r="K1274" s="10">
        <f ca="1" t="shared" si="59"/>
        <v>16</v>
      </c>
    </row>
    <row r="1275" ht="18" spans="1:11">
      <c r="A1275" s="14">
        <f t="shared" si="57"/>
        <v>1274</v>
      </c>
      <c r="B1275" s="11" t="s">
        <v>5209</v>
      </c>
      <c r="C1275" s="124" t="str">
        <f>IFERROR(INDEX(面试清单!D:D,MATCH(1274,面试清单!P:P,0)),"")</f>
        <v>0208</v>
      </c>
      <c r="D1275" s="11" t="s">
        <v>43</v>
      </c>
      <c r="E1275" s="11" t="s">
        <v>62</v>
      </c>
      <c r="F1275" s="11" t="s">
        <v>132</v>
      </c>
      <c r="G1275" s="15">
        <v>46136</v>
      </c>
      <c r="H1275" s="14" t="str">
        <f>IFERROR(INDEX(面试清单!H:H,MATCH(1274,面试清单!P:P,0)),"")</f>
        <v>线上</v>
      </c>
      <c r="I1275" s="13" t="s">
        <v>29</v>
      </c>
      <c r="J1275" s="14">
        <f ca="1" t="shared" si="58"/>
        <v>53</v>
      </c>
      <c r="K1275" s="14">
        <f ca="1" t="shared" si="59"/>
        <v>16</v>
      </c>
    </row>
    <row r="1276" ht="18" spans="1:11">
      <c r="A1276" s="10">
        <f t="shared" si="57"/>
        <v>1275</v>
      </c>
      <c r="B1276" s="11" t="s">
        <v>5210</v>
      </c>
      <c r="C1276" s="10" t="str">
        <f>IFERROR(INDEX(面试清单!D:D,MATCH(1275,面试清单!P:P,0)),"")</f>
        <v/>
      </c>
      <c r="D1276" s="11" t="s">
        <v>74</v>
      </c>
      <c r="E1276" s="11" t="s">
        <v>64</v>
      </c>
      <c r="F1276" s="11" t="s">
        <v>179</v>
      </c>
      <c r="G1276" s="15">
        <v>46136</v>
      </c>
      <c r="H1276" s="10" t="str">
        <f>IFERROR(INDEX(面试清单!H:H,MATCH(1275,面试清单!P:P,0)),"")</f>
        <v/>
      </c>
      <c r="I1276" s="13" t="s">
        <v>29</v>
      </c>
      <c r="J1276" s="10">
        <f ca="1" t="shared" si="58"/>
        <v>53</v>
      </c>
      <c r="K1276" s="10">
        <f ca="1" t="shared" si="59"/>
        <v>16</v>
      </c>
    </row>
    <row r="1277" ht="18" spans="1:11">
      <c r="A1277" s="14">
        <f t="shared" si="57"/>
        <v>1276</v>
      </c>
      <c r="B1277" s="11" t="s">
        <v>5211</v>
      </c>
      <c r="C1277" s="124" t="str">
        <f>IFERROR(INDEX(面试清单!D:D,MATCH(1276,面试清单!P:P,0)),"")</f>
        <v>0209</v>
      </c>
      <c r="D1277" s="11" t="s">
        <v>74</v>
      </c>
      <c r="E1277" s="11" t="s">
        <v>190</v>
      </c>
      <c r="F1277" s="11" t="s">
        <v>179</v>
      </c>
      <c r="G1277" s="15">
        <v>46136</v>
      </c>
      <c r="H1277" s="14" t="str">
        <f>IFERROR(INDEX(面试清单!H:H,MATCH(1276,面试清单!P:P,0)),"")</f>
        <v>线上</v>
      </c>
      <c r="I1277" s="13" t="s">
        <v>29</v>
      </c>
      <c r="J1277" s="14">
        <f ca="1" t="shared" si="58"/>
        <v>53</v>
      </c>
      <c r="K1277" s="14">
        <f ca="1" t="shared" si="59"/>
        <v>16</v>
      </c>
    </row>
    <row r="1278" ht="36" spans="1:11">
      <c r="A1278" s="10">
        <f t="shared" si="57"/>
        <v>1277</v>
      </c>
      <c r="B1278" s="11" t="s">
        <v>5212</v>
      </c>
      <c r="C1278" s="125" t="str">
        <f>IFERROR(INDEX(面试清单!D:D,MATCH(1277,面试清单!P:P,0)),"")</f>
        <v>0212</v>
      </c>
      <c r="D1278" s="11" t="s">
        <v>74</v>
      </c>
      <c r="E1278" s="11" t="s">
        <v>64</v>
      </c>
      <c r="F1278" s="11" t="s">
        <v>179</v>
      </c>
      <c r="G1278" s="15">
        <v>46136</v>
      </c>
      <c r="H1278" s="10" t="str">
        <f>IFERROR(INDEX(面试清单!H:H,MATCH(1277,面试清单!P:P,0)),"")</f>
        <v>线上</v>
      </c>
      <c r="I1278" s="13" t="s">
        <v>29</v>
      </c>
      <c r="J1278" s="10">
        <f ca="1" t="shared" si="58"/>
        <v>53</v>
      </c>
      <c r="K1278" s="10">
        <f ca="1" t="shared" si="59"/>
        <v>16</v>
      </c>
    </row>
    <row r="1279" ht="18" spans="1:11">
      <c r="A1279" s="14">
        <f t="shared" si="57"/>
        <v>1278</v>
      </c>
      <c r="B1279" s="11" t="s">
        <v>5213</v>
      </c>
      <c r="C1279" s="124" t="str">
        <f>IFERROR(INDEX(面试清单!D:D,MATCH(1278,面试清单!P:P,0)),"")</f>
        <v>0214</v>
      </c>
      <c r="D1279" s="11" t="s">
        <v>74</v>
      </c>
      <c r="E1279" s="11" t="s">
        <v>64</v>
      </c>
      <c r="F1279" s="11" t="s">
        <v>179</v>
      </c>
      <c r="G1279" s="15">
        <v>46136</v>
      </c>
      <c r="H1279" s="14" t="str">
        <f>IFERROR(INDEX(面试清单!H:H,MATCH(1278,面试清单!P:P,0)),"")</f>
        <v>线上</v>
      </c>
      <c r="I1279" s="13" t="s">
        <v>29</v>
      </c>
      <c r="J1279" s="14">
        <f ca="1" t="shared" si="58"/>
        <v>53</v>
      </c>
      <c r="K1279" s="14">
        <f ca="1" t="shared" si="59"/>
        <v>16</v>
      </c>
    </row>
    <row r="1280" ht="18" spans="1:11">
      <c r="A1280" s="10">
        <f t="shared" si="57"/>
        <v>1279</v>
      </c>
      <c r="B1280" s="11" t="s">
        <v>5214</v>
      </c>
      <c r="C1280" s="125" t="str">
        <f>IFERROR(INDEX(面试清单!D:D,MATCH(1279,面试清单!P:P,0)),"")</f>
        <v>0217</v>
      </c>
      <c r="D1280" s="11" t="s">
        <v>74</v>
      </c>
      <c r="E1280" s="11" t="s">
        <v>64</v>
      </c>
      <c r="F1280" s="11" t="s">
        <v>179</v>
      </c>
      <c r="G1280" s="15">
        <v>46136</v>
      </c>
      <c r="H1280" s="10" t="str">
        <f>IFERROR(INDEX(面试清单!H:H,MATCH(1279,面试清单!P:P,0)),"")</f>
        <v>线上</v>
      </c>
      <c r="I1280" s="13" t="s">
        <v>29</v>
      </c>
      <c r="J1280" s="10">
        <f ca="1" t="shared" si="58"/>
        <v>53</v>
      </c>
      <c r="K1280" s="10">
        <f ca="1" t="shared" si="59"/>
        <v>16</v>
      </c>
    </row>
    <row r="1281" ht="18" spans="1:11">
      <c r="A1281" s="14">
        <f t="shared" si="57"/>
        <v>1280</v>
      </c>
      <c r="B1281" s="11" t="s">
        <v>5215</v>
      </c>
      <c r="C1281" s="14" t="str">
        <f>IFERROR(INDEX(面试清单!D:D,MATCH(1280,面试清单!P:P,0)),"")</f>
        <v/>
      </c>
      <c r="D1281" s="11" t="s">
        <v>43</v>
      </c>
      <c r="E1281" s="11" t="s">
        <v>62</v>
      </c>
      <c r="F1281" s="11" t="s">
        <v>148</v>
      </c>
      <c r="G1281" s="15">
        <v>46137</v>
      </c>
      <c r="H1281" s="14" t="str">
        <f>IFERROR(INDEX(面试清单!H:H,MATCH(1280,面试清单!P:P,0)),"")</f>
        <v/>
      </c>
      <c r="I1281" s="13" t="s">
        <v>29</v>
      </c>
      <c r="J1281" s="14">
        <f ca="1" t="shared" si="58"/>
        <v>52</v>
      </c>
      <c r="K1281" s="14">
        <f ca="1" t="shared" si="59"/>
        <v>16</v>
      </c>
    </row>
    <row r="1282" ht="18" spans="1:11">
      <c r="A1282" s="10">
        <f t="shared" ref="A1282:A1345" si="60">IF(B1282&lt;&gt;"",ROW()-1,"")</f>
        <v>1281</v>
      </c>
      <c r="B1282" s="11" t="s">
        <v>5216</v>
      </c>
      <c r="C1282" s="125" t="str">
        <f>IFERROR(INDEX(面试清单!D:D,MATCH(1281,面试清单!P:P,0)),"")</f>
        <v>0220</v>
      </c>
      <c r="D1282" s="11" t="s">
        <v>43</v>
      </c>
      <c r="E1282" s="11" t="s">
        <v>62</v>
      </c>
      <c r="F1282" s="11" t="s">
        <v>129</v>
      </c>
      <c r="G1282" s="15">
        <v>46137</v>
      </c>
      <c r="H1282" s="10" t="str">
        <f>IFERROR(INDEX(面试清单!H:H,MATCH(1281,面试清单!P:P,0)),"")</f>
        <v>线上</v>
      </c>
      <c r="I1282" s="13" t="s">
        <v>29</v>
      </c>
      <c r="J1282" s="10">
        <f ca="1" t="shared" ref="J1282:J1345" si="61">IF(G1282&lt;&gt;"",TODAY()-G1282,"")</f>
        <v>52</v>
      </c>
      <c r="K1282" s="10">
        <f ca="1" t="shared" ref="K1282:K1345" si="62">IF(G1282&lt;&gt;"",MAX(0,MIN(TODAY(),EOMONTH(TODAY(),0))-MAX(G1282,EOMONTH(TODAY(),-1)+1)+1),"")</f>
        <v>16</v>
      </c>
    </row>
    <row r="1283" ht="18" spans="1:11">
      <c r="A1283" s="14">
        <f t="shared" si="60"/>
        <v>1282</v>
      </c>
      <c r="B1283" s="11" t="s">
        <v>5217</v>
      </c>
      <c r="C1283" s="14" t="str">
        <f>IFERROR(INDEX(面试清单!D:D,MATCH(1282,面试清单!P:P,0)),"")</f>
        <v/>
      </c>
      <c r="D1283" s="11" t="s">
        <v>42</v>
      </c>
      <c r="E1283" s="11" t="s">
        <v>63</v>
      </c>
      <c r="F1283" s="11" t="s">
        <v>103</v>
      </c>
      <c r="G1283" s="15">
        <v>46137</v>
      </c>
      <c r="H1283" s="14" t="str">
        <f>IFERROR(INDEX(面试清单!H:H,MATCH(1282,面试清单!P:P,0)),"")</f>
        <v/>
      </c>
      <c r="I1283" s="13" t="s">
        <v>29</v>
      </c>
      <c r="J1283" s="14">
        <f ca="1" t="shared" si="61"/>
        <v>52</v>
      </c>
      <c r="K1283" s="14">
        <f ca="1" t="shared" si="62"/>
        <v>16</v>
      </c>
    </row>
    <row r="1284" ht="18" spans="1:11">
      <c r="A1284" s="10">
        <f t="shared" si="60"/>
        <v>1283</v>
      </c>
      <c r="B1284" s="11" t="s">
        <v>5218</v>
      </c>
      <c r="C1284" s="10" t="str">
        <f>IFERROR(INDEX(面试清单!D:D,MATCH(1283,面试清单!P:P,0)),"")</f>
        <v/>
      </c>
      <c r="D1284" s="11" t="s">
        <v>74</v>
      </c>
      <c r="E1284" s="11" t="s">
        <v>64</v>
      </c>
      <c r="F1284" s="11" t="s">
        <v>179</v>
      </c>
      <c r="G1284" s="15">
        <v>46137</v>
      </c>
      <c r="H1284" s="10" t="str">
        <f>IFERROR(INDEX(面试清单!H:H,MATCH(1283,面试清单!P:P,0)),"")</f>
        <v/>
      </c>
      <c r="I1284" s="13" t="s">
        <v>29</v>
      </c>
      <c r="J1284" s="10">
        <f ca="1" t="shared" si="61"/>
        <v>52</v>
      </c>
      <c r="K1284" s="10">
        <f ca="1" t="shared" si="62"/>
        <v>16</v>
      </c>
    </row>
    <row r="1285" ht="18" spans="1:11">
      <c r="A1285" s="14">
        <f t="shared" si="60"/>
        <v>1284</v>
      </c>
      <c r="B1285" s="11" t="s">
        <v>5219</v>
      </c>
      <c r="C1285" s="14" t="str">
        <f>IFERROR(INDEX(面试清单!D:D,MATCH(1284,面试清单!P:P,0)),"")</f>
        <v/>
      </c>
      <c r="D1285" s="11" t="s">
        <v>74</v>
      </c>
      <c r="E1285" s="11" t="s">
        <v>64</v>
      </c>
      <c r="F1285" s="11" t="s">
        <v>179</v>
      </c>
      <c r="G1285" s="15">
        <v>46137</v>
      </c>
      <c r="H1285" s="14" t="str">
        <f>IFERROR(INDEX(面试清单!H:H,MATCH(1284,面试清单!P:P,0)),"")</f>
        <v/>
      </c>
      <c r="I1285" s="13" t="s">
        <v>29</v>
      </c>
      <c r="J1285" s="14">
        <f ca="1" t="shared" si="61"/>
        <v>52</v>
      </c>
      <c r="K1285" s="14">
        <f ca="1" t="shared" si="62"/>
        <v>16</v>
      </c>
    </row>
    <row r="1286" ht="18" spans="1:11">
      <c r="A1286" s="10">
        <f t="shared" si="60"/>
        <v>1285</v>
      </c>
      <c r="B1286" s="11" t="s">
        <v>5220</v>
      </c>
      <c r="C1286" s="125" t="str">
        <f>IFERROR(INDEX(面试清单!D:D,MATCH(1285,面试清单!P:P,0)),"")</f>
        <v>0209</v>
      </c>
      <c r="D1286" s="11" t="s">
        <v>43</v>
      </c>
      <c r="E1286" s="11" t="s">
        <v>64</v>
      </c>
      <c r="F1286" s="11" t="s">
        <v>246</v>
      </c>
      <c r="G1286" s="15">
        <v>46137</v>
      </c>
      <c r="H1286" s="10" t="str">
        <f>IFERROR(INDEX(面试清单!H:H,MATCH(1285,面试清单!P:P,0)),"")</f>
        <v>线上</v>
      </c>
      <c r="I1286" s="13" t="s">
        <v>29</v>
      </c>
      <c r="J1286" s="10">
        <f ca="1" t="shared" si="61"/>
        <v>52</v>
      </c>
      <c r="K1286" s="10">
        <f ca="1" t="shared" si="62"/>
        <v>16</v>
      </c>
    </row>
    <row r="1287" ht="18" spans="1:11">
      <c r="A1287" s="14">
        <f t="shared" si="60"/>
        <v>1286</v>
      </c>
      <c r="B1287" s="11" t="s">
        <v>5221</v>
      </c>
      <c r="C1287" s="124" t="str">
        <f>IFERROR(INDEX(面试清单!D:D,MATCH(1286,面试清单!P:P,0)),"")</f>
        <v>0212</v>
      </c>
      <c r="D1287" s="11" t="s">
        <v>74</v>
      </c>
      <c r="E1287" s="11" t="s">
        <v>64</v>
      </c>
      <c r="F1287" s="11" t="s">
        <v>246</v>
      </c>
      <c r="G1287" s="15">
        <v>46137</v>
      </c>
      <c r="H1287" s="14" t="str">
        <f>IFERROR(INDEX(面试清单!H:H,MATCH(1286,面试清单!P:P,0)),"")</f>
        <v>线上</v>
      </c>
      <c r="I1287" s="13" t="s">
        <v>29</v>
      </c>
      <c r="J1287" s="14">
        <f ca="1" t="shared" si="61"/>
        <v>52</v>
      </c>
      <c r="K1287" s="14">
        <f ca="1" t="shared" si="62"/>
        <v>16</v>
      </c>
    </row>
    <row r="1288" ht="18" spans="1:11">
      <c r="A1288" s="10">
        <f t="shared" si="60"/>
        <v>1287</v>
      </c>
      <c r="B1288" s="11" t="s">
        <v>5222</v>
      </c>
      <c r="C1288" s="10" t="str">
        <f>IFERROR(INDEX(面试清单!D:D,MATCH(1287,面试清单!P:P,0)),"")</f>
        <v/>
      </c>
      <c r="D1288" s="11" t="s">
        <v>74</v>
      </c>
      <c r="E1288" s="11" t="s">
        <v>64</v>
      </c>
      <c r="F1288" s="11" t="s">
        <v>246</v>
      </c>
      <c r="G1288" s="15">
        <v>46137</v>
      </c>
      <c r="H1288" s="10" t="str">
        <f>IFERROR(INDEX(面试清单!H:H,MATCH(1287,面试清单!P:P,0)),"")</f>
        <v/>
      </c>
      <c r="I1288" s="13" t="s">
        <v>29</v>
      </c>
      <c r="J1288" s="10">
        <f ca="1" t="shared" si="61"/>
        <v>52</v>
      </c>
      <c r="K1288" s="10">
        <f ca="1" t="shared" si="62"/>
        <v>16</v>
      </c>
    </row>
    <row r="1289" ht="18" spans="1:11">
      <c r="A1289" s="14">
        <f t="shared" si="60"/>
        <v>1288</v>
      </c>
      <c r="B1289" s="11" t="s">
        <v>5223</v>
      </c>
      <c r="C1289" s="14" t="str">
        <f>IFERROR(INDEX(面试清单!D:D,MATCH(1288,面试清单!P:P,0)),"")</f>
        <v/>
      </c>
      <c r="D1289" s="11" t="s">
        <v>43</v>
      </c>
      <c r="E1289" s="11" t="s">
        <v>64</v>
      </c>
      <c r="F1289" s="11" t="s">
        <v>246</v>
      </c>
      <c r="G1289" s="15">
        <v>46137</v>
      </c>
      <c r="H1289" s="14" t="str">
        <f>IFERROR(INDEX(面试清单!H:H,MATCH(1288,面试清单!P:P,0)),"")</f>
        <v/>
      </c>
      <c r="I1289" s="13" t="s">
        <v>29</v>
      </c>
      <c r="J1289" s="14">
        <f ca="1" t="shared" si="61"/>
        <v>52</v>
      </c>
      <c r="K1289" s="14">
        <f ca="1" t="shared" si="62"/>
        <v>16</v>
      </c>
    </row>
    <row r="1290" ht="18" spans="1:11">
      <c r="A1290" s="10">
        <f t="shared" si="60"/>
        <v>1289</v>
      </c>
      <c r="B1290" s="11" t="s">
        <v>5224</v>
      </c>
      <c r="C1290" s="10" t="str">
        <f>IFERROR(INDEX(面试清单!D:D,MATCH(1289,面试清单!P:P,0)),"")</f>
        <v/>
      </c>
      <c r="D1290" s="11" t="s">
        <v>74</v>
      </c>
      <c r="E1290" s="11" t="s">
        <v>64</v>
      </c>
      <c r="F1290" s="11" t="s">
        <v>117</v>
      </c>
      <c r="G1290" s="15">
        <v>46137</v>
      </c>
      <c r="H1290" s="10" t="str">
        <f>IFERROR(INDEX(面试清单!H:H,MATCH(1289,面试清单!P:P,0)),"")</f>
        <v/>
      </c>
      <c r="I1290" s="13" t="s">
        <v>29</v>
      </c>
      <c r="J1290" s="10">
        <f ca="1" t="shared" si="61"/>
        <v>52</v>
      </c>
      <c r="K1290" s="10">
        <f ca="1" t="shared" si="62"/>
        <v>16</v>
      </c>
    </row>
    <row r="1291" ht="18" spans="1:11">
      <c r="A1291" s="14">
        <f t="shared" si="60"/>
        <v>1290</v>
      </c>
      <c r="B1291" s="11" t="s">
        <v>5225</v>
      </c>
      <c r="C1291" s="124" t="str">
        <f>IFERROR(INDEX(面试清单!D:D,MATCH(1290,面试清单!P:P,0)),"")</f>
        <v>0220</v>
      </c>
      <c r="D1291" s="11" t="s">
        <v>74</v>
      </c>
      <c r="E1291" s="11" t="s">
        <v>64</v>
      </c>
      <c r="F1291" s="11" t="s">
        <v>117</v>
      </c>
      <c r="G1291" s="15">
        <v>46137</v>
      </c>
      <c r="H1291" s="14" t="str">
        <f>IFERROR(INDEX(面试清单!H:H,MATCH(1290,面试清单!P:P,0)),"")</f>
        <v>线上</v>
      </c>
      <c r="I1291" s="13" t="s">
        <v>29</v>
      </c>
      <c r="J1291" s="14">
        <f ca="1" t="shared" si="61"/>
        <v>52</v>
      </c>
      <c r="K1291" s="14">
        <f ca="1" t="shared" si="62"/>
        <v>16</v>
      </c>
    </row>
    <row r="1292" ht="18" spans="1:11">
      <c r="A1292" s="10">
        <f t="shared" si="60"/>
        <v>1291</v>
      </c>
      <c r="B1292" s="11" t="s">
        <v>5226</v>
      </c>
      <c r="C1292" s="125" t="str">
        <f>IFERROR(INDEX(面试清单!D:D,MATCH(1291,面试清单!P:P,0)),"")</f>
        <v>0221</v>
      </c>
      <c r="D1292" s="11" t="s">
        <v>74</v>
      </c>
      <c r="E1292" s="11" t="s">
        <v>64</v>
      </c>
      <c r="F1292" s="11" t="s">
        <v>117</v>
      </c>
      <c r="G1292" s="15">
        <v>46137</v>
      </c>
      <c r="H1292" s="10" t="str">
        <f>IFERROR(INDEX(面试清单!H:H,MATCH(1291,面试清单!P:P,0)),"")</f>
        <v>线上</v>
      </c>
      <c r="I1292" s="13" t="s">
        <v>29</v>
      </c>
      <c r="J1292" s="10">
        <f ca="1" t="shared" si="61"/>
        <v>52</v>
      </c>
      <c r="K1292" s="10">
        <f ca="1" t="shared" si="62"/>
        <v>16</v>
      </c>
    </row>
    <row r="1293" ht="18" spans="1:11">
      <c r="A1293" s="14">
        <f t="shared" si="60"/>
        <v>1292</v>
      </c>
      <c r="B1293" s="11" t="s">
        <v>5227</v>
      </c>
      <c r="C1293" s="14" t="str">
        <f>IFERROR(INDEX(面试清单!D:D,MATCH(1292,面试清单!P:P,0)),"")</f>
        <v/>
      </c>
      <c r="D1293" s="11" t="s">
        <v>74</v>
      </c>
      <c r="E1293" s="11" t="s">
        <v>64</v>
      </c>
      <c r="F1293" s="11" t="s">
        <v>124</v>
      </c>
      <c r="G1293" s="15">
        <v>46137</v>
      </c>
      <c r="H1293" s="14" t="str">
        <f>IFERROR(INDEX(面试清单!H:H,MATCH(1292,面试清单!P:P,0)),"")</f>
        <v/>
      </c>
      <c r="I1293" s="13" t="s">
        <v>29</v>
      </c>
      <c r="J1293" s="14">
        <f ca="1" t="shared" si="61"/>
        <v>52</v>
      </c>
      <c r="K1293" s="14">
        <f ca="1" t="shared" si="62"/>
        <v>16</v>
      </c>
    </row>
    <row r="1294" ht="18" spans="1:11">
      <c r="A1294" s="10">
        <f t="shared" si="60"/>
        <v>1293</v>
      </c>
      <c r="B1294" s="11" t="s">
        <v>5228</v>
      </c>
      <c r="C1294" s="125" t="str">
        <f>IFERROR(INDEX(面试清单!D:D,MATCH(1293,面试清单!P:P,0)),"")</f>
        <v>0208</v>
      </c>
      <c r="D1294" s="11" t="s">
        <v>74</v>
      </c>
      <c r="E1294" s="11" t="s">
        <v>64</v>
      </c>
      <c r="F1294" s="11" t="s">
        <v>124</v>
      </c>
      <c r="G1294" s="15">
        <v>46137</v>
      </c>
      <c r="H1294" s="10" t="str">
        <f>IFERROR(INDEX(面试清单!H:H,MATCH(1293,面试清单!P:P,0)),"")</f>
        <v>线上</v>
      </c>
      <c r="I1294" s="13" t="s">
        <v>29</v>
      </c>
      <c r="J1294" s="10">
        <f ca="1" t="shared" si="61"/>
        <v>52</v>
      </c>
      <c r="K1294" s="10">
        <f ca="1" t="shared" si="62"/>
        <v>16</v>
      </c>
    </row>
    <row r="1295" ht="18" spans="1:11">
      <c r="A1295" s="14">
        <f t="shared" si="60"/>
        <v>1294</v>
      </c>
      <c r="B1295" s="11" t="s">
        <v>5229</v>
      </c>
      <c r="C1295" s="14" t="str">
        <f>IFERROR(INDEX(面试清单!D:D,MATCH(1294,面试清单!P:P,0)),"")</f>
        <v/>
      </c>
      <c r="D1295" s="11" t="s">
        <v>74</v>
      </c>
      <c r="E1295" s="11" t="s">
        <v>64</v>
      </c>
      <c r="F1295" s="11" t="s">
        <v>148</v>
      </c>
      <c r="G1295" s="15">
        <v>46137</v>
      </c>
      <c r="H1295" s="14" t="str">
        <f>IFERROR(INDEX(面试清单!H:H,MATCH(1294,面试清单!P:P,0)),"")</f>
        <v/>
      </c>
      <c r="I1295" s="13" t="s">
        <v>29</v>
      </c>
      <c r="J1295" s="14">
        <f ca="1" t="shared" si="61"/>
        <v>52</v>
      </c>
      <c r="K1295" s="14">
        <f ca="1" t="shared" si="62"/>
        <v>16</v>
      </c>
    </row>
    <row r="1296" ht="18" spans="1:11">
      <c r="A1296" s="10">
        <f t="shared" si="60"/>
        <v>1295</v>
      </c>
      <c r="B1296" s="11" t="s">
        <v>5230</v>
      </c>
      <c r="C1296" s="10" t="str">
        <f>IFERROR(INDEX(面试清单!D:D,MATCH(1295,面试清单!P:P,0)),"")</f>
        <v/>
      </c>
      <c r="D1296" s="11" t="s">
        <v>74</v>
      </c>
      <c r="E1296" s="11" t="s">
        <v>64</v>
      </c>
      <c r="F1296" s="11" t="s">
        <v>148</v>
      </c>
      <c r="G1296" s="15">
        <v>46137</v>
      </c>
      <c r="H1296" s="10" t="str">
        <f>IFERROR(INDEX(面试清单!H:H,MATCH(1295,面试清单!P:P,0)),"")</f>
        <v/>
      </c>
      <c r="I1296" s="13" t="s">
        <v>29</v>
      </c>
      <c r="J1296" s="10">
        <f ca="1" t="shared" si="61"/>
        <v>52</v>
      </c>
      <c r="K1296" s="10">
        <f ca="1" t="shared" si="62"/>
        <v>16</v>
      </c>
    </row>
    <row r="1297" ht="18" spans="1:11">
      <c r="A1297" s="14">
        <f t="shared" si="60"/>
        <v>1296</v>
      </c>
      <c r="B1297" s="11" t="s">
        <v>5231</v>
      </c>
      <c r="C1297" s="14" t="str">
        <f>IFERROR(INDEX(面试清单!D:D,MATCH(1296,面试清单!P:P,0)),"")</f>
        <v/>
      </c>
      <c r="D1297" s="11" t="s">
        <v>74</v>
      </c>
      <c r="E1297" s="11" t="s">
        <v>64</v>
      </c>
      <c r="F1297" s="11" t="s">
        <v>426</v>
      </c>
      <c r="G1297" s="15">
        <v>46137</v>
      </c>
      <c r="H1297" s="14" t="str">
        <f>IFERROR(INDEX(面试清单!H:H,MATCH(1296,面试清单!P:P,0)),"")</f>
        <v/>
      </c>
      <c r="I1297" s="13" t="s">
        <v>29</v>
      </c>
      <c r="J1297" s="14">
        <f ca="1" t="shared" si="61"/>
        <v>52</v>
      </c>
      <c r="K1297" s="14">
        <f ca="1" t="shared" si="62"/>
        <v>16</v>
      </c>
    </row>
    <row r="1298" ht="18" spans="1:11">
      <c r="A1298" s="10">
        <f t="shared" si="60"/>
        <v>1297</v>
      </c>
      <c r="B1298" s="11" t="s">
        <v>5232</v>
      </c>
      <c r="C1298" s="125" t="str">
        <f>IFERROR(INDEX(面试清单!D:D,MATCH(1297,面试清单!P:P,0)),"")</f>
        <v>0217</v>
      </c>
      <c r="D1298" s="11" t="s">
        <v>74</v>
      </c>
      <c r="E1298" s="11" t="s">
        <v>64</v>
      </c>
      <c r="F1298" s="11" t="s">
        <v>179</v>
      </c>
      <c r="G1298" s="15">
        <v>46137</v>
      </c>
      <c r="H1298" s="10" t="str">
        <f>IFERROR(INDEX(面试清单!H:H,MATCH(1297,面试清单!P:P,0)),"")</f>
        <v>线上</v>
      </c>
      <c r="I1298" s="13" t="s">
        <v>29</v>
      </c>
      <c r="J1298" s="10">
        <f ca="1" t="shared" si="61"/>
        <v>52</v>
      </c>
      <c r="K1298" s="10">
        <f ca="1" t="shared" si="62"/>
        <v>16</v>
      </c>
    </row>
    <row r="1299" ht="18" spans="1:11">
      <c r="A1299" s="14">
        <f t="shared" si="60"/>
        <v>1298</v>
      </c>
      <c r="B1299" s="11" t="s">
        <v>5233</v>
      </c>
      <c r="C1299" s="14" t="str">
        <f>IFERROR(INDEX(面试清单!D:D,MATCH(1298,面试清单!P:P,0)),"")</f>
        <v/>
      </c>
      <c r="D1299" s="11" t="s">
        <v>74</v>
      </c>
      <c r="E1299" s="11" t="s">
        <v>64</v>
      </c>
      <c r="F1299" s="11" t="s">
        <v>332</v>
      </c>
      <c r="G1299" s="15">
        <v>46137</v>
      </c>
      <c r="H1299" s="14" t="str">
        <f>IFERROR(INDEX(面试清单!H:H,MATCH(1298,面试清单!P:P,0)),"")</f>
        <v/>
      </c>
      <c r="I1299" s="13" t="s">
        <v>29</v>
      </c>
      <c r="J1299" s="14">
        <f ca="1" t="shared" si="61"/>
        <v>52</v>
      </c>
      <c r="K1299" s="14">
        <f ca="1" t="shared" si="62"/>
        <v>16</v>
      </c>
    </row>
    <row r="1300" ht="18" spans="1:11">
      <c r="A1300" s="10">
        <f t="shared" si="60"/>
        <v>1299</v>
      </c>
      <c r="B1300" s="11" t="s">
        <v>5234</v>
      </c>
      <c r="C1300" s="10" t="str">
        <f>IFERROR(INDEX(面试清单!D:D,MATCH(1299,面试清单!P:P,0)),"")</f>
        <v/>
      </c>
      <c r="D1300" s="11" t="s">
        <v>74</v>
      </c>
      <c r="E1300" s="11" t="s">
        <v>64</v>
      </c>
      <c r="F1300" s="11" t="s">
        <v>332</v>
      </c>
      <c r="G1300" s="15">
        <v>46137</v>
      </c>
      <c r="H1300" s="10" t="str">
        <f>IFERROR(INDEX(面试清单!H:H,MATCH(1299,面试清单!P:P,0)),"")</f>
        <v/>
      </c>
      <c r="I1300" s="13" t="s">
        <v>29</v>
      </c>
      <c r="J1300" s="10">
        <f ca="1" t="shared" si="61"/>
        <v>52</v>
      </c>
      <c r="K1300" s="10">
        <f ca="1" t="shared" si="62"/>
        <v>16</v>
      </c>
    </row>
    <row r="1301" ht="18" spans="1:11">
      <c r="A1301" s="14">
        <f t="shared" si="60"/>
        <v>1300</v>
      </c>
      <c r="B1301" s="11" t="s">
        <v>5235</v>
      </c>
      <c r="C1301" s="124" t="str">
        <f>IFERROR(INDEX(面试清单!D:D,MATCH(1300,面试清单!P:P,0)),"")</f>
        <v>0221</v>
      </c>
      <c r="D1301" s="11" t="s">
        <v>74</v>
      </c>
      <c r="E1301" s="11" t="s">
        <v>64</v>
      </c>
      <c r="F1301" s="11" t="s">
        <v>332</v>
      </c>
      <c r="G1301" s="15">
        <v>46137</v>
      </c>
      <c r="H1301" s="14" t="str">
        <f>IFERROR(INDEX(面试清单!H:H,MATCH(1300,面试清单!P:P,0)),"")</f>
        <v>线上</v>
      </c>
      <c r="I1301" s="13" t="s">
        <v>29</v>
      </c>
      <c r="J1301" s="14">
        <f ca="1" t="shared" si="61"/>
        <v>52</v>
      </c>
      <c r="K1301" s="14">
        <f ca="1" t="shared" si="62"/>
        <v>16</v>
      </c>
    </row>
    <row r="1302" ht="18" spans="1:11">
      <c r="A1302" s="10">
        <f t="shared" si="60"/>
        <v>1301</v>
      </c>
      <c r="B1302" s="11" t="s">
        <v>5236</v>
      </c>
      <c r="C1302" s="10" t="str">
        <f>IFERROR(INDEX(面试清单!D:D,MATCH(1301,面试清单!P:P,0)),"")</f>
        <v/>
      </c>
      <c r="D1302" s="11" t="s">
        <v>74</v>
      </c>
      <c r="E1302" s="11" t="s">
        <v>64</v>
      </c>
      <c r="F1302" s="11" t="s">
        <v>117</v>
      </c>
      <c r="G1302" s="15">
        <v>46137</v>
      </c>
      <c r="H1302" s="10" t="str">
        <f>IFERROR(INDEX(面试清单!H:H,MATCH(1301,面试清单!P:P,0)),"")</f>
        <v/>
      </c>
      <c r="I1302" s="13" t="s">
        <v>29</v>
      </c>
      <c r="J1302" s="10">
        <f ca="1" t="shared" si="61"/>
        <v>52</v>
      </c>
      <c r="K1302" s="10">
        <f ca="1" t="shared" si="62"/>
        <v>16</v>
      </c>
    </row>
    <row r="1303" ht="18" spans="1:11">
      <c r="A1303" s="14">
        <f t="shared" si="60"/>
        <v>1302</v>
      </c>
      <c r="B1303" s="11" t="s">
        <v>5237</v>
      </c>
      <c r="C1303" s="14" t="str">
        <f>IFERROR(INDEX(面试清单!D:D,MATCH(1302,面试清单!P:P,0)),"")</f>
        <v/>
      </c>
      <c r="D1303" s="11" t="s">
        <v>74</v>
      </c>
      <c r="E1303" s="11" t="s">
        <v>64</v>
      </c>
      <c r="F1303" s="11" t="s">
        <v>173</v>
      </c>
      <c r="G1303" s="15">
        <v>46137</v>
      </c>
      <c r="H1303" s="14" t="str">
        <f>IFERROR(INDEX(面试清单!H:H,MATCH(1302,面试清单!P:P,0)),"")</f>
        <v/>
      </c>
      <c r="I1303" s="13" t="s">
        <v>29</v>
      </c>
      <c r="J1303" s="14">
        <f ca="1" t="shared" si="61"/>
        <v>52</v>
      </c>
      <c r="K1303" s="14">
        <f ca="1" t="shared" si="62"/>
        <v>16</v>
      </c>
    </row>
    <row r="1304" ht="18" spans="1:11">
      <c r="A1304" s="10">
        <f t="shared" si="60"/>
        <v>1303</v>
      </c>
      <c r="B1304" s="11" t="s">
        <v>5238</v>
      </c>
      <c r="C1304" s="125" t="str">
        <f>IFERROR(INDEX(面试清单!D:D,MATCH(1303,面试清单!P:P,0)),"")</f>
        <v>0209</v>
      </c>
      <c r="D1304" s="11" t="s">
        <v>43</v>
      </c>
      <c r="E1304" s="11" t="s">
        <v>63</v>
      </c>
      <c r="F1304" s="11" t="s">
        <v>179</v>
      </c>
      <c r="G1304" s="15">
        <v>46138</v>
      </c>
      <c r="H1304" s="10" t="str">
        <f>IFERROR(INDEX(面试清单!H:H,MATCH(1303,面试清单!P:P,0)),"")</f>
        <v>线上</v>
      </c>
      <c r="I1304" s="13" t="s">
        <v>29</v>
      </c>
      <c r="J1304" s="10">
        <f ca="1" t="shared" si="61"/>
        <v>51</v>
      </c>
      <c r="K1304" s="10">
        <f ca="1" t="shared" si="62"/>
        <v>16</v>
      </c>
    </row>
    <row r="1305" ht="18" spans="1:11">
      <c r="A1305" s="14">
        <f t="shared" si="60"/>
        <v>1304</v>
      </c>
      <c r="B1305" s="11" t="s">
        <v>5239</v>
      </c>
      <c r="C1305" s="14" t="str">
        <f>IFERROR(INDEX(面试清单!D:D,MATCH(1304,面试清单!P:P,0)),"")</f>
        <v/>
      </c>
      <c r="D1305" s="11" t="s">
        <v>43</v>
      </c>
      <c r="E1305" s="11" t="s">
        <v>63</v>
      </c>
      <c r="F1305" s="11" t="s">
        <v>179</v>
      </c>
      <c r="G1305" s="15">
        <v>46138</v>
      </c>
      <c r="H1305" s="14" t="str">
        <f>IFERROR(INDEX(面试清单!H:H,MATCH(1304,面试清单!P:P,0)),"")</f>
        <v/>
      </c>
      <c r="I1305" s="13" t="s">
        <v>29</v>
      </c>
      <c r="J1305" s="14">
        <f ca="1" t="shared" si="61"/>
        <v>51</v>
      </c>
      <c r="K1305" s="14">
        <f ca="1" t="shared" si="62"/>
        <v>16</v>
      </c>
    </row>
    <row r="1306" ht="18" spans="1:11">
      <c r="A1306" s="10">
        <f t="shared" si="60"/>
        <v>1305</v>
      </c>
      <c r="B1306" s="11" t="s">
        <v>5240</v>
      </c>
      <c r="C1306" s="125" t="str">
        <f>IFERROR(INDEX(面试清单!D:D,MATCH(1305,面试清单!P:P,0)),"")</f>
        <v>0214</v>
      </c>
      <c r="D1306" s="11" t="s">
        <v>43</v>
      </c>
      <c r="E1306" s="11" t="s">
        <v>62</v>
      </c>
      <c r="F1306" s="11" t="s">
        <v>233</v>
      </c>
      <c r="G1306" s="15">
        <v>46138</v>
      </c>
      <c r="H1306" s="10" t="str">
        <f>IFERROR(INDEX(面试清单!H:H,MATCH(1305,面试清单!P:P,0)),"")</f>
        <v>线上</v>
      </c>
      <c r="I1306" s="13" t="s">
        <v>29</v>
      </c>
      <c r="J1306" s="10">
        <f ca="1" t="shared" si="61"/>
        <v>51</v>
      </c>
      <c r="K1306" s="10">
        <f ca="1" t="shared" si="62"/>
        <v>16</v>
      </c>
    </row>
    <row r="1307" ht="18" spans="1:11">
      <c r="A1307" s="14">
        <f t="shared" si="60"/>
        <v>1306</v>
      </c>
      <c r="B1307" s="11" t="s">
        <v>5241</v>
      </c>
      <c r="C1307" s="14" t="str">
        <f>IFERROR(INDEX(面试清单!D:D,MATCH(1306,面试清单!P:P,0)),"")</f>
        <v/>
      </c>
      <c r="D1307" s="11" t="s">
        <v>42</v>
      </c>
      <c r="E1307" s="11" t="s">
        <v>63</v>
      </c>
      <c r="F1307" s="11" t="s">
        <v>426</v>
      </c>
      <c r="G1307" s="15">
        <v>46138</v>
      </c>
      <c r="H1307" s="14" t="str">
        <f>IFERROR(INDEX(面试清单!H:H,MATCH(1306,面试清单!P:P,0)),"")</f>
        <v/>
      </c>
      <c r="I1307" s="13" t="s">
        <v>29</v>
      </c>
      <c r="J1307" s="14">
        <f ca="1" t="shared" si="61"/>
        <v>51</v>
      </c>
      <c r="K1307" s="14">
        <f ca="1" t="shared" si="62"/>
        <v>16</v>
      </c>
    </row>
    <row r="1308" ht="18" spans="1:11">
      <c r="A1308" s="10">
        <f t="shared" si="60"/>
        <v>1307</v>
      </c>
      <c r="B1308" s="11" t="s">
        <v>5242</v>
      </c>
      <c r="C1308" s="10" t="str">
        <f>IFERROR(INDEX(面试清单!D:D,MATCH(1307,面试清单!P:P,0)),"")</f>
        <v/>
      </c>
      <c r="D1308" s="11" t="s">
        <v>43</v>
      </c>
      <c r="E1308" s="11" t="s">
        <v>64</v>
      </c>
      <c r="F1308" s="11" t="s">
        <v>173</v>
      </c>
      <c r="G1308" s="15">
        <v>46138</v>
      </c>
      <c r="H1308" s="10" t="str">
        <f>IFERROR(INDEX(面试清单!H:H,MATCH(1307,面试清单!P:P,0)),"")</f>
        <v/>
      </c>
      <c r="I1308" s="13" t="s">
        <v>29</v>
      </c>
      <c r="J1308" s="10">
        <f ca="1" t="shared" si="61"/>
        <v>51</v>
      </c>
      <c r="K1308" s="10">
        <f ca="1" t="shared" si="62"/>
        <v>16</v>
      </c>
    </row>
    <row r="1309" ht="18" spans="1:11">
      <c r="A1309" s="14">
        <f t="shared" si="60"/>
        <v>1308</v>
      </c>
      <c r="B1309" s="11" t="s">
        <v>5243</v>
      </c>
      <c r="C1309" s="14" t="str">
        <f>IFERROR(INDEX(面试清单!D:D,MATCH(1308,面试清单!P:P,0)),"")</f>
        <v/>
      </c>
      <c r="D1309" s="11" t="s">
        <v>43</v>
      </c>
      <c r="E1309" s="11" t="s">
        <v>64</v>
      </c>
      <c r="F1309" s="11" t="s">
        <v>173</v>
      </c>
      <c r="G1309" s="15">
        <v>46138</v>
      </c>
      <c r="H1309" s="14" t="str">
        <f>IFERROR(INDEX(面试清单!H:H,MATCH(1308,面试清单!P:P,0)),"")</f>
        <v/>
      </c>
      <c r="I1309" s="13" t="s">
        <v>29</v>
      </c>
      <c r="J1309" s="14">
        <f ca="1" t="shared" si="61"/>
        <v>51</v>
      </c>
      <c r="K1309" s="14">
        <f ca="1" t="shared" si="62"/>
        <v>16</v>
      </c>
    </row>
    <row r="1310" ht="18" spans="1:11">
      <c r="A1310" s="10">
        <f t="shared" si="60"/>
        <v>1309</v>
      </c>
      <c r="B1310" s="11" t="s">
        <v>5244</v>
      </c>
      <c r="C1310" s="10" t="str">
        <f>IFERROR(INDEX(面试清单!D:D,MATCH(1309,面试清单!P:P,0)),"")</f>
        <v/>
      </c>
      <c r="D1310" s="11" t="s">
        <v>43</v>
      </c>
      <c r="E1310" s="11" t="s">
        <v>62</v>
      </c>
      <c r="F1310" s="11" t="s">
        <v>233</v>
      </c>
      <c r="G1310" s="15">
        <v>46138</v>
      </c>
      <c r="H1310" s="10" t="str">
        <f>IFERROR(INDEX(面试清单!H:H,MATCH(1309,面试清单!P:P,0)),"")</f>
        <v/>
      </c>
      <c r="I1310" s="13" t="s">
        <v>29</v>
      </c>
      <c r="J1310" s="10">
        <f ca="1" t="shared" si="61"/>
        <v>51</v>
      </c>
      <c r="K1310" s="10">
        <f ca="1" t="shared" si="62"/>
        <v>16</v>
      </c>
    </row>
    <row r="1311" ht="18" spans="1:11">
      <c r="A1311" s="14">
        <f t="shared" si="60"/>
        <v>1310</v>
      </c>
      <c r="B1311" s="11" t="s">
        <v>5245</v>
      </c>
      <c r="C1311" s="124" t="str">
        <f>IFERROR(INDEX(面试清单!D:D,MATCH(1310,面试清单!P:P,0)),"")</f>
        <v>0222</v>
      </c>
      <c r="D1311" s="11" t="s">
        <v>43</v>
      </c>
      <c r="E1311" s="11" t="s">
        <v>63</v>
      </c>
      <c r="F1311" s="11" t="s">
        <v>173</v>
      </c>
      <c r="G1311" s="15">
        <v>46138</v>
      </c>
      <c r="H1311" s="14" t="str">
        <f>IFERROR(INDEX(面试清单!H:H,MATCH(1310,面试清单!P:P,0)),"")</f>
        <v>线上</v>
      </c>
      <c r="I1311" s="13" t="s">
        <v>29</v>
      </c>
      <c r="J1311" s="14">
        <f ca="1" t="shared" si="61"/>
        <v>51</v>
      </c>
      <c r="K1311" s="14">
        <f ca="1" t="shared" si="62"/>
        <v>16</v>
      </c>
    </row>
    <row r="1312" ht="18" spans="1:11">
      <c r="A1312" s="10">
        <f t="shared" si="60"/>
        <v>1311</v>
      </c>
      <c r="B1312" s="11" t="s">
        <v>5246</v>
      </c>
      <c r="C1312" s="125" t="str">
        <f>IFERROR(INDEX(面试清单!D:D,MATCH(1311,面试清单!P:P,0)),"")</f>
        <v>0208</v>
      </c>
      <c r="D1312" s="11" t="s">
        <v>43</v>
      </c>
      <c r="E1312" s="11" t="s">
        <v>63</v>
      </c>
      <c r="F1312" s="11" t="s">
        <v>173</v>
      </c>
      <c r="G1312" s="15">
        <v>46138</v>
      </c>
      <c r="H1312" s="10" t="str">
        <f>IFERROR(INDEX(面试清单!H:H,MATCH(1311,面试清单!P:P,0)),"")</f>
        <v>线上</v>
      </c>
      <c r="I1312" s="13" t="s">
        <v>29</v>
      </c>
      <c r="J1312" s="10">
        <f ca="1" t="shared" si="61"/>
        <v>51</v>
      </c>
      <c r="K1312" s="10">
        <f ca="1" t="shared" si="62"/>
        <v>16</v>
      </c>
    </row>
    <row r="1313" ht="18" spans="1:11">
      <c r="A1313" s="14">
        <f t="shared" si="60"/>
        <v>1312</v>
      </c>
      <c r="B1313" s="11" t="s">
        <v>5247</v>
      </c>
      <c r="C1313" s="14" t="str">
        <f>IFERROR(INDEX(面试清单!D:D,MATCH(1312,面试清单!P:P,0)),"")</f>
        <v/>
      </c>
      <c r="D1313" s="11" t="s">
        <v>43</v>
      </c>
      <c r="E1313" s="11" t="s">
        <v>63</v>
      </c>
      <c r="F1313" s="11" t="s">
        <v>124</v>
      </c>
      <c r="G1313" s="15">
        <v>46138</v>
      </c>
      <c r="H1313" s="14" t="str">
        <f>IFERROR(INDEX(面试清单!H:H,MATCH(1312,面试清单!P:P,0)),"")</f>
        <v/>
      </c>
      <c r="I1313" s="13" t="s">
        <v>29</v>
      </c>
      <c r="J1313" s="14">
        <f ca="1" t="shared" si="61"/>
        <v>51</v>
      </c>
      <c r="K1313" s="14">
        <f ca="1" t="shared" si="62"/>
        <v>16</v>
      </c>
    </row>
    <row r="1314" ht="18" spans="1:11">
      <c r="A1314" s="10">
        <f t="shared" si="60"/>
        <v>1313</v>
      </c>
      <c r="B1314" s="11" t="s">
        <v>5248</v>
      </c>
      <c r="C1314" s="125" t="str">
        <f>IFERROR(INDEX(面试清单!D:D,MATCH(1313,面试清单!P:P,0)),"")</f>
        <v>0212</v>
      </c>
      <c r="D1314" s="11" t="s">
        <v>43</v>
      </c>
      <c r="E1314" s="11" t="s">
        <v>62</v>
      </c>
      <c r="F1314" s="11" t="s">
        <v>179</v>
      </c>
      <c r="G1314" s="15">
        <v>46138</v>
      </c>
      <c r="H1314" s="10" t="str">
        <f>IFERROR(INDEX(面试清单!H:H,MATCH(1313,面试清单!P:P,0)),"")</f>
        <v>线上</v>
      </c>
      <c r="I1314" s="13" t="s">
        <v>29</v>
      </c>
      <c r="J1314" s="10">
        <f ca="1" t="shared" si="61"/>
        <v>51</v>
      </c>
      <c r="K1314" s="10">
        <f ca="1" t="shared" si="62"/>
        <v>16</v>
      </c>
    </row>
    <row r="1315" ht="18" spans="1:11">
      <c r="A1315" s="14">
        <f t="shared" si="60"/>
        <v>1314</v>
      </c>
      <c r="B1315" s="11" t="s">
        <v>5249</v>
      </c>
      <c r="C1315" s="14" t="str">
        <f>IFERROR(INDEX(面试清单!D:D,MATCH(1314,面试清单!P:P,0)),"")</f>
        <v/>
      </c>
      <c r="D1315" s="11" t="s">
        <v>74</v>
      </c>
      <c r="E1315" s="11" t="s">
        <v>64</v>
      </c>
      <c r="F1315" s="11" t="s">
        <v>179</v>
      </c>
      <c r="G1315" s="15">
        <v>46138</v>
      </c>
      <c r="H1315" s="14" t="str">
        <f>IFERROR(INDEX(面试清单!H:H,MATCH(1314,面试清单!P:P,0)),"")</f>
        <v/>
      </c>
      <c r="I1315" s="13" t="s">
        <v>29</v>
      </c>
      <c r="J1315" s="14">
        <f ca="1" t="shared" si="61"/>
        <v>51</v>
      </c>
      <c r="K1315" s="14">
        <f ca="1" t="shared" si="62"/>
        <v>16</v>
      </c>
    </row>
    <row r="1316" ht="18" spans="1:11">
      <c r="A1316" s="10">
        <f t="shared" si="60"/>
        <v>1315</v>
      </c>
      <c r="B1316" s="11" t="s">
        <v>5250</v>
      </c>
      <c r="C1316" s="125" t="str">
        <f>IFERROR(INDEX(面试清单!D:D,MATCH(1315,面试清单!P:P,0)),"")</f>
        <v>0217</v>
      </c>
      <c r="D1316" s="11" t="s">
        <v>74</v>
      </c>
      <c r="E1316" s="11" t="s">
        <v>64</v>
      </c>
      <c r="F1316" s="11" t="s">
        <v>179</v>
      </c>
      <c r="G1316" s="15">
        <v>46138</v>
      </c>
      <c r="H1316" s="10" t="str">
        <f>IFERROR(INDEX(面试清单!H:H,MATCH(1315,面试清单!P:P,0)),"")</f>
        <v>线上</v>
      </c>
      <c r="I1316" s="13" t="s">
        <v>29</v>
      </c>
      <c r="J1316" s="10">
        <f ca="1" t="shared" si="61"/>
        <v>51</v>
      </c>
      <c r="K1316" s="10">
        <f ca="1" t="shared" si="62"/>
        <v>16</v>
      </c>
    </row>
    <row r="1317" ht="18" spans="1:11">
      <c r="A1317" s="14">
        <f t="shared" si="60"/>
        <v>1316</v>
      </c>
      <c r="B1317" s="11" t="s">
        <v>1924</v>
      </c>
      <c r="C1317" s="124" t="str">
        <f>IFERROR(INDEX(面试清单!D:D,MATCH(1316,面试清单!P:P,0)),"")</f>
        <v>0218</v>
      </c>
      <c r="D1317" s="11" t="s">
        <v>74</v>
      </c>
      <c r="E1317" s="11" t="s">
        <v>64</v>
      </c>
      <c r="F1317" s="11" t="s">
        <v>179</v>
      </c>
      <c r="G1317" s="15">
        <v>46138</v>
      </c>
      <c r="H1317" s="14" t="str">
        <f>IFERROR(INDEX(面试清单!H:H,MATCH(1316,面试清单!P:P,0)),"")</f>
        <v>线上</v>
      </c>
      <c r="I1317" s="13" t="s">
        <v>29</v>
      </c>
      <c r="J1317" s="14">
        <f ca="1" t="shared" si="61"/>
        <v>51</v>
      </c>
      <c r="K1317" s="14">
        <f ca="1" t="shared" si="62"/>
        <v>16</v>
      </c>
    </row>
    <row r="1318" ht="18" spans="1:11">
      <c r="A1318" s="10">
        <f t="shared" si="60"/>
        <v>1317</v>
      </c>
      <c r="B1318" s="11" t="s">
        <v>5251</v>
      </c>
      <c r="C1318" s="125" t="str">
        <f>IFERROR(INDEX(面试清单!D:D,MATCH(1317,面试清单!P:P,0)),"")</f>
        <v>0220</v>
      </c>
      <c r="D1318" s="11" t="s">
        <v>74</v>
      </c>
      <c r="E1318" s="11" t="s">
        <v>64</v>
      </c>
      <c r="F1318" s="11" t="s">
        <v>179</v>
      </c>
      <c r="G1318" s="15">
        <v>46138</v>
      </c>
      <c r="H1318" s="10" t="str">
        <f>IFERROR(INDEX(面试清单!H:H,MATCH(1317,面试清单!P:P,0)),"")</f>
        <v>线上</v>
      </c>
      <c r="I1318" s="13" t="s">
        <v>29</v>
      </c>
      <c r="J1318" s="10">
        <f ca="1" t="shared" si="61"/>
        <v>51</v>
      </c>
      <c r="K1318" s="10">
        <f ca="1" t="shared" si="62"/>
        <v>16</v>
      </c>
    </row>
    <row r="1319" ht="18" spans="1:11">
      <c r="A1319" s="14">
        <f t="shared" si="60"/>
        <v>1318</v>
      </c>
      <c r="B1319" s="11" t="s">
        <v>5252</v>
      </c>
      <c r="C1319" s="14" t="str">
        <f>IFERROR(INDEX(面试清单!D:D,MATCH(1318,面试清单!P:P,0)),"")</f>
        <v/>
      </c>
      <c r="D1319" s="11" t="s">
        <v>74</v>
      </c>
      <c r="E1319" s="11" t="s">
        <v>64</v>
      </c>
      <c r="F1319" s="11" t="s">
        <v>179</v>
      </c>
      <c r="G1319" s="15">
        <v>46138</v>
      </c>
      <c r="H1319" s="14" t="str">
        <f>IFERROR(INDEX(面试清单!H:H,MATCH(1318,面试清单!P:P,0)),"")</f>
        <v/>
      </c>
      <c r="I1319" s="13" t="s">
        <v>29</v>
      </c>
      <c r="J1319" s="14">
        <f ca="1" t="shared" si="61"/>
        <v>51</v>
      </c>
      <c r="K1319" s="14">
        <f ca="1" t="shared" si="62"/>
        <v>16</v>
      </c>
    </row>
    <row r="1320" ht="18" spans="1:11">
      <c r="A1320" s="10">
        <f t="shared" si="60"/>
        <v>1319</v>
      </c>
      <c r="B1320" s="11" t="s">
        <v>5253</v>
      </c>
      <c r="C1320" s="10" t="str">
        <f>IFERROR(INDEX(面试清单!D:D,MATCH(1319,面试清单!P:P,0)),"")</f>
        <v/>
      </c>
      <c r="D1320" s="11" t="s">
        <v>43</v>
      </c>
      <c r="E1320" s="11" t="s">
        <v>64</v>
      </c>
      <c r="F1320" s="11" t="s">
        <v>246</v>
      </c>
      <c r="G1320" s="15">
        <v>46138</v>
      </c>
      <c r="H1320" s="10" t="str">
        <f>IFERROR(INDEX(面试清单!H:H,MATCH(1319,面试清单!P:P,0)),"")</f>
        <v/>
      </c>
      <c r="I1320" s="13" t="s">
        <v>29</v>
      </c>
      <c r="J1320" s="10">
        <f ca="1" t="shared" si="61"/>
        <v>51</v>
      </c>
      <c r="K1320" s="10">
        <f ca="1" t="shared" si="62"/>
        <v>16</v>
      </c>
    </row>
    <row r="1321" ht="18" spans="1:11">
      <c r="A1321" s="14">
        <f t="shared" si="60"/>
        <v>1320</v>
      </c>
      <c r="B1321" s="11" t="s">
        <v>5254</v>
      </c>
      <c r="C1321" s="124" t="str">
        <f>IFERROR(INDEX(面试清单!D:D,MATCH(1320,面试清单!P:P,0)),"")</f>
        <v>0208</v>
      </c>
      <c r="D1321" s="11" t="s">
        <v>43</v>
      </c>
      <c r="E1321" s="11" t="s">
        <v>64</v>
      </c>
      <c r="F1321" s="11" t="s">
        <v>246</v>
      </c>
      <c r="G1321" s="15">
        <v>46138</v>
      </c>
      <c r="H1321" s="14" t="str">
        <f>IFERROR(INDEX(面试清单!H:H,MATCH(1320,面试清单!P:P,0)),"")</f>
        <v>线上</v>
      </c>
      <c r="I1321" s="13" t="s">
        <v>29</v>
      </c>
      <c r="J1321" s="14">
        <f ca="1" t="shared" si="61"/>
        <v>51</v>
      </c>
      <c r="K1321" s="14">
        <f ca="1" t="shared" si="62"/>
        <v>16</v>
      </c>
    </row>
    <row r="1322" ht="18" spans="1:11">
      <c r="A1322" s="10">
        <f t="shared" si="60"/>
        <v>1321</v>
      </c>
      <c r="B1322" s="11" t="s">
        <v>5255</v>
      </c>
      <c r="C1322" s="125" t="str">
        <f>IFERROR(INDEX(面试清单!D:D,MATCH(1321,面试清单!P:P,0)),"")</f>
        <v>0209</v>
      </c>
      <c r="D1322" s="11" t="s">
        <v>74</v>
      </c>
      <c r="E1322" s="11" t="s">
        <v>64</v>
      </c>
      <c r="F1322" s="11" t="s">
        <v>246</v>
      </c>
      <c r="G1322" s="15">
        <v>46138</v>
      </c>
      <c r="H1322" s="10" t="str">
        <f>IFERROR(INDEX(面试清单!H:H,MATCH(1321,面试清单!P:P,0)),"")</f>
        <v>线上</v>
      </c>
      <c r="I1322" s="13" t="s">
        <v>29</v>
      </c>
      <c r="J1322" s="10">
        <f ca="1" t="shared" si="61"/>
        <v>51</v>
      </c>
      <c r="K1322" s="10">
        <f ca="1" t="shared" si="62"/>
        <v>16</v>
      </c>
    </row>
    <row r="1323" ht="18" spans="1:11">
      <c r="A1323" s="14">
        <f t="shared" si="60"/>
        <v>1322</v>
      </c>
      <c r="B1323" s="11" t="s">
        <v>5256</v>
      </c>
      <c r="C1323" s="14" t="str">
        <f>IFERROR(INDEX(面试清单!D:D,MATCH(1322,面试清单!P:P,0)),"")</f>
        <v/>
      </c>
      <c r="D1323" s="11" t="s">
        <v>74</v>
      </c>
      <c r="E1323" s="11" t="s">
        <v>64</v>
      </c>
      <c r="F1323" s="11" t="s">
        <v>246</v>
      </c>
      <c r="G1323" s="15">
        <v>46138</v>
      </c>
      <c r="H1323" s="14" t="str">
        <f>IFERROR(INDEX(面试清单!H:H,MATCH(1322,面试清单!P:P,0)),"")</f>
        <v/>
      </c>
      <c r="I1323" s="13" t="s">
        <v>29</v>
      </c>
      <c r="J1323" s="14">
        <f ca="1" t="shared" si="61"/>
        <v>51</v>
      </c>
      <c r="K1323" s="14">
        <f ca="1" t="shared" si="62"/>
        <v>16</v>
      </c>
    </row>
    <row r="1324" ht="18" spans="1:11">
      <c r="A1324" s="10">
        <f t="shared" si="60"/>
        <v>1323</v>
      </c>
      <c r="B1324" s="11" t="s">
        <v>5257</v>
      </c>
      <c r="C1324" s="10" t="str">
        <f>IFERROR(INDEX(面试清单!D:D,MATCH(1323,面试清单!P:P,0)),"")</f>
        <v/>
      </c>
      <c r="D1324" s="11" t="s">
        <v>74</v>
      </c>
      <c r="E1324" s="11" t="s">
        <v>64</v>
      </c>
      <c r="F1324" s="11" t="s">
        <v>117</v>
      </c>
      <c r="G1324" s="15">
        <v>46138</v>
      </c>
      <c r="H1324" s="10" t="str">
        <f>IFERROR(INDEX(面试清单!H:H,MATCH(1323,面试清单!P:P,0)),"")</f>
        <v/>
      </c>
      <c r="I1324" s="13" t="s">
        <v>29</v>
      </c>
      <c r="J1324" s="10">
        <f ca="1" t="shared" si="61"/>
        <v>51</v>
      </c>
      <c r="K1324" s="10">
        <f ca="1" t="shared" si="62"/>
        <v>16</v>
      </c>
    </row>
    <row r="1325" ht="18" spans="1:11">
      <c r="A1325" s="14">
        <f t="shared" si="60"/>
        <v>1324</v>
      </c>
      <c r="B1325" s="11" t="s">
        <v>5258</v>
      </c>
      <c r="C1325" s="124" t="str">
        <f>IFERROR(INDEX(面试清单!D:D,MATCH(1324,面试清单!P:P,0)),"")</f>
        <v>0217</v>
      </c>
      <c r="D1325" s="11" t="s">
        <v>74</v>
      </c>
      <c r="E1325" s="11" t="s">
        <v>64</v>
      </c>
      <c r="F1325" s="11" t="s">
        <v>117</v>
      </c>
      <c r="G1325" s="15">
        <v>46138</v>
      </c>
      <c r="H1325" s="14" t="str">
        <f>IFERROR(INDEX(面试清单!H:H,MATCH(1324,面试清单!P:P,0)),"")</f>
        <v>线上</v>
      </c>
      <c r="I1325" s="13" t="s">
        <v>29</v>
      </c>
      <c r="J1325" s="14">
        <f ca="1" t="shared" si="61"/>
        <v>51</v>
      </c>
      <c r="K1325" s="14">
        <f ca="1" t="shared" si="62"/>
        <v>16</v>
      </c>
    </row>
    <row r="1326" ht="18" spans="1:11">
      <c r="A1326" s="10">
        <f t="shared" si="60"/>
        <v>1325</v>
      </c>
      <c r="B1326" s="11" t="s">
        <v>5259</v>
      </c>
      <c r="C1326" s="10" t="str">
        <f>IFERROR(INDEX(面试清单!D:D,MATCH(1325,面试清单!P:P,0)),"")</f>
        <v/>
      </c>
      <c r="D1326" s="11" t="s">
        <v>74</v>
      </c>
      <c r="E1326" s="11" t="s">
        <v>64</v>
      </c>
      <c r="F1326" s="11" t="s">
        <v>117</v>
      </c>
      <c r="G1326" s="15">
        <v>46138</v>
      </c>
      <c r="H1326" s="10" t="str">
        <f>IFERROR(INDEX(面试清单!H:H,MATCH(1325,面试清单!P:P,0)),"")</f>
        <v/>
      </c>
      <c r="I1326" s="13" t="s">
        <v>29</v>
      </c>
      <c r="J1326" s="10">
        <f ca="1" t="shared" si="61"/>
        <v>51</v>
      </c>
      <c r="K1326" s="10">
        <f ca="1" t="shared" si="62"/>
        <v>16</v>
      </c>
    </row>
    <row r="1327" ht="18" spans="1:11">
      <c r="A1327" s="14">
        <f t="shared" si="60"/>
        <v>1326</v>
      </c>
      <c r="B1327" s="11" t="s">
        <v>5260</v>
      </c>
      <c r="C1327" s="14" t="str">
        <f>IFERROR(INDEX(面试清单!D:D,MATCH(1326,面试清单!P:P,0)),"")</f>
        <v/>
      </c>
      <c r="D1327" s="11" t="s">
        <v>74</v>
      </c>
      <c r="E1327" s="11" t="s">
        <v>64</v>
      </c>
      <c r="F1327" s="11" t="s">
        <v>179</v>
      </c>
      <c r="G1327" s="15">
        <v>46138</v>
      </c>
      <c r="H1327" s="14" t="str">
        <f>IFERROR(INDEX(面试清单!H:H,MATCH(1326,面试清单!P:P,0)),"")</f>
        <v/>
      </c>
      <c r="I1327" s="13" t="s">
        <v>29</v>
      </c>
      <c r="J1327" s="14">
        <f ca="1" t="shared" si="61"/>
        <v>51</v>
      </c>
      <c r="K1327" s="14">
        <f ca="1" t="shared" si="62"/>
        <v>16</v>
      </c>
    </row>
    <row r="1328" ht="18" spans="1:11">
      <c r="A1328" s="10">
        <f t="shared" si="60"/>
        <v>1327</v>
      </c>
      <c r="B1328" s="11" t="s">
        <v>5261</v>
      </c>
      <c r="C1328" s="125" t="str">
        <f>IFERROR(INDEX(面试清单!D:D,MATCH(1327,面试清单!P:P,0)),"")</f>
        <v>0221</v>
      </c>
      <c r="D1328" s="11" t="s">
        <v>42</v>
      </c>
      <c r="E1328" s="11" t="s">
        <v>63</v>
      </c>
      <c r="F1328" s="11" t="s">
        <v>117</v>
      </c>
      <c r="G1328" s="15">
        <v>46139</v>
      </c>
      <c r="H1328" s="10" t="str">
        <f>IFERROR(INDEX(面试清单!H:H,MATCH(1327,面试清单!P:P,0)),"")</f>
        <v>线上</v>
      </c>
      <c r="I1328" s="13" t="s">
        <v>29</v>
      </c>
      <c r="J1328" s="10">
        <f ca="1" t="shared" si="61"/>
        <v>50</v>
      </c>
      <c r="K1328" s="10">
        <f ca="1" t="shared" si="62"/>
        <v>16</v>
      </c>
    </row>
    <row r="1329" ht="18" spans="1:11">
      <c r="A1329" s="14">
        <f t="shared" si="60"/>
        <v>1328</v>
      </c>
      <c r="B1329" s="11" t="s">
        <v>5262</v>
      </c>
      <c r="C1329" s="14" t="str">
        <f>IFERROR(INDEX(面试清单!D:D,MATCH(1328,面试清单!P:P,0)),"")</f>
        <v/>
      </c>
      <c r="D1329" s="11" t="s">
        <v>42</v>
      </c>
      <c r="E1329" s="11" t="s">
        <v>62</v>
      </c>
      <c r="F1329" s="11" t="s">
        <v>176</v>
      </c>
      <c r="G1329" s="15">
        <v>46139</v>
      </c>
      <c r="H1329" s="14" t="str">
        <f>IFERROR(INDEX(面试清单!H:H,MATCH(1328,面试清单!P:P,0)),"")</f>
        <v/>
      </c>
      <c r="I1329" s="13" t="s">
        <v>29</v>
      </c>
      <c r="J1329" s="14">
        <f ca="1" t="shared" si="61"/>
        <v>50</v>
      </c>
      <c r="K1329" s="14">
        <f ca="1" t="shared" si="62"/>
        <v>16</v>
      </c>
    </row>
    <row r="1330" ht="18" spans="1:11">
      <c r="A1330" s="10">
        <f t="shared" si="60"/>
        <v>1329</v>
      </c>
      <c r="B1330" s="11" t="s">
        <v>5263</v>
      </c>
      <c r="C1330" s="125" t="str">
        <f>IFERROR(INDEX(面试清单!D:D,MATCH(1329,面试清单!P:P,0)),"")</f>
        <v>0208</v>
      </c>
      <c r="D1330" s="11" t="s">
        <v>42</v>
      </c>
      <c r="E1330" s="11" t="s">
        <v>63</v>
      </c>
      <c r="F1330" s="11" t="s">
        <v>176</v>
      </c>
      <c r="G1330" s="15">
        <v>46139</v>
      </c>
      <c r="H1330" s="10" t="str">
        <f>IFERROR(INDEX(面试清单!H:H,MATCH(1329,面试清单!P:P,0)),"")</f>
        <v>线上</v>
      </c>
      <c r="I1330" s="13" t="s">
        <v>29</v>
      </c>
      <c r="J1330" s="10">
        <f ca="1" t="shared" si="61"/>
        <v>50</v>
      </c>
      <c r="K1330" s="10">
        <f ca="1" t="shared" si="62"/>
        <v>16</v>
      </c>
    </row>
    <row r="1331" ht="18" spans="1:11">
      <c r="A1331" s="14">
        <f t="shared" si="60"/>
        <v>1330</v>
      </c>
      <c r="B1331" s="11" t="s">
        <v>5264</v>
      </c>
      <c r="C1331" s="14" t="str">
        <f>IFERROR(INDEX(面试清单!D:D,MATCH(1330,面试清单!P:P,0)),"")</f>
        <v/>
      </c>
      <c r="D1331" s="11" t="s">
        <v>42</v>
      </c>
      <c r="E1331" s="11" t="s">
        <v>62</v>
      </c>
      <c r="F1331" s="11" t="s">
        <v>1166</v>
      </c>
      <c r="G1331" s="15">
        <v>46139</v>
      </c>
      <c r="H1331" s="14" t="str">
        <f>IFERROR(INDEX(面试清单!H:H,MATCH(1330,面试清单!P:P,0)),"")</f>
        <v/>
      </c>
      <c r="I1331" s="13" t="s">
        <v>29</v>
      </c>
      <c r="J1331" s="14">
        <f ca="1" t="shared" si="61"/>
        <v>50</v>
      </c>
      <c r="K1331" s="14">
        <f ca="1" t="shared" si="62"/>
        <v>16</v>
      </c>
    </row>
    <row r="1332" ht="18" spans="1:11">
      <c r="A1332" s="10">
        <f t="shared" si="60"/>
        <v>1331</v>
      </c>
      <c r="B1332" s="11" t="s">
        <v>5265</v>
      </c>
      <c r="C1332" s="125" t="str">
        <f>IFERROR(INDEX(面试清单!D:D,MATCH(1331,面试清单!P:P,0)),"")</f>
        <v>0209</v>
      </c>
      <c r="D1332" s="11" t="s">
        <v>43</v>
      </c>
      <c r="E1332" s="11" t="s">
        <v>62</v>
      </c>
      <c r="F1332" s="11" t="s">
        <v>509</v>
      </c>
      <c r="G1332" s="15">
        <v>46139</v>
      </c>
      <c r="H1332" s="10" t="str">
        <f>IFERROR(INDEX(面试清单!H:H,MATCH(1331,面试清单!P:P,0)),"")</f>
        <v>线上</v>
      </c>
      <c r="I1332" s="13" t="s">
        <v>29</v>
      </c>
      <c r="J1332" s="10">
        <f ca="1" t="shared" si="61"/>
        <v>50</v>
      </c>
      <c r="K1332" s="10">
        <f ca="1" t="shared" si="62"/>
        <v>16</v>
      </c>
    </row>
    <row r="1333" ht="18" spans="1:11">
      <c r="A1333" s="14">
        <f t="shared" si="60"/>
        <v>1332</v>
      </c>
      <c r="B1333" s="11" t="s">
        <v>5266</v>
      </c>
      <c r="C1333" s="14" t="str">
        <f>IFERROR(INDEX(面试清单!D:D,MATCH(1332,面试清单!P:P,0)),"")</f>
        <v/>
      </c>
      <c r="D1333" s="11" t="s">
        <v>43</v>
      </c>
      <c r="E1333" s="11" t="s">
        <v>63</v>
      </c>
      <c r="F1333" s="11" t="s">
        <v>173</v>
      </c>
      <c r="G1333" s="15">
        <v>46139</v>
      </c>
      <c r="H1333" s="14" t="str">
        <f>IFERROR(INDEX(面试清单!H:H,MATCH(1332,面试清单!P:P,0)),"")</f>
        <v/>
      </c>
      <c r="I1333" s="13" t="s">
        <v>29</v>
      </c>
      <c r="J1333" s="14">
        <f ca="1" t="shared" si="61"/>
        <v>50</v>
      </c>
      <c r="K1333" s="14">
        <f ca="1" t="shared" si="62"/>
        <v>16</v>
      </c>
    </row>
    <row r="1334" ht="18" spans="1:11">
      <c r="A1334" s="10">
        <f t="shared" si="60"/>
        <v>1333</v>
      </c>
      <c r="B1334" s="11" t="s">
        <v>5267</v>
      </c>
      <c r="C1334" s="125" t="str">
        <f>IFERROR(INDEX(面试清单!D:D,MATCH(1333,面试清单!P:P,0)),"")</f>
        <v>0214</v>
      </c>
      <c r="D1334" s="11" t="s">
        <v>43</v>
      </c>
      <c r="E1334" s="11" t="s">
        <v>62</v>
      </c>
      <c r="F1334" s="11" t="s">
        <v>233</v>
      </c>
      <c r="G1334" s="15">
        <v>46139</v>
      </c>
      <c r="H1334" s="10" t="str">
        <f>IFERROR(INDEX(面试清单!H:H,MATCH(1333,面试清单!P:P,0)),"")</f>
        <v>线上</v>
      </c>
      <c r="I1334" s="13" t="s">
        <v>29</v>
      </c>
      <c r="J1334" s="10">
        <f ca="1" t="shared" si="61"/>
        <v>50</v>
      </c>
      <c r="K1334" s="10">
        <f ca="1" t="shared" si="62"/>
        <v>16</v>
      </c>
    </row>
    <row r="1335" ht="36" spans="1:11">
      <c r="A1335" s="14">
        <f t="shared" si="60"/>
        <v>1334</v>
      </c>
      <c r="B1335" s="11" t="s">
        <v>5268</v>
      </c>
      <c r="C1335" s="124" t="str">
        <f>IFERROR(INDEX(面试清单!D:D,MATCH(1334,面试清单!P:P,0)),"")</f>
        <v>0217</v>
      </c>
      <c r="D1335" s="11" t="s">
        <v>43</v>
      </c>
      <c r="E1335" s="11" t="s">
        <v>63</v>
      </c>
      <c r="F1335" s="11" t="s">
        <v>124</v>
      </c>
      <c r="G1335" s="15">
        <v>46139</v>
      </c>
      <c r="H1335" s="14" t="str">
        <f>IFERROR(INDEX(面试清单!H:H,MATCH(1334,面试清单!P:P,0)),"")</f>
        <v>线上</v>
      </c>
      <c r="I1335" s="13" t="s">
        <v>29</v>
      </c>
      <c r="J1335" s="14">
        <f ca="1" t="shared" si="61"/>
        <v>50</v>
      </c>
      <c r="K1335" s="14">
        <f ca="1" t="shared" si="62"/>
        <v>16</v>
      </c>
    </row>
    <row r="1336" ht="18" spans="1:11">
      <c r="A1336" s="10">
        <f t="shared" si="60"/>
        <v>1335</v>
      </c>
      <c r="B1336" s="11" t="s">
        <v>5269</v>
      </c>
      <c r="C1336" s="10" t="str">
        <f>IFERROR(INDEX(面试清单!D:D,MATCH(1335,面试清单!P:P,0)),"")</f>
        <v/>
      </c>
      <c r="D1336" s="11" t="s">
        <v>43</v>
      </c>
      <c r="E1336" s="11" t="s">
        <v>62</v>
      </c>
      <c r="F1336" s="11" t="s">
        <v>233</v>
      </c>
      <c r="G1336" s="15">
        <v>46139</v>
      </c>
      <c r="H1336" s="10" t="str">
        <f>IFERROR(INDEX(面试清单!H:H,MATCH(1335,面试清单!P:P,0)),"")</f>
        <v/>
      </c>
      <c r="I1336" s="13" t="s">
        <v>29</v>
      </c>
      <c r="J1336" s="10">
        <f ca="1" t="shared" si="61"/>
        <v>50</v>
      </c>
      <c r="K1336" s="10">
        <f ca="1" t="shared" si="62"/>
        <v>16</v>
      </c>
    </row>
    <row r="1337" ht="18" spans="1:11">
      <c r="A1337" s="14">
        <f t="shared" si="60"/>
        <v>1336</v>
      </c>
      <c r="B1337" s="11" t="s">
        <v>5270</v>
      </c>
      <c r="C1337" s="124" t="str">
        <f>IFERROR(INDEX(面试清单!D:D,MATCH(1336,面试清单!P:P,0)),"")</f>
        <v>0220</v>
      </c>
      <c r="D1337" s="11" t="s">
        <v>43</v>
      </c>
      <c r="E1337" s="11" t="s">
        <v>62</v>
      </c>
      <c r="F1337" s="11" t="s">
        <v>246</v>
      </c>
      <c r="G1337" s="15">
        <v>46139</v>
      </c>
      <c r="H1337" s="14" t="str">
        <f>IFERROR(INDEX(面试清单!H:H,MATCH(1336,面试清单!P:P,0)),"")</f>
        <v>线上</v>
      </c>
      <c r="I1337" s="13" t="s">
        <v>29</v>
      </c>
      <c r="J1337" s="14">
        <f ca="1" t="shared" si="61"/>
        <v>50</v>
      </c>
      <c r="K1337" s="14">
        <f ca="1" t="shared" si="62"/>
        <v>16</v>
      </c>
    </row>
    <row r="1338" ht="18" spans="1:11">
      <c r="A1338" s="10">
        <f t="shared" si="60"/>
        <v>1337</v>
      </c>
      <c r="B1338" s="11" t="s">
        <v>5271</v>
      </c>
      <c r="C1338" s="125" t="str">
        <f>IFERROR(INDEX(面试清单!D:D,MATCH(1337,面试清单!P:P,0)),"")</f>
        <v>0221</v>
      </c>
      <c r="D1338" s="11" t="s">
        <v>73</v>
      </c>
      <c r="E1338" s="11" t="s">
        <v>63</v>
      </c>
      <c r="F1338" s="11" t="s">
        <v>129</v>
      </c>
      <c r="G1338" s="15">
        <v>46139</v>
      </c>
      <c r="H1338" s="10" t="str">
        <f>IFERROR(INDEX(面试清单!H:H,MATCH(1337,面试清单!P:P,0)),"")</f>
        <v>线上</v>
      </c>
      <c r="I1338" s="13" t="s">
        <v>29</v>
      </c>
      <c r="J1338" s="10">
        <f ca="1" t="shared" si="61"/>
        <v>50</v>
      </c>
      <c r="K1338" s="10">
        <f ca="1" t="shared" si="62"/>
        <v>16</v>
      </c>
    </row>
    <row r="1339" ht="18" spans="1:11">
      <c r="A1339" s="14">
        <f t="shared" si="60"/>
        <v>1338</v>
      </c>
      <c r="B1339" s="11" t="s">
        <v>5272</v>
      </c>
      <c r="C1339" s="124" t="str">
        <f>IFERROR(INDEX(面试清单!D:D,MATCH(1338,面试清单!P:P,0)),"")</f>
        <v>0222</v>
      </c>
      <c r="D1339" s="11" t="s">
        <v>43</v>
      </c>
      <c r="E1339" s="11" t="s">
        <v>63</v>
      </c>
      <c r="F1339" s="11" t="s">
        <v>3356</v>
      </c>
      <c r="G1339" s="15">
        <v>46139</v>
      </c>
      <c r="H1339" s="14" t="str">
        <f>IFERROR(INDEX(面试清单!H:H,MATCH(1338,面试清单!P:P,0)),"")</f>
        <v>线上</v>
      </c>
      <c r="I1339" s="13" t="s">
        <v>29</v>
      </c>
      <c r="J1339" s="14">
        <f ca="1" t="shared" si="61"/>
        <v>50</v>
      </c>
      <c r="K1339" s="14">
        <f ca="1" t="shared" si="62"/>
        <v>16</v>
      </c>
    </row>
    <row r="1340" ht="18" spans="1:11">
      <c r="A1340" s="10">
        <f t="shared" si="60"/>
        <v>1339</v>
      </c>
      <c r="B1340" s="11" t="s">
        <v>5273</v>
      </c>
      <c r="C1340" s="10" t="str">
        <f>IFERROR(INDEX(面试清单!D:D,MATCH(1339,面试清单!P:P,0)),"")</f>
        <v/>
      </c>
      <c r="D1340" s="11" t="s">
        <v>43</v>
      </c>
      <c r="E1340" s="11" t="s">
        <v>62</v>
      </c>
      <c r="F1340" s="11" t="s">
        <v>132</v>
      </c>
      <c r="G1340" s="15">
        <v>46125</v>
      </c>
      <c r="H1340" s="10" t="str">
        <f>IFERROR(INDEX(面试清单!H:H,MATCH(1339,面试清单!P:P,0)),"")</f>
        <v/>
      </c>
      <c r="I1340" s="13" t="s">
        <v>29</v>
      </c>
      <c r="J1340" s="10">
        <f ca="1" t="shared" si="61"/>
        <v>64</v>
      </c>
      <c r="K1340" s="10">
        <f ca="1" t="shared" si="62"/>
        <v>16</v>
      </c>
    </row>
    <row r="1341" ht="18" spans="1:11">
      <c r="A1341" s="14">
        <f t="shared" si="60"/>
        <v>1340</v>
      </c>
      <c r="B1341" s="11" t="s">
        <v>5274</v>
      </c>
      <c r="C1341" s="14" t="str">
        <f>IFERROR(INDEX(面试清单!D:D,MATCH(1340,面试清单!P:P,0)),"")</f>
        <v/>
      </c>
      <c r="D1341" s="11" t="s">
        <v>42</v>
      </c>
      <c r="E1341" s="11" t="s">
        <v>62</v>
      </c>
      <c r="F1341" s="11" t="s">
        <v>110</v>
      </c>
      <c r="G1341" s="15">
        <v>46139</v>
      </c>
      <c r="H1341" s="14" t="str">
        <f>IFERROR(INDEX(面试清单!H:H,MATCH(1340,面试清单!P:P,0)),"")</f>
        <v/>
      </c>
      <c r="I1341" s="13" t="s">
        <v>29</v>
      </c>
      <c r="J1341" s="14">
        <f ca="1" t="shared" si="61"/>
        <v>50</v>
      </c>
      <c r="K1341" s="14">
        <f ca="1" t="shared" si="62"/>
        <v>16</v>
      </c>
    </row>
    <row r="1342" ht="18" spans="1:11">
      <c r="A1342" s="10">
        <f t="shared" si="60"/>
        <v>1341</v>
      </c>
      <c r="B1342" s="11" t="s">
        <v>5275</v>
      </c>
      <c r="C1342" s="10" t="str">
        <f>IFERROR(INDEX(面试清单!D:D,MATCH(1341,面试清单!P:P,0)),"")</f>
        <v/>
      </c>
      <c r="D1342" s="11" t="s">
        <v>42</v>
      </c>
      <c r="E1342" s="11" t="s">
        <v>62</v>
      </c>
      <c r="F1342" s="11" t="s">
        <v>110</v>
      </c>
      <c r="G1342" s="15">
        <v>46139</v>
      </c>
      <c r="H1342" s="10" t="str">
        <f>IFERROR(INDEX(面试清单!H:H,MATCH(1341,面试清单!P:P,0)),"")</f>
        <v/>
      </c>
      <c r="I1342" s="13" t="s">
        <v>29</v>
      </c>
      <c r="J1342" s="10">
        <f ca="1" t="shared" si="61"/>
        <v>50</v>
      </c>
      <c r="K1342" s="10">
        <f ca="1" t="shared" si="62"/>
        <v>16</v>
      </c>
    </row>
    <row r="1343" ht="18" spans="1:11">
      <c r="A1343" s="14">
        <f t="shared" si="60"/>
        <v>1342</v>
      </c>
      <c r="B1343" s="11" t="s">
        <v>5276</v>
      </c>
      <c r="C1343" s="14" t="str">
        <f>IFERROR(INDEX(面试清单!D:D,MATCH(1342,面试清单!P:P,0)),"")</f>
        <v/>
      </c>
      <c r="D1343" s="11" t="s">
        <v>43</v>
      </c>
      <c r="E1343" s="11" t="s">
        <v>63</v>
      </c>
      <c r="F1343" s="11" t="s">
        <v>110</v>
      </c>
      <c r="G1343" s="15">
        <v>46139</v>
      </c>
      <c r="H1343" s="14" t="str">
        <f>IFERROR(INDEX(面试清单!H:H,MATCH(1342,面试清单!P:P,0)),"")</f>
        <v/>
      </c>
      <c r="I1343" s="13" t="s">
        <v>29</v>
      </c>
      <c r="J1343" s="14">
        <f ca="1" t="shared" si="61"/>
        <v>50</v>
      </c>
      <c r="K1343" s="14">
        <f ca="1" t="shared" si="62"/>
        <v>16</v>
      </c>
    </row>
    <row r="1344" ht="18" spans="1:11">
      <c r="A1344" s="10">
        <f t="shared" si="60"/>
        <v>1343</v>
      </c>
      <c r="B1344" s="11" t="s">
        <v>5277</v>
      </c>
      <c r="C1344" s="10" t="str">
        <f>IFERROR(INDEX(面试清单!D:D,MATCH(1343,面试清单!P:P,0)),"")</f>
        <v/>
      </c>
      <c r="D1344" s="11" t="s">
        <v>42</v>
      </c>
      <c r="E1344" s="11" t="s">
        <v>62</v>
      </c>
      <c r="F1344" s="11" t="s">
        <v>124</v>
      </c>
      <c r="G1344" s="15">
        <v>46114</v>
      </c>
      <c r="H1344" s="10" t="str">
        <f>IFERROR(INDEX(面试清单!H:H,MATCH(1343,面试清单!P:P,0)),"")</f>
        <v/>
      </c>
      <c r="I1344" s="13" t="s">
        <v>29</v>
      </c>
      <c r="J1344" s="10">
        <f ca="1" t="shared" si="61"/>
        <v>75</v>
      </c>
      <c r="K1344" s="10">
        <f ca="1" t="shared" si="62"/>
        <v>16</v>
      </c>
    </row>
    <row r="1345" ht="18" spans="1:11">
      <c r="A1345" s="14">
        <f t="shared" si="60"/>
        <v>1344</v>
      </c>
      <c r="B1345" s="11" t="s">
        <v>5278</v>
      </c>
      <c r="C1345" s="124" t="str">
        <f>IFERROR(INDEX(面试清单!D:D,MATCH(1344,面试清单!P:P,0)),"")</f>
        <v>0218</v>
      </c>
      <c r="D1345" s="11" t="s">
        <v>42</v>
      </c>
      <c r="E1345" s="11" t="s">
        <v>63</v>
      </c>
      <c r="F1345" s="11" t="s">
        <v>176</v>
      </c>
      <c r="G1345" s="15">
        <v>46140</v>
      </c>
      <c r="H1345" s="14" t="str">
        <f>IFERROR(INDEX(面试清单!H:H,MATCH(1344,面试清单!P:P,0)),"")</f>
        <v>线上</v>
      </c>
      <c r="I1345" s="13" t="s">
        <v>29</v>
      </c>
      <c r="J1345" s="14">
        <f ca="1" t="shared" si="61"/>
        <v>49</v>
      </c>
      <c r="K1345" s="14">
        <f ca="1" t="shared" si="62"/>
        <v>16</v>
      </c>
    </row>
    <row r="1346" ht="18" spans="1:11">
      <c r="A1346" s="10">
        <f t="shared" ref="A1346:A1409" si="63">IF(B1346&lt;&gt;"",ROW()-1,"")</f>
        <v>1345</v>
      </c>
      <c r="B1346" s="11" t="s">
        <v>5279</v>
      </c>
      <c r="C1346" s="125" t="str">
        <f>IFERROR(INDEX(面试清单!D:D,MATCH(1345,面试清单!P:P,0)),"")</f>
        <v>0220</v>
      </c>
      <c r="D1346" s="11" t="s">
        <v>42</v>
      </c>
      <c r="E1346" s="11" t="s">
        <v>63</v>
      </c>
      <c r="F1346" s="11" t="s">
        <v>129</v>
      </c>
      <c r="G1346" s="15">
        <v>46140</v>
      </c>
      <c r="H1346" s="10" t="str">
        <f>IFERROR(INDEX(面试清单!H:H,MATCH(1345,面试清单!P:P,0)),"")</f>
        <v>线上</v>
      </c>
      <c r="I1346" s="13" t="s">
        <v>29</v>
      </c>
      <c r="J1346" s="10">
        <f ca="1" t="shared" ref="J1346:J1409" si="64">IF(G1346&lt;&gt;"",TODAY()-G1346,"")</f>
        <v>49</v>
      </c>
      <c r="K1346" s="10">
        <f ca="1" t="shared" ref="K1346:K1409" si="65">IF(G1346&lt;&gt;"",MAX(0,MIN(TODAY(),EOMONTH(TODAY(),0))-MAX(G1346,EOMONTH(TODAY(),-1)+1)+1),"")</f>
        <v>16</v>
      </c>
    </row>
    <row r="1347" ht="18" spans="1:11">
      <c r="A1347" s="14">
        <f t="shared" si="63"/>
        <v>1346</v>
      </c>
      <c r="B1347" s="11" t="s">
        <v>5280</v>
      </c>
      <c r="C1347" s="124" t="str">
        <f>IFERROR(INDEX(面试清单!D:D,MATCH(1346,面试清单!P:P,0)),"")</f>
        <v>0221</v>
      </c>
      <c r="D1347" s="11" t="s">
        <v>42</v>
      </c>
      <c r="E1347" s="11" t="s">
        <v>63</v>
      </c>
      <c r="F1347" s="11" t="s">
        <v>129</v>
      </c>
      <c r="G1347" s="15">
        <v>46140</v>
      </c>
      <c r="H1347" s="14" t="str">
        <f>IFERROR(INDEX(面试清单!H:H,MATCH(1346,面试清单!P:P,0)),"")</f>
        <v>线上</v>
      </c>
      <c r="I1347" s="13" t="s">
        <v>29</v>
      </c>
      <c r="J1347" s="14">
        <f ca="1" t="shared" si="64"/>
        <v>49</v>
      </c>
      <c r="K1347" s="14">
        <f ca="1" t="shared" si="65"/>
        <v>16</v>
      </c>
    </row>
    <row r="1348" ht="18" spans="1:11">
      <c r="A1348" s="10">
        <f t="shared" si="63"/>
        <v>1347</v>
      </c>
      <c r="B1348" s="11" t="s">
        <v>5281</v>
      </c>
      <c r="C1348" s="125" t="str">
        <f>IFERROR(INDEX(面试清单!D:D,MATCH(1347,面试清单!P:P,0)),"")</f>
        <v>0222</v>
      </c>
      <c r="D1348" s="11" t="s">
        <v>43</v>
      </c>
      <c r="E1348" s="11" t="s">
        <v>62</v>
      </c>
      <c r="F1348" s="11" t="s">
        <v>179</v>
      </c>
      <c r="G1348" s="15">
        <v>46140</v>
      </c>
      <c r="H1348" s="10" t="str">
        <f>IFERROR(INDEX(面试清单!H:H,MATCH(1347,面试清单!P:P,0)),"")</f>
        <v>线上</v>
      </c>
      <c r="I1348" s="13" t="s">
        <v>29</v>
      </c>
      <c r="J1348" s="10">
        <f ca="1" t="shared" si="64"/>
        <v>49</v>
      </c>
      <c r="K1348" s="10">
        <f ca="1" t="shared" si="65"/>
        <v>16</v>
      </c>
    </row>
    <row r="1349" ht="18" spans="1:11">
      <c r="A1349" s="14">
        <f t="shared" si="63"/>
        <v>1348</v>
      </c>
      <c r="B1349" s="11" t="s">
        <v>5282</v>
      </c>
      <c r="C1349" s="124" t="str">
        <f>IFERROR(INDEX(面试清单!D:D,MATCH(1348,面试清单!P:P,0)),"")</f>
        <v>0208</v>
      </c>
      <c r="D1349" s="11" t="s">
        <v>43</v>
      </c>
      <c r="E1349" s="11" t="s">
        <v>62</v>
      </c>
      <c r="F1349" s="11" t="s">
        <v>179</v>
      </c>
      <c r="G1349" s="15">
        <v>46140</v>
      </c>
      <c r="H1349" s="14" t="str">
        <f>IFERROR(INDEX(面试清单!H:H,MATCH(1348,面试清单!P:P,0)),"")</f>
        <v>线上</v>
      </c>
      <c r="I1349" s="13" t="s">
        <v>29</v>
      </c>
      <c r="J1349" s="14">
        <f ca="1" t="shared" si="64"/>
        <v>49</v>
      </c>
      <c r="K1349" s="14">
        <f ca="1" t="shared" si="65"/>
        <v>16</v>
      </c>
    </row>
    <row r="1350" ht="18" spans="1:11">
      <c r="A1350" s="10">
        <f t="shared" si="63"/>
        <v>1349</v>
      </c>
      <c r="B1350" s="11" t="s">
        <v>5283</v>
      </c>
      <c r="C1350" s="10" t="str">
        <f>IFERROR(INDEX(面试清单!D:D,MATCH(1349,面试清单!P:P,0)),"")</f>
        <v/>
      </c>
      <c r="D1350" s="11" t="s">
        <v>43</v>
      </c>
      <c r="E1350" s="11" t="s">
        <v>62</v>
      </c>
      <c r="F1350" s="11" t="s">
        <v>132</v>
      </c>
      <c r="G1350" s="15">
        <v>46140</v>
      </c>
      <c r="H1350" s="10" t="str">
        <f>IFERROR(INDEX(面试清单!H:H,MATCH(1349,面试清单!P:P,0)),"")</f>
        <v/>
      </c>
      <c r="I1350" s="13" t="s">
        <v>29</v>
      </c>
      <c r="J1350" s="10">
        <f ca="1" t="shared" si="64"/>
        <v>49</v>
      </c>
      <c r="K1350" s="10">
        <f ca="1" t="shared" si="65"/>
        <v>16</v>
      </c>
    </row>
    <row r="1351" ht="18" spans="1:11">
      <c r="A1351" s="14">
        <f t="shared" si="63"/>
        <v>1350</v>
      </c>
      <c r="B1351" s="11" t="s">
        <v>5284</v>
      </c>
      <c r="C1351" s="14" t="str">
        <f>IFERROR(INDEX(面试清单!D:D,MATCH(1350,面试清单!P:P,0)),"")</f>
        <v/>
      </c>
      <c r="D1351" s="11" t="s">
        <v>43</v>
      </c>
      <c r="E1351" s="11" t="s">
        <v>62</v>
      </c>
      <c r="F1351" s="11" t="s">
        <v>132</v>
      </c>
      <c r="G1351" s="15">
        <v>46140</v>
      </c>
      <c r="H1351" s="14" t="str">
        <f>IFERROR(INDEX(面试清单!H:H,MATCH(1350,面试清单!P:P,0)),"")</f>
        <v/>
      </c>
      <c r="I1351" s="13" t="s">
        <v>29</v>
      </c>
      <c r="J1351" s="14">
        <f ca="1" t="shared" si="64"/>
        <v>49</v>
      </c>
      <c r="K1351" s="14">
        <f ca="1" t="shared" si="65"/>
        <v>16</v>
      </c>
    </row>
    <row r="1352" ht="18" spans="1:11">
      <c r="A1352" s="10">
        <f t="shared" si="63"/>
        <v>1351</v>
      </c>
      <c r="B1352" s="11" t="s">
        <v>5285</v>
      </c>
      <c r="C1352" s="10" t="str">
        <f>IFERROR(INDEX(面试清单!D:D,MATCH(1351,面试清单!P:P,0)),"")</f>
        <v/>
      </c>
      <c r="D1352" s="11" t="s">
        <v>43</v>
      </c>
      <c r="E1352" s="11" t="s">
        <v>63</v>
      </c>
      <c r="F1352" s="11" t="s">
        <v>173</v>
      </c>
      <c r="G1352" s="15">
        <v>46140</v>
      </c>
      <c r="H1352" s="10" t="str">
        <f>IFERROR(INDEX(面试清单!H:H,MATCH(1351,面试清单!P:P,0)),"")</f>
        <v/>
      </c>
      <c r="I1352" s="13" t="s">
        <v>29</v>
      </c>
      <c r="J1352" s="10">
        <f ca="1" t="shared" si="64"/>
        <v>49</v>
      </c>
      <c r="K1352" s="10">
        <f ca="1" t="shared" si="65"/>
        <v>16</v>
      </c>
    </row>
    <row r="1353" ht="18" spans="1:11">
      <c r="A1353" s="14">
        <f t="shared" si="63"/>
        <v>1352</v>
      </c>
      <c r="B1353" s="11" t="s">
        <v>5286</v>
      </c>
      <c r="C1353" s="14" t="str">
        <f>IFERROR(INDEX(面试清单!D:D,MATCH(1352,面试清单!P:P,0)),"")</f>
        <v/>
      </c>
      <c r="D1353" s="11" t="s">
        <v>42</v>
      </c>
      <c r="E1353" s="11" t="s">
        <v>62</v>
      </c>
      <c r="F1353" s="11" t="s">
        <v>173</v>
      </c>
      <c r="G1353" s="15">
        <v>46140</v>
      </c>
      <c r="H1353" s="14" t="str">
        <f>IFERROR(INDEX(面试清单!H:H,MATCH(1352,面试清单!P:P,0)),"")</f>
        <v/>
      </c>
      <c r="I1353" s="13" t="s">
        <v>29</v>
      </c>
      <c r="J1353" s="14">
        <f ca="1" t="shared" si="64"/>
        <v>49</v>
      </c>
      <c r="K1353" s="14">
        <f ca="1" t="shared" si="65"/>
        <v>16</v>
      </c>
    </row>
    <row r="1354" ht="18" spans="1:11">
      <c r="A1354" s="10">
        <f t="shared" si="63"/>
        <v>1353</v>
      </c>
      <c r="B1354" s="11" t="s">
        <v>5287</v>
      </c>
      <c r="C1354" s="10" t="str">
        <f>IFERROR(INDEX(面试清单!D:D,MATCH(1353,面试清单!P:P,0)),"")</f>
        <v/>
      </c>
      <c r="D1354" s="11" t="s">
        <v>43</v>
      </c>
      <c r="E1354" s="11" t="s">
        <v>62</v>
      </c>
      <c r="F1354" s="11" t="s">
        <v>124</v>
      </c>
      <c r="G1354" s="15">
        <v>46140</v>
      </c>
      <c r="H1354" s="10" t="str">
        <f>IFERROR(INDEX(面试清单!H:H,MATCH(1353,面试清单!P:P,0)),"")</f>
        <v/>
      </c>
      <c r="I1354" s="13" t="s">
        <v>29</v>
      </c>
      <c r="J1354" s="10">
        <f ca="1" t="shared" si="64"/>
        <v>49</v>
      </c>
      <c r="K1354" s="10">
        <f ca="1" t="shared" si="65"/>
        <v>16</v>
      </c>
    </row>
    <row r="1355" ht="18" spans="1:11">
      <c r="A1355" s="14">
        <f t="shared" si="63"/>
        <v>1354</v>
      </c>
      <c r="B1355" s="11" t="s">
        <v>5288</v>
      </c>
      <c r="C1355" s="14" t="str">
        <f>IFERROR(INDEX(面试清单!D:D,MATCH(1354,面试清单!P:P,0)),"")</f>
        <v/>
      </c>
      <c r="D1355" s="11" t="s">
        <v>43</v>
      </c>
      <c r="E1355" s="11" t="s">
        <v>63</v>
      </c>
      <c r="F1355" s="11" t="s">
        <v>124</v>
      </c>
      <c r="G1355" s="15">
        <v>46140</v>
      </c>
      <c r="H1355" s="14" t="str">
        <f>IFERROR(INDEX(面试清单!H:H,MATCH(1354,面试清单!P:P,0)),"")</f>
        <v/>
      </c>
      <c r="I1355" s="13" t="s">
        <v>29</v>
      </c>
      <c r="J1355" s="14">
        <f ca="1" t="shared" si="64"/>
        <v>49</v>
      </c>
      <c r="K1355" s="14">
        <f ca="1" t="shared" si="65"/>
        <v>16</v>
      </c>
    </row>
    <row r="1356" ht="18" spans="1:11">
      <c r="A1356" s="10">
        <f t="shared" si="63"/>
        <v>1355</v>
      </c>
      <c r="B1356" s="11" t="s">
        <v>5289</v>
      </c>
      <c r="C1356" s="10" t="str">
        <f>IFERROR(INDEX(面试清单!D:D,MATCH(1355,面试清单!P:P,0)),"")</f>
        <v/>
      </c>
      <c r="D1356" s="11" t="s">
        <v>43</v>
      </c>
      <c r="E1356" s="11" t="s">
        <v>62</v>
      </c>
      <c r="F1356" s="11" t="s">
        <v>179</v>
      </c>
      <c r="G1356" s="15">
        <v>46140</v>
      </c>
      <c r="H1356" s="10" t="str">
        <f>IFERROR(INDEX(面试清单!H:H,MATCH(1355,面试清单!P:P,0)),"")</f>
        <v/>
      </c>
      <c r="I1356" s="13" t="s">
        <v>29</v>
      </c>
      <c r="J1356" s="10">
        <f ca="1" t="shared" si="64"/>
        <v>49</v>
      </c>
      <c r="K1356" s="10">
        <f ca="1" t="shared" si="65"/>
        <v>16</v>
      </c>
    </row>
    <row r="1357" ht="18" spans="1:11">
      <c r="A1357" s="14">
        <f t="shared" si="63"/>
        <v>1356</v>
      </c>
      <c r="B1357" s="11" t="s">
        <v>5290</v>
      </c>
      <c r="C1357" s="14" t="str">
        <f>IFERROR(INDEX(面试清单!D:D,MATCH(1356,面试清单!P:P,0)),"")</f>
        <v/>
      </c>
      <c r="D1357" s="11" t="s">
        <v>42</v>
      </c>
      <c r="E1357" s="11" t="s">
        <v>62</v>
      </c>
      <c r="F1357" s="11" t="s">
        <v>110</v>
      </c>
      <c r="G1357" s="15">
        <v>46140</v>
      </c>
      <c r="H1357" s="14" t="str">
        <f>IFERROR(INDEX(面试清单!H:H,MATCH(1356,面试清单!P:P,0)),"")</f>
        <v/>
      </c>
      <c r="I1357" s="13" t="s">
        <v>29</v>
      </c>
      <c r="J1357" s="14">
        <f ca="1" t="shared" si="64"/>
        <v>49</v>
      </c>
      <c r="K1357" s="14">
        <f ca="1" t="shared" si="65"/>
        <v>16</v>
      </c>
    </row>
    <row r="1358" ht="18" spans="1:11">
      <c r="A1358" s="10">
        <f t="shared" si="63"/>
        <v>1357</v>
      </c>
      <c r="B1358" s="11" t="s">
        <v>5291</v>
      </c>
      <c r="C1358" s="10" t="str">
        <f>IFERROR(INDEX(面试清单!D:D,MATCH(1357,面试清单!P:P,0)),"")</f>
        <v/>
      </c>
      <c r="D1358" s="11" t="s">
        <v>42</v>
      </c>
      <c r="E1358" s="11" t="s">
        <v>62</v>
      </c>
      <c r="F1358" s="11" t="s">
        <v>233</v>
      </c>
      <c r="G1358" s="15">
        <v>46140</v>
      </c>
      <c r="H1358" s="10" t="str">
        <f>IFERROR(INDEX(面试清单!H:H,MATCH(1357,面试清单!P:P,0)),"")</f>
        <v/>
      </c>
      <c r="I1358" s="13" t="s">
        <v>29</v>
      </c>
      <c r="J1358" s="10">
        <f ca="1" t="shared" si="64"/>
        <v>49</v>
      </c>
      <c r="K1358" s="10">
        <f ca="1" t="shared" si="65"/>
        <v>16</v>
      </c>
    </row>
    <row r="1359" ht="18" spans="1:11">
      <c r="A1359" s="14">
        <f t="shared" si="63"/>
        <v>1358</v>
      </c>
      <c r="B1359" s="11" t="s">
        <v>5292</v>
      </c>
      <c r="C1359" s="14" t="str">
        <f>IFERROR(INDEX(面试清单!D:D,MATCH(1358,面试清单!P:P,0)),"")</f>
        <v/>
      </c>
      <c r="D1359" s="11" t="s">
        <v>74</v>
      </c>
      <c r="E1359" s="11" t="s">
        <v>64</v>
      </c>
      <c r="F1359" s="11" t="s">
        <v>117</v>
      </c>
      <c r="G1359" s="15">
        <v>46137</v>
      </c>
      <c r="H1359" s="14" t="str">
        <f>IFERROR(INDEX(面试清单!H:H,MATCH(1358,面试清单!P:P,0)),"")</f>
        <v/>
      </c>
      <c r="I1359" s="13" t="s">
        <v>29</v>
      </c>
      <c r="J1359" s="14">
        <f ca="1" t="shared" si="64"/>
        <v>52</v>
      </c>
      <c r="K1359" s="14">
        <f ca="1" t="shared" si="65"/>
        <v>16</v>
      </c>
    </row>
    <row r="1360" ht="18" spans="1:11">
      <c r="A1360" s="10">
        <f t="shared" si="63"/>
        <v>1359</v>
      </c>
      <c r="B1360" s="11" t="s">
        <v>5293</v>
      </c>
      <c r="C1360" s="10" t="str">
        <f>IFERROR(INDEX(面试清单!D:D,MATCH(1359,面试清单!P:P,0)),"")</f>
        <v/>
      </c>
      <c r="D1360" s="11" t="s">
        <v>43</v>
      </c>
      <c r="E1360" s="11" t="s">
        <v>62</v>
      </c>
      <c r="F1360" s="11" t="s">
        <v>103</v>
      </c>
      <c r="G1360" s="15">
        <v>46141</v>
      </c>
      <c r="H1360" s="10" t="str">
        <f>IFERROR(INDEX(面试清单!H:H,MATCH(1359,面试清单!P:P,0)),"")</f>
        <v/>
      </c>
      <c r="I1360" s="13" t="s">
        <v>29</v>
      </c>
      <c r="J1360" s="10">
        <f ca="1" t="shared" si="64"/>
        <v>48</v>
      </c>
      <c r="K1360" s="10">
        <f ca="1" t="shared" si="65"/>
        <v>16</v>
      </c>
    </row>
    <row r="1361" ht="18" spans="1:11">
      <c r="A1361" s="14">
        <f t="shared" si="63"/>
        <v>1360</v>
      </c>
      <c r="B1361" s="11" t="s">
        <v>5294</v>
      </c>
      <c r="C1361" s="14" t="str">
        <f>IFERROR(INDEX(面试清单!D:D,MATCH(1360,面试清单!P:P,0)),"")</f>
        <v/>
      </c>
      <c r="D1361" s="11" t="s">
        <v>74</v>
      </c>
      <c r="E1361" s="11" t="s">
        <v>190</v>
      </c>
      <c r="F1361" s="11" t="s">
        <v>124</v>
      </c>
      <c r="G1361" s="15">
        <v>46141</v>
      </c>
      <c r="H1361" s="14" t="str">
        <f>IFERROR(INDEX(面试清单!H:H,MATCH(1360,面试清单!P:P,0)),"")</f>
        <v/>
      </c>
      <c r="I1361" s="13" t="s">
        <v>29</v>
      </c>
      <c r="J1361" s="14">
        <f ca="1" t="shared" si="64"/>
        <v>48</v>
      </c>
      <c r="K1361" s="14">
        <f ca="1" t="shared" si="65"/>
        <v>16</v>
      </c>
    </row>
    <row r="1362" ht="18" spans="1:11">
      <c r="A1362" s="10">
        <f t="shared" si="63"/>
        <v>1361</v>
      </c>
      <c r="B1362" s="11" t="s">
        <v>5295</v>
      </c>
      <c r="C1362" s="10" t="str">
        <f>IFERROR(INDEX(面试清单!D:D,MATCH(1361,面试清单!P:P,0)),"")</f>
        <v/>
      </c>
      <c r="D1362" s="11" t="s">
        <v>74</v>
      </c>
      <c r="E1362" s="11" t="s">
        <v>190</v>
      </c>
      <c r="F1362" s="11" t="s">
        <v>124</v>
      </c>
      <c r="G1362" s="15">
        <v>46141</v>
      </c>
      <c r="H1362" s="10" t="str">
        <f>IFERROR(INDEX(面试清单!H:H,MATCH(1361,面试清单!P:P,0)),"")</f>
        <v/>
      </c>
      <c r="I1362" s="13" t="s">
        <v>29</v>
      </c>
      <c r="J1362" s="10">
        <f ca="1" t="shared" si="64"/>
        <v>48</v>
      </c>
      <c r="K1362" s="10">
        <f ca="1" t="shared" si="65"/>
        <v>16</v>
      </c>
    </row>
    <row r="1363" ht="18" spans="1:11">
      <c r="A1363" s="14">
        <f t="shared" si="63"/>
        <v>1362</v>
      </c>
      <c r="B1363" s="11" t="s">
        <v>5296</v>
      </c>
      <c r="C1363" s="124" t="str">
        <f>IFERROR(INDEX(面试清单!D:D,MATCH(1362,面试清单!P:P,0)),"")</f>
        <v>0218</v>
      </c>
      <c r="D1363" s="11" t="s">
        <v>43</v>
      </c>
      <c r="E1363" s="11" t="s">
        <v>63</v>
      </c>
      <c r="F1363" s="11" t="s">
        <v>246</v>
      </c>
      <c r="G1363" s="15">
        <v>46141</v>
      </c>
      <c r="H1363" s="14" t="str">
        <f>IFERROR(INDEX(面试清单!H:H,MATCH(1362,面试清单!P:P,0)),"")</f>
        <v>线上</v>
      </c>
      <c r="I1363" s="13" t="s">
        <v>29</v>
      </c>
      <c r="J1363" s="14">
        <f ca="1" t="shared" si="64"/>
        <v>48</v>
      </c>
      <c r="K1363" s="14">
        <f ca="1" t="shared" si="65"/>
        <v>16</v>
      </c>
    </row>
    <row r="1364" ht="18" spans="1:11">
      <c r="A1364" s="10">
        <f t="shared" si="63"/>
        <v>1363</v>
      </c>
      <c r="B1364" s="11" t="s">
        <v>5297</v>
      </c>
      <c r="C1364" s="10" t="str">
        <f>IFERROR(INDEX(面试清单!D:D,MATCH(1363,面试清单!P:P,0)),"")</f>
        <v/>
      </c>
      <c r="D1364" s="11" t="s">
        <v>43</v>
      </c>
      <c r="E1364" s="11" t="s">
        <v>64</v>
      </c>
      <c r="F1364" s="11" t="s">
        <v>179</v>
      </c>
      <c r="G1364" s="15">
        <v>46141</v>
      </c>
      <c r="H1364" s="10" t="str">
        <f>IFERROR(INDEX(面试清单!H:H,MATCH(1363,面试清单!P:P,0)),"")</f>
        <v/>
      </c>
      <c r="I1364" s="13" t="s">
        <v>29</v>
      </c>
      <c r="J1364" s="10">
        <f ca="1" t="shared" si="64"/>
        <v>48</v>
      </c>
      <c r="K1364" s="10">
        <f ca="1" t="shared" si="65"/>
        <v>16</v>
      </c>
    </row>
    <row r="1365" ht="18" spans="1:11">
      <c r="A1365" s="14">
        <f t="shared" si="63"/>
        <v>1364</v>
      </c>
      <c r="B1365" s="11" t="s">
        <v>5298</v>
      </c>
      <c r="C1365" s="124" t="str">
        <f>IFERROR(INDEX(面试清单!D:D,MATCH(1364,面试清单!P:P,0)),"")</f>
        <v>0221</v>
      </c>
      <c r="D1365" s="11" t="s">
        <v>43</v>
      </c>
      <c r="E1365" s="11" t="s">
        <v>62</v>
      </c>
      <c r="F1365" s="11" t="s">
        <v>233</v>
      </c>
      <c r="G1365" s="15">
        <v>46141</v>
      </c>
      <c r="H1365" s="14" t="str">
        <f>IFERROR(INDEX(面试清单!H:H,MATCH(1364,面试清单!P:P,0)),"")</f>
        <v>线上</v>
      </c>
      <c r="I1365" s="13" t="s">
        <v>29</v>
      </c>
      <c r="J1365" s="14">
        <f ca="1" t="shared" si="64"/>
        <v>48</v>
      </c>
      <c r="K1365" s="14">
        <f ca="1" t="shared" si="65"/>
        <v>16</v>
      </c>
    </row>
    <row r="1366" ht="18" spans="1:11">
      <c r="A1366" s="10">
        <f t="shared" si="63"/>
        <v>1365</v>
      </c>
      <c r="B1366" s="11" t="s">
        <v>5299</v>
      </c>
      <c r="C1366" s="10" t="str">
        <f>IFERROR(INDEX(面试清单!D:D,MATCH(1365,面试清单!P:P,0)),"")</f>
        <v/>
      </c>
      <c r="D1366" s="11" t="s">
        <v>42</v>
      </c>
      <c r="E1366" s="11" t="s">
        <v>62</v>
      </c>
      <c r="F1366" s="11" t="s">
        <v>103</v>
      </c>
      <c r="G1366" s="15">
        <v>46141</v>
      </c>
      <c r="H1366" s="10" t="str">
        <f>IFERROR(INDEX(面试清单!H:H,MATCH(1365,面试清单!P:P,0)),"")</f>
        <v/>
      </c>
      <c r="I1366" s="13" t="s">
        <v>29</v>
      </c>
      <c r="J1366" s="10">
        <f ca="1" t="shared" si="64"/>
        <v>48</v>
      </c>
      <c r="K1366" s="10">
        <f ca="1" t="shared" si="65"/>
        <v>16</v>
      </c>
    </row>
    <row r="1367" ht="18" spans="1:11">
      <c r="A1367" s="14">
        <f t="shared" si="63"/>
        <v>1366</v>
      </c>
      <c r="B1367" s="11" t="s">
        <v>5300</v>
      </c>
      <c r="C1367" s="14" t="str">
        <f>IFERROR(INDEX(面试清单!D:D,MATCH(1366,面试清单!P:P,0)),"")</f>
        <v/>
      </c>
      <c r="D1367" s="11" t="s">
        <v>42</v>
      </c>
      <c r="E1367" s="11" t="s">
        <v>63</v>
      </c>
      <c r="F1367" s="11" t="s">
        <v>505</v>
      </c>
      <c r="G1367" s="15">
        <v>46141</v>
      </c>
      <c r="H1367" s="14" t="str">
        <f>IFERROR(INDEX(面试清单!H:H,MATCH(1366,面试清单!P:P,0)),"")</f>
        <v/>
      </c>
      <c r="I1367" s="13" t="s">
        <v>29</v>
      </c>
      <c r="J1367" s="14">
        <f ca="1" t="shared" si="64"/>
        <v>48</v>
      </c>
      <c r="K1367" s="14">
        <f ca="1" t="shared" si="65"/>
        <v>16</v>
      </c>
    </row>
    <row r="1368" ht="18" spans="1:11">
      <c r="A1368" s="10">
        <f t="shared" si="63"/>
        <v>1367</v>
      </c>
      <c r="B1368" s="11" t="s">
        <v>5301</v>
      </c>
      <c r="C1368" s="10" t="str">
        <f>IFERROR(INDEX(面试清单!D:D,MATCH(1367,面试清单!P:P,0)),"")</f>
        <v/>
      </c>
      <c r="D1368" s="11" t="s">
        <v>42</v>
      </c>
      <c r="E1368" s="11" t="s">
        <v>63</v>
      </c>
      <c r="F1368" s="11" t="s">
        <v>173</v>
      </c>
      <c r="G1368" s="15">
        <v>46141</v>
      </c>
      <c r="H1368" s="10" t="str">
        <f>IFERROR(INDEX(面试清单!H:H,MATCH(1367,面试清单!P:P,0)),"")</f>
        <v/>
      </c>
      <c r="I1368" s="13" t="s">
        <v>29</v>
      </c>
      <c r="J1368" s="10">
        <f ca="1" t="shared" si="64"/>
        <v>48</v>
      </c>
      <c r="K1368" s="10">
        <f ca="1" t="shared" si="65"/>
        <v>16</v>
      </c>
    </row>
    <row r="1369" ht="18" spans="1:11">
      <c r="A1369" s="14">
        <f t="shared" si="63"/>
        <v>1368</v>
      </c>
      <c r="B1369" s="11" t="s">
        <v>5302</v>
      </c>
      <c r="C1369" s="124" t="str">
        <f>IFERROR(INDEX(面试清单!D:D,MATCH(1368,面试清单!P:P,0)),"")</f>
        <v>0212</v>
      </c>
      <c r="D1369" s="11" t="s">
        <v>43</v>
      </c>
      <c r="E1369" s="11" t="s">
        <v>62</v>
      </c>
      <c r="F1369" s="11" t="s">
        <v>179</v>
      </c>
      <c r="G1369" s="15">
        <v>46142</v>
      </c>
      <c r="H1369" s="14" t="str">
        <f>IFERROR(INDEX(面试清单!H:H,MATCH(1368,面试清单!P:P,0)),"")</f>
        <v>线上</v>
      </c>
      <c r="I1369" s="13" t="s">
        <v>29</v>
      </c>
      <c r="J1369" s="14">
        <f ca="1" t="shared" si="64"/>
        <v>47</v>
      </c>
      <c r="K1369" s="14">
        <f ca="1" t="shared" si="65"/>
        <v>16</v>
      </c>
    </row>
    <row r="1370" ht="18" spans="1:11">
      <c r="A1370" s="10">
        <f t="shared" si="63"/>
        <v>1369</v>
      </c>
      <c r="B1370" s="11" t="s">
        <v>5303</v>
      </c>
      <c r="C1370" s="10" t="str">
        <f>IFERROR(INDEX(面试清单!D:D,MATCH(1369,面试清单!P:P,0)),"")</f>
        <v/>
      </c>
      <c r="D1370" s="11" t="s">
        <v>43</v>
      </c>
      <c r="E1370" s="11" t="s">
        <v>62</v>
      </c>
      <c r="F1370" s="11" t="s">
        <v>246</v>
      </c>
      <c r="G1370" s="15">
        <v>46142</v>
      </c>
      <c r="H1370" s="10" t="str">
        <f>IFERROR(INDEX(面试清单!H:H,MATCH(1369,面试清单!P:P,0)),"")</f>
        <v/>
      </c>
      <c r="I1370" s="13" t="s">
        <v>29</v>
      </c>
      <c r="J1370" s="10">
        <f ca="1" t="shared" si="64"/>
        <v>47</v>
      </c>
      <c r="K1370" s="10">
        <f ca="1" t="shared" si="65"/>
        <v>16</v>
      </c>
    </row>
    <row r="1371" ht="18" spans="1:11">
      <c r="A1371" s="14">
        <f t="shared" si="63"/>
        <v>1370</v>
      </c>
      <c r="B1371" s="11" t="s">
        <v>5304</v>
      </c>
      <c r="C1371" s="14" t="str">
        <f>IFERROR(INDEX(面试清单!D:D,MATCH(1370,面试清单!P:P,0)),"")</f>
        <v/>
      </c>
      <c r="D1371" s="11" t="s">
        <v>42</v>
      </c>
      <c r="E1371" s="11" t="s">
        <v>62</v>
      </c>
      <c r="F1371" s="11" t="s">
        <v>103</v>
      </c>
      <c r="G1371" s="15">
        <v>46142</v>
      </c>
      <c r="H1371" s="14" t="str">
        <f>IFERROR(INDEX(面试清单!H:H,MATCH(1370,面试清单!P:P,0)),"")</f>
        <v/>
      </c>
      <c r="I1371" s="13" t="s">
        <v>29</v>
      </c>
      <c r="J1371" s="14">
        <f ca="1" t="shared" si="64"/>
        <v>47</v>
      </c>
      <c r="K1371" s="14">
        <f ca="1" t="shared" si="65"/>
        <v>16</v>
      </c>
    </row>
    <row r="1372" ht="18" spans="1:11">
      <c r="A1372" s="10">
        <f t="shared" si="63"/>
        <v>1371</v>
      </c>
      <c r="B1372" s="11" t="s">
        <v>5305</v>
      </c>
      <c r="C1372" s="10" t="str">
        <f>IFERROR(INDEX(面试清单!D:D,MATCH(1371,面试清单!P:P,0)),"")</f>
        <v/>
      </c>
      <c r="D1372" s="11" t="s">
        <v>42</v>
      </c>
      <c r="E1372" s="11" t="s">
        <v>62</v>
      </c>
      <c r="F1372" s="11" t="s">
        <v>233</v>
      </c>
      <c r="G1372" s="15">
        <v>46142</v>
      </c>
      <c r="H1372" s="10" t="str">
        <f>IFERROR(INDEX(面试清单!H:H,MATCH(1371,面试清单!P:P,0)),"")</f>
        <v/>
      </c>
      <c r="I1372" s="13" t="s">
        <v>29</v>
      </c>
      <c r="J1372" s="10">
        <f ca="1" t="shared" si="64"/>
        <v>47</v>
      </c>
      <c r="K1372" s="10">
        <f ca="1" t="shared" si="65"/>
        <v>16</v>
      </c>
    </row>
    <row r="1373" ht="18" spans="1:11">
      <c r="A1373" s="14">
        <f t="shared" si="63"/>
        <v>1372</v>
      </c>
      <c r="B1373" s="11" t="s">
        <v>5306</v>
      </c>
      <c r="C1373" s="14" t="str">
        <f>IFERROR(INDEX(面试清单!D:D,MATCH(1372,面试清单!P:P,0)),"")</f>
        <v/>
      </c>
      <c r="D1373" s="11" t="s">
        <v>43</v>
      </c>
      <c r="E1373" s="11" t="s">
        <v>63</v>
      </c>
      <c r="F1373" s="11" t="s">
        <v>233</v>
      </c>
      <c r="G1373" s="15">
        <v>46142</v>
      </c>
      <c r="H1373" s="14" t="str">
        <f>IFERROR(INDEX(面试清单!H:H,MATCH(1372,面试清单!P:P,0)),"")</f>
        <v/>
      </c>
      <c r="I1373" s="13" t="s">
        <v>29</v>
      </c>
      <c r="J1373" s="14">
        <f ca="1" t="shared" si="64"/>
        <v>47</v>
      </c>
      <c r="K1373" s="14">
        <f ca="1" t="shared" si="65"/>
        <v>16</v>
      </c>
    </row>
    <row r="1374" ht="18" spans="1:11">
      <c r="A1374" s="10">
        <f t="shared" si="63"/>
        <v>1373</v>
      </c>
      <c r="B1374" s="11" t="s">
        <v>5307</v>
      </c>
      <c r="C1374" s="10" t="str">
        <f>IFERROR(INDEX(面试清单!D:D,MATCH(1373,面试清单!P:P,0)),"")</f>
        <v/>
      </c>
      <c r="D1374" s="11" t="s">
        <v>43</v>
      </c>
      <c r="E1374" s="11" t="s">
        <v>64</v>
      </c>
      <c r="F1374" s="11" t="s">
        <v>148</v>
      </c>
      <c r="G1374" s="15">
        <v>46142</v>
      </c>
      <c r="H1374" s="10" t="str">
        <f>IFERROR(INDEX(面试清单!H:H,MATCH(1373,面试清单!P:P,0)),"")</f>
        <v/>
      </c>
      <c r="I1374" s="13" t="s">
        <v>29</v>
      </c>
      <c r="J1374" s="10">
        <f ca="1" t="shared" si="64"/>
        <v>47</v>
      </c>
      <c r="K1374" s="10">
        <f ca="1" t="shared" si="65"/>
        <v>16</v>
      </c>
    </row>
    <row r="1375" ht="18" spans="1:11">
      <c r="A1375" s="14">
        <f t="shared" si="63"/>
        <v>1374</v>
      </c>
      <c r="B1375" s="11" t="s">
        <v>5308</v>
      </c>
      <c r="C1375" s="14" t="str">
        <f>IFERROR(INDEX(面试清单!D:D,MATCH(1374,面试清单!P:P,0)),"")</f>
        <v/>
      </c>
      <c r="D1375" s="11" t="s">
        <v>43</v>
      </c>
      <c r="E1375" s="11" t="s">
        <v>64</v>
      </c>
      <c r="F1375" s="11" t="s">
        <v>179</v>
      </c>
      <c r="G1375" s="15">
        <v>46142</v>
      </c>
      <c r="H1375" s="14" t="str">
        <f>IFERROR(INDEX(面试清单!H:H,MATCH(1374,面试清单!P:P,0)),"")</f>
        <v/>
      </c>
      <c r="I1375" s="13" t="s">
        <v>29</v>
      </c>
      <c r="J1375" s="14">
        <f ca="1" t="shared" si="64"/>
        <v>47</v>
      </c>
      <c r="K1375" s="14">
        <f ca="1" t="shared" si="65"/>
        <v>16</v>
      </c>
    </row>
    <row r="1376" ht="18" spans="1:11">
      <c r="A1376" s="10">
        <f t="shared" si="63"/>
        <v>1375</v>
      </c>
      <c r="B1376" s="11" t="s">
        <v>5309</v>
      </c>
      <c r="C1376" s="10" t="str">
        <f>IFERROR(INDEX(面试清单!D:D,MATCH(1375,面试清单!P:P,0)),"")</f>
        <v/>
      </c>
      <c r="D1376" s="11" t="s">
        <v>43</v>
      </c>
      <c r="E1376" s="11" t="s">
        <v>64</v>
      </c>
      <c r="F1376" s="11" t="s">
        <v>179</v>
      </c>
      <c r="G1376" s="15">
        <v>46142</v>
      </c>
      <c r="H1376" s="10" t="str">
        <f>IFERROR(INDEX(面试清单!H:H,MATCH(1375,面试清单!P:P,0)),"")</f>
        <v/>
      </c>
      <c r="I1376" s="13" t="s">
        <v>29</v>
      </c>
      <c r="J1376" s="10">
        <f ca="1" t="shared" si="64"/>
        <v>47</v>
      </c>
      <c r="K1376" s="10">
        <f ca="1" t="shared" si="65"/>
        <v>16</v>
      </c>
    </row>
    <row r="1377" ht="18" spans="1:11">
      <c r="A1377" s="14">
        <f t="shared" si="63"/>
        <v>1376</v>
      </c>
      <c r="B1377" s="11" t="s">
        <v>5310</v>
      </c>
      <c r="C1377" s="14" t="str">
        <f>IFERROR(INDEX(面试清单!D:D,MATCH(1376,面试清单!P:P,0)),"")</f>
        <v/>
      </c>
      <c r="D1377" s="11" t="s">
        <v>43</v>
      </c>
      <c r="E1377" s="11" t="s">
        <v>64</v>
      </c>
      <c r="F1377" s="11" t="s">
        <v>117</v>
      </c>
      <c r="G1377" s="15">
        <v>46143</v>
      </c>
      <c r="H1377" s="14" t="str">
        <f>IFERROR(INDEX(面试清单!H:H,MATCH(1376,面试清单!P:P,0)),"")</f>
        <v/>
      </c>
      <c r="I1377" s="13" t="s">
        <v>29</v>
      </c>
      <c r="J1377" s="14">
        <f ca="1" t="shared" si="64"/>
        <v>46</v>
      </c>
      <c r="K1377" s="14">
        <f ca="1" t="shared" si="65"/>
        <v>16</v>
      </c>
    </row>
    <row r="1378" ht="18" spans="1:11">
      <c r="A1378" s="10">
        <f t="shared" si="63"/>
        <v>1377</v>
      </c>
      <c r="B1378" s="11" t="s">
        <v>5311</v>
      </c>
      <c r="C1378" s="10" t="str">
        <f>IFERROR(INDEX(面试清单!D:D,MATCH(1377,面试清单!P:P,0)),"")</f>
        <v/>
      </c>
      <c r="D1378" s="11" t="s">
        <v>43</v>
      </c>
      <c r="E1378" s="11" t="s">
        <v>64</v>
      </c>
      <c r="F1378" s="11" t="s">
        <v>179</v>
      </c>
      <c r="G1378" s="15">
        <v>46143</v>
      </c>
      <c r="H1378" s="10" t="str">
        <f>IFERROR(INDEX(面试清单!H:H,MATCH(1377,面试清单!P:P,0)),"")</f>
        <v/>
      </c>
      <c r="I1378" s="13" t="s">
        <v>29</v>
      </c>
      <c r="J1378" s="10">
        <f ca="1" t="shared" si="64"/>
        <v>46</v>
      </c>
      <c r="K1378" s="10">
        <f ca="1" t="shared" si="65"/>
        <v>16</v>
      </c>
    </row>
    <row r="1379" ht="18" spans="1:11">
      <c r="A1379" s="14">
        <f t="shared" si="63"/>
        <v>1378</v>
      </c>
      <c r="B1379" s="11" t="s">
        <v>5312</v>
      </c>
      <c r="C1379" s="14" t="str">
        <f>IFERROR(INDEX(面试清单!D:D,MATCH(1378,面试清单!P:P,0)),"")</f>
        <v/>
      </c>
      <c r="D1379" s="11" t="s">
        <v>43</v>
      </c>
      <c r="E1379" s="11" t="s">
        <v>64</v>
      </c>
      <c r="F1379" s="11" t="s">
        <v>179</v>
      </c>
      <c r="G1379" s="15">
        <v>46143</v>
      </c>
      <c r="H1379" s="14" t="str">
        <f>IFERROR(INDEX(面试清单!H:H,MATCH(1378,面试清单!P:P,0)),"")</f>
        <v/>
      </c>
      <c r="I1379" s="13" t="s">
        <v>29</v>
      </c>
      <c r="J1379" s="14">
        <f ca="1" t="shared" si="64"/>
        <v>46</v>
      </c>
      <c r="K1379" s="14">
        <f ca="1" t="shared" si="65"/>
        <v>16</v>
      </c>
    </row>
    <row r="1380" ht="18" spans="1:11">
      <c r="A1380" s="10">
        <f t="shared" si="63"/>
        <v>1379</v>
      </c>
      <c r="B1380" s="11" t="s">
        <v>5313</v>
      </c>
      <c r="C1380" s="10" t="str">
        <f>IFERROR(INDEX(面试清单!D:D,MATCH(1379,面试清单!P:P,0)),"")</f>
        <v/>
      </c>
      <c r="D1380" s="11" t="s">
        <v>43</v>
      </c>
      <c r="E1380" s="11" t="s">
        <v>64</v>
      </c>
      <c r="F1380" s="11" t="s">
        <v>179</v>
      </c>
      <c r="G1380" s="15">
        <v>46143</v>
      </c>
      <c r="H1380" s="10" t="str">
        <f>IFERROR(INDEX(面试清单!H:H,MATCH(1379,面试清单!P:P,0)),"")</f>
        <v/>
      </c>
      <c r="I1380" s="13" t="s">
        <v>29</v>
      </c>
      <c r="J1380" s="10">
        <f ca="1" t="shared" si="64"/>
        <v>46</v>
      </c>
      <c r="K1380" s="10">
        <f ca="1" t="shared" si="65"/>
        <v>16</v>
      </c>
    </row>
    <row r="1381" ht="18" spans="1:11">
      <c r="A1381" s="14">
        <f t="shared" si="63"/>
        <v>1380</v>
      </c>
      <c r="B1381" s="11" t="s">
        <v>5314</v>
      </c>
      <c r="C1381" s="124" t="str">
        <f>IFERROR(INDEX(面试清单!D:D,MATCH(1380,面试清单!P:P,0)),"")</f>
        <v>0218</v>
      </c>
      <c r="D1381" s="11" t="s">
        <v>43</v>
      </c>
      <c r="E1381" s="11" t="s">
        <v>64</v>
      </c>
      <c r="F1381" s="11" t="s">
        <v>179</v>
      </c>
      <c r="G1381" s="15">
        <v>46143</v>
      </c>
      <c r="H1381" s="14" t="str">
        <f>IFERROR(INDEX(面试清单!H:H,MATCH(1380,面试清单!P:P,0)),"")</f>
        <v>线上</v>
      </c>
      <c r="I1381" s="13" t="s">
        <v>29</v>
      </c>
      <c r="J1381" s="14">
        <f ca="1" t="shared" si="64"/>
        <v>46</v>
      </c>
      <c r="K1381" s="14">
        <f ca="1" t="shared" si="65"/>
        <v>16</v>
      </c>
    </row>
    <row r="1382" ht="18" spans="1:11">
      <c r="A1382" s="10">
        <f t="shared" si="63"/>
        <v>1381</v>
      </c>
      <c r="B1382" s="11" t="s">
        <v>5315</v>
      </c>
      <c r="C1382" s="125" t="str">
        <f>IFERROR(INDEX(面试清单!D:D,MATCH(1381,面试清单!P:P,0)),"")</f>
        <v>0220</v>
      </c>
      <c r="D1382" s="11" t="s">
        <v>43</v>
      </c>
      <c r="E1382" s="11" t="s">
        <v>63</v>
      </c>
      <c r="F1382" s="11" t="s">
        <v>307</v>
      </c>
      <c r="G1382" s="15">
        <v>46143</v>
      </c>
      <c r="H1382" s="10" t="str">
        <f>IFERROR(INDEX(面试清单!H:H,MATCH(1381,面试清单!P:P,0)),"")</f>
        <v>线上</v>
      </c>
      <c r="I1382" s="13" t="s">
        <v>29</v>
      </c>
      <c r="J1382" s="10">
        <f ca="1" t="shared" si="64"/>
        <v>46</v>
      </c>
      <c r="K1382" s="10">
        <f ca="1" t="shared" si="65"/>
        <v>16</v>
      </c>
    </row>
    <row r="1383" ht="18" spans="1:11">
      <c r="A1383" s="14">
        <f t="shared" si="63"/>
        <v>1382</v>
      </c>
      <c r="B1383" s="11" t="s">
        <v>5316</v>
      </c>
      <c r="C1383" s="124" t="str">
        <f>IFERROR(INDEX(面试清单!D:D,MATCH(1382,面试清单!P:P,0)),"")</f>
        <v>0221</v>
      </c>
      <c r="D1383" s="11" t="s">
        <v>43</v>
      </c>
      <c r="E1383" s="11" t="s">
        <v>64</v>
      </c>
      <c r="F1383" s="11" t="s">
        <v>135</v>
      </c>
      <c r="G1383" s="15">
        <v>46143</v>
      </c>
      <c r="H1383" s="14" t="str">
        <f>IFERROR(INDEX(面试清单!H:H,MATCH(1382,面试清单!P:P,0)),"")</f>
        <v>线上</v>
      </c>
      <c r="I1383" s="13" t="s">
        <v>29</v>
      </c>
      <c r="J1383" s="14">
        <f ca="1" t="shared" si="64"/>
        <v>46</v>
      </c>
      <c r="K1383" s="14">
        <f ca="1" t="shared" si="65"/>
        <v>16</v>
      </c>
    </row>
    <row r="1384" ht="18" spans="1:11">
      <c r="A1384" s="10">
        <f t="shared" si="63"/>
        <v>1383</v>
      </c>
      <c r="B1384" s="11" t="s">
        <v>5317</v>
      </c>
      <c r="C1384" s="10" t="str">
        <f>IFERROR(INDEX(面试清单!D:D,MATCH(1383,面试清单!P:P,0)),"")</f>
        <v/>
      </c>
      <c r="D1384" s="11" t="s">
        <v>43</v>
      </c>
      <c r="E1384" s="11" t="s">
        <v>64</v>
      </c>
      <c r="F1384" s="11" t="s">
        <v>179</v>
      </c>
      <c r="G1384" s="15">
        <v>46143</v>
      </c>
      <c r="H1384" s="10" t="str">
        <f>IFERROR(INDEX(面试清单!H:H,MATCH(1383,面试清单!P:P,0)),"")</f>
        <v/>
      </c>
      <c r="I1384" s="13" t="s">
        <v>29</v>
      </c>
      <c r="J1384" s="10">
        <f ca="1" t="shared" si="64"/>
        <v>46</v>
      </c>
      <c r="K1384" s="10">
        <f ca="1" t="shared" si="65"/>
        <v>16</v>
      </c>
    </row>
    <row r="1385" ht="18" spans="1:11">
      <c r="A1385" s="14">
        <f t="shared" si="63"/>
        <v>1384</v>
      </c>
      <c r="B1385" s="11" t="s">
        <v>5318</v>
      </c>
      <c r="C1385" s="124" t="str">
        <f>IFERROR(INDEX(面试清单!D:D,MATCH(1384,面试清单!P:P,0)),"")</f>
        <v>0208</v>
      </c>
      <c r="D1385" s="11" t="s">
        <v>43</v>
      </c>
      <c r="E1385" s="11" t="s">
        <v>63</v>
      </c>
      <c r="F1385" s="11" t="s">
        <v>129</v>
      </c>
      <c r="G1385" s="15">
        <v>46143</v>
      </c>
      <c r="H1385" s="14" t="str">
        <f>IFERROR(INDEX(面试清单!H:H,MATCH(1384,面试清单!P:P,0)),"")</f>
        <v>线上</v>
      </c>
      <c r="I1385" s="13" t="s">
        <v>29</v>
      </c>
      <c r="J1385" s="14">
        <f ca="1" t="shared" si="64"/>
        <v>46</v>
      </c>
      <c r="K1385" s="14">
        <f ca="1" t="shared" si="65"/>
        <v>16</v>
      </c>
    </row>
    <row r="1386" ht="18" spans="1:11">
      <c r="A1386" s="10">
        <f t="shared" si="63"/>
        <v>1385</v>
      </c>
      <c r="B1386" s="11" t="s">
        <v>5319</v>
      </c>
      <c r="C1386" s="10" t="str">
        <f>IFERROR(INDEX(面试清单!D:D,MATCH(1385,面试清单!P:P,0)),"")</f>
        <v/>
      </c>
      <c r="D1386" s="11" t="s">
        <v>43</v>
      </c>
      <c r="E1386" s="11" t="s">
        <v>63</v>
      </c>
      <c r="F1386" s="11" t="s">
        <v>129</v>
      </c>
      <c r="G1386" s="15">
        <v>46144</v>
      </c>
      <c r="H1386" s="10" t="str">
        <f>IFERROR(INDEX(面试清单!H:H,MATCH(1385,面试清单!P:P,0)),"")</f>
        <v/>
      </c>
      <c r="I1386" s="13" t="s">
        <v>29</v>
      </c>
      <c r="J1386" s="10">
        <f ca="1" t="shared" si="64"/>
        <v>45</v>
      </c>
      <c r="K1386" s="10">
        <f ca="1" t="shared" si="65"/>
        <v>16</v>
      </c>
    </row>
    <row r="1387" ht="18" spans="1:11">
      <c r="A1387" s="14">
        <f t="shared" si="63"/>
        <v>1386</v>
      </c>
      <c r="B1387" s="11" t="s">
        <v>5320</v>
      </c>
      <c r="C1387" s="14" t="str">
        <f>IFERROR(INDEX(面试清单!D:D,MATCH(1386,面试清单!P:P,0)),"")</f>
        <v/>
      </c>
      <c r="D1387" s="11" t="s">
        <v>43</v>
      </c>
      <c r="E1387" s="11" t="s">
        <v>63</v>
      </c>
      <c r="F1387" s="11" t="s">
        <v>129</v>
      </c>
      <c r="G1387" s="15">
        <v>46144</v>
      </c>
      <c r="H1387" s="14" t="str">
        <f>IFERROR(INDEX(面试清单!H:H,MATCH(1386,面试清单!P:P,0)),"")</f>
        <v/>
      </c>
      <c r="I1387" s="13" t="s">
        <v>29</v>
      </c>
      <c r="J1387" s="14">
        <f ca="1" t="shared" si="64"/>
        <v>45</v>
      </c>
      <c r="K1387" s="14">
        <f ca="1" t="shared" si="65"/>
        <v>16</v>
      </c>
    </row>
    <row r="1388" ht="18" spans="1:11">
      <c r="A1388" s="10">
        <f t="shared" si="63"/>
        <v>1387</v>
      </c>
      <c r="B1388" s="11" t="s">
        <v>5321</v>
      </c>
      <c r="C1388" s="125" t="str">
        <f>IFERROR(INDEX(面试清单!D:D,MATCH(1387,面试清单!P:P,0)),"")</f>
        <v>0212</v>
      </c>
      <c r="D1388" s="11" t="s">
        <v>43</v>
      </c>
      <c r="E1388" s="11" t="s">
        <v>62</v>
      </c>
      <c r="F1388" s="11" t="s">
        <v>173</v>
      </c>
      <c r="G1388" s="15">
        <v>46144</v>
      </c>
      <c r="H1388" s="10" t="str">
        <f>IFERROR(INDEX(面试清单!H:H,MATCH(1387,面试清单!P:P,0)),"")</f>
        <v>线上</v>
      </c>
      <c r="I1388" s="13" t="s">
        <v>29</v>
      </c>
      <c r="J1388" s="10">
        <f ca="1" t="shared" si="64"/>
        <v>45</v>
      </c>
      <c r="K1388" s="10">
        <f ca="1" t="shared" si="65"/>
        <v>16</v>
      </c>
    </row>
    <row r="1389" ht="18" spans="1:11">
      <c r="A1389" s="14">
        <f t="shared" si="63"/>
        <v>1388</v>
      </c>
      <c r="B1389" s="11" t="s">
        <v>5322</v>
      </c>
      <c r="C1389" s="14" t="str">
        <f>IFERROR(INDEX(面试清单!D:D,MATCH(1388,面试清单!P:P,0)),"")</f>
        <v/>
      </c>
      <c r="D1389" s="11" t="s">
        <v>43</v>
      </c>
      <c r="E1389" s="11" t="s">
        <v>62</v>
      </c>
      <c r="F1389" s="11" t="s">
        <v>246</v>
      </c>
      <c r="G1389" s="15">
        <v>46144</v>
      </c>
      <c r="H1389" s="14" t="str">
        <f>IFERROR(INDEX(面试清单!H:H,MATCH(1388,面试清单!P:P,0)),"")</f>
        <v/>
      </c>
      <c r="I1389" s="13" t="s">
        <v>29</v>
      </c>
      <c r="J1389" s="14">
        <f ca="1" t="shared" si="64"/>
        <v>45</v>
      </c>
      <c r="K1389" s="14">
        <f ca="1" t="shared" si="65"/>
        <v>16</v>
      </c>
    </row>
    <row r="1390" ht="18" spans="1:11">
      <c r="A1390" s="10">
        <f t="shared" si="63"/>
        <v>1389</v>
      </c>
      <c r="B1390" s="11" t="s">
        <v>5323</v>
      </c>
      <c r="C1390" s="10" t="str">
        <f>IFERROR(INDEX(面试清单!D:D,MATCH(1389,面试清单!P:P,0)),"")</f>
        <v/>
      </c>
      <c r="D1390" s="11" t="s">
        <v>43</v>
      </c>
      <c r="E1390" s="11" t="s">
        <v>62</v>
      </c>
      <c r="F1390" s="11" t="s">
        <v>179</v>
      </c>
      <c r="G1390" s="15">
        <v>46144</v>
      </c>
      <c r="H1390" s="10" t="str">
        <f>IFERROR(INDEX(面试清单!H:H,MATCH(1389,面试清单!P:P,0)),"")</f>
        <v/>
      </c>
      <c r="I1390" s="13" t="s">
        <v>29</v>
      </c>
      <c r="J1390" s="10">
        <f ca="1" t="shared" si="64"/>
        <v>45</v>
      </c>
      <c r="K1390" s="10">
        <f ca="1" t="shared" si="65"/>
        <v>16</v>
      </c>
    </row>
    <row r="1391" ht="18" spans="1:11">
      <c r="A1391" s="14">
        <f t="shared" si="63"/>
        <v>1390</v>
      </c>
      <c r="B1391" s="11" t="s">
        <v>5324</v>
      </c>
      <c r="C1391" s="14" t="str">
        <f>IFERROR(INDEX(面试清单!D:D,MATCH(1390,面试清单!P:P,0)),"")</f>
        <v/>
      </c>
      <c r="D1391" s="11" t="s">
        <v>43</v>
      </c>
      <c r="E1391" s="11" t="s">
        <v>62</v>
      </c>
      <c r="F1391" s="11" t="s">
        <v>117</v>
      </c>
      <c r="G1391" s="15">
        <v>46144</v>
      </c>
      <c r="H1391" s="14" t="str">
        <f>IFERROR(INDEX(面试清单!H:H,MATCH(1390,面试清单!P:P,0)),"")</f>
        <v/>
      </c>
      <c r="I1391" s="13" t="s">
        <v>29</v>
      </c>
      <c r="J1391" s="14">
        <f ca="1" t="shared" si="64"/>
        <v>45</v>
      </c>
      <c r="K1391" s="14">
        <f ca="1" t="shared" si="65"/>
        <v>16</v>
      </c>
    </row>
    <row r="1392" ht="18" spans="1:11">
      <c r="A1392" s="10">
        <f t="shared" si="63"/>
        <v>1391</v>
      </c>
      <c r="B1392" s="11" t="s">
        <v>5325</v>
      </c>
      <c r="C1392" s="125" t="str">
        <f>IFERROR(INDEX(面试清单!D:D,MATCH(1391,面试清单!P:P,0)),"")</f>
        <v>0220</v>
      </c>
      <c r="D1392" s="11" t="s">
        <v>43</v>
      </c>
      <c r="E1392" s="11" t="s">
        <v>62</v>
      </c>
      <c r="F1392" s="11" t="s">
        <v>173</v>
      </c>
      <c r="G1392" s="15">
        <v>46144</v>
      </c>
      <c r="H1392" s="10" t="str">
        <f>IFERROR(INDEX(面试清单!H:H,MATCH(1391,面试清单!P:P,0)),"")</f>
        <v>线上</v>
      </c>
      <c r="I1392" s="13" t="s">
        <v>29</v>
      </c>
      <c r="J1392" s="10">
        <f ca="1" t="shared" si="64"/>
        <v>45</v>
      </c>
      <c r="K1392" s="10">
        <f ca="1" t="shared" si="65"/>
        <v>16</v>
      </c>
    </row>
    <row r="1393" ht="18" spans="1:11">
      <c r="A1393" s="14">
        <f t="shared" si="63"/>
        <v>1392</v>
      </c>
      <c r="B1393" s="11" t="s">
        <v>5326</v>
      </c>
      <c r="C1393" s="14" t="str">
        <f>IFERROR(INDEX(面试清单!D:D,MATCH(1392,面试清单!P:P,0)),"")</f>
        <v/>
      </c>
      <c r="D1393" s="11" t="s">
        <v>43</v>
      </c>
      <c r="E1393" s="11" t="s">
        <v>64</v>
      </c>
      <c r="F1393" s="11" t="s">
        <v>179</v>
      </c>
      <c r="G1393" s="15">
        <v>46144</v>
      </c>
      <c r="H1393" s="14" t="str">
        <f>IFERROR(INDEX(面试清单!H:H,MATCH(1392,面试清单!P:P,0)),"")</f>
        <v/>
      </c>
      <c r="I1393" s="13" t="s">
        <v>29</v>
      </c>
      <c r="J1393" s="14">
        <f ca="1" t="shared" si="64"/>
        <v>45</v>
      </c>
      <c r="K1393" s="14">
        <f ca="1" t="shared" si="65"/>
        <v>16</v>
      </c>
    </row>
    <row r="1394" ht="18" spans="1:11">
      <c r="A1394" s="10">
        <f t="shared" si="63"/>
        <v>1393</v>
      </c>
      <c r="B1394" s="11" t="s">
        <v>5327</v>
      </c>
      <c r="C1394" s="10" t="str">
        <f>IFERROR(INDEX(面试清单!D:D,MATCH(1393,面试清单!P:P,0)),"")</f>
        <v/>
      </c>
      <c r="D1394" s="11" t="s">
        <v>43</v>
      </c>
      <c r="E1394" s="11" t="s">
        <v>64</v>
      </c>
      <c r="F1394" s="11" t="s">
        <v>179</v>
      </c>
      <c r="G1394" s="15">
        <v>46144</v>
      </c>
      <c r="H1394" s="10" t="str">
        <f>IFERROR(INDEX(面试清单!H:H,MATCH(1393,面试清单!P:P,0)),"")</f>
        <v/>
      </c>
      <c r="I1394" s="13" t="s">
        <v>29</v>
      </c>
      <c r="J1394" s="10">
        <f ca="1" t="shared" si="64"/>
        <v>45</v>
      </c>
      <c r="K1394" s="10">
        <f ca="1" t="shared" si="65"/>
        <v>16</v>
      </c>
    </row>
    <row r="1395" ht="18" spans="1:11">
      <c r="A1395" s="14">
        <f t="shared" si="63"/>
        <v>1394</v>
      </c>
      <c r="B1395" s="11" t="s">
        <v>5328</v>
      </c>
      <c r="C1395" s="14" t="str">
        <f>IFERROR(INDEX(面试清单!D:D,MATCH(1394,面试清单!P:P,0)),"")</f>
        <v/>
      </c>
      <c r="D1395" s="11" t="s">
        <v>43</v>
      </c>
      <c r="E1395" s="11" t="s">
        <v>63</v>
      </c>
      <c r="F1395" s="11" t="s">
        <v>179</v>
      </c>
      <c r="G1395" s="15">
        <v>46144</v>
      </c>
      <c r="H1395" s="14" t="str">
        <f>IFERROR(INDEX(面试清单!H:H,MATCH(1394,面试清单!P:P,0)),"")</f>
        <v/>
      </c>
      <c r="I1395" s="13" t="s">
        <v>29</v>
      </c>
      <c r="J1395" s="14">
        <f ca="1" t="shared" si="64"/>
        <v>45</v>
      </c>
      <c r="K1395" s="14">
        <f ca="1" t="shared" si="65"/>
        <v>16</v>
      </c>
    </row>
    <row r="1396" ht="18" spans="1:11">
      <c r="A1396" s="10">
        <f t="shared" si="63"/>
        <v>1395</v>
      </c>
      <c r="B1396" s="11" t="s">
        <v>5329</v>
      </c>
      <c r="C1396" s="10" t="str">
        <f>IFERROR(INDEX(面试清单!D:D,MATCH(1395,面试清单!P:P,0)),"")</f>
        <v/>
      </c>
      <c r="D1396" s="11" t="s">
        <v>43</v>
      </c>
      <c r="E1396" s="11" t="s">
        <v>64</v>
      </c>
      <c r="F1396" s="11" t="s">
        <v>179</v>
      </c>
      <c r="G1396" s="15">
        <v>46144</v>
      </c>
      <c r="H1396" s="10" t="str">
        <f>IFERROR(INDEX(面试清单!H:H,MATCH(1395,面试清单!P:P,0)),"")</f>
        <v/>
      </c>
      <c r="I1396" s="13" t="s">
        <v>29</v>
      </c>
      <c r="J1396" s="10">
        <f ca="1" t="shared" si="64"/>
        <v>45</v>
      </c>
      <c r="K1396" s="10">
        <f ca="1" t="shared" si="65"/>
        <v>16</v>
      </c>
    </row>
    <row r="1397" ht="18" spans="1:11">
      <c r="A1397" s="14">
        <f t="shared" si="63"/>
        <v>1396</v>
      </c>
      <c r="B1397" s="11" t="s">
        <v>5330</v>
      </c>
      <c r="C1397" s="124" t="str">
        <f>IFERROR(INDEX(面试清单!D:D,MATCH(1396,面试清单!P:P,0)),"")</f>
        <v>0212</v>
      </c>
      <c r="D1397" s="11" t="s">
        <v>43</v>
      </c>
      <c r="E1397" s="11" t="s">
        <v>63</v>
      </c>
      <c r="F1397" s="11" t="s">
        <v>173</v>
      </c>
      <c r="G1397" s="15">
        <v>46144</v>
      </c>
      <c r="H1397" s="14" t="str">
        <f>IFERROR(INDEX(面试清单!H:H,MATCH(1396,面试清单!P:P,0)),"")</f>
        <v>线上</v>
      </c>
      <c r="I1397" s="13" t="s">
        <v>29</v>
      </c>
      <c r="J1397" s="14">
        <f ca="1" t="shared" si="64"/>
        <v>45</v>
      </c>
      <c r="K1397" s="14">
        <f ca="1" t="shared" si="65"/>
        <v>16</v>
      </c>
    </row>
    <row r="1398" ht="18" spans="1:11">
      <c r="A1398" s="10">
        <f t="shared" si="63"/>
        <v>1397</v>
      </c>
      <c r="B1398" s="11" t="s">
        <v>5331</v>
      </c>
      <c r="C1398" s="10" t="str">
        <f>IFERROR(INDEX(面试清单!D:D,MATCH(1397,面试清单!P:P,0)),"")</f>
        <v/>
      </c>
      <c r="D1398" s="11" t="s">
        <v>43</v>
      </c>
      <c r="E1398" s="11" t="s">
        <v>62</v>
      </c>
      <c r="F1398" s="11" t="s">
        <v>117</v>
      </c>
      <c r="G1398" s="15">
        <v>46145</v>
      </c>
      <c r="H1398" s="10" t="str">
        <f>IFERROR(INDEX(面试清单!H:H,MATCH(1397,面试清单!P:P,0)),"")</f>
        <v/>
      </c>
      <c r="I1398" s="13" t="s">
        <v>29</v>
      </c>
      <c r="J1398" s="10">
        <f ca="1" t="shared" si="64"/>
        <v>44</v>
      </c>
      <c r="K1398" s="10">
        <f ca="1" t="shared" si="65"/>
        <v>16</v>
      </c>
    </row>
    <row r="1399" ht="18" spans="1:11">
      <c r="A1399" s="14">
        <f t="shared" si="63"/>
        <v>1398</v>
      </c>
      <c r="B1399" s="11" t="s">
        <v>5332</v>
      </c>
      <c r="C1399" s="124" t="str">
        <f>IFERROR(INDEX(面试清单!D:D,MATCH(1398,面试清单!P:P,0)),"")</f>
        <v>0217</v>
      </c>
      <c r="D1399" s="11" t="s">
        <v>43</v>
      </c>
      <c r="E1399" s="11" t="s">
        <v>63</v>
      </c>
      <c r="F1399" s="11" t="s">
        <v>103</v>
      </c>
      <c r="G1399" s="15">
        <v>46145</v>
      </c>
      <c r="H1399" s="14" t="str">
        <f>IFERROR(INDEX(面试清单!H:H,MATCH(1398,面试清单!P:P,0)),"")</f>
        <v>线上</v>
      </c>
      <c r="I1399" s="13" t="s">
        <v>29</v>
      </c>
      <c r="J1399" s="14">
        <f ca="1" t="shared" si="64"/>
        <v>44</v>
      </c>
      <c r="K1399" s="14">
        <f ca="1" t="shared" si="65"/>
        <v>16</v>
      </c>
    </row>
    <row r="1400" ht="18" spans="1:11">
      <c r="A1400" s="10">
        <f t="shared" si="63"/>
        <v>1399</v>
      </c>
      <c r="B1400" s="11" t="s">
        <v>5333</v>
      </c>
      <c r="C1400" s="125" t="str">
        <f>IFERROR(INDEX(面试清单!D:D,MATCH(1399,面试清单!P:P,0)),"")</f>
        <v>0218</v>
      </c>
      <c r="D1400" s="11" t="s">
        <v>43</v>
      </c>
      <c r="E1400" s="11" t="s">
        <v>64</v>
      </c>
      <c r="F1400" s="11" t="s">
        <v>179</v>
      </c>
      <c r="G1400" s="15">
        <v>46145</v>
      </c>
      <c r="H1400" s="10" t="str">
        <f>IFERROR(INDEX(面试清单!H:H,MATCH(1399,面试清单!P:P,0)),"")</f>
        <v>线上</v>
      </c>
      <c r="I1400" s="13" t="s">
        <v>29</v>
      </c>
      <c r="J1400" s="10">
        <f ca="1" t="shared" si="64"/>
        <v>44</v>
      </c>
      <c r="K1400" s="10">
        <f ca="1" t="shared" si="65"/>
        <v>16</v>
      </c>
    </row>
    <row r="1401" ht="18" spans="1:11">
      <c r="A1401" s="14">
        <f t="shared" si="63"/>
        <v>1400</v>
      </c>
      <c r="B1401" s="11" t="s">
        <v>5334</v>
      </c>
      <c r="C1401" s="124" t="str">
        <f>IFERROR(INDEX(面试清单!D:D,MATCH(1400,面试清单!P:P,0)),"")</f>
        <v>0220</v>
      </c>
      <c r="D1401" s="11" t="s">
        <v>43</v>
      </c>
      <c r="E1401" s="11" t="s">
        <v>63</v>
      </c>
      <c r="F1401" s="11" t="s">
        <v>124</v>
      </c>
      <c r="G1401" s="15">
        <v>46146</v>
      </c>
      <c r="H1401" s="14" t="str">
        <f>IFERROR(INDEX(面试清单!H:H,MATCH(1400,面试清单!P:P,0)),"")</f>
        <v>线上</v>
      </c>
      <c r="I1401" s="13" t="s">
        <v>29</v>
      </c>
      <c r="J1401" s="14">
        <f ca="1" t="shared" si="64"/>
        <v>43</v>
      </c>
      <c r="K1401" s="14">
        <f ca="1" t="shared" si="65"/>
        <v>16</v>
      </c>
    </row>
    <row r="1402" ht="18" spans="1:11">
      <c r="A1402" s="10">
        <f t="shared" si="63"/>
        <v>1401</v>
      </c>
      <c r="B1402" s="11" t="s">
        <v>5335</v>
      </c>
      <c r="C1402" s="10" t="str">
        <f>IFERROR(INDEX(面试清单!D:D,MATCH(1401,面试清单!P:P,0)),"")</f>
        <v/>
      </c>
      <c r="D1402" s="11" t="s">
        <v>43</v>
      </c>
      <c r="E1402" s="11" t="s">
        <v>63</v>
      </c>
      <c r="F1402" s="11" t="s">
        <v>124</v>
      </c>
      <c r="G1402" s="15">
        <v>46146</v>
      </c>
      <c r="H1402" s="10" t="str">
        <f>IFERROR(INDEX(面试清单!H:H,MATCH(1401,面试清单!P:P,0)),"")</f>
        <v/>
      </c>
      <c r="I1402" s="13" t="s">
        <v>29</v>
      </c>
      <c r="J1402" s="10">
        <f ca="1" t="shared" si="64"/>
        <v>43</v>
      </c>
      <c r="K1402" s="10">
        <f ca="1" t="shared" si="65"/>
        <v>16</v>
      </c>
    </row>
    <row r="1403" ht="18" spans="1:11">
      <c r="A1403" s="14">
        <f t="shared" si="63"/>
        <v>1402</v>
      </c>
      <c r="B1403" s="11" t="s">
        <v>5336</v>
      </c>
      <c r="C1403" s="14" t="str">
        <f>IFERROR(INDEX(面试清单!D:D,MATCH(1402,面试清单!P:P,0)),"")</f>
        <v/>
      </c>
      <c r="D1403" s="11" t="s">
        <v>42</v>
      </c>
      <c r="E1403" s="11" t="s">
        <v>62</v>
      </c>
      <c r="F1403" s="11" t="s">
        <v>176</v>
      </c>
      <c r="G1403" s="15">
        <v>46146</v>
      </c>
      <c r="H1403" s="14" t="str">
        <f>IFERROR(INDEX(面试清单!H:H,MATCH(1402,面试清单!P:P,0)),"")</f>
        <v/>
      </c>
      <c r="I1403" s="13" t="s">
        <v>29</v>
      </c>
      <c r="J1403" s="14">
        <f ca="1" t="shared" si="64"/>
        <v>43</v>
      </c>
      <c r="K1403" s="14">
        <f ca="1" t="shared" si="65"/>
        <v>16</v>
      </c>
    </row>
    <row r="1404" ht="18" spans="1:11">
      <c r="A1404" s="10">
        <f t="shared" si="63"/>
        <v>1403</v>
      </c>
      <c r="B1404" s="11" t="s">
        <v>5337</v>
      </c>
      <c r="C1404" s="125" t="str">
        <f>IFERROR(INDEX(面试清单!D:D,MATCH(1403,面试清单!P:P,0)),"")</f>
        <v>0208</v>
      </c>
      <c r="D1404" s="11" t="s">
        <v>43</v>
      </c>
      <c r="E1404" s="11" t="s">
        <v>62</v>
      </c>
      <c r="F1404" s="11" t="s">
        <v>103</v>
      </c>
      <c r="G1404" s="15">
        <v>46146</v>
      </c>
      <c r="H1404" s="10" t="str">
        <f>IFERROR(INDEX(面试清单!H:H,MATCH(1403,面试清单!P:P,0)),"")</f>
        <v>线上</v>
      </c>
      <c r="I1404" s="13" t="s">
        <v>29</v>
      </c>
      <c r="J1404" s="10">
        <f ca="1" t="shared" si="64"/>
        <v>43</v>
      </c>
      <c r="K1404" s="10">
        <f ca="1" t="shared" si="65"/>
        <v>16</v>
      </c>
    </row>
    <row r="1405" ht="18" spans="1:11">
      <c r="A1405" s="14">
        <f t="shared" si="63"/>
        <v>1404</v>
      </c>
      <c r="B1405" s="11" t="s">
        <v>5338</v>
      </c>
      <c r="C1405" s="124" t="str">
        <f>IFERROR(INDEX(面试清单!D:D,MATCH(1404,面试清单!P:P,0)),"")</f>
        <v>0209</v>
      </c>
      <c r="D1405" s="11" t="s">
        <v>43</v>
      </c>
      <c r="E1405" s="11" t="s">
        <v>62</v>
      </c>
      <c r="F1405" s="11" t="s">
        <v>233</v>
      </c>
      <c r="G1405" s="15">
        <v>46146</v>
      </c>
      <c r="H1405" s="14" t="str">
        <f>IFERROR(INDEX(面试清单!H:H,MATCH(1404,面试清单!P:P,0)),"")</f>
        <v>线上</v>
      </c>
      <c r="I1405" s="13" t="s">
        <v>29</v>
      </c>
      <c r="J1405" s="14">
        <f ca="1" t="shared" si="64"/>
        <v>43</v>
      </c>
      <c r="K1405" s="14">
        <f ca="1" t="shared" si="65"/>
        <v>16</v>
      </c>
    </row>
    <row r="1406" ht="18" spans="1:11">
      <c r="A1406" s="10">
        <f t="shared" si="63"/>
        <v>1405</v>
      </c>
      <c r="B1406" s="11" t="s">
        <v>5339</v>
      </c>
      <c r="C1406" s="125" t="str">
        <f>IFERROR(INDEX(面试清单!D:D,MATCH(1405,面试清单!P:P,0)),"")</f>
        <v>0212</v>
      </c>
      <c r="D1406" s="11" t="s">
        <v>43</v>
      </c>
      <c r="E1406" s="11" t="s">
        <v>64</v>
      </c>
      <c r="F1406" s="11" t="s">
        <v>110</v>
      </c>
      <c r="G1406" s="15">
        <v>46146</v>
      </c>
      <c r="H1406" s="10" t="str">
        <f>IFERROR(INDEX(面试清单!H:H,MATCH(1405,面试清单!P:P,0)),"")</f>
        <v>线上</v>
      </c>
      <c r="I1406" s="13" t="s">
        <v>29</v>
      </c>
      <c r="J1406" s="10">
        <f ca="1" t="shared" si="64"/>
        <v>43</v>
      </c>
      <c r="K1406" s="10">
        <f ca="1" t="shared" si="65"/>
        <v>16</v>
      </c>
    </row>
    <row r="1407" ht="18" spans="1:11">
      <c r="A1407" s="14">
        <f t="shared" si="63"/>
        <v>1406</v>
      </c>
      <c r="B1407" s="11" t="s">
        <v>5340</v>
      </c>
      <c r="C1407" s="14" t="str">
        <f>IFERROR(INDEX(面试清单!D:D,MATCH(1406,面试清单!P:P,0)),"")</f>
        <v/>
      </c>
      <c r="D1407" s="11" t="s">
        <v>74</v>
      </c>
      <c r="E1407" s="11" t="s">
        <v>64</v>
      </c>
      <c r="F1407" s="11" t="s">
        <v>179</v>
      </c>
      <c r="G1407" s="15">
        <v>46146</v>
      </c>
      <c r="H1407" s="14" t="str">
        <f>IFERROR(INDEX(面试清单!H:H,MATCH(1406,面试清单!P:P,0)),"")</f>
        <v/>
      </c>
      <c r="I1407" s="13" t="s">
        <v>29</v>
      </c>
      <c r="J1407" s="14">
        <f ca="1" t="shared" si="64"/>
        <v>43</v>
      </c>
      <c r="K1407" s="14">
        <f ca="1" t="shared" si="65"/>
        <v>16</v>
      </c>
    </row>
    <row r="1408" ht="18" spans="1:11">
      <c r="A1408" s="10">
        <f t="shared" si="63"/>
        <v>1407</v>
      </c>
      <c r="B1408" s="11" t="s">
        <v>5341</v>
      </c>
      <c r="C1408" s="10" t="str">
        <f>IFERROR(INDEX(面试清单!D:D,MATCH(1407,面试清单!P:P,0)),"")</f>
        <v/>
      </c>
      <c r="D1408" s="11" t="s">
        <v>74</v>
      </c>
      <c r="E1408" s="11" t="s">
        <v>64</v>
      </c>
      <c r="F1408" s="11" t="s">
        <v>179</v>
      </c>
      <c r="G1408" s="15">
        <v>46146</v>
      </c>
      <c r="H1408" s="10" t="str">
        <f>IFERROR(INDEX(面试清单!H:H,MATCH(1407,面试清单!P:P,0)),"")</f>
        <v/>
      </c>
      <c r="I1408" s="13" t="s">
        <v>29</v>
      </c>
      <c r="J1408" s="10">
        <f ca="1" t="shared" si="64"/>
        <v>43</v>
      </c>
      <c r="K1408" s="10">
        <f ca="1" t="shared" si="65"/>
        <v>16</v>
      </c>
    </row>
    <row r="1409" ht="18" spans="1:11">
      <c r="A1409" s="14">
        <f t="shared" si="63"/>
        <v>1408</v>
      </c>
      <c r="B1409" s="11" t="s">
        <v>5342</v>
      </c>
      <c r="C1409" s="124" t="str">
        <f>IFERROR(INDEX(面试清单!D:D,MATCH(1408,面试清单!P:P,0)),"")</f>
        <v>0218</v>
      </c>
      <c r="D1409" s="11" t="s">
        <v>74</v>
      </c>
      <c r="E1409" s="11" t="s">
        <v>64</v>
      </c>
      <c r="F1409" s="11" t="s">
        <v>179</v>
      </c>
      <c r="G1409" s="15">
        <v>46146</v>
      </c>
      <c r="H1409" s="14" t="str">
        <f>IFERROR(INDEX(面试清单!H:H,MATCH(1408,面试清单!P:P,0)),"")</f>
        <v>线上</v>
      </c>
      <c r="I1409" s="13" t="s">
        <v>29</v>
      </c>
      <c r="J1409" s="14">
        <f ca="1" t="shared" si="64"/>
        <v>43</v>
      </c>
      <c r="K1409" s="14">
        <f ca="1" t="shared" si="65"/>
        <v>16</v>
      </c>
    </row>
    <row r="1410" ht="18" spans="1:11">
      <c r="A1410" s="10">
        <f t="shared" ref="A1410:A1473" si="66">IF(B1410&lt;&gt;"",ROW()-1,"")</f>
        <v>1409</v>
      </c>
      <c r="B1410" s="11" t="s">
        <v>5343</v>
      </c>
      <c r="C1410" s="125" t="str">
        <f>IFERROR(INDEX(面试清单!D:D,MATCH(1409,面试清单!P:P,0)),"")</f>
        <v>0220</v>
      </c>
      <c r="D1410" s="11" t="s">
        <v>74</v>
      </c>
      <c r="E1410" s="11" t="s">
        <v>64</v>
      </c>
      <c r="F1410" s="11" t="s">
        <v>179</v>
      </c>
      <c r="G1410" s="15">
        <v>46146</v>
      </c>
      <c r="H1410" s="10" t="str">
        <f>IFERROR(INDEX(面试清单!H:H,MATCH(1409,面试清单!P:P,0)),"")</f>
        <v>线上</v>
      </c>
      <c r="I1410" s="13" t="s">
        <v>29</v>
      </c>
      <c r="J1410" s="10">
        <f ca="1" t="shared" ref="J1410:J1473" si="67">IF(G1410&lt;&gt;"",TODAY()-G1410,"")</f>
        <v>43</v>
      </c>
      <c r="K1410" s="10">
        <f ca="1" t="shared" ref="K1410:K1473" si="68">IF(G1410&lt;&gt;"",MAX(0,MIN(TODAY(),EOMONTH(TODAY(),0))-MAX(G1410,EOMONTH(TODAY(),-1)+1)+1),"")</f>
        <v>16</v>
      </c>
    </row>
    <row r="1411" ht="18" spans="1:11">
      <c r="A1411" s="14">
        <f t="shared" si="66"/>
        <v>1410</v>
      </c>
      <c r="B1411" s="11" t="s">
        <v>5344</v>
      </c>
      <c r="C1411" s="124" t="str">
        <f>IFERROR(INDEX(面试清单!D:D,MATCH(1410,面试清单!P:P,0)),"")</f>
        <v>0221</v>
      </c>
      <c r="D1411" s="11" t="s">
        <v>74</v>
      </c>
      <c r="E1411" s="11" t="s">
        <v>64</v>
      </c>
      <c r="F1411" s="11" t="s">
        <v>179</v>
      </c>
      <c r="G1411" s="15">
        <v>46146</v>
      </c>
      <c r="H1411" s="14" t="str">
        <f>IFERROR(INDEX(面试清单!H:H,MATCH(1410,面试清单!P:P,0)),"")</f>
        <v>线上</v>
      </c>
      <c r="I1411" s="13" t="s">
        <v>29</v>
      </c>
      <c r="J1411" s="14">
        <f ca="1" t="shared" si="67"/>
        <v>43</v>
      </c>
      <c r="K1411" s="14">
        <f ca="1" t="shared" si="68"/>
        <v>16</v>
      </c>
    </row>
    <row r="1412" ht="18" spans="1:11">
      <c r="A1412" s="10">
        <f t="shared" si="66"/>
        <v>1411</v>
      </c>
      <c r="B1412" s="11" t="s">
        <v>5345</v>
      </c>
      <c r="C1412" s="125" t="str">
        <f>IFERROR(INDEX(面试清单!D:D,MATCH(1411,面试清单!P:P,0)),"")</f>
        <v>0222</v>
      </c>
      <c r="D1412" s="11" t="s">
        <v>42</v>
      </c>
      <c r="E1412" s="11" t="s">
        <v>63</v>
      </c>
      <c r="F1412" s="11" t="s">
        <v>124</v>
      </c>
      <c r="G1412" s="15">
        <v>46147</v>
      </c>
      <c r="H1412" s="10" t="str">
        <f>IFERROR(INDEX(面试清单!H:H,MATCH(1411,面试清单!P:P,0)),"")</f>
        <v>线上</v>
      </c>
      <c r="I1412" s="13" t="s">
        <v>29</v>
      </c>
      <c r="J1412" s="10">
        <f ca="1" t="shared" si="67"/>
        <v>42</v>
      </c>
      <c r="K1412" s="10">
        <f ca="1" t="shared" si="68"/>
        <v>16</v>
      </c>
    </row>
    <row r="1413" ht="18" spans="1:11">
      <c r="A1413" s="14">
        <f t="shared" si="66"/>
        <v>1412</v>
      </c>
      <c r="B1413" s="11" t="s">
        <v>5346</v>
      </c>
      <c r="C1413" s="14" t="str">
        <f>IFERROR(INDEX(面试清单!D:D,MATCH(1412,面试清单!P:P,0)),"")</f>
        <v/>
      </c>
      <c r="D1413" s="11" t="s">
        <v>43</v>
      </c>
      <c r="E1413" s="11" t="s">
        <v>62</v>
      </c>
      <c r="F1413" s="11" t="s">
        <v>124</v>
      </c>
      <c r="G1413" s="15">
        <v>46147</v>
      </c>
      <c r="H1413" s="14" t="str">
        <f>IFERROR(INDEX(面试清单!H:H,MATCH(1412,面试清单!P:P,0)),"")</f>
        <v/>
      </c>
      <c r="I1413" s="13" t="s">
        <v>29</v>
      </c>
      <c r="J1413" s="14">
        <f ca="1" t="shared" si="67"/>
        <v>42</v>
      </c>
      <c r="K1413" s="14">
        <f ca="1" t="shared" si="68"/>
        <v>16</v>
      </c>
    </row>
    <row r="1414" ht="18" spans="1:11">
      <c r="A1414" s="10">
        <f t="shared" si="66"/>
        <v>1413</v>
      </c>
      <c r="B1414" s="11" t="s">
        <v>5347</v>
      </c>
      <c r="C1414" s="125" t="str">
        <f>IFERROR(INDEX(面试清单!D:D,MATCH(1413,面试清单!P:P,0)),"")</f>
        <v>0209</v>
      </c>
      <c r="D1414" s="11" t="s">
        <v>42</v>
      </c>
      <c r="E1414" s="11" t="s">
        <v>62</v>
      </c>
      <c r="F1414" s="11" t="s">
        <v>103</v>
      </c>
      <c r="G1414" s="15">
        <v>46147</v>
      </c>
      <c r="H1414" s="10" t="str">
        <f>IFERROR(INDEX(面试清单!H:H,MATCH(1413,面试清单!P:P,0)),"")</f>
        <v>线上</v>
      </c>
      <c r="I1414" s="13" t="s">
        <v>29</v>
      </c>
      <c r="J1414" s="10">
        <f ca="1" t="shared" si="67"/>
        <v>42</v>
      </c>
      <c r="K1414" s="10">
        <f ca="1" t="shared" si="68"/>
        <v>16</v>
      </c>
    </row>
    <row r="1415" ht="18" spans="1:11">
      <c r="A1415" s="14">
        <f t="shared" si="66"/>
        <v>1414</v>
      </c>
      <c r="B1415" s="11" t="s">
        <v>5348</v>
      </c>
      <c r="C1415" s="14" t="str">
        <f>IFERROR(INDEX(面试清单!D:D,MATCH(1414,面试清单!P:P,0)),"")</f>
        <v/>
      </c>
      <c r="D1415" s="11" t="s">
        <v>43</v>
      </c>
      <c r="E1415" s="11" t="s">
        <v>62</v>
      </c>
      <c r="F1415" s="11" t="s">
        <v>426</v>
      </c>
      <c r="G1415" s="15">
        <v>46147</v>
      </c>
      <c r="H1415" s="14" t="str">
        <f>IFERROR(INDEX(面试清单!H:H,MATCH(1414,面试清单!P:P,0)),"")</f>
        <v/>
      </c>
      <c r="I1415" s="13" t="s">
        <v>29</v>
      </c>
      <c r="J1415" s="14">
        <f ca="1" t="shared" si="67"/>
        <v>42</v>
      </c>
      <c r="K1415" s="14">
        <f ca="1" t="shared" si="68"/>
        <v>16</v>
      </c>
    </row>
    <row r="1416" ht="18" spans="1:11">
      <c r="A1416" s="10">
        <f t="shared" si="66"/>
        <v>1415</v>
      </c>
      <c r="B1416" s="11" t="s">
        <v>5349</v>
      </c>
      <c r="C1416" s="10" t="str">
        <f>IFERROR(INDEX(面试清单!D:D,MATCH(1415,面试清单!P:P,0)),"")</f>
        <v/>
      </c>
      <c r="D1416" s="11" t="s">
        <v>42</v>
      </c>
      <c r="E1416" s="11" t="s">
        <v>62</v>
      </c>
      <c r="F1416" s="11" t="s">
        <v>233</v>
      </c>
      <c r="G1416" s="15">
        <v>46147</v>
      </c>
      <c r="H1416" s="10" t="str">
        <f>IFERROR(INDEX(面试清单!H:H,MATCH(1415,面试清单!P:P,0)),"")</f>
        <v/>
      </c>
      <c r="I1416" s="13" t="s">
        <v>29</v>
      </c>
      <c r="J1416" s="10">
        <f ca="1" t="shared" si="67"/>
        <v>42</v>
      </c>
      <c r="K1416" s="10">
        <f ca="1" t="shared" si="68"/>
        <v>16</v>
      </c>
    </row>
    <row r="1417" ht="18" spans="1:11">
      <c r="A1417" s="14">
        <f t="shared" si="66"/>
        <v>1416</v>
      </c>
      <c r="B1417" s="11" t="s">
        <v>5350</v>
      </c>
      <c r="C1417" s="14" t="str">
        <f>IFERROR(INDEX(面试清单!D:D,MATCH(1416,面试清单!P:P,0)),"")</f>
        <v/>
      </c>
      <c r="D1417" s="11" t="s">
        <v>43</v>
      </c>
      <c r="E1417" s="11" t="s">
        <v>63</v>
      </c>
      <c r="F1417" s="11" t="s">
        <v>246</v>
      </c>
      <c r="G1417" s="15">
        <v>46147</v>
      </c>
      <c r="H1417" s="14" t="str">
        <f>IFERROR(INDEX(面试清单!H:H,MATCH(1416,面试清单!P:P,0)),"")</f>
        <v/>
      </c>
      <c r="I1417" s="13" t="s">
        <v>29</v>
      </c>
      <c r="J1417" s="14">
        <f ca="1" t="shared" si="67"/>
        <v>42</v>
      </c>
      <c r="K1417" s="14">
        <f ca="1" t="shared" si="68"/>
        <v>16</v>
      </c>
    </row>
    <row r="1418" ht="18" spans="1:11">
      <c r="A1418" s="10">
        <f t="shared" si="66"/>
        <v>1417</v>
      </c>
      <c r="B1418" s="11" t="s">
        <v>5351</v>
      </c>
      <c r="C1418" s="125" t="str">
        <f>IFERROR(INDEX(面试清单!D:D,MATCH(1417,面试清单!P:P,0)),"")</f>
        <v>0218</v>
      </c>
      <c r="D1418" s="11" t="s">
        <v>43</v>
      </c>
      <c r="E1418" s="11" t="s">
        <v>62</v>
      </c>
      <c r="F1418" s="11" t="s">
        <v>307</v>
      </c>
      <c r="G1418" s="15">
        <v>46147</v>
      </c>
      <c r="H1418" s="10" t="str">
        <f>IFERROR(INDEX(面试清单!H:H,MATCH(1417,面试清单!P:P,0)),"")</f>
        <v>线上</v>
      </c>
      <c r="I1418" s="13" t="s">
        <v>29</v>
      </c>
      <c r="J1418" s="10">
        <f ca="1" t="shared" si="67"/>
        <v>42</v>
      </c>
      <c r="K1418" s="10">
        <f ca="1" t="shared" si="68"/>
        <v>16</v>
      </c>
    </row>
    <row r="1419" ht="18" spans="1:11">
      <c r="A1419" s="14">
        <f t="shared" si="66"/>
        <v>1418</v>
      </c>
      <c r="B1419" s="11" t="s">
        <v>5352</v>
      </c>
      <c r="C1419" s="124" t="str">
        <f>IFERROR(INDEX(面试清单!D:D,MATCH(1418,面试清单!P:P,0)),"")</f>
        <v>0220</v>
      </c>
      <c r="D1419" s="11" t="s">
        <v>42</v>
      </c>
      <c r="E1419" s="11" t="s">
        <v>62</v>
      </c>
      <c r="F1419" s="11" t="s">
        <v>307</v>
      </c>
      <c r="G1419" s="15">
        <v>46147</v>
      </c>
      <c r="H1419" s="14" t="str">
        <f>IFERROR(INDEX(面试清单!H:H,MATCH(1418,面试清单!P:P,0)),"")</f>
        <v>线上</v>
      </c>
      <c r="I1419" s="13" t="s">
        <v>29</v>
      </c>
      <c r="J1419" s="14">
        <f ca="1" t="shared" si="67"/>
        <v>42</v>
      </c>
      <c r="K1419" s="14">
        <f ca="1" t="shared" si="68"/>
        <v>16</v>
      </c>
    </row>
    <row r="1420" ht="18" spans="1:11">
      <c r="A1420" s="10">
        <f t="shared" si="66"/>
        <v>1419</v>
      </c>
      <c r="B1420" s="11" t="s">
        <v>5353</v>
      </c>
      <c r="C1420" s="125" t="str">
        <f>IFERROR(INDEX(面试清单!D:D,MATCH(1419,面试清单!P:P,0)),"")</f>
        <v>0221</v>
      </c>
      <c r="D1420" s="11" t="s">
        <v>43</v>
      </c>
      <c r="E1420" s="11" t="s">
        <v>62</v>
      </c>
      <c r="F1420" s="11" t="s">
        <v>129</v>
      </c>
      <c r="G1420" s="15">
        <v>46147</v>
      </c>
      <c r="H1420" s="10" t="str">
        <f>IFERROR(INDEX(面试清单!H:H,MATCH(1419,面试清单!P:P,0)),"")</f>
        <v>线上</v>
      </c>
      <c r="I1420" s="13" t="s">
        <v>29</v>
      </c>
      <c r="J1420" s="10">
        <f ca="1" t="shared" si="67"/>
        <v>42</v>
      </c>
      <c r="K1420" s="10">
        <f ca="1" t="shared" si="68"/>
        <v>16</v>
      </c>
    </row>
    <row r="1421" ht="18" spans="1:11">
      <c r="A1421" s="14">
        <f t="shared" si="66"/>
        <v>1420</v>
      </c>
      <c r="B1421" s="11" t="s">
        <v>5354</v>
      </c>
      <c r="C1421" s="14" t="str">
        <f>IFERROR(INDEX(面试清单!D:D,MATCH(1420,面试清单!P:P,0)),"")</f>
        <v/>
      </c>
      <c r="D1421" s="11" t="s">
        <v>42</v>
      </c>
      <c r="E1421" s="11" t="s">
        <v>63</v>
      </c>
      <c r="F1421" s="11" t="s">
        <v>173</v>
      </c>
      <c r="G1421" s="15">
        <v>46147</v>
      </c>
      <c r="H1421" s="14" t="str">
        <f>IFERROR(INDEX(面试清单!H:H,MATCH(1420,面试清单!P:P,0)),"")</f>
        <v/>
      </c>
      <c r="I1421" s="13" t="s">
        <v>29</v>
      </c>
      <c r="J1421" s="14">
        <f ca="1" t="shared" si="67"/>
        <v>42</v>
      </c>
      <c r="K1421" s="14">
        <f ca="1" t="shared" si="68"/>
        <v>16</v>
      </c>
    </row>
    <row r="1422" ht="18" spans="1:11">
      <c r="A1422" s="10">
        <f t="shared" si="66"/>
        <v>1421</v>
      </c>
      <c r="B1422" s="11" t="s">
        <v>5355</v>
      </c>
      <c r="C1422" s="10" t="str">
        <f>IFERROR(INDEX(面试清单!D:D,MATCH(1421,面试清单!P:P,0)),"")</f>
        <v/>
      </c>
      <c r="D1422" s="11" t="s">
        <v>43</v>
      </c>
      <c r="E1422" s="11" t="s">
        <v>64</v>
      </c>
      <c r="F1422" s="11" t="s">
        <v>117</v>
      </c>
      <c r="G1422" s="15">
        <v>46147</v>
      </c>
      <c r="H1422" s="10" t="str">
        <f>IFERROR(INDEX(面试清单!H:H,MATCH(1421,面试清单!P:P,0)),"")</f>
        <v/>
      </c>
      <c r="I1422" s="13" t="s">
        <v>29</v>
      </c>
      <c r="J1422" s="10">
        <f ca="1" t="shared" si="67"/>
        <v>42</v>
      </c>
      <c r="K1422" s="10">
        <f ca="1" t="shared" si="68"/>
        <v>16</v>
      </c>
    </row>
    <row r="1423" ht="18" spans="1:11">
      <c r="A1423" s="14">
        <f t="shared" si="66"/>
        <v>1422</v>
      </c>
      <c r="B1423" s="11" t="s">
        <v>5356</v>
      </c>
      <c r="C1423" s="14" t="str">
        <f>IFERROR(INDEX(面试清单!D:D,MATCH(1422,面试清单!P:P,0)),"")</f>
        <v/>
      </c>
      <c r="D1423" s="11" t="s">
        <v>74</v>
      </c>
      <c r="E1423" s="11" t="s">
        <v>64</v>
      </c>
      <c r="F1423" s="11" t="s">
        <v>179</v>
      </c>
      <c r="G1423" s="15">
        <v>46147</v>
      </c>
      <c r="H1423" s="14" t="str">
        <f>IFERROR(INDEX(面试清单!H:H,MATCH(1422,面试清单!P:P,0)),"")</f>
        <v/>
      </c>
      <c r="I1423" s="13" t="s">
        <v>29</v>
      </c>
      <c r="J1423" s="14">
        <f ca="1" t="shared" si="67"/>
        <v>42</v>
      </c>
      <c r="K1423" s="14">
        <f ca="1" t="shared" si="68"/>
        <v>16</v>
      </c>
    </row>
    <row r="1424" ht="18" spans="1:11">
      <c r="A1424" s="10">
        <f t="shared" si="66"/>
        <v>1423</v>
      </c>
      <c r="B1424" s="11" t="s">
        <v>5357</v>
      </c>
      <c r="C1424" s="125" t="str">
        <f>IFERROR(INDEX(面试清单!D:D,MATCH(1423,面试清单!P:P,0)),"")</f>
        <v>0212</v>
      </c>
      <c r="D1424" s="11" t="s">
        <v>74</v>
      </c>
      <c r="E1424" s="11" t="s">
        <v>64</v>
      </c>
      <c r="F1424" s="11" t="s">
        <v>179</v>
      </c>
      <c r="G1424" s="15">
        <v>46147</v>
      </c>
      <c r="H1424" s="10" t="str">
        <f>IFERROR(INDEX(面试清单!H:H,MATCH(1423,面试清单!P:P,0)),"")</f>
        <v>线上</v>
      </c>
      <c r="I1424" s="13" t="s">
        <v>29</v>
      </c>
      <c r="J1424" s="10">
        <f ca="1" t="shared" si="67"/>
        <v>42</v>
      </c>
      <c r="K1424" s="10">
        <f ca="1" t="shared" si="68"/>
        <v>16</v>
      </c>
    </row>
    <row r="1425" ht="18" spans="1:11">
      <c r="A1425" s="14">
        <f t="shared" si="66"/>
        <v>1424</v>
      </c>
      <c r="B1425" s="11" t="s">
        <v>5358</v>
      </c>
      <c r="C1425" s="14" t="str">
        <f>IFERROR(INDEX(面试清单!D:D,MATCH(1424,面试清单!P:P,0)),"")</f>
        <v/>
      </c>
      <c r="D1425" s="11" t="s">
        <v>74</v>
      </c>
      <c r="E1425" s="11" t="s">
        <v>64</v>
      </c>
      <c r="F1425" s="11" t="s">
        <v>179</v>
      </c>
      <c r="G1425" s="15">
        <v>46147</v>
      </c>
      <c r="H1425" s="14" t="str">
        <f>IFERROR(INDEX(面试清单!H:H,MATCH(1424,面试清单!P:P,0)),"")</f>
        <v/>
      </c>
      <c r="I1425" s="13" t="s">
        <v>29</v>
      </c>
      <c r="J1425" s="14">
        <f ca="1" t="shared" si="67"/>
        <v>42</v>
      </c>
      <c r="K1425" s="14">
        <f ca="1" t="shared" si="68"/>
        <v>16</v>
      </c>
    </row>
    <row r="1426" ht="18" spans="1:11">
      <c r="A1426" s="10">
        <f t="shared" si="66"/>
        <v>1425</v>
      </c>
      <c r="B1426" s="11" t="s">
        <v>5359</v>
      </c>
      <c r="C1426" s="125" t="str">
        <f>IFERROR(INDEX(面试清单!D:D,MATCH(1425,面试清单!P:P,0)),"")</f>
        <v>0217</v>
      </c>
      <c r="D1426" s="11" t="s">
        <v>74</v>
      </c>
      <c r="E1426" s="11" t="s">
        <v>64</v>
      </c>
      <c r="F1426" s="11" t="s">
        <v>179</v>
      </c>
      <c r="G1426" s="15">
        <v>46147</v>
      </c>
      <c r="H1426" s="10" t="str">
        <f>IFERROR(INDEX(面试清单!H:H,MATCH(1425,面试清单!P:P,0)),"")</f>
        <v>线上</v>
      </c>
      <c r="I1426" s="13" t="s">
        <v>29</v>
      </c>
      <c r="J1426" s="10">
        <f ca="1" t="shared" si="67"/>
        <v>42</v>
      </c>
      <c r="K1426" s="10">
        <f ca="1" t="shared" si="68"/>
        <v>16</v>
      </c>
    </row>
    <row r="1427" ht="18" spans="1:11">
      <c r="A1427" s="14">
        <f t="shared" si="66"/>
        <v>1426</v>
      </c>
      <c r="B1427" s="11" t="s">
        <v>5360</v>
      </c>
      <c r="C1427" s="14" t="str">
        <f>IFERROR(INDEX(面试清单!D:D,MATCH(1426,面试清单!P:P,0)),"")</f>
        <v/>
      </c>
      <c r="D1427" s="11" t="s">
        <v>74</v>
      </c>
      <c r="E1427" s="11" t="s">
        <v>64</v>
      </c>
      <c r="F1427" s="11" t="s">
        <v>179</v>
      </c>
      <c r="G1427" s="15">
        <v>46147</v>
      </c>
      <c r="H1427" s="14" t="str">
        <f>IFERROR(INDEX(面试清单!H:H,MATCH(1426,面试清单!P:P,0)),"")</f>
        <v/>
      </c>
      <c r="I1427" s="13" t="s">
        <v>29</v>
      </c>
      <c r="J1427" s="14">
        <f ca="1" t="shared" si="67"/>
        <v>42</v>
      </c>
      <c r="K1427" s="14">
        <f ca="1" t="shared" si="68"/>
        <v>16</v>
      </c>
    </row>
    <row r="1428" ht="18" spans="1:11">
      <c r="A1428" s="10">
        <f t="shared" si="66"/>
        <v>1427</v>
      </c>
      <c r="B1428" s="11" t="s">
        <v>5361</v>
      </c>
      <c r="C1428" s="10" t="str">
        <f>IFERROR(INDEX(面试清单!D:D,MATCH(1427,面试清单!P:P,0)),"")</f>
        <v/>
      </c>
      <c r="D1428" s="11" t="s">
        <v>74</v>
      </c>
      <c r="E1428" s="11" t="s">
        <v>64</v>
      </c>
      <c r="F1428" s="11" t="s">
        <v>179</v>
      </c>
      <c r="G1428" s="15">
        <v>46147</v>
      </c>
      <c r="H1428" s="10" t="str">
        <f>IFERROR(INDEX(面试清单!H:H,MATCH(1427,面试清单!P:P,0)),"")</f>
        <v/>
      </c>
      <c r="I1428" s="13" t="s">
        <v>29</v>
      </c>
      <c r="J1428" s="10">
        <f ca="1" t="shared" si="67"/>
        <v>42</v>
      </c>
      <c r="K1428" s="10">
        <f ca="1" t="shared" si="68"/>
        <v>16</v>
      </c>
    </row>
    <row r="1429" ht="18" spans="1:11">
      <c r="A1429" s="14">
        <f t="shared" si="66"/>
        <v>1428</v>
      </c>
      <c r="B1429" s="11" t="s">
        <v>5362</v>
      </c>
      <c r="C1429" s="124" t="str">
        <f>IFERROR(INDEX(面试清单!D:D,MATCH(1428,面试清单!P:P,0)),"")</f>
        <v>0221</v>
      </c>
      <c r="D1429" s="11" t="s">
        <v>74</v>
      </c>
      <c r="E1429" s="11" t="s">
        <v>64</v>
      </c>
      <c r="F1429" s="11" t="s">
        <v>179</v>
      </c>
      <c r="G1429" s="15">
        <v>46147</v>
      </c>
      <c r="H1429" s="14" t="str">
        <f>IFERROR(INDEX(面试清单!H:H,MATCH(1428,面试清单!P:P,0)),"")</f>
        <v>线上</v>
      </c>
      <c r="I1429" s="13" t="s">
        <v>29</v>
      </c>
      <c r="J1429" s="14">
        <f ca="1" t="shared" si="67"/>
        <v>42</v>
      </c>
      <c r="K1429" s="14">
        <f ca="1" t="shared" si="68"/>
        <v>16</v>
      </c>
    </row>
    <row r="1430" ht="18" spans="1:11">
      <c r="A1430" s="10">
        <f t="shared" si="66"/>
        <v>1429</v>
      </c>
      <c r="B1430" s="11" t="s">
        <v>5363</v>
      </c>
      <c r="C1430" s="10" t="str">
        <f>IFERROR(INDEX(面试清单!D:D,MATCH(1429,面试清单!P:P,0)),"")</f>
        <v/>
      </c>
      <c r="D1430" s="11" t="s">
        <v>74</v>
      </c>
      <c r="E1430" s="11" t="s">
        <v>64</v>
      </c>
      <c r="F1430" s="11" t="s">
        <v>179</v>
      </c>
      <c r="G1430" s="15">
        <v>46147</v>
      </c>
      <c r="H1430" s="10" t="str">
        <f>IFERROR(INDEX(面试清单!H:H,MATCH(1429,面试清单!P:P,0)),"")</f>
        <v/>
      </c>
      <c r="I1430" s="13" t="s">
        <v>29</v>
      </c>
      <c r="J1430" s="10">
        <f ca="1" t="shared" si="67"/>
        <v>42</v>
      </c>
      <c r="K1430" s="10">
        <f ca="1" t="shared" si="68"/>
        <v>16</v>
      </c>
    </row>
    <row r="1431" ht="18" spans="1:11">
      <c r="A1431" s="14">
        <f t="shared" si="66"/>
        <v>1430</v>
      </c>
      <c r="B1431" s="11" t="s">
        <v>5364</v>
      </c>
      <c r="C1431" s="14" t="str">
        <f>IFERROR(INDEX(面试清单!D:D,MATCH(1430,面试清单!P:P,0)),"")</f>
        <v/>
      </c>
      <c r="D1431" s="11" t="s">
        <v>43</v>
      </c>
      <c r="E1431" s="11" t="s">
        <v>63</v>
      </c>
      <c r="F1431" s="11" t="s">
        <v>179</v>
      </c>
      <c r="G1431" s="15">
        <v>46147</v>
      </c>
      <c r="H1431" s="14" t="str">
        <f>IFERROR(INDEX(面试清单!H:H,MATCH(1430,面试清单!P:P,0)),"")</f>
        <v/>
      </c>
      <c r="I1431" s="13" t="s">
        <v>29</v>
      </c>
      <c r="J1431" s="14">
        <f ca="1" t="shared" si="67"/>
        <v>42</v>
      </c>
      <c r="K1431" s="14">
        <f ca="1" t="shared" si="68"/>
        <v>16</v>
      </c>
    </row>
    <row r="1432" ht="18" spans="1:11">
      <c r="A1432" s="10">
        <f t="shared" si="66"/>
        <v>1431</v>
      </c>
      <c r="B1432" s="11" t="s">
        <v>5365</v>
      </c>
      <c r="C1432" s="10" t="str">
        <f>IFERROR(INDEX(面试清单!D:D,MATCH(1431,面试清单!P:P,0)),"")</f>
        <v/>
      </c>
      <c r="D1432" s="11" t="s">
        <v>43</v>
      </c>
      <c r="E1432" s="11" t="s">
        <v>62</v>
      </c>
      <c r="F1432" s="11" t="s">
        <v>135</v>
      </c>
      <c r="G1432" s="15">
        <v>46147</v>
      </c>
      <c r="H1432" s="10" t="str">
        <f>IFERROR(INDEX(面试清单!H:H,MATCH(1431,面试清单!P:P,0)),"")</f>
        <v/>
      </c>
      <c r="I1432" s="13" t="s">
        <v>29</v>
      </c>
      <c r="J1432" s="10">
        <f ca="1" t="shared" si="67"/>
        <v>42</v>
      </c>
      <c r="K1432" s="10">
        <f ca="1" t="shared" si="68"/>
        <v>16</v>
      </c>
    </row>
    <row r="1433" ht="18" spans="1:11">
      <c r="A1433" s="14">
        <f t="shared" si="66"/>
        <v>1432</v>
      </c>
      <c r="B1433" s="11" t="s">
        <v>5366</v>
      </c>
      <c r="C1433" s="14" t="str">
        <f>IFERROR(INDEX(面试清单!D:D,MATCH(1432,面试清单!P:P,0)),"")</f>
        <v/>
      </c>
      <c r="D1433" s="11" t="s">
        <v>43</v>
      </c>
      <c r="E1433" s="11" t="s">
        <v>63</v>
      </c>
      <c r="F1433" s="11" t="s">
        <v>129</v>
      </c>
      <c r="G1433" s="15">
        <v>46147</v>
      </c>
      <c r="H1433" s="14" t="str">
        <f>IFERROR(INDEX(面试清单!H:H,MATCH(1432,面试清单!P:P,0)),"")</f>
        <v/>
      </c>
      <c r="I1433" s="13" t="s">
        <v>29</v>
      </c>
      <c r="J1433" s="14">
        <f ca="1" t="shared" si="67"/>
        <v>42</v>
      </c>
      <c r="K1433" s="14">
        <f ca="1" t="shared" si="68"/>
        <v>16</v>
      </c>
    </row>
    <row r="1434" ht="18" spans="1:11">
      <c r="A1434" s="10">
        <f t="shared" si="66"/>
        <v>1433</v>
      </c>
      <c r="B1434" s="11" t="s">
        <v>5367</v>
      </c>
      <c r="C1434" s="125" t="str">
        <f>IFERROR(INDEX(面试清单!D:D,MATCH(1433,面试清单!P:P,0)),"")</f>
        <v>0214</v>
      </c>
      <c r="D1434" s="11" t="s">
        <v>43</v>
      </c>
      <c r="E1434" s="11" t="s">
        <v>62</v>
      </c>
      <c r="F1434" s="11" t="s">
        <v>103</v>
      </c>
      <c r="G1434" s="15">
        <v>46147</v>
      </c>
      <c r="H1434" s="10" t="str">
        <f>IFERROR(INDEX(面试清单!H:H,MATCH(1433,面试清单!P:P,0)),"")</f>
        <v>线上</v>
      </c>
      <c r="I1434" s="13" t="s">
        <v>29</v>
      </c>
      <c r="J1434" s="10">
        <f ca="1" t="shared" si="67"/>
        <v>42</v>
      </c>
      <c r="K1434" s="10">
        <f ca="1" t="shared" si="68"/>
        <v>16</v>
      </c>
    </row>
    <row r="1435" ht="18" spans="1:11">
      <c r="A1435" s="14">
        <f t="shared" si="66"/>
        <v>1434</v>
      </c>
      <c r="B1435" s="11" t="s">
        <v>5368</v>
      </c>
      <c r="C1435" s="14" t="str">
        <f>IFERROR(INDEX(面试清单!D:D,MATCH(1434,面试清单!P:P,0)),"")</f>
        <v/>
      </c>
      <c r="D1435" s="11" t="s">
        <v>43</v>
      </c>
      <c r="E1435" s="11" t="s">
        <v>63</v>
      </c>
      <c r="F1435" s="11" t="s">
        <v>246</v>
      </c>
      <c r="G1435" s="15">
        <v>46147</v>
      </c>
      <c r="H1435" s="14" t="str">
        <f>IFERROR(INDEX(面试清单!H:H,MATCH(1434,面试清单!P:P,0)),"")</f>
        <v/>
      </c>
      <c r="I1435" s="13" t="s">
        <v>29</v>
      </c>
      <c r="J1435" s="14">
        <f ca="1" t="shared" si="67"/>
        <v>42</v>
      </c>
      <c r="K1435" s="14">
        <f ca="1" t="shared" si="68"/>
        <v>16</v>
      </c>
    </row>
    <row r="1436" ht="18" spans="1:11">
      <c r="A1436" s="10">
        <f t="shared" si="66"/>
        <v>1435</v>
      </c>
      <c r="B1436" s="11" t="s">
        <v>2335</v>
      </c>
      <c r="C1436" s="10" t="str">
        <f>IFERROR(INDEX(面试清单!D:D,MATCH(1435,面试清单!P:P,0)),"")</f>
        <v/>
      </c>
      <c r="D1436" s="11" t="s">
        <v>74</v>
      </c>
      <c r="E1436" s="11" t="s">
        <v>64</v>
      </c>
      <c r="F1436" s="11" t="s">
        <v>179</v>
      </c>
      <c r="G1436" s="15">
        <v>46148</v>
      </c>
      <c r="H1436" s="10" t="str">
        <f>IFERROR(INDEX(面试清单!H:H,MATCH(1435,面试清单!P:P,0)),"")</f>
        <v/>
      </c>
      <c r="I1436" s="13" t="s">
        <v>29</v>
      </c>
      <c r="J1436" s="10">
        <f ca="1" t="shared" si="67"/>
        <v>41</v>
      </c>
      <c r="K1436" s="10">
        <f ca="1" t="shared" si="68"/>
        <v>16</v>
      </c>
    </row>
    <row r="1437" ht="18" spans="1:11">
      <c r="A1437" s="14">
        <f t="shared" si="66"/>
        <v>1436</v>
      </c>
      <c r="B1437" s="11" t="s">
        <v>5369</v>
      </c>
      <c r="C1437" s="124" t="str">
        <f>IFERROR(INDEX(面试清单!D:D,MATCH(1436,面试清单!P:P,0)),"")</f>
        <v>0220</v>
      </c>
      <c r="D1437" s="11" t="s">
        <v>74</v>
      </c>
      <c r="E1437" s="11" t="s">
        <v>64</v>
      </c>
      <c r="F1437" s="11" t="s">
        <v>179</v>
      </c>
      <c r="G1437" s="15">
        <v>46148</v>
      </c>
      <c r="H1437" s="14" t="str">
        <f>IFERROR(INDEX(面试清单!H:H,MATCH(1436,面试清单!P:P,0)),"")</f>
        <v>线上</v>
      </c>
      <c r="I1437" s="13" t="s">
        <v>29</v>
      </c>
      <c r="J1437" s="14">
        <f ca="1" t="shared" si="67"/>
        <v>41</v>
      </c>
      <c r="K1437" s="14">
        <f ca="1" t="shared" si="68"/>
        <v>16</v>
      </c>
    </row>
    <row r="1438" ht="18" spans="1:11">
      <c r="A1438" s="10">
        <f t="shared" si="66"/>
        <v>1437</v>
      </c>
      <c r="B1438" s="11" t="s">
        <v>5370</v>
      </c>
      <c r="C1438" s="10" t="str">
        <f>IFERROR(INDEX(面试清单!D:D,MATCH(1437,面试清单!P:P,0)),"")</f>
        <v/>
      </c>
      <c r="D1438" s="11" t="s">
        <v>74</v>
      </c>
      <c r="E1438" s="11" t="s">
        <v>64</v>
      </c>
      <c r="F1438" s="11" t="s">
        <v>179</v>
      </c>
      <c r="G1438" s="15">
        <v>46148</v>
      </c>
      <c r="H1438" s="10" t="str">
        <f>IFERROR(INDEX(面试清单!H:H,MATCH(1437,面试清单!P:P,0)),"")</f>
        <v/>
      </c>
      <c r="I1438" s="13" t="s">
        <v>29</v>
      </c>
      <c r="J1438" s="10">
        <f ca="1" t="shared" si="67"/>
        <v>41</v>
      </c>
      <c r="K1438" s="10">
        <f ca="1" t="shared" si="68"/>
        <v>16</v>
      </c>
    </row>
    <row r="1439" ht="18" spans="1:11">
      <c r="A1439" s="14">
        <f t="shared" si="66"/>
        <v>1438</v>
      </c>
      <c r="B1439" s="11" t="s">
        <v>5371</v>
      </c>
      <c r="C1439" s="14" t="str">
        <f>IFERROR(INDEX(面试清单!D:D,MATCH(1438,面试清单!P:P,0)),"")</f>
        <v/>
      </c>
      <c r="D1439" s="11" t="s">
        <v>42</v>
      </c>
      <c r="E1439" s="11" t="s">
        <v>63</v>
      </c>
      <c r="F1439" s="11" t="s">
        <v>129</v>
      </c>
      <c r="G1439" s="15">
        <v>46148</v>
      </c>
      <c r="H1439" s="14" t="str">
        <f>IFERROR(INDEX(面试清单!H:H,MATCH(1438,面试清单!P:P,0)),"")</f>
        <v/>
      </c>
      <c r="I1439" s="13" t="s">
        <v>29</v>
      </c>
      <c r="J1439" s="14">
        <f ca="1" t="shared" si="67"/>
        <v>41</v>
      </c>
      <c r="K1439" s="14">
        <f ca="1" t="shared" si="68"/>
        <v>16</v>
      </c>
    </row>
    <row r="1440" ht="18" spans="1:11">
      <c r="A1440" s="10">
        <f t="shared" si="66"/>
        <v>1439</v>
      </c>
      <c r="B1440" s="11" t="s">
        <v>5372</v>
      </c>
      <c r="C1440" s="10" t="str">
        <f>IFERROR(INDEX(面试清单!D:D,MATCH(1439,面试清单!P:P,0)),"")</f>
        <v/>
      </c>
      <c r="D1440" s="11" t="s">
        <v>42</v>
      </c>
      <c r="E1440" s="11" t="s">
        <v>63</v>
      </c>
      <c r="F1440" s="11" t="s">
        <v>129</v>
      </c>
      <c r="G1440" s="15">
        <v>46148</v>
      </c>
      <c r="H1440" s="10" t="str">
        <f>IFERROR(INDEX(面试清单!H:H,MATCH(1439,面试清单!P:P,0)),"")</f>
        <v/>
      </c>
      <c r="I1440" s="13" t="s">
        <v>29</v>
      </c>
      <c r="J1440" s="10">
        <f ca="1" t="shared" si="67"/>
        <v>41</v>
      </c>
      <c r="K1440" s="10">
        <f ca="1" t="shared" si="68"/>
        <v>16</v>
      </c>
    </row>
    <row r="1441" ht="18" spans="1:11">
      <c r="A1441" s="14">
        <f t="shared" si="66"/>
        <v>1440</v>
      </c>
      <c r="B1441" s="11" t="s">
        <v>5373</v>
      </c>
      <c r="C1441" s="14" t="str">
        <f>IFERROR(INDEX(面试清单!D:D,MATCH(1440,面试清单!P:P,0)),"")</f>
        <v/>
      </c>
      <c r="D1441" s="11" t="s">
        <v>42</v>
      </c>
      <c r="E1441" s="11" t="s">
        <v>63</v>
      </c>
      <c r="F1441" s="11" t="s">
        <v>690</v>
      </c>
      <c r="G1441" s="15">
        <v>46148</v>
      </c>
      <c r="H1441" s="14" t="str">
        <f>IFERROR(INDEX(面试清单!H:H,MATCH(1440,面试清单!P:P,0)),"")</f>
        <v/>
      </c>
      <c r="I1441" s="13" t="s">
        <v>29</v>
      </c>
      <c r="J1441" s="14">
        <f ca="1" t="shared" si="67"/>
        <v>41</v>
      </c>
      <c r="K1441" s="14">
        <f ca="1" t="shared" si="68"/>
        <v>16</v>
      </c>
    </row>
    <row r="1442" ht="18" spans="1:11">
      <c r="A1442" s="10">
        <f t="shared" si="66"/>
        <v>1441</v>
      </c>
      <c r="B1442" s="11" t="s">
        <v>3866</v>
      </c>
      <c r="C1442" s="10" t="str">
        <f>IFERROR(INDEX(面试清单!D:D,MATCH(1441,面试清单!P:P,0)),"")</f>
        <v/>
      </c>
      <c r="D1442" s="11" t="s">
        <v>43</v>
      </c>
      <c r="E1442" s="11" t="s">
        <v>62</v>
      </c>
      <c r="F1442" s="11" t="s">
        <v>690</v>
      </c>
      <c r="G1442" s="15">
        <v>46148</v>
      </c>
      <c r="H1442" s="10" t="str">
        <f>IFERROR(INDEX(面试清单!H:H,MATCH(1441,面试清单!P:P,0)),"")</f>
        <v/>
      </c>
      <c r="I1442" s="13" t="s">
        <v>29</v>
      </c>
      <c r="J1442" s="10">
        <f ca="1" t="shared" si="67"/>
        <v>41</v>
      </c>
      <c r="K1442" s="10">
        <f ca="1" t="shared" si="68"/>
        <v>16</v>
      </c>
    </row>
    <row r="1443" ht="18" spans="1:11">
      <c r="A1443" s="14">
        <f t="shared" si="66"/>
        <v>1442</v>
      </c>
      <c r="B1443" s="11" t="s">
        <v>5374</v>
      </c>
      <c r="C1443" s="14" t="str">
        <f>IFERROR(INDEX(面试清单!D:D,MATCH(1442,面试清单!P:P,0)),"")</f>
        <v/>
      </c>
      <c r="D1443" s="11" t="s">
        <v>43</v>
      </c>
      <c r="E1443" s="11" t="s">
        <v>62</v>
      </c>
      <c r="F1443" s="11" t="s">
        <v>179</v>
      </c>
      <c r="G1443" s="15">
        <v>46148</v>
      </c>
      <c r="H1443" s="14" t="str">
        <f>IFERROR(INDEX(面试清单!H:H,MATCH(1442,面试清单!P:P,0)),"")</f>
        <v/>
      </c>
      <c r="I1443" s="13" t="s">
        <v>29</v>
      </c>
      <c r="J1443" s="14">
        <f ca="1" t="shared" si="67"/>
        <v>41</v>
      </c>
      <c r="K1443" s="14">
        <f ca="1" t="shared" si="68"/>
        <v>16</v>
      </c>
    </row>
    <row r="1444" ht="18" spans="1:11">
      <c r="A1444" s="10">
        <f t="shared" si="66"/>
        <v>1443</v>
      </c>
      <c r="B1444" s="11" t="s">
        <v>5375</v>
      </c>
      <c r="C1444" s="10" t="str">
        <f>IFERROR(INDEX(面试清单!D:D,MATCH(1443,面试清单!P:P,0)),"")</f>
        <v/>
      </c>
      <c r="D1444" s="11" t="s">
        <v>42</v>
      </c>
      <c r="E1444" s="11" t="s">
        <v>62</v>
      </c>
      <c r="F1444" s="11" t="s">
        <v>103</v>
      </c>
      <c r="G1444" s="15">
        <v>46148</v>
      </c>
      <c r="H1444" s="10" t="str">
        <f>IFERROR(INDEX(面试清单!H:H,MATCH(1443,面试清单!P:P,0)),"")</f>
        <v/>
      </c>
      <c r="I1444" s="13" t="s">
        <v>29</v>
      </c>
      <c r="J1444" s="10">
        <f ca="1" t="shared" si="67"/>
        <v>41</v>
      </c>
      <c r="K1444" s="10">
        <f ca="1" t="shared" si="68"/>
        <v>16</v>
      </c>
    </row>
    <row r="1445" ht="18" spans="1:11">
      <c r="A1445" s="14">
        <f t="shared" si="66"/>
        <v>1444</v>
      </c>
      <c r="B1445" s="11" t="s">
        <v>5376</v>
      </c>
      <c r="C1445" s="124" t="str">
        <f>IFERROR(INDEX(面试清单!D:D,MATCH(1444,面试清单!P:P,0)),"")</f>
        <v>0217</v>
      </c>
      <c r="D1445" s="11" t="s">
        <v>43</v>
      </c>
      <c r="E1445" s="11" t="s">
        <v>63</v>
      </c>
      <c r="F1445" s="11" t="s">
        <v>233</v>
      </c>
      <c r="G1445" s="15">
        <v>46148</v>
      </c>
      <c r="H1445" s="14" t="str">
        <f>IFERROR(INDEX(面试清单!H:H,MATCH(1444,面试清单!P:P,0)),"")</f>
        <v>线上</v>
      </c>
      <c r="I1445" s="13" t="s">
        <v>29</v>
      </c>
      <c r="J1445" s="14">
        <f ca="1" t="shared" si="67"/>
        <v>41</v>
      </c>
      <c r="K1445" s="14">
        <f ca="1" t="shared" si="68"/>
        <v>16</v>
      </c>
    </row>
    <row r="1446" ht="18" spans="1:11">
      <c r="A1446" s="10">
        <f t="shared" si="66"/>
        <v>1445</v>
      </c>
      <c r="B1446" s="11" t="s">
        <v>5377</v>
      </c>
      <c r="C1446" s="125" t="str">
        <f>IFERROR(INDEX(面试清单!D:D,MATCH(1445,面试清单!P:P,0)),"")</f>
        <v>0218</v>
      </c>
      <c r="D1446" s="11" t="s">
        <v>42</v>
      </c>
      <c r="E1446" s="11" t="s">
        <v>63</v>
      </c>
      <c r="F1446" s="11" t="s">
        <v>246</v>
      </c>
      <c r="G1446" s="15">
        <v>46148</v>
      </c>
      <c r="H1446" s="10" t="str">
        <f>IFERROR(INDEX(面试清单!H:H,MATCH(1445,面试清单!P:P,0)),"")</f>
        <v>线上</v>
      </c>
      <c r="I1446" s="13" t="s">
        <v>29</v>
      </c>
      <c r="J1446" s="10">
        <f ca="1" t="shared" si="67"/>
        <v>41</v>
      </c>
      <c r="K1446" s="10">
        <f ca="1" t="shared" si="68"/>
        <v>16</v>
      </c>
    </row>
    <row r="1447" ht="18" spans="1:11">
      <c r="A1447" s="14">
        <f t="shared" si="66"/>
        <v>1446</v>
      </c>
      <c r="B1447" s="11" t="s">
        <v>5378</v>
      </c>
      <c r="C1447" s="124" t="str">
        <f>IFERROR(INDEX(面试清单!D:D,MATCH(1446,面试清单!P:P,0)),"")</f>
        <v>0220</v>
      </c>
      <c r="D1447" s="11" t="s">
        <v>43</v>
      </c>
      <c r="E1447" s="11" t="s">
        <v>63</v>
      </c>
      <c r="F1447" s="11" t="s">
        <v>135</v>
      </c>
      <c r="G1447" s="15">
        <v>46148</v>
      </c>
      <c r="H1447" s="14" t="str">
        <f>IFERROR(INDEX(面试清单!H:H,MATCH(1446,面试清单!P:P,0)),"")</f>
        <v>线上</v>
      </c>
      <c r="I1447" s="13" t="s">
        <v>29</v>
      </c>
      <c r="J1447" s="14">
        <f ca="1" t="shared" si="67"/>
        <v>41</v>
      </c>
      <c r="K1447" s="14">
        <f ca="1" t="shared" si="68"/>
        <v>16</v>
      </c>
    </row>
    <row r="1448" ht="18" spans="1:11">
      <c r="A1448" s="10">
        <f t="shared" si="66"/>
        <v>1447</v>
      </c>
      <c r="B1448" s="11" t="s">
        <v>5379</v>
      </c>
      <c r="C1448" s="10" t="str">
        <f>IFERROR(INDEX(面试清单!D:D,MATCH(1447,面试清单!P:P,0)),"")</f>
        <v/>
      </c>
      <c r="D1448" s="11" t="s">
        <v>43</v>
      </c>
      <c r="E1448" s="11" t="s">
        <v>62</v>
      </c>
      <c r="F1448" s="11" t="s">
        <v>505</v>
      </c>
      <c r="G1448" s="15">
        <v>46148</v>
      </c>
      <c r="H1448" s="10" t="str">
        <f>IFERROR(INDEX(面试清单!H:H,MATCH(1447,面试清单!P:P,0)),"")</f>
        <v/>
      </c>
      <c r="I1448" s="13" t="s">
        <v>29</v>
      </c>
      <c r="J1448" s="10">
        <f ca="1" t="shared" si="67"/>
        <v>41</v>
      </c>
      <c r="K1448" s="10">
        <f ca="1" t="shared" si="68"/>
        <v>16</v>
      </c>
    </row>
    <row r="1449" ht="18" spans="1:11">
      <c r="A1449" s="14">
        <f t="shared" si="66"/>
        <v>1448</v>
      </c>
      <c r="B1449" s="11" t="s">
        <v>5380</v>
      </c>
      <c r="C1449" s="14" t="str">
        <f>IFERROR(INDEX(面试清单!D:D,MATCH(1448,面试清单!P:P,0)),"")</f>
        <v/>
      </c>
      <c r="D1449" s="11" t="s">
        <v>43</v>
      </c>
      <c r="E1449" s="11" t="s">
        <v>62</v>
      </c>
      <c r="F1449" s="11" t="s">
        <v>505</v>
      </c>
      <c r="G1449" s="15">
        <v>46148</v>
      </c>
      <c r="H1449" s="14" t="str">
        <f>IFERROR(INDEX(面试清单!H:H,MATCH(1448,面试清单!P:P,0)),"")</f>
        <v/>
      </c>
      <c r="I1449" s="13" t="s">
        <v>29</v>
      </c>
      <c r="J1449" s="14">
        <f ca="1" t="shared" si="67"/>
        <v>41</v>
      </c>
      <c r="K1449" s="14">
        <f ca="1" t="shared" si="68"/>
        <v>16</v>
      </c>
    </row>
    <row r="1450" ht="18" spans="1:11">
      <c r="A1450" s="10">
        <f t="shared" si="66"/>
        <v>1449</v>
      </c>
      <c r="B1450" s="11" t="s">
        <v>5381</v>
      </c>
      <c r="C1450" s="10" t="str">
        <f>IFERROR(INDEX(面试清单!D:D,MATCH(1449,面试清单!P:P,0)),"")</f>
        <v/>
      </c>
      <c r="D1450" s="11" t="s">
        <v>43</v>
      </c>
      <c r="E1450" s="11" t="s">
        <v>62</v>
      </c>
      <c r="F1450" s="11" t="s">
        <v>179</v>
      </c>
      <c r="G1450" s="15">
        <v>46148</v>
      </c>
      <c r="H1450" s="10" t="str">
        <f>IFERROR(INDEX(面试清单!H:H,MATCH(1449,面试清单!P:P,0)),"")</f>
        <v/>
      </c>
      <c r="I1450" s="13" t="s">
        <v>29</v>
      </c>
      <c r="J1450" s="10">
        <f ca="1" t="shared" si="67"/>
        <v>41</v>
      </c>
      <c r="K1450" s="10">
        <f ca="1" t="shared" si="68"/>
        <v>16</v>
      </c>
    </row>
    <row r="1451" ht="18" spans="1:11">
      <c r="A1451" s="14">
        <f t="shared" si="66"/>
        <v>1450</v>
      </c>
      <c r="B1451" s="11" t="s">
        <v>5382</v>
      </c>
      <c r="C1451" s="14" t="str">
        <f>IFERROR(INDEX(面试清单!D:D,MATCH(1450,面试清单!P:P,0)),"")</f>
        <v/>
      </c>
      <c r="D1451" s="11" t="s">
        <v>43</v>
      </c>
      <c r="E1451" s="11" t="s">
        <v>62</v>
      </c>
      <c r="F1451" s="11" t="s">
        <v>246</v>
      </c>
      <c r="G1451" s="15">
        <v>46148</v>
      </c>
      <c r="H1451" s="14" t="str">
        <f>IFERROR(INDEX(面试清单!H:H,MATCH(1450,面试清单!P:P,0)),"")</f>
        <v/>
      </c>
      <c r="I1451" s="13" t="s">
        <v>29</v>
      </c>
      <c r="J1451" s="14">
        <f ca="1" t="shared" si="67"/>
        <v>41</v>
      </c>
      <c r="K1451" s="14">
        <f ca="1" t="shared" si="68"/>
        <v>16</v>
      </c>
    </row>
    <row r="1452" ht="18" spans="1:11">
      <c r="A1452" s="10">
        <f t="shared" si="66"/>
        <v>1451</v>
      </c>
      <c r="B1452" s="11" t="s">
        <v>5383</v>
      </c>
      <c r="C1452" s="10" t="str">
        <f>IFERROR(INDEX(面试清单!D:D,MATCH(1451,面试清单!P:P,0)),"")</f>
        <v/>
      </c>
      <c r="D1452" s="11" t="s">
        <v>42</v>
      </c>
      <c r="E1452" s="11" t="s">
        <v>63</v>
      </c>
      <c r="F1452" s="11" t="s">
        <v>246</v>
      </c>
      <c r="G1452" s="15">
        <v>46148</v>
      </c>
      <c r="H1452" s="10" t="str">
        <f>IFERROR(INDEX(面试清单!H:H,MATCH(1451,面试清单!P:P,0)),"")</f>
        <v/>
      </c>
      <c r="I1452" s="13" t="s">
        <v>29</v>
      </c>
      <c r="J1452" s="10">
        <f ca="1" t="shared" si="67"/>
        <v>41</v>
      </c>
      <c r="K1452" s="10">
        <f ca="1" t="shared" si="68"/>
        <v>16</v>
      </c>
    </row>
    <row r="1453" ht="18" spans="1:11">
      <c r="A1453" s="14">
        <f t="shared" si="66"/>
        <v>1452</v>
      </c>
      <c r="B1453" s="11" t="s">
        <v>5384</v>
      </c>
      <c r="C1453" s="14" t="str">
        <f>IFERROR(INDEX(面试清单!D:D,MATCH(1452,面试清单!P:P,0)),"")</f>
        <v/>
      </c>
      <c r="D1453" s="11" t="s">
        <v>42</v>
      </c>
      <c r="E1453" s="11" t="s">
        <v>63</v>
      </c>
      <c r="F1453" s="11" t="s">
        <v>246</v>
      </c>
      <c r="G1453" s="15">
        <v>46148</v>
      </c>
      <c r="H1453" s="14" t="str">
        <f>IFERROR(INDEX(面试清单!H:H,MATCH(1452,面试清单!P:P,0)),"")</f>
        <v/>
      </c>
      <c r="I1453" s="13" t="s">
        <v>29</v>
      </c>
      <c r="J1453" s="14">
        <f ca="1" t="shared" si="67"/>
        <v>41</v>
      </c>
      <c r="K1453" s="14">
        <f ca="1" t="shared" si="68"/>
        <v>16</v>
      </c>
    </row>
    <row r="1454" ht="18" spans="1:11">
      <c r="A1454" s="10">
        <f t="shared" si="66"/>
        <v>1453</v>
      </c>
      <c r="B1454" s="11" t="s">
        <v>5385</v>
      </c>
      <c r="C1454" s="10" t="str">
        <f>IFERROR(INDEX(面试清单!D:D,MATCH(1453,面试清单!P:P,0)),"")</f>
        <v/>
      </c>
      <c r="D1454" s="11" t="s">
        <v>42</v>
      </c>
      <c r="E1454" s="11" t="s">
        <v>63</v>
      </c>
      <c r="F1454" s="11" t="s">
        <v>246</v>
      </c>
      <c r="G1454" s="15">
        <v>46148</v>
      </c>
      <c r="H1454" s="10" t="str">
        <f>IFERROR(INDEX(面试清单!H:H,MATCH(1453,面试清单!P:P,0)),"")</f>
        <v/>
      </c>
      <c r="I1454" s="13" t="s">
        <v>29</v>
      </c>
      <c r="J1454" s="10">
        <f ca="1" t="shared" si="67"/>
        <v>41</v>
      </c>
      <c r="K1454" s="10">
        <f ca="1" t="shared" si="68"/>
        <v>16</v>
      </c>
    </row>
    <row r="1455" ht="18" spans="1:11">
      <c r="A1455" s="14">
        <f t="shared" si="66"/>
        <v>1454</v>
      </c>
      <c r="B1455" s="11" t="s">
        <v>5386</v>
      </c>
      <c r="C1455" s="14" t="str">
        <f>IFERROR(INDEX(面试清单!D:D,MATCH(1454,面试清单!P:P,0)),"")</f>
        <v/>
      </c>
      <c r="D1455" s="11" t="s">
        <v>42</v>
      </c>
      <c r="E1455" s="11" t="s">
        <v>63</v>
      </c>
      <c r="F1455" s="11" t="s">
        <v>173</v>
      </c>
      <c r="G1455" s="15">
        <v>46148</v>
      </c>
      <c r="H1455" s="14" t="str">
        <f>IFERROR(INDEX(面试清单!H:H,MATCH(1454,面试清单!P:P,0)),"")</f>
        <v/>
      </c>
      <c r="I1455" s="13" t="s">
        <v>29</v>
      </c>
      <c r="J1455" s="14">
        <f ca="1" t="shared" si="67"/>
        <v>41</v>
      </c>
      <c r="K1455" s="14">
        <f ca="1" t="shared" si="68"/>
        <v>16</v>
      </c>
    </row>
    <row r="1456" ht="18" spans="1:11">
      <c r="A1456" s="10">
        <f t="shared" si="66"/>
        <v>1455</v>
      </c>
      <c r="B1456" s="11" t="s">
        <v>5387</v>
      </c>
      <c r="C1456" s="125" t="str">
        <f>IFERROR(INDEX(面试清单!D:D,MATCH(1455,面试清单!P:P,0)),"")</f>
        <v>0220</v>
      </c>
      <c r="D1456" s="11" t="s">
        <v>42</v>
      </c>
      <c r="E1456" s="11" t="s">
        <v>63</v>
      </c>
      <c r="F1456" s="11" t="s">
        <v>173</v>
      </c>
      <c r="G1456" s="15">
        <v>46148</v>
      </c>
      <c r="H1456" s="10" t="str">
        <f>IFERROR(INDEX(面试清单!H:H,MATCH(1455,面试清单!P:P,0)),"")</f>
        <v>线上</v>
      </c>
      <c r="I1456" s="13" t="s">
        <v>29</v>
      </c>
      <c r="J1456" s="10">
        <f ca="1" t="shared" si="67"/>
        <v>41</v>
      </c>
      <c r="K1456" s="10">
        <f ca="1" t="shared" si="68"/>
        <v>16</v>
      </c>
    </row>
    <row r="1457" ht="18" spans="1:11">
      <c r="A1457" s="14">
        <f t="shared" si="66"/>
        <v>1456</v>
      </c>
      <c r="B1457" s="11" t="s">
        <v>5388</v>
      </c>
      <c r="C1457" s="14" t="str">
        <f>IFERROR(INDEX(面试清单!D:D,MATCH(1456,面试清单!P:P,0)),"")</f>
        <v/>
      </c>
      <c r="D1457" s="11" t="s">
        <v>42</v>
      </c>
      <c r="E1457" s="11" t="s">
        <v>63</v>
      </c>
      <c r="F1457" s="11" t="s">
        <v>173</v>
      </c>
      <c r="G1457" s="15">
        <v>46148</v>
      </c>
      <c r="H1457" s="14" t="str">
        <f>IFERROR(INDEX(面试清单!H:H,MATCH(1456,面试清单!P:P,0)),"")</f>
        <v/>
      </c>
      <c r="I1457" s="13" t="s">
        <v>29</v>
      </c>
      <c r="J1457" s="14">
        <f ca="1" t="shared" si="67"/>
        <v>41</v>
      </c>
      <c r="K1457" s="14">
        <f ca="1" t="shared" si="68"/>
        <v>16</v>
      </c>
    </row>
    <row r="1458" ht="18" spans="1:11">
      <c r="A1458" s="10">
        <f t="shared" si="66"/>
        <v>1457</v>
      </c>
      <c r="B1458" s="11" t="s">
        <v>5389</v>
      </c>
      <c r="C1458" s="10" t="str">
        <f>IFERROR(INDEX(面试清单!D:D,MATCH(1457,面试清单!P:P,0)),"")</f>
        <v/>
      </c>
      <c r="D1458" s="11" t="s">
        <v>42</v>
      </c>
      <c r="E1458" s="11" t="s">
        <v>63</v>
      </c>
      <c r="F1458" s="11" t="s">
        <v>173</v>
      </c>
      <c r="G1458" s="15">
        <v>46148</v>
      </c>
      <c r="H1458" s="10" t="str">
        <f>IFERROR(INDEX(面试清单!H:H,MATCH(1457,面试清单!P:P,0)),"")</f>
        <v/>
      </c>
      <c r="I1458" s="13" t="s">
        <v>29</v>
      </c>
      <c r="J1458" s="10">
        <f ca="1" t="shared" si="67"/>
        <v>41</v>
      </c>
      <c r="K1458" s="10">
        <f ca="1" t="shared" si="68"/>
        <v>16</v>
      </c>
    </row>
    <row r="1459" ht="18" spans="1:11">
      <c r="A1459" s="14">
        <f t="shared" si="66"/>
        <v>1458</v>
      </c>
      <c r="B1459" s="11" t="s">
        <v>5390</v>
      </c>
      <c r="C1459" s="14" t="str">
        <f>IFERROR(INDEX(面试清单!D:D,MATCH(1458,面试清单!P:P,0)),"")</f>
        <v/>
      </c>
      <c r="D1459" s="11" t="s">
        <v>42</v>
      </c>
      <c r="E1459" s="11" t="s">
        <v>63</v>
      </c>
      <c r="F1459" s="11" t="s">
        <v>173</v>
      </c>
      <c r="G1459" s="15">
        <v>46148</v>
      </c>
      <c r="H1459" s="14" t="str">
        <f>IFERROR(INDEX(面试清单!H:H,MATCH(1458,面试清单!P:P,0)),"")</f>
        <v/>
      </c>
      <c r="I1459" s="13" t="s">
        <v>29</v>
      </c>
      <c r="J1459" s="14">
        <f ca="1" t="shared" si="67"/>
        <v>41</v>
      </c>
      <c r="K1459" s="14">
        <f ca="1" t="shared" si="68"/>
        <v>16</v>
      </c>
    </row>
    <row r="1460" ht="18" spans="1:11">
      <c r="A1460" s="10">
        <f t="shared" si="66"/>
        <v>1459</v>
      </c>
      <c r="B1460" s="11" t="s">
        <v>5391</v>
      </c>
      <c r="C1460" s="10" t="str">
        <f>IFERROR(INDEX(面试清单!D:D,MATCH(1459,面试清单!P:P,0)),"")</f>
        <v/>
      </c>
      <c r="D1460" s="11" t="s">
        <v>42</v>
      </c>
      <c r="E1460" s="11" t="s">
        <v>63</v>
      </c>
      <c r="F1460" s="11" t="s">
        <v>173</v>
      </c>
      <c r="G1460" s="15">
        <v>46148</v>
      </c>
      <c r="H1460" s="10" t="str">
        <f>IFERROR(INDEX(面试清单!H:H,MATCH(1459,面试清单!P:P,0)),"")</f>
        <v/>
      </c>
      <c r="I1460" s="13" t="s">
        <v>29</v>
      </c>
      <c r="J1460" s="10">
        <f ca="1" t="shared" si="67"/>
        <v>41</v>
      </c>
      <c r="K1460" s="10">
        <f ca="1" t="shared" si="68"/>
        <v>16</v>
      </c>
    </row>
    <row r="1461" ht="18" spans="1:11">
      <c r="A1461" s="14">
        <f t="shared" si="66"/>
        <v>1460</v>
      </c>
      <c r="B1461" s="11" t="s">
        <v>5392</v>
      </c>
      <c r="C1461" s="14" t="str">
        <f>IFERROR(INDEX(面试清单!D:D,MATCH(1460,面试清单!P:P,0)),"")</f>
        <v/>
      </c>
      <c r="D1461" s="11" t="s">
        <v>42</v>
      </c>
      <c r="E1461" s="11" t="s">
        <v>63</v>
      </c>
      <c r="F1461" s="11" t="s">
        <v>173</v>
      </c>
      <c r="G1461" s="15">
        <v>46148</v>
      </c>
      <c r="H1461" s="14" t="str">
        <f>IFERROR(INDEX(面试清单!H:H,MATCH(1460,面试清单!P:P,0)),"")</f>
        <v/>
      </c>
      <c r="I1461" s="13" t="s">
        <v>29</v>
      </c>
      <c r="J1461" s="14">
        <f ca="1" t="shared" si="67"/>
        <v>41</v>
      </c>
      <c r="K1461" s="14">
        <f ca="1" t="shared" si="68"/>
        <v>16</v>
      </c>
    </row>
    <row r="1462" ht="18" spans="1:11">
      <c r="A1462" s="10">
        <f t="shared" si="66"/>
        <v>1461</v>
      </c>
      <c r="B1462" s="11" t="s">
        <v>5393</v>
      </c>
      <c r="C1462" s="10" t="str">
        <f>IFERROR(INDEX(面试清单!D:D,MATCH(1461,面试清单!P:P,0)),"")</f>
        <v/>
      </c>
      <c r="D1462" s="11" t="s">
        <v>42</v>
      </c>
      <c r="E1462" s="11" t="s">
        <v>63</v>
      </c>
      <c r="F1462" s="11" t="s">
        <v>173</v>
      </c>
      <c r="G1462" s="15">
        <v>46148</v>
      </c>
      <c r="H1462" s="10" t="str">
        <f>IFERROR(INDEX(面试清单!H:H,MATCH(1461,面试清单!P:P,0)),"")</f>
        <v/>
      </c>
      <c r="I1462" s="13" t="s">
        <v>29</v>
      </c>
      <c r="J1462" s="10">
        <f ca="1" t="shared" si="67"/>
        <v>41</v>
      </c>
      <c r="K1462" s="10">
        <f ca="1" t="shared" si="68"/>
        <v>16</v>
      </c>
    </row>
    <row r="1463" ht="18" spans="1:11">
      <c r="A1463" s="14">
        <f t="shared" si="66"/>
        <v>1462</v>
      </c>
      <c r="B1463" s="11" t="s">
        <v>5394</v>
      </c>
      <c r="C1463" s="14" t="str">
        <f>IFERROR(INDEX(面试清单!D:D,MATCH(1462,面试清单!P:P,0)),"")</f>
        <v/>
      </c>
      <c r="D1463" s="11" t="s">
        <v>43</v>
      </c>
      <c r="E1463" s="11" t="s">
        <v>62</v>
      </c>
      <c r="F1463" s="11" t="s">
        <v>173</v>
      </c>
      <c r="G1463" s="15">
        <v>46148</v>
      </c>
      <c r="H1463" s="14" t="str">
        <f>IFERROR(INDEX(面试清单!H:H,MATCH(1462,面试清单!P:P,0)),"")</f>
        <v/>
      </c>
      <c r="I1463" s="13" t="s">
        <v>29</v>
      </c>
      <c r="J1463" s="14">
        <f ca="1" t="shared" si="67"/>
        <v>41</v>
      </c>
      <c r="K1463" s="14">
        <f ca="1" t="shared" si="68"/>
        <v>16</v>
      </c>
    </row>
    <row r="1464" ht="18" spans="1:11">
      <c r="A1464" s="10">
        <f t="shared" si="66"/>
        <v>1463</v>
      </c>
      <c r="B1464" s="11" t="s">
        <v>5395</v>
      </c>
      <c r="C1464" s="10" t="str">
        <f>IFERROR(INDEX(面试清单!D:D,MATCH(1463,面试清单!P:P,0)),"")</f>
        <v/>
      </c>
      <c r="D1464" s="11" t="s">
        <v>42</v>
      </c>
      <c r="E1464" s="11" t="s">
        <v>63</v>
      </c>
      <c r="F1464" s="11" t="s">
        <v>173</v>
      </c>
      <c r="G1464" s="15">
        <v>46148</v>
      </c>
      <c r="H1464" s="10" t="str">
        <f>IFERROR(INDEX(面试清单!H:H,MATCH(1463,面试清单!P:P,0)),"")</f>
        <v/>
      </c>
      <c r="I1464" s="13" t="s">
        <v>29</v>
      </c>
      <c r="J1464" s="10">
        <f ca="1" t="shared" si="67"/>
        <v>41</v>
      </c>
      <c r="K1464" s="10">
        <f ca="1" t="shared" si="68"/>
        <v>16</v>
      </c>
    </row>
    <row r="1465" ht="18" spans="1:11">
      <c r="A1465" s="14">
        <f t="shared" si="66"/>
        <v>1464</v>
      </c>
      <c r="B1465" s="11" t="s">
        <v>5396</v>
      </c>
      <c r="C1465" s="124" t="str">
        <f>IFERROR(INDEX(面试清单!D:D,MATCH(1464,面试清单!P:P,0)),"")</f>
        <v>0220</v>
      </c>
      <c r="D1465" s="11" t="s">
        <v>43</v>
      </c>
      <c r="E1465" s="11" t="s">
        <v>62</v>
      </c>
      <c r="F1465" s="11" t="s">
        <v>307</v>
      </c>
      <c r="G1465" s="15">
        <v>46148</v>
      </c>
      <c r="H1465" s="14" t="str">
        <f>IFERROR(INDEX(面试清单!H:H,MATCH(1464,面试清单!P:P,0)),"")</f>
        <v>线上</v>
      </c>
      <c r="I1465" s="13" t="s">
        <v>29</v>
      </c>
      <c r="J1465" s="14">
        <f ca="1" t="shared" si="67"/>
        <v>41</v>
      </c>
      <c r="K1465" s="14">
        <f ca="1" t="shared" si="68"/>
        <v>16</v>
      </c>
    </row>
    <row r="1466" ht="18" spans="1:11">
      <c r="A1466" s="10">
        <f t="shared" si="66"/>
        <v>1465</v>
      </c>
      <c r="B1466" s="11" t="s">
        <v>5397</v>
      </c>
      <c r="C1466" s="10" t="str">
        <f>IFERROR(INDEX(面试清单!D:D,MATCH(1465,面试清单!P:P,0)),"")</f>
        <v/>
      </c>
      <c r="D1466" s="11" t="s">
        <v>74</v>
      </c>
      <c r="E1466" s="11" t="s">
        <v>64</v>
      </c>
      <c r="F1466" s="11" t="s">
        <v>179</v>
      </c>
      <c r="G1466" s="15">
        <v>46148</v>
      </c>
      <c r="H1466" s="10" t="str">
        <f>IFERROR(INDEX(面试清单!H:H,MATCH(1465,面试清单!P:P,0)),"")</f>
        <v/>
      </c>
      <c r="I1466" s="13" t="s">
        <v>29</v>
      </c>
      <c r="J1466" s="10">
        <f ca="1" t="shared" si="67"/>
        <v>41</v>
      </c>
      <c r="K1466" s="10">
        <f ca="1" t="shared" si="68"/>
        <v>16</v>
      </c>
    </row>
    <row r="1467" ht="18" spans="1:11">
      <c r="A1467" s="14">
        <f t="shared" si="66"/>
        <v>1466</v>
      </c>
      <c r="B1467" s="11" t="s">
        <v>5398</v>
      </c>
      <c r="C1467" s="14" t="str">
        <f>IFERROR(INDEX(面试清单!D:D,MATCH(1466,面试清单!P:P,0)),"")</f>
        <v/>
      </c>
      <c r="D1467" s="11" t="s">
        <v>42</v>
      </c>
      <c r="E1467" s="11" t="s">
        <v>64</v>
      </c>
      <c r="F1467" s="11" t="s">
        <v>103</v>
      </c>
      <c r="G1467" s="15">
        <v>46148</v>
      </c>
      <c r="H1467" s="14" t="str">
        <f>IFERROR(INDEX(面试清单!H:H,MATCH(1466,面试清单!P:P,0)),"")</f>
        <v/>
      </c>
      <c r="I1467" s="13" t="s">
        <v>29</v>
      </c>
      <c r="J1467" s="14">
        <f ca="1" t="shared" si="67"/>
        <v>41</v>
      </c>
      <c r="K1467" s="14">
        <f ca="1" t="shared" si="68"/>
        <v>16</v>
      </c>
    </row>
    <row r="1468" ht="18" spans="1:11">
      <c r="A1468" s="10">
        <f t="shared" si="66"/>
        <v>1467</v>
      </c>
      <c r="B1468" s="11" t="s">
        <v>5399</v>
      </c>
      <c r="C1468" s="125" t="str">
        <f>IFERROR(INDEX(面试清单!D:D,MATCH(1467,面试清单!P:P,0)),"")</f>
        <v>0208</v>
      </c>
      <c r="D1468" s="11" t="s">
        <v>42</v>
      </c>
      <c r="E1468" s="11" t="s">
        <v>62</v>
      </c>
      <c r="F1468" s="11" t="s">
        <v>246</v>
      </c>
      <c r="G1468" s="15">
        <v>46148</v>
      </c>
      <c r="H1468" s="10" t="str">
        <f>IFERROR(INDEX(面试清单!H:H,MATCH(1467,面试清单!P:P,0)),"")</f>
        <v>线上</v>
      </c>
      <c r="I1468" s="13" t="s">
        <v>29</v>
      </c>
      <c r="J1468" s="10">
        <f ca="1" t="shared" si="67"/>
        <v>41</v>
      </c>
      <c r="K1468" s="10">
        <f ca="1" t="shared" si="68"/>
        <v>16</v>
      </c>
    </row>
    <row r="1469" ht="18" spans="1:11">
      <c r="A1469" s="14">
        <f t="shared" si="66"/>
        <v>1468</v>
      </c>
      <c r="B1469" s="11" t="s">
        <v>5400</v>
      </c>
      <c r="C1469" s="124" t="str">
        <f>IFERROR(INDEX(面试清单!D:D,MATCH(1468,面试清单!P:P,0)),"")</f>
        <v>0209</v>
      </c>
      <c r="D1469" s="11" t="s">
        <v>43</v>
      </c>
      <c r="E1469" s="11" t="s">
        <v>63</v>
      </c>
      <c r="F1469" s="11" t="s">
        <v>173</v>
      </c>
      <c r="G1469" s="15">
        <v>46148</v>
      </c>
      <c r="H1469" s="14" t="str">
        <f>IFERROR(INDEX(面试清单!H:H,MATCH(1468,面试清单!P:P,0)),"")</f>
        <v>线上</v>
      </c>
      <c r="I1469" s="13" t="s">
        <v>29</v>
      </c>
      <c r="J1469" s="14">
        <f ca="1" t="shared" si="67"/>
        <v>41</v>
      </c>
      <c r="K1469" s="14">
        <f ca="1" t="shared" si="68"/>
        <v>16</v>
      </c>
    </row>
    <row r="1470" ht="18" spans="1:11">
      <c r="A1470" s="10">
        <f t="shared" si="66"/>
        <v>1469</v>
      </c>
      <c r="B1470" s="11" t="s">
        <v>5401</v>
      </c>
      <c r="C1470" s="10" t="str">
        <f>IFERROR(INDEX(面试清单!D:D,MATCH(1469,面试清单!P:P,0)),"")</f>
        <v/>
      </c>
      <c r="D1470" s="11" t="s">
        <v>43</v>
      </c>
      <c r="E1470" s="11" t="s">
        <v>62</v>
      </c>
      <c r="F1470" s="11" t="s">
        <v>173</v>
      </c>
      <c r="G1470" s="15">
        <v>46148</v>
      </c>
      <c r="H1470" s="10" t="str">
        <f>IFERROR(INDEX(面试清单!H:H,MATCH(1469,面试清单!P:P,0)),"")</f>
        <v/>
      </c>
      <c r="I1470" s="13" t="s">
        <v>29</v>
      </c>
      <c r="J1470" s="10">
        <f ca="1" t="shared" si="67"/>
        <v>41</v>
      </c>
      <c r="K1470" s="10">
        <f ca="1" t="shared" si="68"/>
        <v>16</v>
      </c>
    </row>
    <row r="1471" ht="18" spans="1:11">
      <c r="A1471" s="14">
        <f t="shared" si="66"/>
        <v>1470</v>
      </c>
      <c r="B1471" s="11" t="s">
        <v>5402</v>
      </c>
      <c r="C1471" s="14" t="str">
        <f>IFERROR(INDEX(面试清单!D:D,MATCH(1470,面试清单!P:P,0)),"")</f>
        <v/>
      </c>
      <c r="D1471" s="11" t="s">
        <v>74</v>
      </c>
      <c r="E1471" s="11" t="s">
        <v>64</v>
      </c>
      <c r="F1471" s="11" t="s">
        <v>179</v>
      </c>
      <c r="G1471" s="15">
        <v>46148</v>
      </c>
      <c r="H1471" s="14" t="str">
        <f>IFERROR(INDEX(面试清单!H:H,MATCH(1470,面试清单!P:P,0)),"")</f>
        <v/>
      </c>
      <c r="I1471" s="13" t="s">
        <v>29</v>
      </c>
      <c r="J1471" s="14">
        <f ca="1" t="shared" si="67"/>
        <v>41</v>
      </c>
      <c r="K1471" s="14">
        <f ca="1" t="shared" si="68"/>
        <v>16</v>
      </c>
    </row>
    <row r="1472" ht="18" spans="1:11">
      <c r="A1472" s="10">
        <f t="shared" si="66"/>
        <v>1471</v>
      </c>
      <c r="B1472" s="11" t="s">
        <v>5403</v>
      </c>
      <c r="C1472" s="125" t="str">
        <f>IFERROR(INDEX(面试清单!D:D,MATCH(1471,面试清单!P:P,0)),"")</f>
        <v>0217</v>
      </c>
      <c r="D1472" s="11" t="s">
        <v>74</v>
      </c>
      <c r="E1472" s="11" t="s">
        <v>64</v>
      </c>
      <c r="F1472" s="11" t="s">
        <v>179</v>
      </c>
      <c r="G1472" s="15">
        <v>46148</v>
      </c>
      <c r="H1472" s="10" t="str">
        <f>IFERROR(INDEX(面试清单!H:H,MATCH(1471,面试清单!P:P,0)),"")</f>
        <v>线上</v>
      </c>
      <c r="I1472" s="13" t="s">
        <v>29</v>
      </c>
      <c r="J1472" s="10">
        <f ca="1" t="shared" si="67"/>
        <v>41</v>
      </c>
      <c r="K1472" s="10">
        <f ca="1" t="shared" si="68"/>
        <v>16</v>
      </c>
    </row>
    <row r="1473" ht="18" spans="1:11">
      <c r="A1473" s="14">
        <f t="shared" si="66"/>
        <v>1472</v>
      </c>
      <c r="B1473" s="11" t="s">
        <v>5404</v>
      </c>
      <c r="C1473" s="124" t="str">
        <f>IFERROR(INDEX(面试清单!D:D,MATCH(1472,面试清单!P:P,0)),"")</f>
        <v>0218</v>
      </c>
      <c r="D1473" s="11" t="s">
        <v>42</v>
      </c>
      <c r="E1473" s="11" t="s">
        <v>62</v>
      </c>
      <c r="F1473" s="11" t="s">
        <v>117</v>
      </c>
      <c r="G1473" s="15">
        <v>46148</v>
      </c>
      <c r="H1473" s="14" t="str">
        <f>IFERROR(INDEX(面试清单!H:H,MATCH(1472,面试清单!P:P,0)),"")</f>
        <v>线上</v>
      </c>
      <c r="I1473" s="13" t="s">
        <v>29</v>
      </c>
      <c r="J1473" s="14">
        <f ca="1" t="shared" si="67"/>
        <v>41</v>
      </c>
      <c r="K1473" s="14">
        <f ca="1" t="shared" si="68"/>
        <v>16</v>
      </c>
    </row>
    <row r="1474" ht="18" spans="1:11">
      <c r="A1474" s="10">
        <f t="shared" ref="A1474:A1537" si="69">IF(B1474&lt;&gt;"",ROW()-1,"")</f>
        <v>1473</v>
      </c>
      <c r="B1474" s="11" t="s">
        <v>5405</v>
      </c>
      <c r="C1474" s="125" t="str">
        <f>IFERROR(INDEX(面试清单!D:D,MATCH(1473,面试清单!P:P,0)),"")</f>
        <v>0220</v>
      </c>
      <c r="D1474" s="11" t="s">
        <v>74</v>
      </c>
      <c r="E1474" s="11" t="s">
        <v>64</v>
      </c>
      <c r="F1474" s="11" t="s">
        <v>179</v>
      </c>
      <c r="G1474" s="15">
        <v>46148</v>
      </c>
      <c r="H1474" s="10" t="str">
        <f>IFERROR(INDEX(面试清单!H:H,MATCH(1473,面试清单!P:P,0)),"")</f>
        <v>线上</v>
      </c>
      <c r="I1474" s="13" t="s">
        <v>29</v>
      </c>
      <c r="J1474" s="10">
        <f ca="1" t="shared" ref="J1474:J1537" si="70">IF(G1474&lt;&gt;"",TODAY()-G1474,"")</f>
        <v>41</v>
      </c>
      <c r="K1474" s="10">
        <f ca="1" t="shared" ref="K1474:K1537" si="71">IF(G1474&lt;&gt;"",MAX(0,MIN(TODAY(),EOMONTH(TODAY(),0))-MAX(G1474,EOMONTH(TODAY(),-1)+1)+1),"")</f>
        <v>16</v>
      </c>
    </row>
    <row r="1475" ht="18" spans="1:11">
      <c r="A1475" s="14">
        <f t="shared" si="69"/>
        <v>1474</v>
      </c>
      <c r="B1475" s="11" t="s">
        <v>5406</v>
      </c>
      <c r="C1475" s="124" t="str">
        <f>IFERROR(INDEX(面试清单!D:D,MATCH(1474,面试清单!P:P,0)),"")</f>
        <v>0221</v>
      </c>
      <c r="D1475" s="11" t="s">
        <v>74</v>
      </c>
      <c r="E1475" s="11" t="s">
        <v>64</v>
      </c>
      <c r="F1475" s="11" t="s">
        <v>179</v>
      </c>
      <c r="G1475" s="15">
        <v>46148</v>
      </c>
      <c r="H1475" s="14" t="str">
        <f>IFERROR(INDEX(面试清单!H:H,MATCH(1474,面试清单!P:P,0)),"")</f>
        <v>线上</v>
      </c>
      <c r="I1475" s="13" t="s">
        <v>29</v>
      </c>
      <c r="J1475" s="14">
        <f ca="1" t="shared" si="70"/>
        <v>41</v>
      </c>
      <c r="K1475" s="14">
        <f ca="1" t="shared" si="71"/>
        <v>16</v>
      </c>
    </row>
    <row r="1476" ht="18" spans="1:11">
      <c r="A1476" s="10">
        <f t="shared" si="69"/>
        <v>1475</v>
      </c>
      <c r="B1476" s="11" t="s">
        <v>5407</v>
      </c>
      <c r="C1476" s="125" t="str">
        <f>IFERROR(INDEX(面试清单!D:D,MATCH(1475,面试清单!P:P,0)),"")</f>
        <v>0222</v>
      </c>
      <c r="D1476" s="11" t="s">
        <v>43</v>
      </c>
      <c r="E1476" s="11" t="s">
        <v>63</v>
      </c>
      <c r="F1476" s="11" t="s">
        <v>132</v>
      </c>
      <c r="G1476" s="15">
        <v>46148</v>
      </c>
      <c r="H1476" s="10" t="str">
        <f>IFERROR(INDEX(面试清单!H:H,MATCH(1475,面试清单!P:P,0)),"")</f>
        <v>线上</v>
      </c>
      <c r="I1476" s="13" t="s">
        <v>29</v>
      </c>
      <c r="J1476" s="10">
        <f ca="1" t="shared" si="70"/>
        <v>41</v>
      </c>
      <c r="K1476" s="10">
        <f ca="1" t="shared" si="71"/>
        <v>16</v>
      </c>
    </row>
    <row r="1477" ht="18" spans="1:11">
      <c r="A1477" s="14">
        <f t="shared" si="69"/>
        <v>1476</v>
      </c>
      <c r="B1477" s="11" t="s">
        <v>5408</v>
      </c>
      <c r="C1477" s="124" t="str">
        <f>IFERROR(INDEX(面试清单!D:D,MATCH(1476,面试清单!P:P,0)),"")</f>
        <v>0208</v>
      </c>
      <c r="D1477" s="11" t="s">
        <v>43</v>
      </c>
      <c r="E1477" s="11" t="s">
        <v>64</v>
      </c>
      <c r="F1477" s="11" t="s">
        <v>179</v>
      </c>
      <c r="G1477" s="15">
        <v>46148</v>
      </c>
      <c r="H1477" s="14" t="str">
        <f>IFERROR(INDEX(面试清单!H:H,MATCH(1476,面试清单!P:P,0)),"")</f>
        <v>线上</v>
      </c>
      <c r="I1477" s="13" t="s">
        <v>29</v>
      </c>
      <c r="J1477" s="14">
        <f ca="1" t="shared" si="70"/>
        <v>41</v>
      </c>
      <c r="K1477" s="14">
        <f ca="1" t="shared" si="71"/>
        <v>16</v>
      </c>
    </row>
    <row r="1478" ht="18" spans="1:11">
      <c r="A1478" s="10">
        <f t="shared" si="69"/>
        <v>1477</v>
      </c>
      <c r="B1478" s="11" t="s">
        <v>5409</v>
      </c>
      <c r="C1478" s="125" t="str">
        <f>IFERROR(INDEX(面试清单!D:D,MATCH(1477,面试清单!P:P,0)),"")</f>
        <v>0209</v>
      </c>
      <c r="D1478" s="11" t="s">
        <v>43</v>
      </c>
      <c r="E1478" s="11" t="s">
        <v>64</v>
      </c>
      <c r="F1478" s="11" t="s">
        <v>179</v>
      </c>
      <c r="G1478" s="15">
        <v>46148</v>
      </c>
      <c r="H1478" s="10" t="str">
        <f>IFERROR(INDEX(面试清单!H:H,MATCH(1477,面试清单!P:P,0)),"")</f>
        <v>线上</v>
      </c>
      <c r="I1478" s="13" t="s">
        <v>29</v>
      </c>
      <c r="J1478" s="10">
        <f ca="1" t="shared" si="70"/>
        <v>41</v>
      </c>
      <c r="K1478" s="10">
        <f ca="1" t="shared" si="71"/>
        <v>16</v>
      </c>
    </row>
    <row r="1479" ht="18" spans="1:11">
      <c r="A1479" s="14">
        <f t="shared" si="69"/>
        <v>1478</v>
      </c>
      <c r="B1479" s="11" t="s">
        <v>5410</v>
      </c>
      <c r="C1479" s="124" t="str">
        <f>IFERROR(INDEX(面试清单!D:D,MATCH(1478,面试清单!P:P,0)),"")</f>
        <v>0212</v>
      </c>
      <c r="D1479" s="11" t="s">
        <v>43</v>
      </c>
      <c r="E1479" s="11" t="s">
        <v>64</v>
      </c>
      <c r="F1479" s="11" t="s">
        <v>117</v>
      </c>
      <c r="G1479" s="15">
        <v>46148</v>
      </c>
      <c r="H1479" s="14" t="str">
        <f>IFERROR(INDEX(面试清单!H:H,MATCH(1478,面试清单!P:P,0)),"")</f>
        <v>线上</v>
      </c>
      <c r="I1479" s="13" t="s">
        <v>29</v>
      </c>
      <c r="J1479" s="14">
        <f ca="1" t="shared" si="70"/>
        <v>41</v>
      </c>
      <c r="K1479" s="14">
        <f ca="1" t="shared" si="71"/>
        <v>16</v>
      </c>
    </row>
    <row r="1480" ht="18" spans="1:11">
      <c r="A1480" s="10">
        <f t="shared" si="69"/>
        <v>1479</v>
      </c>
      <c r="B1480" s="11" t="s">
        <v>5411</v>
      </c>
      <c r="C1480" s="10" t="str">
        <f>IFERROR(INDEX(面试清单!D:D,MATCH(1479,面试清单!P:P,0)),"")</f>
        <v/>
      </c>
      <c r="D1480" s="11" t="s">
        <v>43</v>
      </c>
      <c r="E1480" s="11" t="s">
        <v>64</v>
      </c>
      <c r="F1480" s="11" t="s">
        <v>117</v>
      </c>
      <c r="G1480" s="15">
        <v>46148</v>
      </c>
      <c r="H1480" s="10" t="str">
        <f>IFERROR(INDEX(面试清单!H:H,MATCH(1479,面试清单!P:P,0)),"")</f>
        <v/>
      </c>
      <c r="I1480" s="13" t="s">
        <v>29</v>
      </c>
      <c r="J1480" s="10">
        <f ca="1" t="shared" si="70"/>
        <v>41</v>
      </c>
      <c r="K1480" s="10">
        <f ca="1" t="shared" si="71"/>
        <v>16</v>
      </c>
    </row>
    <row r="1481" ht="18" spans="1:11">
      <c r="A1481" s="14">
        <f t="shared" si="69"/>
        <v>1480</v>
      </c>
      <c r="B1481" s="11" t="s">
        <v>5412</v>
      </c>
      <c r="C1481" s="124" t="str">
        <f>IFERROR(INDEX(面试清单!D:D,MATCH(1480,面试清单!P:P,0)),"")</f>
        <v>0217</v>
      </c>
      <c r="D1481" s="11" t="s">
        <v>42</v>
      </c>
      <c r="E1481" s="11" t="s">
        <v>63</v>
      </c>
      <c r="F1481" s="11" t="s">
        <v>179</v>
      </c>
      <c r="G1481" s="15">
        <v>46148</v>
      </c>
      <c r="H1481" s="14" t="str">
        <f>IFERROR(INDEX(面试清单!H:H,MATCH(1480,面试清单!P:P,0)),"")</f>
        <v>线上</v>
      </c>
      <c r="I1481" s="13" t="s">
        <v>29</v>
      </c>
      <c r="J1481" s="14">
        <f ca="1" t="shared" si="70"/>
        <v>41</v>
      </c>
      <c r="K1481" s="14">
        <f ca="1" t="shared" si="71"/>
        <v>16</v>
      </c>
    </row>
    <row r="1482" ht="18" spans="1:11">
      <c r="A1482" s="10">
        <f t="shared" si="69"/>
        <v>1481</v>
      </c>
      <c r="B1482" s="11" t="s">
        <v>5413</v>
      </c>
      <c r="C1482" s="10" t="str">
        <f>IFERROR(INDEX(面试清单!D:D,MATCH(1481,面试清单!P:P,0)),"")</f>
        <v/>
      </c>
      <c r="D1482" s="11" t="s">
        <v>43</v>
      </c>
      <c r="E1482" s="11" t="s">
        <v>64</v>
      </c>
      <c r="F1482" s="11" t="s">
        <v>117</v>
      </c>
      <c r="G1482" s="15">
        <v>46143</v>
      </c>
      <c r="H1482" s="10" t="str">
        <f>IFERROR(INDEX(面试清单!H:H,MATCH(1481,面试清单!P:P,0)),"")</f>
        <v/>
      </c>
      <c r="I1482" s="13" t="s">
        <v>29</v>
      </c>
      <c r="J1482" s="10">
        <f ca="1" t="shared" si="70"/>
        <v>46</v>
      </c>
      <c r="K1482" s="10">
        <f ca="1" t="shared" si="71"/>
        <v>16</v>
      </c>
    </row>
    <row r="1483" ht="18" spans="1:11">
      <c r="A1483" s="14">
        <f t="shared" si="69"/>
        <v>1482</v>
      </c>
      <c r="B1483" s="11" t="s">
        <v>5414</v>
      </c>
      <c r="C1483" s="14" t="str">
        <f>IFERROR(INDEX(面试清单!D:D,MATCH(1482,面试清单!P:P,0)),"")</f>
        <v/>
      </c>
      <c r="D1483" s="11" t="s">
        <v>43</v>
      </c>
      <c r="E1483" s="11" t="s">
        <v>62</v>
      </c>
      <c r="F1483" s="11" t="s">
        <v>246</v>
      </c>
      <c r="G1483" s="15">
        <v>46149</v>
      </c>
      <c r="H1483" s="14" t="str">
        <f>IFERROR(INDEX(面试清单!H:H,MATCH(1482,面试清单!P:P,0)),"")</f>
        <v/>
      </c>
      <c r="I1483" s="13" t="s">
        <v>29</v>
      </c>
      <c r="J1483" s="14">
        <f ca="1" t="shared" si="70"/>
        <v>40</v>
      </c>
      <c r="K1483" s="14">
        <f ca="1" t="shared" si="71"/>
        <v>16</v>
      </c>
    </row>
    <row r="1484" ht="18" spans="1:11">
      <c r="A1484" s="10">
        <f t="shared" si="69"/>
        <v>1483</v>
      </c>
      <c r="B1484" s="11" t="s">
        <v>5415</v>
      </c>
      <c r="C1484" s="10" t="str">
        <f>IFERROR(INDEX(面试清单!D:D,MATCH(1483,面试清单!P:P,0)),"")</f>
        <v/>
      </c>
      <c r="D1484" s="11" t="s">
        <v>43</v>
      </c>
      <c r="E1484" s="11" t="s">
        <v>63</v>
      </c>
      <c r="F1484" s="11" t="s">
        <v>129</v>
      </c>
      <c r="G1484" s="15">
        <v>46149</v>
      </c>
      <c r="H1484" s="10" t="str">
        <f>IFERROR(INDEX(面试清单!H:H,MATCH(1483,面试清单!P:P,0)),"")</f>
        <v/>
      </c>
      <c r="I1484" s="13" t="s">
        <v>29</v>
      </c>
      <c r="J1484" s="10">
        <f ca="1" t="shared" si="70"/>
        <v>40</v>
      </c>
      <c r="K1484" s="10">
        <f ca="1" t="shared" si="71"/>
        <v>16</v>
      </c>
    </row>
    <row r="1485" ht="18" spans="1:11">
      <c r="A1485" s="14">
        <f t="shared" si="69"/>
        <v>1484</v>
      </c>
      <c r="B1485" s="11" t="s">
        <v>5416</v>
      </c>
      <c r="C1485" s="14" t="str">
        <f>IFERROR(INDEX(面试清单!D:D,MATCH(1484,面试清单!P:P,0)),"")</f>
        <v/>
      </c>
      <c r="D1485" s="11" t="s">
        <v>43</v>
      </c>
      <c r="E1485" s="11" t="s">
        <v>63</v>
      </c>
      <c r="F1485" s="11" t="s">
        <v>129</v>
      </c>
      <c r="G1485" s="15">
        <v>46149</v>
      </c>
      <c r="H1485" s="14" t="str">
        <f>IFERROR(INDEX(面试清单!H:H,MATCH(1484,面试清单!P:P,0)),"")</f>
        <v/>
      </c>
      <c r="I1485" s="13" t="s">
        <v>29</v>
      </c>
      <c r="J1485" s="14">
        <f ca="1" t="shared" si="70"/>
        <v>40</v>
      </c>
      <c r="K1485" s="14">
        <f ca="1" t="shared" si="71"/>
        <v>16</v>
      </c>
    </row>
    <row r="1486" ht="18" spans="1:11">
      <c r="A1486" s="10">
        <f t="shared" si="69"/>
        <v>1485</v>
      </c>
      <c r="B1486" s="11" t="s">
        <v>5417</v>
      </c>
      <c r="C1486" s="125" t="str">
        <f>IFERROR(INDEX(面试清单!D:D,MATCH(1485,面试清单!P:P,0)),"")</f>
        <v>0208</v>
      </c>
      <c r="D1486" s="11" t="s">
        <v>42</v>
      </c>
      <c r="E1486" s="11" t="s">
        <v>63</v>
      </c>
      <c r="F1486" s="11" t="s">
        <v>124</v>
      </c>
      <c r="G1486" s="15">
        <v>46149</v>
      </c>
      <c r="H1486" s="10" t="str">
        <f>IFERROR(INDEX(面试清单!H:H,MATCH(1485,面试清单!P:P,0)),"")</f>
        <v>线上</v>
      </c>
      <c r="I1486" s="13" t="s">
        <v>29</v>
      </c>
      <c r="J1486" s="10">
        <f ca="1" t="shared" si="70"/>
        <v>40</v>
      </c>
      <c r="K1486" s="10">
        <f ca="1" t="shared" si="71"/>
        <v>16</v>
      </c>
    </row>
    <row r="1487" ht="18" spans="1:11">
      <c r="A1487" s="14">
        <f t="shared" si="69"/>
        <v>1486</v>
      </c>
      <c r="B1487" s="11" t="s">
        <v>5418</v>
      </c>
      <c r="C1487" s="14" t="str">
        <f>IFERROR(INDEX(面试清单!D:D,MATCH(1486,面试清单!P:P,0)),"")</f>
        <v/>
      </c>
      <c r="D1487" s="11" t="s">
        <v>43</v>
      </c>
      <c r="E1487" s="11" t="s">
        <v>63</v>
      </c>
      <c r="F1487" s="11" t="s">
        <v>132</v>
      </c>
      <c r="G1487" s="15">
        <v>46149</v>
      </c>
      <c r="H1487" s="14" t="str">
        <f>IFERROR(INDEX(面试清单!H:H,MATCH(1486,面试清单!P:P,0)),"")</f>
        <v/>
      </c>
      <c r="I1487" s="13" t="s">
        <v>29</v>
      </c>
      <c r="J1487" s="14">
        <f ca="1" t="shared" si="70"/>
        <v>40</v>
      </c>
      <c r="K1487" s="14">
        <f ca="1" t="shared" si="71"/>
        <v>16</v>
      </c>
    </row>
    <row r="1488" ht="18" spans="1:11">
      <c r="A1488" s="10">
        <f t="shared" si="69"/>
        <v>1487</v>
      </c>
      <c r="B1488" s="11" t="s">
        <v>5419</v>
      </c>
      <c r="C1488" s="125" t="str">
        <f>IFERROR(INDEX(面试清单!D:D,MATCH(1487,面试清单!P:P,0)),"")</f>
        <v>0212</v>
      </c>
      <c r="D1488" s="11" t="s">
        <v>42</v>
      </c>
      <c r="E1488" s="11" t="s">
        <v>63</v>
      </c>
      <c r="F1488" s="11" t="s">
        <v>135</v>
      </c>
      <c r="G1488" s="15">
        <v>46149</v>
      </c>
      <c r="H1488" s="10" t="str">
        <f>IFERROR(INDEX(面试清单!H:H,MATCH(1487,面试清单!P:P,0)),"")</f>
        <v>线上</v>
      </c>
      <c r="I1488" s="13" t="s">
        <v>29</v>
      </c>
      <c r="J1488" s="10">
        <f ca="1" t="shared" si="70"/>
        <v>40</v>
      </c>
      <c r="K1488" s="10">
        <f ca="1" t="shared" si="71"/>
        <v>16</v>
      </c>
    </row>
    <row r="1489" ht="18" spans="1:11">
      <c r="A1489" s="14">
        <f t="shared" si="69"/>
        <v>1488</v>
      </c>
      <c r="B1489" s="11" t="s">
        <v>5420</v>
      </c>
      <c r="C1489" s="14" t="str">
        <f>IFERROR(INDEX(面试清单!D:D,MATCH(1488,面试清单!P:P,0)),"")</f>
        <v/>
      </c>
      <c r="D1489" s="11" t="s">
        <v>42</v>
      </c>
      <c r="E1489" s="11" t="s">
        <v>63</v>
      </c>
      <c r="F1489" s="11" t="s">
        <v>173</v>
      </c>
      <c r="G1489" s="15">
        <v>46149</v>
      </c>
      <c r="H1489" s="14" t="str">
        <f>IFERROR(INDEX(面试清单!H:H,MATCH(1488,面试清单!P:P,0)),"")</f>
        <v/>
      </c>
      <c r="I1489" s="13" t="s">
        <v>29</v>
      </c>
      <c r="J1489" s="14">
        <f ca="1" t="shared" si="70"/>
        <v>40</v>
      </c>
      <c r="K1489" s="14">
        <f ca="1" t="shared" si="71"/>
        <v>16</v>
      </c>
    </row>
    <row r="1490" ht="18" spans="1:11">
      <c r="A1490" s="10">
        <f t="shared" si="69"/>
        <v>1489</v>
      </c>
      <c r="B1490" s="11" t="s">
        <v>5421</v>
      </c>
      <c r="C1490" s="10" t="str">
        <f>IFERROR(INDEX(面试清单!D:D,MATCH(1489,面试清单!P:P,0)),"")</f>
        <v/>
      </c>
      <c r="D1490" s="11" t="s">
        <v>43</v>
      </c>
      <c r="E1490" s="11" t="s">
        <v>63</v>
      </c>
      <c r="F1490" s="11" t="s">
        <v>148</v>
      </c>
      <c r="G1490" s="15">
        <v>46149</v>
      </c>
      <c r="H1490" s="10" t="str">
        <f>IFERROR(INDEX(面试清单!H:H,MATCH(1489,面试清单!P:P,0)),"")</f>
        <v/>
      </c>
      <c r="I1490" s="13" t="s">
        <v>29</v>
      </c>
      <c r="J1490" s="10">
        <f ca="1" t="shared" si="70"/>
        <v>40</v>
      </c>
      <c r="K1490" s="10">
        <f ca="1" t="shared" si="71"/>
        <v>16</v>
      </c>
    </row>
    <row r="1491" ht="18" spans="1:11">
      <c r="A1491" s="14">
        <f t="shared" si="69"/>
        <v>1490</v>
      </c>
      <c r="B1491" s="11" t="s">
        <v>5422</v>
      </c>
      <c r="C1491" s="14" t="str">
        <f>IFERROR(INDEX(面试清单!D:D,MATCH(1490,面试清单!P:P,0)),"")</f>
        <v/>
      </c>
      <c r="D1491" s="11" t="s">
        <v>42</v>
      </c>
      <c r="E1491" s="11" t="s">
        <v>63</v>
      </c>
      <c r="F1491" s="11" t="s">
        <v>173</v>
      </c>
      <c r="G1491" s="15">
        <v>46149</v>
      </c>
      <c r="H1491" s="14" t="str">
        <f>IFERROR(INDEX(面试清单!H:H,MATCH(1490,面试清单!P:P,0)),"")</f>
        <v/>
      </c>
      <c r="I1491" s="13" t="s">
        <v>29</v>
      </c>
      <c r="J1491" s="14">
        <f ca="1" t="shared" si="70"/>
        <v>40</v>
      </c>
      <c r="K1491" s="14">
        <f ca="1" t="shared" si="71"/>
        <v>16</v>
      </c>
    </row>
    <row r="1492" ht="18" spans="1:11">
      <c r="A1492" s="10">
        <f t="shared" si="69"/>
        <v>1491</v>
      </c>
      <c r="B1492" s="11" t="s">
        <v>5423</v>
      </c>
      <c r="C1492" s="125" t="str">
        <f>IFERROR(INDEX(面试清单!D:D,MATCH(1491,面试清单!P:P,0)),"")</f>
        <v>0220</v>
      </c>
      <c r="D1492" s="11" t="s">
        <v>74</v>
      </c>
      <c r="E1492" s="11" t="s">
        <v>64</v>
      </c>
      <c r="F1492" s="11" t="s">
        <v>179</v>
      </c>
      <c r="G1492" s="15">
        <v>46149</v>
      </c>
      <c r="H1492" s="10" t="str">
        <f>IFERROR(INDEX(面试清单!H:H,MATCH(1491,面试清单!P:P,0)),"")</f>
        <v>线上</v>
      </c>
      <c r="I1492" s="13" t="s">
        <v>29</v>
      </c>
      <c r="J1492" s="10">
        <f ca="1" t="shared" si="70"/>
        <v>40</v>
      </c>
      <c r="K1492" s="10">
        <f ca="1" t="shared" si="71"/>
        <v>16</v>
      </c>
    </row>
    <row r="1493" ht="18" spans="1:11">
      <c r="A1493" s="14">
        <f t="shared" si="69"/>
        <v>1492</v>
      </c>
      <c r="B1493" s="11" t="s">
        <v>5424</v>
      </c>
      <c r="C1493" s="124" t="str">
        <f>IFERROR(INDEX(面试清单!D:D,MATCH(1492,面试清单!P:P,0)),"")</f>
        <v>0221</v>
      </c>
      <c r="D1493" s="11" t="s">
        <v>43</v>
      </c>
      <c r="E1493" s="11" t="s">
        <v>62</v>
      </c>
      <c r="F1493" s="11" t="s">
        <v>132</v>
      </c>
      <c r="G1493" s="15">
        <v>46149</v>
      </c>
      <c r="H1493" s="14" t="str">
        <f>IFERROR(INDEX(面试清单!H:H,MATCH(1492,面试清单!P:P,0)),"")</f>
        <v>线上</v>
      </c>
      <c r="I1493" s="13" t="s">
        <v>29</v>
      </c>
      <c r="J1493" s="14">
        <f ca="1" t="shared" si="70"/>
        <v>40</v>
      </c>
      <c r="K1493" s="14">
        <f ca="1" t="shared" si="71"/>
        <v>16</v>
      </c>
    </row>
    <row r="1494" ht="18" spans="1:11">
      <c r="A1494" s="10">
        <f t="shared" si="69"/>
        <v>1493</v>
      </c>
      <c r="B1494" s="11" t="s">
        <v>5425</v>
      </c>
      <c r="C1494" s="125" t="str">
        <f>IFERROR(INDEX(面试清单!D:D,MATCH(1493,面试清单!P:P,0)),"")</f>
        <v>0222</v>
      </c>
      <c r="D1494" s="11" t="s">
        <v>42</v>
      </c>
      <c r="E1494" s="11" t="s">
        <v>62</v>
      </c>
      <c r="F1494" s="11" t="s">
        <v>117</v>
      </c>
      <c r="G1494" s="15">
        <v>46149</v>
      </c>
      <c r="H1494" s="10" t="str">
        <f>IFERROR(INDEX(面试清单!H:H,MATCH(1493,面试清单!P:P,0)),"")</f>
        <v>线上</v>
      </c>
      <c r="I1494" s="13" t="s">
        <v>29</v>
      </c>
      <c r="J1494" s="10">
        <f ca="1" t="shared" si="70"/>
        <v>40</v>
      </c>
      <c r="K1494" s="10">
        <f ca="1" t="shared" si="71"/>
        <v>16</v>
      </c>
    </row>
    <row r="1495" ht="18" spans="1:11">
      <c r="A1495" s="14">
        <f t="shared" si="69"/>
        <v>1494</v>
      </c>
      <c r="B1495" s="11" t="s">
        <v>5426</v>
      </c>
      <c r="C1495" s="124" t="str">
        <f>IFERROR(INDEX(面试清单!D:D,MATCH(1494,面试清单!P:P,0)),"")</f>
        <v>0208</v>
      </c>
      <c r="D1495" s="11" t="s">
        <v>42</v>
      </c>
      <c r="E1495" s="11" t="s">
        <v>62</v>
      </c>
      <c r="F1495" s="11" t="s">
        <v>173</v>
      </c>
      <c r="G1495" s="15">
        <v>46149</v>
      </c>
      <c r="H1495" s="14" t="str">
        <f>IFERROR(INDEX(面试清单!H:H,MATCH(1494,面试清单!P:P,0)),"")</f>
        <v>线上</v>
      </c>
      <c r="I1495" s="13" t="s">
        <v>29</v>
      </c>
      <c r="J1495" s="14">
        <f ca="1" t="shared" si="70"/>
        <v>40</v>
      </c>
      <c r="K1495" s="14">
        <f ca="1" t="shared" si="71"/>
        <v>16</v>
      </c>
    </row>
    <row r="1496" ht="18" spans="1:11">
      <c r="A1496" s="10">
        <f t="shared" si="69"/>
        <v>1495</v>
      </c>
      <c r="B1496" s="11" t="s">
        <v>5427</v>
      </c>
      <c r="C1496" s="125" t="str">
        <f>IFERROR(INDEX(面试清单!D:D,MATCH(1495,面试清单!P:P,0)),"")</f>
        <v>0208</v>
      </c>
      <c r="D1496" s="11" t="s">
        <v>42</v>
      </c>
      <c r="E1496" s="11" t="s">
        <v>63</v>
      </c>
      <c r="F1496" s="11" t="s">
        <v>103</v>
      </c>
      <c r="G1496" s="15">
        <v>46149</v>
      </c>
      <c r="H1496" s="10" t="str">
        <f>IFERROR(INDEX(面试清单!H:H,MATCH(1495,面试清单!P:P,0)),"")</f>
        <v>线上</v>
      </c>
      <c r="I1496" s="13" t="s">
        <v>29</v>
      </c>
      <c r="J1496" s="10">
        <f ca="1" t="shared" si="70"/>
        <v>40</v>
      </c>
      <c r="K1496" s="10">
        <f ca="1" t="shared" si="71"/>
        <v>16</v>
      </c>
    </row>
    <row r="1497" ht="18" spans="1:11">
      <c r="A1497" s="14">
        <f t="shared" si="69"/>
        <v>1496</v>
      </c>
      <c r="B1497" s="11" t="s">
        <v>5428</v>
      </c>
      <c r="C1497" s="14" t="str">
        <f>IFERROR(INDEX(面试清单!D:D,MATCH(1496,面试清单!P:P,0)),"")</f>
        <v/>
      </c>
      <c r="D1497" s="11" t="s">
        <v>43</v>
      </c>
      <c r="E1497" s="11" t="s">
        <v>63</v>
      </c>
      <c r="F1497" s="11" t="s">
        <v>5429</v>
      </c>
      <c r="G1497" s="15">
        <v>46149</v>
      </c>
      <c r="H1497" s="14" t="str">
        <f>IFERROR(INDEX(面试清单!H:H,MATCH(1496,面试清单!P:P,0)),"")</f>
        <v/>
      </c>
      <c r="I1497" s="13" t="s">
        <v>29</v>
      </c>
      <c r="J1497" s="14">
        <f ca="1" t="shared" si="70"/>
        <v>40</v>
      </c>
      <c r="K1497" s="14">
        <f ca="1" t="shared" si="71"/>
        <v>16</v>
      </c>
    </row>
    <row r="1498" ht="18" spans="1:11">
      <c r="A1498" s="10">
        <f t="shared" si="69"/>
        <v>1497</v>
      </c>
      <c r="B1498" s="11" t="s">
        <v>5430</v>
      </c>
      <c r="C1498" s="125" t="str">
        <f>IFERROR(INDEX(面试清单!D:D,MATCH(1497,面试清单!P:P,0)),"")</f>
        <v>0212</v>
      </c>
      <c r="D1498" s="11" t="s">
        <v>42</v>
      </c>
      <c r="E1498" s="11" t="s">
        <v>63</v>
      </c>
      <c r="F1498" s="11" t="s">
        <v>129</v>
      </c>
      <c r="G1498" s="15">
        <v>46150</v>
      </c>
      <c r="H1498" s="10" t="str">
        <f>IFERROR(INDEX(面试清单!H:H,MATCH(1497,面试清单!P:P,0)),"")</f>
        <v>线上</v>
      </c>
      <c r="I1498" s="13" t="s">
        <v>29</v>
      </c>
      <c r="J1498" s="10">
        <f ca="1" t="shared" si="70"/>
        <v>39</v>
      </c>
      <c r="K1498" s="10">
        <f ca="1" t="shared" si="71"/>
        <v>16</v>
      </c>
    </row>
    <row r="1499" ht="36" spans="1:11">
      <c r="A1499" s="14">
        <f t="shared" si="69"/>
        <v>1498</v>
      </c>
      <c r="B1499" s="11" t="s">
        <v>5431</v>
      </c>
      <c r="C1499" s="124" t="str">
        <f>IFERROR(INDEX(面试清单!D:D,MATCH(1498,面试清单!P:P,0)),"")</f>
        <v>0214</v>
      </c>
      <c r="D1499" s="11" t="s">
        <v>42</v>
      </c>
      <c r="E1499" s="11" t="s">
        <v>62</v>
      </c>
      <c r="F1499" s="11" t="s">
        <v>733</v>
      </c>
      <c r="G1499" s="15">
        <v>46150</v>
      </c>
      <c r="H1499" s="14" t="str">
        <f>IFERROR(INDEX(面试清单!H:H,MATCH(1498,面试清单!P:P,0)),"")</f>
        <v>线上</v>
      </c>
      <c r="I1499" s="13" t="s">
        <v>29</v>
      </c>
      <c r="J1499" s="14">
        <f ca="1" t="shared" si="70"/>
        <v>39</v>
      </c>
      <c r="K1499" s="14">
        <f ca="1" t="shared" si="71"/>
        <v>16</v>
      </c>
    </row>
    <row r="1500" ht="18" spans="1:11">
      <c r="A1500" s="10">
        <f t="shared" si="69"/>
        <v>1499</v>
      </c>
      <c r="B1500" s="11" t="s">
        <v>5432</v>
      </c>
      <c r="C1500" s="125" t="str">
        <f>IFERROR(INDEX(面试清单!D:D,MATCH(1499,面试清单!P:P,0)),"")</f>
        <v>0217</v>
      </c>
      <c r="D1500" s="11" t="s">
        <v>43</v>
      </c>
      <c r="E1500" s="11" t="s">
        <v>63</v>
      </c>
      <c r="F1500" s="11" t="s">
        <v>233</v>
      </c>
      <c r="G1500" s="15">
        <v>46150</v>
      </c>
      <c r="H1500" s="10" t="str">
        <f>IFERROR(INDEX(面试清单!H:H,MATCH(1499,面试清单!P:P,0)),"")</f>
        <v>线上</v>
      </c>
      <c r="I1500" s="13" t="s">
        <v>29</v>
      </c>
      <c r="J1500" s="10">
        <f ca="1" t="shared" si="70"/>
        <v>39</v>
      </c>
      <c r="K1500" s="10">
        <f ca="1" t="shared" si="71"/>
        <v>16</v>
      </c>
    </row>
    <row r="1501" ht="18" spans="1:11">
      <c r="A1501" s="14">
        <f t="shared" si="69"/>
        <v>1500</v>
      </c>
      <c r="B1501" s="11" t="s">
        <v>5433</v>
      </c>
      <c r="C1501" s="124" t="str">
        <f>IFERROR(INDEX(面试清单!D:D,MATCH(1500,面试清单!P:P,0)),"")</f>
        <v>0218</v>
      </c>
      <c r="D1501" s="11" t="s">
        <v>43</v>
      </c>
      <c r="E1501" s="11" t="s">
        <v>63</v>
      </c>
      <c r="F1501" s="11" t="s">
        <v>124</v>
      </c>
      <c r="G1501" s="15">
        <v>46150</v>
      </c>
      <c r="H1501" s="14" t="str">
        <f>IFERROR(INDEX(面试清单!H:H,MATCH(1500,面试清单!P:P,0)),"")</f>
        <v>线上</v>
      </c>
      <c r="I1501" s="13" t="s">
        <v>29</v>
      </c>
      <c r="J1501" s="14">
        <f ca="1" t="shared" si="70"/>
        <v>39</v>
      </c>
      <c r="K1501" s="14">
        <f ca="1" t="shared" si="71"/>
        <v>16</v>
      </c>
    </row>
    <row r="1502" ht="18" spans="1:11">
      <c r="A1502" s="10">
        <f t="shared" si="69"/>
        <v>1501</v>
      </c>
      <c r="B1502" s="11" t="s">
        <v>5434</v>
      </c>
      <c r="C1502" s="125" t="str">
        <f>IFERROR(INDEX(面试清单!D:D,MATCH(1501,面试清单!P:P,0)),"")</f>
        <v>0220</v>
      </c>
      <c r="D1502" s="11" t="s">
        <v>43</v>
      </c>
      <c r="E1502" s="11" t="s">
        <v>63</v>
      </c>
      <c r="F1502" s="11" t="s">
        <v>246</v>
      </c>
      <c r="G1502" s="15">
        <v>46150</v>
      </c>
      <c r="H1502" s="10" t="str">
        <f>IFERROR(INDEX(面试清单!H:H,MATCH(1501,面试清单!P:P,0)),"")</f>
        <v>线上</v>
      </c>
      <c r="I1502" s="13" t="s">
        <v>29</v>
      </c>
      <c r="J1502" s="10">
        <f ca="1" t="shared" si="70"/>
        <v>39</v>
      </c>
      <c r="K1502" s="10">
        <f ca="1" t="shared" si="71"/>
        <v>16</v>
      </c>
    </row>
    <row r="1503" ht="18" spans="1:11">
      <c r="A1503" s="14">
        <f t="shared" si="69"/>
        <v>1502</v>
      </c>
      <c r="B1503" s="11" t="s">
        <v>5435</v>
      </c>
      <c r="C1503" s="124" t="str">
        <f>IFERROR(INDEX(面试清单!D:D,MATCH(1502,面试清单!P:P,0)),"")</f>
        <v>0221</v>
      </c>
      <c r="D1503" s="11" t="s">
        <v>43</v>
      </c>
      <c r="E1503" s="11" t="s">
        <v>62</v>
      </c>
      <c r="F1503" s="11" t="s">
        <v>505</v>
      </c>
      <c r="G1503" s="15">
        <v>46150</v>
      </c>
      <c r="H1503" s="14" t="str">
        <f>IFERROR(INDEX(面试清单!H:H,MATCH(1502,面试清单!P:P,0)),"")</f>
        <v>线上</v>
      </c>
      <c r="I1503" s="13" t="s">
        <v>29</v>
      </c>
      <c r="J1503" s="14">
        <f ca="1" t="shared" si="70"/>
        <v>39</v>
      </c>
      <c r="K1503" s="14">
        <f ca="1" t="shared" si="71"/>
        <v>16</v>
      </c>
    </row>
    <row r="1504" ht="18" spans="1:11">
      <c r="A1504" s="10">
        <f t="shared" si="69"/>
        <v>1503</v>
      </c>
      <c r="B1504" s="11" t="s">
        <v>5436</v>
      </c>
      <c r="C1504" s="125" t="str">
        <f>IFERROR(INDEX(面试清单!D:D,MATCH(1503,面试清单!P:P,0)),"")</f>
        <v>0222</v>
      </c>
      <c r="D1504" s="11" t="s">
        <v>42</v>
      </c>
      <c r="E1504" s="11" t="s">
        <v>62</v>
      </c>
      <c r="F1504" s="11" t="s">
        <v>3348</v>
      </c>
      <c r="G1504" s="15">
        <v>46150</v>
      </c>
      <c r="H1504" s="10" t="str">
        <f>IFERROR(INDEX(面试清单!H:H,MATCH(1503,面试清单!P:P,0)),"")</f>
        <v>线上</v>
      </c>
      <c r="I1504" s="13" t="s">
        <v>29</v>
      </c>
      <c r="J1504" s="10">
        <f ca="1" t="shared" si="70"/>
        <v>39</v>
      </c>
      <c r="K1504" s="10">
        <f ca="1" t="shared" si="71"/>
        <v>16</v>
      </c>
    </row>
    <row r="1505" ht="18" spans="1:11">
      <c r="A1505" s="14">
        <f t="shared" si="69"/>
        <v>1504</v>
      </c>
      <c r="B1505" s="11" t="s">
        <v>5437</v>
      </c>
      <c r="C1505" s="14" t="str">
        <f>IFERROR(INDEX(面试清单!D:D,MATCH(1504,面试清单!P:P,0)),"")</f>
        <v/>
      </c>
      <c r="D1505" s="11" t="s">
        <v>42</v>
      </c>
      <c r="E1505" s="11" t="s">
        <v>63</v>
      </c>
      <c r="F1505" s="11" t="s">
        <v>3348</v>
      </c>
      <c r="G1505" s="15">
        <v>46150</v>
      </c>
      <c r="H1505" s="14" t="str">
        <f>IFERROR(INDEX(面试清单!H:H,MATCH(1504,面试清单!P:P,0)),"")</f>
        <v/>
      </c>
      <c r="I1505" s="13" t="s">
        <v>29</v>
      </c>
      <c r="J1505" s="14">
        <f ca="1" t="shared" si="70"/>
        <v>39</v>
      </c>
      <c r="K1505" s="14">
        <f ca="1" t="shared" si="71"/>
        <v>16</v>
      </c>
    </row>
    <row r="1506" ht="18" spans="1:11">
      <c r="A1506" s="10">
        <f t="shared" si="69"/>
        <v>1505</v>
      </c>
      <c r="B1506" s="11" t="s">
        <v>5438</v>
      </c>
      <c r="C1506" s="125" t="str">
        <f>IFERROR(INDEX(面试清单!D:D,MATCH(1505,面试清单!P:P,0)),"")</f>
        <v>0209</v>
      </c>
      <c r="D1506" s="11" t="s">
        <v>43</v>
      </c>
      <c r="E1506" s="11" t="s">
        <v>62</v>
      </c>
      <c r="F1506" s="11" t="s">
        <v>132</v>
      </c>
      <c r="G1506" s="15">
        <v>46150</v>
      </c>
      <c r="H1506" s="10" t="str">
        <f>IFERROR(INDEX(面试清单!H:H,MATCH(1505,面试清单!P:P,0)),"")</f>
        <v>线上</v>
      </c>
      <c r="I1506" s="13" t="s">
        <v>29</v>
      </c>
      <c r="J1506" s="10">
        <f ca="1" t="shared" si="70"/>
        <v>39</v>
      </c>
      <c r="K1506" s="10">
        <f ca="1" t="shared" si="71"/>
        <v>16</v>
      </c>
    </row>
    <row r="1507" ht="18" spans="1:11">
      <c r="A1507" s="14">
        <f t="shared" si="69"/>
        <v>1506</v>
      </c>
      <c r="B1507" s="11" t="s">
        <v>5439</v>
      </c>
      <c r="C1507" s="14" t="str">
        <f>IFERROR(INDEX(面试清单!D:D,MATCH(1506,面试清单!P:P,0)),"")</f>
        <v/>
      </c>
      <c r="D1507" s="11" t="s">
        <v>42</v>
      </c>
      <c r="E1507" s="11" t="s">
        <v>63</v>
      </c>
      <c r="F1507" s="11" t="s">
        <v>132</v>
      </c>
      <c r="G1507" s="15">
        <v>46150</v>
      </c>
      <c r="H1507" s="14" t="str">
        <f>IFERROR(INDEX(面试清单!H:H,MATCH(1506,面试清单!P:P,0)),"")</f>
        <v/>
      </c>
      <c r="I1507" s="13" t="s">
        <v>29</v>
      </c>
      <c r="J1507" s="14">
        <f ca="1" t="shared" si="70"/>
        <v>39</v>
      </c>
      <c r="K1507" s="14">
        <f ca="1" t="shared" si="71"/>
        <v>16</v>
      </c>
    </row>
    <row r="1508" ht="18" spans="1:11">
      <c r="A1508" s="10">
        <f t="shared" si="69"/>
        <v>1507</v>
      </c>
      <c r="B1508" s="11" t="s">
        <v>5440</v>
      </c>
      <c r="C1508" s="10" t="str">
        <f>IFERROR(INDEX(面试清单!D:D,MATCH(1507,面试清单!P:P,0)),"")</f>
        <v/>
      </c>
      <c r="D1508" s="11" t="s">
        <v>42</v>
      </c>
      <c r="E1508" s="11" t="s">
        <v>62</v>
      </c>
      <c r="F1508" s="11" t="s">
        <v>129</v>
      </c>
      <c r="G1508" s="15">
        <v>46150</v>
      </c>
      <c r="H1508" s="10" t="str">
        <f>IFERROR(INDEX(面试清单!H:H,MATCH(1507,面试清单!P:P,0)),"")</f>
        <v/>
      </c>
      <c r="I1508" s="13" t="s">
        <v>29</v>
      </c>
      <c r="J1508" s="10">
        <f ca="1" t="shared" si="70"/>
        <v>39</v>
      </c>
      <c r="K1508" s="10">
        <f ca="1" t="shared" si="71"/>
        <v>16</v>
      </c>
    </row>
    <row r="1509" ht="18" spans="1:11">
      <c r="A1509" s="14">
        <f t="shared" si="69"/>
        <v>1508</v>
      </c>
      <c r="B1509" s="11" t="s">
        <v>5441</v>
      </c>
      <c r="C1509" s="124" t="str">
        <f>IFERROR(INDEX(面试清单!D:D,MATCH(1508,面试清单!P:P,0)),"")</f>
        <v>0217</v>
      </c>
      <c r="D1509" s="11" t="s">
        <v>42</v>
      </c>
      <c r="E1509" s="11" t="s">
        <v>62</v>
      </c>
      <c r="F1509" s="11" t="s">
        <v>233</v>
      </c>
      <c r="G1509" s="15">
        <v>46150</v>
      </c>
      <c r="H1509" s="14" t="str">
        <f>IFERROR(INDEX(面试清单!H:H,MATCH(1508,面试清单!P:P,0)),"")</f>
        <v>线上</v>
      </c>
      <c r="I1509" s="13" t="s">
        <v>29</v>
      </c>
      <c r="J1509" s="14">
        <f ca="1" t="shared" si="70"/>
        <v>39</v>
      </c>
      <c r="K1509" s="14">
        <f ca="1" t="shared" si="71"/>
        <v>16</v>
      </c>
    </row>
    <row r="1510" ht="18" spans="1:11">
      <c r="A1510" s="10">
        <f t="shared" si="69"/>
        <v>1509</v>
      </c>
      <c r="B1510" s="11" t="s">
        <v>5442</v>
      </c>
      <c r="C1510" s="125" t="str">
        <f>IFERROR(INDEX(面试清单!D:D,MATCH(1509,面试清单!P:P,0)),"")</f>
        <v>0218</v>
      </c>
      <c r="D1510" s="11" t="s">
        <v>43</v>
      </c>
      <c r="E1510" s="11" t="s">
        <v>63</v>
      </c>
      <c r="F1510" s="11" t="s">
        <v>173</v>
      </c>
      <c r="G1510" s="15">
        <v>46150</v>
      </c>
      <c r="H1510" s="10" t="str">
        <f>IFERROR(INDEX(面试清单!H:H,MATCH(1509,面试清单!P:P,0)),"")</f>
        <v>线上</v>
      </c>
      <c r="I1510" s="13" t="s">
        <v>29</v>
      </c>
      <c r="J1510" s="10">
        <f ca="1" t="shared" si="70"/>
        <v>39</v>
      </c>
      <c r="K1510" s="10">
        <f ca="1" t="shared" si="71"/>
        <v>16</v>
      </c>
    </row>
    <row r="1511" ht="18" spans="1:11">
      <c r="A1511" s="14">
        <f t="shared" si="69"/>
        <v>1510</v>
      </c>
      <c r="B1511" s="11" t="s">
        <v>2893</v>
      </c>
      <c r="C1511" s="14" t="str">
        <f>IFERROR(INDEX(面试清单!D:D,MATCH(1510,面试清单!P:P,0)),"")</f>
        <v/>
      </c>
      <c r="D1511" s="11" t="s">
        <v>74</v>
      </c>
      <c r="E1511" s="11" t="s">
        <v>190</v>
      </c>
      <c r="F1511" s="11" t="s">
        <v>179</v>
      </c>
      <c r="G1511" s="15">
        <v>46150</v>
      </c>
      <c r="H1511" s="14" t="str">
        <f>IFERROR(INDEX(面试清单!H:H,MATCH(1510,面试清单!P:P,0)),"")</f>
        <v/>
      </c>
      <c r="I1511" s="13" t="s">
        <v>29</v>
      </c>
      <c r="J1511" s="14">
        <f ca="1" t="shared" si="70"/>
        <v>39</v>
      </c>
      <c r="K1511" s="14">
        <f ca="1" t="shared" si="71"/>
        <v>16</v>
      </c>
    </row>
    <row r="1512" ht="18" spans="1:11">
      <c r="A1512" s="10">
        <f t="shared" si="69"/>
        <v>1511</v>
      </c>
      <c r="B1512" s="11" t="s">
        <v>5443</v>
      </c>
      <c r="C1512" s="10" t="str">
        <f>IFERROR(INDEX(面试清单!D:D,MATCH(1511,面试清单!P:P,0)),"")</f>
        <v/>
      </c>
      <c r="D1512" s="11" t="s">
        <v>42</v>
      </c>
      <c r="E1512" s="11" t="s">
        <v>62</v>
      </c>
      <c r="F1512" s="11" t="s">
        <v>233</v>
      </c>
      <c r="G1512" s="15">
        <v>46150</v>
      </c>
      <c r="H1512" s="10" t="str">
        <f>IFERROR(INDEX(面试清单!H:H,MATCH(1511,面试清单!P:P,0)),"")</f>
        <v/>
      </c>
      <c r="I1512" s="13" t="s">
        <v>29</v>
      </c>
      <c r="J1512" s="10">
        <f ca="1" t="shared" si="70"/>
        <v>39</v>
      </c>
      <c r="K1512" s="10">
        <f ca="1" t="shared" si="71"/>
        <v>16</v>
      </c>
    </row>
    <row r="1513" ht="18" spans="1:11">
      <c r="A1513" s="14">
        <f t="shared" si="69"/>
        <v>1512</v>
      </c>
      <c r="B1513" s="11" t="s">
        <v>5444</v>
      </c>
      <c r="C1513" s="14" t="str">
        <f>IFERROR(INDEX(面试清单!D:D,MATCH(1512,面试清单!P:P,0)),"")</f>
        <v/>
      </c>
      <c r="D1513" s="11" t="s">
        <v>42</v>
      </c>
      <c r="E1513" s="11" t="s">
        <v>62</v>
      </c>
      <c r="F1513" s="11" t="s">
        <v>173</v>
      </c>
      <c r="G1513" s="15">
        <v>46150</v>
      </c>
      <c r="H1513" s="14" t="str">
        <f>IFERROR(INDEX(面试清单!H:H,MATCH(1512,面试清单!P:P,0)),"")</f>
        <v/>
      </c>
      <c r="I1513" s="13" t="s">
        <v>29</v>
      </c>
      <c r="J1513" s="14">
        <f ca="1" t="shared" si="70"/>
        <v>39</v>
      </c>
      <c r="K1513" s="14">
        <f ca="1" t="shared" si="71"/>
        <v>16</v>
      </c>
    </row>
    <row r="1514" ht="18" spans="1:11">
      <c r="A1514" s="10">
        <f t="shared" si="69"/>
        <v>1513</v>
      </c>
      <c r="B1514" s="11" t="s">
        <v>5445</v>
      </c>
      <c r="C1514" s="10" t="str">
        <f>IFERROR(INDEX(面试清单!D:D,MATCH(1513,面试清单!P:P,0)),"")</f>
        <v/>
      </c>
      <c r="D1514" s="11" t="s">
        <v>43</v>
      </c>
      <c r="E1514" s="11" t="s">
        <v>62</v>
      </c>
      <c r="F1514" s="11" t="s">
        <v>124</v>
      </c>
      <c r="G1514" s="15">
        <v>46151</v>
      </c>
      <c r="H1514" s="10" t="str">
        <f>IFERROR(INDEX(面试清单!H:H,MATCH(1513,面试清单!P:P,0)),"")</f>
        <v/>
      </c>
      <c r="I1514" s="13" t="s">
        <v>29</v>
      </c>
      <c r="J1514" s="10">
        <f ca="1" t="shared" si="70"/>
        <v>38</v>
      </c>
      <c r="K1514" s="10">
        <f ca="1" t="shared" si="71"/>
        <v>16</v>
      </c>
    </row>
    <row r="1515" ht="18" spans="1:11">
      <c r="A1515" s="14">
        <f t="shared" si="69"/>
        <v>1514</v>
      </c>
      <c r="B1515" s="11" t="s">
        <v>5446</v>
      </c>
      <c r="C1515" s="124" t="str">
        <f>IFERROR(INDEX(面试清单!D:D,MATCH(1514,面试清单!P:P,0)),"")</f>
        <v>0209</v>
      </c>
      <c r="D1515" s="11" t="s">
        <v>43</v>
      </c>
      <c r="E1515" s="11" t="s">
        <v>63</v>
      </c>
      <c r="F1515" s="11" t="s">
        <v>246</v>
      </c>
      <c r="G1515" s="15">
        <v>46151</v>
      </c>
      <c r="H1515" s="14" t="str">
        <f>IFERROR(INDEX(面试清单!H:H,MATCH(1514,面试清单!P:P,0)),"")</f>
        <v>线上</v>
      </c>
      <c r="I1515" s="13" t="s">
        <v>29</v>
      </c>
      <c r="J1515" s="14">
        <f ca="1" t="shared" si="70"/>
        <v>38</v>
      </c>
      <c r="K1515" s="14">
        <f ca="1" t="shared" si="71"/>
        <v>16</v>
      </c>
    </row>
    <row r="1516" ht="18" spans="1:11">
      <c r="A1516" s="10">
        <f t="shared" si="69"/>
        <v>1515</v>
      </c>
      <c r="B1516" s="11" t="s">
        <v>5447</v>
      </c>
      <c r="C1516" s="125" t="str">
        <f>IFERROR(INDEX(面试清单!D:D,MATCH(1515,面试清单!P:P,0)),"")</f>
        <v>0212</v>
      </c>
      <c r="D1516" s="11" t="s">
        <v>42</v>
      </c>
      <c r="E1516" s="11" t="s">
        <v>62</v>
      </c>
      <c r="F1516" s="11" t="s">
        <v>132</v>
      </c>
      <c r="G1516" s="15">
        <v>46151</v>
      </c>
      <c r="H1516" s="10" t="str">
        <f>IFERROR(INDEX(面试清单!H:H,MATCH(1515,面试清单!P:P,0)),"")</f>
        <v>线上</v>
      </c>
      <c r="I1516" s="13" t="s">
        <v>29</v>
      </c>
      <c r="J1516" s="10">
        <f ca="1" t="shared" si="70"/>
        <v>38</v>
      </c>
      <c r="K1516" s="10">
        <f ca="1" t="shared" si="71"/>
        <v>16</v>
      </c>
    </row>
    <row r="1517" ht="18" spans="1:11">
      <c r="A1517" s="14">
        <f t="shared" si="69"/>
        <v>1516</v>
      </c>
      <c r="B1517" s="11" t="s">
        <v>5448</v>
      </c>
      <c r="C1517" s="14" t="str">
        <f>IFERROR(INDEX(面试清单!D:D,MATCH(1516,面试清单!P:P,0)),"")</f>
        <v/>
      </c>
      <c r="D1517" s="11" t="s">
        <v>43</v>
      </c>
      <c r="E1517" s="11" t="s">
        <v>63</v>
      </c>
      <c r="F1517" s="11" t="s">
        <v>3348</v>
      </c>
      <c r="G1517" s="15">
        <v>46151</v>
      </c>
      <c r="H1517" s="14" t="str">
        <f>IFERROR(INDEX(面试清单!H:H,MATCH(1516,面试清单!P:P,0)),"")</f>
        <v/>
      </c>
      <c r="I1517" s="13" t="s">
        <v>29</v>
      </c>
      <c r="J1517" s="14">
        <f ca="1" t="shared" si="70"/>
        <v>38</v>
      </c>
      <c r="K1517" s="14">
        <f ca="1" t="shared" si="71"/>
        <v>16</v>
      </c>
    </row>
    <row r="1518" ht="18" spans="1:11">
      <c r="A1518" s="10">
        <f t="shared" si="69"/>
        <v>1517</v>
      </c>
      <c r="B1518" s="11" t="s">
        <v>5449</v>
      </c>
      <c r="C1518" s="125" t="str">
        <f>IFERROR(INDEX(面试清单!D:D,MATCH(1517,面试清单!P:P,0)),"")</f>
        <v>0217</v>
      </c>
      <c r="D1518" s="11" t="s">
        <v>42</v>
      </c>
      <c r="E1518" s="11" t="s">
        <v>62</v>
      </c>
      <c r="F1518" s="11" t="s">
        <v>129</v>
      </c>
      <c r="G1518" s="15">
        <v>46151</v>
      </c>
      <c r="H1518" s="10" t="str">
        <f>IFERROR(INDEX(面试清单!H:H,MATCH(1517,面试清单!P:P,0)),"")</f>
        <v>线上</v>
      </c>
      <c r="I1518" s="13" t="s">
        <v>29</v>
      </c>
      <c r="J1518" s="10">
        <f ca="1" t="shared" si="70"/>
        <v>38</v>
      </c>
      <c r="K1518" s="10">
        <f ca="1" t="shared" si="71"/>
        <v>16</v>
      </c>
    </row>
    <row r="1519" ht="18" spans="1:11">
      <c r="A1519" s="14">
        <f t="shared" si="69"/>
        <v>1518</v>
      </c>
      <c r="B1519" s="11" t="s">
        <v>5450</v>
      </c>
      <c r="C1519" s="14" t="str">
        <f>IFERROR(INDEX(面试清单!D:D,MATCH(1518,面试清单!P:P,0)),"")</f>
        <v/>
      </c>
      <c r="D1519" s="11" t="s">
        <v>43</v>
      </c>
      <c r="E1519" s="11" t="s">
        <v>62</v>
      </c>
      <c r="F1519" s="11" t="s">
        <v>733</v>
      </c>
      <c r="G1519" s="15">
        <v>46151</v>
      </c>
      <c r="H1519" s="14" t="str">
        <f>IFERROR(INDEX(面试清单!H:H,MATCH(1518,面试清单!P:P,0)),"")</f>
        <v/>
      </c>
      <c r="I1519" s="13" t="s">
        <v>29</v>
      </c>
      <c r="J1519" s="14">
        <f ca="1" t="shared" si="70"/>
        <v>38</v>
      </c>
      <c r="K1519" s="14">
        <f ca="1" t="shared" si="71"/>
        <v>16</v>
      </c>
    </row>
    <row r="1520" ht="18" spans="1:11">
      <c r="A1520" s="10">
        <f t="shared" si="69"/>
        <v>1519</v>
      </c>
      <c r="B1520" s="11" t="s">
        <v>5451</v>
      </c>
      <c r="C1520" s="10" t="str">
        <f>IFERROR(INDEX(面试清单!D:D,MATCH(1519,面试清单!P:P,0)),"")</f>
        <v/>
      </c>
      <c r="D1520" s="11" t="s">
        <v>42</v>
      </c>
      <c r="E1520" s="11" t="s">
        <v>63</v>
      </c>
      <c r="F1520" s="11" t="s">
        <v>129</v>
      </c>
      <c r="G1520" s="15">
        <v>46151</v>
      </c>
      <c r="H1520" s="10" t="str">
        <f>IFERROR(INDEX(面试清单!H:H,MATCH(1519,面试清单!P:P,0)),"")</f>
        <v/>
      </c>
      <c r="I1520" s="13" t="s">
        <v>29</v>
      </c>
      <c r="J1520" s="10">
        <f ca="1" t="shared" si="70"/>
        <v>38</v>
      </c>
      <c r="K1520" s="10">
        <f ca="1" t="shared" si="71"/>
        <v>16</v>
      </c>
    </row>
    <row r="1521" ht="18" spans="1:11">
      <c r="A1521" s="14">
        <f t="shared" si="69"/>
        <v>1520</v>
      </c>
      <c r="B1521" s="11" t="s">
        <v>5452</v>
      </c>
      <c r="C1521" s="14" t="str">
        <f>IFERROR(INDEX(面试清单!D:D,MATCH(1520,面试清单!P:P,0)),"")</f>
        <v/>
      </c>
      <c r="D1521" s="11" t="s">
        <v>43</v>
      </c>
      <c r="E1521" s="11" t="s">
        <v>62</v>
      </c>
      <c r="F1521" s="11" t="s">
        <v>103</v>
      </c>
      <c r="G1521" s="15">
        <v>46151</v>
      </c>
      <c r="H1521" s="14" t="str">
        <f>IFERROR(INDEX(面试清单!H:H,MATCH(1520,面试清单!P:P,0)),"")</f>
        <v/>
      </c>
      <c r="I1521" s="13" t="s">
        <v>29</v>
      </c>
      <c r="J1521" s="14">
        <f ca="1" t="shared" si="70"/>
        <v>38</v>
      </c>
      <c r="K1521" s="14">
        <f ca="1" t="shared" si="71"/>
        <v>16</v>
      </c>
    </row>
    <row r="1522" ht="18" spans="1:11">
      <c r="A1522" s="10">
        <f t="shared" si="69"/>
        <v>1521</v>
      </c>
      <c r="B1522" s="11" t="s">
        <v>5453</v>
      </c>
      <c r="C1522" s="125" t="str">
        <f>IFERROR(INDEX(面试清单!D:D,MATCH(1521,面试清单!P:P,0)),"")</f>
        <v>0222</v>
      </c>
      <c r="D1522" s="11" t="s">
        <v>43</v>
      </c>
      <c r="E1522" s="11" t="s">
        <v>62</v>
      </c>
      <c r="F1522" s="11" t="s">
        <v>103</v>
      </c>
      <c r="G1522" s="15">
        <v>46151</v>
      </c>
      <c r="H1522" s="10" t="str">
        <f>IFERROR(INDEX(面试清单!H:H,MATCH(1521,面试清单!P:P,0)),"")</f>
        <v>线上</v>
      </c>
      <c r="I1522" s="13" t="s">
        <v>29</v>
      </c>
      <c r="J1522" s="10">
        <f ca="1" t="shared" si="70"/>
        <v>38</v>
      </c>
      <c r="K1522" s="10">
        <f ca="1" t="shared" si="71"/>
        <v>16</v>
      </c>
    </row>
    <row r="1523" ht="18" spans="1:11">
      <c r="A1523" s="14">
        <f t="shared" si="69"/>
        <v>1522</v>
      </c>
      <c r="B1523" s="11" t="s">
        <v>5454</v>
      </c>
      <c r="C1523" s="124" t="str">
        <f>IFERROR(INDEX(面试清单!D:D,MATCH(1522,面试清单!P:P,0)),"")</f>
        <v>0208</v>
      </c>
      <c r="D1523" s="11" t="s">
        <v>74</v>
      </c>
      <c r="E1523" s="11" t="s">
        <v>190</v>
      </c>
      <c r="F1523" s="11" t="s">
        <v>179</v>
      </c>
      <c r="G1523" s="15">
        <v>46151</v>
      </c>
      <c r="H1523" s="14" t="str">
        <f>IFERROR(INDEX(面试清单!H:H,MATCH(1522,面试清单!P:P,0)),"")</f>
        <v>线上</v>
      </c>
      <c r="I1523" s="13" t="s">
        <v>29</v>
      </c>
      <c r="J1523" s="14">
        <f ca="1" t="shared" si="70"/>
        <v>38</v>
      </c>
      <c r="K1523" s="14">
        <f ca="1" t="shared" si="71"/>
        <v>16</v>
      </c>
    </row>
    <row r="1524" ht="18" spans="1:11">
      <c r="A1524" s="10">
        <f t="shared" si="69"/>
        <v>1523</v>
      </c>
      <c r="B1524" s="11" t="s">
        <v>5455</v>
      </c>
      <c r="C1524" s="125" t="str">
        <f>IFERROR(INDEX(面试清单!D:D,MATCH(1523,面试清单!P:P,0)),"")</f>
        <v>0209</v>
      </c>
      <c r="D1524" s="11" t="s">
        <v>43</v>
      </c>
      <c r="E1524" s="11" t="s">
        <v>63</v>
      </c>
      <c r="F1524" s="11" t="s">
        <v>733</v>
      </c>
      <c r="G1524" s="15">
        <v>46152</v>
      </c>
      <c r="H1524" s="10" t="str">
        <f>IFERROR(INDEX(面试清单!H:H,MATCH(1523,面试清单!P:P,0)),"")</f>
        <v>线上</v>
      </c>
      <c r="I1524" s="13" t="s">
        <v>29</v>
      </c>
      <c r="J1524" s="10">
        <f ca="1" t="shared" si="70"/>
        <v>37</v>
      </c>
      <c r="K1524" s="10">
        <f ca="1" t="shared" si="71"/>
        <v>16</v>
      </c>
    </row>
    <row r="1525" ht="18" spans="1:11">
      <c r="A1525" s="14">
        <f t="shared" si="69"/>
        <v>1524</v>
      </c>
      <c r="B1525" s="11" t="s">
        <v>5456</v>
      </c>
      <c r="C1525" s="124" t="str">
        <f>IFERROR(INDEX(面试清单!D:D,MATCH(1524,面试清单!P:P,0)),"")</f>
        <v>0212</v>
      </c>
      <c r="D1525" s="11" t="s">
        <v>42</v>
      </c>
      <c r="E1525" s="11" t="s">
        <v>62</v>
      </c>
      <c r="F1525" s="11" t="s">
        <v>124</v>
      </c>
      <c r="G1525" s="15">
        <v>46152</v>
      </c>
      <c r="H1525" s="14" t="str">
        <f>IFERROR(INDEX(面试清单!H:H,MATCH(1524,面试清单!P:P,0)),"")</f>
        <v>线上</v>
      </c>
      <c r="I1525" s="13" t="s">
        <v>29</v>
      </c>
      <c r="J1525" s="14">
        <f ca="1" t="shared" si="70"/>
        <v>37</v>
      </c>
      <c r="K1525" s="14">
        <f ca="1" t="shared" si="71"/>
        <v>16</v>
      </c>
    </row>
    <row r="1526" ht="18" spans="1:11">
      <c r="A1526" s="10">
        <f t="shared" si="69"/>
        <v>1525</v>
      </c>
      <c r="B1526" s="11" t="s">
        <v>5457</v>
      </c>
      <c r="C1526" s="10" t="str">
        <f>IFERROR(INDEX(面试清单!D:D,MATCH(1525,面试清单!P:P,0)),"")</f>
        <v/>
      </c>
      <c r="D1526" s="11" t="s">
        <v>42</v>
      </c>
      <c r="E1526" s="11" t="s">
        <v>63</v>
      </c>
      <c r="F1526" s="11" t="s">
        <v>117</v>
      </c>
      <c r="G1526" s="15">
        <v>46152</v>
      </c>
      <c r="H1526" s="10" t="str">
        <f>IFERROR(INDEX(面试清单!H:H,MATCH(1525,面试清单!P:P,0)),"")</f>
        <v/>
      </c>
      <c r="I1526" s="13" t="s">
        <v>29</v>
      </c>
      <c r="J1526" s="10">
        <f ca="1" t="shared" si="70"/>
        <v>37</v>
      </c>
      <c r="K1526" s="10">
        <f ca="1" t="shared" si="71"/>
        <v>16</v>
      </c>
    </row>
    <row r="1527" ht="18" spans="1:11">
      <c r="A1527" s="14">
        <f t="shared" si="69"/>
        <v>1526</v>
      </c>
      <c r="B1527" s="11" t="s">
        <v>5458</v>
      </c>
      <c r="C1527" s="124" t="str">
        <f>IFERROR(INDEX(面试清单!D:D,MATCH(1526,面试清单!P:P,0)),"")</f>
        <v>0217</v>
      </c>
      <c r="D1527" s="11" t="s">
        <v>42</v>
      </c>
      <c r="E1527" s="11" t="s">
        <v>64</v>
      </c>
      <c r="F1527" s="11" t="s">
        <v>117</v>
      </c>
      <c r="G1527" s="15">
        <v>46152</v>
      </c>
      <c r="H1527" s="14" t="str">
        <f>IFERROR(INDEX(面试清单!H:H,MATCH(1526,面试清单!P:P,0)),"")</f>
        <v>线上</v>
      </c>
      <c r="I1527" s="13" t="s">
        <v>29</v>
      </c>
      <c r="J1527" s="14">
        <f ca="1" t="shared" si="70"/>
        <v>37</v>
      </c>
      <c r="K1527" s="14">
        <f ca="1" t="shared" si="71"/>
        <v>16</v>
      </c>
    </row>
    <row r="1528" ht="18" spans="1:11">
      <c r="A1528" s="10">
        <f t="shared" si="69"/>
        <v>1527</v>
      </c>
      <c r="B1528" s="11" t="s">
        <v>5459</v>
      </c>
      <c r="C1528" s="10" t="str">
        <f>IFERROR(INDEX(面试清单!D:D,MATCH(1527,面试清单!P:P,0)),"")</f>
        <v/>
      </c>
      <c r="D1528" s="11" t="s">
        <v>42</v>
      </c>
      <c r="E1528" s="11" t="s">
        <v>63</v>
      </c>
      <c r="F1528" s="11" t="s">
        <v>117</v>
      </c>
      <c r="G1528" s="15">
        <v>46152</v>
      </c>
      <c r="H1528" s="10" t="str">
        <f>IFERROR(INDEX(面试清单!H:H,MATCH(1527,面试清单!P:P,0)),"")</f>
        <v/>
      </c>
      <c r="I1528" s="13" t="s">
        <v>29</v>
      </c>
      <c r="J1528" s="10">
        <f ca="1" t="shared" si="70"/>
        <v>37</v>
      </c>
      <c r="K1528" s="10">
        <f ca="1" t="shared" si="71"/>
        <v>16</v>
      </c>
    </row>
    <row r="1529" ht="18" spans="1:11">
      <c r="A1529" s="14">
        <f t="shared" si="69"/>
        <v>1528</v>
      </c>
      <c r="B1529" s="11" t="s">
        <v>5460</v>
      </c>
      <c r="C1529" s="14" t="str">
        <f>IFERROR(INDEX(面试清单!D:D,MATCH(1528,面试清单!P:P,0)),"")</f>
        <v/>
      </c>
      <c r="D1529" s="11" t="s">
        <v>42</v>
      </c>
      <c r="E1529" s="11" t="s">
        <v>64</v>
      </c>
      <c r="F1529" s="11" t="s">
        <v>117</v>
      </c>
      <c r="G1529" s="15">
        <v>46152</v>
      </c>
      <c r="H1529" s="14" t="str">
        <f>IFERROR(INDEX(面试清单!H:H,MATCH(1528,面试清单!P:P,0)),"")</f>
        <v/>
      </c>
      <c r="I1529" s="13" t="s">
        <v>29</v>
      </c>
      <c r="J1529" s="14">
        <f ca="1" t="shared" si="70"/>
        <v>37</v>
      </c>
      <c r="K1529" s="14">
        <f ca="1" t="shared" si="71"/>
        <v>16</v>
      </c>
    </row>
    <row r="1530" ht="18" spans="1:11">
      <c r="A1530" s="10">
        <f t="shared" si="69"/>
        <v>1529</v>
      </c>
      <c r="B1530" s="11" t="s">
        <v>5461</v>
      </c>
      <c r="C1530" s="125" t="str">
        <f>IFERROR(INDEX(面试清单!D:D,MATCH(1529,面试清单!P:P,0)),"")</f>
        <v>0221</v>
      </c>
      <c r="D1530" s="11" t="s">
        <v>43</v>
      </c>
      <c r="E1530" s="11" t="s">
        <v>63</v>
      </c>
      <c r="F1530" s="11" t="s">
        <v>426</v>
      </c>
      <c r="G1530" s="15">
        <v>46152</v>
      </c>
      <c r="H1530" s="10" t="str">
        <f>IFERROR(INDEX(面试清单!H:H,MATCH(1529,面试清单!P:P,0)),"")</f>
        <v>线上</v>
      </c>
      <c r="I1530" s="13" t="s">
        <v>29</v>
      </c>
      <c r="J1530" s="10">
        <f ca="1" t="shared" si="70"/>
        <v>37</v>
      </c>
      <c r="K1530" s="10">
        <f ca="1" t="shared" si="71"/>
        <v>16</v>
      </c>
    </row>
    <row r="1531" ht="18" spans="1:11">
      <c r="A1531" s="14">
        <f t="shared" si="69"/>
        <v>1530</v>
      </c>
      <c r="B1531" s="11" t="s">
        <v>5462</v>
      </c>
      <c r="C1531" s="14" t="str">
        <f>IFERROR(INDEX(面试清单!D:D,MATCH(1530,面试清单!P:P,0)),"")</f>
        <v/>
      </c>
      <c r="D1531" s="11" t="s">
        <v>42</v>
      </c>
      <c r="E1531" s="11" t="s">
        <v>63</v>
      </c>
      <c r="F1531" s="11" t="s">
        <v>173</v>
      </c>
      <c r="G1531" s="15">
        <v>46152</v>
      </c>
      <c r="H1531" s="14" t="str">
        <f>IFERROR(INDEX(面试清单!H:H,MATCH(1530,面试清单!P:P,0)),"")</f>
        <v/>
      </c>
      <c r="I1531" s="13" t="s">
        <v>29</v>
      </c>
      <c r="J1531" s="14">
        <f ca="1" t="shared" si="70"/>
        <v>37</v>
      </c>
      <c r="K1531" s="14">
        <f ca="1" t="shared" si="71"/>
        <v>16</v>
      </c>
    </row>
    <row r="1532" ht="18" spans="1:11">
      <c r="A1532" s="10">
        <f t="shared" si="69"/>
        <v>1531</v>
      </c>
      <c r="B1532" s="11" t="s">
        <v>5463</v>
      </c>
      <c r="C1532" s="125" t="str">
        <f>IFERROR(INDEX(面试清单!D:D,MATCH(1531,面试清单!P:P,0)),"")</f>
        <v>0208</v>
      </c>
      <c r="D1532" s="11" t="s">
        <v>43</v>
      </c>
      <c r="E1532" s="11" t="s">
        <v>62</v>
      </c>
      <c r="F1532" s="11" t="s">
        <v>132</v>
      </c>
      <c r="G1532" s="15">
        <v>46152</v>
      </c>
      <c r="H1532" s="10" t="str">
        <f>IFERROR(INDEX(面试清单!H:H,MATCH(1531,面试清单!P:P,0)),"")</f>
        <v>线上</v>
      </c>
      <c r="I1532" s="13" t="s">
        <v>29</v>
      </c>
      <c r="J1532" s="10">
        <f ca="1" t="shared" si="70"/>
        <v>37</v>
      </c>
      <c r="K1532" s="10">
        <f ca="1" t="shared" si="71"/>
        <v>16</v>
      </c>
    </row>
    <row r="1533" ht="18" spans="1:11">
      <c r="A1533" s="14">
        <f t="shared" si="69"/>
        <v>1532</v>
      </c>
      <c r="B1533" s="11" t="s">
        <v>5464</v>
      </c>
      <c r="C1533" s="124" t="str">
        <f>IFERROR(INDEX(面试清单!D:D,MATCH(1532,面试清单!P:P,0)),"")</f>
        <v>0209</v>
      </c>
      <c r="D1533" s="11" t="s">
        <v>43</v>
      </c>
      <c r="E1533" s="11" t="s">
        <v>62</v>
      </c>
      <c r="F1533" s="11" t="s">
        <v>129</v>
      </c>
      <c r="G1533" s="15">
        <v>46152</v>
      </c>
      <c r="H1533" s="14" t="str">
        <f>IFERROR(INDEX(面试清单!H:H,MATCH(1532,面试清单!P:P,0)),"")</f>
        <v>线上</v>
      </c>
      <c r="I1533" s="13" t="s">
        <v>29</v>
      </c>
      <c r="J1533" s="14">
        <f ca="1" t="shared" si="70"/>
        <v>37</v>
      </c>
      <c r="K1533" s="14">
        <f ca="1" t="shared" si="71"/>
        <v>16</v>
      </c>
    </row>
    <row r="1534" ht="18" spans="1:11">
      <c r="A1534" s="10">
        <f t="shared" si="69"/>
        <v>1533</v>
      </c>
      <c r="B1534" s="11" t="s">
        <v>5465</v>
      </c>
      <c r="C1534" s="10" t="str">
        <f>IFERROR(INDEX(面试清单!D:D,MATCH(1533,面试清单!P:P,0)),"")</f>
        <v/>
      </c>
      <c r="D1534" s="11" t="s">
        <v>42</v>
      </c>
      <c r="E1534" s="11" t="s">
        <v>64</v>
      </c>
      <c r="F1534" s="11" t="s">
        <v>103</v>
      </c>
      <c r="G1534" s="15">
        <v>46152</v>
      </c>
      <c r="H1534" s="10" t="str">
        <f>IFERROR(INDEX(面试清单!H:H,MATCH(1533,面试清单!P:P,0)),"")</f>
        <v/>
      </c>
      <c r="I1534" s="13" t="s">
        <v>29</v>
      </c>
      <c r="J1534" s="10">
        <f ca="1" t="shared" si="70"/>
        <v>37</v>
      </c>
      <c r="K1534" s="10">
        <f ca="1" t="shared" si="71"/>
        <v>16</v>
      </c>
    </row>
    <row r="1535" ht="18" spans="1:11">
      <c r="A1535" s="14">
        <f t="shared" si="69"/>
        <v>1534</v>
      </c>
      <c r="B1535" s="11" t="s">
        <v>5466</v>
      </c>
      <c r="C1535" s="14" t="str">
        <f>IFERROR(INDEX(面试清单!D:D,MATCH(1534,面试清单!P:P,0)),"")</f>
        <v/>
      </c>
      <c r="D1535" s="11" t="s">
        <v>42</v>
      </c>
      <c r="E1535" s="11" t="s">
        <v>62</v>
      </c>
      <c r="F1535" s="11" t="s">
        <v>796</v>
      </c>
      <c r="G1535" s="15">
        <v>46152</v>
      </c>
      <c r="H1535" s="14" t="str">
        <f>IFERROR(INDEX(面试清单!H:H,MATCH(1534,面试清单!P:P,0)),"")</f>
        <v/>
      </c>
      <c r="I1535" s="13" t="s">
        <v>29</v>
      </c>
      <c r="J1535" s="14">
        <f ca="1" t="shared" si="70"/>
        <v>37</v>
      </c>
      <c r="K1535" s="14">
        <f ca="1" t="shared" si="71"/>
        <v>16</v>
      </c>
    </row>
    <row r="1536" ht="18" spans="1:11">
      <c r="A1536" s="10">
        <f t="shared" si="69"/>
        <v>1535</v>
      </c>
      <c r="B1536" s="11" t="s">
        <v>5467</v>
      </c>
      <c r="C1536" s="125" t="str">
        <f>IFERROR(INDEX(面试清单!D:D,MATCH(1535,面试清单!P:P,0)),"")</f>
        <v>0217</v>
      </c>
      <c r="D1536" s="11" t="s">
        <v>42</v>
      </c>
      <c r="E1536" s="11" t="s">
        <v>62</v>
      </c>
      <c r="F1536" s="11" t="s">
        <v>176</v>
      </c>
      <c r="G1536" s="15">
        <v>46153</v>
      </c>
      <c r="H1536" s="10" t="str">
        <f>IFERROR(INDEX(面试清单!H:H,MATCH(1535,面试清单!P:P,0)),"")</f>
        <v>线上</v>
      </c>
      <c r="I1536" s="13" t="s">
        <v>29</v>
      </c>
      <c r="J1536" s="10">
        <f ca="1" t="shared" si="70"/>
        <v>36</v>
      </c>
      <c r="K1536" s="10">
        <f ca="1" t="shared" si="71"/>
        <v>16</v>
      </c>
    </row>
    <row r="1537" ht="18" spans="1:11">
      <c r="A1537" s="14">
        <f t="shared" si="69"/>
        <v>1536</v>
      </c>
      <c r="B1537" s="11" t="s">
        <v>5468</v>
      </c>
      <c r="C1537" s="14" t="str">
        <f>IFERROR(INDEX(面试清单!D:D,MATCH(1536,面试清单!P:P,0)),"")</f>
        <v/>
      </c>
      <c r="D1537" s="11" t="s">
        <v>43</v>
      </c>
      <c r="E1537" s="11" t="s">
        <v>62</v>
      </c>
      <c r="F1537" s="11" t="s">
        <v>148</v>
      </c>
      <c r="G1537" s="15">
        <v>46153</v>
      </c>
      <c r="H1537" s="14" t="str">
        <f>IFERROR(INDEX(面试清单!H:H,MATCH(1536,面试清单!P:P,0)),"")</f>
        <v/>
      </c>
      <c r="I1537" s="13" t="s">
        <v>29</v>
      </c>
      <c r="J1537" s="14">
        <f ca="1" t="shared" si="70"/>
        <v>36</v>
      </c>
      <c r="K1537" s="14">
        <f ca="1" t="shared" si="71"/>
        <v>16</v>
      </c>
    </row>
    <row r="1538" ht="18" spans="1:11">
      <c r="A1538" s="10">
        <f t="shared" ref="A1538:A1601" si="72">IF(B1538&lt;&gt;"",ROW()-1,"")</f>
        <v>1537</v>
      </c>
      <c r="B1538" s="11" t="s">
        <v>5469</v>
      </c>
      <c r="C1538" s="125" t="str">
        <f>IFERROR(INDEX(面试清单!D:D,MATCH(1537,面试清单!P:P,0)),"")</f>
        <v>0220</v>
      </c>
      <c r="D1538" s="11" t="s">
        <v>43</v>
      </c>
      <c r="E1538" s="11" t="s">
        <v>63</v>
      </c>
      <c r="F1538" s="11" t="s">
        <v>103</v>
      </c>
      <c r="G1538" s="15">
        <v>46153</v>
      </c>
      <c r="H1538" s="10" t="str">
        <f>IFERROR(INDEX(面试清单!H:H,MATCH(1537,面试清单!P:P,0)),"")</f>
        <v>线上</v>
      </c>
      <c r="I1538" s="13" t="s">
        <v>29</v>
      </c>
      <c r="J1538" s="10">
        <f ca="1" t="shared" ref="J1538:J1601" si="73">IF(G1538&lt;&gt;"",TODAY()-G1538,"")</f>
        <v>36</v>
      </c>
      <c r="K1538" s="10">
        <f ca="1" t="shared" ref="K1538:K1601" si="74">IF(G1538&lt;&gt;"",MAX(0,MIN(TODAY(),EOMONTH(TODAY(),0))-MAX(G1538,EOMONTH(TODAY(),-1)+1)+1),"")</f>
        <v>16</v>
      </c>
    </row>
    <row r="1539" ht="18" spans="1:11">
      <c r="A1539" s="14">
        <f t="shared" si="72"/>
        <v>1538</v>
      </c>
      <c r="B1539" s="11" t="s">
        <v>5470</v>
      </c>
      <c r="C1539" s="14" t="str">
        <f>IFERROR(INDEX(面试清单!D:D,MATCH(1538,面试清单!P:P,0)),"")</f>
        <v/>
      </c>
      <c r="D1539" s="11" t="s">
        <v>43</v>
      </c>
      <c r="E1539" s="11" t="s">
        <v>62</v>
      </c>
      <c r="F1539" s="11" t="s">
        <v>1166</v>
      </c>
      <c r="G1539" s="15">
        <v>46153</v>
      </c>
      <c r="H1539" s="14" t="str">
        <f>IFERROR(INDEX(面试清单!H:H,MATCH(1538,面试清单!P:P,0)),"")</f>
        <v/>
      </c>
      <c r="I1539" s="13" t="s">
        <v>29</v>
      </c>
      <c r="J1539" s="14">
        <f ca="1" t="shared" si="73"/>
        <v>36</v>
      </c>
      <c r="K1539" s="14">
        <f ca="1" t="shared" si="74"/>
        <v>16</v>
      </c>
    </row>
    <row r="1540" ht="18" spans="1:11">
      <c r="A1540" s="10">
        <f t="shared" si="72"/>
        <v>1539</v>
      </c>
      <c r="B1540" s="11" t="s">
        <v>5471</v>
      </c>
      <c r="C1540" s="10" t="str">
        <f>IFERROR(INDEX(面试清单!D:D,MATCH(1539,面试清单!P:P,0)),"")</f>
        <v/>
      </c>
      <c r="D1540" s="11" t="s">
        <v>43</v>
      </c>
      <c r="E1540" s="11" t="s">
        <v>62</v>
      </c>
      <c r="F1540" s="11" t="s">
        <v>1166</v>
      </c>
      <c r="G1540" s="15">
        <v>46153</v>
      </c>
      <c r="H1540" s="10" t="str">
        <f>IFERROR(INDEX(面试清单!H:H,MATCH(1539,面试清单!P:P,0)),"")</f>
        <v/>
      </c>
      <c r="I1540" s="13" t="s">
        <v>29</v>
      </c>
      <c r="J1540" s="10">
        <f ca="1" t="shared" si="73"/>
        <v>36</v>
      </c>
      <c r="K1540" s="10">
        <f ca="1" t="shared" si="74"/>
        <v>16</v>
      </c>
    </row>
    <row r="1541" ht="18" spans="1:11">
      <c r="A1541" s="14">
        <f t="shared" si="72"/>
        <v>1540</v>
      </c>
      <c r="B1541" s="11" t="s">
        <v>5472</v>
      </c>
      <c r="C1541" s="124" t="str">
        <f>IFERROR(INDEX(面试清单!D:D,MATCH(1540,面试清单!P:P,0)),"")</f>
        <v>0208</v>
      </c>
      <c r="D1541" s="11" t="s">
        <v>43</v>
      </c>
      <c r="E1541" s="11" t="s">
        <v>62</v>
      </c>
      <c r="F1541" s="11" t="s">
        <v>1166</v>
      </c>
      <c r="G1541" s="15">
        <v>46153</v>
      </c>
      <c r="H1541" s="14" t="str">
        <f>IFERROR(INDEX(面试清单!H:H,MATCH(1540,面试清单!P:P,0)),"")</f>
        <v>线上</v>
      </c>
      <c r="I1541" s="13" t="s">
        <v>29</v>
      </c>
      <c r="J1541" s="14">
        <f ca="1" t="shared" si="73"/>
        <v>36</v>
      </c>
      <c r="K1541" s="14">
        <f ca="1" t="shared" si="74"/>
        <v>16</v>
      </c>
    </row>
    <row r="1542" ht="18" spans="1:11">
      <c r="A1542" s="10">
        <f t="shared" si="72"/>
        <v>1541</v>
      </c>
      <c r="B1542" s="11" t="s">
        <v>5473</v>
      </c>
      <c r="C1542" s="125" t="str">
        <f>IFERROR(INDEX(面试清单!D:D,MATCH(1541,面试清单!P:P,0)),"")</f>
        <v>0209</v>
      </c>
      <c r="D1542" s="11" t="s">
        <v>42</v>
      </c>
      <c r="E1542" s="11" t="s">
        <v>62</v>
      </c>
      <c r="F1542" s="11" t="s">
        <v>132</v>
      </c>
      <c r="G1542" s="15">
        <v>46153</v>
      </c>
      <c r="H1542" s="10" t="str">
        <f>IFERROR(INDEX(面试清单!H:H,MATCH(1541,面试清单!P:P,0)),"")</f>
        <v>线上</v>
      </c>
      <c r="I1542" s="13" t="s">
        <v>29</v>
      </c>
      <c r="J1542" s="10">
        <f ca="1" t="shared" si="73"/>
        <v>36</v>
      </c>
      <c r="K1542" s="10">
        <f ca="1" t="shared" si="74"/>
        <v>16</v>
      </c>
    </row>
    <row r="1543" ht="18" spans="1:11">
      <c r="A1543" s="14">
        <f t="shared" si="72"/>
        <v>1542</v>
      </c>
      <c r="B1543" s="11" t="s">
        <v>5474</v>
      </c>
      <c r="C1543" s="124" t="str">
        <f>IFERROR(INDEX(面试清单!D:D,MATCH(1542,面试清单!P:P,0)),"")</f>
        <v>0212</v>
      </c>
      <c r="D1543" s="11" t="s">
        <v>42</v>
      </c>
      <c r="E1543" s="11" t="s">
        <v>63</v>
      </c>
      <c r="F1543" s="11" t="s">
        <v>3348</v>
      </c>
      <c r="G1543" s="15">
        <v>46153</v>
      </c>
      <c r="H1543" s="14" t="str">
        <f>IFERROR(INDEX(面试清单!H:H,MATCH(1542,面试清单!P:P,0)),"")</f>
        <v>线上</v>
      </c>
      <c r="I1543" s="13" t="s">
        <v>29</v>
      </c>
      <c r="J1543" s="14">
        <f ca="1" t="shared" si="73"/>
        <v>36</v>
      </c>
      <c r="K1543" s="14">
        <f ca="1" t="shared" si="74"/>
        <v>16</v>
      </c>
    </row>
    <row r="1544" ht="18" spans="1:11">
      <c r="A1544" s="10">
        <f t="shared" si="72"/>
        <v>1543</v>
      </c>
      <c r="B1544" s="11" t="s">
        <v>5475</v>
      </c>
      <c r="C1544" s="10" t="str">
        <f>IFERROR(INDEX(面试清单!D:D,MATCH(1543,面试清单!P:P,0)),"")</f>
        <v/>
      </c>
      <c r="D1544" s="11" t="s">
        <v>43</v>
      </c>
      <c r="E1544" s="11" t="s">
        <v>63</v>
      </c>
      <c r="F1544" s="11" t="s">
        <v>173</v>
      </c>
      <c r="G1544" s="15">
        <v>46153</v>
      </c>
      <c r="H1544" s="10" t="str">
        <f>IFERROR(INDEX(面试清单!H:H,MATCH(1543,面试清单!P:P,0)),"")</f>
        <v/>
      </c>
      <c r="I1544" s="13" t="s">
        <v>29</v>
      </c>
      <c r="J1544" s="10">
        <f ca="1" t="shared" si="73"/>
        <v>36</v>
      </c>
      <c r="K1544" s="10">
        <f ca="1" t="shared" si="74"/>
        <v>16</v>
      </c>
    </row>
    <row r="1545" ht="18" spans="1:11">
      <c r="A1545" s="14">
        <f t="shared" si="72"/>
        <v>1544</v>
      </c>
      <c r="B1545" s="11" t="s">
        <v>5476</v>
      </c>
      <c r="C1545" s="14" t="str">
        <f>IFERROR(INDEX(面试清单!D:D,MATCH(1544,面试清单!P:P,0)),"")</f>
        <v/>
      </c>
      <c r="D1545" s="11" t="s">
        <v>43</v>
      </c>
      <c r="E1545" s="11" t="s">
        <v>63</v>
      </c>
      <c r="F1545" s="11" t="s">
        <v>173</v>
      </c>
      <c r="G1545" s="15">
        <v>46153</v>
      </c>
      <c r="H1545" s="14" t="str">
        <f>IFERROR(INDEX(面试清单!H:H,MATCH(1544,面试清单!P:P,0)),"")</f>
        <v/>
      </c>
      <c r="I1545" s="13" t="s">
        <v>29</v>
      </c>
      <c r="J1545" s="14">
        <f ca="1" t="shared" si="73"/>
        <v>36</v>
      </c>
      <c r="K1545" s="14">
        <f ca="1" t="shared" si="74"/>
        <v>16</v>
      </c>
    </row>
    <row r="1546" ht="18" spans="1:11">
      <c r="A1546" s="10">
        <f t="shared" si="72"/>
        <v>1545</v>
      </c>
      <c r="B1546" s="11" t="s">
        <v>5477</v>
      </c>
      <c r="C1546" s="10" t="str">
        <f>IFERROR(INDEX(面试清单!D:D,MATCH(1545,面试清单!P:P,0)),"")</f>
        <v/>
      </c>
      <c r="D1546" s="11" t="s">
        <v>43</v>
      </c>
      <c r="E1546" s="11" t="s">
        <v>62</v>
      </c>
      <c r="F1546" s="11" t="s">
        <v>173</v>
      </c>
      <c r="G1546" s="15">
        <v>46153</v>
      </c>
      <c r="H1546" s="10" t="str">
        <f>IFERROR(INDEX(面试清单!H:H,MATCH(1545,面试清单!P:P,0)),"")</f>
        <v/>
      </c>
      <c r="I1546" s="13" t="s">
        <v>29</v>
      </c>
      <c r="J1546" s="10">
        <f ca="1" t="shared" si="73"/>
        <v>36</v>
      </c>
      <c r="K1546" s="10">
        <f ca="1" t="shared" si="74"/>
        <v>16</v>
      </c>
    </row>
    <row r="1547" ht="18" spans="1:11">
      <c r="A1547" s="14">
        <f t="shared" si="72"/>
        <v>1546</v>
      </c>
      <c r="B1547" s="11" t="s">
        <v>5478</v>
      </c>
      <c r="C1547" s="14" t="str">
        <f>IFERROR(INDEX(面试清单!D:D,MATCH(1546,面试清单!P:P,0)),"")</f>
        <v/>
      </c>
      <c r="D1547" s="11" t="s">
        <v>42</v>
      </c>
      <c r="E1547" s="11" t="s">
        <v>63</v>
      </c>
      <c r="F1547" s="11" t="s">
        <v>173</v>
      </c>
      <c r="G1547" s="15">
        <v>46153</v>
      </c>
      <c r="H1547" s="14" t="str">
        <f>IFERROR(INDEX(面试清单!H:H,MATCH(1546,面试清单!P:P,0)),"")</f>
        <v/>
      </c>
      <c r="I1547" s="13" t="s">
        <v>29</v>
      </c>
      <c r="J1547" s="14">
        <f ca="1" t="shared" si="73"/>
        <v>36</v>
      </c>
      <c r="K1547" s="14">
        <f ca="1" t="shared" si="74"/>
        <v>16</v>
      </c>
    </row>
    <row r="1548" ht="18" spans="1:11">
      <c r="A1548" s="10">
        <f t="shared" si="72"/>
        <v>1547</v>
      </c>
      <c r="B1548" s="11" t="s">
        <v>5479</v>
      </c>
      <c r="C1548" s="10" t="str">
        <f>IFERROR(INDEX(面试清单!D:D,MATCH(1547,面试清单!P:P,0)),"")</f>
        <v/>
      </c>
      <c r="D1548" s="11" t="s">
        <v>43</v>
      </c>
      <c r="E1548" s="11" t="s">
        <v>63</v>
      </c>
      <c r="F1548" s="11" t="s">
        <v>148</v>
      </c>
      <c r="G1548" s="15">
        <v>46153</v>
      </c>
      <c r="H1548" s="10" t="str">
        <f>IFERROR(INDEX(面试清单!H:H,MATCH(1547,面试清单!P:P,0)),"")</f>
        <v/>
      </c>
      <c r="I1548" s="13" t="s">
        <v>29</v>
      </c>
      <c r="J1548" s="10">
        <f ca="1" t="shared" si="73"/>
        <v>36</v>
      </c>
      <c r="K1548" s="10">
        <f ca="1" t="shared" si="74"/>
        <v>16</v>
      </c>
    </row>
    <row r="1549" ht="18" spans="1:11">
      <c r="A1549" s="14">
        <f t="shared" si="72"/>
        <v>1548</v>
      </c>
      <c r="B1549" s="11" t="s">
        <v>5480</v>
      </c>
      <c r="C1549" s="14" t="str">
        <f>IFERROR(INDEX(面试清单!D:D,MATCH(1548,面试清单!P:P,0)),"")</f>
        <v/>
      </c>
      <c r="D1549" s="11" t="s">
        <v>42</v>
      </c>
      <c r="E1549" s="11" t="s">
        <v>62</v>
      </c>
      <c r="F1549" s="11" t="s">
        <v>173</v>
      </c>
      <c r="G1549" s="15">
        <v>46153</v>
      </c>
      <c r="H1549" s="14" t="str">
        <f>IFERROR(INDEX(面试清单!H:H,MATCH(1548,面试清单!P:P,0)),"")</f>
        <v/>
      </c>
      <c r="I1549" s="13" t="s">
        <v>29</v>
      </c>
      <c r="J1549" s="14">
        <f ca="1" t="shared" si="73"/>
        <v>36</v>
      </c>
      <c r="K1549" s="14">
        <f ca="1" t="shared" si="74"/>
        <v>16</v>
      </c>
    </row>
    <row r="1550" ht="18" spans="1:11">
      <c r="A1550" s="10">
        <f t="shared" si="72"/>
        <v>1549</v>
      </c>
      <c r="B1550" s="11" t="s">
        <v>5481</v>
      </c>
      <c r="C1550" s="10" t="str">
        <f>IFERROR(INDEX(面试清单!D:D,MATCH(1549,面试清单!P:P,0)),"")</f>
        <v/>
      </c>
      <c r="D1550" s="11" t="s">
        <v>43</v>
      </c>
      <c r="E1550" s="11" t="s">
        <v>63</v>
      </c>
      <c r="F1550" s="11" t="s">
        <v>124</v>
      </c>
      <c r="G1550" s="15">
        <v>46153</v>
      </c>
      <c r="H1550" s="10" t="str">
        <f>IFERROR(INDEX(面试清单!H:H,MATCH(1549,面试清单!P:P,0)),"")</f>
        <v/>
      </c>
      <c r="I1550" s="13" t="s">
        <v>29</v>
      </c>
      <c r="J1550" s="10">
        <f ca="1" t="shared" si="73"/>
        <v>36</v>
      </c>
      <c r="K1550" s="10">
        <f ca="1" t="shared" si="74"/>
        <v>16</v>
      </c>
    </row>
    <row r="1551" ht="18" spans="1:11">
      <c r="A1551" s="14">
        <f t="shared" si="72"/>
        <v>1550</v>
      </c>
      <c r="B1551" s="11" t="s">
        <v>5482</v>
      </c>
      <c r="C1551" s="14" t="str">
        <f>IFERROR(INDEX(面试清单!D:D,MATCH(1550,面试清单!P:P,0)),"")</f>
        <v/>
      </c>
      <c r="D1551" s="11" t="s">
        <v>43</v>
      </c>
      <c r="E1551" s="11" t="s">
        <v>63</v>
      </c>
      <c r="F1551" s="11" t="s">
        <v>246</v>
      </c>
      <c r="G1551" s="15">
        <v>46153</v>
      </c>
      <c r="H1551" s="14" t="str">
        <f>IFERROR(INDEX(面试清单!H:H,MATCH(1550,面试清单!P:P,0)),"")</f>
        <v/>
      </c>
      <c r="I1551" s="13" t="s">
        <v>29</v>
      </c>
      <c r="J1551" s="14">
        <f ca="1" t="shared" si="73"/>
        <v>36</v>
      </c>
      <c r="K1551" s="14">
        <f ca="1" t="shared" si="74"/>
        <v>16</v>
      </c>
    </row>
    <row r="1552" ht="18" spans="1:11">
      <c r="A1552" s="10">
        <f t="shared" si="72"/>
        <v>1551</v>
      </c>
      <c r="B1552" s="11" t="s">
        <v>5483</v>
      </c>
      <c r="C1552" s="10" t="str">
        <f>IFERROR(INDEX(面试清单!D:D,MATCH(1551,面试清单!P:P,0)),"")</f>
        <v/>
      </c>
      <c r="D1552" s="11" t="s">
        <v>74</v>
      </c>
      <c r="E1552" s="11" t="s">
        <v>190</v>
      </c>
      <c r="F1552" s="11" t="s">
        <v>179</v>
      </c>
      <c r="G1552" s="15">
        <v>46153</v>
      </c>
      <c r="H1552" s="10" t="str">
        <f>IFERROR(INDEX(面试清单!H:H,MATCH(1551,面试清单!P:P,0)),"")</f>
        <v/>
      </c>
      <c r="I1552" s="13" t="s">
        <v>29</v>
      </c>
      <c r="J1552" s="10">
        <f ca="1" t="shared" si="73"/>
        <v>36</v>
      </c>
      <c r="K1552" s="10">
        <f ca="1" t="shared" si="74"/>
        <v>16</v>
      </c>
    </row>
    <row r="1553" ht="18" spans="1:11">
      <c r="A1553" s="14">
        <f t="shared" si="72"/>
        <v>1552</v>
      </c>
      <c r="B1553" s="11" t="s">
        <v>5484</v>
      </c>
      <c r="C1553" s="14" t="str">
        <f>IFERROR(INDEX(面试清单!D:D,MATCH(1552,面试清单!P:P,0)),"")</f>
        <v/>
      </c>
      <c r="D1553" s="11" t="s">
        <v>43</v>
      </c>
      <c r="E1553" s="11" t="s">
        <v>62</v>
      </c>
      <c r="F1553" s="11" t="s">
        <v>103</v>
      </c>
      <c r="G1553" s="15">
        <v>46153</v>
      </c>
      <c r="H1553" s="14" t="str">
        <f>IFERROR(INDEX(面试清单!H:H,MATCH(1552,面试清单!P:P,0)),"")</f>
        <v/>
      </c>
      <c r="I1553" s="13" t="s">
        <v>29</v>
      </c>
      <c r="J1553" s="14">
        <f ca="1" t="shared" si="73"/>
        <v>36</v>
      </c>
      <c r="K1553" s="14">
        <f ca="1" t="shared" si="74"/>
        <v>16</v>
      </c>
    </row>
    <row r="1554" ht="18" spans="1:11">
      <c r="A1554" s="10">
        <f t="shared" si="72"/>
        <v>1553</v>
      </c>
      <c r="B1554" s="11" t="s">
        <v>5485</v>
      </c>
      <c r="C1554" s="125" t="str">
        <f>IFERROR(INDEX(面试清单!D:D,MATCH(1553,面试清单!P:P,0)),"")</f>
        <v>0214</v>
      </c>
      <c r="D1554" s="11" t="s">
        <v>43</v>
      </c>
      <c r="E1554" s="11" t="s">
        <v>63</v>
      </c>
      <c r="F1554" s="11" t="s">
        <v>176</v>
      </c>
      <c r="G1554" s="15">
        <v>46154</v>
      </c>
      <c r="H1554" s="10" t="str">
        <f>IFERROR(INDEX(面试清单!H:H,MATCH(1553,面试清单!P:P,0)),"")</f>
        <v>线上</v>
      </c>
      <c r="I1554" s="13" t="s">
        <v>29</v>
      </c>
      <c r="J1554" s="10">
        <f ca="1" t="shared" si="73"/>
        <v>35</v>
      </c>
      <c r="K1554" s="10">
        <f ca="1" t="shared" si="74"/>
        <v>16</v>
      </c>
    </row>
    <row r="1555" ht="18" spans="1:11">
      <c r="A1555" s="14">
        <f t="shared" si="72"/>
        <v>1554</v>
      </c>
      <c r="B1555" s="11" t="s">
        <v>5486</v>
      </c>
      <c r="C1555" s="14" t="str">
        <f>IFERROR(INDEX(面试清单!D:D,MATCH(1554,面试清单!P:P,0)),"")</f>
        <v/>
      </c>
      <c r="D1555" s="11" t="s">
        <v>43</v>
      </c>
      <c r="E1555" s="11" t="s">
        <v>63</v>
      </c>
      <c r="F1555" s="11" t="s">
        <v>176</v>
      </c>
      <c r="G1555" s="15">
        <v>46154</v>
      </c>
      <c r="H1555" s="14" t="str">
        <f>IFERROR(INDEX(面试清单!H:H,MATCH(1554,面试清单!P:P,0)),"")</f>
        <v/>
      </c>
      <c r="I1555" s="13" t="s">
        <v>29</v>
      </c>
      <c r="J1555" s="14">
        <f ca="1" t="shared" si="73"/>
        <v>35</v>
      </c>
      <c r="K1555" s="14">
        <f ca="1" t="shared" si="74"/>
        <v>16</v>
      </c>
    </row>
    <row r="1556" ht="18" spans="1:11">
      <c r="A1556" s="10">
        <f t="shared" si="72"/>
        <v>1555</v>
      </c>
      <c r="B1556" s="11" t="s">
        <v>5487</v>
      </c>
      <c r="C1556" s="125" t="str">
        <f>IFERROR(INDEX(面试清单!D:D,MATCH(1555,面试清单!P:P,0)),"")</f>
        <v>0218</v>
      </c>
      <c r="D1556" s="11" t="s">
        <v>43</v>
      </c>
      <c r="E1556" s="11" t="s">
        <v>62</v>
      </c>
      <c r="F1556" s="11" t="s">
        <v>148</v>
      </c>
      <c r="G1556" s="15">
        <v>46154</v>
      </c>
      <c r="H1556" s="10" t="str">
        <f>IFERROR(INDEX(面试清单!H:H,MATCH(1555,面试清单!P:P,0)),"")</f>
        <v>线上</v>
      </c>
      <c r="I1556" s="13" t="s">
        <v>29</v>
      </c>
      <c r="J1556" s="10">
        <f ca="1" t="shared" si="73"/>
        <v>35</v>
      </c>
      <c r="K1556" s="10">
        <f ca="1" t="shared" si="74"/>
        <v>16</v>
      </c>
    </row>
    <row r="1557" ht="18" spans="1:11">
      <c r="A1557" s="14">
        <f t="shared" si="72"/>
        <v>1556</v>
      </c>
      <c r="B1557" s="11" t="s">
        <v>5488</v>
      </c>
      <c r="C1557" s="124" t="str">
        <f>IFERROR(INDEX(面试清单!D:D,MATCH(1556,面试清单!P:P,0)),"")</f>
        <v>0220</v>
      </c>
      <c r="D1557" s="11" t="s">
        <v>43</v>
      </c>
      <c r="E1557" s="11" t="s">
        <v>63</v>
      </c>
      <c r="F1557" s="11" t="s">
        <v>148</v>
      </c>
      <c r="G1557" s="15">
        <v>46154</v>
      </c>
      <c r="H1557" s="14" t="str">
        <f>IFERROR(INDEX(面试清单!H:H,MATCH(1556,面试清单!P:P,0)),"")</f>
        <v>线上</v>
      </c>
      <c r="I1557" s="13" t="s">
        <v>29</v>
      </c>
      <c r="J1557" s="14">
        <f ca="1" t="shared" si="73"/>
        <v>35</v>
      </c>
      <c r="K1557" s="14">
        <f ca="1" t="shared" si="74"/>
        <v>16</v>
      </c>
    </row>
    <row r="1558" ht="18" spans="1:11">
      <c r="A1558" s="10">
        <f t="shared" si="72"/>
        <v>1557</v>
      </c>
      <c r="B1558" s="11" t="s">
        <v>5489</v>
      </c>
      <c r="C1558" s="125" t="str">
        <f>IFERROR(INDEX(面试清单!D:D,MATCH(1557,面试清单!P:P,0)),"")</f>
        <v>0221</v>
      </c>
      <c r="D1558" s="11" t="s">
        <v>42</v>
      </c>
      <c r="E1558" s="11" t="s">
        <v>62</v>
      </c>
      <c r="F1558" s="11" t="s">
        <v>103</v>
      </c>
      <c r="G1558" s="15">
        <v>46154</v>
      </c>
      <c r="H1558" s="10" t="str">
        <f>IFERROR(INDEX(面试清单!H:H,MATCH(1557,面试清单!P:P,0)),"")</f>
        <v>线上</v>
      </c>
      <c r="I1558" s="13" t="s">
        <v>29</v>
      </c>
      <c r="J1558" s="10">
        <f ca="1" t="shared" si="73"/>
        <v>35</v>
      </c>
      <c r="K1558" s="10">
        <f ca="1" t="shared" si="74"/>
        <v>16</v>
      </c>
    </row>
    <row r="1559" ht="18" spans="1:11">
      <c r="A1559" s="14">
        <f t="shared" si="72"/>
        <v>1558</v>
      </c>
      <c r="B1559" s="11" t="s">
        <v>5490</v>
      </c>
      <c r="C1559" s="124" t="str">
        <f>IFERROR(INDEX(面试清单!D:D,MATCH(1558,面试清单!P:P,0)),"")</f>
        <v>0222</v>
      </c>
      <c r="D1559" s="11" t="s">
        <v>42</v>
      </c>
      <c r="E1559" s="11" t="s">
        <v>62</v>
      </c>
      <c r="F1559" s="11" t="s">
        <v>103</v>
      </c>
      <c r="G1559" s="15">
        <v>46154</v>
      </c>
      <c r="H1559" s="14" t="str">
        <f>IFERROR(INDEX(面试清单!H:H,MATCH(1558,面试清单!P:P,0)),"")</f>
        <v>线上</v>
      </c>
      <c r="I1559" s="13" t="s">
        <v>29</v>
      </c>
      <c r="J1559" s="14">
        <f ca="1" t="shared" si="73"/>
        <v>35</v>
      </c>
      <c r="K1559" s="14">
        <f ca="1" t="shared" si="74"/>
        <v>16</v>
      </c>
    </row>
    <row r="1560" ht="18" spans="1:11">
      <c r="A1560" s="10">
        <f t="shared" si="72"/>
        <v>1559</v>
      </c>
      <c r="B1560" s="11" t="s">
        <v>5491</v>
      </c>
      <c r="C1560" s="10" t="str">
        <f>IFERROR(INDEX(面试清单!D:D,MATCH(1559,面试清单!P:P,0)),"")</f>
        <v/>
      </c>
      <c r="D1560" s="11" t="s">
        <v>42</v>
      </c>
      <c r="E1560" s="11" t="s">
        <v>62</v>
      </c>
      <c r="F1560" s="11" t="s">
        <v>103</v>
      </c>
      <c r="G1560" s="15">
        <v>46154</v>
      </c>
      <c r="H1560" s="10" t="str">
        <f>IFERROR(INDEX(面试清单!H:H,MATCH(1559,面试清单!P:P,0)),"")</f>
        <v/>
      </c>
      <c r="I1560" s="13" t="s">
        <v>29</v>
      </c>
      <c r="J1560" s="10">
        <f ca="1" t="shared" si="73"/>
        <v>35</v>
      </c>
      <c r="K1560" s="10">
        <f ca="1" t="shared" si="74"/>
        <v>16</v>
      </c>
    </row>
    <row r="1561" ht="18" spans="1:11">
      <c r="A1561" s="14">
        <f t="shared" si="72"/>
        <v>1560</v>
      </c>
      <c r="B1561" s="11" t="s">
        <v>5492</v>
      </c>
      <c r="C1561" s="14" t="str">
        <f>IFERROR(INDEX(面试清单!D:D,MATCH(1560,面试清单!P:P,0)),"")</f>
        <v/>
      </c>
      <c r="D1561" s="11" t="s">
        <v>42</v>
      </c>
      <c r="E1561" s="11" t="s">
        <v>62</v>
      </c>
      <c r="F1561" s="11" t="s">
        <v>103</v>
      </c>
      <c r="G1561" s="15">
        <v>46154</v>
      </c>
      <c r="H1561" s="14" t="str">
        <f>IFERROR(INDEX(面试清单!H:H,MATCH(1560,面试清单!P:P,0)),"")</f>
        <v/>
      </c>
      <c r="I1561" s="13" t="s">
        <v>29</v>
      </c>
      <c r="J1561" s="14">
        <f ca="1" t="shared" si="73"/>
        <v>35</v>
      </c>
      <c r="K1561" s="14">
        <f ca="1" t="shared" si="74"/>
        <v>16</v>
      </c>
    </row>
    <row r="1562" ht="18" spans="1:11">
      <c r="A1562" s="10">
        <f t="shared" si="72"/>
        <v>1561</v>
      </c>
      <c r="B1562" s="11" t="s">
        <v>5493</v>
      </c>
      <c r="C1562" s="125" t="str">
        <f>IFERROR(INDEX(面试清单!D:D,MATCH(1561,面试清单!P:P,0)),"")</f>
        <v>0212</v>
      </c>
      <c r="D1562" s="11" t="s">
        <v>42</v>
      </c>
      <c r="E1562" s="11" t="s">
        <v>63</v>
      </c>
      <c r="F1562" s="11" t="s">
        <v>509</v>
      </c>
      <c r="G1562" s="15">
        <v>46154</v>
      </c>
      <c r="H1562" s="10" t="str">
        <f>IFERROR(INDEX(面试清单!H:H,MATCH(1561,面试清单!P:P,0)),"")</f>
        <v>线上</v>
      </c>
      <c r="I1562" s="13" t="s">
        <v>29</v>
      </c>
      <c r="J1562" s="10">
        <f ca="1" t="shared" si="73"/>
        <v>35</v>
      </c>
      <c r="K1562" s="10">
        <f ca="1" t="shared" si="74"/>
        <v>16</v>
      </c>
    </row>
    <row r="1563" ht="18" spans="1:11">
      <c r="A1563" s="14">
        <f t="shared" si="72"/>
        <v>1562</v>
      </c>
      <c r="B1563" s="11" t="s">
        <v>5494</v>
      </c>
      <c r="C1563" s="14" t="str">
        <f>IFERROR(INDEX(面试清单!D:D,MATCH(1562,面试清单!P:P,0)),"")</f>
        <v/>
      </c>
      <c r="D1563" s="11" t="s">
        <v>43</v>
      </c>
      <c r="E1563" s="11" t="s">
        <v>63</v>
      </c>
      <c r="F1563" s="11" t="s">
        <v>173</v>
      </c>
      <c r="G1563" s="15">
        <v>46154</v>
      </c>
      <c r="H1563" s="14" t="str">
        <f>IFERROR(INDEX(面试清单!H:H,MATCH(1562,面试清单!P:P,0)),"")</f>
        <v/>
      </c>
      <c r="I1563" s="13" t="s">
        <v>29</v>
      </c>
      <c r="J1563" s="14">
        <f ca="1" t="shared" si="73"/>
        <v>35</v>
      </c>
      <c r="K1563" s="14">
        <f ca="1" t="shared" si="74"/>
        <v>16</v>
      </c>
    </row>
    <row r="1564" ht="18" spans="1:11">
      <c r="A1564" s="10">
        <f t="shared" si="72"/>
        <v>1563</v>
      </c>
      <c r="B1564" s="11" t="s">
        <v>5495</v>
      </c>
      <c r="C1564" s="10" t="str">
        <f>IFERROR(INDEX(面试清单!D:D,MATCH(1563,面试清单!P:P,0)),"")</f>
        <v/>
      </c>
      <c r="D1564" s="11" t="s">
        <v>43</v>
      </c>
      <c r="E1564" s="11" t="s">
        <v>62</v>
      </c>
      <c r="F1564" s="11" t="s">
        <v>690</v>
      </c>
      <c r="G1564" s="15">
        <v>46154</v>
      </c>
      <c r="H1564" s="10" t="str">
        <f>IFERROR(INDEX(面试清单!H:H,MATCH(1563,面试清单!P:P,0)),"")</f>
        <v/>
      </c>
      <c r="I1564" s="13" t="s">
        <v>29</v>
      </c>
      <c r="J1564" s="10">
        <f ca="1" t="shared" si="73"/>
        <v>35</v>
      </c>
      <c r="K1564" s="10">
        <f ca="1" t="shared" si="74"/>
        <v>16</v>
      </c>
    </row>
    <row r="1565" ht="18" spans="1:11">
      <c r="A1565" s="14">
        <f t="shared" si="72"/>
        <v>1564</v>
      </c>
      <c r="B1565" s="11" t="s">
        <v>5496</v>
      </c>
      <c r="C1565" s="14" t="str">
        <f>IFERROR(INDEX(面试清单!D:D,MATCH(1564,面试清单!P:P,0)),"")</f>
        <v/>
      </c>
      <c r="D1565" s="11" t="s">
        <v>42</v>
      </c>
      <c r="E1565" s="11" t="s">
        <v>62</v>
      </c>
      <c r="F1565" s="11" t="s">
        <v>733</v>
      </c>
      <c r="G1565" s="15">
        <v>46154</v>
      </c>
      <c r="H1565" s="14" t="str">
        <f>IFERROR(INDEX(面试清单!H:H,MATCH(1564,面试清单!P:P,0)),"")</f>
        <v/>
      </c>
      <c r="I1565" s="13" t="s">
        <v>29</v>
      </c>
      <c r="J1565" s="14">
        <f ca="1" t="shared" si="73"/>
        <v>35</v>
      </c>
      <c r="K1565" s="14">
        <f ca="1" t="shared" si="74"/>
        <v>16</v>
      </c>
    </row>
    <row r="1566" ht="18" spans="1:11">
      <c r="A1566" s="10">
        <f t="shared" si="72"/>
        <v>1565</v>
      </c>
      <c r="B1566" s="11" t="s">
        <v>5497</v>
      </c>
      <c r="C1566" s="10" t="str">
        <f>IFERROR(INDEX(面试清单!D:D,MATCH(1565,面试清单!P:P,0)),"")</f>
        <v/>
      </c>
      <c r="D1566" s="11" t="s">
        <v>43</v>
      </c>
      <c r="E1566" s="11" t="s">
        <v>63</v>
      </c>
      <c r="F1566" s="11" t="s">
        <v>233</v>
      </c>
      <c r="G1566" s="15">
        <v>46154</v>
      </c>
      <c r="H1566" s="10" t="str">
        <f>IFERROR(INDEX(面试清单!H:H,MATCH(1565,面试清单!P:P,0)),"")</f>
        <v/>
      </c>
      <c r="I1566" s="13" t="s">
        <v>29</v>
      </c>
      <c r="J1566" s="10">
        <f ca="1" t="shared" si="73"/>
        <v>35</v>
      </c>
      <c r="K1566" s="10">
        <f ca="1" t="shared" si="74"/>
        <v>16</v>
      </c>
    </row>
    <row r="1567" ht="18" spans="1:11">
      <c r="A1567" s="14">
        <f t="shared" si="72"/>
        <v>1566</v>
      </c>
      <c r="B1567" s="11" t="s">
        <v>5498</v>
      </c>
      <c r="C1567" s="124" t="str">
        <f>IFERROR(INDEX(面试清单!D:D,MATCH(1566,面试清单!P:P,0)),"")</f>
        <v>0221</v>
      </c>
      <c r="D1567" s="11" t="s">
        <v>43</v>
      </c>
      <c r="E1567" s="11" t="s">
        <v>62</v>
      </c>
      <c r="F1567" s="11" t="s">
        <v>103</v>
      </c>
      <c r="G1567" s="15">
        <v>46154</v>
      </c>
      <c r="H1567" s="14" t="str">
        <f>IFERROR(INDEX(面试清单!H:H,MATCH(1566,面试清单!P:P,0)),"")</f>
        <v>线上</v>
      </c>
      <c r="I1567" s="13" t="s">
        <v>29</v>
      </c>
      <c r="J1567" s="14">
        <f ca="1" t="shared" si="73"/>
        <v>35</v>
      </c>
      <c r="K1567" s="14">
        <f ca="1" t="shared" si="74"/>
        <v>16</v>
      </c>
    </row>
    <row r="1568" ht="18" spans="1:11">
      <c r="A1568" s="10">
        <f t="shared" si="72"/>
        <v>1567</v>
      </c>
      <c r="B1568" s="11" t="s">
        <v>5499</v>
      </c>
      <c r="C1568" s="10" t="str">
        <f>IFERROR(INDEX(面试清单!D:D,MATCH(1567,面试清单!P:P,0)),"")</f>
        <v/>
      </c>
      <c r="D1568" s="11" t="s">
        <v>43</v>
      </c>
      <c r="E1568" s="11" t="s">
        <v>62</v>
      </c>
      <c r="F1568" s="11" t="s">
        <v>103</v>
      </c>
      <c r="G1568" s="15">
        <v>46154</v>
      </c>
      <c r="H1568" s="10" t="str">
        <f>IFERROR(INDEX(面试清单!H:H,MATCH(1567,面试清单!P:P,0)),"")</f>
        <v/>
      </c>
      <c r="I1568" s="13" t="s">
        <v>29</v>
      </c>
      <c r="J1568" s="10">
        <f ca="1" t="shared" si="73"/>
        <v>35</v>
      </c>
      <c r="K1568" s="10">
        <f ca="1" t="shared" si="74"/>
        <v>16</v>
      </c>
    </row>
    <row r="1569" ht="18" spans="1:11">
      <c r="A1569" s="14">
        <f t="shared" si="72"/>
        <v>1568</v>
      </c>
      <c r="B1569" s="11" t="s">
        <v>5500</v>
      </c>
      <c r="C1569" s="14" t="str">
        <f>IFERROR(INDEX(面试清单!D:D,MATCH(1568,面试清单!P:P,0)),"")</f>
        <v/>
      </c>
      <c r="D1569" s="11" t="s">
        <v>42</v>
      </c>
      <c r="E1569" s="11" t="s">
        <v>62</v>
      </c>
      <c r="F1569" s="11" t="s">
        <v>103</v>
      </c>
      <c r="G1569" s="15">
        <v>46154</v>
      </c>
      <c r="H1569" s="14" t="str">
        <f>IFERROR(INDEX(面试清单!H:H,MATCH(1568,面试清单!P:P,0)),"")</f>
        <v/>
      </c>
      <c r="I1569" s="13" t="s">
        <v>29</v>
      </c>
      <c r="J1569" s="14">
        <f ca="1" t="shared" si="73"/>
        <v>35</v>
      </c>
      <c r="K1569" s="14">
        <f ca="1" t="shared" si="74"/>
        <v>16</v>
      </c>
    </row>
    <row r="1570" ht="18" spans="1:11">
      <c r="A1570" s="10">
        <f t="shared" si="72"/>
        <v>1569</v>
      </c>
      <c r="B1570" s="11" t="s">
        <v>5501</v>
      </c>
      <c r="C1570" s="125" t="str">
        <f>IFERROR(INDEX(面试清单!D:D,MATCH(1569,面试清单!P:P,0)),"")</f>
        <v>0209</v>
      </c>
      <c r="D1570" s="11" t="s">
        <v>42</v>
      </c>
      <c r="E1570" s="11" t="s">
        <v>62</v>
      </c>
      <c r="F1570" s="11" t="s">
        <v>103</v>
      </c>
      <c r="G1570" s="15">
        <v>46154</v>
      </c>
      <c r="H1570" s="10" t="str">
        <f>IFERROR(INDEX(面试清单!H:H,MATCH(1569,面试清单!P:P,0)),"")</f>
        <v>线上</v>
      </c>
      <c r="I1570" s="13" t="s">
        <v>29</v>
      </c>
      <c r="J1570" s="10">
        <f ca="1" t="shared" si="73"/>
        <v>35</v>
      </c>
      <c r="K1570" s="10">
        <f ca="1" t="shared" si="74"/>
        <v>16</v>
      </c>
    </row>
    <row r="1571" ht="18" spans="1:11">
      <c r="A1571" s="14">
        <f t="shared" si="72"/>
        <v>1570</v>
      </c>
      <c r="B1571" s="11" t="s">
        <v>5502</v>
      </c>
      <c r="C1571" s="124" t="str">
        <f>IFERROR(INDEX(面试清单!D:D,MATCH(1570,面试清单!P:P,0)),"")</f>
        <v>0212</v>
      </c>
      <c r="D1571" s="11" t="s">
        <v>74</v>
      </c>
      <c r="E1571" s="11" t="s">
        <v>64</v>
      </c>
      <c r="F1571" s="11" t="s">
        <v>179</v>
      </c>
      <c r="G1571" s="15">
        <v>46154</v>
      </c>
      <c r="H1571" s="14" t="str">
        <f>IFERROR(INDEX(面试清单!H:H,MATCH(1570,面试清单!P:P,0)),"")</f>
        <v>线上</v>
      </c>
      <c r="I1571" s="13" t="s">
        <v>29</v>
      </c>
      <c r="J1571" s="14">
        <f ca="1" t="shared" si="73"/>
        <v>35</v>
      </c>
      <c r="K1571" s="14">
        <f ca="1" t="shared" si="74"/>
        <v>16</v>
      </c>
    </row>
    <row r="1572" ht="18" spans="1:11">
      <c r="A1572" s="10">
        <f t="shared" si="72"/>
        <v>1571</v>
      </c>
      <c r="B1572" s="11" t="s">
        <v>5503</v>
      </c>
      <c r="C1572" s="125" t="str">
        <f>IFERROR(INDEX(面试清单!D:D,MATCH(1571,面试清单!P:P,0)),"")</f>
        <v>0214</v>
      </c>
      <c r="D1572" s="11" t="s">
        <v>74</v>
      </c>
      <c r="E1572" s="11" t="s">
        <v>64</v>
      </c>
      <c r="F1572" s="11" t="s">
        <v>179</v>
      </c>
      <c r="G1572" s="15">
        <v>46154</v>
      </c>
      <c r="H1572" s="10" t="str">
        <f>IFERROR(INDEX(面试清单!H:H,MATCH(1571,面试清单!P:P,0)),"")</f>
        <v>线上</v>
      </c>
      <c r="I1572" s="13" t="s">
        <v>29</v>
      </c>
      <c r="J1572" s="10">
        <f ca="1" t="shared" si="73"/>
        <v>35</v>
      </c>
      <c r="K1572" s="10">
        <f ca="1" t="shared" si="74"/>
        <v>16</v>
      </c>
    </row>
    <row r="1573" ht="18" spans="1:11">
      <c r="A1573" s="14">
        <f t="shared" si="72"/>
        <v>1572</v>
      </c>
      <c r="B1573" s="11" t="s">
        <v>5504</v>
      </c>
      <c r="C1573" s="124" t="str">
        <f>IFERROR(INDEX(面试清单!D:D,MATCH(1572,面试清单!P:P,0)),"")</f>
        <v>0217</v>
      </c>
      <c r="D1573" s="11" t="s">
        <v>74</v>
      </c>
      <c r="E1573" s="11" t="s">
        <v>64</v>
      </c>
      <c r="F1573" s="11" t="s">
        <v>179</v>
      </c>
      <c r="G1573" s="15">
        <v>46154</v>
      </c>
      <c r="H1573" s="14" t="str">
        <f>IFERROR(INDEX(面试清单!H:H,MATCH(1572,面试清单!P:P,0)),"")</f>
        <v>线上</v>
      </c>
      <c r="I1573" s="13" t="s">
        <v>29</v>
      </c>
      <c r="J1573" s="14">
        <f ca="1" t="shared" si="73"/>
        <v>35</v>
      </c>
      <c r="K1573" s="14">
        <f ca="1" t="shared" si="74"/>
        <v>16</v>
      </c>
    </row>
    <row r="1574" ht="18" spans="1:11">
      <c r="A1574" s="10">
        <f t="shared" si="72"/>
        <v>1573</v>
      </c>
      <c r="B1574" s="11" t="s">
        <v>5505</v>
      </c>
      <c r="C1574" s="125" t="str">
        <f>IFERROR(INDEX(面试清单!D:D,MATCH(1573,面试清单!P:P,0)),"")</f>
        <v>0218</v>
      </c>
      <c r="D1574" s="11" t="s">
        <v>74</v>
      </c>
      <c r="E1574" s="11" t="s">
        <v>64</v>
      </c>
      <c r="F1574" s="11" t="s">
        <v>179</v>
      </c>
      <c r="G1574" s="15">
        <v>46154</v>
      </c>
      <c r="H1574" s="10" t="str">
        <f>IFERROR(INDEX(面试清单!H:H,MATCH(1573,面试清单!P:P,0)),"")</f>
        <v>线上</v>
      </c>
      <c r="I1574" s="13" t="s">
        <v>29</v>
      </c>
      <c r="J1574" s="10">
        <f ca="1" t="shared" si="73"/>
        <v>35</v>
      </c>
      <c r="K1574" s="10">
        <f ca="1" t="shared" si="74"/>
        <v>16</v>
      </c>
    </row>
    <row r="1575" ht="18" spans="1:11">
      <c r="A1575" s="14">
        <f t="shared" si="72"/>
        <v>1574</v>
      </c>
      <c r="B1575" s="11" t="s">
        <v>5506</v>
      </c>
      <c r="C1575" s="14" t="str">
        <f>IFERROR(INDEX(面试清单!D:D,MATCH(1574,面试清单!P:P,0)),"")</f>
        <v/>
      </c>
      <c r="D1575" s="11" t="s">
        <v>43</v>
      </c>
      <c r="E1575" s="11" t="s">
        <v>62</v>
      </c>
      <c r="F1575" s="11" t="s">
        <v>176</v>
      </c>
      <c r="G1575" s="15">
        <v>46155</v>
      </c>
      <c r="H1575" s="14" t="str">
        <f>IFERROR(INDEX(面试清单!H:H,MATCH(1574,面试清单!P:P,0)),"")</f>
        <v/>
      </c>
      <c r="I1575" s="13" t="s">
        <v>29</v>
      </c>
      <c r="J1575" s="14">
        <f ca="1" t="shared" si="73"/>
        <v>34</v>
      </c>
      <c r="K1575" s="14">
        <f ca="1" t="shared" si="74"/>
        <v>16</v>
      </c>
    </row>
    <row r="1576" ht="18" spans="1:11">
      <c r="A1576" s="10">
        <f t="shared" si="72"/>
        <v>1575</v>
      </c>
      <c r="B1576" s="11" t="s">
        <v>5507</v>
      </c>
      <c r="C1576" s="10" t="str">
        <f>IFERROR(INDEX(面试清单!D:D,MATCH(1575,面试清单!P:P,0)),"")</f>
        <v/>
      </c>
      <c r="D1576" s="11" t="s">
        <v>42</v>
      </c>
      <c r="E1576" s="11" t="s">
        <v>63</v>
      </c>
      <c r="F1576" s="11" t="s">
        <v>307</v>
      </c>
      <c r="G1576" s="15">
        <v>46155</v>
      </c>
      <c r="H1576" s="10" t="str">
        <f>IFERROR(INDEX(面试清单!H:H,MATCH(1575,面试清单!P:P,0)),"")</f>
        <v/>
      </c>
      <c r="I1576" s="13" t="s">
        <v>29</v>
      </c>
      <c r="J1576" s="10">
        <f ca="1" t="shared" si="73"/>
        <v>34</v>
      </c>
      <c r="K1576" s="10">
        <f ca="1" t="shared" si="74"/>
        <v>16</v>
      </c>
    </row>
    <row r="1577" ht="18" spans="1:11">
      <c r="A1577" s="14">
        <f t="shared" si="72"/>
        <v>1576</v>
      </c>
      <c r="B1577" s="11" t="s">
        <v>5508</v>
      </c>
      <c r="C1577" s="14" t="str">
        <f>IFERROR(INDEX(面试清单!D:D,MATCH(1576,面试清单!P:P,0)),"")</f>
        <v/>
      </c>
      <c r="D1577" s="11" t="s">
        <v>43</v>
      </c>
      <c r="E1577" s="11" t="s">
        <v>63</v>
      </c>
      <c r="F1577" s="11" t="s">
        <v>796</v>
      </c>
      <c r="G1577" s="15">
        <v>46155</v>
      </c>
      <c r="H1577" s="14" t="str">
        <f>IFERROR(INDEX(面试清单!H:H,MATCH(1576,面试清单!P:P,0)),"")</f>
        <v/>
      </c>
      <c r="I1577" s="13" t="s">
        <v>29</v>
      </c>
      <c r="J1577" s="14">
        <f ca="1" t="shared" si="73"/>
        <v>34</v>
      </c>
      <c r="K1577" s="14">
        <f ca="1" t="shared" si="74"/>
        <v>16</v>
      </c>
    </row>
    <row r="1578" ht="18" spans="1:11">
      <c r="A1578" s="10">
        <f t="shared" si="72"/>
        <v>1577</v>
      </c>
      <c r="B1578" s="11" t="s">
        <v>1020</v>
      </c>
      <c r="C1578" s="125" t="str">
        <f>IFERROR(INDEX(面试清单!D:D,MATCH(1577,面试清单!P:P,0)),"")</f>
        <v>0208</v>
      </c>
      <c r="D1578" s="11" t="s">
        <v>43</v>
      </c>
      <c r="E1578" s="11" t="s">
        <v>63</v>
      </c>
      <c r="F1578" s="11" t="s">
        <v>129</v>
      </c>
      <c r="G1578" s="15">
        <v>46155</v>
      </c>
      <c r="H1578" s="10" t="str">
        <f>IFERROR(INDEX(面试清单!H:H,MATCH(1577,面试清单!P:P,0)),"")</f>
        <v>线上</v>
      </c>
      <c r="I1578" s="13" t="s">
        <v>29</v>
      </c>
      <c r="J1578" s="10">
        <f ca="1" t="shared" si="73"/>
        <v>34</v>
      </c>
      <c r="K1578" s="10">
        <f ca="1" t="shared" si="74"/>
        <v>16</v>
      </c>
    </row>
    <row r="1579" ht="18" spans="1:11">
      <c r="A1579" s="14">
        <f t="shared" si="72"/>
        <v>1578</v>
      </c>
      <c r="B1579" s="11" t="s">
        <v>5509</v>
      </c>
      <c r="C1579" s="124" t="str">
        <f>IFERROR(INDEX(面试清单!D:D,MATCH(1578,面试清单!P:P,0)),"")</f>
        <v>0209</v>
      </c>
      <c r="D1579" s="11" t="s">
        <v>42</v>
      </c>
      <c r="E1579" s="11" t="s">
        <v>62</v>
      </c>
      <c r="F1579" s="11" t="s">
        <v>124</v>
      </c>
      <c r="G1579" s="15">
        <v>46155</v>
      </c>
      <c r="H1579" s="14" t="str">
        <f>IFERROR(INDEX(面试清单!H:H,MATCH(1578,面试清单!P:P,0)),"")</f>
        <v>线上</v>
      </c>
      <c r="I1579" s="13" t="s">
        <v>29</v>
      </c>
      <c r="J1579" s="14">
        <f ca="1" t="shared" si="73"/>
        <v>34</v>
      </c>
      <c r="K1579" s="14">
        <f ca="1" t="shared" si="74"/>
        <v>16</v>
      </c>
    </row>
    <row r="1580" ht="18" spans="1:11">
      <c r="A1580" s="10">
        <f t="shared" si="72"/>
        <v>1579</v>
      </c>
      <c r="B1580" s="11" t="s">
        <v>5510</v>
      </c>
      <c r="C1580" s="125" t="str">
        <f>IFERROR(INDEX(面试清单!D:D,MATCH(1579,面试清单!P:P,0)),"")</f>
        <v>0212</v>
      </c>
      <c r="D1580" s="11" t="s">
        <v>42</v>
      </c>
      <c r="E1580" s="11" t="s">
        <v>62</v>
      </c>
      <c r="F1580" s="11" t="s">
        <v>124</v>
      </c>
      <c r="G1580" s="15">
        <v>46155</v>
      </c>
      <c r="H1580" s="10" t="str">
        <f>IFERROR(INDEX(面试清单!H:H,MATCH(1579,面试清单!P:P,0)),"")</f>
        <v>线上</v>
      </c>
      <c r="I1580" s="13" t="s">
        <v>29</v>
      </c>
      <c r="J1580" s="10">
        <f ca="1" t="shared" si="73"/>
        <v>34</v>
      </c>
      <c r="K1580" s="10">
        <f ca="1" t="shared" si="74"/>
        <v>16</v>
      </c>
    </row>
    <row r="1581" ht="18" spans="1:11">
      <c r="A1581" s="14">
        <f t="shared" si="72"/>
        <v>1580</v>
      </c>
      <c r="B1581" s="11" t="s">
        <v>5511</v>
      </c>
      <c r="C1581" s="124" t="str">
        <f>IFERROR(INDEX(面试清单!D:D,MATCH(1580,面试清单!P:P,0)),"")</f>
        <v>0214</v>
      </c>
      <c r="D1581" s="11" t="s">
        <v>42</v>
      </c>
      <c r="E1581" s="11" t="s">
        <v>62</v>
      </c>
      <c r="F1581" s="11" t="s">
        <v>124</v>
      </c>
      <c r="G1581" s="15">
        <v>46155</v>
      </c>
      <c r="H1581" s="14" t="str">
        <f>IFERROR(INDEX(面试清单!H:H,MATCH(1580,面试清单!P:P,0)),"")</f>
        <v>线上</v>
      </c>
      <c r="I1581" s="13" t="s">
        <v>29</v>
      </c>
      <c r="J1581" s="14">
        <f ca="1" t="shared" si="73"/>
        <v>34</v>
      </c>
      <c r="K1581" s="14">
        <f ca="1" t="shared" si="74"/>
        <v>16</v>
      </c>
    </row>
    <row r="1582" ht="18" spans="1:11">
      <c r="A1582" s="10">
        <f t="shared" si="72"/>
        <v>1581</v>
      </c>
      <c r="B1582" s="11" t="s">
        <v>5512</v>
      </c>
      <c r="C1582" s="125" t="str">
        <f>IFERROR(INDEX(面试清单!D:D,MATCH(1581,面试清单!P:P,0)),"")</f>
        <v>0217</v>
      </c>
      <c r="D1582" s="11" t="s">
        <v>43</v>
      </c>
      <c r="E1582" s="11" t="s">
        <v>62</v>
      </c>
      <c r="F1582" s="11" t="s">
        <v>124</v>
      </c>
      <c r="G1582" s="15">
        <v>46155</v>
      </c>
      <c r="H1582" s="10" t="str">
        <f>IFERROR(INDEX(面试清单!H:H,MATCH(1581,面试清单!P:P,0)),"")</f>
        <v>线上</v>
      </c>
      <c r="I1582" s="13" t="s">
        <v>29</v>
      </c>
      <c r="J1582" s="10">
        <f ca="1" t="shared" si="73"/>
        <v>34</v>
      </c>
      <c r="K1582" s="10">
        <f ca="1" t="shared" si="74"/>
        <v>16</v>
      </c>
    </row>
    <row r="1583" ht="18" spans="1:11">
      <c r="A1583" s="14">
        <f t="shared" si="72"/>
        <v>1582</v>
      </c>
      <c r="B1583" s="11" t="s">
        <v>5513</v>
      </c>
      <c r="C1583" s="14" t="str">
        <f>IFERROR(INDEX(面试清单!D:D,MATCH(1582,面试清单!P:P,0)),"")</f>
        <v/>
      </c>
      <c r="D1583" s="11" t="s">
        <v>42</v>
      </c>
      <c r="E1583" s="11" t="s">
        <v>62</v>
      </c>
      <c r="F1583" s="11" t="s">
        <v>103</v>
      </c>
      <c r="G1583" s="15">
        <v>46155</v>
      </c>
      <c r="H1583" s="14" t="str">
        <f>IFERROR(INDEX(面试清单!H:H,MATCH(1582,面试清单!P:P,0)),"")</f>
        <v/>
      </c>
      <c r="I1583" s="13" t="s">
        <v>29</v>
      </c>
      <c r="J1583" s="14">
        <f ca="1" t="shared" si="73"/>
        <v>34</v>
      </c>
      <c r="K1583" s="14">
        <f ca="1" t="shared" si="74"/>
        <v>16</v>
      </c>
    </row>
    <row r="1584" ht="18" spans="1:11">
      <c r="A1584" s="10">
        <f t="shared" si="72"/>
        <v>1583</v>
      </c>
      <c r="B1584" s="11" t="s">
        <v>5514</v>
      </c>
      <c r="C1584" s="10" t="str">
        <f>IFERROR(INDEX(面试清单!D:D,MATCH(1583,面试清单!P:P,0)),"")</f>
        <v/>
      </c>
      <c r="D1584" s="11" t="s">
        <v>42</v>
      </c>
      <c r="E1584" s="11" t="s">
        <v>62</v>
      </c>
      <c r="F1584" s="11" t="s">
        <v>103</v>
      </c>
      <c r="G1584" s="15">
        <v>46155</v>
      </c>
      <c r="H1584" s="10" t="str">
        <f>IFERROR(INDEX(面试清单!H:H,MATCH(1583,面试清单!P:P,0)),"")</f>
        <v/>
      </c>
      <c r="I1584" s="13" t="s">
        <v>29</v>
      </c>
      <c r="J1584" s="10">
        <f ca="1" t="shared" si="73"/>
        <v>34</v>
      </c>
      <c r="K1584" s="10">
        <f ca="1" t="shared" si="74"/>
        <v>16</v>
      </c>
    </row>
    <row r="1585" ht="18" spans="1:11">
      <c r="A1585" s="14">
        <f t="shared" si="72"/>
        <v>1584</v>
      </c>
      <c r="B1585" s="11" t="s">
        <v>5515</v>
      </c>
      <c r="C1585" s="14" t="str">
        <f>IFERROR(INDEX(面试清单!D:D,MATCH(1584,面试清单!P:P,0)),"")</f>
        <v/>
      </c>
      <c r="D1585" s="11" t="s">
        <v>42</v>
      </c>
      <c r="E1585" s="11" t="s">
        <v>62</v>
      </c>
      <c r="F1585" s="11" t="s">
        <v>103</v>
      </c>
      <c r="G1585" s="15">
        <v>46155</v>
      </c>
      <c r="H1585" s="14" t="str">
        <f>IFERROR(INDEX(面试清单!H:H,MATCH(1584,面试清单!P:P,0)),"")</f>
        <v/>
      </c>
      <c r="I1585" s="13" t="s">
        <v>29</v>
      </c>
      <c r="J1585" s="14">
        <f ca="1" t="shared" si="73"/>
        <v>34</v>
      </c>
      <c r="K1585" s="14">
        <f ca="1" t="shared" si="74"/>
        <v>16</v>
      </c>
    </row>
    <row r="1586" ht="36" spans="1:11">
      <c r="A1586" s="10">
        <f t="shared" si="72"/>
        <v>1585</v>
      </c>
      <c r="B1586" s="11" t="s">
        <v>5516</v>
      </c>
      <c r="C1586" s="10" t="str">
        <f>IFERROR(INDEX(面试清单!D:D,MATCH(1585,面试清单!P:P,0)),"")</f>
        <v/>
      </c>
      <c r="D1586" s="11" t="s">
        <v>43</v>
      </c>
      <c r="E1586" s="11" t="s">
        <v>62</v>
      </c>
      <c r="F1586" s="11" t="s">
        <v>233</v>
      </c>
      <c r="G1586" s="15">
        <v>46155</v>
      </c>
      <c r="H1586" s="10" t="str">
        <f>IFERROR(INDEX(面试清单!H:H,MATCH(1585,面试清单!P:P,0)),"")</f>
        <v/>
      </c>
      <c r="I1586" s="13" t="s">
        <v>29</v>
      </c>
      <c r="J1586" s="10">
        <f ca="1" t="shared" si="73"/>
        <v>34</v>
      </c>
      <c r="K1586" s="10">
        <f ca="1" t="shared" si="74"/>
        <v>16</v>
      </c>
    </row>
    <row r="1587" ht="18" spans="1:11">
      <c r="A1587" s="14">
        <f t="shared" si="72"/>
        <v>1586</v>
      </c>
      <c r="B1587" s="11" t="s">
        <v>5517</v>
      </c>
      <c r="C1587" s="124" t="str">
        <f>IFERROR(INDEX(面试清单!D:D,MATCH(1586,面试清单!P:P,0)),"")</f>
        <v>0208</v>
      </c>
      <c r="D1587" s="11" t="s">
        <v>42</v>
      </c>
      <c r="E1587" s="11" t="s">
        <v>63</v>
      </c>
      <c r="F1587" s="11" t="s">
        <v>3356</v>
      </c>
      <c r="G1587" s="15">
        <v>46155</v>
      </c>
      <c r="H1587" s="14" t="str">
        <f>IFERROR(INDEX(面试清单!H:H,MATCH(1586,面试清单!P:P,0)),"")</f>
        <v>线上</v>
      </c>
      <c r="I1587" s="13" t="s">
        <v>29</v>
      </c>
      <c r="J1587" s="14">
        <f ca="1" t="shared" si="73"/>
        <v>34</v>
      </c>
      <c r="K1587" s="14">
        <f ca="1" t="shared" si="74"/>
        <v>16</v>
      </c>
    </row>
    <row r="1588" ht="18" spans="1:11">
      <c r="A1588" s="10">
        <f t="shared" si="72"/>
        <v>1587</v>
      </c>
      <c r="B1588" s="11" t="s">
        <v>5518</v>
      </c>
      <c r="C1588" s="10" t="str">
        <f>IFERROR(INDEX(面试清单!D:D,MATCH(1587,面试清单!P:P,0)),"")</f>
        <v/>
      </c>
      <c r="D1588" s="11" t="s">
        <v>42</v>
      </c>
      <c r="E1588" s="11" t="s">
        <v>62</v>
      </c>
      <c r="F1588" s="11" t="s">
        <v>509</v>
      </c>
      <c r="G1588" s="15">
        <v>46155</v>
      </c>
      <c r="H1588" s="10" t="str">
        <f>IFERROR(INDEX(面试清单!H:H,MATCH(1587,面试清单!P:P,0)),"")</f>
        <v/>
      </c>
      <c r="I1588" s="13" t="s">
        <v>29</v>
      </c>
      <c r="J1588" s="10">
        <f ca="1" t="shared" si="73"/>
        <v>34</v>
      </c>
      <c r="K1588" s="10">
        <f ca="1" t="shared" si="74"/>
        <v>16</v>
      </c>
    </row>
    <row r="1589" ht="18" spans="1:11">
      <c r="A1589" s="14">
        <f t="shared" si="72"/>
        <v>1588</v>
      </c>
      <c r="B1589" s="11" t="s">
        <v>5519</v>
      </c>
      <c r="C1589" s="14" t="str">
        <f>IFERROR(INDEX(面试清单!D:D,MATCH(1588,面试清单!P:P,0)),"")</f>
        <v/>
      </c>
      <c r="D1589" s="11" t="s">
        <v>43</v>
      </c>
      <c r="E1589" s="11" t="s">
        <v>62</v>
      </c>
      <c r="F1589" s="11" t="s">
        <v>179</v>
      </c>
      <c r="G1589" s="15">
        <v>46155</v>
      </c>
      <c r="H1589" s="14" t="str">
        <f>IFERROR(INDEX(面试清单!H:H,MATCH(1588,面试清单!P:P,0)),"")</f>
        <v/>
      </c>
      <c r="I1589" s="13" t="s">
        <v>29</v>
      </c>
      <c r="J1589" s="14">
        <f ca="1" t="shared" si="73"/>
        <v>34</v>
      </c>
      <c r="K1589" s="14">
        <f ca="1" t="shared" si="74"/>
        <v>16</v>
      </c>
    </row>
    <row r="1590" ht="18" spans="1:11">
      <c r="A1590" s="10">
        <f t="shared" si="72"/>
        <v>1589</v>
      </c>
      <c r="B1590" s="11" t="s">
        <v>5520</v>
      </c>
      <c r="C1590" s="125" t="str">
        <f>IFERROR(INDEX(面试清单!D:D,MATCH(1589,面试清单!P:P,0)),"")</f>
        <v>0214</v>
      </c>
      <c r="D1590" s="11" t="s">
        <v>42</v>
      </c>
      <c r="E1590" s="11" t="s">
        <v>63</v>
      </c>
      <c r="F1590" s="11" t="s">
        <v>246</v>
      </c>
      <c r="G1590" s="15">
        <v>46155</v>
      </c>
      <c r="H1590" s="10" t="str">
        <f>IFERROR(INDEX(面试清单!H:H,MATCH(1589,面试清单!P:P,0)),"")</f>
        <v>线上</v>
      </c>
      <c r="I1590" s="13" t="s">
        <v>29</v>
      </c>
      <c r="J1590" s="10">
        <f ca="1" t="shared" si="73"/>
        <v>34</v>
      </c>
      <c r="K1590" s="10">
        <f ca="1" t="shared" si="74"/>
        <v>16</v>
      </c>
    </row>
    <row r="1591" ht="18" spans="1:11">
      <c r="A1591" s="14">
        <f t="shared" si="72"/>
        <v>1590</v>
      </c>
      <c r="B1591" s="11" t="s">
        <v>5521</v>
      </c>
      <c r="C1591" s="124" t="str">
        <f>IFERROR(INDEX(面试清单!D:D,MATCH(1590,面试清单!P:P,0)),"")</f>
        <v>0217</v>
      </c>
      <c r="D1591" s="11" t="s">
        <v>42</v>
      </c>
      <c r="E1591" s="11" t="s">
        <v>63</v>
      </c>
      <c r="F1591" s="11" t="s">
        <v>173</v>
      </c>
      <c r="G1591" s="15">
        <v>46155</v>
      </c>
      <c r="H1591" s="14" t="str">
        <f>IFERROR(INDEX(面试清单!H:H,MATCH(1590,面试清单!P:P,0)),"")</f>
        <v>线上</v>
      </c>
      <c r="I1591" s="13" t="s">
        <v>29</v>
      </c>
      <c r="J1591" s="14">
        <f ca="1" t="shared" si="73"/>
        <v>34</v>
      </c>
      <c r="K1591" s="14">
        <f ca="1" t="shared" si="74"/>
        <v>16</v>
      </c>
    </row>
    <row r="1592" ht="18" spans="1:11">
      <c r="A1592" s="10">
        <f t="shared" si="72"/>
        <v>1591</v>
      </c>
      <c r="B1592" s="11" t="s">
        <v>5522</v>
      </c>
      <c r="C1592" s="10" t="str">
        <f>IFERROR(INDEX(面试清单!D:D,MATCH(1591,面试清单!P:P,0)),"")</f>
        <v/>
      </c>
      <c r="D1592" s="11" t="s">
        <v>43</v>
      </c>
      <c r="E1592" s="11" t="s">
        <v>63</v>
      </c>
      <c r="F1592" s="11" t="s">
        <v>173</v>
      </c>
      <c r="G1592" s="15">
        <v>46155</v>
      </c>
      <c r="H1592" s="10" t="str">
        <f>IFERROR(INDEX(面试清单!H:H,MATCH(1591,面试清单!P:P,0)),"")</f>
        <v/>
      </c>
      <c r="I1592" s="13" t="s">
        <v>29</v>
      </c>
      <c r="J1592" s="10">
        <f ca="1" t="shared" si="73"/>
        <v>34</v>
      </c>
      <c r="K1592" s="10">
        <f ca="1" t="shared" si="74"/>
        <v>16</v>
      </c>
    </row>
    <row r="1593" ht="18" spans="1:11">
      <c r="A1593" s="14">
        <f t="shared" si="72"/>
        <v>1592</v>
      </c>
      <c r="B1593" s="11" t="s">
        <v>5523</v>
      </c>
      <c r="C1593" s="14" t="str">
        <f>IFERROR(INDEX(面试清单!D:D,MATCH(1592,面试清单!P:P,0)),"")</f>
        <v/>
      </c>
      <c r="D1593" s="11" t="s">
        <v>43</v>
      </c>
      <c r="E1593" s="11" t="s">
        <v>62</v>
      </c>
      <c r="F1593" s="11" t="s">
        <v>173</v>
      </c>
      <c r="G1593" s="15">
        <v>46155</v>
      </c>
      <c r="H1593" s="14" t="str">
        <f>IFERROR(INDEX(面试清单!H:H,MATCH(1592,面试清单!P:P,0)),"")</f>
        <v/>
      </c>
      <c r="I1593" s="13" t="s">
        <v>29</v>
      </c>
      <c r="J1593" s="14">
        <f ca="1" t="shared" si="73"/>
        <v>34</v>
      </c>
      <c r="K1593" s="14">
        <f ca="1" t="shared" si="74"/>
        <v>16</v>
      </c>
    </row>
    <row r="1594" ht="18" spans="1:11">
      <c r="A1594" s="10">
        <f t="shared" si="72"/>
        <v>1593</v>
      </c>
      <c r="B1594" s="11" t="s">
        <v>5524</v>
      </c>
      <c r="C1594" s="10" t="str">
        <f>IFERROR(INDEX(面试清单!D:D,MATCH(1593,面试清单!P:P,0)),"")</f>
        <v/>
      </c>
      <c r="D1594" s="11" t="s">
        <v>43</v>
      </c>
      <c r="E1594" s="11" t="s">
        <v>64</v>
      </c>
      <c r="F1594" s="11" t="s">
        <v>124</v>
      </c>
      <c r="G1594" s="15">
        <v>46155</v>
      </c>
      <c r="H1594" s="10" t="str">
        <f>IFERROR(INDEX(面试清单!H:H,MATCH(1593,面试清单!P:P,0)),"")</f>
        <v/>
      </c>
      <c r="I1594" s="13" t="s">
        <v>29</v>
      </c>
      <c r="J1594" s="10">
        <f ca="1" t="shared" si="73"/>
        <v>34</v>
      </c>
      <c r="K1594" s="10">
        <f ca="1" t="shared" si="74"/>
        <v>16</v>
      </c>
    </row>
    <row r="1595" ht="18" spans="1:11">
      <c r="A1595" s="14">
        <f t="shared" si="72"/>
        <v>1594</v>
      </c>
      <c r="B1595" s="11" t="s">
        <v>5525</v>
      </c>
      <c r="C1595" s="14" t="str">
        <f>IFERROR(INDEX(面试清单!D:D,MATCH(1594,面试清单!P:P,0)),"")</f>
        <v/>
      </c>
      <c r="D1595" s="11" t="s">
        <v>74</v>
      </c>
      <c r="E1595" s="11" t="s">
        <v>64</v>
      </c>
      <c r="F1595" s="11" t="s">
        <v>179</v>
      </c>
      <c r="G1595" s="15">
        <v>46155</v>
      </c>
      <c r="H1595" s="14" t="str">
        <f>IFERROR(INDEX(面试清单!H:H,MATCH(1594,面试清单!P:P,0)),"")</f>
        <v/>
      </c>
      <c r="I1595" s="13" t="s">
        <v>29</v>
      </c>
      <c r="J1595" s="14">
        <f ca="1" t="shared" si="73"/>
        <v>34</v>
      </c>
      <c r="K1595" s="14">
        <f ca="1" t="shared" si="74"/>
        <v>16</v>
      </c>
    </row>
    <row r="1596" ht="18" spans="1:11">
      <c r="A1596" s="10">
        <f t="shared" si="72"/>
        <v>1595</v>
      </c>
      <c r="B1596" s="11" t="s">
        <v>5526</v>
      </c>
      <c r="C1596" s="125" t="str">
        <f>IFERROR(INDEX(面试清单!D:D,MATCH(1595,面试清单!P:P,0)),"")</f>
        <v>0208</v>
      </c>
      <c r="D1596" s="11" t="s">
        <v>42</v>
      </c>
      <c r="E1596" s="11" t="s">
        <v>63</v>
      </c>
      <c r="F1596" s="11" t="s">
        <v>179</v>
      </c>
      <c r="G1596" s="15">
        <v>46155</v>
      </c>
      <c r="H1596" s="10" t="str">
        <f>IFERROR(INDEX(面试清单!H:H,MATCH(1595,面试清单!P:P,0)),"")</f>
        <v>线上</v>
      </c>
      <c r="I1596" s="13" t="s">
        <v>29</v>
      </c>
      <c r="J1596" s="10">
        <f ca="1" t="shared" si="73"/>
        <v>34</v>
      </c>
      <c r="K1596" s="10">
        <f ca="1" t="shared" si="74"/>
        <v>16</v>
      </c>
    </row>
    <row r="1597" ht="18" spans="1:11">
      <c r="A1597" s="14">
        <f t="shared" si="72"/>
        <v>1596</v>
      </c>
      <c r="B1597" s="11" t="s">
        <v>5527</v>
      </c>
      <c r="C1597" s="14" t="str">
        <f>IFERROR(INDEX(面试清单!D:D,MATCH(1596,面试清单!P:P,0)),"")</f>
        <v/>
      </c>
      <c r="D1597" s="11" t="s">
        <v>74</v>
      </c>
      <c r="E1597" s="11" t="s">
        <v>64</v>
      </c>
      <c r="F1597" s="11" t="s">
        <v>103</v>
      </c>
      <c r="G1597" s="15">
        <v>46155</v>
      </c>
      <c r="H1597" s="14" t="str">
        <f>IFERROR(INDEX(面试清单!H:H,MATCH(1596,面试清单!P:P,0)),"")</f>
        <v/>
      </c>
      <c r="I1597" s="13" t="s">
        <v>29</v>
      </c>
      <c r="J1597" s="14">
        <f ca="1" t="shared" si="73"/>
        <v>34</v>
      </c>
      <c r="K1597" s="14">
        <f ca="1" t="shared" si="74"/>
        <v>16</v>
      </c>
    </row>
    <row r="1598" ht="18" spans="1:11">
      <c r="A1598" s="10">
        <f t="shared" si="72"/>
        <v>1597</v>
      </c>
      <c r="B1598" s="11" t="s">
        <v>5528</v>
      </c>
      <c r="C1598" s="10" t="str">
        <f>IFERROR(INDEX(面试清单!D:D,MATCH(1597,面试清单!P:P,0)),"")</f>
        <v/>
      </c>
      <c r="D1598" s="11" t="s">
        <v>42</v>
      </c>
      <c r="E1598" s="11" t="s">
        <v>62</v>
      </c>
      <c r="F1598" s="11" t="s">
        <v>103</v>
      </c>
      <c r="G1598" s="15">
        <v>46155</v>
      </c>
      <c r="H1598" s="10" t="str">
        <f>IFERROR(INDEX(面试清单!H:H,MATCH(1597,面试清单!P:P,0)),"")</f>
        <v/>
      </c>
      <c r="I1598" s="13" t="s">
        <v>29</v>
      </c>
      <c r="J1598" s="10">
        <f ca="1" t="shared" si="73"/>
        <v>34</v>
      </c>
      <c r="K1598" s="10">
        <f ca="1" t="shared" si="74"/>
        <v>16</v>
      </c>
    </row>
    <row r="1599" ht="18" spans="1:11">
      <c r="A1599" s="14">
        <f t="shared" si="72"/>
        <v>1598</v>
      </c>
      <c r="B1599" s="11" t="s">
        <v>5529</v>
      </c>
      <c r="C1599" s="124" t="str">
        <f>IFERROR(INDEX(面试清单!D:D,MATCH(1598,面试清单!P:P,0)),"")</f>
        <v>0214</v>
      </c>
      <c r="D1599" s="11" t="s">
        <v>42</v>
      </c>
      <c r="E1599" s="11" t="s">
        <v>62</v>
      </c>
      <c r="F1599" s="11" t="s">
        <v>103</v>
      </c>
      <c r="G1599" s="15">
        <v>46155</v>
      </c>
      <c r="H1599" s="14" t="str">
        <f>IFERROR(INDEX(面试清单!H:H,MATCH(1598,面试清单!P:P,0)),"")</f>
        <v>线上</v>
      </c>
      <c r="I1599" s="13" t="s">
        <v>29</v>
      </c>
      <c r="J1599" s="14">
        <f ca="1" t="shared" si="73"/>
        <v>34</v>
      </c>
      <c r="K1599" s="14">
        <f ca="1" t="shared" si="74"/>
        <v>16</v>
      </c>
    </row>
    <row r="1600" ht="18" spans="1:11">
      <c r="A1600" s="10">
        <f t="shared" si="72"/>
        <v>1599</v>
      </c>
      <c r="B1600" s="11" t="s">
        <v>5530</v>
      </c>
      <c r="C1600" s="125" t="str">
        <f>IFERROR(INDEX(面试清单!D:D,MATCH(1599,面试清单!P:P,0)),"")</f>
        <v>0217</v>
      </c>
      <c r="D1600" s="11" t="s">
        <v>74</v>
      </c>
      <c r="E1600" s="11" t="s">
        <v>190</v>
      </c>
      <c r="F1600" s="11" t="s">
        <v>179</v>
      </c>
      <c r="G1600" s="15">
        <v>46155</v>
      </c>
      <c r="H1600" s="10" t="str">
        <f>IFERROR(INDEX(面试清单!H:H,MATCH(1599,面试清单!P:P,0)),"")</f>
        <v>线上</v>
      </c>
      <c r="I1600" s="13" t="s">
        <v>29</v>
      </c>
      <c r="J1600" s="10">
        <f ca="1" t="shared" si="73"/>
        <v>34</v>
      </c>
      <c r="K1600" s="10">
        <f ca="1" t="shared" si="74"/>
        <v>16</v>
      </c>
    </row>
    <row r="1601" ht="18" spans="1:11">
      <c r="A1601" s="14">
        <f t="shared" si="72"/>
        <v>1600</v>
      </c>
      <c r="B1601" s="11" t="s">
        <v>5531</v>
      </c>
      <c r="C1601" s="124" t="str">
        <f>IFERROR(INDEX(面试清单!D:D,MATCH(1600,面试清单!P:P,0)),"")</f>
        <v>0218</v>
      </c>
      <c r="D1601" s="11" t="s">
        <v>43</v>
      </c>
      <c r="E1601" s="11" t="s">
        <v>64</v>
      </c>
      <c r="F1601" s="11" t="s">
        <v>103</v>
      </c>
      <c r="G1601" s="15">
        <v>46155</v>
      </c>
      <c r="H1601" s="14" t="str">
        <f>IFERROR(INDEX(面试清单!H:H,MATCH(1600,面试清单!P:P,0)),"")</f>
        <v>线上</v>
      </c>
      <c r="I1601" s="13" t="s">
        <v>29</v>
      </c>
      <c r="J1601" s="14">
        <f ca="1" t="shared" si="73"/>
        <v>34</v>
      </c>
      <c r="K1601" s="14">
        <f ca="1" t="shared" si="74"/>
        <v>16</v>
      </c>
    </row>
    <row r="1602" ht="18" spans="1:11">
      <c r="A1602" s="10">
        <f t="shared" ref="A1602:A1665" si="75">IF(B1602&lt;&gt;"",ROW()-1,"")</f>
        <v>1601</v>
      </c>
      <c r="B1602" s="11" t="s">
        <v>5532</v>
      </c>
      <c r="C1602" s="10" t="str">
        <f>IFERROR(INDEX(面试清单!D:D,MATCH(1601,面试清单!P:P,0)),"")</f>
        <v/>
      </c>
      <c r="D1602" s="11" t="s">
        <v>42</v>
      </c>
      <c r="E1602" s="11" t="s">
        <v>64</v>
      </c>
      <c r="F1602" s="11" t="s">
        <v>179</v>
      </c>
      <c r="G1602" s="15">
        <v>46155</v>
      </c>
      <c r="H1602" s="10" t="str">
        <f>IFERROR(INDEX(面试清单!H:H,MATCH(1601,面试清单!P:P,0)),"")</f>
        <v/>
      </c>
      <c r="I1602" s="13" t="s">
        <v>29</v>
      </c>
      <c r="J1602" s="10">
        <f ca="1" t="shared" ref="J1602:J1665" si="76">IF(G1602&lt;&gt;"",TODAY()-G1602,"")</f>
        <v>34</v>
      </c>
      <c r="K1602" s="10">
        <f ca="1" t="shared" ref="K1602:K1665" si="77">IF(G1602&lt;&gt;"",MAX(0,MIN(TODAY(),EOMONTH(TODAY(),0))-MAX(G1602,EOMONTH(TODAY(),-1)+1)+1),"")</f>
        <v>16</v>
      </c>
    </row>
    <row r="1603" ht="18" spans="1:11">
      <c r="A1603" s="14">
        <f t="shared" si="75"/>
        <v>1602</v>
      </c>
      <c r="B1603" s="11" t="s">
        <v>5533</v>
      </c>
      <c r="C1603" s="14" t="str">
        <f>IFERROR(INDEX(面试清单!D:D,MATCH(1602,面试清单!P:P,0)),"")</f>
        <v/>
      </c>
      <c r="D1603" s="11" t="s">
        <v>74</v>
      </c>
      <c r="E1603" s="11" t="s">
        <v>64</v>
      </c>
      <c r="F1603" s="11" t="s">
        <v>179</v>
      </c>
      <c r="G1603" s="15">
        <v>46155</v>
      </c>
      <c r="H1603" s="14" t="str">
        <f>IFERROR(INDEX(面试清单!H:H,MATCH(1602,面试清单!P:P,0)),"")</f>
        <v/>
      </c>
      <c r="I1603" s="13" t="s">
        <v>29</v>
      </c>
      <c r="J1603" s="14">
        <f ca="1" t="shared" si="76"/>
        <v>34</v>
      </c>
      <c r="K1603" s="14">
        <f ca="1" t="shared" si="77"/>
        <v>16</v>
      </c>
    </row>
    <row r="1604" ht="18" spans="1:11">
      <c r="A1604" s="10">
        <f t="shared" si="75"/>
        <v>1603</v>
      </c>
      <c r="B1604" s="11" t="s">
        <v>5534</v>
      </c>
      <c r="C1604" s="10" t="str">
        <f>IFERROR(INDEX(面试清单!D:D,MATCH(1603,面试清单!P:P,0)),"")</f>
        <v/>
      </c>
      <c r="D1604" s="11" t="s">
        <v>74</v>
      </c>
      <c r="E1604" s="11" t="s">
        <v>64</v>
      </c>
      <c r="F1604" s="11" t="s">
        <v>179</v>
      </c>
      <c r="G1604" s="15">
        <v>46155</v>
      </c>
      <c r="H1604" s="10" t="str">
        <f>IFERROR(INDEX(面试清单!H:H,MATCH(1603,面试清单!P:P,0)),"")</f>
        <v/>
      </c>
      <c r="I1604" s="13" t="s">
        <v>29</v>
      </c>
      <c r="J1604" s="10">
        <f ca="1" t="shared" si="76"/>
        <v>34</v>
      </c>
      <c r="K1604" s="10">
        <f ca="1" t="shared" si="77"/>
        <v>16</v>
      </c>
    </row>
    <row r="1605" ht="18" spans="1:11">
      <c r="A1605" s="14">
        <f t="shared" si="75"/>
        <v>1604</v>
      </c>
      <c r="B1605" s="11" t="s">
        <v>5535</v>
      </c>
      <c r="C1605" s="124" t="str">
        <f>IFERROR(INDEX(面试清单!D:D,MATCH(1604,面试清单!P:P,0)),"")</f>
        <v>0208</v>
      </c>
      <c r="D1605" s="11" t="s">
        <v>74</v>
      </c>
      <c r="E1605" s="11" t="s">
        <v>190</v>
      </c>
      <c r="F1605" s="11" t="s">
        <v>179</v>
      </c>
      <c r="G1605" s="15">
        <v>46155</v>
      </c>
      <c r="H1605" s="14" t="str">
        <f>IFERROR(INDEX(面试清单!H:H,MATCH(1604,面试清单!P:P,0)),"")</f>
        <v>线上</v>
      </c>
      <c r="I1605" s="13" t="s">
        <v>29</v>
      </c>
      <c r="J1605" s="14">
        <f ca="1" t="shared" si="76"/>
        <v>34</v>
      </c>
      <c r="K1605" s="14">
        <f ca="1" t="shared" si="77"/>
        <v>16</v>
      </c>
    </row>
    <row r="1606" ht="18" spans="1:11">
      <c r="A1606" s="10">
        <f t="shared" si="75"/>
        <v>1605</v>
      </c>
      <c r="B1606" s="11" t="s">
        <v>5536</v>
      </c>
      <c r="C1606" s="10" t="str">
        <f>IFERROR(INDEX(面试清单!D:D,MATCH(1605,面试清单!P:P,0)),"")</f>
        <v/>
      </c>
      <c r="D1606" s="11" t="s">
        <v>42</v>
      </c>
      <c r="E1606" s="11" t="s">
        <v>63</v>
      </c>
      <c r="F1606" s="11" t="s">
        <v>954</v>
      </c>
      <c r="G1606" s="15">
        <v>46155</v>
      </c>
      <c r="H1606" s="10" t="str">
        <f>IFERROR(INDEX(面试清单!H:H,MATCH(1605,面试清单!P:P,0)),"")</f>
        <v/>
      </c>
      <c r="I1606" s="13" t="s">
        <v>29</v>
      </c>
      <c r="J1606" s="10">
        <f ca="1" t="shared" si="76"/>
        <v>34</v>
      </c>
      <c r="K1606" s="10">
        <f ca="1" t="shared" si="77"/>
        <v>16</v>
      </c>
    </row>
    <row r="1607" ht="18" spans="1:11">
      <c r="A1607" s="14">
        <f t="shared" si="75"/>
        <v>1606</v>
      </c>
      <c r="B1607" s="11" t="s">
        <v>5537</v>
      </c>
      <c r="C1607" s="124" t="str">
        <f>IFERROR(INDEX(面试清单!D:D,MATCH(1606,面试清单!P:P,0)),"")</f>
        <v>0209</v>
      </c>
      <c r="D1607" s="11" t="s">
        <v>42</v>
      </c>
      <c r="E1607" s="11" t="s">
        <v>63</v>
      </c>
      <c r="F1607" s="11" t="s">
        <v>179</v>
      </c>
      <c r="G1607" s="15">
        <v>46155</v>
      </c>
      <c r="H1607" s="14" t="str">
        <f>IFERROR(INDEX(面试清单!H:H,MATCH(1606,面试清单!P:P,0)),"")</f>
        <v>线上</v>
      </c>
      <c r="I1607" s="13" t="s">
        <v>29</v>
      </c>
      <c r="J1607" s="14">
        <f ca="1" t="shared" si="76"/>
        <v>34</v>
      </c>
      <c r="K1607" s="14">
        <f ca="1" t="shared" si="77"/>
        <v>16</v>
      </c>
    </row>
    <row r="1608" ht="18" spans="1:11">
      <c r="A1608" s="10">
        <f t="shared" si="75"/>
        <v>1607</v>
      </c>
      <c r="B1608" s="11" t="s">
        <v>5538</v>
      </c>
      <c r="C1608" s="125" t="str">
        <f>IFERROR(INDEX(面试清单!D:D,MATCH(1607,面试清单!P:P,0)),"")</f>
        <v>0212</v>
      </c>
      <c r="D1608" s="11" t="s">
        <v>43</v>
      </c>
      <c r="E1608" s="11" t="s">
        <v>62</v>
      </c>
      <c r="F1608" s="11" t="s">
        <v>129</v>
      </c>
      <c r="G1608" s="15">
        <v>46156</v>
      </c>
      <c r="H1608" s="10" t="str">
        <f>IFERROR(INDEX(面试清单!H:H,MATCH(1607,面试清单!P:P,0)),"")</f>
        <v>线上</v>
      </c>
      <c r="I1608" s="13" t="s">
        <v>29</v>
      </c>
      <c r="J1608" s="10">
        <f ca="1" t="shared" si="76"/>
        <v>33</v>
      </c>
      <c r="K1608" s="10">
        <f ca="1" t="shared" si="77"/>
        <v>16</v>
      </c>
    </row>
    <row r="1609" ht="18" spans="1:11">
      <c r="A1609" s="14">
        <f t="shared" si="75"/>
        <v>1608</v>
      </c>
      <c r="B1609" s="11" t="s">
        <v>5539</v>
      </c>
      <c r="C1609" s="14" t="str">
        <f>IFERROR(INDEX(面试清单!D:D,MATCH(1608,面试清单!P:P,0)),"")</f>
        <v/>
      </c>
      <c r="D1609" s="11" t="s">
        <v>42</v>
      </c>
      <c r="E1609" s="11" t="s">
        <v>63</v>
      </c>
      <c r="F1609" s="11" t="s">
        <v>129</v>
      </c>
      <c r="G1609" s="15">
        <v>46156</v>
      </c>
      <c r="H1609" s="14" t="str">
        <f>IFERROR(INDEX(面试清单!H:H,MATCH(1608,面试清单!P:P,0)),"")</f>
        <v/>
      </c>
      <c r="I1609" s="13" t="s">
        <v>29</v>
      </c>
      <c r="J1609" s="14">
        <f ca="1" t="shared" si="76"/>
        <v>33</v>
      </c>
      <c r="K1609" s="14">
        <f ca="1" t="shared" si="77"/>
        <v>16</v>
      </c>
    </row>
    <row r="1610" ht="18" spans="1:11">
      <c r="A1610" s="10">
        <f t="shared" si="75"/>
        <v>1609</v>
      </c>
      <c r="B1610" s="11" t="s">
        <v>5540</v>
      </c>
      <c r="C1610" s="10" t="str">
        <f>IFERROR(INDEX(面试清单!D:D,MATCH(1609,面试清单!P:P,0)),"")</f>
        <v/>
      </c>
      <c r="D1610" s="11" t="s">
        <v>42</v>
      </c>
      <c r="E1610" s="11" t="s">
        <v>63</v>
      </c>
      <c r="F1610" s="11" t="s">
        <v>690</v>
      </c>
      <c r="G1610" s="15">
        <v>46156</v>
      </c>
      <c r="H1610" s="10" t="str">
        <f>IFERROR(INDEX(面试清单!H:H,MATCH(1609,面试清单!P:P,0)),"")</f>
        <v/>
      </c>
      <c r="I1610" s="13" t="s">
        <v>29</v>
      </c>
      <c r="J1610" s="10">
        <f ca="1" t="shared" si="76"/>
        <v>33</v>
      </c>
      <c r="K1610" s="10">
        <f ca="1" t="shared" si="77"/>
        <v>16</v>
      </c>
    </row>
    <row r="1611" ht="18" spans="1:11">
      <c r="A1611" s="14">
        <f t="shared" si="75"/>
        <v>1610</v>
      </c>
      <c r="B1611" s="11" t="s">
        <v>5541</v>
      </c>
      <c r="C1611" s="14" t="str">
        <f>IFERROR(INDEX(面试清单!D:D,MATCH(1610,面试清单!P:P,0)),"")</f>
        <v/>
      </c>
      <c r="D1611" s="11" t="s">
        <v>42</v>
      </c>
      <c r="E1611" s="11" t="s">
        <v>63</v>
      </c>
      <c r="F1611" s="11" t="s">
        <v>690</v>
      </c>
      <c r="G1611" s="15">
        <v>46156</v>
      </c>
      <c r="H1611" s="14" t="str">
        <f>IFERROR(INDEX(面试清单!H:H,MATCH(1610,面试清单!P:P,0)),"")</f>
        <v/>
      </c>
      <c r="I1611" s="13" t="s">
        <v>29</v>
      </c>
      <c r="J1611" s="14">
        <f ca="1" t="shared" si="76"/>
        <v>33</v>
      </c>
      <c r="K1611" s="14">
        <f ca="1" t="shared" si="77"/>
        <v>16</v>
      </c>
    </row>
    <row r="1612" ht="18" spans="1:11">
      <c r="A1612" s="10">
        <f t="shared" si="75"/>
        <v>1611</v>
      </c>
      <c r="B1612" s="11" t="s">
        <v>5542</v>
      </c>
      <c r="C1612" s="10" t="str">
        <f>IFERROR(INDEX(面试清单!D:D,MATCH(1611,面试清单!P:P,0)),"")</f>
        <v/>
      </c>
      <c r="D1612" s="11" t="s">
        <v>42</v>
      </c>
      <c r="E1612" s="11" t="s">
        <v>63</v>
      </c>
      <c r="F1612" s="11" t="s">
        <v>690</v>
      </c>
      <c r="G1612" s="15">
        <v>46156</v>
      </c>
      <c r="H1612" s="10" t="str">
        <f>IFERROR(INDEX(面试清单!H:H,MATCH(1611,面试清单!P:P,0)),"")</f>
        <v/>
      </c>
      <c r="I1612" s="13" t="s">
        <v>29</v>
      </c>
      <c r="J1612" s="10">
        <f ca="1" t="shared" si="76"/>
        <v>33</v>
      </c>
      <c r="K1612" s="10">
        <f ca="1" t="shared" si="77"/>
        <v>16</v>
      </c>
    </row>
    <row r="1613" ht="18" spans="1:11">
      <c r="A1613" s="14">
        <f t="shared" si="75"/>
        <v>1612</v>
      </c>
      <c r="B1613" s="11" t="s">
        <v>5543</v>
      </c>
      <c r="C1613" s="14" t="str">
        <f>IFERROR(INDEX(面试清单!D:D,MATCH(1612,面试清单!P:P,0)),"")</f>
        <v/>
      </c>
      <c r="D1613" s="11" t="s">
        <v>43</v>
      </c>
      <c r="E1613" s="11" t="s">
        <v>62</v>
      </c>
      <c r="F1613" s="11" t="s">
        <v>733</v>
      </c>
      <c r="G1613" s="15">
        <v>46156</v>
      </c>
      <c r="H1613" s="14" t="str">
        <f>IFERROR(INDEX(面试清单!H:H,MATCH(1612,面试清单!P:P,0)),"")</f>
        <v/>
      </c>
      <c r="I1613" s="13" t="s">
        <v>29</v>
      </c>
      <c r="J1613" s="14">
        <f ca="1" t="shared" si="76"/>
        <v>33</v>
      </c>
      <c r="K1613" s="14">
        <f ca="1" t="shared" si="77"/>
        <v>16</v>
      </c>
    </row>
    <row r="1614" ht="18" spans="1:11">
      <c r="A1614" s="10">
        <f t="shared" si="75"/>
        <v>1613</v>
      </c>
      <c r="B1614" s="11" t="s">
        <v>5544</v>
      </c>
      <c r="C1614" s="125" t="str">
        <f>IFERROR(INDEX(面试清单!D:D,MATCH(1613,面试清单!P:P,0)),"")</f>
        <v>0222</v>
      </c>
      <c r="D1614" s="11" t="s">
        <v>43</v>
      </c>
      <c r="E1614" s="11" t="s">
        <v>63</v>
      </c>
      <c r="F1614" s="11" t="s">
        <v>124</v>
      </c>
      <c r="G1614" s="15">
        <v>46156</v>
      </c>
      <c r="H1614" s="10" t="str">
        <f>IFERROR(INDEX(面试清单!H:H,MATCH(1613,面试清单!P:P,0)),"")</f>
        <v>线上</v>
      </c>
      <c r="I1614" s="13" t="s">
        <v>29</v>
      </c>
      <c r="J1614" s="10">
        <f ca="1" t="shared" si="76"/>
        <v>33</v>
      </c>
      <c r="K1614" s="10">
        <f ca="1" t="shared" si="77"/>
        <v>16</v>
      </c>
    </row>
    <row r="1615" ht="18" spans="1:11">
      <c r="A1615" s="14">
        <f t="shared" si="75"/>
        <v>1614</v>
      </c>
      <c r="B1615" s="11" t="s">
        <v>5545</v>
      </c>
      <c r="C1615" s="14" t="str">
        <f>IFERROR(INDEX(面试清单!D:D,MATCH(1614,面试清单!P:P,0)),"")</f>
        <v/>
      </c>
      <c r="D1615" s="11" t="s">
        <v>43</v>
      </c>
      <c r="E1615" s="11" t="s">
        <v>62</v>
      </c>
      <c r="F1615" s="11" t="s">
        <v>132</v>
      </c>
      <c r="G1615" s="15">
        <v>46156</v>
      </c>
      <c r="H1615" s="14" t="str">
        <f>IFERROR(INDEX(面试清单!H:H,MATCH(1614,面试清单!P:P,0)),"")</f>
        <v/>
      </c>
      <c r="I1615" s="13" t="s">
        <v>29</v>
      </c>
      <c r="J1615" s="14">
        <f ca="1" t="shared" si="76"/>
        <v>33</v>
      </c>
      <c r="K1615" s="14">
        <f ca="1" t="shared" si="77"/>
        <v>16</v>
      </c>
    </row>
    <row r="1616" ht="18" spans="1:11">
      <c r="A1616" s="10">
        <f t="shared" si="75"/>
        <v>1615</v>
      </c>
      <c r="B1616" s="11" t="s">
        <v>5546</v>
      </c>
      <c r="C1616" s="125" t="str">
        <f>IFERROR(INDEX(面试清单!D:D,MATCH(1615,面试清单!P:P,0)),"")</f>
        <v>0209</v>
      </c>
      <c r="D1616" s="11" t="s">
        <v>43</v>
      </c>
      <c r="E1616" s="11" t="s">
        <v>63</v>
      </c>
      <c r="F1616" s="11" t="s">
        <v>332</v>
      </c>
      <c r="G1616" s="15">
        <v>46156</v>
      </c>
      <c r="H1616" s="10" t="str">
        <f>IFERROR(INDEX(面试清单!H:H,MATCH(1615,面试清单!P:P,0)),"")</f>
        <v>线上</v>
      </c>
      <c r="I1616" s="13" t="s">
        <v>29</v>
      </c>
      <c r="J1616" s="10">
        <f ca="1" t="shared" si="76"/>
        <v>33</v>
      </c>
      <c r="K1616" s="10">
        <f ca="1" t="shared" si="77"/>
        <v>16</v>
      </c>
    </row>
    <row r="1617" ht="18" spans="1:11">
      <c r="A1617" s="14">
        <f t="shared" si="75"/>
        <v>1616</v>
      </c>
      <c r="B1617" s="11" t="s">
        <v>5547</v>
      </c>
      <c r="C1617" s="124" t="str">
        <f>IFERROR(INDEX(面试清单!D:D,MATCH(1616,面试清单!P:P,0)),"")</f>
        <v>0212</v>
      </c>
      <c r="D1617" s="11" t="s">
        <v>42</v>
      </c>
      <c r="E1617" s="11" t="s">
        <v>63</v>
      </c>
      <c r="F1617" s="11" t="s">
        <v>796</v>
      </c>
      <c r="G1617" s="15">
        <v>46156</v>
      </c>
      <c r="H1617" s="14" t="str">
        <f>IFERROR(INDEX(面试清单!H:H,MATCH(1616,面试清单!P:P,0)),"")</f>
        <v>线上</v>
      </c>
      <c r="I1617" s="13" t="s">
        <v>29</v>
      </c>
      <c r="J1617" s="14">
        <f ca="1" t="shared" si="76"/>
        <v>33</v>
      </c>
      <c r="K1617" s="14">
        <f ca="1" t="shared" si="77"/>
        <v>16</v>
      </c>
    </row>
    <row r="1618" ht="18" spans="1:11">
      <c r="A1618" s="10">
        <f t="shared" si="75"/>
        <v>1617</v>
      </c>
      <c r="B1618" s="11" t="s">
        <v>5548</v>
      </c>
      <c r="C1618" s="125" t="str">
        <f>IFERROR(INDEX(面试清单!D:D,MATCH(1617,面试清单!P:P,0)),"")</f>
        <v>0214</v>
      </c>
      <c r="D1618" s="11" t="s">
        <v>43</v>
      </c>
      <c r="E1618" s="11" t="s">
        <v>62</v>
      </c>
      <c r="F1618" s="11" t="s">
        <v>468</v>
      </c>
      <c r="G1618" s="15">
        <v>46156</v>
      </c>
      <c r="H1618" s="10" t="str">
        <f>IFERROR(INDEX(面试清单!H:H,MATCH(1617,面试清单!P:P,0)),"")</f>
        <v>线上</v>
      </c>
      <c r="I1618" s="13" t="s">
        <v>29</v>
      </c>
      <c r="J1618" s="10">
        <f ca="1" t="shared" si="76"/>
        <v>33</v>
      </c>
      <c r="K1618" s="10">
        <f ca="1" t="shared" si="77"/>
        <v>16</v>
      </c>
    </row>
    <row r="1619" ht="18" spans="1:11">
      <c r="A1619" s="14">
        <f t="shared" si="75"/>
        <v>1618</v>
      </c>
      <c r="B1619" s="11" t="s">
        <v>5549</v>
      </c>
      <c r="C1619" s="124" t="str">
        <f>IFERROR(INDEX(面试清单!D:D,MATCH(1618,面试清单!P:P,0)),"")</f>
        <v>0217</v>
      </c>
      <c r="D1619" s="11" t="s">
        <v>43</v>
      </c>
      <c r="E1619" s="11" t="s">
        <v>64</v>
      </c>
      <c r="F1619" s="11" t="s">
        <v>103</v>
      </c>
      <c r="G1619" s="15">
        <v>46156</v>
      </c>
      <c r="H1619" s="14" t="str">
        <f>IFERROR(INDEX(面试清单!H:H,MATCH(1618,面试清单!P:P,0)),"")</f>
        <v>线上</v>
      </c>
      <c r="I1619" s="13" t="s">
        <v>29</v>
      </c>
      <c r="J1619" s="14">
        <f ca="1" t="shared" si="76"/>
        <v>33</v>
      </c>
      <c r="K1619" s="14">
        <f ca="1" t="shared" si="77"/>
        <v>16</v>
      </c>
    </row>
    <row r="1620" ht="18" spans="1:11">
      <c r="A1620" s="10">
        <f t="shared" si="75"/>
        <v>1619</v>
      </c>
      <c r="B1620" s="11" t="s">
        <v>5550</v>
      </c>
      <c r="C1620" s="125" t="str">
        <f>IFERROR(INDEX(面试清单!D:D,MATCH(1619,面试清单!P:P,0)),"")</f>
        <v>0218</v>
      </c>
      <c r="D1620" s="11" t="s">
        <v>43</v>
      </c>
      <c r="E1620" s="11" t="s">
        <v>64</v>
      </c>
      <c r="F1620" s="11" t="s">
        <v>124</v>
      </c>
      <c r="G1620" s="15">
        <v>46156</v>
      </c>
      <c r="H1620" s="10" t="str">
        <f>IFERROR(INDEX(面试清单!H:H,MATCH(1619,面试清单!P:P,0)),"")</f>
        <v>线上</v>
      </c>
      <c r="I1620" s="13" t="s">
        <v>29</v>
      </c>
      <c r="J1620" s="10">
        <f ca="1" t="shared" si="76"/>
        <v>33</v>
      </c>
      <c r="K1620" s="10">
        <f ca="1" t="shared" si="77"/>
        <v>16</v>
      </c>
    </row>
    <row r="1621" ht="18" spans="1:11">
      <c r="A1621" s="14">
        <f t="shared" si="75"/>
        <v>1620</v>
      </c>
      <c r="B1621" s="11" t="s">
        <v>5551</v>
      </c>
      <c r="C1621" s="124" t="str">
        <f>IFERROR(INDEX(面试清单!D:D,MATCH(1620,面试清单!P:P,0)),"")</f>
        <v>0220</v>
      </c>
      <c r="D1621" s="11" t="s">
        <v>74</v>
      </c>
      <c r="E1621" s="11" t="s">
        <v>64</v>
      </c>
      <c r="F1621" s="11" t="s">
        <v>179</v>
      </c>
      <c r="G1621" s="15">
        <v>46156</v>
      </c>
      <c r="H1621" s="14" t="str">
        <f>IFERROR(INDEX(面试清单!H:H,MATCH(1620,面试清单!P:P,0)),"")</f>
        <v>线上</v>
      </c>
      <c r="I1621" s="13" t="s">
        <v>29</v>
      </c>
      <c r="J1621" s="14">
        <f ca="1" t="shared" si="76"/>
        <v>33</v>
      </c>
      <c r="K1621" s="14">
        <f ca="1" t="shared" si="77"/>
        <v>16</v>
      </c>
    </row>
    <row r="1622" ht="18" spans="1:11">
      <c r="A1622" s="10">
        <f t="shared" si="75"/>
        <v>1621</v>
      </c>
      <c r="B1622" s="11" t="s">
        <v>5552</v>
      </c>
      <c r="C1622" s="10" t="str">
        <f>IFERROR(INDEX(面试清单!D:D,MATCH(1621,面试清单!P:P,0)),"")</f>
        <v/>
      </c>
      <c r="D1622" s="11" t="s">
        <v>43</v>
      </c>
      <c r="E1622" s="11" t="s">
        <v>62</v>
      </c>
      <c r="F1622" s="11" t="s">
        <v>132</v>
      </c>
      <c r="G1622" s="15">
        <v>46156</v>
      </c>
      <c r="H1622" s="10" t="str">
        <f>IFERROR(INDEX(面试清单!H:H,MATCH(1621,面试清单!P:P,0)),"")</f>
        <v/>
      </c>
      <c r="I1622" s="13" t="s">
        <v>29</v>
      </c>
      <c r="J1622" s="10">
        <f ca="1" t="shared" si="76"/>
        <v>33</v>
      </c>
      <c r="K1622" s="10">
        <f ca="1" t="shared" si="77"/>
        <v>16</v>
      </c>
    </row>
    <row r="1623" ht="18" spans="1:11">
      <c r="A1623" s="14">
        <f t="shared" si="75"/>
        <v>1622</v>
      </c>
      <c r="B1623" s="11" t="s">
        <v>5553</v>
      </c>
      <c r="C1623" s="124" t="str">
        <f>IFERROR(INDEX(面试清单!D:D,MATCH(1622,面试清单!P:P,0)),"")</f>
        <v>0222</v>
      </c>
      <c r="D1623" s="11" t="s">
        <v>42</v>
      </c>
      <c r="E1623" s="11" t="s">
        <v>62</v>
      </c>
      <c r="F1623" s="11" t="s">
        <v>132</v>
      </c>
      <c r="G1623" s="15">
        <v>46156</v>
      </c>
      <c r="H1623" s="14" t="str">
        <f>IFERROR(INDEX(面试清单!H:H,MATCH(1622,面试清单!P:P,0)),"")</f>
        <v>线上</v>
      </c>
      <c r="I1623" s="13" t="s">
        <v>29</v>
      </c>
      <c r="J1623" s="14">
        <f ca="1" t="shared" si="76"/>
        <v>33</v>
      </c>
      <c r="K1623" s="14">
        <f ca="1" t="shared" si="77"/>
        <v>16</v>
      </c>
    </row>
    <row r="1624" ht="18" spans="1:11">
      <c r="A1624" s="10">
        <f t="shared" si="75"/>
        <v>1623</v>
      </c>
      <c r="B1624" s="11" t="s">
        <v>5554</v>
      </c>
      <c r="C1624" s="10" t="str">
        <f>IFERROR(INDEX(面试清单!D:D,MATCH(1623,面试清单!P:P,0)),"")</f>
        <v/>
      </c>
      <c r="D1624" s="11" t="s">
        <v>42</v>
      </c>
      <c r="E1624" s="11" t="s">
        <v>63</v>
      </c>
      <c r="F1624" s="11" t="s">
        <v>179</v>
      </c>
      <c r="G1624" s="15">
        <v>46156</v>
      </c>
      <c r="H1624" s="10" t="str">
        <f>IFERROR(INDEX(面试清单!H:H,MATCH(1623,面试清单!P:P,0)),"")</f>
        <v/>
      </c>
      <c r="I1624" s="13" t="s">
        <v>29</v>
      </c>
      <c r="J1624" s="10">
        <f ca="1" t="shared" si="76"/>
        <v>33</v>
      </c>
      <c r="K1624" s="10">
        <f ca="1" t="shared" si="77"/>
        <v>16</v>
      </c>
    </row>
    <row r="1625" ht="18" spans="1:11">
      <c r="A1625" s="14">
        <f t="shared" si="75"/>
        <v>1624</v>
      </c>
      <c r="B1625" s="11" t="s">
        <v>5555</v>
      </c>
      <c r="C1625" s="14" t="str">
        <f>IFERROR(INDEX(面试清单!D:D,MATCH(1624,面试清单!P:P,0)),"")</f>
        <v/>
      </c>
      <c r="D1625" s="11" t="s">
        <v>74</v>
      </c>
      <c r="E1625" s="11" t="s">
        <v>190</v>
      </c>
      <c r="F1625" s="11" t="s">
        <v>179</v>
      </c>
      <c r="G1625" s="15">
        <v>46156</v>
      </c>
      <c r="H1625" s="14" t="str">
        <f>IFERROR(INDEX(面试清单!H:H,MATCH(1624,面试清单!P:P,0)),"")</f>
        <v/>
      </c>
      <c r="I1625" s="13" t="s">
        <v>29</v>
      </c>
      <c r="J1625" s="14">
        <f ca="1" t="shared" si="76"/>
        <v>33</v>
      </c>
      <c r="K1625" s="14">
        <f ca="1" t="shared" si="77"/>
        <v>16</v>
      </c>
    </row>
    <row r="1626" ht="18" spans="1:11">
      <c r="A1626" s="10">
        <f t="shared" si="75"/>
        <v>1625</v>
      </c>
      <c r="B1626" s="11" t="s">
        <v>5556</v>
      </c>
      <c r="C1626" s="10" t="str">
        <f>IFERROR(INDEX(面试清单!D:D,MATCH(1625,面试清单!P:P,0)),"")</f>
        <v/>
      </c>
      <c r="D1626" s="11" t="s">
        <v>43</v>
      </c>
      <c r="E1626" s="11" t="s">
        <v>62</v>
      </c>
      <c r="F1626" s="11" t="s">
        <v>103</v>
      </c>
      <c r="G1626" s="15">
        <v>46156</v>
      </c>
      <c r="H1626" s="10" t="str">
        <f>IFERROR(INDEX(面试清单!H:H,MATCH(1625,面试清单!P:P,0)),"")</f>
        <v/>
      </c>
      <c r="I1626" s="13" t="s">
        <v>29</v>
      </c>
      <c r="J1626" s="10">
        <f ca="1" t="shared" si="76"/>
        <v>33</v>
      </c>
      <c r="K1626" s="10">
        <f ca="1" t="shared" si="77"/>
        <v>16</v>
      </c>
    </row>
    <row r="1627" ht="18" spans="1:11">
      <c r="A1627" s="14">
        <f t="shared" si="75"/>
        <v>1626</v>
      </c>
      <c r="B1627" s="11" t="s">
        <v>5557</v>
      </c>
      <c r="C1627" s="14" t="str">
        <f>IFERROR(INDEX(面试清单!D:D,MATCH(1626,面试清单!P:P,0)),"")</f>
        <v/>
      </c>
      <c r="D1627" s="11" t="s">
        <v>74</v>
      </c>
      <c r="E1627" s="11" t="s">
        <v>190</v>
      </c>
      <c r="F1627" s="11" t="s">
        <v>179</v>
      </c>
      <c r="G1627" s="15">
        <v>46156</v>
      </c>
      <c r="H1627" s="14" t="str">
        <f>IFERROR(INDEX(面试清单!H:H,MATCH(1626,面试清单!P:P,0)),"")</f>
        <v/>
      </c>
      <c r="I1627" s="13" t="s">
        <v>29</v>
      </c>
      <c r="J1627" s="14">
        <f ca="1" t="shared" si="76"/>
        <v>33</v>
      </c>
      <c r="K1627" s="14">
        <f ca="1" t="shared" si="77"/>
        <v>16</v>
      </c>
    </row>
    <row r="1628" ht="18" spans="1:11">
      <c r="A1628" s="10">
        <f t="shared" si="75"/>
        <v>1627</v>
      </c>
      <c r="B1628" s="11" t="s">
        <v>5558</v>
      </c>
      <c r="C1628" s="125" t="str">
        <f>IFERROR(INDEX(面试清单!D:D,MATCH(1627,面试清单!P:P,0)),"")</f>
        <v>0217</v>
      </c>
      <c r="D1628" s="11" t="s">
        <v>74</v>
      </c>
      <c r="E1628" s="11" t="s">
        <v>190</v>
      </c>
      <c r="F1628" s="11" t="s">
        <v>179</v>
      </c>
      <c r="G1628" s="15">
        <v>46156</v>
      </c>
      <c r="H1628" s="10" t="str">
        <f>IFERROR(INDEX(面试清单!H:H,MATCH(1627,面试清单!P:P,0)),"")</f>
        <v>线上</v>
      </c>
      <c r="I1628" s="13" t="s">
        <v>29</v>
      </c>
      <c r="J1628" s="10">
        <f ca="1" t="shared" si="76"/>
        <v>33</v>
      </c>
      <c r="K1628" s="10">
        <f ca="1" t="shared" si="77"/>
        <v>16</v>
      </c>
    </row>
    <row r="1629" ht="18" spans="1:11">
      <c r="A1629" s="14">
        <f t="shared" si="75"/>
        <v>1628</v>
      </c>
      <c r="B1629" s="11" t="s">
        <v>5559</v>
      </c>
      <c r="C1629" s="14" t="str">
        <f>IFERROR(INDEX(面试清单!D:D,MATCH(1628,面试清单!P:P,0)),"")</f>
        <v/>
      </c>
      <c r="D1629" s="11" t="s">
        <v>43</v>
      </c>
      <c r="E1629" s="11" t="s">
        <v>63</v>
      </c>
      <c r="F1629" s="11" t="s">
        <v>179</v>
      </c>
      <c r="G1629" s="15">
        <v>46156</v>
      </c>
      <c r="H1629" s="14" t="str">
        <f>IFERROR(INDEX(面试清单!H:H,MATCH(1628,面试清单!P:P,0)),"")</f>
        <v/>
      </c>
      <c r="I1629" s="13" t="s">
        <v>29</v>
      </c>
      <c r="J1629" s="14">
        <f ca="1" t="shared" si="76"/>
        <v>33</v>
      </c>
      <c r="K1629" s="14">
        <f ca="1" t="shared" si="77"/>
        <v>16</v>
      </c>
    </row>
    <row r="1630" ht="18" spans="1:11">
      <c r="A1630" s="10">
        <f t="shared" si="75"/>
        <v>1629</v>
      </c>
      <c r="B1630" s="11" t="s">
        <v>2434</v>
      </c>
      <c r="C1630" s="10" t="str">
        <f>IFERROR(INDEX(面试清单!D:D,MATCH(1629,面试清单!P:P,0)),"")</f>
        <v/>
      </c>
      <c r="D1630" s="11" t="s">
        <v>42</v>
      </c>
      <c r="E1630" s="11" t="s">
        <v>63</v>
      </c>
      <c r="F1630" s="11" t="s">
        <v>578</v>
      </c>
      <c r="G1630" s="15">
        <v>46156</v>
      </c>
      <c r="H1630" s="10" t="str">
        <f>IFERROR(INDEX(面试清单!H:H,MATCH(1629,面试清单!P:P,0)),"")</f>
        <v/>
      </c>
      <c r="I1630" s="13" t="s">
        <v>29</v>
      </c>
      <c r="J1630" s="10">
        <f ca="1" t="shared" si="76"/>
        <v>33</v>
      </c>
      <c r="K1630" s="10">
        <f ca="1" t="shared" si="77"/>
        <v>16</v>
      </c>
    </row>
    <row r="1631" ht="18" spans="1:11">
      <c r="A1631" s="14">
        <f t="shared" si="75"/>
        <v>1630</v>
      </c>
      <c r="B1631" s="11" t="s">
        <v>5560</v>
      </c>
      <c r="C1631" s="14" t="str">
        <f>IFERROR(INDEX(面试清单!D:D,MATCH(1630,面试清单!P:P,0)),"")</f>
        <v/>
      </c>
      <c r="D1631" s="11" t="s">
        <v>42</v>
      </c>
      <c r="E1631" s="11" t="s">
        <v>62</v>
      </c>
      <c r="F1631" s="11" t="s">
        <v>578</v>
      </c>
      <c r="G1631" s="15">
        <v>46156</v>
      </c>
      <c r="H1631" s="14" t="str">
        <f>IFERROR(INDEX(面试清单!H:H,MATCH(1630,面试清单!P:P,0)),"")</f>
        <v/>
      </c>
      <c r="I1631" s="13" t="s">
        <v>29</v>
      </c>
      <c r="J1631" s="14">
        <f ca="1" t="shared" si="76"/>
        <v>33</v>
      </c>
      <c r="K1631" s="14">
        <f ca="1" t="shared" si="77"/>
        <v>16</v>
      </c>
    </row>
    <row r="1632" ht="18" spans="1:11">
      <c r="A1632" s="10">
        <f t="shared" si="75"/>
        <v>1631</v>
      </c>
      <c r="B1632" s="11" t="s">
        <v>5561</v>
      </c>
      <c r="C1632" s="125" t="str">
        <f>IFERROR(INDEX(面试清单!D:D,MATCH(1631,面试清单!P:P,0)),"")</f>
        <v>0222</v>
      </c>
      <c r="D1632" s="11" t="s">
        <v>42</v>
      </c>
      <c r="E1632" s="11" t="s">
        <v>63</v>
      </c>
      <c r="F1632" s="11" t="s">
        <v>578</v>
      </c>
      <c r="G1632" s="15">
        <v>46156</v>
      </c>
      <c r="H1632" s="10" t="str">
        <f>IFERROR(INDEX(面试清单!H:H,MATCH(1631,面试清单!P:P,0)),"")</f>
        <v>线上</v>
      </c>
      <c r="I1632" s="13" t="s">
        <v>29</v>
      </c>
      <c r="J1632" s="10">
        <f ca="1" t="shared" si="76"/>
        <v>33</v>
      </c>
      <c r="K1632" s="10">
        <f ca="1" t="shared" si="77"/>
        <v>16</v>
      </c>
    </row>
    <row r="1633" ht="18" spans="1:11">
      <c r="A1633" s="14">
        <f t="shared" si="75"/>
        <v>1632</v>
      </c>
      <c r="B1633" s="11" t="s">
        <v>5562</v>
      </c>
      <c r="C1633" s="124" t="str">
        <f>IFERROR(INDEX(面试清单!D:D,MATCH(1632,面试清单!P:P,0)),"")</f>
        <v>0208</v>
      </c>
      <c r="D1633" s="11" t="s">
        <v>42</v>
      </c>
      <c r="E1633" s="11" t="s">
        <v>63</v>
      </c>
      <c r="F1633" s="11" t="s">
        <v>578</v>
      </c>
      <c r="G1633" s="15">
        <v>46156</v>
      </c>
      <c r="H1633" s="14" t="str">
        <f>IFERROR(INDEX(面试清单!H:H,MATCH(1632,面试清单!P:P,0)),"")</f>
        <v>线上</v>
      </c>
      <c r="I1633" s="13" t="s">
        <v>29</v>
      </c>
      <c r="J1633" s="14">
        <f ca="1" t="shared" si="76"/>
        <v>33</v>
      </c>
      <c r="K1633" s="14">
        <f ca="1" t="shared" si="77"/>
        <v>16</v>
      </c>
    </row>
    <row r="1634" ht="18" spans="1:11">
      <c r="A1634" s="10">
        <f t="shared" si="75"/>
        <v>1633</v>
      </c>
      <c r="B1634" s="11" t="s">
        <v>5563</v>
      </c>
      <c r="C1634" s="125" t="str">
        <f>IFERROR(INDEX(面试清单!D:D,MATCH(1633,面试清单!P:P,0)),"")</f>
        <v>0209</v>
      </c>
      <c r="D1634" s="11" t="s">
        <v>42</v>
      </c>
      <c r="E1634" s="11" t="s">
        <v>62</v>
      </c>
      <c r="F1634" s="11" t="s">
        <v>124</v>
      </c>
      <c r="G1634" s="15">
        <v>46157</v>
      </c>
      <c r="H1634" s="10" t="str">
        <f>IFERROR(INDEX(面试清单!H:H,MATCH(1633,面试清单!P:P,0)),"")</f>
        <v>线上</v>
      </c>
      <c r="I1634" s="13" t="s">
        <v>29</v>
      </c>
      <c r="J1634" s="10">
        <f ca="1" t="shared" si="76"/>
        <v>32</v>
      </c>
      <c r="K1634" s="10">
        <f ca="1" t="shared" si="77"/>
        <v>16</v>
      </c>
    </row>
    <row r="1635" ht="18" spans="1:11">
      <c r="A1635" s="14">
        <f t="shared" si="75"/>
        <v>1634</v>
      </c>
      <c r="B1635" s="11" t="s">
        <v>5564</v>
      </c>
      <c r="C1635" s="124" t="str">
        <f>IFERROR(INDEX(面试清单!D:D,MATCH(1634,面试清单!P:P,0)),"")</f>
        <v>0212</v>
      </c>
      <c r="D1635" s="11" t="s">
        <v>43</v>
      </c>
      <c r="E1635" s="11" t="s">
        <v>63</v>
      </c>
      <c r="F1635" s="11" t="s">
        <v>124</v>
      </c>
      <c r="G1635" s="15">
        <v>46157</v>
      </c>
      <c r="H1635" s="14" t="str">
        <f>IFERROR(INDEX(面试清单!H:H,MATCH(1634,面试清单!P:P,0)),"")</f>
        <v>线上</v>
      </c>
      <c r="I1635" s="13" t="s">
        <v>29</v>
      </c>
      <c r="J1635" s="14">
        <f ca="1" t="shared" si="76"/>
        <v>32</v>
      </c>
      <c r="K1635" s="14">
        <f ca="1" t="shared" si="77"/>
        <v>16</v>
      </c>
    </row>
    <row r="1636" ht="18" spans="1:11">
      <c r="A1636" s="10">
        <f t="shared" si="75"/>
        <v>1635</v>
      </c>
      <c r="B1636" s="11" t="s">
        <v>5565</v>
      </c>
      <c r="C1636" s="10" t="str">
        <f>IFERROR(INDEX(面试清单!D:D,MATCH(1635,面试清单!P:P,0)),"")</f>
        <v/>
      </c>
      <c r="D1636" s="11" t="s">
        <v>43</v>
      </c>
      <c r="E1636" s="11" t="s">
        <v>63</v>
      </c>
      <c r="F1636" s="11" t="s">
        <v>124</v>
      </c>
      <c r="G1636" s="15">
        <v>46157</v>
      </c>
      <c r="H1636" s="10" t="str">
        <f>IFERROR(INDEX(面试清单!H:H,MATCH(1635,面试清单!P:P,0)),"")</f>
        <v/>
      </c>
      <c r="I1636" s="13" t="s">
        <v>29</v>
      </c>
      <c r="J1636" s="10">
        <f ca="1" t="shared" si="76"/>
        <v>32</v>
      </c>
      <c r="K1636" s="10">
        <f ca="1" t="shared" si="77"/>
        <v>16</v>
      </c>
    </row>
    <row r="1637" ht="18" spans="1:11">
      <c r="A1637" s="14">
        <f t="shared" si="75"/>
        <v>1636</v>
      </c>
      <c r="B1637" s="11" t="s">
        <v>5566</v>
      </c>
      <c r="C1637" s="14" t="str">
        <f>IFERROR(INDEX(面试清单!D:D,MATCH(1636,面试清单!P:P,0)),"")</f>
        <v/>
      </c>
      <c r="D1637" s="11" t="s">
        <v>42</v>
      </c>
      <c r="E1637" s="11" t="s">
        <v>63</v>
      </c>
      <c r="F1637" s="11" t="s">
        <v>124</v>
      </c>
      <c r="G1637" s="15">
        <v>46157</v>
      </c>
      <c r="H1637" s="14" t="str">
        <f>IFERROR(INDEX(面试清单!H:H,MATCH(1636,面试清单!P:P,0)),"")</f>
        <v/>
      </c>
      <c r="I1637" s="13" t="s">
        <v>29</v>
      </c>
      <c r="J1637" s="14">
        <f ca="1" t="shared" si="76"/>
        <v>32</v>
      </c>
      <c r="K1637" s="14">
        <f ca="1" t="shared" si="77"/>
        <v>16</v>
      </c>
    </row>
    <row r="1638" ht="18" spans="1:11">
      <c r="A1638" s="10">
        <f t="shared" si="75"/>
        <v>1637</v>
      </c>
      <c r="B1638" s="11" t="s">
        <v>5567</v>
      </c>
      <c r="C1638" s="10" t="str">
        <f>IFERROR(INDEX(面试清单!D:D,MATCH(1637,面试清单!P:P,0)),"")</f>
        <v/>
      </c>
      <c r="D1638" s="11" t="s">
        <v>43</v>
      </c>
      <c r="E1638" s="11" t="s">
        <v>62</v>
      </c>
      <c r="F1638" s="11" t="s">
        <v>124</v>
      </c>
      <c r="G1638" s="15">
        <v>46157</v>
      </c>
      <c r="H1638" s="10" t="str">
        <f>IFERROR(INDEX(面试清单!H:H,MATCH(1637,面试清单!P:P,0)),"")</f>
        <v/>
      </c>
      <c r="I1638" s="13" t="s">
        <v>29</v>
      </c>
      <c r="J1638" s="10">
        <f ca="1" t="shared" si="76"/>
        <v>32</v>
      </c>
      <c r="K1638" s="10">
        <f ca="1" t="shared" si="77"/>
        <v>16</v>
      </c>
    </row>
    <row r="1639" ht="18" spans="1:11">
      <c r="A1639" s="14">
        <f t="shared" si="75"/>
        <v>1638</v>
      </c>
      <c r="B1639" s="11" t="s">
        <v>5568</v>
      </c>
      <c r="C1639" s="14" t="str">
        <f>IFERROR(INDEX(面试清单!D:D,MATCH(1638,面试清单!P:P,0)),"")</f>
        <v/>
      </c>
      <c r="D1639" s="11" t="s">
        <v>42</v>
      </c>
      <c r="E1639" s="11" t="s">
        <v>62</v>
      </c>
      <c r="F1639" s="11" t="s">
        <v>179</v>
      </c>
      <c r="G1639" s="15">
        <v>46157</v>
      </c>
      <c r="H1639" s="14" t="str">
        <f>IFERROR(INDEX(面试清单!H:H,MATCH(1638,面试清单!P:P,0)),"")</f>
        <v/>
      </c>
      <c r="I1639" s="13" t="s">
        <v>29</v>
      </c>
      <c r="J1639" s="14">
        <f ca="1" t="shared" si="76"/>
        <v>32</v>
      </c>
      <c r="K1639" s="14">
        <f ca="1" t="shared" si="77"/>
        <v>16</v>
      </c>
    </row>
    <row r="1640" ht="18" spans="1:11">
      <c r="A1640" s="10">
        <f t="shared" si="75"/>
        <v>1639</v>
      </c>
      <c r="B1640" s="11" t="s">
        <v>5569</v>
      </c>
      <c r="C1640" s="10" t="str">
        <f>IFERROR(INDEX(面试清单!D:D,MATCH(1639,面试清单!P:P,0)),"")</f>
        <v/>
      </c>
      <c r="D1640" s="11" t="s">
        <v>42</v>
      </c>
      <c r="E1640" s="11" t="s">
        <v>63</v>
      </c>
      <c r="F1640" s="11" t="s">
        <v>117</v>
      </c>
      <c r="G1640" s="15">
        <v>46157</v>
      </c>
      <c r="H1640" s="10" t="str">
        <f>IFERROR(INDEX(面试清单!H:H,MATCH(1639,面试清单!P:P,0)),"")</f>
        <v/>
      </c>
      <c r="I1640" s="13" t="s">
        <v>29</v>
      </c>
      <c r="J1640" s="10">
        <f ca="1" t="shared" si="76"/>
        <v>32</v>
      </c>
      <c r="K1640" s="10">
        <f ca="1" t="shared" si="77"/>
        <v>16</v>
      </c>
    </row>
    <row r="1641" ht="18" spans="1:11">
      <c r="A1641" s="14">
        <f t="shared" si="75"/>
        <v>1640</v>
      </c>
      <c r="B1641" s="11" t="s">
        <v>5570</v>
      </c>
      <c r="C1641" s="124" t="str">
        <f>IFERROR(INDEX(面试清单!D:D,MATCH(1640,面试清单!P:P,0)),"")</f>
        <v>0222</v>
      </c>
      <c r="D1641" s="11" t="s">
        <v>42</v>
      </c>
      <c r="E1641" s="11" t="s">
        <v>63</v>
      </c>
      <c r="F1641" s="11" t="s">
        <v>117</v>
      </c>
      <c r="G1641" s="15">
        <v>46157</v>
      </c>
      <c r="H1641" s="14" t="str">
        <f>IFERROR(INDEX(面试清单!H:H,MATCH(1640,面试清单!P:P,0)),"")</f>
        <v>线上</v>
      </c>
      <c r="I1641" s="13" t="s">
        <v>29</v>
      </c>
      <c r="J1641" s="14">
        <f ca="1" t="shared" si="76"/>
        <v>32</v>
      </c>
      <c r="K1641" s="14">
        <f ca="1" t="shared" si="77"/>
        <v>16</v>
      </c>
    </row>
    <row r="1642" ht="18" spans="1:11">
      <c r="A1642" s="10">
        <f t="shared" si="75"/>
        <v>1641</v>
      </c>
      <c r="B1642" s="11" t="s">
        <v>5571</v>
      </c>
      <c r="C1642" s="125" t="str">
        <f>IFERROR(INDEX(面试清单!D:D,MATCH(1641,面试清单!P:P,0)),"")</f>
        <v>0208</v>
      </c>
      <c r="D1642" s="11" t="s">
        <v>43</v>
      </c>
      <c r="E1642" s="11" t="s">
        <v>63</v>
      </c>
      <c r="F1642" s="11" t="s">
        <v>509</v>
      </c>
      <c r="G1642" s="15">
        <v>46157</v>
      </c>
      <c r="H1642" s="10" t="str">
        <f>IFERROR(INDEX(面试清单!H:H,MATCH(1641,面试清单!P:P,0)),"")</f>
        <v>线上</v>
      </c>
      <c r="I1642" s="13" t="s">
        <v>29</v>
      </c>
      <c r="J1642" s="10">
        <f ca="1" t="shared" si="76"/>
        <v>32</v>
      </c>
      <c r="K1642" s="10">
        <f ca="1" t="shared" si="77"/>
        <v>16</v>
      </c>
    </row>
    <row r="1643" ht="18" spans="1:11">
      <c r="A1643" s="14">
        <f t="shared" si="75"/>
        <v>1642</v>
      </c>
      <c r="B1643" s="11" t="s">
        <v>5572</v>
      </c>
      <c r="C1643" s="14" t="str">
        <f>IFERROR(INDEX(面试清单!D:D,MATCH(1642,面试清单!P:P,0)),"")</f>
        <v/>
      </c>
      <c r="D1643" s="11" t="s">
        <v>43</v>
      </c>
      <c r="E1643" s="11" t="s">
        <v>63</v>
      </c>
      <c r="F1643" s="11" t="s">
        <v>135</v>
      </c>
      <c r="G1643" s="15">
        <v>46157</v>
      </c>
      <c r="H1643" s="14" t="str">
        <f>IFERROR(INDEX(面试清单!H:H,MATCH(1642,面试清单!P:P,0)),"")</f>
        <v/>
      </c>
      <c r="I1643" s="13" t="s">
        <v>29</v>
      </c>
      <c r="J1643" s="14">
        <f ca="1" t="shared" si="76"/>
        <v>32</v>
      </c>
      <c r="K1643" s="14">
        <f ca="1" t="shared" si="77"/>
        <v>16</v>
      </c>
    </row>
    <row r="1644" ht="18" spans="1:11">
      <c r="A1644" s="10">
        <f t="shared" si="75"/>
        <v>1643</v>
      </c>
      <c r="B1644" s="11" t="s">
        <v>5573</v>
      </c>
      <c r="C1644" s="10" t="str">
        <f>IFERROR(INDEX(面试清单!D:D,MATCH(1643,面试清单!P:P,0)),"")</f>
        <v/>
      </c>
      <c r="D1644" s="11" t="s">
        <v>42</v>
      </c>
      <c r="E1644" s="11" t="s">
        <v>62</v>
      </c>
      <c r="F1644" s="11" t="s">
        <v>690</v>
      </c>
      <c r="G1644" s="15">
        <v>46157</v>
      </c>
      <c r="H1644" s="10" t="str">
        <f>IFERROR(INDEX(面试清单!H:H,MATCH(1643,面试清单!P:P,0)),"")</f>
        <v/>
      </c>
      <c r="I1644" s="13" t="s">
        <v>29</v>
      </c>
      <c r="J1644" s="10">
        <f ca="1" t="shared" si="76"/>
        <v>32</v>
      </c>
      <c r="K1644" s="10">
        <f ca="1" t="shared" si="77"/>
        <v>16</v>
      </c>
    </row>
    <row r="1645" ht="18" spans="1:11">
      <c r="A1645" s="14">
        <f t="shared" si="75"/>
        <v>1644</v>
      </c>
      <c r="B1645" s="11" t="s">
        <v>5574</v>
      </c>
      <c r="C1645" s="14" t="str">
        <f>IFERROR(INDEX(面试清单!D:D,MATCH(1644,面试清单!P:P,0)),"")</f>
        <v/>
      </c>
      <c r="D1645" s="11" t="s">
        <v>42</v>
      </c>
      <c r="E1645" s="11" t="s">
        <v>62</v>
      </c>
      <c r="F1645" s="11" t="s">
        <v>103</v>
      </c>
      <c r="G1645" s="15">
        <v>46157</v>
      </c>
      <c r="H1645" s="14" t="str">
        <f>IFERROR(INDEX(面试清单!H:H,MATCH(1644,面试清单!P:P,0)),"")</f>
        <v/>
      </c>
      <c r="I1645" s="13" t="s">
        <v>29</v>
      </c>
      <c r="J1645" s="14">
        <f ca="1" t="shared" si="76"/>
        <v>32</v>
      </c>
      <c r="K1645" s="14">
        <f ca="1" t="shared" si="77"/>
        <v>16</v>
      </c>
    </row>
    <row r="1646" ht="18" spans="1:11">
      <c r="A1646" s="10">
        <f t="shared" si="75"/>
        <v>1645</v>
      </c>
      <c r="B1646" s="11" t="s">
        <v>5575</v>
      </c>
      <c r="C1646" s="10" t="str">
        <f>IFERROR(INDEX(面试清单!D:D,MATCH(1645,面试清单!P:P,0)),"")</f>
        <v/>
      </c>
      <c r="D1646" s="11" t="s">
        <v>42</v>
      </c>
      <c r="E1646" s="11" t="s">
        <v>63</v>
      </c>
      <c r="F1646" s="11" t="s">
        <v>307</v>
      </c>
      <c r="G1646" s="15">
        <v>46157</v>
      </c>
      <c r="H1646" s="10" t="str">
        <f>IFERROR(INDEX(面试清单!H:H,MATCH(1645,面试清单!P:P,0)),"")</f>
        <v/>
      </c>
      <c r="I1646" s="13" t="s">
        <v>29</v>
      </c>
      <c r="J1646" s="10">
        <f ca="1" t="shared" si="76"/>
        <v>32</v>
      </c>
      <c r="K1646" s="10">
        <f ca="1" t="shared" si="77"/>
        <v>16</v>
      </c>
    </row>
    <row r="1647" ht="18" spans="1:11">
      <c r="A1647" s="14">
        <f t="shared" si="75"/>
        <v>1646</v>
      </c>
      <c r="B1647" s="11" t="s">
        <v>5576</v>
      </c>
      <c r="C1647" s="14" t="str">
        <f>IFERROR(INDEX(面试清单!D:D,MATCH(1646,面试清单!P:P,0)),"")</f>
        <v/>
      </c>
      <c r="D1647" s="11" t="s">
        <v>42</v>
      </c>
      <c r="E1647" s="11" t="s">
        <v>63</v>
      </c>
      <c r="F1647" s="11" t="s">
        <v>173</v>
      </c>
      <c r="G1647" s="15">
        <v>46157</v>
      </c>
      <c r="H1647" s="14" t="str">
        <f>IFERROR(INDEX(面试清单!H:H,MATCH(1646,面试清单!P:P,0)),"")</f>
        <v/>
      </c>
      <c r="I1647" s="13" t="s">
        <v>29</v>
      </c>
      <c r="J1647" s="14">
        <f ca="1" t="shared" si="76"/>
        <v>32</v>
      </c>
      <c r="K1647" s="14">
        <f ca="1" t="shared" si="77"/>
        <v>16</v>
      </c>
    </row>
    <row r="1648" ht="18" spans="1:11">
      <c r="A1648" s="10">
        <f t="shared" si="75"/>
        <v>1647</v>
      </c>
      <c r="B1648" s="11" t="s">
        <v>5577</v>
      </c>
      <c r="C1648" s="10" t="str">
        <f>IFERROR(INDEX(面试清单!D:D,MATCH(1647,面试清单!P:P,0)),"")</f>
        <v/>
      </c>
      <c r="D1648" s="11" t="s">
        <v>42</v>
      </c>
      <c r="E1648" s="11" t="s">
        <v>62</v>
      </c>
      <c r="F1648" s="11" t="s">
        <v>103</v>
      </c>
      <c r="G1648" s="15">
        <v>46157</v>
      </c>
      <c r="H1648" s="10" t="str">
        <f>IFERROR(INDEX(面试清单!H:H,MATCH(1647,面试清单!P:P,0)),"")</f>
        <v/>
      </c>
      <c r="I1648" s="13" t="s">
        <v>29</v>
      </c>
      <c r="J1648" s="10">
        <f ca="1" t="shared" si="76"/>
        <v>32</v>
      </c>
      <c r="K1648" s="10">
        <f ca="1" t="shared" si="77"/>
        <v>16</v>
      </c>
    </row>
    <row r="1649" ht="18" spans="1:11">
      <c r="A1649" s="14">
        <f t="shared" si="75"/>
        <v>1648</v>
      </c>
      <c r="B1649" s="11" t="s">
        <v>5578</v>
      </c>
      <c r="C1649" s="14" t="str">
        <f>IFERROR(INDEX(面试清单!D:D,MATCH(1648,面试清单!P:P,0)),"")</f>
        <v/>
      </c>
      <c r="D1649" s="11" t="s">
        <v>43</v>
      </c>
      <c r="E1649" s="11" t="s">
        <v>62</v>
      </c>
      <c r="F1649" s="11" t="s">
        <v>132</v>
      </c>
      <c r="G1649" s="15">
        <v>46157</v>
      </c>
      <c r="H1649" s="14" t="str">
        <f>IFERROR(INDEX(面试清单!H:H,MATCH(1648,面试清单!P:P,0)),"")</f>
        <v/>
      </c>
      <c r="I1649" s="13" t="s">
        <v>29</v>
      </c>
      <c r="J1649" s="14">
        <f ca="1" t="shared" si="76"/>
        <v>32</v>
      </c>
      <c r="K1649" s="14">
        <f ca="1" t="shared" si="77"/>
        <v>16</v>
      </c>
    </row>
    <row r="1650" ht="18" spans="1:11">
      <c r="A1650" s="10">
        <f t="shared" si="75"/>
        <v>1649</v>
      </c>
      <c r="B1650" s="11" t="s">
        <v>5579</v>
      </c>
      <c r="C1650" s="10" t="str">
        <f>IFERROR(INDEX(面试清单!D:D,MATCH(1649,面试清单!P:P,0)),"")</f>
        <v/>
      </c>
      <c r="D1650" s="11" t="s">
        <v>43</v>
      </c>
      <c r="E1650" s="11" t="s">
        <v>62</v>
      </c>
      <c r="F1650" s="11" t="s">
        <v>132</v>
      </c>
      <c r="G1650" s="15">
        <v>46157</v>
      </c>
      <c r="H1650" s="10" t="str">
        <f>IFERROR(INDEX(面试清单!H:H,MATCH(1649,面试清单!P:P,0)),"")</f>
        <v/>
      </c>
      <c r="I1650" s="13" t="s">
        <v>29</v>
      </c>
      <c r="J1650" s="10">
        <f ca="1" t="shared" si="76"/>
        <v>32</v>
      </c>
      <c r="K1650" s="10">
        <f ca="1" t="shared" si="77"/>
        <v>16</v>
      </c>
    </row>
    <row r="1651" ht="18" spans="1:11">
      <c r="A1651" s="14">
        <f t="shared" si="75"/>
        <v>1650</v>
      </c>
      <c r="B1651" s="11" t="s">
        <v>5580</v>
      </c>
      <c r="C1651" s="124" t="str">
        <f>IFERROR(INDEX(面试清单!D:D,MATCH(1650,面试清单!P:P,0)),"")</f>
        <v>0208</v>
      </c>
      <c r="D1651" s="11" t="s">
        <v>42</v>
      </c>
      <c r="E1651" s="11" t="s">
        <v>62</v>
      </c>
      <c r="F1651" s="11" t="s">
        <v>179</v>
      </c>
      <c r="G1651" s="15">
        <v>46157</v>
      </c>
      <c r="H1651" s="14" t="str">
        <f>IFERROR(INDEX(面试清单!H:H,MATCH(1650,面试清单!P:P,0)),"")</f>
        <v>线上</v>
      </c>
      <c r="I1651" s="13" t="s">
        <v>29</v>
      </c>
      <c r="J1651" s="14">
        <f ca="1" t="shared" si="76"/>
        <v>32</v>
      </c>
      <c r="K1651" s="14">
        <f ca="1" t="shared" si="77"/>
        <v>16</v>
      </c>
    </row>
    <row r="1652" ht="18" spans="1:11">
      <c r="A1652" s="10">
        <f t="shared" si="75"/>
        <v>1651</v>
      </c>
      <c r="B1652" s="11" t="s">
        <v>5581</v>
      </c>
      <c r="C1652" s="125" t="str">
        <f>IFERROR(INDEX(面试清单!D:D,MATCH(1651,面试清单!P:P,0)),"")</f>
        <v>0209</v>
      </c>
      <c r="D1652" s="11" t="s">
        <v>42</v>
      </c>
      <c r="E1652" s="11" t="s">
        <v>62</v>
      </c>
      <c r="F1652" s="11" t="s">
        <v>468</v>
      </c>
      <c r="G1652" s="15">
        <v>46157</v>
      </c>
      <c r="H1652" s="10" t="str">
        <f>IFERROR(INDEX(面试清单!H:H,MATCH(1651,面试清单!P:P,0)),"")</f>
        <v>线上</v>
      </c>
      <c r="I1652" s="13" t="s">
        <v>29</v>
      </c>
      <c r="J1652" s="10">
        <f ca="1" t="shared" si="76"/>
        <v>32</v>
      </c>
      <c r="K1652" s="10">
        <f ca="1" t="shared" si="77"/>
        <v>16</v>
      </c>
    </row>
    <row r="1653" ht="18" spans="1:11">
      <c r="A1653" s="14">
        <f t="shared" si="75"/>
        <v>1652</v>
      </c>
      <c r="B1653" s="11" t="s">
        <v>5582</v>
      </c>
      <c r="C1653" s="124" t="str">
        <f>IFERROR(INDEX(面试清单!D:D,MATCH(1652,面试清单!P:P,0)),"")</f>
        <v>0212</v>
      </c>
      <c r="D1653" s="11" t="s">
        <v>43</v>
      </c>
      <c r="E1653" s="11" t="s">
        <v>62</v>
      </c>
      <c r="F1653" s="11" t="s">
        <v>1426</v>
      </c>
      <c r="G1653" s="15">
        <v>46157</v>
      </c>
      <c r="H1653" s="14" t="str">
        <f>IFERROR(INDEX(面试清单!H:H,MATCH(1652,面试清单!P:P,0)),"")</f>
        <v>线上</v>
      </c>
      <c r="I1653" s="13" t="s">
        <v>29</v>
      </c>
      <c r="J1653" s="14">
        <f ca="1" t="shared" si="76"/>
        <v>32</v>
      </c>
      <c r="K1653" s="14">
        <f ca="1" t="shared" si="77"/>
        <v>16</v>
      </c>
    </row>
    <row r="1654" ht="18" spans="1:11">
      <c r="A1654" s="10">
        <f t="shared" si="75"/>
        <v>1653</v>
      </c>
      <c r="B1654" s="11" t="s">
        <v>5583</v>
      </c>
      <c r="C1654" s="125" t="str">
        <f>IFERROR(INDEX(面试清单!D:D,MATCH(1653,面试清单!P:P,0)),"")</f>
        <v>0214</v>
      </c>
      <c r="D1654" s="11" t="s">
        <v>43</v>
      </c>
      <c r="E1654" s="11" t="s">
        <v>64</v>
      </c>
      <c r="F1654" s="11" t="s">
        <v>124</v>
      </c>
      <c r="G1654" s="15">
        <v>46157</v>
      </c>
      <c r="H1654" s="10" t="str">
        <f>IFERROR(INDEX(面试清单!H:H,MATCH(1653,面试清单!P:P,0)),"")</f>
        <v>线上</v>
      </c>
      <c r="I1654" s="13" t="s">
        <v>29</v>
      </c>
      <c r="J1654" s="10">
        <f ca="1" t="shared" si="76"/>
        <v>32</v>
      </c>
      <c r="K1654" s="10">
        <f ca="1" t="shared" si="77"/>
        <v>16</v>
      </c>
    </row>
    <row r="1655" ht="18" spans="1:11">
      <c r="A1655" s="14">
        <f t="shared" si="75"/>
        <v>1654</v>
      </c>
      <c r="B1655" s="11" t="s">
        <v>5584</v>
      </c>
      <c r="C1655" s="14" t="str">
        <f>IFERROR(INDEX(面试清单!D:D,MATCH(1654,面试清单!P:P,0)),"")</f>
        <v/>
      </c>
      <c r="D1655" s="11" t="s">
        <v>74</v>
      </c>
      <c r="E1655" s="11" t="s">
        <v>64</v>
      </c>
      <c r="F1655" s="11" t="s">
        <v>124</v>
      </c>
      <c r="G1655" s="15">
        <v>46157</v>
      </c>
      <c r="H1655" s="14" t="str">
        <f>IFERROR(INDEX(面试清单!H:H,MATCH(1654,面试清单!P:P,0)),"")</f>
        <v/>
      </c>
      <c r="I1655" s="13" t="s">
        <v>29</v>
      </c>
      <c r="J1655" s="14">
        <f ca="1" t="shared" si="76"/>
        <v>32</v>
      </c>
      <c r="K1655" s="14">
        <f ca="1" t="shared" si="77"/>
        <v>16</v>
      </c>
    </row>
    <row r="1656" ht="18" spans="1:11">
      <c r="A1656" s="10">
        <f t="shared" si="75"/>
        <v>1655</v>
      </c>
      <c r="B1656" s="11" t="s">
        <v>5585</v>
      </c>
      <c r="C1656" s="10" t="str">
        <f>IFERROR(INDEX(面试清单!D:D,MATCH(1655,面试清单!P:P,0)),"")</f>
        <v/>
      </c>
      <c r="D1656" s="11" t="s">
        <v>43</v>
      </c>
      <c r="E1656" s="11" t="s">
        <v>64</v>
      </c>
      <c r="F1656" s="11" t="s">
        <v>179</v>
      </c>
      <c r="G1656" s="15">
        <v>46157</v>
      </c>
      <c r="H1656" s="10" t="str">
        <f>IFERROR(INDEX(面试清单!H:H,MATCH(1655,面试清单!P:P,0)),"")</f>
        <v/>
      </c>
      <c r="I1656" s="13" t="s">
        <v>29</v>
      </c>
      <c r="J1656" s="10">
        <f ca="1" t="shared" si="76"/>
        <v>32</v>
      </c>
      <c r="K1656" s="10">
        <f ca="1" t="shared" si="77"/>
        <v>16</v>
      </c>
    </row>
    <row r="1657" ht="18" spans="1:11">
      <c r="A1657" s="14">
        <f t="shared" si="75"/>
        <v>1656</v>
      </c>
      <c r="B1657" s="11" t="s">
        <v>5586</v>
      </c>
      <c r="C1657" s="124" t="str">
        <f>IFERROR(INDEX(面试清单!D:D,MATCH(1656,面试清单!P:P,0)),"")</f>
        <v>0220</v>
      </c>
      <c r="D1657" s="11" t="s">
        <v>43</v>
      </c>
      <c r="E1657" s="11" t="s">
        <v>63</v>
      </c>
      <c r="F1657" s="11" t="s">
        <v>179</v>
      </c>
      <c r="G1657" s="15">
        <v>46157</v>
      </c>
      <c r="H1657" s="14" t="str">
        <f>IFERROR(INDEX(面试清单!H:H,MATCH(1656,面试清单!P:P,0)),"")</f>
        <v>线上</v>
      </c>
      <c r="I1657" s="13" t="s">
        <v>29</v>
      </c>
      <c r="J1657" s="14">
        <f ca="1" t="shared" si="76"/>
        <v>32</v>
      </c>
      <c r="K1657" s="14">
        <f ca="1" t="shared" si="77"/>
        <v>16</v>
      </c>
    </row>
    <row r="1658" ht="18" spans="1:11">
      <c r="A1658" s="10">
        <f t="shared" si="75"/>
        <v>1657</v>
      </c>
      <c r="B1658" s="11" t="s">
        <v>5587</v>
      </c>
      <c r="C1658" s="10" t="str">
        <f>IFERROR(INDEX(面试清单!D:D,MATCH(1657,面试清单!P:P,0)),"")</f>
        <v/>
      </c>
      <c r="D1658" s="11" t="s">
        <v>43</v>
      </c>
      <c r="E1658" s="11" t="s">
        <v>62</v>
      </c>
      <c r="F1658" s="11" t="s">
        <v>103</v>
      </c>
      <c r="G1658" s="15">
        <v>46157</v>
      </c>
      <c r="H1658" s="10" t="str">
        <f>IFERROR(INDEX(面试清单!H:H,MATCH(1657,面试清单!P:P,0)),"")</f>
        <v/>
      </c>
      <c r="I1658" s="13" t="s">
        <v>29</v>
      </c>
      <c r="J1658" s="10">
        <f ca="1" t="shared" si="76"/>
        <v>32</v>
      </c>
      <c r="K1658" s="10">
        <f ca="1" t="shared" si="77"/>
        <v>16</v>
      </c>
    </row>
    <row r="1659" ht="18" spans="1:11">
      <c r="A1659" s="14">
        <f t="shared" si="75"/>
        <v>1658</v>
      </c>
      <c r="B1659" s="11" t="s">
        <v>5588</v>
      </c>
      <c r="C1659" s="14" t="str">
        <f>IFERROR(INDEX(面试清单!D:D,MATCH(1658,面试清单!P:P,0)),"")</f>
        <v/>
      </c>
      <c r="D1659" s="11" t="s">
        <v>43</v>
      </c>
      <c r="E1659" s="11" t="s">
        <v>63</v>
      </c>
      <c r="F1659" s="11" t="s">
        <v>103</v>
      </c>
      <c r="G1659" s="15">
        <v>46157</v>
      </c>
      <c r="H1659" s="14" t="str">
        <f>IFERROR(INDEX(面试清单!H:H,MATCH(1658,面试清单!P:P,0)),"")</f>
        <v/>
      </c>
      <c r="I1659" s="13" t="s">
        <v>29</v>
      </c>
      <c r="J1659" s="14">
        <f ca="1" t="shared" si="76"/>
        <v>32</v>
      </c>
      <c r="K1659" s="14">
        <f ca="1" t="shared" si="77"/>
        <v>16</v>
      </c>
    </row>
    <row r="1660" ht="18" spans="1:11">
      <c r="A1660" s="10">
        <f t="shared" si="75"/>
        <v>1659</v>
      </c>
      <c r="B1660" s="11" t="s">
        <v>5589</v>
      </c>
      <c r="C1660" s="10" t="str">
        <f>IFERROR(INDEX(面试清单!D:D,MATCH(1659,面试清单!P:P,0)),"")</f>
        <v/>
      </c>
      <c r="D1660" s="11" t="s">
        <v>43</v>
      </c>
      <c r="E1660" s="11" t="s">
        <v>64</v>
      </c>
      <c r="F1660" s="11" t="s">
        <v>179</v>
      </c>
      <c r="G1660" s="15">
        <v>46157</v>
      </c>
      <c r="H1660" s="10" t="str">
        <f>IFERROR(INDEX(面试清单!H:H,MATCH(1659,面试清单!P:P,0)),"")</f>
        <v/>
      </c>
      <c r="I1660" s="13" t="s">
        <v>29</v>
      </c>
      <c r="J1660" s="10">
        <f ca="1" t="shared" si="76"/>
        <v>32</v>
      </c>
      <c r="K1660" s="10">
        <f ca="1" t="shared" si="77"/>
        <v>16</v>
      </c>
    </row>
    <row r="1661" ht="18" spans="1:11">
      <c r="A1661" s="14">
        <f t="shared" si="75"/>
        <v>1660</v>
      </c>
      <c r="B1661" s="11" t="s">
        <v>5590</v>
      </c>
      <c r="C1661" s="14" t="str">
        <f>IFERROR(INDEX(面试清单!D:D,MATCH(1660,面试清单!P:P,0)),"")</f>
        <v/>
      </c>
      <c r="D1661" s="11" t="s">
        <v>74</v>
      </c>
      <c r="E1661" s="11" t="s">
        <v>190</v>
      </c>
      <c r="F1661" s="11" t="s">
        <v>179</v>
      </c>
      <c r="G1661" s="15">
        <v>46157</v>
      </c>
      <c r="H1661" s="14" t="str">
        <f>IFERROR(INDEX(面试清单!H:H,MATCH(1660,面试清单!P:P,0)),"")</f>
        <v/>
      </c>
      <c r="I1661" s="13" t="s">
        <v>29</v>
      </c>
      <c r="J1661" s="14">
        <f ca="1" t="shared" si="76"/>
        <v>32</v>
      </c>
      <c r="K1661" s="14">
        <f ca="1" t="shared" si="77"/>
        <v>16</v>
      </c>
    </row>
    <row r="1662" ht="18" spans="1:11">
      <c r="A1662" s="10">
        <f t="shared" si="75"/>
        <v>1661</v>
      </c>
      <c r="B1662" s="11" t="s">
        <v>5591</v>
      </c>
      <c r="C1662" s="10" t="str">
        <f>IFERROR(INDEX(面试清单!D:D,MATCH(1661,面试清单!P:P,0)),"")</f>
        <v/>
      </c>
      <c r="D1662" s="11" t="s">
        <v>74</v>
      </c>
      <c r="E1662" s="11" t="s">
        <v>64</v>
      </c>
      <c r="F1662" s="11" t="s">
        <v>179</v>
      </c>
      <c r="G1662" s="15">
        <v>46157</v>
      </c>
      <c r="H1662" s="10" t="str">
        <f>IFERROR(INDEX(面试清单!H:H,MATCH(1661,面试清单!P:P,0)),"")</f>
        <v/>
      </c>
      <c r="I1662" s="13" t="s">
        <v>29</v>
      </c>
      <c r="J1662" s="10">
        <f ca="1" t="shared" si="76"/>
        <v>32</v>
      </c>
      <c r="K1662" s="10">
        <f ca="1" t="shared" si="77"/>
        <v>16</v>
      </c>
    </row>
    <row r="1663" ht="18" spans="1:11">
      <c r="A1663" s="14">
        <f t="shared" si="75"/>
        <v>1662</v>
      </c>
      <c r="B1663" s="11" t="s">
        <v>5592</v>
      </c>
      <c r="C1663" s="14" t="str">
        <f>IFERROR(INDEX(面试清单!D:D,MATCH(1662,面试清单!P:P,0)),"")</f>
        <v/>
      </c>
      <c r="D1663" s="11" t="s">
        <v>74</v>
      </c>
      <c r="E1663" s="11" t="s">
        <v>64</v>
      </c>
      <c r="F1663" s="11" t="s">
        <v>103</v>
      </c>
      <c r="G1663" s="15">
        <v>46157</v>
      </c>
      <c r="H1663" s="14" t="str">
        <f>IFERROR(INDEX(面试清单!H:H,MATCH(1662,面试清单!P:P,0)),"")</f>
        <v/>
      </c>
      <c r="I1663" s="13" t="s">
        <v>29</v>
      </c>
      <c r="J1663" s="14">
        <f ca="1" t="shared" si="76"/>
        <v>32</v>
      </c>
      <c r="K1663" s="14">
        <f ca="1" t="shared" si="77"/>
        <v>16</v>
      </c>
    </row>
    <row r="1664" ht="18" spans="1:11">
      <c r="A1664" s="10">
        <f t="shared" si="75"/>
        <v>1663</v>
      </c>
      <c r="B1664" s="11" t="s">
        <v>5593</v>
      </c>
      <c r="C1664" s="10" t="str">
        <f>IFERROR(INDEX(面试清单!D:D,MATCH(1663,面试清单!P:P,0)),"")</f>
        <v/>
      </c>
      <c r="D1664" s="11" t="s">
        <v>74</v>
      </c>
      <c r="E1664" s="11" t="s">
        <v>64</v>
      </c>
      <c r="F1664" s="11" t="s">
        <v>103</v>
      </c>
      <c r="G1664" s="15">
        <v>46157</v>
      </c>
      <c r="H1664" s="10" t="str">
        <f>IFERROR(INDEX(面试清单!H:H,MATCH(1663,面试清单!P:P,0)),"")</f>
        <v/>
      </c>
      <c r="I1664" s="13" t="s">
        <v>29</v>
      </c>
      <c r="J1664" s="10">
        <f ca="1" t="shared" si="76"/>
        <v>32</v>
      </c>
      <c r="K1664" s="10">
        <f ca="1" t="shared" si="77"/>
        <v>16</v>
      </c>
    </row>
    <row r="1665" ht="18" spans="1:11">
      <c r="A1665" s="14">
        <f t="shared" si="75"/>
        <v>1664</v>
      </c>
      <c r="B1665" s="11" t="s">
        <v>5594</v>
      </c>
      <c r="C1665" s="124" t="str">
        <f>IFERROR(INDEX(面试清单!D:D,MATCH(1664,面试清单!P:P,0)),"")</f>
        <v>0217</v>
      </c>
      <c r="D1665" s="11" t="s">
        <v>43</v>
      </c>
      <c r="E1665" s="11" t="s">
        <v>62</v>
      </c>
      <c r="F1665" s="11" t="s">
        <v>103</v>
      </c>
      <c r="G1665" s="15">
        <v>46157</v>
      </c>
      <c r="H1665" s="14" t="str">
        <f>IFERROR(INDEX(面试清单!H:H,MATCH(1664,面试清单!P:P,0)),"")</f>
        <v>线上</v>
      </c>
      <c r="I1665" s="13" t="s">
        <v>29</v>
      </c>
      <c r="J1665" s="14">
        <f ca="1" t="shared" si="76"/>
        <v>32</v>
      </c>
      <c r="K1665" s="14">
        <f ca="1" t="shared" si="77"/>
        <v>16</v>
      </c>
    </row>
    <row r="1666" ht="18" spans="1:11">
      <c r="A1666" s="10">
        <f t="shared" ref="A1666:A1729" si="78">IF(B1666&lt;&gt;"",ROW()-1,"")</f>
        <v>1665</v>
      </c>
      <c r="B1666" s="11" t="s">
        <v>5595</v>
      </c>
      <c r="C1666" s="10" t="str">
        <f>IFERROR(INDEX(面试清单!D:D,MATCH(1665,面试清单!P:P,0)),"")</f>
        <v/>
      </c>
      <c r="D1666" s="11" t="s">
        <v>43</v>
      </c>
      <c r="E1666" s="11" t="s">
        <v>62</v>
      </c>
      <c r="F1666" s="11" t="s">
        <v>796</v>
      </c>
      <c r="G1666" s="15">
        <v>46157</v>
      </c>
      <c r="H1666" s="10" t="str">
        <f>IFERROR(INDEX(面试清单!H:H,MATCH(1665,面试清单!P:P,0)),"")</f>
        <v/>
      </c>
      <c r="I1666" s="13" t="s">
        <v>29</v>
      </c>
      <c r="J1666" s="10">
        <f ca="1" t="shared" ref="J1666:J1729" si="79">IF(G1666&lt;&gt;"",TODAY()-G1666,"")</f>
        <v>32</v>
      </c>
      <c r="K1666" s="10">
        <f ca="1" t="shared" ref="K1666:K1729" si="80">IF(G1666&lt;&gt;"",MAX(0,MIN(TODAY(),EOMONTH(TODAY(),0))-MAX(G1666,EOMONTH(TODAY(),-1)+1)+1),"")</f>
        <v>16</v>
      </c>
    </row>
    <row r="1667" ht="18" spans="1:11">
      <c r="A1667" s="14">
        <f t="shared" si="78"/>
        <v>1666</v>
      </c>
      <c r="B1667" s="11" t="s">
        <v>5596</v>
      </c>
      <c r="C1667" s="14" t="str">
        <f>IFERROR(INDEX(面试清单!D:D,MATCH(1666,面试清单!P:P,0)),"")</f>
        <v/>
      </c>
      <c r="D1667" s="11" t="s">
        <v>42</v>
      </c>
      <c r="E1667" s="11" t="s">
        <v>64</v>
      </c>
      <c r="F1667" s="11" t="s">
        <v>135</v>
      </c>
      <c r="G1667" s="15">
        <v>46157</v>
      </c>
      <c r="H1667" s="14" t="str">
        <f>IFERROR(INDEX(面试清单!H:H,MATCH(1666,面试清单!P:P,0)),"")</f>
        <v/>
      </c>
      <c r="I1667" s="13" t="s">
        <v>29</v>
      </c>
      <c r="J1667" s="14">
        <f ca="1" t="shared" si="79"/>
        <v>32</v>
      </c>
      <c r="K1667" s="14">
        <f ca="1" t="shared" si="80"/>
        <v>16</v>
      </c>
    </row>
    <row r="1668" ht="18" spans="1:11">
      <c r="A1668" s="10">
        <f t="shared" si="78"/>
        <v>1667</v>
      </c>
      <c r="B1668" s="11" t="s">
        <v>5597</v>
      </c>
      <c r="C1668" s="10" t="str">
        <f>IFERROR(INDEX(面试清单!D:D,MATCH(1667,面试清单!P:P,0)),"")</f>
        <v/>
      </c>
      <c r="D1668" s="11" t="s">
        <v>43</v>
      </c>
      <c r="E1668" s="11" t="s">
        <v>63</v>
      </c>
      <c r="F1668" s="11" t="s">
        <v>176</v>
      </c>
      <c r="G1668" s="15">
        <v>46158</v>
      </c>
      <c r="H1668" s="10" t="str">
        <f>IFERROR(INDEX(面试清单!H:H,MATCH(1667,面试清单!P:P,0)),"")</f>
        <v/>
      </c>
      <c r="I1668" s="13" t="s">
        <v>29</v>
      </c>
      <c r="J1668" s="10">
        <f ca="1" t="shared" si="79"/>
        <v>31</v>
      </c>
      <c r="K1668" s="10">
        <f ca="1" t="shared" si="80"/>
        <v>16</v>
      </c>
    </row>
    <row r="1669" ht="18" spans="1:11">
      <c r="A1669" s="14">
        <f t="shared" si="78"/>
        <v>1668</v>
      </c>
      <c r="B1669" s="11" t="s">
        <v>5598</v>
      </c>
      <c r="C1669" s="14" t="str">
        <f>IFERROR(INDEX(面试清单!D:D,MATCH(1668,面试清单!P:P,0)),"")</f>
        <v/>
      </c>
      <c r="D1669" s="11" t="s">
        <v>43</v>
      </c>
      <c r="E1669" s="11" t="s">
        <v>62</v>
      </c>
      <c r="F1669" s="11" t="s">
        <v>690</v>
      </c>
      <c r="G1669" s="15">
        <v>46158</v>
      </c>
      <c r="H1669" s="14" t="str">
        <f>IFERROR(INDEX(面试清单!H:H,MATCH(1668,面试清单!P:P,0)),"")</f>
        <v/>
      </c>
      <c r="I1669" s="13" t="s">
        <v>29</v>
      </c>
      <c r="J1669" s="14">
        <f ca="1" t="shared" si="79"/>
        <v>31</v>
      </c>
      <c r="K1669" s="14">
        <f ca="1" t="shared" si="80"/>
        <v>16</v>
      </c>
    </row>
    <row r="1670" ht="18" spans="1:11">
      <c r="A1670" s="10">
        <f t="shared" si="78"/>
        <v>1669</v>
      </c>
      <c r="B1670" s="11" t="s">
        <v>5599</v>
      </c>
      <c r="C1670" s="10" t="str">
        <f>IFERROR(INDEX(面试清单!D:D,MATCH(1669,面试清单!P:P,0)),"")</f>
        <v/>
      </c>
      <c r="D1670" s="11" t="s">
        <v>43</v>
      </c>
      <c r="E1670" s="11" t="s">
        <v>63</v>
      </c>
      <c r="F1670" s="11" t="s">
        <v>733</v>
      </c>
      <c r="G1670" s="15">
        <v>46158</v>
      </c>
      <c r="H1670" s="10" t="str">
        <f>IFERROR(INDEX(面试清单!H:H,MATCH(1669,面试清单!P:P,0)),"")</f>
        <v/>
      </c>
      <c r="I1670" s="13" t="s">
        <v>29</v>
      </c>
      <c r="J1670" s="10">
        <f ca="1" t="shared" si="79"/>
        <v>31</v>
      </c>
      <c r="K1670" s="10">
        <f ca="1" t="shared" si="80"/>
        <v>16</v>
      </c>
    </row>
    <row r="1671" ht="18" spans="1:11">
      <c r="A1671" s="14">
        <f t="shared" si="78"/>
        <v>1670</v>
      </c>
      <c r="B1671" s="11" t="s">
        <v>5600</v>
      </c>
      <c r="C1671" s="14" t="str">
        <f>IFERROR(INDEX(面试清单!D:D,MATCH(1670,面试清单!P:P,0)),"")</f>
        <v/>
      </c>
      <c r="D1671" s="11" t="s">
        <v>42</v>
      </c>
      <c r="E1671" s="11" t="s">
        <v>62</v>
      </c>
      <c r="F1671" s="11" t="s">
        <v>307</v>
      </c>
      <c r="G1671" s="15">
        <v>46158</v>
      </c>
      <c r="H1671" s="14" t="str">
        <f>IFERROR(INDEX(面试清单!H:H,MATCH(1670,面试清单!P:P,0)),"")</f>
        <v/>
      </c>
      <c r="I1671" s="13" t="s">
        <v>29</v>
      </c>
      <c r="J1671" s="14">
        <f ca="1" t="shared" si="79"/>
        <v>31</v>
      </c>
      <c r="K1671" s="14">
        <f ca="1" t="shared" si="80"/>
        <v>16</v>
      </c>
    </row>
    <row r="1672" ht="18" spans="1:11">
      <c r="A1672" s="10">
        <f t="shared" si="78"/>
        <v>1671</v>
      </c>
      <c r="B1672" s="11" t="s">
        <v>5601</v>
      </c>
      <c r="C1672" s="10" t="str">
        <f>IFERROR(INDEX(面试清单!D:D,MATCH(1671,面试清单!P:P,0)),"")</f>
        <v/>
      </c>
      <c r="D1672" s="11" t="s">
        <v>43</v>
      </c>
      <c r="E1672" s="11" t="s">
        <v>62</v>
      </c>
      <c r="F1672" s="11" t="s">
        <v>307</v>
      </c>
      <c r="G1672" s="15">
        <v>46158</v>
      </c>
      <c r="H1672" s="10" t="str">
        <f>IFERROR(INDEX(面试清单!H:H,MATCH(1671,面试清单!P:P,0)),"")</f>
        <v/>
      </c>
      <c r="I1672" s="13" t="s">
        <v>29</v>
      </c>
      <c r="J1672" s="10">
        <f ca="1" t="shared" si="79"/>
        <v>31</v>
      </c>
      <c r="K1672" s="10">
        <f ca="1" t="shared" si="80"/>
        <v>16</v>
      </c>
    </row>
    <row r="1673" ht="18" spans="1:11">
      <c r="A1673" s="14">
        <f t="shared" si="78"/>
        <v>1672</v>
      </c>
      <c r="B1673" s="11" t="s">
        <v>5602</v>
      </c>
      <c r="C1673" s="14" t="str">
        <f>IFERROR(INDEX(面试清单!D:D,MATCH(1672,面试清单!P:P,0)),"")</f>
        <v/>
      </c>
      <c r="D1673" s="11" t="s">
        <v>43</v>
      </c>
      <c r="E1673" s="11" t="s">
        <v>63</v>
      </c>
      <c r="F1673" s="11" t="s">
        <v>124</v>
      </c>
      <c r="G1673" s="15">
        <v>46158</v>
      </c>
      <c r="H1673" s="14" t="str">
        <f>IFERROR(INDEX(面试清单!H:H,MATCH(1672,面试清单!P:P,0)),"")</f>
        <v/>
      </c>
      <c r="I1673" s="13" t="s">
        <v>29</v>
      </c>
      <c r="J1673" s="14">
        <f ca="1" t="shared" si="79"/>
        <v>31</v>
      </c>
      <c r="K1673" s="14">
        <f ca="1" t="shared" si="80"/>
        <v>16</v>
      </c>
    </row>
    <row r="1674" ht="18" spans="1:11">
      <c r="A1674" s="10">
        <f t="shared" si="78"/>
        <v>1673</v>
      </c>
      <c r="B1674" s="11" t="s">
        <v>5603</v>
      </c>
      <c r="C1674" s="10" t="str">
        <f>IFERROR(INDEX(面试清单!D:D,MATCH(1673,面试清单!P:P,0)),"")</f>
        <v/>
      </c>
      <c r="D1674" s="11" t="s">
        <v>42</v>
      </c>
      <c r="E1674" s="11" t="s">
        <v>62</v>
      </c>
      <c r="F1674" s="11" t="s">
        <v>124</v>
      </c>
      <c r="G1674" s="15">
        <v>46158</v>
      </c>
      <c r="H1674" s="10" t="str">
        <f>IFERROR(INDEX(面试清单!H:H,MATCH(1673,面试清单!P:P,0)),"")</f>
        <v/>
      </c>
      <c r="I1674" s="13" t="s">
        <v>29</v>
      </c>
      <c r="J1674" s="10">
        <f ca="1" t="shared" si="79"/>
        <v>31</v>
      </c>
      <c r="K1674" s="10">
        <f ca="1" t="shared" si="80"/>
        <v>16</v>
      </c>
    </row>
    <row r="1675" ht="18" spans="1:11">
      <c r="A1675" s="14">
        <f t="shared" si="78"/>
        <v>1674</v>
      </c>
      <c r="B1675" s="11" t="s">
        <v>5604</v>
      </c>
      <c r="C1675" s="14" t="str">
        <f>IFERROR(INDEX(面试清单!D:D,MATCH(1674,面试清单!P:P,0)),"")</f>
        <v/>
      </c>
      <c r="D1675" s="11" t="s">
        <v>43</v>
      </c>
      <c r="E1675" s="11" t="s">
        <v>63</v>
      </c>
      <c r="F1675" s="11" t="s">
        <v>124</v>
      </c>
      <c r="G1675" s="15">
        <v>46158</v>
      </c>
      <c r="H1675" s="14" t="str">
        <f>IFERROR(INDEX(面试清单!H:H,MATCH(1674,面试清单!P:P,0)),"")</f>
        <v/>
      </c>
      <c r="I1675" s="13" t="s">
        <v>29</v>
      </c>
      <c r="J1675" s="14">
        <f ca="1" t="shared" si="79"/>
        <v>31</v>
      </c>
      <c r="K1675" s="14">
        <f ca="1" t="shared" si="80"/>
        <v>16</v>
      </c>
    </row>
    <row r="1676" ht="18" spans="1:11">
      <c r="A1676" s="10">
        <f t="shared" si="78"/>
        <v>1675</v>
      </c>
      <c r="B1676" s="11" t="s">
        <v>5605</v>
      </c>
      <c r="C1676" s="10" t="str">
        <f>IFERROR(INDEX(面试清单!D:D,MATCH(1675,面试清单!P:P,0)),"")</f>
        <v/>
      </c>
      <c r="D1676" s="11" t="s">
        <v>43</v>
      </c>
      <c r="E1676" s="11" t="s">
        <v>63</v>
      </c>
      <c r="F1676" s="11" t="s">
        <v>505</v>
      </c>
      <c r="G1676" s="15">
        <v>46158</v>
      </c>
      <c r="H1676" s="10" t="str">
        <f>IFERROR(INDEX(面试清单!H:H,MATCH(1675,面试清单!P:P,0)),"")</f>
        <v/>
      </c>
      <c r="I1676" s="13" t="s">
        <v>29</v>
      </c>
      <c r="J1676" s="10">
        <f ca="1" t="shared" si="79"/>
        <v>31</v>
      </c>
      <c r="K1676" s="10">
        <f ca="1" t="shared" si="80"/>
        <v>16</v>
      </c>
    </row>
    <row r="1677" ht="18" spans="1:11">
      <c r="A1677" s="14">
        <f t="shared" si="78"/>
        <v>1676</v>
      </c>
      <c r="B1677" s="11" t="s">
        <v>5606</v>
      </c>
      <c r="C1677" s="14" t="str">
        <f>IFERROR(INDEX(面试清单!D:D,MATCH(1676,面试清单!P:P,0)),"")</f>
        <v/>
      </c>
      <c r="D1677" s="11" t="s">
        <v>42</v>
      </c>
      <c r="E1677" s="11" t="s">
        <v>63</v>
      </c>
      <c r="F1677" s="11" t="s">
        <v>103</v>
      </c>
      <c r="G1677" s="15">
        <v>46158</v>
      </c>
      <c r="H1677" s="14" t="str">
        <f>IFERROR(INDEX(面试清单!H:H,MATCH(1676,面试清单!P:P,0)),"")</f>
        <v/>
      </c>
      <c r="I1677" s="13" t="s">
        <v>29</v>
      </c>
      <c r="J1677" s="14">
        <f ca="1" t="shared" si="79"/>
        <v>31</v>
      </c>
      <c r="K1677" s="14">
        <f ca="1" t="shared" si="80"/>
        <v>16</v>
      </c>
    </row>
    <row r="1678" ht="18" spans="1:11">
      <c r="A1678" s="10">
        <f t="shared" si="78"/>
        <v>1677</v>
      </c>
      <c r="B1678" s="11" t="s">
        <v>5607</v>
      </c>
      <c r="C1678" s="10" t="str">
        <f>IFERROR(INDEX(面试清单!D:D,MATCH(1677,面试清单!P:P,0)),"")</f>
        <v/>
      </c>
      <c r="D1678" s="11" t="s">
        <v>42</v>
      </c>
      <c r="E1678" s="11" t="s">
        <v>62</v>
      </c>
      <c r="F1678" s="11" t="s">
        <v>103</v>
      </c>
      <c r="G1678" s="15">
        <v>46158</v>
      </c>
      <c r="H1678" s="10" t="str">
        <f>IFERROR(INDEX(面试清单!H:H,MATCH(1677,面试清单!P:P,0)),"")</f>
        <v/>
      </c>
      <c r="I1678" s="13" t="s">
        <v>29</v>
      </c>
      <c r="J1678" s="10">
        <f ca="1" t="shared" si="79"/>
        <v>31</v>
      </c>
      <c r="K1678" s="10">
        <f ca="1" t="shared" si="80"/>
        <v>16</v>
      </c>
    </row>
    <row r="1679" ht="18" spans="1:11">
      <c r="A1679" s="14">
        <f t="shared" si="78"/>
        <v>1678</v>
      </c>
      <c r="B1679" s="11" t="s">
        <v>5608</v>
      </c>
      <c r="C1679" s="124" t="str">
        <f>IFERROR(INDEX(面试清单!D:D,MATCH(1678,面试清单!P:P,0)),"")</f>
        <v>0208</v>
      </c>
      <c r="D1679" s="11" t="s">
        <v>42</v>
      </c>
      <c r="E1679" s="11" t="s">
        <v>63</v>
      </c>
      <c r="F1679" s="11" t="s">
        <v>578</v>
      </c>
      <c r="G1679" s="15">
        <v>46158</v>
      </c>
      <c r="H1679" s="14" t="str">
        <f>IFERROR(INDEX(面试清单!H:H,MATCH(1678,面试清单!P:P,0)),"")</f>
        <v>线上</v>
      </c>
      <c r="I1679" s="13" t="s">
        <v>29</v>
      </c>
      <c r="J1679" s="14">
        <f ca="1" t="shared" si="79"/>
        <v>31</v>
      </c>
      <c r="K1679" s="14">
        <f ca="1" t="shared" si="80"/>
        <v>16</v>
      </c>
    </row>
    <row r="1680" ht="18" spans="1:11">
      <c r="A1680" s="10">
        <f t="shared" si="78"/>
        <v>1679</v>
      </c>
      <c r="B1680" s="11" t="s">
        <v>5609</v>
      </c>
      <c r="C1680" s="125" t="str">
        <f>IFERROR(INDEX(面试清单!D:D,MATCH(1679,面试清单!P:P,0)),"")</f>
        <v>0209</v>
      </c>
      <c r="D1680" s="11" t="s">
        <v>43</v>
      </c>
      <c r="E1680" s="11" t="s">
        <v>62</v>
      </c>
      <c r="F1680" s="11" t="s">
        <v>132</v>
      </c>
      <c r="G1680" s="15">
        <v>46158</v>
      </c>
      <c r="H1680" s="10" t="str">
        <f>IFERROR(INDEX(面试清单!H:H,MATCH(1679,面试清单!P:P,0)),"")</f>
        <v>线上</v>
      </c>
      <c r="I1680" s="13" t="s">
        <v>29</v>
      </c>
      <c r="J1680" s="10">
        <f ca="1" t="shared" si="79"/>
        <v>31</v>
      </c>
      <c r="K1680" s="10">
        <f ca="1" t="shared" si="80"/>
        <v>16</v>
      </c>
    </row>
    <row r="1681" ht="18" spans="1:11">
      <c r="A1681" s="14">
        <f t="shared" si="78"/>
        <v>1680</v>
      </c>
      <c r="B1681" s="11" t="s">
        <v>5610</v>
      </c>
      <c r="C1681" s="124" t="str">
        <f>IFERROR(INDEX(面试清单!D:D,MATCH(1680,面试清单!P:P,0)),"")</f>
        <v>0212</v>
      </c>
      <c r="D1681" s="11" t="s">
        <v>42</v>
      </c>
      <c r="E1681" s="11" t="s">
        <v>63</v>
      </c>
      <c r="F1681" s="11" t="s">
        <v>173</v>
      </c>
      <c r="G1681" s="15">
        <v>46158</v>
      </c>
      <c r="H1681" s="14" t="str">
        <f>IFERROR(INDEX(面试清单!H:H,MATCH(1680,面试清单!P:P,0)),"")</f>
        <v>线上</v>
      </c>
      <c r="I1681" s="13" t="s">
        <v>29</v>
      </c>
      <c r="J1681" s="14">
        <f ca="1" t="shared" si="79"/>
        <v>31</v>
      </c>
      <c r="K1681" s="14">
        <f ca="1" t="shared" si="80"/>
        <v>16</v>
      </c>
    </row>
    <row r="1682" ht="18" spans="1:11">
      <c r="A1682" s="10">
        <f t="shared" si="78"/>
        <v>1681</v>
      </c>
      <c r="B1682" s="11" t="s">
        <v>5611</v>
      </c>
      <c r="C1682" s="10" t="str">
        <f>IFERROR(INDEX(面试清单!D:D,MATCH(1681,面试清单!P:P,0)),"")</f>
        <v/>
      </c>
      <c r="D1682" s="11" t="s">
        <v>42</v>
      </c>
      <c r="E1682" s="11" t="s">
        <v>62</v>
      </c>
      <c r="F1682" s="11" t="s">
        <v>103</v>
      </c>
      <c r="G1682" s="15">
        <v>46158</v>
      </c>
      <c r="H1682" s="10" t="str">
        <f>IFERROR(INDEX(面试清单!H:H,MATCH(1681,面试清单!P:P,0)),"")</f>
        <v/>
      </c>
      <c r="I1682" s="13" t="s">
        <v>29</v>
      </c>
      <c r="J1682" s="10">
        <f ca="1" t="shared" si="79"/>
        <v>31</v>
      </c>
      <c r="K1682" s="10">
        <f ca="1" t="shared" si="80"/>
        <v>16</v>
      </c>
    </row>
    <row r="1683" ht="18" spans="1:11">
      <c r="A1683" s="14">
        <f t="shared" si="78"/>
        <v>1682</v>
      </c>
      <c r="B1683" s="11" t="s">
        <v>5612</v>
      </c>
      <c r="C1683" s="124" t="str">
        <f>IFERROR(INDEX(面试清单!D:D,MATCH(1682,面试清单!P:P,0)),"")</f>
        <v>0217</v>
      </c>
      <c r="D1683" s="11" t="s">
        <v>42</v>
      </c>
      <c r="E1683" s="11" t="s">
        <v>63</v>
      </c>
      <c r="F1683" s="11" t="s">
        <v>103</v>
      </c>
      <c r="G1683" s="15">
        <v>46158</v>
      </c>
      <c r="H1683" s="14" t="str">
        <f>IFERROR(INDEX(面试清单!H:H,MATCH(1682,面试清单!P:P,0)),"")</f>
        <v>线上</v>
      </c>
      <c r="I1683" s="13" t="s">
        <v>29</v>
      </c>
      <c r="J1683" s="14">
        <f ca="1" t="shared" si="79"/>
        <v>31</v>
      </c>
      <c r="K1683" s="14">
        <f ca="1" t="shared" si="80"/>
        <v>16</v>
      </c>
    </row>
    <row r="1684" ht="18" spans="1:11">
      <c r="A1684" s="10">
        <f t="shared" si="78"/>
        <v>1683</v>
      </c>
      <c r="B1684" s="11" t="s">
        <v>5613</v>
      </c>
      <c r="C1684" s="125" t="str">
        <f>IFERROR(INDEX(面试清单!D:D,MATCH(1683,面试清单!P:P,0)),"")</f>
        <v>0218</v>
      </c>
      <c r="D1684" s="11" t="s">
        <v>43</v>
      </c>
      <c r="E1684" s="11" t="s">
        <v>63</v>
      </c>
      <c r="F1684" s="11" t="s">
        <v>124</v>
      </c>
      <c r="G1684" s="15">
        <v>46158</v>
      </c>
      <c r="H1684" s="10" t="str">
        <f>IFERROR(INDEX(面试清单!H:H,MATCH(1683,面试清单!P:P,0)),"")</f>
        <v>线上</v>
      </c>
      <c r="I1684" s="13" t="s">
        <v>29</v>
      </c>
      <c r="J1684" s="10">
        <f ca="1" t="shared" si="79"/>
        <v>31</v>
      </c>
      <c r="K1684" s="10">
        <f ca="1" t="shared" si="80"/>
        <v>16</v>
      </c>
    </row>
    <row r="1685" ht="18" spans="1:11">
      <c r="A1685" s="14">
        <f t="shared" si="78"/>
        <v>1684</v>
      </c>
      <c r="B1685" s="11" t="s">
        <v>5614</v>
      </c>
      <c r="C1685" s="14" t="str">
        <f>IFERROR(INDEX(面试清单!D:D,MATCH(1684,面试清单!P:P,0)),"")</f>
        <v/>
      </c>
      <c r="D1685" s="11" t="s">
        <v>43</v>
      </c>
      <c r="E1685" s="11" t="s">
        <v>62</v>
      </c>
      <c r="F1685" s="11" t="s">
        <v>1426</v>
      </c>
      <c r="G1685" s="15">
        <v>46158</v>
      </c>
      <c r="H1685" s="14" t="str">
        <f>IFERROR(INDEX(面试清单!H:H,MATCH(1684,面试清单!P:P,0)),"")</f>
        <v/>
      </c>
      <c r="I1685" s="13" t="s">
        <v>29</v>
      </c>
      <c r="J1685" s="14">
        <f ca="1" t="shared" si="79"/>
        <v>31</v>
      </c>
      <c r="K1685" s="14">
        <f ca="1" t="shared" si="80"/>
        <v>16</v>
      </c>
    </row>
    <row r="1686" ht="18" spans="1:11">
      <c r="A1686" s="10">
        <f t="shared" si="78"/>
        <v>1685</v>
      </c>
      <c r="B1686" s="11" t="s">
        <v>5615</v>
      </c>
      <c r="C1686" s="10" t="str">
        <f>IFERROR(INDEX(面试清单!D:D,MATCH(1685,面试清单!P:P,0)),"")</f>
        <v/>
      </c>
      <c r="D1686" s="11" t="s">
        <v>42</v>
      </c>
      <c r="E1686" s="11" t="s">
        <v>63</v>
      </c>
      <c r="F1686" s="11" t="s">
        <v>129</v>
      </c>
      <c r="G1686" s="15">
        <v>46158</v>
      </c>
      <c r="H1686" s="10" t="str">
        <f>IFERROR(INDEX(面试清单!H:H,MATCH(1685,面试清单!P:P,0)),"")</f>
        <v/>
      </c>
      <c r="I1686" s="13" t="s">
        <v>29</v>
      </c>
      <c r="J1686" s="10">
        <f ca="1" t="shared" si="79"/>
        <v>31</v>
      </c>
      <c r="K1686" s="10">
        <f ca="1" t="shared" si="80"/>
        <v>16</v>
      </c>
    </row>
    <row r="1687" ht="18" spans="1:11">
      <c r="A1687" s="14">
        <f t="shared" si="78"/>
        <v>1686</v>
      </c>
      <c r="B1687" s="11" t="s">
        <v>5616</v>
      </c>
      <c r="C1687" s="14" t="str">
        <f>IFERROR(INDEX(面试清单!D:D,MATCH(1686,面试清单!P:P,0)),"")</f>
        <v/>
      </c>
      <c r="D1687" s="11" t="s">
        <v>43</v>
      </c>
      <c r="E1687" s="11" t="s">
        <v>63</v>
      </c>
      <c r="F1687" s="11" t="s">
        <v>179</v>
      </c>
      <c r="G1687" s="15">
        <v>46158</v>
      </c>
      <c r="H1687" s="14" t="str">
        <f>IFERROR(INDEX(面试清单!H:H,MATCH(1686,面试清单!P:P,0)),"")</f>
        <v/>
      </c>
      <c r="I1687" s="13" t="s">
        <v>29</v>
      </c>
      <c r="J1687" s="14">
        <f ca="1" t="shared" si="79"/>
        <v>31</v>
      </c>
      <c r="K1687" s="14">
        <f ca="1" t="shared" si="80"/>
        <v>16</v>
      </c>
    </row>
    <row r="1688" ht="18" spans="1:11">
      <c r="A1688" s="10">
        <f t="shared" si="78"/>
        <v>1687</v>
      </c>
      <c r="B1688" s="11" t="s">
        <v>5617</v>
      </c>
      <c r="C1688" s="10" t="str">
        <f>IFERROR(INDEX(面试清单!D:D,MATCH(1687,面试清单!P:P,0)),"")</f>
        <v/>
      </c>
      <c r="D1688" s="11" t="s">
        <v>43</v>
      </c>
      <c r="E1688" s="11" t="s">
        <v>63</v>
      </c>
      <c r="F1688" s="11" t="s">
        <v>1426</v>
      </c>
      <c r="G1688" s="15">
        <v>46158</v>
      </c>
      <c r="H1688" s="10" t="str">
        <f>IFERROR(INDEX(面试清单!H:H,MATCH(1687,面试清单!P:P,0)),"")</f>
        <v/>
      </c>
      <c r="I1688" s="13" t="s">
        <v>29</v>
      </c>
      <c r="J1688" s="10">
        <f ca="1" t="shared" si="79"/>
        <v>31</v>
      </c>
      <c r="K1688" s="10">
        <f ca="1" t="shared" si="80"/>
        <v>16</v>
      </c>
    </row>
    <row r="1689" ht="18" spans="1:11">
      <c r="A1689" s="14">
        <f t="shared" si="78"/>
        <v>1688</v>
      </c>
      <c r="B1689" s="11" t="s">
        <v>5618</v>
      </c>
      <c r="C1689" s="14" t="str">
        <f>IFERROR(INDEX(面试清单!D:D,MATCH(1688,面试清单!P:P,0)),"")</f>
        <v/>
      </c>
      <c r="D1689" s="11" t="s">
        <v>74</v>
      </c>
      <c r="E1689" s="11" t="s">
        <v>64</v>
      </c>
      <c r="F1689" s="11" t="s">
        <v>124</v>
      </c>
      <c r="G1689" s="15">
        <v>46158</v>
      </c>
      <c r="H1689" s="14" t="str">
        <f>IFERROR(INDEX(面试清单!H:H,MATCH(1688,面试清单!P:P,0)),"")</f>
        <v/>
      </c>
      <c r="I1689" s="13" t="s">
        <v>29</v>
      </c>
      <c r="J1689" s="14">
        <f ca="1" t="shared" si="79"/>
        <v>31</v>
      </c>
      <c r="K1689" s="14">
        <f ca="1" t="shared" si="80"/>
        <v>16</v>
      </c>
    </row>
    <row r="1690" ht="18" spans="1:11">
      <c r="A1690" s="10">
        <f t="shared" si="78"/>
        <v>1689</v>
      </c>
      <c r="B1690" s="11" t="s">
        <v>5619</v>
      </c>
      <c r="C1690" s="10" t="str">
        <f>IFERROR(INDEX(面试清单!D:D,MATCH(1689,面试清单!P:P,0)),"")</f>
        <v/>
      </c>
      <c r="D1690" s="11" t="s">
        <v>74</v>
      </c>
      <c r="E1690" s="11" t="s">
        <v>64</v>
      </c>
      <c r="F1690" s="11" t="s">
        <v>124</v>
      </c>
      <c r="G1690" s="15">
        <v>46158</v>
      </c>
      <c r="H1690" s="10" t="str">
        <f>IFERROR(INDEX(面试清单!H:H,MATCH(1689,面试清单!P:P,0)),"")</f>
        <v/>
      </c>
      <c r="I1690" s="13" t="s">
        <v>29</v>
      </c>
      <c r="J1690" s="10">
        <f ca="1" t="shared" si="79"/>
        <v>31</v>
      </c>
      <c r="K1690" s="10">
        <f ca="1" t="shared" si="80"/>
        <v>16</v>
      </c>
    </row>
    <row r="1691" ht="18" spans="1:11">
      <c r="A1691" s="14">
        <f t="shared" si="78"/>
        <v>1690</v>
      </c>
      <c r="B1691" s="11" t="s">
        <v>5620</v>
      </c>
      <c r="C1691" s="14" t="str">
        <f>IFERROR(INDEX(面试清单!D:D,MATCH(1690,面试清单!P:P,0)),"")</f>
        <v/>
      </c>
      <c r="D1691" s="11" t="s">
        <v>42</v>
      </c>
      <c r="E1691" s="11" t="s">
        <v>63</v>
      </c>
      <c r="F1691" s="11" t="s">
        <v>179</v>
      </c>
      <c r="G1691" s="15">
        <v>46158</v>
      </c>
      <c r="H1691" s="14" t="str">
        <f>IFERROR(INDEX(面试清单!H:H,MATCH(1690,面试清单!P:P,0)),"")</f>
        <v/>
      </c>
      <c r="I1691" s="13" t="s">
        <v>29</v>
      </c>
      <c r="J1691" s="14">
        <f ca="1" t="shared" si="79"/>
        <v>31</v>
      </c>
      <c r="K1691" s="14">
        <f ca="1" t="shared" si="80"/>
        <v>16</v>
      </c>
    </row>
    <row r="1692" ht="18" spans="1:11">
      <c r="A1692" s="10">
        <f t="shared" si="78"/>
        <v>1691</v>
      </c>
      <c r="B1692" s="11" t="s">
        <v>5621</v>
      </c>
      <c r="C1692" s="10" t="str">
        <f>IFERROR(INDEX(面试清单!D:D,MATCH(1691,面试清单!P:P,0)),"")</f>
        <v/>
      </c>
      <c r="D1692" s="11" t="s">
        <v>74</v>
      </c>
      <c r="E1692" s="11" t="s">
        <v>190</v>
      </c>
      <c r="F1692" s="11" t="s">
        <v>426</v>
      </c>
      <c r="G1692" s="15">
        <v>46158</v>
      </c>
      <c r="H1692" s="10" t="str">
        <f>IFERROR(INDEX(面试清单!H:H,MATCH(1691,面试清单!P:P,0)),"")</f>
        <v/>
      </c>
      <c r="I1692" s="13" t="s">
        <v>29</v>
      </c>
      <c r="J1692" s="10">
        <f ca="1" t="shared" si="79"/>
        <v>31</v>
      </c>
      <c r="K1692" s="10">
        <f ca="1" t="shared" si="80"/>
        <v>16</v>
      </c>
    </row>
    <row r="1693" ht="18" spans="1:11">
      <c r="A1693" s="14">
        <f t="shared" si="78"/>
        <v>1692</v>
      </c>
      <c r="B1693" s="11" t="s">
        <v>5622</v>
      </c>
      <c r="C1693" s="14" t="str">
        <f>IFERROR(INDEX(面试清单!D:D,MATCH(1692,面试清单!P:P,0)),"")</f>
        <v/>
      </c>
      <c r="D1693" s="11" t="s">
        <v>74</v>
      </c>
      <c r="E1693" s="11" t="s">
        <v>64</v>
      </c>
      <c r="F1693" s="11" t="s">
        <v>179</v>
      </c>
      <c r="G1693" s="15">
        <v>46158</v>
      </c>
      <c r="H1693" s="14" t="str">
        <f>IFERROR(INDEX(面试清单!H:H,MATCH(1692,面试清单!P:P,0)),"")</f>
        <v/>
      </c>
      <c r="I1693" s="13" t="s">
        <v>29</v>
      </c>
      <c r="J1693" s="14">
        <f ca="1" t="shared" si="79"/>
        <v>31</v>
      </c>
      <c r="K1693" s="14">
        <f ca="1" t="shared" si="80"/>
        <v>16</v>
      </c>
    </row>
    <row r="1694" ht="18" spans="1:11">
      <c r="A1694" s="10">
        <f t="shared" si="78"/>
        <v>1693</v>
      </c>
      <c r="B1694" s="11" t="s">
        <v>5623</v>
      </c>
      <c r="C1694" s="10" t="str">
        <f>IFERROR(INDEX(面试清单!D:D,MATCH(1693,面试清单!P:P,0)),"")</f>
        <v/>
      </c>
      <c r="D1694" s="11" t="s">
        <v>43</v>
      </c>
      <c r="E1694" s="11" t="s">
        <v>63</v>
      </c>
      <c r="F1694" s="11" t="s">
        <v>129</v>
      </c>
      <c r="G1694" s="15">
        <v>46159</v>
      </c>
      <c r="H1694" s="10" t="str">
        <f>IFERROR(INDEX(面试清单!H:H,MATCH(1693,面试清单!P:P,0)),"")</f>
        <v/>
      </c>
      <c r="I1694" s="13" t="s">
        <v>29</v>
      </c>
      <c r="J1694" s="10">
        <f ca="1" t="shared" si="79"/>
        <v>30</v>
      </c>
      <c r="K1694" s="10">
        <f ca="1" t="shared" si="80"/>
        <v>16</v>
      </c>
    </row>
    <row r="1695" ht="18" spans="1:11">
      <c r="A1695" s="14">
        <f t="shared" si="78"/>
        <v>1694</v>
      </c>
      <c r="B1695" s="11" t="s">
        <v>5624</v>
      </c>
      <c r="C1695" s="124" t="str">
        <f>IFERROR(INDEX(面试清单!D:D,MATCH(1694,面试清单!P:P,0)),"")</f>
        <v>0221</v>
      </c>
      <c r="D1695" s="11" t="s">
        <v>43</v>
      </c>
      <c r="E1695" s="11" t="s">
        <v>63</v>
      </c>
      <c r="F1695" s="11" t="s">
        <v>129</v>
      </c>
      <c r="G1695" s="15">
        <v>46159</v>
      </c>
      <c r="H1695" s="14" t="str">
        <f>IFERROR(INDEX(面试清单!H:H,MATCH(1694,面试清单!P:P,0)),"")</f>
        <v>线上</v>
      </c>
      <c r="I1695" s="13" t="s">
        <v>29</v>
      </c>
      <c r="J1695" s="14">
        <f ca="1" t="shared" si="79"/>
        <v>30</v>
      </c>
      <c r="K1695" s="14">
        <f ca="1" t="shared" si="80"/>
        <v>16</v>
      </c>
    </row>
    <row r="1696" ht="18" spans="1:11">
      <c r="A1696" s="10">
        <f t="shared" si="78"/>
        <v>1695</v>
      </c>
      <c r="B1696" s="11" t="s">
        <v>5625</v>
      </c>
      <c r="C1696" s="125" t="str">
        <f>IFERROR(INDEX(面试清单!D:D,MATCH(1695,面试清单!P:P,0)),"")</f>
        <v>0222</v>
      </c>
      <c r="D1696" s="11" t="s">
        <v>42</v>
      </c>
      <c r="E1696" s="11" t="s">
        <v>62</v>
      </c>
      <c r="F1696" s="11" t="s">
        <v>307</v>
      </c>
      <c r="G1696" s="15">
        <v>46159</v>
      </c>
      <c r="H1696" s="10" t="str">
        <f>IFERROR(INDEX(面试清单!H:H,MATCH(1695,面试清单!P:P,0)),"")</f>
        <v>线上</v>
      </c>
      <c r="I1696" s="13" t="s">
        <v>29</v>
      </c>
      <c r="J1696" s="10">
        <f ca="1" t="shared" si="79"/>
        <v>30</v>
      </c>
      <c r="K1696" s="10">
        <f ca="1" t="shared" si="80"/>
        <v>16</v>
      </c>
    </row>
    <row r="1697" ht="18" spans="1:11">
      <c r="A1697" s="14">
        <f t="shared" si="78"/>
        <v>1696</v>
      </c>
      <c r="B1697" s="11" t="s">
        <v>5626</v>
      </c>
      <c r="C1697" s="14" t="str">
        <f>IFERROR(INDEX(面试清单!D:D,MATCH(1696,面试清单!P:P,0)),"")</f>
        <v/>
      </c>
      <c r="D1697" s="11" t="s">
        <v>42</v>
      </c>
      <c r="E1697" s="11" t="s">
        <v>62</v>
      </c>
      <c r="F1697" s="11" t="s">
        <v>233</v>
      </c>
      <c r="G1697" s="15">
        <v>46159</v>
      </c>
      <c r="H1697" s="14" t="str">
        <f>IFERROR(INDEX(面试清单!H:H,MATCH(1696,面试清单!P:P,0)),"")</f>
        <v/>
      </c>
      <c r="I1697" s="13" t="s">
        <v>29</v>
      </c>
      <c r="J1697" s="14">
        <f ca="1" t="shared" si="79"/>
        <v>30</v>
      </c>
      <c r="K1697" s="14">
        <f ca="1" t="shared" si="80"/>
        <v>16</v>
      </c>
    </row>
    <row r="1698" ht="18" spans="1:11">
      <c r="A1698" s="10">
        <f t="shared" si="78"/>
        <v>1697</v>
      </c>
      <c r="B1698" s="11" t="s">
        <v>5627</v>
      </c>
      <c r="C1698" s="10" t="str">
        <f>IFERROR(INDEX(面试清单!D:D,MATCH(1697,面试清单!P:P,0)),"")</f>
        <v/>
      </c>
      <c r="D1698" s="11" t="s">
        <v>43</v>
      </c>
      <c r="E1698" s="11" t="s">
        <v>62</v>
      </c>
      <c r="F1698" s="11" t="s">
        <v>1426</v>
      </c>
      <c r="G1698" s="15">
        <v>46159</v>
      </c>
      <c r="H1698" s="10" t="str">
        <f>IFERROR(INDEX(面试清单!H:H,MATCH(1697,面试清单!P:P,0)),"")</f>
        <v/>
      </c>
      <c r="I1698" s="13" t="s">
        <v>29</v>
      </c>
      <c r="J1698" s="10">
        <f ca="1" t="shared" si="79"/>
        <v>30</v>
      </c>
      <c r="K1698" s="10">
        <f ca="1" t="shared" si="80"/>
        <v>16</v>
      </c>
    </row>
    <row r="1699" ht="18" spans="1:11">
      <c r="A1699" s="14">
        <f t="shared" si="78"/>
        <v>1698</v>
      </c>
      <c r="B1699" s="11" t="s">
        <v>5628</v>
      </c>
      <c r="C1699" s="14" t="str">
        <f>IFERROR(INDEX(面试清单!D:D,MATCH(1698,面试清单!P:P,0)),"")</f>
        <v/>
      </c>
      <c r="D1699" s="11" t="s">
        <v>43</v>
      </c>
      <c r="E1699" s="11" t="s">
        <v>62</v>
      </c>
      <c r="F1699" s="11" t="s">
        <v>1426</v>
      </c>
      <c r="G1699" s="15">
        <v>46159</v>
      </c>
      <c r="H1699" s="14" t="str">
        <f>IFERROR(INDEX(面试清单!H:H,MATCH(1698,面试清单!P:P,0)),"")</f>
        <v/>
      </c>
      <c r="I1699" s="13" t="s">
        <v>29</v>
      </c>
      <c r="J1699" s="14">
        <f ca="1" t="shared" si="79"/>
        <v>30</v>
      </c>
      <c r="K1699" s="14">
        <f ca="1" t="shared" si="80"/>
        <v>16</v>
      </c>
    </row>
    <row r="1700" ht="18" spans="1:11">
      <c r="A1700" s="10">
        <f t="shared" si="78"/>
        <v>1699</v>
      </c>
      <c r="B1700" s="11" t="s">
        <v>5629</v>
      </c>
      <c r="C1700" s="125" t="str">
        <f>IFERROR(INDEX(面试清单!D:D,MATCH(1699,面试清单!P:P,0)),"")</f>
        <v>0214</v>
      </c>
      <c r="D1700" s="11" t="s">
        <v>42</v>
      </c>
      <c r="E1700" s="11" t="s">
        <v>62</v>
      </c>
      <c r="F1700" s="11" t="s">
        <v>132</v>
      </c>
      <c r="G1700" s="15">
        <v>46159</v>
      </c>
      <c r="H1700" s="10" t="str">
        <f>IFERROR(INDEX(面试清单!H:H,MATCH(1699,面试清单!P:P,0)),"")</f>
        <v>线上</v>
      </c>
      <c r="I1700" s="13" t="s">
        <v>29</v>
      </c>
      <c r="J1700" s="10">
        <f ca="1" t="shared" si="79"/>
        <v>30</v>
      </c>
      <c r="K1700" s="10">
        <f ca="1" t="shared" si="80"/>
        <v>16</v>
      </c>
    </row>
    <row r="1701" ht="18" spans="1:11">
      <c r="A1701" s="14">
        <f t="shared" si="78"/>
        <v>1700</v>
      </c>
      <c r="B1701" s="11" t="s">
        <v>5630</v>
      </c>
      <c r="C1701" s="124" t="str">
        <f>IFERROR(INDEX(面试清单!D:D,MATCH(1700,面试清单!P:P,0)),"")</f>
        <v>0217</v>
      </c>
      <c r="D1701" s="11" t="s">
        <v>43</v>
      </c>
      <c r="E1701" s="11" t="s">
        <v>62</v>
      </c>
      <c r="F1701" s="11" t="s">
        <v>135</v>
      </c>
      <c r="G1701" s="15">
        <v>46159</v>
      </c>
      <c r="H1701" s="14" t="str">
        <f>IFERROR(INDEX(面试清单!H:H,MATCH(1700,面试清单!P:P,0)),"")</f>
        <v>线上</v>
      </c>
      <c r="I1701" s="13" t="s">
        <v>29</v>
      </c>
      <c r="J1701" s="14">
        <f ca="1" t="shared" si="79"/>
        <v>30</v>
      </c>
      <c r="K1701" s="14">
        <f ca="1" t="shared" si="80"/>
        <v>16</v>
      </c>
    </row>
    <row r="1702" ht="18" spans="1:11">
      <c r="A1702" s="10">
        <f t="shared" si="78"/>
        <v>1701</v>
      </c>
      <c r="B1702" s="11" t="s">
        <v>5631</v>
      </c>
      <c r="C1702" s="125" t="str">
        <f>IFERROR(INDEX(面试清单!D:D,MATCH(1701,面试清单!P:P,0)),"")</f>
        <v>0218</v>
      </c>
      <c r="D1702" s="11" t="s">
        <v>43</v>
      </c>
      <c r="E1702" s="11" t="s">
        <v>62</v>
      </c>
      <c r="F1702" s="11" t="s">
        <v>103</v>
      </c>
      <c r="G1702" s="15">
        <v>46159</v>
      </c>
      <c r="H1702" s="10" t="str">
        <f>IFERROR(INDEX(面试清单!H:H,MATCH(1701,面试清单!P:P,0)),"")</f>
        <v>线上</v>
      </c>
      <c r="I1702" s="13" t="s">
        <v>29</v>
      </c>
      <c r="J1702" s="10">
        <f ca="1" t="shared" si="79"/>
        <v>30</v>
      </c>
      <c r="K1702" s="10">
        <f ca="1" t="shared" si="80"/>
        <v>16</v>
      </c>
    </row>
    <row r="1703" ht="18" spans="1:11">
      <c r="A1703" s="14">
        <f t="shared" si="78"/>
        <v>1702</v>
      </c>
      <c r="B1703" s="11" t="s">
        <v>5632</v>
      </c>
      <c r="C1703" s="124" t="str">
        <f>IFERROR(INDEX(面试清单!D:D,MATCH(1702,面试清单!P:P,0)),"")</f>
        <v>0220</v>
      </c>
      <c r="D1703" s="11" t="s">
        <v>43</v>
      </c>
      <c r="E1703" s="11" t="s">
        <v>62</v>
      </c>
      <c r="F1703" s="11" t="s">
        <v>179</v>
      </c>
      <c r="G1703" s="15">
        <v>46159</v>
      </c>
      <c r="H1703" s="14" t="str">
        <f>IFERROR(INDEX(面试清单!H:H,MATCH(1702,面试清单!P:P,0)),"")</f>
        <v>线上</v>
      </c>
      <c r="I1703" s="13" t="s">
        <v>29</v>
      </c>
      <c r="J1703" s="14">
        <f ca="1" t="shared" si="79"/>
        <v>30</v>
      </c>
      <c r="K1703" s="14">
        <f ca="1" t="shared" si="80"/>
        <v>16</v>
      </c>
    </row>
    <row r="1704" ht="18" spans="1:11">
      <c r="A1704" s="10">
        <f t="shared" si="78"/>
        <v>1703</v>
      </c>
      <c r="B1704" s="11" t="s">
        <v>5633</v>
      </c>
      <c r="C1704" s="10" t="str">
        <f>IFERROR(INDEX(面试清单!D:D,MATCH(1703,面试清单!P:P,0)),"")</f>
        <v/>
      </c>
      <c r="D1704" s="11" t="s">
        <v>43</v>
      </c>
      <c r="E1704" s="11" t="s">
        <v>62</v>
      </c>
      <c r="F1704" s="11" t="s">
        <v>124</v>
      </c>
      <c r="G1704" s="15">
        <v>46159</v>
      </c>
      <c r="H1704" s="10" t="str">
        <f>IFERROR(INDEX(面试清单!H:H,MATCH(1703,面试清单!P:P,0)),"")</f>
        <v/>
      </c>
      <c r="I1704" s="13" t="s">
        <v>29</v>
      </c>
      <c r="J1704" s="10">
        <f ca="1" t="shared" si="79"/>
        <v>30</v>
      </c>
      <c r="K1704" s="10">
        <f ca="1" t="shared" si="80"/>
        <v>16</v>
      </c>
    </row>
    <row r="1705" ht="18" spans="1:11">
      <c r="A1705" s="14">
        <f t="shared" si="78"/>
        <v>1704</v>
      </c>
      <c r="B1705" s="11" t="s">
        <v>5634</v>
      </c>
      <c r="C1705" s="14" t="str">
        <f>IFERROR(INDEX(面试清单!D:D,MATCH(1704,面试清单!P:P,0)),"")</f>
        <v/>
      </c>
      <c r="D1705" s="11" t="s">
        <v>42</v>
      </c>
      <c r="E1705" s="11" t="s">
        <v>63</v>
      </c>
      <c r="F1705" s="11" t="s">
        <v>129</v>
      </c>
      <c r="G1705" s="15">
        <v>46159</v>
      </c>
      <c r="H1705" s="14" t="str">
        <f>IFERROR(INDEX(面试清单!H:H,MATCH(1704,面试清单!P:P,0)),"")</f>
        <v/>
      </c>
      <c r="I1705" s="13" t="s">
        <v>29</v>
      </c>
      <c r="J1705" s="14">
        <f ca="1" t="shared" si="79"/>
        <v>30</v>
      </c>
      <c r="K1705" s="14">
        <f ca="1" t="shared" si="80"/>
        <v>16</v>
      </c>
    </row>
    <row r="1706" ht="18" spans="1:11">
      <c r="A1706" s="10">
        <f t="shared" si="78"/>
        <v>1705</v>
      </c>
      <c r="B1706" s="11" t="s">
        <v>5635</v>
      </c>
      <c r="C1706" s="125" t="str">
        <f>IFERROR(INDEX(面试清单!D:D,MATCH(1705,面试清单!P:P,0)),"")</f>
        <v>0208</v>
      </c>
      <c r="D1706" s="11" t="s">
        <v>42</v>
      </c>
      <c r="E1706" s="11" t="s">
        <v>62</v>
      </c>
      <c r="F1706" s="11" t="s">
        <v>179</v>
      </c>
      <c r="G1706" s="15">
        <v>46159</v>
      </c>
      <c r="H1706" s="10" t="str">
        <f>IFERROR(INDEX(面试清单!H:H,MATCH(1705,面试清单!P:P,0)),"")</f>
        <v>线上</v>
      </c>
      <c r="I1706" s="13" t="s">
        <v>29</v>
      </c>
      <c r="J1706" s="10">
        <f ca="1" t="shared" si="79"/>
        <v>30</v>
      </c>
      <c r="K1706" s="10">
        <f ca="1" t="shared" si="80"/>
        <v>16</v>
      </c>
    </row>
    <row r="1707" ht="18" spans="1:11">
      <c r="A1707" s="14">
        <f t="shared" si="78"/>
        <v>1706</v>
      </c>
      <c r="B1707" s="11" t="s">
        <v>5636</v>
      </c>
      <c r="C1707" s="124" t="str">
        <f>IFERROR(INDEX(面试清单!D:D,MATCH(1706,面试清单!P:P,0)),"")</f>
        <v>0209</v>
      </c>
      <c r="D1707" s="11" t="s">
        <v>42</v>
      </c>
      <c r="E1707" s="11" t="s">
        <v>62</v>
      </c>
      <c r="F1707" s="11" t="s">
        <v>103</v>
      </c>
      <c r="G1707" s="15">
        <v>46159</v>
      </c>
      <c r="H1707" s="14" t="str">
        <f>IFERROR(INDEX(面试清单!H:H,MATCH(1706,面试清单!P:P,0)),"")</f>
        <v>线上</v>
      </c>
      <c r="I1707" s="13" t="s">
        <v>29</v>
      </c>
      <c r="J1707" s="14">
        <f ca="1" t="shared" si="79"/>
        <v>30</v>
      </c>
      <c r="K1707" s="14">
        <f ca="1" t="shared" si="80"/>
        <v>16</v>
      </c>
    </row>
    <row r="1708" ht="18" spans="1:11">
      <c r="A1708" s="10">
        <f t="shared" si="78"/>
        <v>1707</v>
      </c>
      <c r="B1708" s="11" t="s">
        <v>5637</v>
      </c>
      <c r="C1708" s="10" t="str">
        <f>IFERROR(INDEX(面试清单!D:D,MATCH(1707,面试清单!P:P,0)),"")</f>
        <v/>
      </c>
      <c r="D1708" s="11" t="s">
        <v>42</v>
      </c>
      <c r="E1708" s="11" t="s">
        <v>63</v>
      </c>
      <c r="F1708" s="11" t="s">
        <v>173</v>
      </c>
      <c r="G1708" s="15">
        <v>46159</v>
      </c>
      <c r="H1708" s="10" t="str">
        <f>IFERROR(INDEX(面试清单!H:H,MATCH(1707,面试清单!P:P,0)),"")</f>
        <v/>
      </c>
      <c r="I1708" s="13" t="s">
        <v>29</v>
      </c>
      <c r="J1708" s="10">
        <f ca="1" t="shared" si="79"/>
        <v>30</v>
      </c>
      <c r="K1708" s="10">
        <f ca="1" t="shared" si="80"/>
        <v>16</v>
      </c>
    </row>
    <row r="1709" ht="18" spans="1:11">
      <c r="A1709" s="14">
        <f t="shared" si="78"/>
        <v>1708</v>
      </c>
      <c r="B1709" s="11" t="s">
        <v>5638</v>
      </c>
      <c r="C1709" s="124" t="str">
        <f>IFERROR(INDEX(面试清单!D:D,MATCH(1708,面试清单!P:P,0)),"")</f>
        <v>0214</v>
      </c>
      <c r="D1709" s="11" t="s">
        <v>42</v>
      </c>
      <c r="E1709" s="11" t="s">
        <v>63</v>
      </c>
      <c r="F1709" s="11" t="s">
        <v>173</v>
      </c>
      <c r="G1709" s="15">
        <v>46159</v>
      </c>
      <c r="H1709" s="14" t="str">
        <f>IFERROR(INDEX(面试清单!H:H,MATCH(1708,面试清单!P:P,0)),"")</f>
        <v>线上</v>
      </c>
      <c r="I1709" s="13" t="s">
        <v>29</v>
      </c>
      <c r="J1709" s="14">
        <f ca="1" t="shared" si="79"/>
        <v>30</v>
      </c>
      <c r="K1709" s="14">
        <f ca="1" t="shared" si="80"/>
        <v>16</v>
      </c>
    </row>
    <row r="1710" ht="18" spans="1:11">
      <c r="A1710" s="10">
        <f t="shared" si="78"/>
        <v>1709</v>
      </c>
      <c r="B1710" s="11" t="s">
        <v>5639</v>
      </c>
      <c r="C1710" s="10" t="str">
        <f>IFERROR(INDEX(面试清单!D:D,MATCH(1709,面试清单!P:P,0)),"")</f>
        <v/>
      </c>
      <c r="D1710" s="11" t="s">
        <v>42</v>
      </c>
      <c r="E1710" s="11" t="s">
        <v>64</v>
      </c>
      <c r="F1710" s="11" t="s">
        <v>124</v>
      </c>
      <c r="G1710" s="15">
        <v>46159</v>
      </c>
      <c r="H1710" s="10" t="str">
        <f>IFERROR(INDEX(面试清单!H:H,MATCH(1709,面试清单!P:P,0)),"")</f>
        <v/>
      </c>
      <c r="I1710" s="13" t="s">
        <v>29</v>
      </c>
      <c r="J1710" s="10">
        <f ca="1" t="shared" si="79"/>
        <v>30</v>
      </c>
      <c r="K1710" s="10">
        <f ca="1" t="shared" si="80"/>
        <v>16</v>
      </c>
    </row>
    <row r="1711" ht="18" spans="1:11">
      <c r="A1711" s="14">
        <f t="shared" si="78"/>
        <v>1710</v>
      </c>
      <c r="B1711" s="11" t="s">
        <v>5640</v>
      </c>
      <c r="C1711" s="14" t="str">
        <f>IFERROR(INDEX(面试清单!D:D,MATCH(1710,面试清单!P:P,0)),"")</f>
        <v/>
      </c>
      <c r="D1711" s="11" t="s">
        <v>74</v>
      </c>
      <c r="E1711" s="11" t="s">
        <v>64</v>
      </c>
      <c r="F1711" s="11" t="s">
        <v>117</v>
      </c>
      <c r="G1711" s="15">
        <v>46159</v>
      </c>
      <c r="H1711" s="14" t="str">
        <f>IFERROR(INDEX(面试清单!H:H,MATCH(1710,面试清单!P:P,0)),"")</f>
        <v/>
      </c>
      <c r="I1711" s="13" t="s">
        <v>29</v>
      </c>
      <c r="J1711" s="14">
        <f ca="1" t="shared" si="79"/>
        <v>30</v>
      </c>
      <c r="K1711" s="14">
        <f ca="1" t="shared" si="80"/>
        <v>16</v>
      </c>
    </row>
    <row r="1712" ht="18" spans="1:11">
      <c r="A1712" s="10">
        <f t="shared" si="78"/>
        <v>1711</v>
      </c>
      <c r="B1712" s="11" t="s">
        <v>5641</v>
      </c>
      <c r="C1712" s="125" t="str">
        <f>IFERROR(INDEX(面试清单!D:D,MATCH(1711,面试清单!P:P,0)),"")</f>
        <v>0220</v>
      </c>
      <c r="D1712" s="11" t="s">
        <v>74</v>
      </c>
      <c r="E1712" s="11" t="s">
        <v>64</v>
      </c>
      <c r="F1712" s="11" t="s">
        <v>117</v>
      </c>
      <c r="G1712" s="15">
        <v>46159</v>
      </c>
      <c r="H1712" s="10" t="str">
        <f>IFERROR(INDEX(面试清单!H:H,MATCH(1711,面试清单!P:P,0)),"")</f>
        <v>线上</v>
      </c>
      <c r="I1712" s="13" t="s">
        <v>29</v>
      </c>
      <c r="J1712" s="10">
        <f ca="1" t="shared" si="79"/>
        <v>30</v>
      </c>
      <c r="K1712" s="10">
        <f ca="1" t="shared" si="80"/>
        <v>16</v>
      </c>
    </row>
    <row r="1713" ht="18" spans="1:11">
      <c r="A1713" s="14">
        <f t="shared" si="78"/>
        <v>1712</v>
      </c>
      <c r="B1713" s="11" t="s">
        <v>5642</v>
      </c>
      <c r="C1713" s="124" t="str">
        <f>IFERROR(INDEX(面试清单!D:D,MATCH(1712,面试清单!P:P,0)),"")</f>
        <v>0221</v>
      </c>
      <c r="D1713" s="11" t="s">
        <v>43</v>
      </c>
      <c r="E1713" s="11" t="s">
        <v>62</v>
      </c>
      <c r="F1713" s="11" t="s">
        <v>468</v>
      </c>
      <c r="G1713" s="15">
        <v>46159</v>
      </c>
      <c r="H1713" s="14" t="str">
        <f>IFERROR(INDEX(面试清单!H:H,MATCH(1712,面试清单!P:P,0)),"")</f>
        <v>线上</v>
      </c>
      <c r="I1713" s="13" t="s">
        <v>29</v>
      </c>
      <c r="J1713" s="14">
        <f ca="1" t="shared" si="79"/>
        <v>30</v>
      </c>
      <c r="K1713" s="14">
        <f ca="1" t="shared" si="80"/>
        <v>16</v>
      </c>
    </row>
    <row r="1714" ht="18" spans="1:11">
      <c r="A1714" s="10">
        <f t="shared" si="78"/>
        <v>1713</v>
      </c>
      <c r="B1714" s="11" t="s">
        <v>5643</v>
      </c>
      <c r="C1714" s="10" t="str">
        <f>IFERROR(INDEX(面试清单!D:D,MATCH(1713,面试清单!P:P,0)),"")</f>
        <v/>
      </c>
      <c r="D1714" s="11" t="s">
        <v>43</v>
      </c>
      <c r="E1714" s="11" t="s">
        <v>62</v>
      </c>
      <c r="F1714" s="11" t="s">
        <v>129</v>
      </c>
      <c r="G1714" s="15">
        <v>46160</v>
      </c>
      <c r="H1714" s="10" t="str">
        <f>IFERROR(INDEX(面试清单!H:H,MATCH(1713,面试清单!P:P,0)),"")</f>
        <v/>
      </c>
      <c r="I1714" s="13" t="s">
        <v>29</v>
      </c>
      <c r="J1714" s="10">
        <f ca="1" t="shared" si="79"/>
        <v>29</v>
      </c>
      <c r="K1714" s="10">
        <f ca="1" t="shared" si="80"/>
        <v>16</v>
      </c>
    </row>
    <row r="1715" ht="18" spans="1:11">
      <c r="A1715" s="14">
        <f t="shared" si="78"/>
        <v>1714</v>
      </c>
      <c r="B1715" s="11" t="s">
        <v>5644</v>
      </c>
      <c r="C1715" s="14" t="str">
        <f>IFERROR(INDEX(面试清单!D:D,MATCH(1714,面试清单!P:P,0)),"")</f>
        <v/>
      </c>
      <c r="D1715" s="11" t="s">
        <v>43</v>
      </c>
      <c r="E1715" s="11" t="s">
        <v>63</v>
      </c>
      <c r="F1715" s="11" t="s">
        <v>129</v>
      </c>
      <c r="G1715" s="15">
        <v>46160</v>
      </c>
      <c r="H1715" s="14" t="str">
        <f>IFERROR(INDEX(面试清单!H:H,MATCH(1714,面试清单!P:P,0)),"")</f>
        <v/>
      </c>
      <c r="I1715" s="13" t="s">
        <v>29</v>
      </c>
      <c r="J1715" s="14">
        <f ca="1" t="shared" si="79"/>
        <v>29</v>
      </c>
      <c r="K1715" s="14">
        <f ca="1" t="shared" si="80"/>
        <v>16</v>
      </c>
    </row>
    <row r="1716" ht="18" spans="1:11">
      <c r="A1716" s="10">
        <f t="shared" si="78"/>
        <v>1715</v>
      </c>
      <c r="B1716" s="11" t="s">
        <v>5645</v>
      </c>
      <c r="C1716" s="10" t="str">
        <f>IFERROR(INDEX(面试清单!D:D,MATCH(1715,面试清单!P:P,0)),"")</f>
        <v/>
      </c>
      <c r="D1716" s="11" t="s">
        <v>43</v>
      </c>
      <c r="E1716" s="11" t="s">
        <v>62</v>
      </c>
      <c r="F1716" s="11" t="s">
        <v>124</v>
      </c>
      <c r="G1716" s="15">
        <v>46160</v>
      </c>
      <c r="H1716" s="10" t="str">
        <f>IFERROR(INDEX(面试清单!H:H,MATCH(1715,面试清单!P:P,0)),"")</f>
        <v/>
      </c>
      <c r="I1716" s="13" t="s">
        <v>29</v>
      </c>
      <c r="J1716" s="10">
        <f ca="1" t="shared" si="79"/>
        <v>29</v>
      </c>
      <c r="K1716" s="10">
        <f ca="1" t="shared" si="80"/>
        <v>16</v>
      </c>
    </row>
    <row r="1717" ht="18" spans="1:11">
      <c r="A1717" s="14">
        <f t="shared" si="78"/>
        <v>1716</v>
      </c>
      <c r="B1717" s="11" t="s">
        <v>5646</v>
      </c>
      <c r="C1717" s="14" t="str">
        <f>IFERROR(INDEX(面试清单!D:D,MATCH(1716,面试清单!P:P,0)),"")</f>
        <v/>
      </c>
      <c r="D1717" s="11" t="s">
        <v>43</v>
      </c>
      <c r="E1717" s="11" t="s">
        <v>62</v>
      </c>
      <c r="F1717" s="11" t="s">
        <v>124</v>
      </c>
      <c r="G1717" s="15">
        <v>46160</v>
      </c>
      <c r="H1717" s="14" t="str">
        <f>IFERROR(INDEX(面试清单!H:H,MATCH(1716,面试清单!P:P,0)),"")</f>
        <v/>
      </c>
      <c r="I1717" s="13" t="s">
        <v>29</v>
      </c>
      <c r="J1717" s="14">
        <f ca="1" t="shared" si="79"/>
        <v>29</v>
      </c>
      <c r="K1717" s="14">
        <f ca="1" t="shared" si="80"/>
        <v>16</v>
      </c>
    </row>
    <row r="1718" ht="18" spans="1:11">
      <c r="A1718" s="10">
        <f t="shared" si="78"/>
        <v>1717</v>
      </c>
      <c r="B1718" s="11" t="s">
        <v>5647</v>
      </c>
      <c r="C1718" s="125" t="str">
        <f>IFERROR(INDEX(面试清单!D:D,MATCH(1717,面试清单!P:P,0)),"")</f>
        <v>0212</v>
      </c>
      <c r="D1718" s="11" t="s">
        <v>42</v>
      </c>
      <c r="E1718" s="11" t="s">
        <v>62</v>
      </c>
      <c r="F1718" s="11" t="s">
        <v>307</v>
      </c>
      <c r="G1718" s="15">
        <v>46160</v>
      </c>
      <c r="H1718" s="10" t="str">
        <f>IFERROR(INDEX(面试清单!H:H,MATCH(1717,面试清单!P:P,0)),"")</f>
        <v>线上</v>
      </c>
      <c r="I1718" s="13" t="s">
        <v>29</v>
      </c>
      <c r="J1718" s="10">
        <f ca="1" t="shared" si="79"/>
        <v>29</v>
      </c>
      <c r="K1718" s="10">
        <f ca="1" t="shared" si="80"/>
        <v>16</v>
      </c>
    </row>
    <row r="1719" ht="18" spans="1:11">
      <c r="A1719" s="14">
        <f t="shared" si="78"/>
        <v>1718</v>
      </c>
      <c r="B1719" s="11" t="s">
        <v>5648</v>
      </c>
      <c r="C1719" s="124" t="str">
        <f>IFERROR(INDEX(面试清单!D:D,MATCH(1718,面试清单!P:P,0)),"")</f>
        <v>0214</v>
      </c>
      <c r="D1719" s="11" t="s">
        <v>42</v>
      </c>
      <c r="E1719" s="11" t="s">
        <v>63</v>
      </c>
      <c r="F1719" s="11" t="s">
        <v>307</v>
      </c>
      <c r="G1719" s="15">
        <v>46160</v>
      </c>
      <c r="H1719" s="14" t="str">
        <f>IFERROR(INDEX(面试清单!H:H,MATCH(1718,面试清单!P:P,0)),"")</f>
        <v>线上</v>
      </c>
      <c r="I1719" s="13" t="s">
        <v>29</v>
      </c>
      <c r="J1719" s="14">
        <f ca="1" t="shared" si="79"/>
        <v>29</v>
      </c>
      <c r="K1719" s="14">
        <f ca="1" t="shared" si="80"/>
        <v>16</v>
      </c>
    </row>
    <row r="1720" ht="18" spans="1:11">
      <c r="A1720" s="10">
        <f t="shared" si="78"/>
        <v>1719</v>
      </c>
      <c r="B1720" s="11" t="s">
        <v>5649</v>
      </c>
      <c r="C1720" s="125" t="str">
        <f>IFERROR(INDEX(面试清单!D:D,MATCH(1719,面试清单!P:P,0)),"")</f>
        <v>0217</v>
      </c>
      <c r="D1720" s="11" t="s">
        <v>43</v>
      </c>
      <c r="E1720" s="11" t="s">
        <v>62</v>
      </c>
      <c r="F1720" s="11" t="s">
        <v>307</v>
      </c>
      <c r="G1720" s="15">
        <v>46160</v>
      </c>
      <c r="H1720" s="10" t="str">
        <f>IFERROR(INDEX(面试清单!H:H,MATCH(1719,面试清单!P:P,0)),"")</f>
        <v>线上</v>
      </c>
      <c r="I1720" s="13" t="s">
        <v>29</v>
      </c>
      <c r="J1720" s="10">
        <f ca="1" t="shared" si="79"/>
        <v>29</v>
      </c>
      <c r="K1720" s="10">
        <f ca="1" t="shared" si="80"/>
        <v>16</v>
      </c>
    </row>
    <row r="1721" ht="18" spans="1:11">
      <c r="A1721" s="14">
        <f t="shared" si="78"/>
        <v>1720</v>
      </c>
      <c r="B1721" s="11" t="s">
        <v>5650</v>
      </c>
      <c r="C1721" s="14" t="str">
        <f>IFERROR(INDEX(面试清单!D:D,MATCH(1720,面试清单!P:P,0)),"")</f>
        <v/>
      </c>
      <c r="D1721" s="11" t="s">
        <v>42</v>
      </c>
      <c r="E1721" s="11" t="s">
        <v>62</v>
      </c>
      <c r="F1721" s="11" t="s">
        <v>690</v>
      </c>
      <c r="G1721" s="15">
        <v>46160</v>
      </c>
      <c r="H1721" s="14" t="str">
        <f>IFERROR(INDEX(面试清单!H:H,MATCH(1720,面试清单!P:P,0)),"")</f>
        <v/>
      </c>
      <c r="I1721" s="13" t="s">
        <v>29</v>
      </c>
      <c r="J1721" s="14">
        <f ca="1" t="shared" si="79"/>
        <v>29</v>
      </c>
      <c r="K1721" s="14">
        <f ca="1" t="shared" si="80"/>
        <v>16</v>
      </c>
    </row>
    <row r="1722" ht="18" spans="1:11">
      <c r="A1722" s="10">
        <f t="shared" si="78"/>
        <v>1721</v>
      </c>
      <c r="B1722" s="11" t="s">
        <v>5651</v>
      </c>
      <c r="C1722" s="10" t="str">
        <f>IFERROR(INDEX(面试清单!D:D,MATCH(1721,面试清单!P:P,0)),"")</f>
        <v/>
      </c>
      <c r="D1722" s="11" t="s">
        <v>43</v>
      </c>
      <c r="E1722" s="11" t="s">
        <v>62</v>
      </c>
      <c r="F1722" s="11" t="s">
        <v>796</v>
      </c>
      <c r="G1722" s="15">
        <v>46160</v>
      </c>
      <c r="H1722" s="10" t="str">
        <f>IFERROR(INDEX(面试清单!H:H,MATCH(1721,面试清单!P:P,0)),"")</f>
        <v/>
      </c>
      <c r="I1722" s="13" t="s">
        <v>29</v>
      </c>
      <c r="J1722" s="10">
        <f ca="1" t="shared" si="79"/>
        <v>29</v>
      </c>
      <c r="K1722" s="10">
        <f ca="1" t="shared" si="80"/>
        <v>16</v>
      </c>
    </row>
    <row r="1723" ht="18" spans="1:11">
      <c r="A1723" s="14">
        <f t="shared" si="78"/>
        <v>1722</v>
      </c>
      <c r="B1723" s="11" t="s">
        <v>5652</v>
      </c>
      <c r="C1723" s="124" t="str">
        <f>IFERROR(INDEX(面试清单!D:D,MATCH(1722,面试清单!P:P,0)),"")</f>
        <v>0221</v>
      </c>
      <c r="D1723" s="11" t="s">
        <v>42</v>
      </c>
      <c r="E1723" s="11" t="s">
        <v>62</v>
      </c>
      <c r="F1723" s="11" t="s">
        <v>1166</v>
      </c>
      <c r="G1723" s="15">
        <v>46160</v>
      </c>
      <c r="H1723" s="14" t="str">
        <f>IFERROR(INDEX(面试清单!H:H,MATCH(1722,面试清单!P:P,0)),"")</f>
        <v>线上</v>
      </c>
      <c r="I1723" s="13" t="s">
        <v>29</v>
      </c>
      <c r="J1723" s="14">
        <f ca="1" t="shared" si="79"/>
        <v>29</v>
      </c>
      <c r="K1723" s="14">
        <f ca="1" t="shared" si="80"/>
        <v>16</v>
      </c>
    </row>
    <row r="1724" ht="18" spans="1:11">
      <c r="A1724" s="10">
        <f t="shared" si="78"/>
        <v>1723</v>
      </c>
      <c r="B1724" s="11" t="s">
        <v>5653</v>
      </c>
      <c r="C1724" s="125" t="str">
        <f>IFERROR(INDEX(面试清单!D:D,MATCH(1723,面试清单!P:P,0)),"")</f>
        <v>0222</v>
      </c>
      <c r="D1724" s="11" t="s">
        <v>42</v>
      </c>
      <c r="E1724" s="11" t="s">
        <v>62</v>
      </c>
      <c r="F1724" s="11" t="s">
        <v>1166</v>
      </c>
      <c r="G1724" s="15">
        <v>46160</v>
      </c>
      <c r="H1724" s="10" t="str">
        <f>IFERROR(INDEX(面试清单!H:H,MATCH(1723,面试清单!P:P,0)),"")</f>
        <v>线上</v>
      </c>
      <c r="I1724" s="13" t="s">
        <v>29</v>
      </c>
      <c r="J1724" s="10">
        <f ca="1" t="shared" si="79"/>
        <v>29</v>
      </c>
      <c r="K1724" s="10">
        <f ca="1" t="shared" si="80"/>
        <v>16</v>
      </c>
    </row>
    <row r="1725" ht="18" spans="1:11">
      <c r="A1725" s="14">
        <f t="shared" si="78"/>
        <v>1724</v>
      </c>
      <c r="B1725" s="11" t="s">
        <v>5654</v>
      </c>
      <c r="C1725" s="14" t="str">
        <f>IFERROR(INDEX(面试清单!D:D,MATCH(1724,面试清单!P:P,0)),"")</f>
        <v/>
      </c>
      <c r="D1725" s="11" t="s">
        <v>42</v>
      </c>
      <c r="E1725" s="11" t="s">
        <v>62</v>
      </c>
      <c r="F1725" s="11" t="s">
        <v>103</v>
      </c>
      <c r="G1725" s="15">
        <v>46160</v>
      </c>
      <c r="H1725" s="14" t="str">
        <f>IFERROR(INDEX(面试清单!H:H,MATCH(1724,面试清单!P:P,0)),"")</f>
        <v/>
      </c>
      <c r="I1725" s="13" t="s">
        <v>29</v>
      </c>
      <c r="J1725" s="14">
        <f ca="1" t="shared" si="79"/>
        <v>29</v>
      </c>
      <c r="K1725" s="14">
        <f ca="1" t="shared" si="80"/>
        <v>16</v>
      </c>
    </row>
    <row r="1726" ht="18" spans="1:11">
      <c r="A1726" s="10">
        <f t="shared" si="78"/>
        <v>1725</v>
      </c>
      <c r="B1726" s="11" t="s">
        <v>5655</v>
      </c>
      <c r="C1726" s="10" t="str">
        <f>IFERROR(INDEX(面试清单!D:D,MATCH(1725,面试清单!P:P,0)),"")</f>
        <v/>
      </c>
      <c r="D1726" s="11" t="s">
        <v>42</v>
      </c>
      <c r="E1726" s="11" t="s">
        <v>62</v>
      </c>
      <c r="F1726" s="11" t="s">
        <v>103</v>
      </c>
      <c r="G1726" s="15">
        <v>46160</v>
      </c>
      <c r="H1726" s="10" t="str">
        <f>IFERROR(INDEX(面试清单!H:H,MATCH(1725,面试清单!P:P,0)),"")</f>
        <v/>
      </c>
      <c r="I1726" s="13" t="s">
        <v>29</v>
      </c>
      <c r="J1726" s="10">
        <f ca="1" t="shared" si="79"/>
        <v>29</v>
      </c>
      <c r="K1726" s="10">
        <f ca="1" t="shared" si="80"/>
        <v>16</v>
      </c>
    </row>
    <row r="1727" ht="18" spans="1:11">
      <c r="A1727" s="14">
        <f t="shared" si="78"/>
        <v>1726</v>
      </c>
      <c r="B1727" s="11" t="s">
        <v>5656</v>
      </c>
      <c r="C1727" s="124" t="str">
        <f>IFERROR(INDEX(面试清单!D:D,MATCH(1726,面试清单!P:P,0)),"")</f>
        <v>0212</v>
      </c>
      <c r="D1727" s="11" t="s">
        <v>43</v>
      </c>
      <c r="E1727" s="11" t="s">
        <v>62</v>
      </c>
      <c r="F1727" s="11" t="s">
        <v>246</v>
      </c>
      <c r="G1727" s="15">
        <v>46160</v>
      </c>
      <c r="H1727" s="14" t="str">
        <f>IFERROR(INDEX(面试清单!H:H,MATCH(1726,面试清单!P:P,0)),"")</f>
        <v>线上</v>
      </c>
      <c r="I1727" s="13" t="s">
        <v>29</v>
      </c>
      <c r="J1727" s="14">
        <f ca="1" t="shared" si="79"/>
        <v>29</v>
      </c>
      <c r="K1727" s="14">
        <f ca="1" t="shared" si="80"/>
        <v>16</v>
      </c>
    </row>
    <row r="1728" ht="18" spans="1:11">
      <c r="A1728" s="10">
        <f t="shared" si="78"/>
        <v>1727</v>
      </c>
      <c r="B1728" s="11" t="s">
        <v>5657</v>
      </c>
      <c r="C1728" s="10" t="str">
        <f>IFERROR(INDEX(面试清单!D:D,MATCH(1727,面试清单!P:P,0)),"")</f>
        <v/>
      </c>
      <c r="D1728" s="11" t="s">
        <v>43</v>
      </c>
      <c r="E1728" s="11" t="s">
        <v>62</v>
      </c>
      <c r="F1728" s="11" t="s">
        <v>233</v>
      </c>
      <c r="G1728" s="15">
        <v>46160</v>
      </c>
      <c r="H1728" s="10" t="str">
        <f>IFERROR(INDEX(面试清单!H:H,MATCH(1727,面试清单!P:P,0)),"")</f>
        <v/>
      </c>
      <c r="I1728" s="13" t="s">
        <v>29</v>
      </c>
      <c r="J1728" s="10">
        <f ca="1" t="shared" si="79"/>
        <v>29</v>
      </c>
      <c r="K1728" s="10">
        <f ca="1" t="shared" si="80"/>
        <v>16</v>
      </c>
    </row>
    <row r="1729" ht="18" spans="1:11">
      <c r="A1729" s="14">
        <f t="shared" si="78"/>
        <v>1728</v>
      </c>
      <c r="B1729" s="11" t="s">
        <v>5658</v>
      </c>
      <c r="C1729" s="124" t="str">
        <f>IFERROR(INDEX(面试清单!D:D,MATCH(1728,面试清单!P:P,0)),"")</f>
        <v>0217</v>
      </c>
      <c r="D1729" s="11" t="s">
        <v>42</v>
      </c>
      <c r="E1729" s="11" t="s">
        <v>62</v>
      </c>
      <c r="F1729" s="11" t="s">
        <v>233</v>
      </c>
      <c r="G1729" s="15">
        <v>46160</v>
      </c>
      <c r="H1729" s="14" t="str">
        <f>IFERROR(INDEX(面试清单!H:H,MATCH(1728,面试清单!P:P,0)),"")</f>
        <v>线上</v>
      </c>
      <c r="I1729" s="13" t="s">
        <v>29</v>
      </c>
      <c r="J1729" s="14">
        <f ca="1" t="shared" si="79"/>
        <v>29</v>
      </c>
      <c r="K1729" s="14">
        <f ca="1" t="shared" si="80"/>
        <v>16</v>
      </c>
    </row>
    <row r="1730" ht="18" spans="1:11">
      <c r="A1730" s="10">
        <f t="shared" ref="A1730:A1793" si="81">IF(B1730&lt;&gt;"",ROW()-1,"")</f>
        <v>1729</v>
      </c>
      <c r="B1730" s="11" t="s">
        <v>5659</v>
      </c>
      <c r="C1730" s="10" t="str">
        <f>IFERROR(INDEX(面试清单!D:D,MATCH(1729,面试清单!P:P,0)),"")</f>
        <v/>
      </c>
      <c r="D1730" s="11" t="s">
        <v>42</v>
      </c>
      <c r="E1730" s="11" t="s">
        <v>62</v>
      </c>
      <c r="F1730" s="11" t="s">
        <v>233</v>
      </c>
      <c r="G1730" s="15">
        <v>46160</v>
      </c>
      <c r="H1730" s="10" t="str">
        <f>IFERROR(INDEX(面试清单!H:H,MATCH(1729,面试清单!P:P,0)),"")</f>
        <v/>
      </c>
      <c r="I1730" s="13" t="s">
        <v>29</v>
      </c>
      <c r="J1730" s="10">
        <f ca="1" t="shared" ref="J1730:J1793" si="82">IF(G1730&lt;&gt;"",TODAY()-G1730,"")</f>
        <v>29</v>
      </c>
      <c r="K1730" s="10">
        <f ca="1" t="shared" ref="K1730:K1793" si="83">IF(G1730&lt;&gt;"",MAX(0,MIN(TODAY(),EOMONTH(TODAY(),0))-MAX(G1730,EOMONTH(TODAY(),-1)+1)+1),"")</f>
        <v>16</v>
      </c>
    </row>
    <row r="1731" ht="18" spans="1:11">
      <c r="A1731" s="14">
        <f t="shared" si="81"/>
        <v>1730</v>
      </c>
      <c r="B1731" s="11" t="s">
        <v>5660</v>
      </c>
      <c r="C1731" s="124" t="str">
        <f>IFERROR(INDEX(面试清单!D:D,MATCH(1730,面试清单!P:P,0)),"")</f>
        <v>0220</v>
      </c>
      <c r="D1731" s="11" t="s">
        <v>42</v>
      </c>
      <c r="E1731" s="11" t="s">
        <v>63</v>
      </c>
      <c r="F1731" s="11" t="s">
        <v>173</v>
      </c>
      <c r="G1731" s="15">
        <v>46160</v>
      </c>
      <c r="H1731" s="14" t="str">
        <f>IFERROR(INDEX(面试清单!H:H,MATCH(1730,面试清单!P:P,0)),"")</f>
        <v>线上</v>
      </c>
      <c r="I1731" s="13" t="s">
        <v>29</v>
      </c>
      <c r="J1731" s="14">
        <f ca="1" t="shared" si="82"/>
        <v>29</v>
      </c>
      <c r="K1731" s="14">
        <f ca="1" t="shared" si="83"/>
        <v>16</v>
      </c>
    </row>
    <row r="1732" ht="18" spans="1:11">
      <c r="A1732" s="10">
        <f t="shared" si="81"/>
        <v>1731</v>
      </c>
      <c r="B1732" s="11" t="s">
        <v>5661</v>
      </c>
      <c r="C1732" s="10" t="str">
        <f>IFERROR(INDEX(面试清单!D:D,MATCH(1731,面试清单!P:P,0)),"")</f>
        <v/>
      </c>
      <c r="D1732" s="11" t="s">
        <v>42</v>
      </c>
      <c r="E1732" s="11" t="s">
        <v>63</v>
      </c>
      <c r="F1732" s="11" t="s">
        <v>117</v>
      </c>
      <c r="G1732" s="15">
        <v>46160</v>
      </c>
      <c r="H1732" s="10" t="str">
        <f>IFERROR(INDEX(面试清单!H:H,MATCH(1731,面试清单!P:P,0)),"")</f>
        <v/>
      </c>
      <c r="I1732" s="13" t="s">
        <v>29</v>
      </c>
      <c r="J1732" s="10">
        <f ca="1" t="shared" si="82"/>
        <v>29</v>
      </c>
      <c r="K1732" s="10">
        <f ca="1" t="shared" si="83"/>
        <v>16</v>
      </c>
    </row>
    <row r="1733" ht="18" spans="1:11">
      <c r="A1733" s="14">
        <f t="shared" si="81"/>
        <v>1732</v>
      </c>
      <c r="B1733" s="11" t="s">
        <v>5662</v>
      </c>
      <c r="C1733" s="14" t="str">
        <f>IFERROR(INDEX(面试清单!D:D,MATCH(1732,面试清单!P:P,0)),"")</f>
        <v/>
      </c>
      <c r="D1733" s="11" t="s">
        <v>42</v>
      </c>
      <c r="E1733" s="11" t="s">
        <v>62</v>
      </c>
      <c r="F1733" s="11" t="s">
        <v>103</v>
      </c>
      <c r="G1733" s="15">
        <v>46160</v>
      </c>
      <c r="H1733" s="14" t="str">
        <f>IFERROR(INDEX(面试清单!H:H,MATCH(1732,面试清单!P:P,0)),"")</f>
        <v/>
      </c>
      <c r="I1733" s="13" t="s">
        <v>29</v>
      </c>
      <c r="J1733" s="14">
        <f ca="1" t="shared" si="82"/>
        <v>29</v>
      </c>
      <c r="K1733" s="14">
        <f ca="1" t="shared" si="83"/>
        <v>16</v>
      </c>
    </row>
    <row r="1734" ht="18" spans="1:11">
      <c r="A1734" s="10">
        <f t="shared" si="81"/>
        <v>1733</v>
      </c>
      <c r="B1734" s="11" t="s">
        <v>5663</v>
      </c>
      <c r="C1734" s="10" t="str">
        <f>IFERROR(INDEX(面试清单!D:D,MATCH(1733,面试清单!P:P,0)),"")</f>
        <v/>
      </c>
      <c r="D1734" s="11" t="s">
        <v>42</v>
      </c>
      <c r="E1734" s="11" t="s">
        <v>62</v>
      </c>
      <c r="F1734" s="11" t="s">
        <v>530</v>
      </c>
      <c r="G1734" s="15">
        <v>46160</v>
      </c>
      <c r="H1734" s="10" t="str">
        <f>IFERROR(INDEX(面试清单!H:H,MATCH(1733,面试清单!P:P,0)),"")</f>
        <v/>
      </c>
      <c r="I1734" s="13" t="s">
        <v>29</v>
      </c>
      <c r="J1734" s="10">
        <f ca="1" t="shared" si="82"/>
        <v>29</v>
      </c>
      <c r="K1734" s="10">
        <f ca="1" t="shared" si="83"/>
        <v>16</v>
      </c>
    </row>
    <row r="1735" ht="18" spans="1:11">
      <c r="A1735" s="14">
        <f t="shared" si="81"/>
        <v>1734</v>
      </c>
      <c r="B1735" s="11" t="s">
        <v>5664</v>
      </c>
      <c r="C1735" s="124" t="str">
        <f>IFERROR(INDEX(面试清单!D:D,MATCH(1734,面试清单!P:P,0)),"")</f>
        <v>0209</v>
      </c>
      <c r="D1735" s="11" t="s">
        <v>42</v>
      </c>
      <c r="E1735" s="11" t="s">
        <v>63</v>
      </c>
      <c r="F1735" s="11" t="s">
        <v>530</v>
      </c>
      <c r="G1735" s="15">
        <v>46160</v>
      </c>
      <c r="H1735" s="14" t="str">
        <f>IFERROR(INDEX(面试清单!H:H,MATCH(1734,面试清单!P:P,0)),"")</f>
        <v>线上</v>
      </c>
      <c r="I1735" s="13" t="s">
        <v>29</v>
      </c>
      <c r="J1735" s="14">
        <f ca="1" t="shared" si="82"/>
        <v>29</v>
      </c>
      <c r="K1735" s="14">
        <f ca="1" t="shared" si="83"/>
        <v>16</v>
      </c>
    </row>
    <row r="1736" ht="18" spans="1:11">
      <c r="A1736" s="10">
        <f t="shared" si="81"/>
        <v>1735</v>
      </c>
      <c r="B1736" s="11" t="s">
        <v>5665</v>
      </c>
      <c r="C1736" s="125" t="str">
        <f>IFERROR(INDEX(面试清单!D:D,MATCH(1735,面试清单!P:P,0)),"")</f>
        <v>0212</v>
      </c>
      <c r="D1736" s="11" t="s">
        <v>43</v>
      </c>
      <c r="E1736" s="11" t="s">
        <v>62</v>
      </c>
      <c r="F1736" s="11" t="s">
        <v>124</v>
      </c>
      <c r="G1736" s="15">
        <v>46160</v>
      </c>
      <c r="H1736" s="10" t="str">
        <f>IFERROR(INDEX(面试清单!H:H,MATCH(1735,面试清单!P:P,0)),"")</f>
        <v>线上</v>
      </c>
      <c r="I1736" s="13" t="s">
        <v>29</v>
      </c>
      <c r="J1736" s="10">
        <f ca="1" t="shared" si="82"/>
        <v>29</v>
      </c>
      <c r="K1736" s="10">
        <f ca="1" t="shared" si="83"/>
        <v>16</v>
      </c>
    </row>
    <row r="1737" ht="18" spans="1:11">
      <c r="A1737" s="14">
        <f t="shared" si="81"/>
        <v>1736</v>
      </c>
      <c r="B1737" s="11" t="s">
        <v>5666</v>
      </c>
      <c r="C1737" s="124" t="str">
        <f>IFERROR(INDEX(面试清单!D:D,MATCH(1736,面试清单!P:P,0)),"")</f>
        <v>0214</v>
      </c>
      <c r="D1737" s="11" t="s">
        <v>43</v>
      </c>
      <c r="E1737" s="11" t="s">
        <v>62</v>
      </c>
      <c r="F1737" s="11" t="s">
        <v>1426</v>
      </c>
      <c r="G1737" s="15">
        <v>46160</v>
      </c>
      <c r="H1737" s="14" t="str">
        <f>IFERROR(INDEX(面试清单!H:H,MATCH(1736,面试清单!P:P,0)),"")</f>
        <v>线上</v>
      </c>
      <c r="I1737" s="13" t="s">
        <v>29</v>
      </c>
      <c r="J1737" s="14">
        <f ca="1" t="shared" si="82"/>
        <v>29</v>
      </c>
      <c r="K1737" s="14">
        <f ca="1" t="shared" si="83"/>
        <v>16</v>
      </c>
    </row>
    <row r="1738" ht="18" spans="1:11">
      <c r="A1738" s="10">
        <f t="shared" si="81"/>
        <v>1737</v>
      </c>
      <c r="B1738" s="11" t="s">
        <v>5667</v>
      </c>
      <c r="C1738" s="125" t="str">
        <f>IFERROR(INDEX(面试清单!D:D,MATCH(1737,面试清单!P:P,0)),"")</f>
        <v>0217</v>
      </c>
      <c r="D1738" s="11" t="s">
        <v>43</v>
      </c>
      <c r="E1738" s="11" t="s">
        <v>62</v>
      </c>
      <c r="F1738" s="11" t="s">
        <v>1426</v>
      </c>
      <c r="G1738" s="15">
        <v>46160</v>
      </c>
      <c r="H1738" s="10" t="str">
        <f>IFERROR(INDEX(面试清单!H:H,MATCH(1737,面试清单!P:P,0)),"")</f>
        <v>线上</v>
      </c>
      <c r="I1738" s="13" t="s">
        <v>29</v>
      </c>
      <c r="J1738" s="10">
        <f ca="1" t="shared" si="82"/>
        <v>29</v>
      </c>
      <c r="K1738" s="10">
        <f ca="1" t="shared" si="83"/>
        <v>16</v>
      </c>
    </row>
    <row r="1739" ht="18" spans="1:11">
      <c r="A1739" s="14">
        <f t="shared" si="81"/>
        <v>1738</v>
      </c>
      <c r="B1739" s="11" t="s">
        <v>5668</v>
      </c>
      <c r="C1739" s="14" t="str">
        <f>IFERROR(INDEX(面试清单!D:D,MATCH(1738,面试清单!P:P,0)),"")</f>
        <v/>
      </c>
      <c r="D1739" s="11" t="s">
        <v>43</v>
      </c>
      <c r="E1739" s="11" t="s">
        <v>63</v>
      </c>
      <c r="F1739" s="11" t="s">
        <v>1426</v>
      </c>
      <c r="G1739" s="15">
        <v>46160</v>
      </c>
      <c r="H1739" s="14" t="str">
        <f>IFERROR(INDEX(面试清单!H:H,MATCH(1738,面试清单!P:P,0)),"")</f>
        <v/>
      </c>
      <c r="I1739" s="13" t="s">
        <v>29</v>
      </c>
      <c r="J1739" s="14">
        <f ca="1" t="shared" si="82"/>
        <v>29</v>
      </c>
      <c r="K1739" s="14">
        <f ca="1" t="shared" si="83"/>
        <v>16</v>
      </c>
    </row>
    <row r="1740" ht="18" spans="1:11">
      <c r="A1740" s="10">
        <f t="shared" si="81"/>
        <v>1739</v>
      </c>
      <c r="B1740" s="11" t="s">
        <v>5669</v>
      </c>
      <c r="C1740" s="10" t="str">
        <f>IFERROR(INDEX(面试清单!D:D,MATCH(1739,面试清单!P:P,0)),"")</f>
        <v/>
      </c>
      <c r="D1740" s="11" t="s">
        <v>74</v>
      </c>
      <c r="E1740" s="11" t="s">
        <v>190</v>
      </c>
      <c r="F1740" s="11" t="s">
        <v>135</v>
      </c>
      <c r="G1740" s="15">
        <v>46160</v>
      </c>
      <c r="H1740" s="10" t="str">
        <f>IFERROR(INDEX(面试清单!H:H,MATCH(1739,面试清单!P:P,0)),"")</f>
        <v/>
      </c>
      <c r="I1740" s="13" t="s">
        <v>29</v>
      </c>
      <c r="J1740" s="10">
        <f ca="1" t="shared" si="82"/>
        <v>29</v>
      </c>
      <c r="K1740" s="10">
        <f ca="1" t="shared" si="83"/>
        <v>16</v>
      </c>
    </row>
    <row r="1741" ht="18" spans="1:11">
      <c r="A1741" s="14">
        <f t="shared" si="81"/>
        <v>1740</v>
      </c>
      <c r="B1741" s="11" t="s">
        <v>5670</v>
      </c>
      <c r="C1741" s="124" t="str">
        <f>IFERROR(INDEX(面试清单!D:D,MATCH(1740,面试清单!P:P,0)),"")</f>
        <v>0221</v>
      </c>
      <c r="D1741" s="11" t="s">
        <v>74</v>
      </c>
      <c r="E1741" s="11" t="s">
        <v>190</v>
      </c>
      <c r="F1741" s="11" t="s">
        <v>135</v>
      </c>
      <c r="G1741" s="15">
        <v>46160</v>
      </c>
      <c r="H1741" s="14" t="str">
        <f>IFERROR(INDEX(面试清单!H:H,MATCH(1740,面试清单!P:P,0)),"")</f>
        <v>线上</v>
      </c>
      <c r="I1741" s="13" t="s">
        <v>29</v>
      </c>
      <c r="J1741" s="14">
        <f ca="1" t="shared" si="82"/>
        <v>29</v>
      </c>
      <c r="K1741" s="14">
        <f ca="1" t="shared" si="83"/>
        <v>16</v>
      </c>
    </row>
    <row r="1742" ht="18" spans="1:11">
      <c r="A1742" s="10">
        <f t="shared" si="81"/>
        <v>1741</v>
      </c>
      <c r="B1742" s="11" t="s">
        <v>5671</v>
      </c>
      <c r="C1742" s="10" t="str">
        <f>IFERROR(INDEX(面试清单!D:D,MATCH(1741,面试清单!P:P,0)),"")</f>
        <v/>
      </c>
      <c r="D1742" s="11" t="s">
        <v>74</v>
      </c>
      <c r="E1742" s="11" t="s">
        <v>190</v>
      </c>
      <c r="F1742" s="11" t="s">
        <v>426</v>
      </c>
      <c r="G1742" s="15">
        <v>46160</v>
      </c>
      <c r="H1742" s="10" t="str">
        <f>IFERROR(INDEX(面试清单!H:H,MATCH(1741,面试清单!P:P,0)),"")</f>
        <v/>
      </c>
      <c r="I1742" s="13" t="s">
        <v>29</v>
      </c>
      <c r="J1742" s="10">
        <f ca="1" t="shared" si="82"/>
        <v>29</v>
      </c>
      <c r="K1742" s="10">
        <f ca="1" t="shared" si="83"/>
        <v>16</v>
      </c>
    </row>
    <row r="1743" ht="18" spans="1:11">
      <c r="A1743" s="14">
        <f t="shared" si="81"/>
        <v>1742</v>
      </c>
      <c r="B1743" s="11" t="s">
        <v>5672</v>
      </c>
      <c r="C1743" s="14" t="str">
        <f>IFERROR(INDEX(面试清单!D:D,MATCH(1742,面试清单!P:P,0)),"")</f>
        <v/>
      </c>
      <c r="D1743" s="11" t="s">
        <v>74</v>
      </c>
      <c r="E1743" s="11" t="s">
        <v>64</v>
      </c>
      <c r="F1743" s="11" t="s">
        <v>179</v>
      </c>
      <c r="G1743" s="15">
        <v>46160</v>
      </c>
      <c r="H1743" s="14" t="str">
        <f>IFERROR(INDEX(面试清单!H:H,MATCH(1742,面试清单!P:P,0)),"")</f>
        <v/>
      </c>
      <c r="I1743" s="13" t="s">
        <v>29</v>
      </c>
      <c r="J1743" s="14">
        <f ca="1" t="shared" si="82"/>
        <v>29</v>
      </c>
      <c r="K1743" s="14">
        <f ca="1" t="shared" si="83"/>
        <v>16</v>
      </c>
    </row>
    <row r="1744" ht="18" spans="1:11">
      <c r="A1744" s="10">
        <f t="shared" si="81"/>
        <v>1743</v>
      </c>
      <c r="B1744" s="11" t="s">
        <v>5673</v>
      </c>
      <c r="C1744" s="125" t="str">
        <f>IFERROR(INDEX(面试清单!D:D,MATCH(1743,面试清单!P:P,0)),"")</f>
        <v>0209</v>
      </c>
      <c r="D1744" s="11" t="s">
        <v>74</v>
      </c>
      <c r="E1744" s="11" t="s">
        <v>64</v>
      </c>
      <c r="F1744" s="11" t="s">
        <v>117</v>
      </c>
      <c r="G1744" s="15">
        <v>46160</v>
      </c>
      <c r="H1744" s="10" t="str">
        <f>IFERROR(INDEX(面试清单!H:H,MATCH(1743,面试清单!P:P,0)),"")</f>
        <v>线上</v>
      </c>
      <c r="I1744" s="13" t="s">
        <v>29</v>
      </c>
      <c r="J1744" s="10">
        <f ca="1" t="shared" si="82"/>
        <v>29</v>
      </c>
      <c r="K1744" s="10">
        <f ca="1" t="shared" si="83"/>
        <v>16</v>
      </c>
    </row>
    <row r="1745" ht="18" spans="1:11">
      <c r="A1745" s="14">
        <f t="shared" si="81"/>
        <v>1744</v>
      </c>
      <c r="B1745" s="11" t="s">
        <v>5674</v>
      </c>
      <c r="C1745" s="14" t="str">
        <f>IFERROR(INDEX(面试清单!D:D,MATCH(1744,面试清单!P:P,0)),"")</f>
        <v/>
      </c>
      <c r="D1745" s="11" t="s">
        <v>43</v>
      </c>
      <c r="E1745" s="11" t="s">
        <v>62</v>
      </c>
      <c r="F1745" s="11" t="s">
        <v>1542</v>
      </c>
      <c r="G1745" s="15">
        <v>46160</v>
      </c>
      <c r="H1745" s="14" t="str">
        <f>IFERROR(INDEX(面试清单!H:H,MATCH(1744,面试清单!P:P,0)),"")</f>
        <v/>
      </c>
      <c r="I1745" s="13" t="s">
        <v>29</v>
      </c>
      <c r="J1745" s="14">
        <f ca="1" t="shared" si="82"/>
        <v>29</v>
      </c>
      <c r="K1745" s="14">
        <f ca="1" t="shared" si="83"/>
        <v>16</v>
      </c>
    </row>
    <row r="1746" ht="18" spans="1:11">
      <c r="A1746" s="10">
        <f t="shared" si="81"/>
        <v>1745</v>
      </c>
      <c r="B1746" s="11" t="s">
        <v>5675</v>
      </c>
      <c r="C1746" s="125" t="str">
        <f>IFERROR(INDEX(面试清单!D:D,MATCH(1745,面试清单!P:P,0)),"")</f>
        <v>0214</v>
      </c>
      <c r="D1746" s="11" t="s">
        <v>42</v>
      </c>
      <c r="E1746" s="11" t="s">
        <v>63</v>
      </c>
      <c r="F1746" s="11" t="s">
        <v>103</v>
      </c>
      <c r="G1746" s="15">
        <v>46160</v>
      </c>
      <c r="H1746" s="10" t="str">
        <f>IFERROR(INDEX(面试清单!H:H,MATCH(1745,面试清单!P:P,0)),"")</f>
        <v>线上</v>
      </c>
      <c r="I1746" s="13" t="s">
        <v>29</v>
      </c>
      <c r="J1746" s="10">
        <f ca="1" t="shared" si="82"/>
        <v>29</v>
      </c>
      <c r="K1746" s="10">
        <f ca="1" t="shared" si="83"/>
        <v>16</v>
      </c>
    </row>
    <row r="1747" ht="18" spans="1:11">
      <c r="A1747" s="14">
        <f t="shared" si="81"/>
        <v>1746</v>
      </c>
      <c r="B1747" s="11" t="s">
        <v>5676</v>
      </c>
      <c r="C1747" s="124" t="str">
        <f>IFERROR(INDEX(面试清单!D:D,MATCH(1746,面试清单!P:P,0)),"")</f>
        <v>0217</v>
      </c>
      <c r="D1747" s="11" t="s">
        <v>42</v>
      </c>
      <c r="E1747" s="11" t="s">
        <v>63</v>
      </c>
      <c r="F1747" s="11" t="s">
        <v>179</v>
      </c>
      <c r="G1747" s="15">
        <v>46160</v>
      </c>
      <c r="H1747" s="14" t="str">
        <f>IFERROR(INDEX(面试清单!H:H,MATCH(1746,面试清单!P:P,0)),"")</f>
        <v>线上</v>
      </c>
      <c r="I1747" s="13" t="s">
        <v>29</v>
      </c>
      <c r="J1747" s="14">
        <f ca="1" t="shared" si="82"/>
        <v>29</v>
      </c>
      <c r="K1747" s="14">
        <f ca="1" t="shared" si="83"/>
        <v>16</v>
      </c>
    </row>
    <row r="1748" ht="18" spans="1:11">
      <c r="A1748" s="10">
        <f t="shared" si="81"/>
        <v>1747</v>
      </c>
      <c r="B1748" s="11" t="s">
        <v>5677</v>
      </c>
      <c r="C1748" s="10" t="str">
        <f>IFERROR(INDEX(面试清单!D:D,MATCH(1747,面试清单!P:P,0)),"")</f>
        <v/>
      </c>
      <c r="D1748" s="11" t="s">
        <v>42</v>
      </c>
      <c r="E1748" s="11" t="s">
        <v>62</v>
      </c>
      <c r="F1748" s="11" t="s">
        <v>307</v>
      </c>
      <c r="G1748" s="15">
        <v>46160</v>
      </c>
      <c r="H1748" s="10" t="str">
        <f>IFERROR(INDEX(面试清单!H:H,MATCH(1747,面试清单!P:P,0)),"")</f>
        <v/>
      </c>
      <c r="I1748" s="13" t="s">
        <v>29</v>
      </c>
      <c r="J1748" s="10">
        <f ca="1" t="shared" si="82"/>
        <v>29</v>
      </c>
      <c r="K1748" s="10">
        <f ca="1" t="shared" si="83"/>
        <v>16</v>
      </c>
    </row>
    <row r="1749" ht="18" spans="1:11">
      <c r="A1749" s="14">
        <f t="shared" si="81"/>
        <v>1748</v>
      </c>
      <c r="B1749" s="11" t="s">
        <v>5678</v>
      </c>
      <c r="C1749" s="14" t="str">
        <f>IFERROR(INDEX(面试清单!D:D,MATCH(1748,面试清单!P:P,0)),"")</f>
        <v/>
      </c>
      <c r="D1749" s="11" t="s">
        <v>42</v>
      </c>
      <c r="E1749" s="11" t="s">
        <v>62</v>
      </c>
      <c r="F1749" s="11" t="s">
        <v>468</v>
      </c>
      <c r="G1749" s="15">
        <v>46160</v>
      </c>
      <c r="H1749" s="14" t="str">
        <f>IFERROR(INDEX(面试清单!H:H,MATCH(1748,面试清单!P:P,0)),"")</f>
        <v/>
      </c>
      <c r="I1749" s="13" t="s">
        <v>29</v>
      </c>
      <c r="J1749" s="14">
        <f ca="1" t="shared" si="82"/>
        <v>29</v>
      </c>
      <c r="K1749" s="14">
        <f ca="1" t="shared" si="83"/>
        <v>16</v>
      </c>
    </row>
    <row r="1750" ht="18" spans="1:11">
      <c r="A1750" s="10">
        <f t="shared" si="81"/>
        <v>1749</v>
      </c>
      <c r="B1750" s="11" t="s">
        <v>5679</v>
      </c>
      <c r="C1750" s="125" t="str">
        <f>IFERROR(INDEX(面试清单!D:D,MATCH(1749,面试清单!P:P,0)),"")</f>
        <v>0221</v>
      </c>
      <c r="D1750" s="11" t="s">
        <v>74</v>
      </c>
      <c r="E1750" s="11" t="s">
        <v>64</v>
      </c>
      <c r="F1750" s="11" t="s">
        <v>179</v>
      </c>
      <c r="G1750" s="15">
        <v>46160</v>
      </c>
      <c r="H1750" s="10" t="str">
        <f>IFERROR(INDEX(面试清单!H:H,MATCH(1749,面试清单!P:P,0)),"")</f>
        <v>线上</v>
      </c>
      <c r="I1750" s="13" t="s">
        <v>29</v>
      </c>
      <c r="J1750" s="10">
        <f ca="1" t="shared" si="82"/>
        <v>29</v>
      </c>
      <c r="K1750" s="10">
        <f ca="1" t="shared" si="83"/>
        <v>16</v>
      </c>
    </row>
    <row r="1751" ht="18" spans="1:11">
      <c r="A1751" s="14">
        <f t="shared" si="81"/>
        <v>1750</v>
      </c>
      <c r="B1751" s="11" t="s">
        <v>5680</v>
      </c>
      <c r="C1751" s="124" t="str">
        <f>IFERROR(INDEX(面试清单!D:D,MATCH(1750,面试清单!P:P,0)),"")</f>
        <v>0222</v>
      </c>
      <c r="D1751" s="11" t="s">
        <v>43</v>
      </c>
      <c r="E1751" s="11" t="s">
        <v>63</v>
      </c>
      <c r="F1751" s="11" t="s">
        <v>690</v>
      </c>
      <c r="G1751" s="15">
        <v>46161</v>
      </c>
      <c r="H1751" s="14" t="str">
        <f>IFERROR(INDEX(面试清单!H:H,MATCH(1750,面试清单!P:P,0)),"")</f>
        <v>线上</v>
      </c>
      <c r="I1751" s="13" t="s">
        <v>29</v>
      </c>
      <c r="J1751" s="14">
        <f ca="1" t="shared" si="82"/>
        <v>28</v>
      </c>
      <c r="K1751" s="14">
        <f ca="1" t="shared" si="83"/>
        <v>16</v>
      </c>
    </row>
    <row r="1752" ht="18" spans="1:11">
      <c r="A1752" s="10">
        <f t="shared" si="81"/>
        <v>1751</v>
      </c>
      <c r="B1752" s="11" t="s">
        <v>5681</v>
      </c>
      <c r="C1752" s="10" t="str">
        <f>IFERROR(INDEX(面试清单!D:D,MATCH(1751,面试清单!P:P,0)),"")</f>
        <v/>
      </c>
      <c r="D1752" s="11" t="s">
        <v>43</v>
      </c>
      <c r="E1752" s="11" t="s">
        <v>63</v>
      </c>
      <c r="F1752" s="11" t="s">
        <v>124</v>
      </c>
      <c r="G1752" s="15">
        <v>46161</v>
      </c>
      <c r="H1752" s="10" t="str">
        <f>IFERROR(INDEX(面试清单!H:H,MATCH(1751,面试清单!P:P,0)),"")</f>
        <v/>
      </c>
      <c r="I1752" s="13" t="s">
        <v>29</v>
      </c>
      <c r="J1752" s="10">
        <f ca="1" t="shared" si="82"/>
        <v>28</v>
      </c>
      <c r="K1752" s="10">
        <f ca="1" t="shared" si="83"/>
        <v>16</v>
      </c>
    </row>
    <row r="1753" ht="18" spans="1:11">
      <c r="A1753" s="14">
        <f t="shared" si="81"/>
        <v>1752</v>
      </c>
      <c r="B1753" s="11" t="s">
        <v>5682</v>
      </c>
      <c r="C1753" s="14" t="str">
        <f>IFERROR(INDEX(面试清单!D:D,MATCH(1752,面试清单!P:P,0)),"")</f>
        <v/>
      </c>
      <c r="D1753" s="11" t="s">
        <v>42</v>
      </c>
      <c r="E1753" s="11" t="s">
        <v>62</v>
      </c>
      <c r="F1753" s="11" t="s">
        <v>103</v>
      </c>
      <c r="G1753" s="15">
        <v>46161</v>
      </c>
      <c r="H1753" s="14" t="str">
        <f>IFERROR(INDEX(面试清单!H:H,MATCH(1752,面试清单!P:P,0)),"")</f>
        <v/>
      </c>
      <c r="I1753" s="13" t="s">
        <v>29</v>
      </c>
      <c r="J1753" s="14">
        <f ca="1" t="shared" si="82"/>
        <v>28</v>
      </c>
      <c r="K1753" s="14">
        <f ca="1" t="shared" si="83"/>
        <v>16</v>
      </c>
    </row>
    <row r="1754" ht="18" spans="1:11">
      <c r="A1754" s="10">
        <f t="shared" si="81"/>
        <v>1753</v>
      </c>
      <c r="B1754" s="11" t="s">
        <v>2552</v>
      </c>
      <c r="C1754" s="125" t="str">
        <f>IFERROR(INDEX(面试清单!D:D,MATCH(1753,面试清单!P:P,0)),"")</f>
        <v>0212</v>
      </c>
      <c r="D1754" s="11" t="s">
        <v>42</v>
      </c>
      <c r="E1754" s="11" t="s">
        <v>62</v>
      </c>
      <c r="F1754" s="11" t="s">
        <v>103</v>
      </c>
      <c r="G1754" s="15">
        <v>46161</v>
      </c>
      <c r="H1754" s="10" t="str">
        <f>IFERROR(INDEX(面试清单!H:H,MATCH(1753,面试清单!P:P,0)),"")</f>
        <v>线上</v>
      </c>
      <c r="I1754" s="13" t="s">
        <v>29</v>
      </c>
      <c r="J1754" s="10">
        <f ca="1" t="shared" si="82"/>
        <v>28</v>
      </c>
      <c r="K1754" s="10">
        <f ca="1" t="shared" si="83"/>
        <v>16</v>
      </c>
    </row>
    <row r="1755" ht="18" spans="1:11">
      <c r="A1755" s="14">
        <f t="shared" si="81"/>
        <v>1754</v>
      </c>
      <c r="B1755" s="11" t="s">
        <v>5683</v>
      </c>
      <c r="C1755" s="14" t="str">
        <f>IFERROR(INDEX(面试清单!D:D,MATCH(1754,面试清单!P:P,0)),"")</f>
        <v/>
      </c>
      <c r="D1755" s="11" t="s">
        <v>42</v>
      </c>
      <c r="E1755" s="11" t="s">
        <v>63</v>
      </c>
      <c r="F1755" s="11" t="s">
        <v>307</v>
      </c>
      <c r="G1755" s="15">
        <v>46161</v>
      </c>
      <c r="H1755" s="14" t="str">
        <f>IFERROR(INDEX(面试清单!H:H,MATCH(1754,面试清单!P:P,0)),"")</f>
        <v/>
      </c>
      <c r="I1755" s="13" t="s">
        <v>29</v>
      </c>
      <c r="J1755" s="14">
        <f ca="1" t="shared" si="82"/>
        <v>28</v>
      </c>
      <c r="K1755" s="14">
        <f ca="1" t="shared" si="83"/>
        <v>16</v>
      </c>
    </row>
    <row r="1756" ht="18" spans="1:11">
      <c r="A1756" s="10">
        <f t="shared" si="81"/>
        <v>1755</v>
      </c>
      <c r="B1756" s="11" t="s">
        <v>5684</v>
      </c>
      <c r="C1756" s="10" t="str">
        <f>IFERROR(INDEX(面试清单!D:D,MATCH(1755,面试清单!P:P,0)),"")</f>
        <v/>
      </c>
      <c r="D1756" s="11" t="s">
        <v>43</v>
      </c>
      <c r="E1756" s="11" t="s">
        <v>63</v>
      </c>
      <c r="F1756" s="11" t="s">
        <v>505</v>
      </c>
      <c r="G1756" s="15">
        <v>46161</v>
      </c>
      <c r="H1756" s="10" t="str">
        <f>IFERROR(INDEX(面试清单!H:H,MATCH(1755,面试清单!P:P,0)),"")</f>
        <v/>
      </c>
      <c r="I1756" s="13" t="s">
        <v>29</v>
      </c>
      <c r="J1756" s="10">
        <f ca="1" t="shared" si="82"/>
        <v>28</v>
      </c>
      <c r="K1756" s="10">
        <f ca="1" t="shared" si="83"/>
        <v>16</v>
      </c>
    </row>
    <row r="1757" ht="18" spans="1:11">
      <c r="A1757" s="14">
        <f t="shared" si="81"/>
        <v>1756</v>
      </c>
      <c r="B1757" s="11" t="s">
        <v>5685</v>
      </c>
      <c r="C1757" s="14" t="str">
        <f>IFERROR(INDEX(面试清单!D:D,MATCH(1756,面试清单!P:P,0)),"")</f>
        <v/>
      </c>
      <c r="D1757" s="11" t="s">
        <v>43</v>
      </c>
      <c r="E1757" s="11" t="s">
        <v>63</v>
      </c>
      <c r="F1757" s="11" t="s">
        <v>135</v>
      </c>
      <c r="G1757" s="15">
        <v>46161</v>
      </c>
      <c r="H1757" s="14" t="str">
        <f>IFERROR(INDEX(面试清单!H:H,MATCH(1756,面试清单!P:P,0)),"")</f>
        <v/>
      </c>
      <c r="I1757" s="13" t="s">
        <v>29</v>
      </c>
      <c r="J1757" s="14">
        <f ca="1" t="shared" si="82"/>
        <v>28</v>
      </c>
      <c r="K1757" s="14">
        <f ca="1" t="shared" si="83"/>
        <v>16</v>
      </c>
    </row>
    <row r="1758" ht="18" spans="1:11">
      <c r="A1758" s="10">
        <f t="shared" si="81"/>
        <v>1757</v>
      </c>
      <c r="B1758" s="11" t="s">
        <v>5686</v>
      </c>
      <c r="C1758" s="10" t="str">
        <f>IFERROR(INDEX(面试清单!D:D,MATCH(1757,面试清单!P:P,0)),"")</f>
        <v/>
      </c>
      <c r="D1758" s="11" t="s">
        <v>43</v>
      </c>
      <c r="E1758" s="11" t="s">
        <v>63</v>
      </c>
      <c r="F1758" s="11" t="s">
        <v>135</v>
      </c>
      <c r="G1758" s="15">
        <v>46161</v>
      </c>
      <c r="H1758" s="10" t="str">
        <f>IFERROR(INDEX(面试清单!H:H,MATCH(1757,面试清单!P:P,0)),"")</f>
        <v/>
      </c>
      <c r="I1758" s="13" t="s">
        <v>29</v>
      </c>
      <c r="J1758" s="10">
        <f ca="1" t="shared" si="82"/>
        <v>28</v>
      </c>
      <c r="K1758" s="10">
        <f ca="1" t="shared" si="83"/>
        <v>16</v>
      </c>
    </row>
    <row r="1759" ht="18" spans="1:11">
      <c r="A1759" s="14">
        <f t="shared" si="81"/>
        <v>1758</v>
      </c>
      <c r="B1759" s="11" t="s">
        <v>5687</v>
      </c>
      <c r="C1759" s="14" t="str">
        <f>IFERROR(INDEX(面试清单!D:D,MATCH(1758,面试清单!P:P,0)),"")</f>
        <v/>
      </c>
      <c r="D1759" s="11" t="s">
        <v>43</v>
      </c>
      <c r="E1759" s="11" t="s">
        <v>63</v>
      </c>
      <c r="F1759" s="11" t="s">
        <v>117</v>
      </c>
      <c r="G1759" s="15">
        <v>46161</v>
      </c>
      <c r="H1759" s="14" t="str">
        <f>IFERROR(INDEX(面试清单!H:H,MATCH(1758,面试清单!P:P,0)),"")</f>
        <v/>
      </c>
      <c r="I1759" s="13" t="s">
        <v>29</v>
      </c>
      <c r="J1759" s="14">
        <f ca="1" t="shared" si="82"/>
        <v>28</v>
      </c>
      <c r="K1759" s="14">
        <f ca="1" t="shared" si="83"/>
        <v>16</v>
      </c>
    </row>
    <row r="1760" ht="18" spans="1:11">
      <c r="A1760" s="10">
        <f t="shared" si="81"/>
        <v>1759</v>
      </c>
      <c r="B1760" s="11" t="s">
        <v>5688</v>
      </c>
      <c r="C1760" s="10" t="str">
        <f>IFERROR(INDEX(面试清单!D:D,MATCH(1759,面试清单!P:P,0)),"")</f>
        <v/>
      </c>
      <c r="D1760" s="11" t="s">
        <v>42</v>
      </c>
      <c r="E1760" s="11" t="s">
        <v>62</v>
      </c>
      <c r="F1760" s="11" t="s">
        <v>578</v>
      </c>
      <c r="G1760" s="15">
        <v>46161</v>
      </c>
      <c r="H1760" s="10" t="str">
        <f>IFERROR(INDEX(面试清单!H:H,MATCH(1759,面试清单!P:P,0)),"")</f>
        <v/>
      </c>
      <c r="I1760" s="13" t="s">
        <v>29</v>
      </c>
      <c r="J1760" s="10">
        <f ca="1" t="shared" si="82"/>
        <v>28</v>
      </c>
      <c r="K1760" s="10">
        <f ca="1" t="shared" si="83"/>
        <v>16</v>
      </c>
    </row>
    <row r="1761" ht="18" spans="1:11">
      <c r="A1761" s="14">
        <f t="shared" si="81"/>
        <v>1760</v>
      </c>
      <c r="B1761" s="11" t="s">
        <v>5689</v>
      </c>
      <c r="C1761" s="14" t="str">
        <f>IFERROR(INDEX(面试清单!D:D,MATCH(1760,面试清单!P:P,0)),"")</f>
        <v/>
      </c>
      <c r="D1761" s="11" t="s">
        <v>42</v>
      </c>
      <c r="E1761" s="11" t="s">
        <v>62</v>
      </c>
      <c r="F1761" s="11" t="s">
        <v>173</v>
      </c>
      <c r="G1761" s="15">
        <v>46161</v>
      </c>
      <c r="H1761" s="14" t="str">
        <f>IFERROR(INDEX(面试清单!H:H,MATCH(1760,面试清单!P:P,0)),"")</f>
        <v/>
      </c>
      <c r="I1761" s="13" t="s">
        <v>29</v>
      </c>
      <c r="J1761" s="14">
        <f ca="1" t="shared" si="82"/>
        <v>28</v>
      </c>
      <c r="K1761" s="14">
        <f ca="1" t="shared" si="83"/>
        <v>16</v>
      </c>
    </row>
    <row r="1762" ht="18" spans="1:11">
      <c r="A1762" s="10">
        <f t="shared" si="81"/>
        <v>1761</v>
      </c>
      <c r="B1762" s="11" t="s">
        <v>5690</v>
      </c>
      <c r="C1762" s="10" t="str">
        <f>IFERROR(INDEX(面试清单!D:D,MATCH(1761,面试清单!P:P,0)),"")</f>
        <v/>
      </c>
      <c r="D1762" s="11" t="s">
        <v>42</v>
      </c>
      <c r="E1762" s="11" t="s">
        <v>63</v>
      </c>
      <c r="F1762" s="11" t="s">
        <v>173</v>
      </c>
      <c r="G1762" s="15">
        <v>46161</v>
      </c>
      <c r="H1762" s="10" t="str">
        <f>IFERROR(INDEX(面试清单!H:H,MATCH(1761,面试清单!P:P,0)),"")</f>
        <v/>
      </c>
      <c r="I1762" s="13" t="s">
        <v>29</v>
      </c>
      <c r="J1762" s="10">
        <f ca="1" t="shared" si="82"/>
        <v>28</v>
      </c>
      <c r="K1762" s="10">
        <f ca="1" t="shared" si="83"/>
        <v>16</v>
      </c>
    </row>
    <row r="1763" ht="18" spans="1:11">
      <c r="A1763" s="14">
        <f t="shared" si="81"/>
        <v>1762</v>
      </c>
      <c r="B1763" s="11" t="s">
        <v>5691</v>
      </c>
      <c r="C1763" s="14" t="str">
        <f>IFERROR(INDEX(面试清单!D:D,MATCH(1762,面试清单!P:P,0)),"")</f>
        <v/>
      </c>
      <c r="D1763" s="11" t="s">
        <v>42</v>
      </c>
      <c r="E1763" s="11" t="s">
        <v>63</v>
      </c>
      <c r="F1763" s="11" t="s">
        <v>173</v>
      </c>
      <c r="G1763" s="15">
        <v>46161</v>
      </c>
      <c r="H1763" s="14" t="str">
        <f>IFERROR(INDEX(面试清单!H:H,MATCH(1762,面试清单!P:P,0)),"")</f>
        <v/>
      </c>
      <c r="I1763" s="13" t="s">
        <v>29</v>
      </c>
      <c r="J1763" s="14">
        <f ca="1" t="shared" si="82"/>
        <v>28</v>
      </c>
      <c r="K1763" s="14">
        <f ca="1" t="shared" si="83"/>
        <v>16</v>
      </c>
    </row>
    <row r="1764" ht="18" spans="1:11">
      <c r="A1764" s="10">
        <f t="shared" si="81"/>
        <v>1763</v>
      </c>
      <c r="B1764" s="11" t="s">
        <v>5692</v>
      </c>
      <c r="C1764" s="10" t="str">
        <f>IFERROR(INDEX(面试清单!D:D,MATCH(1763,面试清单!P:P,0)),"")</f>
        <v/>
      </c>
      <c r="D1764" s="11" t="s">
        <v>43</v>
      </c>
      <c r="E1764" s="11" t="s">
        <v>62</v>
      </c>
      <c r="F1764" s="11" t="s">
        <v>129</v>
      </c>
      <c r="G1764" s="15">
        <v>46161</v>
      </c>
      <c r="H1764" s="10" t="str">
        <f>IFERROR(INDEX(面试清单!H:H,MATCH(1763,面试清单!P:P,0)),"")</f>
        <v/>
      </c>
      <c r="I1764" s="13" t="s">
        <v>29</v>
      </c>
      <c r="J1764" s="10">
        <f ca="1" t="shared" si="82"/>
        <v>28</v>
      </c>
      <c r="K1764" s="10">
        <f ca="1" t="shared" si="83"/>
        <v>16</v>
      </c>
    </row>
    <row r="1765" ht="18" spans="1:11">
      <c r="A1765" s="14">
        <f t="shared" si="81"/>
        <v>1764</v>
      </c>
      <c r="B1765" s="11" t="s">
        <v>5693</v>
      </c>
      <c r="C1765" s="14" t="str">
        <f>IFERROR(INDEX(面试清单!D:D,MATCH(1764,面试清单!P:P,0)),"")</f>
        <v/>
      </c>
      <c r="D1765" s="11" t="s">
        <v>43</v>
      </c>
      <c r="E1765" s="11" t="s">
        <v>62</v>
      </c>
      <c r="F1765" s="11" t="s">
        <v>129</v>
      </c>
      <c r="G1765" s="15">
        <v>46161</v>
      </c>
      <c r="H1765" s="14" t="str">
        <f>IFERROR(INDEX(面试清单!H:H,MATCH(1764,面试清单!P:P,0)),"")</f>
        <v/>
      </c>
      <c r="I1765" s="13" t="s">
        <v>29</v>
      </c>
      <c r="J1765" s="14">
        <f ca="1" t="shared" si="82"/>
        <v>28</v>
      </c>
      <c r="K1765" s="14">
        <f ca="1" t="shared" si="83"/>
        <v>16</v>
      </c>
    </row>
    <row r="1766" ht="18" spans="1:11">
      <c r="A1766" s="10">
        <f t="shared" si="81"/>
        <v>1765</v>
      </c>
      <c r="B1766" s="11" t="s">
        <v>5694</v>
      </c>
      <c r="C1766" s="125" t="str">
        <f>IFERROR(INDEX(面试清单!D:D,MATCH(1765,面试清单!P:P,0)),"")</f>
        <v>0218</v>
      </c>
      <c r="D1766" s="11" t="s">
        <v>43</v>
      </c>
      <c r="E1766" s="11" t="s">
        <v>62</v>
      </c>
      <c r="F1766" s="11" t="s">
        <v>468</v>
      </c>
      <c r="G1766" s="15">
        <v>46161</v>
      </c>
      <c r="H1766" s="10" t="str">
        <f>IFERROR(INDEX(面试清单!H:H,MATCH(1765,面试清单!P:P,0)),"")</f>
        <v>线上</v>
      </c>
      <c r="I1766" s="13" t="s">
        <v>29</v>
      </c>
      <c r="J1766" s="10">
        <f ca="1" t="shared" si="82"/>
        <v>28</v>
      </c>
      <c r="K1766" s="10">
        <f ca="1" t="shared" si="83"/>
        <v>16</v>
      </c>
    </row>
    <row r="1767" ht="18" spans="1:11">
      <c r="A1767" s="14">
        <f t="shared" si="81"/>
        <v>1766</v>
      </c>
      <c r="B1767" s="11" t="s">
        <v>5695</v>
      </c>
      <c r="C1767" s="14" t="str">
        <f>IFERROR(INDEX(面试清单!D:D,MATCH(1766,面试清单!P:P,0)),"")</f>
        <v/>
      </c>
      <c r="D1767" s="11" t="s">
        <v>43</v>
      </c>
      <c r="E1767" s="11" t="s">
        <v>62</v>
      </c>
      <c r="F1767" s="11" t="s">
        <v>103</v>
      </c>
      <c r="G1767" s="15">
        <v>46161</v>
      </c>
      <c r="H1767" s="14" t="str">
        <f>IFERROR(INDEX(面试清单!H:H,MATCH(1766,面试清单!P:P,0)),"")</f>
        <v/>
      </c>
      <c r="I1767" s="13" t="s">
        <v>29</v>
      </c>
      <c r="J1767" s="14">
        <f ca="1" t="shared" si="82"/>
        <v>28</v>
      </c>
      <c r="K1767" s="14">
        <f ca="1" t="shared" si="83"/>
        <v>16</v>
      </c>
    </row>
    <row r="1768" ht="18" spans="1:11">
      <c r="A1768" s="10">
        <f t="shared" si="81"/>
        <v>1767</v>
      </c>
      <c r="B1768" s="11" t="s">
        <v>5696</v>
      </c>
      <c r="C1768" s="10" t="str">
        <f>IFERROR(INDEX(面试清单!D:D,MATCH(1767,面试清单!P:P,0)),"")</f>
        <v/>
      </c>
      <c r="D1768" s="11" t="s">
        <v>43</v>
      </c>
      <c r="E1768" s="11" t="s">
        <v>62</v>
      </c>
      <c r="F1768" s="11" t="s">
        <v>132</v>
      </c>
      <c r="G1768" s="15">
        <v>46161</v>
      </c>
      <c r="H1768" s="10" t="str">
        <f>IFERROR(INDEX(面试清单!H:H,MATCH(1767,面试清单!P:P,0)),"")</f>
        <v/>
      </c>
      <c r="I1768" s="13" t="s">
        <v>29</v>
      </c>
      <c r="J1768" s="10">
        <f ca="1" t="shared" si="82"/>
        <v>28</v>
      </c>
      <c r="K1768" s="10">
        <f ca="1" t="shared" si="83"/>
        <v>16</v>
      </c>
    </row>
    <row r="1769" ht="18" spans="1:11">
      <c r="A1769" s="14">
        <f t="shared" si="81"/>
        <v>1768</v>
      </c>
      <c r="B1769" s="11" t="s">
        <v>5697</v>
      </c>
      <c r="C1769" s="14" t="str">
        <f>IFERROR(INDEX(面试清单!D:D,MATCH(1768,面试清单!P:P,0)),"")</f>
        <v/>
      </c>
      <c r="D1769" s="11" t="s">
        <v>43</v>
      </c>
      <c r="E1769" s="11" t="s">
        <v>62</v>
      </c>
      <c r="F1769" s="11" t="s">
        <v>132</v>
      </c>
      <c r="G1769" s="15">
        <v>46161</v>
      </c>
      <c r="H1769" s="14" t="str">
        <f>IFERROR(INDEX(面试清单!H:H,MATCH(1768,面试清单!P:P,0)),"")</f>
        <v/>
      </c>
      <c r="I1769" s="13" t="s">
        <v>29</v>
      </c>
      <c r="J1769" s="14">
        <f ca="1" t="shared" si="82"/>
        <v>28</v>
      </c>
      <c r="K1769" s="14">
        <f ca="1" t="shared" si="83"/>
        <v>16</v>
      </c>
    </row>
    <row r="1770" ht="18" spans="1:11">
      <c r="A1770" s="10">
        <f t="shared" si="81"/>
        <v>1769</v>
      </c>
      <c r="B1770" s="11" t="s">
        <v>5698</v>
      </c>
      <c r="C1770" s="10" t="str">
        <f>IFERROR(INDEX(面试清单!D:D,MATCH(1769,面试清单!P:P,0)),"")</f>
        <v/>
      </c>
      <c r="D1770" s="11" t="s">
        <v>43</v>
      </c>
      <c r="E1770" s="11" t="s">
        <v>62</v>
      </c>
      <c r="F1770" s="11" t="s">
        <v>132</v>
      </c>
      <c r="G1770" s="15">
        <v>46161</v>
      </c>
      <c r="H1770" s="10" t="str">
        <f>IFERROR(INDEX(面试清单!H:H,MATCH(1769,面试清单!P:P,0)),"")</f>
        <v/>
      </c>
      <c r="I1770" s="13" t="s">
        <v>29</v>
      </c>
      <c r="J1770" s="10">
        <f ca="1" t="shared" si="82"/>
        <v>28</v>
      </c>
      <c r="K1770" s="10">
        <f ca="1" t="shared" si="83"/>
        <v>16</v>
      </c>
    </row>
    <row r="1771" ht="18" spans="1:11">
      <c r="A1771" s="14">
        <f t="shared" si="81"/>
        <v>1770</v>
      </c>
      <c r="B1771" s="11" t="s">
        <v>5699</v>
      </c>
      <c r="C1771" s="14" t="str">
        <f>IFERROR(INDEX(面试清单!D:D,MATCH(1770,面试清单!P:P,0)),"")</f>
        <v/>
      </c>
      <c r="D1771" s="11" t="s">
        <v>42</v>
      </c>
      <c r="E1771" s="11" t="s">
        <v>62</v>
      </c>
      <c r="F1771" s="11" t="s">
        <v>132</v>
      </c>
      <c r="G1771" s="15">
        <v>46161</v>
      </c>
      <c r="H1771" s="14" t="str">
        <f>IFERROR(INDEX(面试清单!H:H,MATCH(1770,面试清单!P:P,0)),"")</f>
        <v/>
      </c>
      <c r="I1771" s="13" t="s">
        <v>29</v>
      </c>
      <c r="J1771" s="14">
        <f ca="1" t="shared" si="82"/>
        <v>28</v>
      </c>
      <c r="K1771" s="14">
        <f ca="1" t="shared" si="83"/>
        <v>16</v>
      </c>
    </row>
    <row r="1772" ht="18" spans="1:11">
      <c r="A1772" s="10">
        <f t="shared" si="81"/>
        <v>1771</v>
      </c>
      <c r="B1772" s="11" t="s">
        <v>5700</v>
      </c>
      <c r="C1772" s="10" t="str">
        <f>IFERROR(INDEX(面试清单!D:D,MATCH(1771,面试清单!P:P,0)),"")</f>
        <v/>
      </c>
      <c r="D1772" s="11" t="s">
        <v>42</v>
      </c>
      <c r="E1772" s="11" t="s">
        <v>62</v>
      </c>
      <c r="F1772" s="11" t="s">
        <v>132</v>
      </c>
      <c r="G1772" s="15">
        <v>46161</v>
      </c>
      <c r="H1772" s="10" t="str">
        <f>IFERROR(INDEX(面试清单!H:H,MATCH(1771,面试清单!P:P,0)),"")</f>
        <v/>
      </c>
      <c r="I1772" s="13" t="s">
        <v>29</v>
      </c>
      <c r="J1772" s="10">
        <f ca="1" t="shared" si="82"/>
        <v>28</v>
      </c>
      <c r="K1772" s="10">
        <f ca="1" t="shared" si="83"/>
        <v>16</v>
      </c>
    </row>
    <row r="1773" ht="18" spans="1:11">
      <c r="A1773" s="14">
        <f t="shared" si="81"/>
        <v>1772</v>
      </c>
      <c r="B1773" s="11" t="s">
        <v>5701</v>
      </c>
      <c r="C1773" s="14" t="str">
        <f>IFERROR(INDEX(面试清单!D:D,MATCH(1772,面试清单!P:P,0)),"")</f>
        <v/>
      </c>
      <c r="D1773" s="11" t="s">
        <v>74</v>
      </c>
      <c r="E1773" s="11" t="s">
        <v>64</v>
      </c>
      <c r="F1773" s="11" t="s">
        <v>179</v>
      </c>
      <c r="G1773" s="15">
        <v>46161</v>
      </c>
      <c r="H1773" s="14" t="str">
        <f>IFERROR(INDEX(面试清单!H:H,MATCH(1772,面试清单!P:P,0)),"")</f>
        <v/>
      </c>
      <c r="I1773" s="13" t="s">
        <v>29</v>
      </c>
      <c r="J1773" s="14">
        <f ca="1" t="shared" si="82"/>
        <v>28</v>
      </c>
      <c r="K1773" s="14">
        <f ca="1" t="shared" si="83"/>
        <v>16</v>
      </c>
    </row>
    <row r="1774" ht="18" spans="1:11">
      <c r="A1774" s="10">
        <f t="shared" si="81"/>
        <v>1773</v>
      </c>
      <c r="B1774" s="11" t="s">
        <v>5702</v>
      </c>
      <c r="C1774" s="10" t="str">
        <f>IFERROR(INDEX(面试清单!D:D,MATCH(1773,面试清单!P:P,0)),"")</f>
        <v/>
      </c>
      <c r="D1774" s="11" t="s">
        <v>74</v>
      </c>
      <c r="E1774" s="11" t="s">
        <v>64</v>
      </c>
      <c r="F1774" s="11" t="s">
        <v>117</v>
      </c>
      <c r="G1774" s="15">
        <v>46161</v>
      </c>
      <c r="H1774" s="10" t="str">
        <f>IFERROR(INDEX(面试清单!H:H,MATCH(1773,面试清单!P:P,0)),"")</f>
        <v/>
      </c>
      <c r="I1774" s="13" t="s">
        <v>29</v>
      </c>
      <c r="J1774" s="10">
        <f ca="1" t="shared" si="82"/>
        <v>28</v>
      </c>
      <c r="K1774" s="10">
        <f ca="1" t="shared" si="83"/>
        <v>16</v>
      </c>
    </row>
    <row r="1775" ht="18" spans="1:11">
      <c r="A1775" s="14">
        <f t="shared" si="81"/>
        <v>1774</v>
      </c>
      <c r="B1775" s="11" t="s">
        <v>5703</v>
      </c>
      <c r="C1775" s="14" t="str">
        <f>IFERROR(INDEX(面试清单!D:D,MATCH(1774,面试清单!P:P,0)),"")</f>
        <v/>
      </c>
      <c r="D1775" s="11" t="s">
        <v>74</v>
      </c>
      <c r="E1775" s="11" t="s">
        <v>64</v>
      </c>
      <c r="F1775" s="11" t="s">
        <v>179</v>
      </c>
      <c r="G1775" s="15">
        <v>46161</v>
      </c>
      <c r="H1775" s="14" t="str">
        <f>IFERROR(INDEX(面试清单!H:H,MATCH(1774,面试清单!P:P,0)),"")</f>
        <v/>
      </c>
      <c r="I1775" s="13" t="s">
        <v>29</v>
      </c>
      <c r="J1775" s="14">
        <f ca="1" t="shared" si="82"/>
        <v>28</v>
      </c>
      <c r="K1775" s="14">
        <f ca="1" t="shared" si="83"/>
        <v>16</v>
      </c>
    </row>
    <row r="1776" ht="18" spans="1:11">
      <c r="A1776" s="10">
        <f t="shared" si="81"/>
        <v>1775</v>
      </c>
      <c r="B1776" s="11" t="s">
        <v>5704</v>
      </c>
      <c r="C1776" s="10" t="str">
        <f>IFERROR(INDEX(面试清单!D:D,MATCH(1775,面试清单!P:P,0)),"")</f>
        <v/>
      </c>
      <c r="D1776" s="11" t="s">
        <v>43</v>
      </c>
      <c r="E1776" s="11" t="s">
        <v>63</v>
      </c>
      <c r="F1776" s="11" t="s">
        <v>468</v>
      </c>
      <c r="G1776" s="15">
        <v>46162</v>
      </c>
      <c r="H1776" s="10" t="str">
        <f>IFERROR(INDEX(面试清单!H:H,MATCH(1775,面试清单!P:P,0)),"")</f>
        <v/>
      </c>
      <c r="I1776" s="13" t="s">
        <v>29</v>
      </c>
      <c r="J1776" s="10">
        <f ca="1" t="shared" si="82"/>
        <v>27</v>
      </c>
      <c r="K1776" s="10">
        <f ca="1" t="shared" si="83"/>
        <v>16</v>
      </c>
    </row>
    <row r="1777" ht="18" spans="1:11">
      <c r="A1777" s="14">
        <f t="shared" si="81"/>
        <v>1776</v>
      </c>
      <c r="B1777" s="11" t="s">
        <v>5705</v>
      </c>
      <c r="C1777" s="14" t="str">
        <f>IFERROR(INDEX(面试清单!D:D,MATCH(1776,面试清单!P:P,0)),"")</f>
        <v/>
      </c>
      <c r="D1777" s="11" t="s">
        <v>42</v>
      </c>
      <c r="E1777" s="11" t="s">
        <v>62</v>
      </c>
      <c r="F1777" s="11" t="s">
        <v>468</v>
      </c>
      <c r="G1777" s="15">
        <v>46162</v>
      </c>
      <c r="H1777" s="14" t="str">
        <f>IFERROR(INDEX(面试清单!H:H,MATCH(1776,面试清单!P:P,0)),"")</f>
        <v/>
      </c>
      <c r="I1777" s="13" t="s">
        <v>29</v>
      </c>
      <c r="J1777" s="14">
        <f ca="1" t="shared" si="82"/>
        <v>27</v>
      </c>
      <c r="K1777" s="14">
        <f ca="1" t="shared" si="83"/>
        <v>16</v>
      </c>
    </row>
    <row r="1778" ht="18" spans="1:11">
      <c r="A1778" s="10">
        <f t="shared" si="81"/>
        <v>1777</v>
      </c>
      <c r="B1778" s="11" t="s">
        <v>5706</v>
      </c>
      <c r="C1778" s="10" t="str">
        <f>IFERROR(INDEX(面试清单!D:D,MATCH(1777,面试清单!P:P,0)),"")</f>
        <v/>
      </c>
      <c r="D1778" s="11" t="s">
        <v>43</v>
      </c>
      <c r="E1778" s="11" t="s">
        <v>64</v>
      </c>
      <c r="F1778" s="11" t="s">
        <v>176</v>
      </c>
      <c r="G1778" s="15">
        <v>46162</v>
      </c>
      <c r="H1778" s="10" t="str">
        <f>IFERROR(INDEX(面试清单!H:H,MATCH(1777,面试清单!P:P,0)),"")</f>
        <v/>
      </c>
      <c r="I1778" s="13" t="s">
        <v>29</v>
      </c>
      <c r="J1778" s="10">
        <f ca="1" t="shared" si="82"/>
        <v>27</v>
      </c>
      <c r="K1778" s="10">
        <f ca="1" t="shared" si="83"/>
        <v>16</v>
      </c>
    </row>
    <row r="1779" ht="18" spans="1:11">
      <c r="A1779" s="14">
        <f t="shared" si="81"/>
        <v>1778</v>
      </c>
      <c r="B1779" s="11" t="s">
        <v>5707</v>
      </c>
      <c r="C1779" s="14" t="str">
        <f>IFERROR(INDEX(面试清单!D:D,MATCH(1778,面试清单!P:P,0)),"")</f>
        <v/>
      </c>
      <c r="D1779" s="11" t="s">
        <v>42</v>
      </c>
      <c r="E1779" s="11" t="s">
        <v>62</v>
      </c>
      <c r="F1779" s="11" t="s">
        <v>307</v>
      </c>
      <c r="G1779" s="15">
        <v>46162</v>
      </c>
      <c r="H1779" s="14" t="str">
        <f>IFERROR(INDEX(面试清单!H:H,MATCH(1778,面试清单!P:P,0)),"")</f>
        <v/>
      </c>
      <c r="I1779" s="13" t="s">
        <v>29</v>
      </c>
      <c r="J1779" s="14">
        <f ca="1" t="shared" si="82"/>
        <v>27</v>
      </c>
      <c r="K1779" s="14">
        <f ca="1" t="shared" si="83"/>
        <v>16</v>
      </c>
    </row>
    <row r="1780" ht="18" spans="1:11">
      <c r="A1780" s="10">
        <f t="shared" si="81"/>
        <v>1779</v>
      </c>
      <c r="B1780" s="11" t="s">
        <v>5708</v>
      </c>
      <c r="C1780" s="10" t="str">
        <f>IFERROR(INDEX(面试清单!D:D,MATCH(1779,面试清单!P:P,0)),"")</f>
        <v/>
      </c>
      <c r="D1780" s="11" t="s">
        <v>43</v>
      </c>
      <c r="E1780" s="11" t="s">
        <v>62</v>
      </c>
      <c r="F1780" s="11" t="s">
        <v>307</v>
      </c>
      <c r="G1780" s="15">
        <v>46162</v>
      </c>
      <c r="H1780" s="10" t="str">
        <f>IFERROR(INDEX(面试清单!H:H,MATCH(1779,面试清单!P:P,0)),"")</f>
        <v/>
      </c>
      <c r="I1780" s="13" t="s">
        <v>29</v>
      </c>
      <c r="J1780" s="10">
        <f ca="1" t="shared" si="82"/>
        <v>27</v>
      </c>
      <c r="K1780" s="10">
        <f ca="1" t="shared" si="83"/>
        <v>16</v>
      </c>
    </row>
    <row r="1781" ht="18" spans="1:11">
      <c r="A1781" s="14">
        <f t="shared" si="81"/>
        <v>1780</v>
      </c>
      <c r="B1781" s="11" t="s">
        <v>5709</v>
      </c>
      <c r="C1781" s="14" t="str">
        <f>IFERROR(INDEX(面试清单!D:D,MATCH(1780,面试清单!P:P,0)),"")</f>
        <v/>
      </c>
      <c r="D1781" s="11" t="s">
        <v>43</v>
      </c>
      <c r="E1781" s="11" t="s">
        <v>62</v>
      </c>
      <c r="F1781" s="11" t="s">
        <v>307</v>
      </c>
      <c r="G1781" s="15">
        <v>46162</v>
      </c>
      <c r="H1781" s="14" t="str">
        <f>IFERROR(INDEX(面试清单!H:H,MATCH(1780,面试清单!P:P,0)),"")</f>
        <v/>
      </c>
      <c r="I1781" s="13" t="s">
        <v>29</v>
      </c>
      <c r="J1781" s="14">
        <f ca="1" t="shared" si="82"/>
        <v>27</v>
      </c>
      <c r="K1781" s="14">
        <f ca="1" t="shared" si="83"/>
        <v>16</v>
      </c>
    </row>
    <row r="1782" ht="18" spans="1:11">
      <c r="A1782" s="10">
        <f t="shared" si="81"/>
        <v>1781</v>
      </c>
      <c r="B1782" s="11" t="s">
        <v>5710</v>
      </c>
      <c r="C1782" s="125" t="str">
        <f>IFERROR(INDEX(面试清单!D:D,MATCH(1781,面试清单!P:P,0)),"")</f>
        <v>0212</v>
      </c>
      <c r="D1782" s="11" t="s">
        <v>42</v>
      </c>
      <c r="E1782" s="11" t="s">
        <v>62</v>
      </c>
      <c r="F1782" s="11" t="s">
        <v>733</v>
      </c>
      <c r="G1782" s="15">
        <v>46162</v>
      </c>
      <c r="H1782" s="10" t="str">
        <f>IFERROR(INDEX(面试清单!H:H,MATCH(1781,面试清单!P:P,0)),"")</f>
        <v>线上</v>
      </c>
      <c r="I1782" s="13" t="s">
        <v>29</v>
      </c>
      <c r="J1782" s="10">
        <f ca="1" t="shared" si="82"/>
        <v>27</v>
      </c>
      <c r="K1782" s="10">
        <f ca="1" t="shared" si="83"/>
        <v>16</v>
      </c>
    </row>
    <row r="1783" ht="18" spans="1:11">
      <c r="A1783" s="14">
        <f t="shared" si="81"/>
        <v>1782</v>
      </c>
      <c r="B1783" s="11" t="s">
        <v>5711</v>
      </c>
      <c r="C1783" s="124" t="str">
        <f>IFERROR(INDEX(面试清单!D:D,MATCH(1782,面试清单!P:P,0)),"")</f>
        <v>0214</v>
      </c>
      <c r="D1783" s="11" t="s">
        <v>42</v>
      </c>
      <c r="E1783" s="11" t="s">
        <v>62</v>
      </c>
      <c r="F1783" s="11" t="s">
        <v>103</v>
      </c>
      <c r="G1783" s="15">
        <v>46162</v>
      </c>
      <c r="H1783" s="14" t="str">
        <f>IFERROR(INDEX(面试清单!H:H,MATCH(1782,面试清单!P:P,0)),"")</f>
        <v>线上</v>
      </c>
      <c r="I1783" s="13" t="s">
        <v>29</v>
      </c>
      <c r="J1783" s="14">
        <f ca="1" t="shared" si="82"/>
        <v>27</v>
      </c>
      <c r="K1783" s="14">
        <f ca="1" t="shared" si="83"/>
        <v>16</v>
      </c>
    </row>
    <row r="1784" ht="18" spans="1:11">
      <c r="A1784" s="10">
        <f t="shared" si="81"/>
        <v>1783</v>
      </c>
      <c r="B1784" s="11" t="s">
        <v>5712</v>
      </c>
      <c r="C1784" s="10" t="str">
        <f>IFERROR(INDEX(面试清单!D:D,MATCH(1783,面试清单!P:P,0)),"")</f>
        <v/>
      </c>
      <c r="D1784" s="11" t="s">
        <v>42</v>
      </c>
      <c r="E1784" s="11" t="s">
        <v>62</v>
      </c>
      <c r="F1784" s="11" t="s">
        <v>103</v>
      </c>
      <c r="G1784" s="15">
        <v>46162</v>
      </c>
      <c r="H1784" s="10" t="str">
        <f>IFERROR(INDEX(面试清单!H:H,MATCH(1783,面试清单!P:P,0)),"")</f>
        <v/>
      </c>
      <c r="I1784" s="13" t="s">
        <v>29</v>
      </c>
      <c r="J1784" s="10">
        <f ca="1" t="shared" si="82"/>
        <v>27</v>
      </c>
      <c r="K1784" s="10">
        <f ca="1" t="shared" si="83"/>
        <v>16</v>
      </c>
    </row>
    <row r="1785" ht="18" spans="1:11">
      <c r="A1785" s="14">
        <f t="shared" si="81"/>
        <v>1784</v>
      </c>
      <c r="B1785" s="11" t="s">
        <v>5713</v>
      </c>
      <c r="C1785" s="124" t="str">
        <f>IFERROR(INDEX(面试清单!D:D,MATCH(1784,面试清单!P:P,0)),"")</f>
        <v>0218</v>
      </c>
      <c r="D1785" s="11" t="s">
        <v>42</v>
      </c>
      <c r="E1785" s="11" t="s">
        <v>62</v>
      </c>
      <c r="F1785" s="11" t="s">
        <v>103</v>
      </c>
      <c r="G1785" s="15">
        <v>46162</v>
      </c>
      <c r="H1785" s="14" t="str">
        <f>IFERROR(INDEX(面试清单!H:H,MATCH(1784,面试清单!P:P,0)),"")</f>
        <v>线上</v>
      </c>
      <c r="I1785" s="13" t="s">
        <v>29</v>
      </c>
      <c r="J1785" s="14">
        <f ca="1" t="shared" si="82"/>
        <v>27</v>
      </c>
      <c r="K1785" s="14">
        <f ca="1" t="shared" si="83"/>
        <v>16</v>
      </c>
    </row>
    <row r="1786" ht="18" spans="1:11">
      <c r="A1786" s="10">
        <f t="shared" si="81"/>
        <v>1785</v>
      </c>
      <c r="B1786" s="11" t="s">
        <v>5714</v>
      </c>
      <c r="C1786" s="10" t="str">
        <f>IFERROR(INDEX(面试清单!D:D,MATCH(1785,面试清单!P:P,0)),"")</f>
        <v/>
      </c>
      <c r="D1786" s="11" t="s">
        <v>43</v>
      </c>
      <c r="E1786" s="11" t="s">
        <v>62</v>
      </c>
      <c r="F1786" s="11" t="s">
        <v>246</v>
      </c>
      <c r="G1786" s="15">
        <v>46162</v>
      </c>
      <c r="H1786" s="10" t="str">
        <f>IFERROR(INDEX(面试清单!H:H,MATCH(1785,面试清单!P:P,0)),"")</f>
        <v/>
      </c>
      <c r="I1786" s="13" t="s">
        <v>29</v>
      </c>
      <c r="J1786" s="10">
        <f ca="1" t="shared" si="82"/>
        <v>27</v>
      </c>
      <c r="K1786" s="10">
        <f ca="1" t="shared" si="83"/>
        <v>16</v>
      </c>
    </row>
    <row r="1787" ht="18" spans="1:11">
      <c r="A1787" s="14">
        <f t="shared" si="81"/>
        <v>1786</v>
      </c>
      <c r="B1787" s="11" t="s">
        <v>5715</v>
      </c>
      <c r="C1787" s="14" t="str">
        <f>IFERROR(INDEX(面试清单!D:D,MATCH(1786,面试清单!P:P,0)),"")</f>
        <v/>
      </c>
      <c r="D1787" s="11" t="s">
        <v>43</v>
      </c>
      <c r="E1787" s="11" t="s">
        <v>63</v>
      </c>
      <c r="F1787" s="11" t="s">
        <v>509</v>
      </c>
      <c r="G1787" s="15">
        <v>46162</v>
      </c>
      <c r="H1787" s="14" t="str">
        <f>IFERROR(INDEX(面试清单!H:H,MATCH(1786,面试清单!P:P,0)),"")</f>
        <v/>
      </c>
      <c r="I1787" s="13" t="s">
        <v>29</v>
      </c>
      <c r="J1787" s="14">
        <f ca="1" t="shared" si="82"/>
        <v>27</v>
      </c>
      <c r="K1787" s="14">
        <f ca="1" t="shared" si="83"/>
        <v>16</v>
      </c>
    </row>
    <row r="1788" ht="18" spans="1:11">
      <c r="A1788" s="10">
        <f t="shared" si="81"/>
        <v>1787</v>
      </c>
      <c r="B1788" s="11" t="s">
        <v>5716</v>
      </c>
      <c r="C1788" s="10" t="str">
        <f>IFERROR(INDEX(面试清单!D:D,MATCH(1787,面试清单!P:P,0)),"")</f>
        <v/>
      </c>
      <c r="D1788" s="11" t="s">
        <v>43</v>
      </c>
      <c r="E1788" s="11" t="s">
        <v>63</v>
      </c>
      <c r="F1788" s="11" t="s">
        <v>1426</v>
      </c>
      <c r="G1788" s="15">
        <v>46162</v>
      </c>
      <c r="H1788" s="10" t="str">
        <f>IFERROR(INDEX(面试清单!H:H,MATCH(1787,面试清单!P:P,0)),"")</f>
        <v/>
      </c>
      <c r="I1788" s="13" t="s">
        <v>29</v>
      </c>
      <c r="J1788" s="10">
        <f ca="1" t="shared" si="82"/>
        <v>27</v>
      </c>
      <c r="K1788" s="10">
        <f ca="1" t="shared" si="83"/>
        <v>16</v>
      </c>
    </row>
    <row r="1789" ht="18" spans="1:11">
      <c r="A1789" s="14">
        <f t="shared" si="81"/>
        <v>1788</v>
      </c>
      <c r="B1789" s="11" t="s">
        <v>5717</v>
      </c>
      <c r="C1789" s="14" t="str">
        <f>IFERROR(INDEX(面试清单!D:D,MATCH(1788,面试清单!P:P,0)),"")</f>
        <v/>
      </c>
      <c r="D1789" s="11" t="s">
        <v>43</v>
      </c>
      <c r="E1789" s="11" t="s">
        <v>63</v>
      </c>
      <c r="F1789" s="11" t="s">
        <v>1426</v>
      </c>
      <c r="G1789" s="15">
        <v>46162</v>
      </c>
      <c r="H1789" s="14" t="str">
        <f>IFERROR(INDEX(面试清单!H:H,MATCH(1788,面试清单!P:P,0)),"")</f>
        <v/>
      </c>
      <c r="I1789" s="13" t="s">
        <v>29</v>
      </c>
      <c r="J1789" s="14">
        <f ca="1" t="shared" si="82"/>
        <v>27</v>
      </c>
      <c r="K1789" s="14">
        <f ca="1" t="shared" si="83"/>
        <v>16</v>
      </c>
    </row>
    <row r="1790" ht="18" spans="1:11">
      <c r="A1790" s="10">
        <f t="shared" si="81"/>
        <v>1789</v>
      </c>
      <c r="B1790" s="11" t="s">
        <v>5718</v>
      </c>
      <c r="C1790" s="125" t="str">
        <f>IFERROR(INDEX(面试清单!D:D,MATCH(1789,面试清单!P:P,0)),"")</f>
        <v>0209</v>
      </c>
      <c r="D1790" s="11" t="s">
        <v>43</v>
      </c>
      <c r="E1790" s="11" t="s">
        <v>63</v>
      </c>
      <c r="F1790" s="11" t="s">
        <v>1426</v>
      </c>
      <c r="G1790" s="15">
        <v>46162</v>
      </c>
      <c r="H1790" s="10" t="str">
        <f>IFERROR(INDEX(面试清单!H:H,MATCH(1789,面试清单!P:P,0)),"")</f>
        <v>线上</v>
      </c>
      <c r="I1790" s="13" t="s">
        <v>29</v>
      </c>
      <c r="J1790" s="10">
        <f ca="1" t="shared" si="82"/>
        <v>27</v>
      </c>
      <c r="K1790" s="10">
        <f ca="1" t="shared" si="83"/>
        <v>16</v>
      </c>
    </row>
    <row r="1791" ht="18" spans="1:11">
      <c r="A1791" s="14">
        <f t="shared" si="81"/>
        <v>1790</v>
      </c>
      <c r="B1791" s="11" t="s">
        <v>5719</v>
      </c>
      <c r="C1791" s="124" t="str">
        <f>IFERROR(INDEX(面试清单!D:D,MATCH(1790,面试清单!P:P,0)),"")</f>
        <v>0212</v>
      </c>
      <c r="D1791" s="11" t="s">
        <v>43</v>
      </c>
      <c r="E1791" s="11" t="s">
        <v>62</v>
      </c>
      <c r="F1791" s="11" t="s">
        <v>1426</v>
      </c>
      <c r="G1791" s="15">
        <v>46162</v>
      </c>
      <c r="H1791" s="14" t="str">
        <f>IFERROR(INDEX(面试清单!H:H,MATCH(1790,面试清单!P:P,0)),"")</f>
        <v>线上</v>
      </c>
      <c r="I1791" s="13" t="s">
        <v>29</v>
      </c>
      <c r="J1791" s="14">
        <f ca="1" t="shared" si="82"/>
        <v>27</v>
      </c>
      <c r="K1791" s="14">
        <f ca="1" t="shared" si="83"/>
        <v>16</v>
      </c>
    </row>
    <row r="1792" ht="18" spans="1:11">
      <c r="A1792" s="10">
        <f t="shared" si="81"/>
        <v>1791</v>
      </c>
      <c r="B1792" s="11" t="s">
        <v>5720</v>
      </c>
      <c r="C1792" s="10" t="str">
        <f>IFERROR(INDEX(面试清单!D:D,MATCH(1791,面试清单!P:P,0)),"")</f>
        <v/>
      </c>
      <c r="D1792" s="11" t="s">
        <v>42</v>
      </c>
      <c r="E1792" s="11" t="s">
        <v>63</v>
      </c>
      <c r="F1792" s="11" t="s">
        <v>578</v>
      </c>
      <c r="G1792" s="15">
        <v>46162</v>
      </c>
      <c r="H1792" s="10" t="str">
        <f>IFERROR(INDEX(面试清单!H:H,MATCH(1791,面试清单!P:P,0)),"")</f>
        <v/>
      </c>
      <c r="I1792" s="13" t="s">
        <v>29</v>
      </c>
      <c r="J1792" s="10">
        <f ca="1" t="shared" si="82"/>
        <v>27</v>
      </c>
      <c r="K1792" s="10">
        <f ca="1" t="shared" si="83"/>
        <v>16</v>
      </c>
    </row>
    <row r="1793" ht="18" spans="1:11">
      <c r="A1793" s="14">
        <f t="shared" si="81"/>
        <v>1792</v>
      </c>
      <c r="B1793" s="11" t="s">
        <v>5721</v>
      </c>
      <c r="C1793" s="14" t="str">
        <f>IFERROR(INDEX(面试清单!D:D,MATCH(1792,面试清单!P:P,0)),"")</f>
        <v/>
      </c>
      <c r="D1793" s="11" t="s">
        <v>43</v>
      </c>
      <c r="E1793" s="11" t="s">
        <v>62</v>
      </c>
      <c r="F1793" s="11" t="s">
        <v>505</v>
      </c>
      <c r="G1793" s="15">
        <v>46162</v>
      </c>
      <c r="H1793" s="14" t="str">
        <f>IFERROR(INDEX(面试清单!H:H,MATCH(1792,面试清单!P:P,0)),"")</f>
        <v/>
      </c>
      <c r="I1793" s="13" t="s">
        <v>29</v>
      </c>
      <c r="J1793" s="14">
        <f ca="1" t="shared" si="82"/>
        <v>27</v>
      </c>
      <c r="K1793" s="14">
        <f ca="1" t="shared" si="83"/>
        <v>16</v>
      </c>
    </row>
    <row r="1794" ht="18" spans="1:11">
      <c r="A1794" s="10">
        <f t="shared" ref="A1794:A1857" si="84">IF(B1794&lt;&gt;"",ROW()-1,"")</f>
        <v>1793</v>
      </c>
      <c r="B1794" s="11" t="s">
        <v>5722</v>
      </c>
      <c r="C1794" s="10" t="str">
        <f>IFERROR(INDEX(面试清单!D:D,MATCH(1793,面试清单!P:P,0)),"")</f>
        <v/>
      </c>
      <c r="D1794" s="11" t="s">
        <v>42</v>
      </c>
      <c r="E1794" s="11" t="s">
        <v>63</v>
      </c>
      <c r="F1794" s="11" t="s">
        <v>103</v>
      </c>
      <c r="G1794" s="15">
        <v>46162</v>
      </c>
      <c r="H1794" s="10" t="str">
        <f>IFERROR(INDEX(面试清单!H:H,MATCH(1793,面试清单!P:P,0)),"")</f>
        <v/>
      </c>
      <c r="I1794" s="13" t="s">
        <v>29</v>
      </c>
      <c r="J1794" s="10">
        <f ca="1" t="shared" ref="J1794:J1857" si="85">IF(G1794&lt;&gt;"",TODAY()-G1794,"")</f>
        <v>27</v>
      </c>
      <c r="K1794" s="10">
        <f ca="1" t="shared" ref="K1794:K1857" si="86">IF(G1794&lt;&gt;"",MAX(0,MIN(TODAY(),EOMONTH(TODAY(),0))-MAX(G1794,EOMONTH(TODAY(),-1)+1)+1),"")</f>
        <v>16</v>
      </c>
    </row>
    <row r="1795" ht="18" spans="1:11">
      <c r="A1795" s="14">
        <f t="shared" si="84"/>
        <v>1794</v>
      </c>
      <c r="B1795" s="11" t="s">
        <v>5723</v>
      </c>
      <c r="C1795" s="14" t="str">
        <f>IFERROR(INDEX(面试清单!D:D,MATCH(1794,面试清单!P:P,0)),"")</f>
        <v/>
      </c>
      <c r="D1795" s="11" t="s">
        <v>42</v>
      </c>
      <c r="E1795" s="11" t="s">
        <v>62</v>
      </c>
      <c r="F1795" s="11" t="s">
        <v>173</v>
      </c>
      <c r="G1795" s="15">
        <v>46162</v>
      </c>
      <c r="H1795" s="14" t="str">
        <f>IFERROR(INDEX(面试清单!H:H,MATCH(1794,面试清单!P:P,0)),"")</f>
        <v/>
      </c>
      <c r="I1795" s="13" t="s">
        <v>29</v>
      </c>
      <c r="J1795" s="14">
        <f ca="1" t="shared" si="85"/>
        <v>27</v>
      </c>
      <c r="K1795" s="14">
        <f ca="1" t="shared" si="86"/>
        <v>16</v>
      </c>
    </row>
    <row r="1796" ht="18" spans="1:11">
      <c r="A1796" s="10">
        <f t="shared" si="84"/>
        <v>1795</v>
      </c>
      <c r="B1796" s="11" t="s">
        <v>5724</v>
      </c>
      <c r="C1796" s="10" t="str">
        <f>IFERROR(INDEX(面试清单!D:D,MATCH(1795,面试清单!P:P,0)),"")</f>
        <v/>
      </c>
      <c r="D1796" s="11" t="s">
        <v>42</v>
      </c>
      <c r="E1796" s="11" t="s">
        <v>64</v>
      </c>
      <c r="F1796" s="11" t="s">
        <v>179</v>
      </c>
      <c r="G1796" s="15">
        <v>46162</v>
      </c>
      <c r="H1796" s="10" t="str">
        <f>IFERROR(INDEX(面试清单!H:H,MATCH(1795,面试清单!P:P,0)),"")</f>
        <v/>
      </c>
      <c r="I1796" s="13" t="s">
        <v>29</v>
      </c>
      <c r="J1796" s="10">
        <f ca="1" t="shared" si="85"/>
        <v>27</v>
      </c>
      <c r="K1796" s="10">
        <f ca="1" t="shared" si="86"/>
        <v>16</v>
      </c>
    </row>
    <row r="1797" ht="18" spans="1:11">
      <c r="A1797" s="14">
        <f t="shared" si="84"/>
        <v>1796</v>
      </c>
      <c r="B1797" s="11" t="s">
        <v>5725</v>
      </c>
      <c r="C1797" s="14" t="str">
        <f>IFERROR(INDEX(面试清单!D:D,MATCH(1796,面试清单!P:P,0)),"")</f>
        <v/>
      </c>
      <c r="D1797" s="11" t="s">
        <v>43</v>
      </c>
      <c r="E1797" s="11" t="s">
        <v>63</v>
      </c>
      <c r="F1797" s="11" t="s">
        <v>179</v>
      </c>
      <c r="G1797" s="15">
        <v>46162</v>
      </c>
      <c r="H1797" s="14" t="str">
        <f>IFERROR(INDEX(面试清单!H:H,MATCH(1796,面试清单!P:P,0)),"")</f>
        <v/>
      </c>
      <c r="I1797" s="13" t="s">
        <v>29</v>
      </c>
      <c r="J1797" s="14">
        <f ca="1" t="shared" si="85"/>
        <v>27</v>
      </c>
      <c r="K1797" s="14">
        <f ca="1" t="shared" si="86"/>
        <v>16</v>
      </c>
    </row>
    <row r="1798" ht="18" spans="1:11">
      <c r="A1798" s="10">
        <f t="shared" si="84"/>
        <v>1797</v>
      </c>
      <c r="B1798" s="11" t="s">
        <v>5726</v>
      </c>
      <c r="C1798" s="10" t="str">
        <f>IFERROR(INDEX(面试清单!D:D,MATCH(1797,面试清单!P:P,0)),"")</f>
        <v/>
      </c>
      <c r="D1798" s="11" t="s">
        <v>43</v>
      </c>
      <c r="E1798" s="11" t="s">
        <v>63</v>
      </c>
      <c r="F1798" s="11" t="s">
        <v>132</v>
      </c>
      <c r="G1798" s="15">
        <v>46162</v>
      </c>
      <c r="H1798" s="10" t="str">
        <f>IFERROR(INDEX(面试清单!H:H,MATCH(1797,面试清单!P:P,0)),"")</f>
        <v/>
      </c>
      <c r="I1798" s="13" t="s">
        <v>29</v>
      </c>
      <c r="J1798" s="10">
        <f ca="1" t="shared" si="85"/>
        <v>27</v>
      </c>
      <c r="K1798" s="10">
        <f ca="1" t="shared" si="86"/>
        <v>16</v>
      </c>
    </row>
    <row r="1799" ht="18" spans="1:11">
      <c r="A1799" s="14">
        <f t="shared" si="84"/>
        <v>1798</v>
      </c>
      <c r="B1799" s="11" t="s">
        <v>5727</v>
      </c>
      <c r="C1799" s="124" t="str">
        <f>IFERROR(INDEX(面试清单!D:D,MATCH(1798,面试清单!P:P,0)),"")</f>
        <v>0209</v>
      </c>
      <c r="D1799" s="11" t="s">
        <v>74</v>
      </c>
      <c r="E1799" s="11" t="s">
        <v>190</v>
      </c>
      <c r="F1799" s="11" t="s">
        <v>179</v>
      </c>
      <c r="G1799" s="15">
        <v>46162</v>
      </c>
      <c r="H1799" s="14" t="str">
        <f>IFERROR(INDEX(面试清单!H:H,MATCH(1798,面试清单!P:P,0)),"")</f>
        <v>线上</v>
      </c>
      <c r="I1799" s="13" t="s">
        <v>29</v>
      </c>
      <c r="J1799" s="14">
        <f ca="1" t="shared" si="85"/>
        <v>27</v>
      </c>
      <c r="K1799" s="14">
        <f ca="1" t="shared" si="86"/>
        <v>16</v>
      </c>
    </row>
    <row r="1800" ht="18" spans="1:11">
      <c r="A1800" s="10">
        <f t="shared" si="84"/>
        <v>1799</v>
      </c>
      <c r="B1800" s="11" t="s">
        <v>5728</v>
      </c>
      <c r="C1800" s="125" t="str">
        <f>IFERROR(INDEX(面试清单!D:D,MATCH(1799,面试清单!P:P,0)),"")</f>
        <v>0212</v>
      </c>
      <c r="D1800" s="11" t="s">
        <v>74</v>
      </c>
      <c r="E1800" s="11" t="s">
        <v>64</v>
      </c>
      <c r="F1800" s="11" t="s">
        <v>117</v>
      </c>
      <c r="G1800" s="15">
        <v>46162</v>
      </c>
      <c r="H1800" s="10" t="str">
        <f>IFERROR(INDEX(面试清单!H:H,MATCH(1799,面试清单!P:P,0)),"")</f>
        <v>线上</v>
      </c>
      <c r="I1800" s="13" t="s">
        <v>29</v>
      </c>
      <c r="J1800" s="10">
        <f ca="1" t="shared" si="85"/>
        <v>27</v>
      </c>
      <c r="K1800" s="10">
        <f ca="1" t="shared" si="86"/>
        <v>16</v>
      </c>
    </row>
    <row r="1801" ht="18" spans="1:11">
      <c r="A1801" s="14">
        <f t="shared" si="84"/>
        <v>1800</v>
      </c>
      <c r="B1801" s="11" t="s">
        <v>5729</v>
      </c>
      <c r="C1801" s="124" t="str">
        <f>IFERROR(INDEX(面试清单!D:D,MATCH(1800,面试清单!P:P,0)),"")</f>
        <v>0214</v>
      </c>
      <c r="D1801" s="11" t="s">
        <v>74</v>
      </c>
      <c r="E1801" s="11" t="s">
        <v>64</v>
      </c>
      <c r="F1801" s="11" t="s">
        <v>117</v>
      </c>
      <c r="G1801" s="15">
        <v>46162</v>
      </c>
      <c r="H1801" s="14" t="str">
        <f>IFERROR(INDEX(面试清单!H:H,MATCH(1800,面试清单!P:P,0)),"")</f>
        <v>线上</v>
      </c>
      <c r="I1801" s="13" t="s">
        <v>29</v>
      </c>
      <c r="J1801" s="14">
        <f ca="1" t="shared" si="85"/>
        <v>27</v>
      </c>
      <c r="K1801" s="14">
        <f ca="1" t="shared" si="86"/>
        <v>16</v>
      </c>
    </row>
    <row r="1802" ht="18" spans="1:11">
      <c r="A1802" s="10">
        <f t="shared" si="84"/>
        <v>1801</v>
      </c>
      <c r="B1802" s="11" t="s">
        <v>5730</v>
      </c>
      <c r="C1802" s="10" t="str">
        <f>IFERROR(INDEX(面试清单!D:D,MATCH(1801,面试清单!P:P,0)),"")</f>
        <v/>
      </c>
      <c r="D1802" s="11" t="s">
        <v>74</v>
      </c>
      <c r="E1802" s="11" t="s">
        <v>64</v>
      </c>
      <c r="F1802" s="11" t="s">
        <v>117</v>
      </c>
      <c r="G1802" s="15">
        <v>46162</v>
      </c>
      <c r="H1802" s="10" t="str">
        <f>IFERROR(INDEX(面试清单!H:H,MATCH(1801,面试清单!P:P,0)),"")</f>
        <v/>
      </c>
      <c r="I1802" s="13" t="s">
        <v>29</v>
      </c>
      <c r="J1802" s="10">
        <f ca="1" t="shared" si="85"/>
        <v>27</v>
      </c>
      <c r="K1802" s="10">
        <f ca="1" t="shared" si="86"/>
        <v>16</v>
      </c>
    </row>
    <row r="1803" ht="18" spans="1:11">
      <c r="A1803" s="14">
        <f t="shared" si="84"/>
        <v>1802</v>
      </c>
      <c r="B1803" s="11" t="s">
        <v>5731</v>
      </c>
      <c r="C1803" s="124" t="str">
        <f>IFERROR(INDEX(面试清单!D:D,MATCH(1802,面试清单!P:P,0)),"")</f>
        <v>0218</v>
      </c>
      <c r="D1803" s="11" t="s">
        <v>74</v>
      </c>
      <c r="E1803" s="11" t="s">
        <v>64</v>
      </c>
      <c r="F1803" s="11" t="s">
        <v>124</v>
      </c>
      <c r="G1803" s="15">
        <v>46162</v>
      </c>
      <c r="H1803" s="14" t="str">
        <f>IFERROR(INDEX(面试清单!H:H,MATCH(1802,面试清单!P:P,0)),"")</f>
        <v>线上</v>
      </c>
      <c r="I1803" s="13" t="s">
        <v>29</v>
      </c>
      <c r="J1803" s="14">
        <f ca="1" t="shared" si="85"/>
        <v>27</v>
      </c>
      <c r="K1803" s="14">
        <f ca="1" t="shared" si="86"/>
        <v>16</v>
      </c>
    </row>
    <row r="1804" ht="18" spans="1:11">
      <c r="A1804" s="10">
        <f t="shared" si="84"/>
        <v>1803</v>
      </c>
      <c r="B1804" s="11" t="s">
        <v>5732</v>
      </c>
      <c r="C1804" s="10" t="str">
        <f>IFERROR(INDEX(面试清单!D:D,MATCH(1803,面试清单!P:P,0)),"")</f>
        <v/>
      </c>
      <c r="D1804" s="11" t="s">
        <v>74</v>
      </c>
      <c r="E1804" s="11" t="s">
        <v>64</v>
      </c>
      <c r="F1804" s="11" t="s">
        <v>124</v>
      </c>
      <c r="G1804" s="15">
        <v>46162</v>
      </c>
      <c r="H1804" s="10" t="str">
        <f>IFERROR(INDEX(面试清单!H:H,MATCH(1803,面试清单!P:P,0)),"")</f>
        <v/>
      </c>
      <c r="I1804" s="13" t="s">
        <v>29</v>
      </c>
      <c r="J1804" s="10">
        <f ca="1" t="shared" si="85"/>
        <v>27</v>
      </c>
      <c r="K1804" s="10">
        <f ca="1" t="shared" si="86"/>
        <v>16</v>
      </c>
    </row>
    <row r="1805" ht="18" spans="1:11">
      <c r="A1805" s="14">
        <f t="shared" si="84"/>
        <v>1804</v>
      </c>
      <c r="B1805" s="11" t="s">
        <v>5733</v>
      </c>
      <c r="C1805" s="124" t="str">
        <f>IFERROR(INDEX(面试清单!D:D,MATCH(1804,面试清单!P:P,0)),"")</f>
        <v>0221</v>
      </c>
      <c r="D1805" s="11" t="s">
        <v>43</v>
      </c>
      <c r="E1805" s="11" t="s">
        <v>62</v>
      </c>
      <c r="F1805" s="11" t="s">
        <v>129</v>
      </c>
      <c r="G1805" s="15">
        <v>46163</v>
      </c>
      <c r="H1805" s="14" t="str">
        <f>IFERROR(INDEX(面试清单!H:H,MATCH(1804,面试清单!P:P,0)),"")</f>
        <v>线上</v>
      </c>
      <c r="I1805" s="13" t="s">
        <v>29</v>
      </c>
      <c r="J1805" s="14">
        <f ca="1" t="shared" si="85"/>
        <v>26</v>
      </c>
      <c r="K1805" s="14">
        <f ca="1" t="shared" si="86"/>
        <v>16</v>
      </c>
    </row>
    <row r="1806" ht="18" spans="1:11">
      <c r="A1806" s="10">
        <f t="shared" si="84"/>
        <v>1805</v>
      </c>
      <c r="B1806" s="11" t="s">
        <v>5734</v>
      </c>
      <c r="C1806" s="10" t="str">
        <f>IFERROR(INDEX(面试清单!D:D,MATCH(1805,面试清单!P:P,0)),"")</f>
        <v/>
      </c>
      <c r="D1806" s="11" t="s">
        <v>42</v>
      </c>
      <c r="E1806" s="11" t="s">
        <v>63</v>
      </c>
      <c r="F1806" s="11" t="s">
        <v>129</v>
      </c>
      <c r="G1806" s="15">
        <v>46163</v>
      </c>
      <c r="H1806" s="10" t="str">
        <f>IFERROR(INDEX(面试清单!H:H,MATCH(1805,面试清单!P:P,0)),"")</f>
        <v/>
      </c>
      <c r="I1806" s="13" t="s">
        <v>29</v>
      </c>
      <c r="J1806" s="10">
        <f ca="1" t="shared" si="85"/>
        <v>26</v>
      </c>
      <c r="K1806" s="10">
        <f ca="1" t="shared" si="86"/>
        <v>16</v>
      </c>
    </row>
    <row r="1807" ht="18" spans="1:11">
      <c r="A1807" s="14">
        <f t="shared" si="84"/>
        <v>1806</v>
      </c>
      <c r="B1807" s="11" t="s">
        <v>5735</v>
      </c>
      <c r="C1807" s="14" t="str">
        <f>IFERROR(INDEX(面试清单!D:D,MATCH(1806,面试清单!P:P,0)),"")</f>
        <v/>
      </c>
      <c r="D1807" s="11" t="s">
        <v>42</v>
      </c>
      <c r="E1807" s="11" t="s">
        <v>62</v>
      </c>
      <c r="F1807" s="11" t="s">
        <v>129</v>
      </c>
      <c r="G1807" s="15">
        <v>46163</v>
      </c>
      <c r="H1807" s="14" t="str">
        <f>IFERROR(INDEX(面试清单!H:H,MATCH(1806,面试清单!P:P,0)),"")</f>
        <v/>
      </c>
      <c r="I1807" s="13" t="s">
        <v>29</v>
      </c>
      <c r="J1807" s="14">
        <f ca="1" t="shared" si="85"/>
        <v>26</v>
      </c>
      <c r="K1807" s="14">
        <f ca="1" t="shared" si="86"/>
        <v>16</v>
      </c>
    </row>
    <row r="1808" ht="18" spans="1:11">
      <c r="A1808" s="10">
        <f t="shared" si="84"/>
        <v>1807</v>
      </c>
      <c r="B1808" s="11" t="s">
        <v>5736</v>
      </c>
      <c r="C1808" s="10" t="str">
        <f>IFERROR(INDEX(面试清单!D:D,MATCH(1807,面试清单!P:P,0)),"")</f>
        <v/>
      </c>
      <c r="D1808" s="11" t="s">
        <v>42</v>
      </c>
      <c r="E1808" s="11" t="s">
        <v>62</v>
      </c>
      <c r="F1808" s="11" t="s">
        <v>110</v>
      </c>
      <c r="G1808" s="15">
        <v>46163</v>
      </c>
      <c r="H1808" s="10" t="str">
        <f>IFERROR(INDEX(面试清单!H:H,MATCH(1807,面试清单!P:P,0)),"")</f>
        <v/>
      </c>
      <c r="I1808" s="13" t="s">
        <v>29</v>
      </c>
      <c r="J1808" s="10">
        <f ca="1" t="shared" si="85"/>
        <v>26</v>
      </c>
      <c r="K1808" s="10">
        <f ca="1" t="shared" si="86"/>
        <v>16</v>
      </c>
    </row>
    <row r="1809" ht="18" spans="1:11">
      <c r="A1809" s="14">
        <f t="shared" si="84"/>
        <v>1808</v>
      </c>
      <c r="B1809" s="11" t="s">
        <v>5737</v>
      </c>
      <c r="C1809" s="14" t="str">
        <f>IFERROR(INDEX(面试清单!D:D,MATCH(1808,面试清单!P:P,0)),"")</f>
        <v/>
      </c>
      <c r="D1809" s="11" t="s">
        <v>42</v>
      </c>
      <c r="E1809" s="11" t="s">
        <v>62</v>
      </c>
      <c r="F1809" s="11" t="s">
        <v>148</v>
      </c>
      <c r="G1809" s="15">
        <v>46163</v>
      </c>
      <c r="H1809" s="14" t="str">
        <f>IFERROR(INDEX(面试清单!H:H,MATCH(1808,面试清单!P:P,0)),"")</f>
        <v/>
      </c>
      <c r="I1809" s="13" t="s">
        <v>29</v>
      </c>
      <c r="J1809" s="14">
        <f ca="1" t="shared" si="85"/>
        <v>26</v>
      </c>
      <c r="K1809" s="14">
        <f ca="1" t="shared" si="86"/>
        <v>16</v>
      </c>
    </row>
    <row r="1810" ht="18" spans="1:11">
      <c r="A1810" s="10">
        <f t="shared" si="84"/>
        <v>1809</v>
      </c>
      <c r="B1810" s="11" t="s">
        <v>5738</v>
      </c>
      <c r="C1810" s="10" t="str">
        <f>IFERROR(INDEX(面试清单!D:D,MATCH(1809,面试清单!P:P,0)),"")</f>
        <v/>
      </c>
      <c r="D1810" s="11" t="s">
        <v>42</v>
      </c>
      <c r="E1810" s="11" t="s">
        <v>62</v>
      </c>
      <c r="F1810" s="11" t="s">
        <v>103</v>
      </c>
      <c r="G1810" s="15">
        <v>46163</v>
      </c>
      <c r="H1810" s="10" t="str">
        <f>IFERROR(INDEX(面试清单!H:H,MATCH(1809,面试清单!P:P,0)),"")</f>
        <v/>
      </c>
      <c r="I1810" s="13" t="s">
        <v>29</v>
      </c>
      <c r="J1810" s="10">
        <f ca="1" t="shared" si="85"/>
        <v>26</v>
      </c>
      <c r="K1810" s="10">
        <f ca="1" t="shared" si="86"/>
        <v>16</v>
      </c>
    </row>
    <row r="1811" ht="18" spans="1:11">
      <c r="A1811" s="14">
        <f t="shared" si="84"/>
        <v>1810</v>
      </c>
      <c r="B1811" s="11" t="s">
        <v>5739</v>
      </c>
      <c r="C1811" s="124" t="str">
        <f>IFERROR(INDEX(面试清单!D:D,MATCH(1810,面试清单!P:P,0)),"")</f>
        <v>0217</v>
      </c>
      <c r="D1811" s="11" t="s">
        <v>42</v>
      </c>
      <c r="E1811" s="11" t="s">
        <v>62</v>
      </c>
      <c r="F1811" s="11" t="s">
        <v>103</v>
      </c>
      <c r="G1811" s="15">
        <v>46163</v>
      </c>
      <c r="H1811" s="14" t="str">
        <f>IFERROR(INDEX(面试清单!H:H,MATCH(1810,面试清单!P:P,0)),"")</f>
        <v>线上</v>
      </c>
      <c r="I1811" s="13" t="s">
        <v>29</v>
      </c>
      <c r="J1811" s="14">
        <f ca="1" t="shared" si="85"/>
        <v>26</v>
      </c>
      <c r="K1811" s="14">
        <f ca="1" t="shared" si="86"/>
        <v>16</v>
      </c>
    </row>
    <row r="1812" ht="18" spans="1:11">
      <c r="A1812" s="10">
        <f t="shared" si="84"/>
        <v>1811</v>
      </c>
      <c r="B1812" s="11" t="s">
        <v>5740</v>
      </c>
      <c r="C1812" s="10" t="str">
        <f>IFERROR(INDEX(面试清单!D:D,MATCH(1811,面试清单!P:P,0)),"")</f>
        <v/>
      </c>
      <c r="D1812" s="11" t="s">
        <v>43</v>
      </c>
      <c r="E1812" s="11" t="s">
        <v>62</v>
      </c>
      <c r="F1812" s="11" t="s">
        <v>103</v>
      </c>
      <c r="G1812" s="15">
        <v>46163</v>
      </c>
      <c r="H1812" s="10" t="str">
        <f>IFERROR(INDEX(面试清单!H:H,MATCH(1811,面试清单!P:P,0)),"")</f>
        <v/>
      </c>
      <c r="I1812" s="13" t="s">
        <v>29</v>
      </c>
      <c r="J1812" s="10">
        <f ca="1" t="shared" si="85"/>
        <v>26</v>
      </c>
      <c r="K1812" s="10">
        <f ca="1" t="shared" si="86"/>
        <v>16</v>
      </c>
    </row>
    <row r="1813" ht="18" spans="1:11">
      <c r="A1813" s="14">
        <f t="shared" si="84"/>
        <v>1812</v>
      </c>
      <c r="B1813" s="11" t="s">
        <v>5741</v>
      </c>
      <c r="C1813" s="124" t="str">
        <f>IFERROR(INDEX(面试清单!D:D,MATCH(1812,面试清单!P:P,0)),"")</f>
        <v>0220</v>
      </c>
      <c r="D1813" s="11" t="s">
        <v>42</v>
      </c>
      <c r="E1813" s="11" t="s">
        <v>63</v>
      </c>
      <c r="F1813" s="11" t="s">
        <v>135</v>
      </c>
      <c r="G1813" s="15">
        <v>46163</v>
      </c>
      <c r="H1813" s="14" t="str">
        <f>IFERROR(INDEX(面试清单!H:H,MATCH(1812,面试清单!P:P,0)),"")</f>
        <v>线上</v>
      </c>
      <c r="I1813" s="13" t="s">
        <v>29</v>
      </c>
      <c r="J1813" s="14">
        <f ca="1" t="shared" si="85"/>
        <v>26</v>
      </c>
      <c r="K1813" s="14">
        <f ca="1" t="shared" si="86"/>
        <v>16</v>
      </c>
    </row>
    <row r="1814" ht="18" spans="1:11">
      <c r="A1814" s="10">
        <f t="shared" si="84"/>
        <v>1813</v>
      </c>
      <c r="B1814" s="11" t="s">
        <v>5742</v>
      </c>
      <c r="C1814" s="125" t="str">
        <f>IFERROR(INDEX(面试清单!D:D,MATCH(1813,面试清单!P:P,0)),"")</f>
        <v>0221</v>
      </c>
      <c r="D1814" s="11" t="s">
        <v>43</v>
      </c>
      <c r="E1814" s="11" t="s">
        <v>62</v>
      </c>
      <c r="F1814" s="11" t="s">
        <v>233</v>
      </c>
      <c r="G1814" s="15">
        <v>46163</v>
      </c>
      <c r="H1814" s="10" t="str">
        <f>IFERROR(INDEX(面试清单!H:H,MATCH(1813,面试清单!P:P,0)),"")</f>
        <v>线上</v>
      </c>
      <c r="I1814" s="13" t="s">
        <v>29</v>
      </c>
      <c r="J1814" s="10">
        <f ca="1" t="shared" si="85"/>
        <v>26</v>
      </c>
      <c r="K1814" s="10">
        <f ca="1" t="shared" si="86"/>
        <v>16</v>
      </c>
    </row>
    <row r="1815" ht="18" spans="1:11">
      <c r="A1815" s="14">
        <f t="shared" si="84"/>
        <v>1814</v>
      </c>
      <c r="B1815" s="11" t="s">
        <v>5743</v>
      </c>
      <c r="C1815" s="124" t="str">
        <f>IFERROR(INDEX(面试清单!D:D,MATCH(1814,面试清单!P:P,0)),"")</f>
        <v>0222</v>
      </c>
      <c r="D1815" s="11" t="s">
        <v>43</v>
      </c>
      <c r="E1815" s="11" t="s">
        <v>62</v>
      </c>
      <c r="F1815" s="11" t="s">
        <v>233</v>
      </c>
      <c r="G1815" s="15">
        <v>46163</v>
      </c>
      <c r="H1815" s="14" t="str">
        <f>IFERROR(INDEX(面试清单!H:H,MATCH(1814,面试清单!P:P,0)),"")</f>
        <v>线上</v>
      </c>
      <c r="I1815" s="13" t="s">
        <v>29</v>
      </c>
      <c r="J1815" s="14">
        <f ca="1" t="shared" si="85"/>
        <v>26</v>
      </c>
      <c r="K1815" s="14">
        <f ca="1" t="shared" si="86"/>
        <v>16</v>
      </c>
    </row>
    <row r="1816" ht="18" spans="1:11">
      <c r="A1816" s="10">
        <f t="shared" si="84"/>
        <v>1815</v>
      </c>
      <c r="B1816" s="11" t="s">
        <v>5744</v>
      </c>
      <c r="C1816" s="10" t="str">
        <f>IFERROR(INDEX(面试清单!D:D,MATCH(1815,面试清单!P:P,0)),"")</f>
        <v/>
      </c>
      <c r="D1816" s="11" t="s">
        <v>43</v>
      </c>
      <c r="E1816" s="11" t="s">
        <v>62</v>
      </c>
      <c r="F1816" s="11" t="s">
        <v>690</v>
      </c>
      <c r="G1816" s="15">
        <v>46163</v>
      </c>
      <c r="H1816" s="10" t="str">
        <f>IFERROR(INDEX(面试清单!H:H,MATCH(1815,面试清单!P:P,0)),"")</f>
        <v/>
      </c>
      <c r="I1816" s="13" t="s">
        <v>29</v>
      </c>
      <c r="J1816" s="10">
        <f ca="1" t="shared" si="85"/>
        <v>26</v>
      </c>
      <c r="K1816" s="10">
        <f ca="1" t="shared" si="86"/>
        <v>16</v>
      </c>
    </row>
    <row r="1817" ht="18" spans="1:11">
      <c r="A1817" s="14">
        <f t="shared" si="84"/>
        <v>1816</v>
      </c>
      <c r="B1817" s="11" t="s">
        <v>5745</v>
      </c>
      <c r="C1817" s="124" t="str">
        <f>IFERROR(INDEX(面试清单!D:D,MATCH(1816,面试清单!P:P,0)),"")</f>
        <v>0209</v>
      </c>
      <c r="D1817" s="11" t="s">
        <v>43</v>
      </c>
      <c r="E1817" s="11" t="s">
        <v>62</v>
      </c>
      <c r="F1817" s="11" t="s">
        <v>246</v>
      </c>
      <c r="G1817" s="15">
        <v>46163</v>
      </c>
      <c r="H1817" s="14" t="str">
        <f>IFERROR(INDEX(面试清单!H:H,MATCH(1816,面试清单!P:P,0)),"")</f>
        <v>线上</v>
      </c>
      <c r="I1817" s="13" t="s">
        <v>29</v>
      </c>
      <c r="J1817" s="14">
        <f ca="1" t="shared" si="85"/>
        <v>26</v>
      </c>
      <c r="K1817" s="14">
        <f ca="1" t="shared" si="86"/>
        <v>16</v>
      </c>
    </row>
    <row r="1818" ht="18" spans="1:11">
      <c r="A1818" s="10">
        <f t="shared" si="84"/>
        <v>1817</v>
      </c>
      <c r="B1818" s="11" t="s">
        <v>5746</v>
      </c>
      <c r="C1818" s="125" t="str">
        <f>IFERROR(INDEX(面试清单!D:D,MATCH(1817,面试清单!P:P,0)),"")</f>
        <v>0212</v>
      </c>
      <c r="D1818" s="11" t="s">
        <v>42</v>
      </c>
      <c r="E1818" s="11" t="s">
        <v>62</v>
      </c>
      <c r="F1818" s="11" t="s">
        <v>3348</v>
      </c>
      <c r="G1818" s="15">
        <v>46163</v>
      </c>
      <c r="H1818" s="10" t="str">
        <f>IFERROR(INDEX(面试清单!H:H,MATCH(1817,面试清单!P:P,0)),"")</f>
        <v>线上</v>
      </c>
      <c r="I1818" s="13" t="s">
        <v>29</v>
      </c>
      <c r="J1818" s="10">
        <f ca="1" t="shared" si="85"/>
        <v>26</v>
      </c>
      <c r="K1818" s="10">
        <f ca="1" t="shared" si="86"/>
        <v>16</v>
      </c>
    </row>
    <row r="1819" ht="18" spans="1:11">
      <c r="A1819" s="14">
        <f t="shared" si="84"/>
        <v>1818</v>
      </c>
      <c r="B1819" s="11" t="s">
        <v>5747</v>
      </c>
      <c r="C1819" s="14" t="str">
        <f>IFERROR(INDEX(面试清单!D:D,MATCH(1818,面试清单!P:P,0)),"")</f>
        <v/>
      </c>
      <c r="D1819" s="11" t="s">
        <v>43</v>
      </c>
      <c r="E1819" s="11" t="s">
        <v>62</v>
      </c>
      <c r="F1819" s="11" t="s">
        <v>132</v>
      </c>
      <c r="G1819" s="15">
        <v>46163</v>
      </c>
      <c r="H1819" s="14" t="str">
        <f>IFERROR(INDEX(面试清单!H:H,MATCH(1818,面试清单!P:P,0)),"")</f>
        <v/>
      </c>
      <c r="I1819" s="13" t="s">
        <v>29</v>
      </c>
      <c r="J1819" s="14">
        <f ca="1" t="shared" si="85"/>
        <v>26</v>
      </c>
      <c r="K1819" s="14">
        <f ca="1" t="shared" si="86"/>
        <v>16</v>
      </c>
    </row>
    <row r="1820" ht="18" spans="1:11">
      <c r="A1820" s="10">
        <f t="shared" si="84"/>
        <v>1819</v>
      </c>
      <c r="B1820" s="11" t="s">
        <v>5748</v>
      </c>
      <c r="C1820" s="10" t="str">
        <f>IFERROR(INDEX(面试清单!D:D,MATCH(1819,面试清单!P:P,0)),"")</f>
        <v/>
      </c>
      <c r="D1820" s="11" t="s">
        <v>43</v>
      </c>
      <c r="E1820" s="11" t="s">
        <v>62</v>
      </c>
      <c r="F1820" s="11" t="s">
        <v>132</v>
      </c>
      <c r="G1820" s="15">
        <v>46163</v>
      </c>
      <c r="H1820" s="10" t="str">
        <f>IFERROR(INDEX(面试清单!H:H,MATCH(1819,面试清单!P:P,0)),"")</f>
        <v/>
      </c>
      <c r="I1820" s="13" t="s">
        <v>29</v>
      </c>
      <c r="J1820" s="10">
        <f ca="1" t="shared" si="85"/>
        <v>26</v>
      </c>
      <c r="K1820" s="10">
        <f ca="1" t="shared" si="86"/>
        <v>16</v>
      </c>
    </row>
    <row r="1821" ht="18" spans="1:11">
      <c r="A1821" s="14">
        <f t="shared" si="84"/>
        <v>1820</v>
      </c>
      <c r="B1821" s="11" t="s">
        <v>5749</v>
      </c>
      <c r="C1821" s="124" t="str">
        <f>IFERROR(INDEX(面试清单!D:D,MATCH(1820,面试清单!P:P,0)),"")</f>
        <v>0218</v>
      </c>
      <c r="D1821" s="11" t="s">
        <v>43</v>
      </c>
      <c r="E1821" s="11" t="s">
        <v>62</v>
      </c>
      <c r="F1821" s="11" t="s">
        <v>132</v>
      </c>
      <c r="G1821" s="15">
        <v>46163</v>
      </c>
      <c r="H1821" s="14" t="str">
        <f>IFERROR(INDEX(面试清单!H:H,MATCH(1820,面试清单!P:P,0)),"")</f>
        <v>线上</v>
      </c>
      <c r="I1821" s="13" t="s">
        <v>29</v>
      </c>
      <c r="J1821" s="14">
        <f ca="1" t="shared" si="85"/>
        <v>26</v>
      </c>
      <c r="K1821" s="14">
        <f ca="1" t="shared" si="86"/>
        <v>16</v>
      </c>
    </row>
    <row r="1822" ht="18" spans="1:11">
      <c r="A1822" s="10">
        <f t="shared" si="84"/>
        <v>1821</v>
      </c>
      <c r="B1822" s="11" t="s">
        <v>5750</v>
      </c>
      <c r="C1822" s="125" t="str">
        <f>IFERROR(INDEX(面试清单!D:D,MATCH(1821,面试清单!P:P,0)),"")</f>
        <v>0220</v>
      </c>
      <c r="D1822" s="11" t="s">
        <v>43</v>
      </c>
      <c r="E1822" s="11" t="s">
        <v>62</v>
      </c>
      <c r="F1822" s="11" t="s">
        <v>132</v>
      </c>
      <c r="G1822" s="15">
        <v>46163</v>
      </c>
      <c r="H1822" s="10" t="str">
        <f>IFERROR(INDEX(面试清单!H:H,MATCH(1821,面试清单!P:P,0)),"")</f>
        <v>线上</v>
      </c>
      <c r="I1822" s="13" t="s">
        <v>29</v>
      </c>
      <c r="J1822" s="10">
        <f ca="1" t="shared" si="85"/>
        <v>26</v>
      </c>
      <c r="K1822" s="10">
        <f ca="1" t="shared" si="86"/>
        <v>16</v>
      </c>
    </row>
    <row r="1823" ht="18" spans="1:11">
      <c r="A1823" s="14">
        <f t="shared" si="84"/>
        <v>1822</v>
      </c>
      <c r="B1823" s="11" t="s">
        <v>5751</v>
      </c>
      <c r="C1823" s="124" t="str">
        <f>IFERROR(INDEX(面试清单!D:D,MATCH(1822,面试清单!P:P,0)),"")</f>
        <v>0221</v>
      </c>
      <c r="D1823" s="11" t="s">
        <v>42</v>
      </c>
      <c r="E1823" s="11" t="s">
        <v>62</v>
      </c>
      <c r="F1823" s="11" t="s">
        <v>132</v>
      </c>
      <c r="G1823" s="15">
        <v>46163</v>
      </c>
      <c r="H1823" s="14" t="str">
        <f>IFERROR(INDEX(面试清单!H:H,MATCH(1822,面试清单!P:P,0)),"")</f>
        <v>线上</v>
      </c>
      <c r="I1823" s="13" t="s">
        <v>29</v>
      </c>
      <c r="J1823" s="14">
        <f ca="1" t="shared" si="85"/>
        <v>26</v>
      </c>
      <c r="K1823" s="14">
        <f ca="1" t="shared" si="86"/>
        <v>16</v>
      </c>
    </row>
    <row r="1824" ht="18" spans="1:11">
      <c r="A1824" s="10">
        <f t="shared" si="84"/>
        <v>1823</v>
      </c>
      <c r="B1824" s="11" t="s">
        <v>5752</v>
      </c>
      <c r="C1824" s="125" t="str">
        <f>IFERROR(INDEX(面试清单!D:D,MATCH(1823,面试清单!P:P,0)),"")</f>
        <v>0222</v>
      </c>
      <c r="D1824" s="11" t="s">
        <v>42</v>
      </c>
      <c r="E1824" s="11" t="s">
        <v>63</v>
      </c>
      <c r="F1824" s="11" t="s">
        <v>173</v>
      </c>
      <c r="G1824" s="15">
        <v>46163</v>
      </c>
      <c r="H1824" s="10" t="str">
        <f>IFERROR(INDEX(面试清单!H:H,MATCH(1823,面试清单!P:P,0)),"")</f>
        <v>线上</v>
      </c>
      <c r="I1824" s="13" t="s">
        <v>29</v>
      </c>
      <c r="J1824" s="10">
        <f ca="1" t="shared" si="85"/>
        <v>26</v>
      </c>
      <c r="K1824" s="10">
        <f ca="1" t="shared" si="86"/>
        <v>16</v>
      </c>
    </row>
    <row r="1825" ht="18" spans="1:11">
      <c r="A1825" s="14">
        <f t="shared" si="84"/>
        <v>1824</v>
      </c>
      <c r="B1825" s="11" t="s">
        <v>5753</v>
      </c>
      <c r="C1825" s="124" t="str">
        <f>IFERROR(INDEX(面试清单!D:D,MATCH(1824,面试清单!P:P,0)),"")</f>
        <v>0208</v>
      </c>
      <c r="D1825" s="11" t="s">
        <v>42</v>
      </c>
      <c r="E1825" s="11" t="s">
        <v>63</v>
      </c>
      <c r="F1825" s="11" t="s">
        <v>173</v>
      </c>
      <c r="G1825" s="15">
        <v>46163</v>
      </c>
      <c r="H1825" s="14" t="str">
        <f>IFERROR(INDEX(面试清单!H:H,MATCH(1824,面试清单!P:P,0)),"")</f>
        <v>线上</v>
      </c>
      <c r="I1825" s="13" t="s">
        <v>29</v>
      </c>
      <c r="J1825" s="14">
        <f ca="1" t="shared" si="85"/>
        <v>26</v>
      </c>
      <c r="K1825" s="14">
        <f ca="1" t="shared" si="86"/>
        <v>16</v>
      </c>
    </row>
    <row r="1826" ht="18" spans="1:11">
      <c r="A1826" s="10">
        <f t="shared" si="84"/>
        <v>1825</v>
      </c>
      <c r="B1826" s="11" t="s">
        <v>5754</v>
      </c>
      <c r="C1826" s="125" t="str">
        <f>IFERROR(INDEX(面试清单!D:D,MATCH(1825,面试清单!P:P,0)),"")</f>
        <v>0208</v>
      </c>
      <c r="D1826" s="11" t="s">
        <v>42</v>
      </c>
      <c r="E1826" s="11" t="s">
        <v>62</v>
      </c>
      <c r="F1826" s="11" t="s">
        <v>103</v>
      </c>
      <c r="G1826" s="15">
        <v>46163</v>
      </c>
      <c r="H1826" s="10" t="str">
        <f>IFERROR(INDEX(面试清单!H:H,MATCH(1825,面试清单!P:P,0)),"")</f>
        <v>线上</v>
      </c>
      <c r="I1826" s="13" t="s">
        <v>29</v>
      </c>
      <c r="J1826" s="10">
        <f ca="1" t="shared" si="85"/>
        <v>26</v>
      </c>
      <c r="K1826" s="10">
        <f ca="1" t="shared" si="86"/>
        <v>16</v>
      </c>
    </row>
    <row r="1827" ht="18" spans="1:11">
      <c r="A1827" s="14">
        <f t="shared" si="84"/>
        <v>1826</v>
      </c>
      <c r="B1827" s="11" t="s">
        <v>5755</v>
      </c>
      <c r="C1827" s="14" t="str">
        <f>IFERROR(INDEX(面试清单!D:D,MATCH(1826,面试清单!P:P,0)),"")</f>
        <v/>
      </c>
      <c r="D1827" s="11" t="s">
        <v>42</v>
      </c>
      <c r="E1827" s="11" t="s">
        <v>62</v>
      </c>
      <c r="F1827" s="11" t="s">
        <v>179</v>
      </c>
      <c r="G1827" s="15">
        <v>46163</v>
      </c>
      <c r="H1827" s="14" t="str">
        <f>IFERROR(INDEX(面试清单!H:H,MATCH(1826,面试清单!P:P,0)),"")</f>
        <v/>
      </c>
      <c r="I1827" s="13" t="s">
        <v>29</v>
      </c>
      <c r="J1827" s="14">
        <f ca="1" t="shared" si="85"/>
        <v>26</v>
      </c>
      <c r="K1827" s="14">
        <f ca="1" t="shared" si="86"/>
        <v>16</v>
      </c>
    </row>
    <row r="1828" ht="18" spans="1:11">
      <c r="A1828" s="10">
        <f t="shared" si="84"/>
        <v>1827</v>
      </c>
      <c r="B1828" s="11" t="s">
        <v>1876</v>
      </c>
      <c r="C1828" s="10" t="str">
        <f>IFERROR(INDEX(面试清单!D:D,MATCH(1827,面试清单!P:P,0)),"")</f>
        <v/>
      </c>
      <c r="D1828" s="11" t="s">
        <v>42</v>
      </c>
      <c r="E1828" s="11" t="s">
        <v>63</v>
      </c>
      <c r="F1828" s="11" t="s">
        <v>129</v>
      </c>
      <c r="G1828" s="15">
        <v>46163</v>
      </c>
      <c r="H1828" s="10" t="str">
        <f>IFERROR(INDEX(面试清单!H:H,MATCH(1827,面试清单!P:P,0)),"")</f>
        <v/>
      </c>
      <c r="I1828" s="13" t="s">
        <v>29</v>
      </c>
      <c r="J1828" s="10">
        <f ca="1" t="shared" si="85"/>
        <v>26</v>
      </c>
      <c r="K1828" s="10">
        <f ca="1" t="shared" si="86"/>
        <v>16</v>
      </c>
    </row>
    <row r="1829" ht="18" spans="1:11">
      <c r="A1829" s="14">
        <f t="shared" si="84"/>
        <v>1828</v>
      </c>
      <c r="B1829" s="11" t="s">
        <v>5756</v>
      </c>
      <c r="C1829" s="124" t="str">
        <f>IFERROR(INDEX(面试清单!D:D,MATCH(1828,面试清单!P:P,0)),"")</f>
        <v>0214</v>
      </c>
      <c r="D1829" s="11" t="s">
        <v>42</v>
      </c>
      <c r="E1829" s="11" t="s">
        <v>62</v>
      </c>
      <c r="F1829" s="11" t="s">
        <v>505</v>
      </c>
      <c r="G1829" s="15">
        <v>46163</v>
      </c>
      <c r="H1829" s="14" t="str">
        <f>IFERROR(INDEX(面试清单!H:H,MATCH(1828,面试清单!P:P,0)),"")</f>
        <v>线上</v>
      </c>
      <c r="I1829" s="13" t="s">
        <v>29</v>
      </c>
      <c r="J1829" s="14">
        <f ca="1" t="shared" si="85"/>
        <v>26</v>
      </c>
      <c r="K1829" s="14">
        <f ca="1" t="shared" si="86"/>
        <v>16</v>
      </c>
    </row>
    <row r="1830" ht="18" spans="1:11">
      <c r="A1830" s="10">
        <f t="shared" si="84"/>
        <v>1829</v>
      </c>
      <c r="B1830" s="11" t="s">
        <v>5757</v>
      </c>
      <c r="C1830" s="10" t="str">
        <f>IFERROR(INDEX(面试清单!D:D,MATCH(1829,面试清单!P:P,0)),"")</f>
        <v/>
      </c>
      <c r="D1830" s="11" t="s">
        <v>43</v>
      </c>
      <c r="E1830" s="11" t="s">
        <v>62</v>
      </c>
      <c r="F1830" s="11" t="s">
        <v>110</v>
      </c>
      <c r="G1830" s="15">
        <v>46163</v>
      </c>
      <c r="H1830" s="10" t="str">
        <f>IFERROR(INDEX(面试清单!H:H,MATCH(1829,面试清单!P:P,0)),"")</f>
        <v/>
      </c>
      <c r="I1830" s="13" t="s">
        <v>29</v>
      </c>
      <c r="J1830" s="10">
        <f ca="1" t="shared" si="85"/>
        <v>26</v>
      </c>
      <c r="K1830" s="10">
        <f ca="1" t="shared" si="86"/>
        <v>16</v>
      </c>
    </row>
    <row r="1831" ht="18" spans="1:11">
      <c r="A1831" s="14">
        <f t="shared" si="84"/>
        <v>1830</v>
      </c>
      <c r="B1831" s="11" t="s">
        <v>5758</v>
      </c>
      <c r="C1831" s="14" t="str">
        <f>IFERROR(INDEX(面试清单!D:D,MATCH(1830,面试清单!P:P,0)),"")</f>
        <v/>
      </c>
      <c r="D1831" s="11" t="s">
        <v>42</v>
      </c>
      <c r="E1831" s="11" t="s">
        <v>64</v>
      </c>
      <c r="F1831" s="11" t="s">
        <v>124</v>
      </c>
      <c r="G1831" s="15">
        <v>46163</v>
      </c>
      <c r="H1831" s="14" t="str">
        <f>IFERROR(INDEX(面试清单!H:H,MATCH(1830,面试清单!P:P,0)),"")</f>
        <v/>
      </c>
      <c r="I1831" s="13" t="s">
        <v>29</v>
      </c>
      <c r="J1831" s="14">
        <f ca="1" t="shared" si="85"/>
        <v>26</v>
      </c>
      <c r="K1831" s="14">
        <f ca="1" t="shared" si="86"/>
        <v>16</v>
      </c>
    </row>
    <row r="1832" ht="36" spans="1:11">
      <c r="A1832" s="10">
        <f t="shared" si="84"/>
        <v>1831</v>
      </c>
      <c r="B1832" s="11" t="s">
        <v>5759</v>
      </c>
      <c r="C1832" s="10" t="str">
        <f>IFERROR(INDEX(面试清单!D:D,MATCH(1831,面试清单!P:P,0)),"")</f>
        <v/>
      </c>
      <c r="D1832" s="11" t="s">
        <v>43</v>
      </c>
      <c r="E1832" s="11" t="s">
        <v>62</v>
      </c>
      <c r="F1832" s="11" t="s">
        <v>179</v>
      </c>
      <c r="G1832" s="15">
        <v>46163</v>
      </c>
      <c r="H1832" s="10" t="str">
        <f>IFERROR(INDEX(面试清单!H:H,MATCH(1831,面试清单!P:P,0)),"")</f>
        <v/>
      </c>
      <c r="I1832" s="13" t="s">
        <v>29</v>
      </c>
      <c r="J1832" s="10">
        <f ca="1" t="shared" si="85"/>
        <v>26</v>
      </c>
      <c r="K1832" s="10">
        <f ca="1" t="shared" si="86"/>
        <v>16</v>
      </c>
    </row>
    <row r="1833" ht="18" spans="1:11">
      <c r="A1833" s="14">
        <f t="shared" si="84"/>
        <v>1832</v>
      </c>
      <c r="B1833" s="11" t="s">
        <v>5760</v>
      </c>
      <c r="C1833" s="14" t="str">
        <f>IFERROR(INDEX(面试清单!D:D,MATCH(1832,面试清单!P:P,0)),"")</f>
        <v/>
      </c>
      <c r="D1833" s="11" t="s">
        <v>43</v>
      </c>
      <c r="E1833" s="11" t="s">
        <v>62</v>
      </c>
      <c r="F1833" s="11" t="s">
        <v>233</v>
      </c>
      <c r="G1833" s="15">
        <v>46163</v>
      </c>
      <c r="H1833" s="14" t="str">
        <f>IFERROR(INDEX(面试清单!H:H,MATCH(1832,面试清单!P:P,0)),"")</f>
        <v/>
      </c>
      <c r="I1833" s="13" t="s">
        <v>29</v>
      </c>
      <c r="J1833" s="14">
        <f ca="1" t="shared" si="85"/>
        <v>26</v>
      </c>
      <c r="K1833" s="14">
        <f ca="1" t="shared" si="86"/>
        <v>16</v>
      </c>
    </row>
    <row r="1834" ht="18" spans="1:11">
      <c r="A1834" s="10">
        <f t="shared" si="84"/>
        <v>1833</v>
      </c>
      <c r="B1834" s="11" t="s">
        <v>5761</v>
      </c>
      <c r="C1834" s="10" t="str">
        <f>IFERROR(INDEX(面试清单!D:D,MATCH(1833,面试清单!P:P,0)),"")</f>
        <v/>
      </c>
      <c r="D1834" s="11" t="s">
        <v>42</v>
      </c>
      <c r="E1834" s="11" t="s">
        <v>63</v>
      </c>
      <c r="F1834" s="11" t="s">
        <v>173</v>
      </c>
      <c r="G1834" s="15">
        <v>46163</v>
      </c>
      <c r="H1834" s="10" t="str">
        <f>IFERROR(INDEX(面试清单!H:H,MATCH(1833,面试清单!P:P,0)),"")</f>
        <v/>
      </c>
      <c r="I1834" s="13" t="s">
        <v>29</v>
      </c>
      <c r="J1834" s="10">
        <f ca="1" t="shared" si="85"/>
        <v>26</v>
      </c>
      <c r="K1834" s="10">
        <f ca="1" t="shared" si="86"/>
        <v>16</v>
      </c>
    </row>
    <row r="1835" ht="18" spans="1:11">
      <c r="A1835" s="14">
        <f t="shared" si="84"/>
        <v>1834</v>
      </c>
      <c r="B1835" s="11" t="s">
        <v>5762</v>
      </c>
      <c r="C1835" s="124" t="str">
        <f>IFERROR(INDEX(面试清单!D:D,MATCH(1834,面试清单!P:P,0)),"")</f>
        <v>0208</v>
      </c>
      <c r="D1835" s="11" t="s">
        <v>42</v>
      </c>
      <c r="E1835" s="11" t="s">
        <v>63</v>
      </c>
      <c r="F1835" s="11" t="s">
        <v>173</v>
      </c>
      <c r="G1835" s="15">
        <v>46163</v>
      </c>
      <c r="H1835" s="14" t="str">
        <f>IFERROR(INDEX(面试清单!H:H,MATCH(1834,面试清单!P:P,0)),"")</f>
        <v>线上</v>
      </c>
      <c r="I1835" s="13" t="s">
        <v>29</v>
      </c>
      <c r="J1835" s="14">
        <f ca="1" t="shared" si="85"/>
        <v>26</v>
      </c>
      <c r="K1835" s="14">
        <f ca="1" t="shared" si="86"/>
        <v>16</v>
      </c>
    </row>
    <row r="1836" ht="18" spans="1:11">
      <c r="A1836" s="10">
        <f t="shared" si="84"/>
        <v>1835</v>
      </c>
      <c r="B1836" s="11" t="s">
        <v>5763</v>
      </c>
      <c r="C1836" s="125" t="str">
        <f>IFERROR(INDEX(面试清单!D:D,MATCH(1835,面试清单!P:P,0)),"")</f>
        <v>0209</v>
      </c>
      <c r="D1836" s="11" t="s">
        <v>43</v>
      </c>
      <c r="E1836" s="11" t="s">
        <v>62</v>
      </c>
      <c r="F1836" s="11" t="s">
        <v>173</v>
      </c>
      <c r="G1836" s="15">
        <v>46163</v>
      </c>
      <c r="H1836" s="10" t="str">
        <f>IFERROR(INDEX(面试清单!H:H,MATCH(1835,面试清单!P:P,0)),"")</f>
        <v>线上</v>
      </c>
      <c r="I1836" s="13" t="s">
        <v>29</v>
      </c>
      <c r="J1836" s="10">
        <f ca="1" t="shared" si="85"/>
        <v>26</v>
      </c>
      <c r="K1836" s="10">
        <f ca="1" t="shared" si="86"/>
        <v>16</v>
      </c>
    </row>
    <row r="1837" ht="18" spans="1:11">
      <c r="A1837" s="14">
        <f t="shared" si="84"/>
        <v>1836</v>
      </c>
      <c r="B1837" s="11" t="s">
        <v>5764</v>
      </c>
      <c r="C1837" s="124" t="str">
        <f>IFERROR(INDEX(面试清单!D:D,MATCH(1836,面试清单!P:P,0)),"")</f>
        <v>0212</v>
      </c>
      <c r="D1837" s="11" t="s">
        <v>43</v>
      </c>
      <c r="E1837" s="11" t="s">
        <v>62</v>
      </c>
      <c r="F1837" s="11" t="s">
        <v>173</v>
      </c>
      <c r="G1837" s="15">
        <v>46163</v>
      </c>
      <c r="H1837" s="14" t="str">
        <f>IFERROR(INDEX(面试清单!H:H,MATCH(1836,面试清单!P:P,0)),"")</f>
        <v>线上</v>
      </c>
      <c r="I1837" s="13" t="s">
        <v>29</v>
      </c>
      <c r="J1837" s="14">
        <f ca="1" t="shared" si="85"/>
        <v>26</v>
      </c>
      <c r="K1837" s="14">
        <f ca="1" t="shared" si="86"/>
        <v>16</v>
      </c>
    </row>
    <row r="1838" ht="18" spans="1:11">
      <c r="A1838" s="10">
        <f t="shared" si="84"/>
        <v>1837</v>
      </c>
      <c r="B1838" s="11" t="s">
        <v>5765</v>
      </c>
      <c r="C1838" s="125" t="str">
        <f>IFERROR(INDEX(面试清单!D:D,MATCH(1837,面试清单!P:P,0)),"")</f>
        <v>0214</v>
      </c>
      <c r="D1838" s="11" t="s">
        <v>43</v>
      </c>
      <c r="E1838" s="11" t="s">
        <v>62</v>
      </c>
      <c r="F1838" s="11" t="s">
        <v>233</v>
      </c>
      <c r="G1838" s="15">
        <v>46163</v>
      </c>
      <c r="H1838" s="10" t="str">
        <f>IFERROR(INDEX(面试清单!H:H,MATCH(1837,面试清单!P:P,0)),"")</f>
        <v>线上</v>
      </c>
      <c r="I1838" s="13" t="s">
        <v>29</v>
      </c>
      <c r="J1838" s="10">
        <f ca="1" t="shared" si="85"/>
        <v>26</v>
      </c>
      <c r="K1838" s="10">
        <f ca="1" t="shared" si="86"/>
        <v>16</v>
      </c>
    </row>
    <row r="1839" ht="18" spans="1:11">
      <c r="A1839" s="14">
        <f t="shared" si="84"/>
        <v>1838</v>
      </c>
      <c r="B1839" s="11" t="s">
        <v>5766</v>
      </c>
      <c r="C1839" s="14" t="str">
        <f>IFERROR(INDEX(面试清单!D:D,MATCH(1838,面试清单!P:P,0)),"")</f>
        <v/>
      </c>
      <c r="D1839" s="11" t="s">
        <v>42</v>
      </c>
      <c r="E1839" s="11" t="s">
        <v>62</v>
      </c>
      <c r="F1839" s="11" t="s">
        <v>103</v>
      </c>
      <c r="G1839" s="15">
        <v>46163</v>
      </c>
      <c r="H1839" s="14" t="str">
        <f>IFERROR(INDEX(面试清单!H:H,MATCH(1838,面试清单!P:P,0)),"")</f>
        <v/>
      </c>
      <c r="I1839" s="13" t="s">
        <v>29</v>
      </c>
      <c r="J1839" s="14">
        <f ca="1" t="shared" si="85"/>
        <v>26</v>
      </c>
      <c r="K1839" s="14">
        <f ca="1" t="shared" si="86"/>
        <v>16</v>
      </c>
    </row>
    <row r="1840" ht="18" spans="1:11">
      <c r="A1840" s="10">
        <f t="shared" si="84"/>
        <v>1839</v>
      </c>
      <c r="B1840" s="11" t="s">
        <v>2460</v>
      </c>
      <c r="C1840" s="10" t="str">
        <f>IFERROR(INDEX(面试清单!D:D,MATCH(1839,面试清单!P:P,0)),"")</f>
        <v/>
      </c>
      <c r="D1840" s="11" t="s">
        <v>43</v>
      </c>
      <c r="E1840" s="11" t="s">
        <v>62</v>
      </c>
      <c r="F1840" s="11" t="s">
        <v>307</v>
      </c>
      <c r="G1840" s="15">
        <v>46164</v>
      </c>
      <c r="H1840" s="10" t="str">
        <f>IFERROR(INDEX(面试清单!H:H,MATCH(1839,面试清单!P:P,0)),"")</f>
        <v/>
      </c>
      <c r="I1840" s="13" t="s">
        <v>29</v>
      </c>
      <c r="J1840" s="10">
        <f ca="1" t="shared" si="85"/>
        <v>25</v>
      </c>
      <c r="K1840" s="10">
        <f ca="1" t="shared" si="86"/>
        <v>16</v>
      </c>
    </row>
    <row r="1841" ht="18" spans="1:11">
      <c r="A1841" s="14">
        <f t="shared" si="84"/>
        <v>1840</v>
      </c>
      <c r="B1841" s="11" t="s">
        <v>5767</v>
      </c>
      <c r="C1841" s="14" t="str">
        <f>IFERROR(INDEX(面试清单!D:D,MATCH(1840,面试清单!P:P,0)),"")</f>
        <v/>
      </c>
      <c r="D1841" s="11" t="s">
        <v>42</v>
      </c>
      <c r="E1841" s="11" t="s">
        <v>62</v>
      </c>
      <c r="F1841" s="11" t="s">
        <v>307</v>
      </c>
      <c r="G1841" s="15">
        <v>46164</v>
      </c>
      <c r="H1841" s="14" t="str">
        <f>IFERROR(INDEX(面试清单!H:H,MATCH(1840,面试清单!P:P,0)),"")</f>
        <v/>
      </c>
      <c r="I1841" s="13" t="s">
        <v>29</v>
      </c>
      <c r="J1841" s="14">
        <f ca="1" t="shared" si="85"/>
        <v>25</v>
      </c>
      <c r="K1841" s="14">
        <f ca="1" t="shared" si="86"/>
        <v>16</v>
      </c>
    </row>
    <row r="1842" ht="18" spans="1:11">
      <c r="A1842" s="10">
        <f t="shared" si="84"/>
        <v>1841</v>
      </c>
      <c r="B1842" s="11" t="s">
        <v>5768</v>
      </c>
      <c r="C1842" s="10" t="str">
        <f>IFERROR(INDEX(面试清单!D:D,MATCH(1841,面试清单!P:P,0)),"")</f>
        <v/>
      </c>
      <c r="D1842" s="11" t="s">
        <v>42</v>
      </c>
      <c r="E1842" s="11" t="s">
        <v>62</v>
      </c>
      <c r="F1842" s="11" t="s">
        <v>307</v>
      </c>
      <c r="G1842" s="15">
        <v>46164</v>
      </c>
      <c r="H1842" s="10" t="str">
        <f>IFERROR(INDEX(面试清单!H:H,MATCH(1841,面试清单!P:P,0)),"")</f>
        <v/>
      </c>
      <c r="I1842" s="13" t="s">
        <v>29</v>
      </c>
      <c r="J1842" s="10">
        <f ca="1" t="shared" si="85"/>
        <v>25</v>
      </c>
      <c r="K1842" s="10">
        <f ca="1" t="shared" si="86"/>
        <v>16</v>
      </c>
    </row>
    <row r="1843" ht="18" spans="1:11">
      <c r="A1843" s="14">
        <f t="shared" si="84"/>
        <v>1842</v>
      </c>
      <c r="B1843" s="11" t="s">
        <v>5769</v>
      </c>
      <c r="C1843" s="14" t="str">
        <f>IFERROR(INDEX(面试清单!D:D,MATCH(1842,面试清单!P:P,0)),"")</f>
        <v/>
      </c>
      <c r="D1843" s="11" t="s">
        <v>43</v>
      </c>
      <c r="E1843" s="11" t="s">
        <v>62</v>
      </c>
      <c r="F1843" s="11" t="s">
        <v>307</v>
      </c>
      <c r="G1843" s="15">
        <v>46164</v>
      </c>
      <c r="H1843" s="14" t="str">
        <f>IFERROR(INDEX(面试清单!H:H,MATCH(1842,面试清单!P:P,0)),"")</f>
        <v/>
      </c>
      <c r="I1843" s="13" t="s">
        <v>29</v>
      </c>
      <c r="J1843" s="14">
        <f ca="1" t="shared" si="85"/>
        <v>25</v>
      </c>
      <c r="K1843" s="14">
        <f ca="1" t="shared" si="86"/>
        <v>16</v>
      </c>
    </row>
    <row r="1844" ht="18" spans="1:11">
      <c r="A1844" s="10">
        <f t="shared" si="84"/>
        <v>1843</v>
      </c>
      <c r="B1844" s="11" t="s">
        <v>5770</v>
      </c>
      <c r="C1844" s="125" t="str">
        <f>IFERROR(INDEX(面试清单!D:D,MATCH(1843,面试清单!P:P,0)),"")</f>
        <v>0208</v>
      </c>
      <c r="D1844" s="11" t="s">
        <v>42</v>
      </c>
      <c r="E1844" s="11" t="s">
        <v>63</v>
      </c>
      <c r="F1844" s="11" t="s">
        <v>307</v>
      </c>
      <c r="G1844" s="15">
        <v>46164</v>
      </c>
      <c r="H1844" s="10" t="str">
        <f>IFERROR(INDEX(面试清单!H:H,MATCH(1843,面试清单!P:P,0)),"")</f>
        <v>线上</v>
      </c>
      <c r="I1844" s="13" t="s">
        <v>29</v>
      </c>
      <c r="J1844" s="10">
        <f ca="1" t="shared" si="85"/>
        <v>25</v>
      </c>
      <c r="K1844" s="10">
        <f ca="1" t="shared" si="86"/>
        <v>16</v>
      </c>
    </row>
    <row r="1845" ht="18" spans="1:11">
      <c r="A1845" s="14">
        <f t="shared" si="84"/>
        <v>1844</v>
      </c>
      <c r="B1845" s="11" t="s">
        <v>5771</v>
      </c>
      <c r="C1845" s="124" t="str">
        <f>IFERROR(INDEX(面试清单!D:D,MATCH(1844,面试清单!P:P,0)),"")</f>
        <v>0209</v>
      </c>
      <c r="D1845" s="11" t="s">
        <v>42</v>
      </c>
      <c r="E1845" s="11" t="s">
        <v>63</v>
      </c>
      <c r="F1845" s="11" t="s">
        <v>307</v>
      </c>
      <c r="G1845" s="15">
        <v>46164</v>
      </c>
      <c r="H1845" s="14" t="str">
        <f>IFERROR(INDEX(面试清单!H:H,MATCH(1844,面试清单!P:P,0)),"")</f>
        <v>线上</v>
      </c>
      <c r="I1845" s="13" t="s">
        <v>29</v>
      </c>
      <c r="J1845" s="14">
        <f ca="1" t="shared" si="85"/>
        <v>25</v>
      </c>
      <c r="K1845" s="14">
        <f ca="1" t="shared" si="86"/>
        <v>16</v>
      </c>
    </row>
    <row r="1846" ht="18" spans="1:11">
      <c r="A1846" s="10">
        <f t="shared" si="84"/>
        <v>1845</v>
      </c>
      <c r="B1846" s="11" t="s">
        <v>5772</v>
      </c>
      <c r="C1846" s="125" t="str">
        <f>IFERROR(INDEX(面试清单!D:D,MATCH(1845,面试清单!P:P,0)),"")</f>
        <v>0212</v>
      </c>
      <c r="D1846" s="11" t="s">
        <v>42</v>
      </c>
      <c r="E1846" s="11" t="s">
        <v>63</v>
      </c>
      <c r="F1846" s="11" t="s">
        <v>307</v>
      </c>
      <c r="G1846" s="15">
        <v>46164</v>
      </c>
      <c r="H1846" s="10" t="str">
        <f>IFERROR(INDEX(面试清单!H:H,MATCH(1845,面试清单!P:P,0)),"")</f>
        <v>线上</v>
      </c>
      <c r="I1846" s="13" t="s">
        <v>29</v>
      </c>
      <c r="J1846" s="10">
        <f ca="1" t="shared" si="85"/>
        <v>25</v>
      </c>
      <c r="K1846" s="10">
        <f ca="1" t="shared" si="86"/>
        <v>16</v>
      </c>
    </row>
    <row r="1847" ht="18" spans="1:11">
      <c r="A1847" s="14">
        <f t="shared" si="84"/>
        <v>1846</v>
      </c>
      <c r="B1847" s="11" t="s">
        <v>5773</v>
      </c>
      <c r="C1847" s="124" t="str">
        <f>IFERROR(INDEX(面试清单!D:D,MATCH(1846,面试清单!P:P,0)),"")</f>
        <v>0214</v>
      </c>
      <c r="D1847" s="11" t="s">
        <v>42</v>
      </c>
      <c r="E1847" s="11" t="s">
        <v>63</v>
      </c>
      <c r="F1847" s="11" t="s">
        <v>307</v>
      </c>
      <c r="G1847" s="15">
        <v>46164</v>
      </c>
      <c r="H1847" s="14" t="str">
        <f>IFERROR(INDEX(面试清单!H:H,MATCH(1846,面试清单!P:P,0)),"")</f>
        <v>线上</v>
      </c>
      <c r="I1847" s="13" t="s">
        <v>29</v>
      </c>
      <c r="J1847" s="14">
        <f ca="1" t="shared" si="85"/>
        <v>25</v>
      </c>
      <c r="K1847" s="14">
        <f ca="1" t="shared" si="86"/>
        <v>16</v>
      </c>
    </row>
    <row r="1848" ht="18" spans="1:11">
      <c r="A1848" s="10">
        <f t="shared" si="84"/>
        <v>1847</v>
      </c>
      <c r="B1848" s="11" t="s">
        <v>5774</v>
      </c>
      <c r="C1848" s="125" t="str">
        <f>IFERROR(INDEX(面试清单!D:D,MATCH(1847,面试清单!P:P,0)),"")</f>
        <v>0217</v>
      </c>
      <c r="D1848" s="11" t="s">
        <v>42</v>
      </c>
      <c r="E1848" s="11" t="s">
        <v>63</v>
      </c>
      <c r="F1848" s="11" t="s">
        <v>307</v>
      </c>
      <c r="G1848" s="15">
        <v>46164</v>
      </c>
      <c r="H1848" s="10" t="str">
        <f>IFERROR(INDEX(面试清单!H:H,MATCH(1847,面试清单!P:P,0)),"")</f>
        <v>线上</v>
      </c>
      <c r="I1848" s="13" t="s">
        <v>29</v>
      </c>
      <c r="J1848" s="10">
        <f ca="1" t="shared" si="85"/>
        <v>25</v>
      </c>
      <c r="K1848" s="10">
        <f ca="1" t="shared" si="86"/>
        <v>16</v>
      </c>
    </row>
    <row r="1849" ht="18" spans="1:11">
      <c r="A1849" s="14">
        <f t="shared" si="84"/>
        <v>1848</v>
      </c>
      <c r="B1849" s="11" t="s">
        <v>5775</v>
      </c>
      <c r="C1849" s="14" t="str">
        <f>IFERROR(INDEX(面试清单!D:D,MATCH(1848,面试清单!P:P,0)),"")</f>
        <v/>
      </c>
      <c r="D1849" s="11" t="s">
        <v>42</v>
      </c>
      <c r="E1849" s="11" t="s">
        <v>63</v>
      </c>
      <c r="F1849" s="11" t="s">
        <v>307</v>
      </c>
      <c r="G1849" s="15">
        <v>46164</v>
      </c>
      <c r="H1849" s="14" t="str">
        <f>IFERROR(INDEX(面试清单!H:H,MATCH(1848,面试清单!P:P,0)),"")</f>
        <v/>
      </c>
      <c r="I1849" s="13" t="s">
        <v>29</v>
      </c>
      <c r="J1849" s="14">
        <f ca="1" t="shared" si="85"/>
        <v>25</v>
      </c>
      <c r="K1849" s="14">
        <f ca="1" t="shared" si="86"/>
        <v>16</v>
      </c>
    </row>
    <row r="1850" ht="18" spans="1:11">
      <c r="A1850" s="10">
        <f t="shared" si="84"/>
        <v>1849</v>
      </c>
      <c r="B1850" s="11" t="s">
        <v>5776</v>
      </c>
      <c r="C1850" s="125" t="str">
        <f>IFERROR(INDEX(面试清单!D:D,MATCH(1849,面试清单!P:P,0)),"")</f>
        <v>0220</v>
      </c>
      <c r="D1850" s="11" t="s">
        <v>42</v>
      </c>
      <c r="E1850" s="11" t="s">
        <v>63</v>
      </c>
      <c r="F1850" s="11" t="s">
        <v>307</v>
      </c>
      <c r="G1850" s="15">
        <v>46164</v>
      </c>
      <c r="H1850" s="10" t="str">
        <f>IFERROR(INDEX(面试清单!H:H,MATCH(1849,面试清单!P:P,0)),"")</f>
        <v>线上</v>
      </c>
      <c r="I1850" s="13" t="s">
        <v>29</v>
      </c>
      <c r="J1850" s="10">
        <f ca="1" t="shared" si="85"/>
        <v>25</v>
      </c>
      <c r="K1850" s="10">
        <f ca="1" t="shared" si="86"/>
        <v>16</v>
      </c>
    </row>
    <row r="1851" ht="18" spans="1:11">
      <c r="A1851" s="14">
        <f t="shared" si="84"/>
        <v>1850</v>
      </c>
      <c r="B1851" s="11" t="s">
        <v>5777</v>
      </c>
      <c r="C1851" s="124" t="str">
        <f>IFERROR(INDEX(面试清单!D:D,MATCH(1850,面试清单!P:P,0)),"")</f>
        <v>0221</v>
      </c>
      <c r="D1851" s="11" t="s">
        <v>43</v>
      </c>
      <c r="E1851" s="11" t="s">
        <v>62</v>
      </c>
      <c r="F1851" s="11" t="s">
        <v>733</v>
      </c>
      <c r="G1851" s="15">
        <v>46164</v>
      </c>
      <c r="H1851" s="14" t="str">
        <f>IFERROR(INDEX(面试清单!H:H,MATCH(1850,面试清单!P:P,0)),"")</f>
        <v>线上</v>
      </c>
      <c r="I1851" s="13" t="s">
        <v>29</v>
      </c>
      <c r="J1851" s="14">
        <f ca="1" t="shared" si="85"/>
        <v>25</v>
      </c>
      <c r="K1851" s="14">
        <f ca="1" t="shared" si="86"/>
        <v>16</v>
      </c>
    </row>
    <row r="1852" ht="18" spans="1:11">
      <c r="A1852" s="10">
        <f t="shared" si="84"/>
        <v>1851</v>
      </c>
      <c r="B1852" s="11" t="s">
        <v>5778</v>
      </c>
      <c r="C1852" s="125" t="str">
        <f>IFERROR(INDEX(面试清单!D:D,MATCH(1851,面试清单!P:P,0)),"")</f>
        <v>0222</v>
      </c>
      <c r="D1852" s="11" t="s">
        <v>42</v>
      </c>
      <c r="E1852" s="11" t="s">
        <v>62</v>
      </c>
      <c r="F1852" s="11" t="s">
        <v>148</v>
      </c>
      <c r="G1852" s="15">
        <v>46164</v>
      </c>
      <c r="H1852" s="10" t="str">
        <f>IFERROR(INDEX(面试清单!H:H,MATCH(1851,面试清单!P:P,0)),"")</f>
        <v>线上</v>
      </c>
      <c r="I1852" s="13" t="s">
        <v>29</v>
      </c>
      <c r="J1852" s="10">
        <f ca="1" t="shared" si="85"/>
        <v>25</v>
      </c>
      <c r="K1852" s="10">
        <f ca="1" t="shared" si="86"/>
        <v>16</v>
      </c>
    </row>
    <row r="1853" ht="18" spans="1:11">
      <c r="A1853" s="14">
        <f t="shared" si="84"/>
        <v>1852</v>
      </c>
      <c r="B1853" s="11" t="s">
        <v>5779</v>
      </c>
      <c r="C1853" s="124" t="str">
        <f>IFERROR(INDEX(面试清单!D:D,MATCH(1852,面试清单!P:P,0)),"")</f>
        <v>0208</v>
      </c>
      <c r="D1853" s="11" t="s">
        <v>43</v>
      </c>
      <c r="E1853" s="11" t="s">
        <v>63</v>
      </c>
      <c r="F1853" s="11" t="s">
        <v>176</v>
      </c>
      <c r="G1853" s="15">
        <v>46164</v>
      </c>
      <c r="H1853" s="14" t="str">
        <f>IFERROR(INDEX(面试清单!H:H,MATCH(1852,面试清单!P:P,0)),"")</f>
        <v>线上</v>
      </c>
      <c r="I1853" s="13" t="s">
        <v>29</v>
      </c>
      <c r="J1853" s="14">
        <f ca="1" t="shared" si="85"/>
        <v>25</v>
      </c>
      <c r="K1853" s="14">
        <f ca="1" t="shared" si="86"/>
        <v>16</v>
      </c>
    </row>
    <row r="1854" ht="18" spans="1:11">
      <c r="A1854" s="10">
        <f t="shared" si="84"/>
        <v>1853</v>
      </c>
      <c r="B1854" s="11" t="s">
        <v>5780</v>
      </c>
      <c r="C1854" s="125" t="str">
        <f>IFERROR(INDEX(面试清单!D:D,MATCH(1853,面试清单!P:P,0)),"")</f>
        <v>0209</v>
      </c>
      <c r="D1854" s="11" t="s">
        <v>42</v>
      </c>
      <c r="E1854" s="11" t="s">
        <v>63</v>
      </c>
      <c r="F1854" s="11" t="s">
        <v>505</v>
      </c>
      <c r="G1854" s="15">
        <v>46164</v>
      </c>
      <c r="H1854" s="10" t="str">
        <f>IFERROR(INDEX(面试清单!H:H,MATCH(1853,面试清单!P:P,0)),"")</f>
        <v>线上</v>
      </c>
      <c r="I1854" s="13" t="s">
        <v>29</v>
      </c>
      <c r="J1854" s="10">
        <f ca="1" t="shared" si="85"/>
        <v>25</v>
      </c>
      <c r="K1854" s="10">
        <f ca="1" t="shared" si="86"/>
        <v>16</v>
      </c>
    </row>
    <row r="1855" ht="18" spans="1:11">
      <c r="A1855" s="14">
        <f t="shared" si="84"/>
        <v>1854</v>
      </c>
      <c r="B1855" s="11" t="s">
        <v>5781</v>
      </c>
      <c r="C1855" s="124" t="str">
        <f>IFERROR(INDEX(面试清单!D:D,MATCH(1854,面试清单!P:P,0)),"")</f>
        <v>0212</v>
      </c>
      <c r="D1855" s="11" t="s">
        <v>42</v>
      </c>
      <c r="E1855" s="11" t="s">
        <v>63</v>
      </c>
      <c r="F1855" s="11" t="s">
        <v>129</v>
      </c>
      <c r="G1855" s="15">
        <v>46164</v>
      </c>
      <c r="H1855" s="14" t="str">
        <f>IFERROR(INDEX(面试清单!H:H,MATCH(1854,面试清单!P:P,0)),"")</f>
        <v>线上</v>
      </c>
      <c r="I1855" s="13" t="s">
        <v>29</v>
      </c>
      <c r="J1855" s="14">
        <f ca="1" t="shared" si="85"/>
        <v>25</v>
      </c>
      <c r="K1855" s="14">
        <f ca="1" t="shared" si="86"/>
        <v>16</v>
      </c>
    </row>
    <row r="1856" ht="18" spans="1:11">
      <c r="A1856" s="10">
        <f t="shared" si="84"/>
        <v>1855</v>
      </c>
      <c r="B1856" s="11" t="s">
        <v>5782</v>
      </c>
      <c r="C1856" s="125" t="str">
        <f>IFERROR(INDEX(面试清单!D:D,MATCH(1855,面试清单!P:P,0)),"")</f>
        <v>0214</v>
      </c>
      <c r="D1856" s="11" t="s">
        <v>42</v>
      </c>
      <c r="E1856" s="11" t="s">
        <v>62</v>
      </c>
      <c r="F1856" s="11" t="s">
        <v>233</v>
      </c>
      <c r="G1856" s="15">
        <v>46164</v>
      </c>
      <c r="H1856" s="10" t="str">
        <f>IFERROR(INDEX(面试清单!H:H,MATCH(1855,面试清单!P:P,0)),"")</f>
        <v>线上</v>
      </c>
      <c r="I1856" s="13" t="s">
        <v>29</v>
      </c>
      <c r="J1856" s="10">
        <f ca="1" t="shared" si="85"/>
        <v>25</v>
      </c>
      <c r="K1856" s="10">
        <f ca="1" t="shared" si="86"/>
        <v>16</v>
      </c>
    </row>
    <row r="1857" ht="18" spans="1:11">
      <c r="A1857" s="14">
        <f t="shared" si="84"/>
        <v>1856</v>
      </c>
      <c r="B1857" s="11" t="s">
        <v>5783</v>
      </c>
      <c r="C1857" s="124" t="str">
        <f>IFERROR(INDEX(面试清单!D:D,MATCH(1856,面试清单!P:P,0)),"")</f>
        <v>0217</v>
      </c>
      <c r="D1857" s="11" t="s">
        <v>42</v>
      </c>
      <c r="E1857" s="11" t="s">
        <v>62</v>
      </c>
      <c r="F1857" s="11" t="s">
        <v>233</v>
      </c>
      <c r="G1857" s="15">
        <v>46164</v>
      </c>
      <c r="H1857" s="14" t="str">
        <f>IFERROR(INDEX(面试清单!H:H,MATCH(1856,面试清单!P:P,0)),"")</f>
        <v>线上</v>
      </c>
      <c r="I1857" s="13" t="s">
        <v>29</v>
      </c>
      <c r="J1857" s="14">
        <f ca="1" t="shared" si="85"/>
        <v>25</v>
      </c>
      <c r="K1857" s="14">
        <f ca="1" t="shared" si="86"/>
        <v>16</v>
      </c>
    </row>
    <row r="1858" ht="18" spans="1:11">
      <c r="A1858" s="10">
        <f t="shared" ref="A1858:A1921" si="87">IF(B1858&lt;&gt;"",ROW()-1,"")</f>
        <v>1857</v>
      </c>
      <c r="B1858" s="11" t="s">
        <v>5784</v>
      </c>
      <c r="C1858" s="10" t="str">
        <f>IFERROR(INDEX(面试清单!D:D,MATCH(1857,面试清单!P:P,0)),"")</f>
        <v/>
      </c>
      <c r="D1858" s="11" t="s">
        <v>42</v>
      </c>
      <c r="E1858" s="11" t="s">
        <v>62</v>
      </c>
      <c r="F1858" s="11" t="s">
        <v>233</v>
      </c>
      <c r="G1858" s="15">
        <v>46164</v>
      </c>
      <c r="H1858" s="10" t="str">
        <f>IFERROR(INDEX(面试清单!H:H,MATCH(1857,面试清单!P:P,0)),"")</f>
        <v/>
      </c>
      <c r="I1858" s="13" t="s">
        <v>29</v>
      </c>
      <c r="J1858" s="10">
        <f ca="1" t="shared" ref="J1858:J1921" si="88">IF(G1858&lt;&gt;"",TODAY()-G1858,"")</f>
        <v>25</v>
      </c>
      <c r="K1858" s="10">
        <f ca="1" t="shared" ref="K1858:K1921" si="89">IF(G1858&lt;&gt;"",MAX(0,MIN(TODAY(),EOMONTH(TODAY(),0))-MAX(G1858,EOMONTH(TODAY(),-1)+1)+1),"")</f>
        <v>16</v>
      </c>
    </row>
    <row r="1859" ht="18" spans="1:11">
      <c r="A1859" s="14">
        <f t="shared" si="87"/>
        <v>1858</v>
      </c>
      <c r="B1859" s="11" t="s">
        <v>5785</v>
      </c>
      <c r="C1859" s="14" t="str">
        <f>IFERROR(INDEX(面试清单!D:D,MATCH(1858,面试清单!P:P,0)),"")</f>
        <v/>
      </c>
      <c r="D1859" s="11" t="s">
        <v>42</v>
      </c>
      <c r="E1859" s="11" t="s">
        <v>63</v>
      </c>
      <c r="F1859" s="11" t="s">
        <v>233</v>
      </c>
      <c r="G1859" s="15">
        <v>46164</v>
      </c>
      <c r="H1859" s="14" t="str">
        <f>IFERROR(INDEX(面试清单!H:H,MATCH(1858,面试清单!P:P,0)),"")</f>
        <v/>
      </c>
      <c r="I1859" s="13" t="s">
        <v>29</v>
      </c>
      <c r="J1859" s="14">
        <f ca="1" t="shared" si="88"/>
        <v>25</v>
      </c>
      <c r="K1859" s="14">
        <f ca="1" t="shared" si="89"/>
        <v>16</v>
      </c>
    </row>
    <row r="1860" ht="18" spans="1:11">
      <c r="A1860" s="10">
        <f t="shared" si="87"/>
        <v>1859</v>
      </c>
      <c r="B1860" s="11" t="s">
        <v>2593</v>
      </c>
      <c r="C1860" s="125" t="str">
        <f>IFERROR(INDEX(面试清单!D:D,MATCH(1859,面试清单!P:P,0)),"")</f>
        <v>0221</v>
      </c>
      <c r="D1860" s="11" t="s">
        <v>42</v>
      </c>
      <c r="E1860" s="11" t="s">
        <v>63</v>
      </c>
      <c r="F1860" s="11" t="s">
        <v>179</v>
      </c>
      <c r="G1860" s="15">
        <v>46164</v>
      </c>
      <c r="H1860" s="10" t="str">
        <f>IFERROR(INDEX(面试清单!H:H,MATCH(1859,面试清单!P:P,0)),"")</f>
        <v>线上</v>
      </c>
      <c r="I1860" s="13" t="s">
        <v>29</v>
      </c>
      <c r="J1860" s="10">
        <f ca="1" t="shared" si="88"/>
        <v>25</v>
      </c>
      <c r="K1860" s="10">
        <f ca="1" t="shared" si="89"/>
        <v>16</v>
      </c>
    </row>
    <row r="1861" ht="18" spans="1:11">
      <c r="A1861" s="14">
        <f t="shared" si="87"/>
        <v>1860</v>
      </c>
      <c r="B1861" s="11" t="s">
        <v>5786</v>
      </c>
      <c r="C1861" s="124" t="str">
        <f>IFERROR(INDEX(面试清单!D:D,MATCH(1860,面试清单!P:P,0)),"")</f>
        <v>0222</v>
      </c>
      <c r="D1861" s="11" t="s">
        <v>42</v>
      </c>
      <c r="E1861" s="11" t="s">
        <v>62</v>
      </c>
      <c r="F1861" s="11" t="s">
        <v>173</v>
      </c>
      <c r="G1861" s="15">
        <v>46164</v>
      </c>
      <c r="H1861" s="14" t="str">
        <f>IFERROR(INDEX(面试清单!H:H,MATCH(1860,面试清单!P:P,0)),"")</f>
        <v>线上</v>
      </c>
      <c r="I1861" s="13" t="s">
        <v>29</v>
      </c>
      <c r="J1861" s="14">
        <f ca="1" t="shared" si="88"/>
        <v>25</v>
      </c>
      <c r="K1861" s="14">
        <f ca="1" t="shared" si="89"/>
        <v>16</v>
      </c>
    </row>
    <row r="1862" ht="18" spans="1:11">
      <c r="A1862" s="10">
        <f t="shared" si="87"/>
        <v>1861</v>
      </c>
      <c r="B1862" s="11" t="s">
        <v>5787</v>
      </c>
      <c r="C1862" s="10" t="str">
        <f>IFERROR(INDEX(面试清单!D:D,MATCH(1861,面试清单!P:P,0)),"")</f>
        <v/>
      </c>
      <c r="D1862" s="11" t="s">
        <v>43</v>
      </c>
      <c r="E1862" s="11" t="s">
        <v>62</v>
      </c>
      <c r="F1862" s="11" t="s">
        <v>173</v>
      </c>
      <c r="G1862" s="15">
        <v>46164</v>
      </c>
      <c r="H1862" s="10" t="str">
        <f>IFERROR(INDEX(面试清单!H:H,MATCH(1861,面试清单!P:P,0)),"")</f>
        <v/>
      </c>
      <c r="I1862" s="13" t="s">
        <v>29</v>
      </c>
      <c r="J1862" s="10">
        <f ca="1" t="shared" si="88"/>
        <v>25</v>
      </c>
      <c r="K1862" s="10">
        <f ca="1" t="shared" si="89"/>
        <v>16</v>
      </c>
    </row>
    <row r="1863" ht="18" spans="1:11">
      <c r="A1863" s="14">
        <f t="shared" si="87"/>
        <v>1862</v>
      </c>
      <c r="B1863" s="11" t="s">
        <v>5788</v>
      </c>
      <c r="C1863" s="124" t="str">
        <f>IFERROR(INDEX(面试清单!D:D,MATCH(1862,面试清单!P:P,0)),"")</f>
        <v>0209</v>
      </c>
      <c r="D1863" s="11" t="s">
        <v>43</v>
      </c>
      <c r="E1863" s="11" t="s">
        <v>63</v>
      </c>
      <c r="F1863" s="11" t="s">
        <v>173</v>
      </c>
      <c r="G1863" s="15">
        <v>46164</v>
      </c>
      <c r="H1863" s="14" t="str">
        <f>IFERROR(INDEX(面试清单!H:H,MATCH(1862,面试清单!P:P,0)),"")</f>
        <v>线上</v>
      </c>
      <c r="I1863" s="13" t="s">
        <v>29</v>
      </c>
      <c r="J1863" s="14">
        <f ca="1" t="shared" si="88"/>
        <v>25</v>
      </c>
      <c r="K1863" s="14">
        <f ca="1" t="shared" si="89"/>
        <v>16</v>
      </c>
    </row>
    <row r="1864" ht="18" spans="1:11">
      <c r="A1864" s="10">
        <f t="shared" si="87"/>
        <v>1863</v>
      </c>
      <c r="B1864" s="11" t="s">
        <v>5789</v>
      </c>
      <c r="C1864" s="10" t="str">
        <f>IFERROR(INDEX(面试清单!D:D,MATCH(1863,面试清单!P:P,0)),"")</f>
        <v/>
      </c>
      <c r="D1864" s="11" t="s">
        <v>43</v>
      </c>
      <c r="E1864" s="11" t="s">
        <v>63</v>
      </c>
      <c r="F1864" s="11" t="s">
        <v>233</v>
      </c>
      <c r="G1864" s="15">
        <v>46164</v>
      </c>
      <c r="H1864" s="10" t="str">
        <f>IFERROR(INDEX(面试清单!H:H,MATCH(1863,面试清单!P:P,0)),"")</f>
        <v/>
      </c>
      <c r="I1864" s="13" t="s">
        <v>29</v>
      </c>
      <c r="J1864" s="10">
        <f ca="1" t="shared" si="88"/>
        <v>25</v>
      </c>
      <c r="K1864" s="10">
        <f ca="1" t="shared" si="89"/>
        <v>16</v>
      </c>
    </row>
    <row r="1865" ht="18" spans="1:11">
      <c r="A1865" s="14">
        <f t="shared" si="87"/>
        <v>1864</v>
      </c>
      <c r="B1865" s="11" t="s">
        <v>5790</v>
      </c>
      <c r="C1865" s="14" t="str">
        <f>IFERROR(INDEX(面试清单!D:D,MATCH(1864,面试清单!P:P,0)),"")</f>
        <v/>
      </c>
      <c r="D1865" s="11" t="s">
        <v>43</v>
      </c>
      <c r="E1865" s="11" t="s">
        <v>62</v>
      </c>
      <c r="F1865" s="11" t="s">
        <v>233</v>
      </c>
      <c r="G1865" s="15">
        <v>46164</v>
      </c>
      <c r="H1865" s="14" t="str">
        <f>IFERROR(INDEX(面试清单!H:H,MATCH(1864,面试清单!P:P,0)),"")</f>
        <v/>
      </c>
      <c r="I1865" s="13" t="s">
        <v>29</v>
      </c>
      <c r="J1865" s="14">
        <f ca="1" t="shared" si="88"/>
        <v>25</v>
      </c>
      <c r="K1865" s="14">
        <f ca="1" t="shared" si="89"/>
        <v>16</v>
      </c>
    </row>
    <row r="1866" ht="18" spans="1:11">
      <c r="A1866" s="10">
        <f t="shared" si="87"/>
        <v>1865</v>
      </c>
      <c r="B1866" s="11" t="s">
        <v>5791</v>
      </c>
      <c r="C1866" s="10" t="str">
        <f>IFERROR(INDEX(面试清单!D:D,MATCH(1865,面试清单!P:P,0)),"")</f>
        <v/>
      </c>
      <c r="D1866" s="11" t="s">
        <v>43</v>
      </c>
      <c r="E1866" s="11" t="s">
        <v>62</v>
      </c>
      <c r="F1866" s="11" t="s">
        <v>564</v>
      </c>
      <c r="G1866" s="15">
        <v>46164</v>
      </c>
      <c r="H1866" s="10" t="str">
        <f>IFERROR(INDEX(面试清单!H:H,MATCH(1865,面试清单!P:P,0)),"")</f>
        <v/>
      </c>
      <c r="I1866" s="13" t="s">
        <v>29</v>
      </c>
      <c r="J1866" s="10">
        <f ca="1" t="shared" si="88"/>
        <v>25</v>
      </c>
      <c r="K1866" s="10">
        <f ca="1" t="shared" si="89"/>
        <v>16</v>
      </c>
    </row>
    <row r="1867" ht="18" spans="1:11">
      <c r="A1867" s="14">
        <f t="shared" si="87"/>
        <v>1866</v>
      </c>
      <c r="B1867" s="11" t="s">
        <v>5792</v>
      </c>
      <c r="C1867" s="14" t="str">
        <f>IFERROR(INDEX(面试清单!D:D,MATCH(1866,面试清单!P:P,0)),"")</f>
        <v/>
      </c>
      <c r="D1867" s="11" t="s">
        <v>43</v>
      </c>
      <c r="E1867" s="11" t="s">
        <v>63</v>
      </c>
      <c r="F1867" s="11" t="s">
        <v>132</v>
      </c>
      <c r="G1867" s="15">
        <v>46164</v>
      </c>
      <c r="H1867" s="14" t="str">
        <f>IFERROR(INDEX(面试清单!H:H,MATCH(1866,面试清单!P:P,0)),"")</f>
        <v/>
      </c>
      <c r="I1867" s="13" t="s">
        <v>29</v>
      </c>
      <c r="J1867" s="14">
        <f ca="1" t="shared" si="88"/>
        <v>25</v>
      </c>
      <c r="K1867" s="14">
        <f ca="1" t="shared" si="89"/>
        <v>16</v>
      </c>
    </row>
    <row r="1868" ht="18" spans="1:11">
      <c r="A1868" s="10">
        <f t="shared" si="87"/>
        <v>1867</v>
      </c>
      <c r="B1868" s="11" t="s">
        <v>5793</v>
      </c>
      <c r="C1868" s="10" t="str">
        <f>IFERROR(INDEX(面试清单!D:D,MATCH(1867,面试清单!P:P,0)),"")</f>
        <v/>
      </c>
      <c r="D1868" s="11" t="s">
        <v>42</v>
      </c>
      <c r="E1868" s="11" t="s">
        <v>63</v>
      </c>
      <c r="F1868" s="11" t="s">
        <v>1136</v>
      </c>
      <c r="G1868" s="15">
        <v>46164</v>
      </c>
      <c r="H1868" s="10" t="str">
        <f>IFERROR(INDEX(面试清单!H:H,MATCH(1867,面试清单!P:P,0)),"")</f>
        <v/>
      </c>
      <c r="I1868" s="13" t="s">
        <v>29</v>
      </c>
      <c r="J1868" s="10">
        <f ca="1" t="shared" si="88"/>
        <v>25</v>
      </c>
      <c r="K1868" s="10">
        <f ca="1" t="shared" si="89"/>
        <v>16</v>
      </c>
    </row>
    <row r="1869" ht="18" spans="1:11">
      <c r="A1869" s="14">
        <f t="shared" si="87"/>
        <v>1868</v>
      </c>
      <c r="B1869" s="11" t="s">
        <v>5794</v>
      </c>
      <c r="C1869" s="14" t="str">
        <f>IFERROR(INDEX(面试清单!D:D,MATCH(1868,面试清单!P:P,0)),"")</f>
        <v/>
      </c>
      <c r="D1869" s="11" t="s">
        <v>43</v>
      </c>
      <c r="E1869" s="11" t="s">
        <v>63</v>
      </c>
      <c r="F1869" s="11" t="s">
        <v>110</v>
      </c>
      <c r="G1869" s="15">
        <v>46164</v>
      </c>
      <c r="H1869" s="14" t="str">
        <f>IFERROR(INDEX(面试清单!H:H,MATCH(1868,面试清单!P:P,0)),"")</f>
        <v/>
      </c>
      <c r="I1869" s="13" t="s">
        <v>29</v>
      </c>
      <c r="J1869" s="14">
        <f ca="1" t="shared" si="88"/>
        <v>25</v>
      </c>
      <c r="K1869" s="14">
        <f ca="1" t="shared" si="89"/>
        <v>16</v>
      </c>
    </row>
    <row r="1870" ht="18" spans="1:11">
      <c r="A1870" s="10">
        <f t="shared" si="87"/>
        <v>1869</v>
      </c>
      <c r="B1870" s="11" t="s">
        <v>5795</v>
      </c>
      <c r="C1870" s="10" t="str">
        <f>IFERROR(INDEX(面试清单!D:D,MATCH(1869,面试清单!P:P,0)),"")</f>
        <v/>
      </c>
      <c r="D1870" s="11" t="s">
        <v>42</v>
      </c>
      <c r="E1870" s="11" t="s">
        <v>62</v>
      </c>
      <c r="F1870" s="11" t="s">
        <v>103</v>
      </c>
      <c r="G1870" s="15">
        <v>46164</v>
      </c>
      <c r="H1870" s="10" t="str">
        <f>IFERROR(INDEX(面试清单!H:H,MATCH(1869,面试清单!P:P,0)),"")</f>
        <v/>
      </c>
      <c r="I1870" s="13" t="s">
        <v>29</v>
      </c>
      <c r="J1870" s="10">
        <f ca="1" t="shared" si="88"/>
        <v>25</v>
      </c>
      <c r="K1870" s="10">
        <f ca="1" t="shared" si="89"/>
        <v>16</v>
      </c>
    </row>
    <row r="1871" ht="18" spans="1:11">
      <c r="A1871" s="14">
        <f t="shared" si="87"/>
        <v>1870</v>
      </c>
      <c r="B1871" s="11" t="s">
        <v>5796</v>
      </c>
      <c r="C1871" s="14" t="str">
        <f>IFERROR(INDEX(面试清单!D:D,MATCH(1870,面试清单!P:P,0)),"")</f>
        <v/>
      </c>
      <c r="D1871" s="11" t="s">
        <v>42</v>
      </c>
      <c r="E1871" s="11" t="s">
        <v>62</v>
      </c>
      <c r="F1871" s="11" t="s">
        <v>103</v>
      </c>
      <c r="G1871" s="15">
        <v>46164</v>
      </c>
      <c r="H1871" s="14" t="str">
        <f>IFERROR(INDEX(面试清单!H:H,MATCH(1870,面试清单!P:P,0)),"")</f>
        <v/>
      </c>
      <c r="I1871" s="13" t="s">
        <v>29</v>
      </c>
      <c r="J1871" s="14">
        <f ca="1" t="shared" si="88"/>
        <v>25</v>
      </c>
      <c r="K1871" s="14">
        <f ca="1" t="shared" si="89"/>
        <v>16</v>
      </c>
    </row>
    <row r="1872" ht="18" spans="1:11">
      <c r="A1872" s="10">
        <f t="shared" si="87"/>
        <v>1871</v>
      </c>
      <c r="B1872" s="11" t="s">
        <v>5797</v>
      </c>
      <c r="C1872" s="10" t="str">
        <f>IFERROR(INDEX(面试清单!D:D,MATCH(1871,面试清单!P:P,0)),"")</f>
        <v/>
      </c>
      <c r="D1872" s="11" t="s">
        <v>74</v>
      </c>
      <c r="E1872" s="11" t="s">
        <v>190</v>
      </c>
      <c r="F1872" s="11" t="s">
        <v>117</v>
      </c>
      <c r="G1872" s="15">
        <v>46164</v>
      </c>
      <c r="H1872" s="10" t="str">
        <f>IFERROR(INDEX(面试清单!H:H,MATCH(1871,面试清单!P:P,0)),"")</f>
        <v/>
      </c>
      <c r="I1872" s="13" t="s">
        <v>29</v>
      </c>
      <c r="J1872" s="10">
        <f ca="1" t="shared" si="88"/>
        <v>25</v>
      </c>
      <c r="K1872" s="10">
        <f ca="1" t="shared" si="89"/>
        <v>16</v>
      </c>
    </row>
    <row r="1873" ht="18" spans="1:11">
      <c r="A1873" s="14">
        <f t="shared" si="87"/>
        <v>1872</v>
      </c>
      <c r="B1873" s="11" t="s">
        <v>5798</v>
      </c>
      <c r="C1873" s="124" t="str">
        <f>IFERROR(INDEX(面试清单!D:D,MATCH(1872,面试清单!P:P,0)),"")</f>
        <v>0212</v>
      </c>
      <c r="D1873" s="11" t="s">
        <v>74</v>
      </c>
      <c r="E1873" s="11" t="s">
        <v>190</v>
      </c>
      <c r="F1873" s="11" t="s">
        <v>117</v>
      </c>
      <c r="G1873" s="15">
        <v>46164</v>
      </c>
      <c r="H1873" s="14" t="str">
        <f>IFERROR(INDEX(面试清单!H:H,MATCH(1872,面试清单!P:P,0)),"")</f>
        <v>线上</v>
      </c>
      <c r="I1873" s="13" t="s">
        <v>29</v>
      </c>
      <c r="J1873" s="14">
        <f ca="1" t="shared" si="88"/>
        <v>25</v>
      </c>
      <c r="K1873" s="14">
        <f ca="1" t="shared" si="89"/>
        <v>16</v>
      </c>
    </row>
    <row r="1874" ht="18" spans="1:11">
      <c r="A1874" s="10">
        <f t="shared" si="87"/>
        <v>1873</v>
      </c>
      <c r="B1874" s="11" t="s">
        <v>5799</v>
      </c>
      <c r="C1874" s="125" t="str">
        <f>IFERROR(INDEX(面试清单!D:D,MATCH(1873,面试清单!P:P,0)),"")</f>
        <v>0214</v>
      </c>
      <c r="D1874" s="11" t="s">
        <v>42</v>
      </c>
      <c r="E1874" s="11" t="s">
        <v>62</v>
      </c>
      <c r="F1874" s="11" t="s">
        <v>233</v>
      </c>
      <c r="G1874" s="15">
        <v>46164</v>
      </c>
      <c r="H1874" s="10" t="str">
        <f>IFERROR(INDEX(面试清单!H:H,MATCH(1873,面试清单!P:P,0)),"")</f>
        <v>线上</v>
      </c>
      <c r="I1874" s="13" t="s">
        <v>29</v>
      </c>
      <c r="J1874" s="10">
        <f ca="1" t="shared" si="88"/>
        <v>25</v>
      </c>
      <c r="K1874" s="10">
        <f ca="1" t="shared" si="89"/>
        <v>16</v>
      </c>
    </row>
    <row r="1875" ht="18" spans="1:11">
      <c r="A1875" s="14">
        <f t="shared" si="87"/>
        <v>1874</v>
      </c>
      <c r="B1875" s="11" t="s">
        <v>5800</v>
      </c>
      <c r="C1875" s="124" t="str">
        <f>IFERROR(INDEX(面试清单!D:D,MATCH(1874,面试清单!P:P,0)),"")</f>
        <v>0217</v>
      </c>
      <c r="D1875" s="11" t="s">
        <v>43</v>
      </c>
      <c r="E1875" s="11" t="s">
        <v>62</v>
      </c>
      <c r="F1875" s="11" t="s">
        <v>505</v>
      </c>
      <c r="G1875" s="15">
        <v>46164</v>
      </c>
      <c r="H1875" s="14" t="str">
        <f>IFERROR(INDEX(面试清单!H:H,MATCH(1874,面试清单!P:P,0)),"")</f>
        <v>线上</v>
      </c>
      <c r="I1875" s="13" t="s">
        <v>29</v>
      </c>
      <c r="J1875" s="14">
        <f ca="1" t="shared" si="88"/>
        <v>25</v>
      </c>
      <c r="K1875" s="14">
        <f ca="1" t="shared" si="89"/>
        <v>16</v>
      </c>
    </row>
    <row r="1876" ht="18" spans="1:11">
      <c r="A1876" s="10">
        <f t="shared" si="87"/>
        <v>1875</v>
      </c>
      <c r="B1876" s="11" t="s">
        <v>5801</v>
      </c>
      <c r="C1876" s="10" t="str">
        <f>IFERROR(INDEX(面试清单!D:D,MATCH(1875,面试清单!P:P,0)),"")</f>
        <v/>
      </c>
      <c r="D1876" s="11" t="s">
        <v>43</v>
      </c>
      <c r="E1876" s="11" t="s">
        <v>62</v>
      </c>
      <c r="F1876" s="11" t="s">
        <v>505</v>
      </c>
      <c r="G1876" s="15">
        <v>46164</v>
      </c>
      <c r="H1876" s="10" t="str">
        <f>IFERROR(INDEX(面试清单!H:H,MATCH(1875,面试清单!P:P,0)),"")</f>
        <v/>
      </c>
      <c r="I1876" s="13" t="s">
        <v>29</v>
      </c>
      <c r="J1876" s="10">
        <f ca="1" t="shared" si="88"/>
        <v>25</v>
      </c>
      <c r="K1876" s="10">
        <f ca="1" t="shared" si="89"/>
        <v>16</v>
      </c>
    </row>
    <row r="1877" ht="18" spans="1:11">
      <c r="A1877" s="14">
        <f t="shared" si="87"/>
        <v>1876</v>
      </c>
      <c r="B1877" s="11" t="s">
        <v>5802</v>
      </c>
      <c r="C1877" s="14" t="str">
        <f>IFERROR(INDEX(面试清单!D:D,MATCH(1876,面试清单!P:P,0)),"")</f>
        <v/>
      </c>
      <c r="D1877" s="11" t="s">
        <v>42</v>
      </c>
      <c r="E1877" s="11" t="s">
        <v>63</v>
      </c>
      <c r="F1877" s="11" t="s">
        <v>103</v>
      </c>
      <c r="G1877" s="15">
        <v>46164</v>
      </c>
      <c r="H1877" s="14" t="str">
        <f>IFERROR(INDEX(面试清单!H:H,MATCH(1876,面试清单!P:P,0)),"")</f>
        <v/>
      </c>
      <c r="I1877" s="13" t="s">
        <v>29</v>
      </c>
      <c r="J1877" s="14">
        <f ca="1" t="shared" si="88"/>
        <v>25</v>
      </c>
      <c r="K1877" s="14">
        <f ca="1" t="shared" si="89"/>
        <v>16</v>
      </c>
    </row>
    <row r="1878" ht="18" spans="1:11">
      <c r="A1878" s="10">
        <f t="shared" si="87"/>
        <v>1877</v>
      </c>
      <c r="B1878" s="11" t="s">
        <v>5803</v>
      </c>
      <c r="C1878" s="10" t="str">
        <f>IFERROR(INDEX(面试清单!D:D,MATCH(1877,面试清单!P:P,0)),"")</f>
        <v/>
      </c>
      <c r="D1878" s="11" t="s">
        <v>74</v>
      </c>
      <c r="E1878" s="11" t="s">
        <v>190</v>
      </c>
      <c r="F1878" s="11" t="s">
        <v>179</v>
      </c>
      <c r="G1878" s="15">
        <v>46164</v>
      </c>
      <c r="H1878" s="10" t="str">
        <f>IFERROR(INDEX(面试清单!H:H,MATCH(1877,面试清单!P:P,0)),"")</f>
        <v/>
      </c>
      <c r="I1878" s="13" t="s">
        <v>29</v>
      </c>
      <c r="J1878" s="10">
        <f ca="1" t="shared" si="88"/>
        <v>25</v>
      </c>
      <c r="K1878" s="10">
        <f ca="1" t="shared" si="89"/>
        <v>16</v>
      </c>
    </row>
    <row r="1879" ht="18" spans="1:11">
      <c r="A1879" s="14">
        <f t="shared" si="87"/>
        <v>1878</v>
      </c>
      <c r="B1879" s="11" t="s">
        <v>5804</v>
      </c>
      <c r="C1879" s="14" t="str">
        <f>IFERROR(INDEX(面试清单!D:D,MATCH(1878,面试清单!P:P,0)),"")</f>
        <v/>
      </c>
      <c r="D1879" s="11" t="s">
        <v>43</v>
      </c>
      <c r="E1879" s="11" t="s">
        <v>63</v>
      </c>
      <c r="F1879" s="11" t="s">
        <v>179</v>
      </c>
      <c r="G1879" s="15">
        <v>46164</v>
      </c>
      <c r="H1879" s="14" t="str">
        <f>IFERROR(INDEX(面试清单!H:H,MATCH(1878,面试清单!P:P,0)),"")</f>
        <v/>
      </c>
      <c r="I1879" s="13" t="s">
        <v>29</v>
      </c>
      <c r="J1879" s="14">
        <f ca="1" t="shared" si="88"/>
        <v>25</v>
      </c>
      <c r="K1879" s="14">
        <f ca="1" t="shared" si="89"/>
        <v>16</v>
      </c>
    </row>
    <row r="1880" ht="18" spans="1:11">
      <c r="A1880" s="10">
        <f t="shared" si="87"/>
        <v>1879</v>
      </c>
      <c r="B1880" s="11" t="s">
        <v>5805</v>
      </c>
      <c r="C1880" s="10" t="str">
        <f>IFERROR(INDEX(面试清单!D:D,MATCH(1879,面试清单!P:P,0)),"")</f>
        <v/>
      </c>
      <c r="D1880" s="11" t="s">
        <v>43</v>
      </c>
      <c r="E1880" s="11" t="s">
        <v>64</v>
      </c>
      <c r="F1880" s="11" t="s">
        <v>179</v>
      </c>
      <c r="G1880" s="15">
        <v>46164</v>
      </c>
      <c r="H1880" s="10" t="str">
        <f>IFERROR(INDEX(面试清单!H:H,MATCH(1879,面试清单!P:P,0)),"")</f>
        <v/>
      </c>
      <c r="I1880" s="13" t="s">
        <v>29</v>
      </c>
      <c r="J1880" s="10">
        <f ca="1" t="shared" si="88"/>
        <v>25</v>
      </c>
      <c r="K1880" s="10">
        <f ca="1" t="shared" si="89"/>
        <v>16</v>
      </c>
    </row>
    <row r="1881" ht="18" spans="1:11">
      <c r="A1881" s="14">
        <f t="shared" si="87"/>
        <v>1880</v>
      </c>
      <c r="B1881" s="11" t="s">
        <v>5806</v>
      </c>
      <c r="C1881" s="124" t="str">
        <f>IFERROR(INDEX(面试清单!D:D,MATCH(1880,面试清单!P:P,0)),"")</f>
        <v>0208</v>
      </c>
      <c r="D1881" s="11" t="s">
        <v>74</v>
      </c>
      <c r="E1881" s="11" t="s">
        <v>64</v>
      </c>
      <c r="F1881" s="11" t="s">
        <v>179</v>
      </c>
      <c r="G1881" s="15">
        <v>46164</v>
      </c>
      <c r="H1881" s="14" t="str">
        <f>IFERROR(INDEX(面试清单!H:H,MATCH(1880,面试清单!P:P,0)),"")</f>
        <v>线上</v>
      </c>
      <c r="I1881" s="13" t="s">
        <v>29</v>
      </c>
      <c r="J1881" s="14">
        <f ca="1" t="shared" si="88"/>
        <v>25</v>
      </c>
      <c r="K1881" s="14">
        <f ca="1" t="shared" si="89"/>
        <v>16</v>
      </c>
    </row>
    <row r="1882" ht="18" spans="1:11">
      <c r="A1882" s="10">
        <f t="shared" si="87"/>
        <v>1881</v>
      </c>
      <c r="B1882" s="11" t="s">
        <v>5807</v>
      </c>
      <c r="C1882" s="125" t="str">
        <f>IFERROR(INDEX(面试清单!D:D,MATCH(1881,面试清单!P:P,0)),"")</f>
        <v>0209</v>
      </c>
      <c r="D1882" s="11" t="s">
        <v>43</v>
      </c>
      <c r="E1882" s="11" t="s">
        <v>62</v>
      </c>
      <c r="F1882" s="11" t="s">
        <v>129</v>
      </c>
      <c r="G1882" s="15">
        <v>46164</v>
      </c>
      <c r="H1882" s="10" t="str">
        <f>IFERROR(INDEX(面试清单!H:H,MATCH(1881,面试清单!P:P,0)),"")</f>
        <v>线上</v>
      </c>
      <c r="I1882" s="13" t="s">
        <v>29</v>
      </c>
      <c r="J1882" s="10">
        <f ca="1" t="shared" si="88"/>
        <v>25</v>
      </c>
      <c r="K1882" s="10">
        <f ca="1" t="shared" si="89"/>
        <v>16</v>
      </c>
    </row>
    <row r="1883" ht="18" spans="1:11">
      <c r="A1883" s="14">
        <f t="shared" si="87"/>
        <v>1882</v>
      </c>
      <c r="B1883" s="11" t="s">
        <v>5808</v>
      </c>
      <c r="C1883" s="124" t="str">
        <f>IFERROR(INDEX(面试清单!D:D,MATCH(1882,面试清单!P:P,0)),"")</f>
        <v>0212</v>
      </c>
      <c r="D1883" s="11" t="s">
        <v>42</v>
      </c>
      <c r="E1883" s="11" t="s">
        <v>62</v>
      </c>
      <c r="F1883" s="11" t="s">
        <v>176</v>
      </c>
      <c r="G1883" s="15">
        <v>46165</v>
      </c>
      <c r="H1883" s="14" t="str">
        <f>IFERROR(INDEX(面试清单!H:H,MATCH(1882,面试清单!P:P,0)),"")</f>
        <v>线上</v>
      </c>
      <c r="I1883" s="13" t="s">
        <v>29</v>
      </c>
      <c r="J1883" s="14">
        <f ca="1" t="shared" si="88"/>
        <v>24</v>
      </c>
      <c r="K1883" s="14">
        <f ca="1" t="shared" si="89"/>
        <v>16</v>
      </c>
    </row>
    <row r="1884" ht="18" spans="1:11">
      <c r="A1884" s="10">
        <f t="shared" si="87"/>
        <v>1883</v>
      </c>
      <c r="B1884" s="11" t="s">
        <v>5809</v>
      </c>
      <c r="C1884" s="10" t="str">
        <f>IFERROR(INDEX(面试清单!D:D,MATCH(1883,面试清单!P:P,0)),"")</f>
        <v/>
      </c>
      <c r="D1884" s="11" t="s">
        <v>42</v>
      </c>
      <c r="E1884" s="11" t="s">
        <v>62</v>
      </c>
      <c r="F1884" s="11" t="s">
        <v>1542</v>
      </c>
      <c r="G1884" s="15">
        <v>46165</v>
      </c>
      <c r="H1884" s="10" t="str">
        <f>IFERROR(INDEX(面试清单!H:H,MATCH(1883,面试清单!P:P,0)),"")</f>
        <v/>
      </c>
      <c r="I1884" s="13" t="s">
        <v>29</v>
      </c>
      <c r="J1884" s="10">
        <f ca="1" t="shared" si="88"/>
        <v>24</v>
      </c>
      <c r="K1884" s="10">
        <f ca="1" t="shared" si="89"/>
        <v>16</v>
      </c>
    </row>
    <row r="1885" ht="18" spans="1:11">
      <c r="A1885" s="14">
        <f t="shared" si="87"/>
        <v>1884</v>
      </c>
      <c r="B1885" s="11" t="s">
        <v>5810</v>
      </c>
      <c r="C1885" s="14" t="str">
        <f>IFERROR(INDEX(面试清单!D:D,MATCH(1884,面试清单!P:P,0)),"")</f>
        <v/>
      </c>
      <c r="D1885" s="11" t="s">
        <v>43</v>
      </c>
      <c r="E1885" s="11" t="s">
        <v>62</v>
      </c>
      <c r="F1885" s="11" t="s">
        <v>148</v>
      </c>
      <c r="G1885" s="15">
        <v>46165</v>
      </c>
      <c r="H1885" s="14" t="str">
        <f>IFERROR(INDEX(面试清单!H:H,MATCH(1884,面试清单!P:P,0)),"")</f>
        <v/>
      </c>
      <c r="I1885" s="13" t="s">
        <v>29</v>
      </c>
      <c r="J1885" s="14">
        <f ca="1" t="shared" si="88"/>
        <v>24</v>
      </c>
      <c r="K1885" s="14">
        <f ca="1" t="shared" si="89"/>
        <v>16</v>
      </c>
    </row>
    <row r="1886" ht="18" spans="1:11">
      <c r="A1886" s="10">
        <f t="shared" si="87"/>
        <v>1885</v>
      </c>
      <c r="B1886" s="11" t="s">
        <v>5811</v>
      </c>
      <c r="C1886" s="10" t="str">
        <f>IFERROR(INDEX(面试清单!D:D,MATCH(1885,面试清单!P:P,0)),"")</f>
        <v/>
      </c>
      <c r="D1886" s="11" t="s">
        <v>42</v>
      </c>
      <c r="E1886" s="11" t="s">
        <v>62</v>
      </c>
      <c r="F1886" s="11" t="s">
        <v>148</v>
      </c>
      <c r="G1886" s="15">
        <v>46165</v>
      </c>
      <c r="H1886" s="10" t="str">
        <f>IFERROR(INDEX(面试清单!H:H,MATCH(1885,面试清单!P:P,0)),"")</f>
        <v/>
      </c>
      <c r="I1886" s="13" t="s">
        <v>29</v>
      </c>
      <c r="J1886" s="10">
        <f ca="1" t="shared" si="88"/>
        <v>24</v>
      </c>
      <c r="K1886" s="10">
        <f ca="1" t="shared" si="89"/>
        <v>16</v>
      </c>
    </row>
    <row r="1887" ht="18" spans="1:11">
      <c r="A1887" s="14">
        <f t="shared" si="87"/>
        <v>1886</v>
      </c>
      <c r="B1887" s="11" t="s">
        <v>5812</v>
      </c>
      <c r="C1887" s="14" t="str">
        <f>IFERROR(INDEX(面试清单!D:D,MATCH(1886,面试清单!P:P,0)),"")</f>
        <v/>
      </c>
      <c r="D1887" s="11" t="s">
        <v>42</v>
      </c>
      <c r="E1887" s="11" t="s">
        <v>62</v>
      </c>
      <c r="F1887" s="11" t="s">
        <v>246</v>
      </c>
      <c r="G1887" s="15">
        <v>46165</v>
      </c>
      <c r="H1887" s="14" t="str">
        <f>IFERROR(INDEX(面试清单!H:H,MATCH(1886,面试清单!P:P,0)),"")</f>
        <v/>
      </c>
      <c r="I1887" s="13" t="s">
        <v>29</v>
      </c>
      <c r="J1887" s="14">
        <f ca="1" t="shared" si="88"/>
        <v>24</v>
      </c>
      <c r="K1887" s="14">
        <f ca="1" t="shared" si="89"/>
        <v>16</v>
      </c>
    </row>
    <row r="1888" ht="18" spans="1:11">
      <c r="A1888" s="10">
        <f t="shared" si="87"/>
        <v>1887</v>
      </c>
      <c r="B1888" s="11" t="s">
        <v>5813</v>
      </c>
      <c r="C1888" s="10" t="str">
        <f>IFERROR(INDEX(面试清单!D:D,MATCH(1887,面试清单!P:P,0)),"")</f>
        <v/>
      </c>
      <c r="D1888" s="11" t="s">
        <v>42</v>
      </c>
      <c r="E1888" s="11" t="s">
        <v>62</v>
      </c>
      <c r="F1888" s="11" t="s">
        <v>103</v>
      </c>
      <c r="G1888" s="15">
        <v>46165</v>
      </c>
      <c r="H1888" s="10" t="str">
        <f>IFERROR(INDEX(面试清单!H:H,MATCH(1887,面试清单!P:P,0)),"")</f>
        <v/>
      </c>
      <c r="I1888" s="13" t="s">
        <v>29</v>
      </c>
      <c r="J1888" s="10">
        <f ca="1" t="shared" si="88"/>
        <v>24</v>
      </c>
      <c r="K1888" s="10">
        <f ca="1" t="shared" si="89"/>
        <v>16</v>
      </c>
    </row>
    <row r="1889" ht="18" spans="1:11">
      <c r="A1889" s="14">
        <f t="shared" si="87"/>
        <v>1888</v>
      </c>
      <c r="B1889" s="11" t="s">
        <v>5814</v>
      </c>
      <c r="C1889" s="14" t="str">
        <f>IFERROR(INDEX(面试清单!D:D,MATCH(1888,面试清单!P:P,0)),"")</f>
        <v/>
      </c>
      <c r="D1889" s="11" t="s">
        <v>42</v>
      </c>
      <c r="E1889" s="11" t="s">
        <v>63</v>
      </c>
      <c r="F1889" s="11" t="s">
        <v>307</v>
      </c>
      <c r="G1889" s="15">
        <v>46165</v>
      </c>
      <c r="H1889" s="14" t="str">
        <f>IFERROR(INDEX(面试清单!H:H,MATCH(1888,面试清单!P:P,0)),"")</f>
        <v/>
      </c>
      <c r="I1889" s="13" t="s">
        <v>29</v>
      </c>
      <c r="J1889" s="14">
        <f ca="1" t="shared" si="88"/>
        <v>24</v>
      </c>
      <c r="K1889" s="14">
        <f ca="1" t="shared" si="89"/>
        <v>16</v>
      </c>
    </row>
    <row r="1890" ht="18" spans="1:11">
      <c r="A1890" s="10">
        <f t="shared" si="87"/>
        <v>1889</v>
      </c>
      <c r="B1890" s="11" t="s">
        <v>2082</v>
      </c>
      <c r="C1890" s="10" t="str">
        <f>IFERROR(INDEX(面试清单!D:D,MATCH(1889,面试清单!P:P,0)),"")</f>
        <v/>
      </c>
      <c r="D1890" s="11" t="s">
        <v>42</v>
      </c>
      <c r="E1890" s="11" t="s">
        <v>63</v>
      </c>
      <c r="F1890" s="11" t="s">
        <v>307</v>
      </c>
      <c r="G1890" s="15">
        <v>46165</v>
      </c>
      <c r="H1890" s="10" t="str">
        <f>IFERROR(INDEX(面试清单!H:H,MATCH(1889,面试清单!P:P,0)),"")</f>
        <v/>
      </c>
      <c r="I1890" s="13" t="s">
        <v>29</v>
      </c>
      <c r="J1890" s="10">
        <f ca="1" t="shared" si="88"/>
        <v>24</v>
      </c>
      <c r="K1890" s="10">
        <f ca="1" t="shared" si="89"/>
        <v>16</v>
      </c>
    </row>
    <row r="1891" ht="18" spans="1:11">
      <c r="A1891" s="14">
        <f t="shared" si="87"/>
        <v>1890</v>
      </c>
      <c r="B1891" s="11" t="s">
        <v>5815</v>
      </c>
      <c r="C1891" s="14" t="str">
        <f>IFERROR(INDEX(面试清单!D:D,MATCH(1890,面试清单!P:P,0)),"")</f>
        <v/>
      </c>
      <c r="D1891" s="11" t="s">
        <v>42</v>
      </c>
      <c r="E1891" s="11" t="s">
        <v>63</v>
      </c>
      <c r="F1891" s="11" t="s">
        <v>307</v>
      </c>
      <c r="G1891" s="15">
        <v>46165</v>
      </c>
      <c r="H1891" s="14" t="str">
        <f>IFERROR(INDEX(面试清单!H:H,MATCH(1890,面试清单!P:P,0)),"")</f>
        <v/>
      </c>
      <c r="I1891" s="13" t="s">
        <v>29</v>
      </c>
      <c r="J1891" s="14">
        <f ca="1" t="shared" si="88"/>
        <v>24</v>
      </c>
      <c r="K1891" s="14">
        <f ca="1" t="shared" si="89"/>
        <v>16</v>
      </c>
    </row>
    <row r="1892" ht="18" spans="1:11">
      <c r="A1892" s="10">
        <f t="shared" si="87"/>
        <v>1891</v>
      </c>
      <c r="B1892" s="11" t="s">
        <v>5816</v>
      </c>
      <c r="C1892" s="10" t="str">
        <f>IFERROR(INDEX(面试清单!D:D,MATCH(1891,面试清单!P:P,0)),"")</f>
        <v/>
      </c>
      <c r="D1892" s="11" t="s">
        <v>42</v>
      </c>
      <c r="E1892" s="11" t="s">
        <v>63</v>
      </c>
      <c r="F1892" s="11" t="s">
        <v>307</v>
      </c>
      <c r="G1892" s="15">
        <v>46165</v>
      </c>
      <c r="H1892" s="10" t="str">
        <f>IFERROR(INDEX(面试清单!H:H,MATCH(1891,面试清单!P:P,0)),"")</f>
        <v/>
      </c>
      <c r="I1892" s="13" t="s">
        <v>29</v>
      </c>
      <c r="J1892" s="10">
        <f ca="1" t="shared" si="88"/>
        <v>24</v>
      </c>
      <c r="K1892" s="10">
        <f ca="1" t="shared" si="89"/>
        <v>16</v>
      </c>
    </row>
    <row r="1893" ht="18" spans="1:11">
      <c r="A1893" s="14">
        <f t="shared" si="87"/>
        <v>1892</v>
      </c>
      <c r="B1893" s="11" t="s">
        <v>5817</v>
      </c>
      <c r="C1893" s="14" t="str">
        <f>IFERROR(INDEX(面试清单!D:D,MATCH(1892,面试清单!P:P,0)),"")</f>
        <v/>
      </c>
      <c r="D1893" s="11" t="s">
        <v>42</v>
      </c>
      <c r="E1893" s="11" t="s">
        <v>63</v>
      </c>
      <c r="F1893" s="11" t="s">
        <v>307</v>
      </c>
      <c r="G1893" s="15">
        <v>46165</v>
      </c>
      <c r="H1893" s="14" t="str">
        <f>IFERROR(INDEX(面试清单!H:H,MATCH(1892,面试清单!P:P,0)),"")</f>
        <v/>
      </c>
      <c r="I1893" s="13" t="s">
        <v>29</v>
      </c>
      <c r="J1893" s="14">
        <f ca="1" t="shared" si="88"/>
        <v>24</v>
      </c>
      <c r="K1893" s="14">
        <f ca="1" t="shared" si="89"/>
        <v>16</v>
      </c>
    </row>
    <row r="1894" ht="18" spans="1:11">
      <c r="A1894" s="10">
        <f t="shared" si="87"/>
        <v>1893</v>
      </c>
      <c r="B1894" s="11" t="s">
        <v>2183</v>
      </c>
      <c r="C1894" s="125" t="str">
        <f>IFERROR(INDEX(面试清单!D:D,MATCH(1893,面试清单!P:P,0)),"")</f>
        <v>0217</v>
      </c>
      <c r="D1894" s="11" t="s">
        <v>42</v>
      </c>
      <c r="E1894" s="11" t="s">
        <v>63</v>
      </c>
      <c r="F1894" s="11" t="s">
        <v>307</v>
      </c>
      <c r="G1894" s="15">
        <v>46165</v>
      </c>
      <c r="H1894" s="10" t="str">
        <f>IFERROR(INDEX(面试清单!H:H,MATCH(1893,面试清单!P:P,0)),"")</f>
        <v>线上</v>
      </c>
      <c r="I1894" s="13" t="s">
        <v>29</v>
      </c>
      <c r="J1894" s="10">
        <f ca="1" t="shared" si="88"/>
        <v>24</v>
      </c>
      <c r="K1894" s="10">
        <f ca="1" t="shared" si="89"/>
        <v>16</v>
      </c>
    </row>
    <row r="1895" ht="18" spans="1:11">
      <c r="A1895" s="14">
        <f t="shared" si="87"/>
        <v>1894</v>
      </c>
      <c r="B1895" s="11" t="s">
        <v>5818</v>
      </c>
      <c r="C1895" s="14" t="str">
        <f>IFERROR(INDEX(面试清单!D:D,MATCH(1894,面试清单!P:P,0)),"")</f>
        <v/>
      </c>
      <c r="D1895" s="11" t="s">
        <v>42</v>
      </c>
      <c r="E1895" s="11" t="s">
        <v>63</v>
      </c>
      <c r="F1895" s="11" t="s">
        <v>307</v>
      </c>
      <c r="G1895" s="15">
        <v>46165</v>
      </c>
      <c r="H1895" s="14" t="str">
        <f>IFERROR(INDEX(面试清单!H:H,MATCH(1894,面试清单!P:P,0)),"")</f>
        <v/>
      </c>
      <c r="I1895" s="13" t="s">
        <v>29</v>
      </c>
      <c r="J1895" s="14">
        <f ca="1" t="shared" si="88"/>
        <v>24</v>
      </c>
      <c r="K1895" s="14">
        <f ca="1" t="shared" si="89"/>
        <v>16</v>
      </c>
    </row>
    <row r="1896" ht="18" spans="1:11">
      <c r="A1896" s="10">
        <f t="shared" si="87"/>
        <v>1895</v>
      </c>
      <c r="B1896" s="11" t="s">
        <v>5819</v>
      </c>
      <c r="C1896" s="10" t="str">
        <f>IFERROR(INDEX(面试清单!D:D,MATCH(1895,面试清单!P:P,0)),"")</f>
        <v/>
      </c>
      <c r="D1896" s="11" t="s">
        <v>42</v>
      </c>
      <c r="E1896" s="11" t="s">
        <v>63</v>
      </c>
      <c r="F1896" s="11" t="s">
        <v>307</v>
      </c>
      <c r="G1896" s="15">
        <v>46165</v>
      </c>
      <c r="H1896" s="10" t="str">
        <f>IFERROR(INDEX(面试清单!H:H,MATCH(1895,面试清单!P:P,0)),"")</f>
        <v/>
      </c>
      <c r="I1896" s="13" t="s">
        <v>29</v>
      </c>
      <c r="J1896" s="10">
        <f ca="1" t="shared" si="88"/>
        <v>24</v>
      </c>
      <c r="K1896" s="10">
        <f ca="1" t="shared" si="89"/>
        <v>16</v>
      </c>
    </row>
    <row r="1897" ht="18" spans="1:11">
      <c r="A1897" s="14">
        <f t="shared" si="87"/>
        <v>1896</v>
      </c>
      <c r="B1897" s="11" t="s">
        <v>5820</v>
      </c>
      <c r="C1897" s="14" t="str">
        <f>IFERROR(INDEX(面试清单!D:D,MATCH(1896,面试清单!P:P,0)),"")</f>
        <v/>
      </c>
      <c r="D1897" s="11" t="s">
        <v>43</v>
      </c>
      <c r="E1897" s="11" t="s">
        <v>62</v>
      </c>
      <c r="F1897" s="11" t="s">
        <v>1426</v>
      </c>
      <c r="G1897" s="15">
        <v>46165</v>
      </c>
      <c r="H1897" s="14" t="str">
        <f>IFERROR(INDEX(面试清单!H:H,MATCH(1896,面试清单!P:P,0)),"")</f>
        <v/>
      </c>
      <c r="I1897" s="13" t="s">
        <v>29</v>
      </c>
      <c r="J1897" s="14">
        <f ca="1" t="shared" si="88"/>
        <v>24</v>
      </c>
      <c r="K1897" s="14">
        <f ca="1" t="shared" si="89"/>
        <v>16</v>
      </c>
    </row>
    <row r="1898" ht="18" spans="1:11">
      <c r="A1898" s="10">
        <f t="shared" si="87"/>
        <v>1897</v>
      </c>
      <c r="B1898" s="11" t="s">
        <v>5821</v>
      </c>
      <c r="C1898" s="10" t="str">
        <f>IFERROR(INDEX(面试清单!D:D,MATCH(1897,面试清单!P:P,0)),"")</f>
        <v/>
      </c>
      <c r="D1898" s="11" t="s">
        <v>42</v>
      </c>
      <c r="E1898" s="11" t="s">
        <v>62</v>
      </c>
      <c r="F1898" s="11" t="s">
        <v>132</v>
      </c>
      <c r="G1898" s="15">
        <v>46165</v>
      </c>
      <c r="H1898" s="10" t="str">
        <f>IFERROR(INDEX(面试清单!H:H,MATCH(1897,面试清单!P:P,0)),"")</f>
        <v/>
      </c>
      <c r="I1898" s="13" t="s">
        <v>29</v>
      </c>
      <c r="J1898" s="10">
        <f ca="1" t="shared" si="88"/>
        <v>24</v>
      </c>
      <c r="K1898" s="10">
        <f ca="1" t="shared" si="89"/>
        <v>16</v>
      </c>
    </row>
    <row r="1899" ht="18" spans="1:11">
      <c r="A1899" s="14">
        <f t="shared" si="87"/>
        <v>1898</v>
      </c>
      <c r="B1899" s="11" t="s">
        <v>5822</v>
      </c>
      <c r="C1899" s="14" t="str">
        <f>IFERROR(INDEX(面试清单!D:D,MATCH(1898,面试清单!P:P,0)),"")</f>
        <v/>
      </c>
      <c r="D1899" s="11" t="s">
        <v>43</v>
      </c>
      <c r="E1899" s="11" t="s">
        <v>62</v>
      </c>
      <c r="F1899" s="11" t="s">
        <v>132</v>
      </c>
      <c r="G1899" s="15">
        <v>46165</v>
      </c>
      <c r="H1899" s="14" t="str">
        <f>IFERROR(INDEX(面试清单!H:H,MATCH(1898,面试清单!P:P,0)),"")</f>
        <v/>
      </c>
      <c r="I1899" s="13" t="s">
        <v>29</v>
      </c>
      <c r="J1899" s="14">
        <f ca="1" t="shared" si="88"/>
        <v>24</v>
      </c>
      <c r="K1899" s="14">
        <f ca="1" t="shared" si="89"/>
        <v>16</v>
      </c>
    </row>
    <row r="1900" ht="18" spans="1:11">
      <c r="A1900" s="10">
        <f t="shared" si="87"/>
        <v>1899</v>
      </c>
      <c r="B1900" s="11" t="s">
        <v>5823</v>
      </c>
      <c r="C1900" s="10" t="str">
        <f>IFERROR(INDEX(面试清单!D:D,MATCH(1899,面试清单!P:P,0)),"")</f>
        <v/>
      </c>
      <c r="D1900" s="11" t="s">
        <v>42</v>
      </c>
      <c r="E1900" s="11" t="s">
        <v>62</v>
      </c>
      <c r="F1900" s="11" t="s">
        <v>173</v>
      </c>
      <c r="G1900" s="15">
        <v>46165</v>
      </c>
      <c r="H1900" s="10" t="str">
        <f>IFERROR(INDEX(面试清单!H:H,MATCH(1899,面试清单!P:P,0)),"")</f>
        <v/>
      </c>
      <c r="I1900" s="13" t="s">
        <v>29</v>
      </c>
      <c r="J1900" s="10">
        <f ca="1" t="shared" si="88"/>
        <v>24</v>
      </c>
      <c r="K1900" s="10">
        <f ca="1" t="shared" si="89"/>
        <v>16</v>
      </c>
    </row>
    <row r="1901" ht="18" spans="1:11">
      <c r="A1901" s="14">
        <f t="shared" si="87"/>
        <v>1900</v>
      </c>
      <c r="B1901" s="11" t="s">
        <v>5824</v>
      </c>
      <c r="C1901" s="124" t="str">
        <f>IFERROR(INDEX(面试清单!D:D,MATCH(1900,面试清单!P:P,0)),"")</f>
        <v>0212</v>
      </c>
      <c r="D1901" s="11" t="s">
        <v>42</v>
      </c>
      <c r="E1901" s="11" t="s">
        <v>62</v>
      </c>
      <c r="F1901" s="11" t="s">
        <v>129</v>
      </c>
      <c r="G1901" s="15">
        <v>46165</v>
      </c>
      <c r="H1901" s="14" t="str">
        <f>IFERROR(INDEX(面试清单!H:H,MATCH(1900,面试清单!P:P,0)),"")</f>
        <v>线上</v>
      </c>
      <c r="I1901" s="13" t="s">
        <v>29</v>
      </c>
      <c r="J1901" s="14">
        <f ca="1" t="shared" si="88"/>
        <v>24</v>
      </c>
      <c r="K1901" s="14">
        <f ca="1" t="shared" si="89"/>
        <v>16</v>
      </c>
    </row>
    <row r="1902" ht="18" spans="1:11">
      <c r="A1902" s="10">
        <f t="shared" si="87"/>
        <v>1901</v>
      </c>
      <c r="B1902" s="11" t="s">
        <v>5825</v>
      </c>
      <c r="C1902" s="10" t="str">
        <f>IFERROR(INDEX(面试清单!D:D,MATCH(1901,面试清单!P:P,0)),"")</f>
        <v/>
      </c>
      <c r="D1902" s="11" t="s">
        <v>43</v>
      </c>
      <c r="E1902" s="11" t="s">
        <v>62</v>
      </c>
      <c r="F1902" s="11" t="s">
        <v>468</v>
      </c>
      <c r="G1902" s="15">
        <v>46165</v>
      </c>
      <c r="H1902" s="10" t="str">
        <f>IFERROR(INDEX(面试清单!H:H,MATCH(1901,面试清单!P:P,0)),"")</f>
        <v/>
      </c>
      <c r="I1902" s="13" t="s">
        <v>29</v>
      </c>
      <c r="J1902" s="10">
        <f ca="1" t="shared" si="88"/>
        <v>24</v>
      </c>
      <c r="K1902" s="10">
        <f ca="1" t="shared" si="89"/>
        <v>16</v>
      </c>
    </row>
    <row r="1903" ht="18" spans="1:11">
      <c r="A1903" s="14">
        <f t="shared" si="87"/>
        <v>1902</v>
      </c>
      <c r="B1903" s="11" t="s">
        <v>5826</v>
      </c>
      <c r="C1903" s="14" t="str">
        <f>IFERROR(INDEX(面试清单!D:D,MATCH(1902,面试清单!P:P,0)),"")</f>
        <v/>
      </c>
      <c r="D1903" s="11" t="s">
        <v>43</v>
      </c>
      <c r="E1903" s="11" t="s">
        <v>62</v>
      </c>
      <c r="F1903" s="11" t="s">
        <v>505</v>
      </c>
      <c r="G1903" s="15">
        <v>46165</v>
      </c>
      <c r="H1903" s="14" t="str">
        <f>IFERROR(INDEX(面试清单!H:H,MATCH(1902,面试清单!P:P,0)),"")</f>
        <v/>
      </c>
      <c r="I1903" s="13" t="s">
        <v>29</v>
      </c>
      <c r="J1903" s="14">
        <f ca="1" t="shared" si="88"/>
        <v>24</v>
      </c>
      <c r="K1903" s="14">
        <f ca="1" t="shared" si="89"/>
        <v>16</v>
      </c>
    </row>
    <row r="1904" ht="18" spans="1:11">
      <c r="A1904" s="10">
        <f t="shared" si="87"/>
        <v>1903</v>
      </c>
      <c r="B1904" s="11" t="s">
        <v>5827</v>
      </c>
      <c r="C1904" s="10" t="str">
        <f>IFERROR(INDEX(面试清单!D:D,MATCH(1903,面试清单!P:P,0)),"")</f>
        <v/>
      </c>
      <c r="D1904" s="11" t="s">
        <v>42</v>
      </c>
      <c r="E1904" s="11" t="s">
        <v>62</v>
      </c>
      <c r="F1904" s="11" t="s">
        <v>468</v>
      </c>
      <c r="G1904" s="15">
        <v>46165</v>
      </c>
      <c r="H1904" s="10" t="str">
        <f>IFERROR(INDEX(面试清单!H:H,MATCH(1903,面试清单!P:P,0)),"")</f>
        <v/>
      </c>
      <c r="I1904" s="13" t="s">
        <v>29</v>
      </c>
      <c r="J1904" s="10">
        <f ca="1" t="shared" si="88"/>
        <v>24</v>
      </c>
      <c r="K1904" s="10">
        <f ca="1" t="shared" si="89"/>
        <v>16</v>
      </c>
    </row>
    <row r="1905" ht="18" spans="1:11">
      <c r="A1905" s="14">
        <f t="shared" si="87"/>
        <v>1904</v>
      </c>
      <c r="B1905" s="11" t="s">
        <v>5828</v>
      </c>
      <c r="C1905" s="14" t="str">
        <f>IFERROR(INDEX(面试清单!D:D,MATCH(1904,面试清单!P:P,0)),"")</f>
        <v/>
      </c>
      <c r="D1905" s="11" t="s">
        <v>43</v>
      </c>
      <c r="E1905" s="11" t="s">
        <v>64</v>
      </c>
      <c r="F1905" s="11" t="s">
        <v>179</v>
      </c>
      <c r="G1905" s="15">
        <v>46165</v>
      </c>
      <c r="H1905" s="14" t="str">
        <f>IFERROR(INDEX(面试清单!H:H,MATCH(1904,面试清单!P:P,0)),"")</f>
        <v/>
      </c>
      <c r="I1905" s="13" t="s">
        <v>29</v>
      </c>
      <c r="J1905" s="14">
        <f ca="1" t="shared" si="88"/>
        <v>24</v>
      </c>
      <c r="K1905" s="14">
        <f ca="1" t="shared" si="89"/>
        <v>16</v>
      </c>
    </row>
    <row r="1906" ht="18" spans="1:11">
      <c r="A1906" s="10">
        <f t="shared" si="87"/>
        <v>1905</v>
      </c>
      <c r="B1906" s="11" t="s">
        <v>5829</v>
      </c>
      <c r="C1906" s="10" t="str">
        <f>IFERROR(INDEX(面试清单!D:D,MATCH(1905,面试清单!P:P,0)),"")</f>
        <v/>
      </c>
      <c r="D1906" s="11" t="s">
        <v>42</v>
      </c>
      <c r="E1906" s="11" t="s">
        <v>62</v>
      </c>
      <c r="F1906" s="11" t="s">
        <v>103</v>
      </c>
      <c r="G1906" s="15">
        <v>46165</v>
      </c>
      <c r="H1906" s="10" t="str">
        <f>IFERROR(INDEX(面试清单!H:H,MATCH(1905,面试清单!P:P,0)),"")</f>
        <v/>
      </c>
      <c r="I1906" s="13" t="s">
        <v>29</v>
      </c>
      <c r="J1906" s="10">
        <f ca="1" t="shared" si="88"/>
        <v>24</v>
      </c>
      <c r="K1906" s="10">
        <f ca="1" t="shared" si="89"/>
        <v>16</v>
      </c>
    </row>
    <row r="1907" ht="18" spans="1:11">
      <c r="A1907" s="14">
        <f t="shared" si="87"/>
        <v>1906</v>
      </c>
      <c r="B1907" s="11" t="s">
        <v>5830</v>
      </c>
      <c r="C1907" s="124" t="str">
        <f>IFERROR(INDEX(面试清单!D:D,MATCH(1906,面试清单!P:P,0)),"")</f>
        <v>0222</v>
      </c>
      <c r="D1907" s="11" t="s">
        <v>43</v>
      </c>
      <c r="E1907" s="11" t="s">
        <v>62</v>
      </c>
      <c r="F1907" s="11" t="s">
        <v>468</v>
      </c>
      <c r="G1907" s="15">
        <v>46165</v>
      </c>
      <c r="H1907" s="14" t="str">
        <f>IFERROR(INDEX(面试清单!H:H,MATCH(1906,面试清单!P:P,0)),"")</f>
        <v>线上</v>
      </c>
      <c r="I1907" s="13" t="s">
        <v>29</v>
      </c>
      <c r="J1907" s="14">
        <f ca="1" t="shared" si="88"/>
        <v>24</v>
      </c>
      <c r="K1907" s="14">
        <f ca="1" t="shared" si="89"/>
        <v>16</v>
      </c>
    </row>
    <row r="1908" ht="18" spans="1:11">
      <c r="A1908" s="10">
        <f t="shared" si="87"/>
        <v>1907</v>
      </c>
      <c r="B1908" s="11" t="s">
        <v>5831</v>
      </c>
      <c r="C1908" s="125" t="str">
        <f>IFERROR(INDEX(面试清单!D:D,MATCH(1907,面试清单!P:P,0)),"")</f>
        <v>0208</v>
      </c>
      <c r="D1908" s="11" t="s">
        <v>42</v>
      </c>
      <c r="E1908" s="11" t="s">
        <v>62</v>
      </c>
      <c r="F1908" s="11" t="s">
        <v>530</v>
      </c>
      <c r="G1908" s="15">
        <v>46166</v>
      </c>
      <c r="H1908" s="10" t="str">
        <f>IFERROR(INDEX(面试清单!H:H,MATCH(1907,面试清单!P:P,0)),"")</f>
        <v>线上</v>
      </c>
      <c r="I1908" s="13" t="s">
        <v>29</v>
      </c>
      <c r="J1908" s="10">
        <f ca="1" t="shared" si="88"/>
        <v>23</v>
      </c>
      <c r="K1908" s="10">
        <f ca="1" t="shared" si="89"/>
        <v>16</v>
      </c>
    </row>
    <row r="1909" ht="18" spans="1:11">
      <c r="A1909" s="14">
        <f t="shared" si="87"/>
        <v>1908</v>
      </c>
      <c r="B1909" s="11" t="s">
        <v>5832</v>
      </c>
      <c r="C1909" s="124" t="str">
        <f>IFERROR(INDEX(面试清单!D:D,MATCH(1908,面试清单!P:P,0)),"")</f>
        <v>0209</v>
      </c>
      <c r="D1909" s="11" t="s">
        <v>43</v>
      </c>
      <c r="E1909" s="11" t="s">
        <v>63</v>
      </c>
      <c r="F1909" s="11" t="s">
        <v>176</v>
      </c>
      <c r="G1909" s="15">
        <v>46166</v>
      </c>
      <c r="H1909" s="14" t="str">
        <f>IFERROR(INDEX(面试清单!H:H,MATCH(1908,面试清单!P:P,0)),"")</f>
        <v>线上</v>
      </c>
      <c r="I1909" s="13" t="s">
        <v>29</v>
      </c>
      <c r="J1909" s="14">
        <f ca="1" t="shared" si="88"/>
        <v>23</v>
      </c>
      <c r="K1909" s="14">
        <f ca="1" t="shared" si="89"/>
        <v>16</v>
      </c>
    </row>
    <row r="1910" ht="18" spans="1:11">
      <c r="A1910" s="10">
        <f t="shared" si="87"/>
        <v>1909</v>
      </c>
      <c r="B1910" s="11" t="s">
        <v>5833</v>
      </c>
      <c r="C1910" s="10" t="str">
        <f>IFERROR(INDEX(面试清单!D:D,MATCH(1909,面试清单!P:P,0)),"")</f>
        <v/>
      </c>
      <c r="D1910" s="11" t="s">
        <v>43</v>
      </c>
      <c r="E1910" s="11" t="s">
        <v>63</v>
      </c>
      <c r="F1910" s="11" t="s">
        <v>176</v>
      </c>
      <c r="G1910" s="15">
        <v>46166</v>
      </c>
      <c r="H1910" s="10" t="str">
        <f>IFERROR(INDEX(面试清单!H:H,MATCH(1909,面试清单!P:P,0)),"")</f>
        <v/>
      </c>
      <c r="I1910" s="13" t="s">
        <v>29</v>
      </c>
      <c r="J1910" s="10">
        <f ca="1" t="shared" si="88"/>
        <v>23</v>
      </c>
      <c r="K1910" s="10">
        <f ca="1" t="shared" si="89"/>
        <v>16</v>
      </c>
    </row>
    <row r="1911" ht="18" spans="1:11">
      <c r="A1911" s="14">
        <f t="shared" si="87"/>
        <v>1910</v>
      </c>
      <c r="B1911" s="11" t="s">
        <v>5834</v>
      </c>
      <c r="C1911" s="124" t="str">
        <f>IFERROR(INDEX(面试清单!D:D,MATCH(1910,面试清单!P:P,0)),"")</f>
        <v>0214</v>
      </c>
      <c r="D1911" s="11" t="s">
        <v>43</v>
      </c>
      <c r="E1911" s="11" t="s">
        <v>62</v>
      </c>
      <c r="F1911" s="11" t="s">
        <v>307</v>
      </c>
      <c r="G1911" s="15">
        <v>46166</v>
      </c>
      <c r="H1911" s="14" t="str">
        <f>IFERROR(INDEX(面试清单!H:H,MATCH(1910,面试清单!P:P,0)),"")</f>
        <v>线上</v>
      </c>
      <c r="I1911" s="13" t="s">
        <v>29</v>
      </c>
      <c r="J1911" s="14">
        <f ca="1" t="shared" si="88"/>
        <v>23</v>
      </c>
      <c r="K1911" s="14">
        <f ca="1" t="shared" si="89"/>
        <v>16</v>
      </c>
    </row>
    <row r="1912" ht="18" spans="1:11">
      <c r="A1912" s="10">
        <f t="shared" si="87"/>
        <v>1911</v>
      </c>
      <c r="B1912" s="11" t="s">
        <v>5835</v>
      </c>
      <c r="C1912" s="10" t="str">
        <f>IFERROR(INDEX(面试清单!D:D,MATCH(1911,面试清单!P:P,0)),"")</f>
        <v/>
      </c>
      <c r="D1912" s="11" t="s">
        <v>43</v>
      </c>
      <c r="E1912" s="11" t="s">
        <v>62</v>
      </c>
      <c r="F1912" s="11" t="s">
        <v>307</v>
      </c>
      <c r="G1912" s="15">
        <v>46166</v>
      </c>
      <c r="H1912" s="10" t="str">
        <f>IFERROR(INDEX(面试清单!H:H,MATCH(1911,面试清单!P:P,0)),"")</f>
        <v/>
      </c>
      <c r="I1912" s="13" t="s">
        <v>29</v>
      </c>
      <c r="J1912" s="10">
        <f ca="1" t="shared" si="88"/>
        <v>23</v>
      </c>
      <c r="K1912" s="10">
        <f ca="1" t="shared" si="89"/>
        <v>16</v>
      </c>
    </row>
    <row r="1913" ht="18" spans="1:11">
      <c r="A1913" s="14">
        <f t="shared" si="87"/>
        <v>1912</v>
      </c>
      <c r="B1913" s="11" t="s">
        <v>5836</v>
      </c>
      <c r="C1913" s="14" t="str">
        <f>IFERROR(INDEX(面试清单!D:D,MATCH(1912,面试清单!P:P,0)),"")</f>
        <v/>
      </c>
      <c r="D1913" s="11" t="s">
        <v>43</v>
      </c>
      <c r="E1913" s="11" t="s">
        <v>62</v>
      </c>
      <c r="F1913" s="11" t="s">
        <v>307</v>
      </c>
      <c r="G1913" s="15">
        <v>46166</v>
      </c>
      <c r="H1913" s="14" t="str">
        <f>IFERROR(INDEX(面试清单!H:H,MATCH(1912,面试清单!P:P,0)),"")</f>
        <v/>
      </c>
      <c r="I1913" s="13" t="s">
        <v>29</v>
      </c>
      <c r="J1913" s="14">
        <f ca="1" t="shared" si="88"/>
        <v>23</v>
      </c>
      <c r="K1913" s="14">
        <f ca="1" t="shared" si="89"/>
        <v>16</v>
      </c>
    </row>
    <row r="1914" ht="18" spans="1:11">
      <c r="A1914" s="10">
        <f t="shared" si="87"/>
        <v>1913</v>
      </c>
      <c r="B1914" s="11" t="s">
        <v>5837</v>
      </c>
      <c r="C1914" s="10" t="str">
        <f>IFERROR(INDEX(面试清单!D:D,MATCH(1913,面试清单!P:P,0)),"")</f>
        <v/>
      </c>
      <c r="D1914" s="11" t="s">
        <v>42</v>
      </c>
      <c r="E1914" s="11" t="s">
        <v>63</v>
      </c>
      <c r="F1914" s="11" t="s">
        <v>307</v>
      </c>
      <c r="G1914" s="15">
        <v>46166</v>
      </c>
      <c r="H1914" s="10" t="str">
        <f>IFERROR(INDEX(面试清单!H:H,MATCH(1913,面试清单!P:P,0)),"")</f>
        <v/>
      </c>
      <c r="I1914" s="13" t="s">
        <v>29</v>
      </c>
      <c r="J1914" s="10">
        <f ca="1" t="shared" si="88"/>
        <v>23</v>
      </c>
      <c r="K1914" s="10">
        <f ca="1" t="shared" si="89"/>
        <v>16</v>
      </c>
    </row>
    <row r="1915" ht="18" spans="1:11">
      <c r="A1915" s="14">
        <f t="shared" si="87"/>
        <v>1914</v>
      </c>
      <c r="B1915" s="11" t="s">
        <v>5838</v>
      </c>
      <c r="C1915" s="14" t="str">
        <f>IFERROR(INDEX(面试清单!D:D,MATCH(1914,面试清单!P:P,0)),"")</f>
        <v/>
      </c>
      <c r="D1915" s="11" t="s">
        <v>42</v>
      </c>
      <c r="E1915" s="11" t="s">
        <v>63</v>
      </c>
      <c r="F1915" s="11" t="s">
        <v>307</v>
      </c>
      <c r="G1915" s="15">
        <v>46166</v>
      </c>
      <c r="H1915" s="14" t="str">
        <f>IFERROR(INDEX(面试清单!H:H,MATCH(1914,面试清单!P:P,0)),"")</f>
        <v/>
      </c>
      <c r="I1915" s="13" t="s">
        <v>29</v>
      </c>
      <c r="J1915" s="14">
        <f ca="1" t="shared" si="88"/>
        <v>23</v>
      </c>
      <c r="K1915" s="14">
        <f ca="1" t="shared" si="89"/>
        <v>16</v>
      </c>
    </row>
    <row r="1916" ht="18" spans="1:11">
      <c r="A1916" s="10">
        <f t="shared" si="87"/>
        <v>1915</v>
      </c>
      <c r="B1916" s="11" t="s">
        <v>5839</v>
      </c>
      <c r="C1916" s="10" t="str">
        <f>IFERROR(INDEX(面试清单!D:D,MATCH(1915,面试清单!P:P,0)),"")</f>
        <v/>
      </c>
      <c r="D1916" s="11" t="s">
        <v>43</v>
      </c>
      <c r="E1916" s="11" t="s">
        <v>62</v>
      </c>
      <c r="F1916" s="11" t="s">
        <v>733</v>
      </c>
      <c r="G1916" s="15">
        <v>46166</v>
      </c>
      <c r="H1916" s="10" t="str">
        <f>IFERROR(INDEX(面试清单!H:H,MATCH(1915,面试清单!P:P,0)),"")</f>
        <v/>
      </c>
      <c r="I1916" s="13" t="s">
        <v>29</v>
      </c>
      <c r="J1916" s="10">
        <f ca="1" t="shared" si="88"/>
        <v>23</v>
      </c>
      <c r="K1916" s="10">
        <f ca="1" t="shared" si="89"/>
        <v>16</v>
      </c>
    </row>
    <row r="1917" ht="18" spans="1:11">
      <c r="A1917" s="14">
        <f t="shared" si="87"/>
        <v>1916</v>
      </c>
      <c r="B1917" s="11" t="s">
        <v>5840</v>
      </c>
      <c r="C1917" s="14" t="str">
        <f>IFERROR(INDEX(面试清单!D:D,MATCH(1916,面试清单!P:P,0)),"")</f>
        <v/>
      </c>
      <c r="D1917" s="11" t="s">
        <v>42</v>
      </c>
      <c r="E1917" s="11" t="s">
        <v>62</v>
      </c>
      <c r="F1917" s="11" t="s">
        <v>148</v>
      </c>
      <c r="G1917" s="15">
        <v>46166</v>
      </c>
      <c r="H1917" s="14" t="str">
        <f>IFERROR(INDEX(面试清单!H:H,MATCH(1916,面试清单!P:P,0)),"")</f>
        <v/>
      </c>
      <c r="I1917" s="13" t="s">
        <v>29</v>
      </c>
      <c r="J1917" s="14">
        <f ca="1" t="shared" si="88"/>
        <v>23</v>
      </c>
      <c r="K1917" s="14">
        <f ca="1" t="shared" si="89"/>
        <v>16</v>
      </c>
    </row>
    <row r="1918" ht="18" spans="1:11">
      <c r="A1918" s="10">
        <f t="shared" si="87"/>
        <v>1917</v>
      </c>
      <c r="B1918" s="11" t="s">
        <v>5841</v>
      </c>
      <c r="C1918" s="10" t="str">
        <f>IFERROR(INDEX(面试清单!D:D,MATCH(1917,面试清单!P:P,0)),"")</f>
        <v/>
      </c>
      <c r="D1918" s="11" t="s">
        <v>43</v>
      </c>
      <c r="E1918" s="11" t="s">
        <v>62</v>
      </c>
      <c r="F1918" s="11" t="s">
        <v>148</v>
      </c>
      <c r="G1918" s="15">
        <v>46166</v>
      </c>
      <c r="H1918" s="10" t="str">
        <f>IFERROR(INDEX(面试清单!H:H,MATCH(1917,面试清单!P:P,0)),"")</f>
        <v/>
      </c>
      <c r="I1918" s="13" t="s">
        <v>29</v>
      </c>
      <c r="J1918" s="10">
        <f ca="1" t="shared" si="88"/>
        <v>23</v>
      </c>
      <c r="K1918" s="10">
        <f ca="1" t="shared" si="89"/>
        <v>16</v>
      </c>
    </row>
    <row r="1919" ht="18" spans="1:11">
      <c r="A1919" s="14">
        <f t="shared" si="87"/>
        <v>1918</v>
      </c>
      <c r="B1919" s="11" t="s">
        <v>5842</v>
      </c>
      <c r="C1919" s="14" t="str">
        <f>IFERROR(INDEX(面试清单!D:D,MATCH(1918,面试清单!P:P,0)),"")</f>
        <v/>
      </c>
      <c r="D1919" s="11" t="s">
        <v>43</v>
      </c>
      <c r="E1919" s="11" t="s">
        <v>62</v>
      </c>
      <c r="F1919" s="11" t="s">
        <v>233</v>
      </c>
      <c r="G1919" s="15">
        <v>46166</v>
      </c>
      <c r="H1919" s="14" t="str">
        <f>IFERROR(INDEX(面试清单!H:H,MATCH(1918,面试清单!P:P,0)),"")</f>
        <v/>
      </c>
      <c r="I1919" s="13" t="s">
        <v>29</v>
      </c>
      <c r="J1919" s="14">
        <f ca="1" t="shared" si="88"/>
        <v>23</v>
      </c>
      <c r="K1919" s="14">
        <f ca="1" t="shared" si="89"/>
        <v>16</v>
      </c>
    </row>
    <row r="1920" ht="18" spans="1:11">
      <c r="A1920" s="10">
        <f t="shared" si="87"/>
        <v>1919</v>
      </c>
      <c r="B1920" s="11" t="s">
        <v>5843</v>
      </c>
      <c r="C1920" s="10" t="str">
        <f>IFERROR(INDEX(面试清单!D:D,MATCH(1919,面试清单!P:P,0)),"")</f>
        <v/>
      </c>
      <c r="D1920" s="11" t="s">
        <v>42</v>
      </c>
      <c r="E1920" s="11" t="s">
        <v>63</v>
      </c>
      <c r="F1920" s="11" t="s">
        <v>135</v>
      </c>
      <c r="G1920" s="15">
        <v>46166</v>
      </c>
      <c r="H1920" s="10" t="str">
        <f>IFERROR(INDEX(面试清单!H:H,MATCH(1919,面试清单!P:P,0)),"")</f>
        <v/>
      </c>
      <c r="I1920" s="13" t="s">
        <v>29</v>
      </c>
      <c r="J1920" s="10">
        <f ca="1" t="shared" si="88"/>
        <v>23</v>
      </c>
      <c r="K1920" s="10">
        <f ca="1" t="shared" si="89"/>
        <v>16</v>
      </c>
    </row>
    <row r="1921" ht="18" spans="1:11">
      <c r="A1921" s="14">
        <f t="shared" si="87"/>
        <v>1920</v>
      </c>
      <c r="B1921" s="11" t="s">
        <v>5844</v>
      </c>
      <c r="C1921" s="14" t="str">
        <f>IFERROR(INDEX(面试清单!D:D,MATCH(1920,面试清单!P:P,0)),"")</f>
        <v/>
      </c>
      <c r="D1921" s="11" t="s">
        <v>42</v>
      </c>
      <c r="E1921" s="11" t="s">
        <v>63</v>
      </c>
      <c r="F1921" s="11" t="s">
        <v>135</v>
      </c>
      <c r="G1921" s="15">
        <v>46166</v>
      </c>
      <c r="H1921" s="14" t="str">
        <f>IFERROR(INDEX(面试清单!H:H,MATCH(1920,面试清单!P:P,0)),"")</f>
        <v/>
      </c>
      <c r="I1921" s="13" t="s">
        <v>29</v>
      </c>
      <c r="J1921" s="14">
        <f ca="1" t="shared" si="88"/>
        <v>23</v>
      </c>
      <c r="K1921" s="14">
        <f ca="1" t="shared" si="89"/>
        <v>16</v>
      </c>
    </row>
    <row r="1922" ht="18" spans="1:11">
      <c r="A1922" s="10">
        <f t="shared" ref="A1922:A1985" si="90">IF(B1922&lt;&gt;"",ROW()-1,"")</f>
        <v>1921</v>
      </c>
      <c r="B1922" s="11" t="s">
        <v>5845</v>
      </c>
      <c r="C1922" s="10" t="str">
        <f>IFERROR(INDEX(面试清单!D:D,MATCH(1921,面试清单!P:P,0)),"")</f>
        <v/>
      </c>
      <c r="D1922" s="11" t="s">
        <v>42</v>
      </c>
      <c r="E1922" s="11" t="s">
        <v>63</v>
      </c>
      <c r="F1922" s="11" t="s">
        <v>135</v>
      </c>
      <c r="G1922" s="15">
        <v>46166</v>
      </c>
      <c r="H1922" s="10" t="str">
        <f>IFERROR(INDEX(面试清单!H:H,MATCH(1921,面试清单!P:P,0)),"")</f>
        <v/>
      </c>
      <c r="I1922" s="13" t="s">
        <v>29</v>
      </c>
      <c r="J1922" s="10">
        <f ca="1" t="shared" ref="J1922:J1985" si="91">IF(G1922&lt;&gt;"",TODAY()-G1922,"")</f>
        <v>23</v>
      </c>
      <c r="K1922" s="10">
        <f ca="1" t="shared" ref="K1922:K1985" si="92">IF(G1922&lt;&gt;"",MAX(0,MIN(TODAY(),EOMONTH(TODAY(),0))-MAX(G1922,EOMONTH(TODAY(),-1)+1)+1),"")</f>
        <v>16</v>
      </c>
    </row>
    <row r="1923" ht="18" spans="1:11">
      <c r="A1923" s="14">
        <f t="shared" si="90"/>
        <v>1922</v>
      </c>
      <c r="B1923" s="11" t="s">
        <v>5846</v>
      </c>
      <c r="C1923" s="14" t="str">
        <f>IFERROR(INDEX(面试清单!D:D,MATCH(1922,面试清单!P:P,0)),"")</f>
        <v/>
      </c>
      <c r="D1923" s="11" t="s">
        <v>42</v>
      </c>
      <c r="E1923" s="11" t="s">
        <v>62</v>
      </c>
      <c r="F1923" s="11" t="s">
        <v>173</v>
      </c>
      <c r="G1923" s="15">
        <v>46166</v>
      </c>
      <c r="H1923" s="14" t="str">
        <f>IFERROR(INDEX(面试清单!H:H,MATCH(1922,面试清单!P:P,0)),"")</f>
        <v/>
      </c>
      <c r="I1923" s="13" t="s">
        <v>29</v>
      </c>
      <c r="J1923" s="14">
        <f ca="1" t="shared" si="91"/>
        <v>23</v>
      </c>
      <c r="K1923" s="14">
        <f ca="1" t="shared" si="92"/>
        <v>16</v>
      </c>
    </row>
    <row r="1924" ht="18" spans="1:11">
      <c r="A1924" s="10">
        <f t="shared" si="90"/>
        <v>1923</v>
      </c>
      <c r="B1924" s="11" t="s">
        <v>5847</v>
      </c>
      <c r="C1924" s="10" t="str">
        <f>IFERROR(INDEX(面试清单!D:D,MATCH(1923,面试清单!P:P,0)),"")</f>
        <v/>
      </c>
      <c r="D1924" s="11" t="s">
        <v>42</v>
      </c>
      <c r="E1924" s="11" t="s">
        <v>62</v>
      </c>
      <c r="F1924" s="11" t="s">
        <v>103</v>
      </c>
      <c r="G1924" s="15">
        <v>46166</v>
      </c>
      <c r="H1924" s="10" t="str">
        <f>IFERROR(INDEX(面试清单!H:H,MATCH(1923,面试清单!P:P,0)),"")</f>
        <v/>
      </c>
      <c r="I1924" s="13" t="s">
        <v>29</v>
      </c>
      <c r="J1924" s="10">
        <f ca="1" t="shared" si="91"/>
        <v>23</v>
      </c>
      <c r="K1924" s="10">
        <f ca="1" t="shared" si="92"/>
        <v>16</v>
      </c>
    </row>
    <row r="1925" ht="18" spans="1:11">
      <c r="A1925" s="14">
        <f t="shared" si="90"/>
        <v>1924</v>
      </c>
      <c r="B1925" s="11" t="s">
        <v>5848</v>
      </c>
      <c r="C1925" s="14" t="str">
        <f>IFERROR(INDEX(面试清单!D:D,MATCH(1924,面试清单!P:P,0)),"")</f>
        <v/>
      </c>
      <c r="D1925" s="11" t="s">
        <v>43</v>
      </c>
      <c r="E1925" s="11" t="s">
        <v>62</v>
      </c>
      <c r="F1925" s="11" t="s">
        <v>1426</v>
      </c>
      <c r="G1925" s="15">
        <v>46166</v>
      </c>
      <c r="H1925" s="14" t="str">
        <f>IFERROR(INDEX(面试清单!H:H,MATCH(1924,面试清单!P:P,0)),"")</f>
        <v/>
      </c>
      <c r="I1925" s="13" t="s">
        <v>29</v>
      </c>
      <c r="J1925" s="14">
        <f ca="1" t="shared" si="91"/>
        <v>23</v>
      </c>
      <c r="K1925" s="14">
        <f ca="1" t="shared" si="92"/>
        <v>16</v>
      </c>
    </row>
    <row r="1926" ht="18" spans="1:11">
      <c r="A1926" s="10">
        <f t="shared" si="90"/>
        <v>1925</v>
      </c>
      <c r="B1926" s="11" t="s">
        <v>5849</v>
      </c>
      <c r="C1926" s="10" t="str">
        <f>IFERROR(INDEX(面试清单!D:D,MATCH(1925,面试清单!P:P,0)),"")</f>
        <v/>
      </c>
      <c r="D1926" s="11" t="s">
        <v>42</v>
      </c>
      <c r="E1926" s="11" t="s">
        <v>63</v>
      </c>
      <c r="F1926" s="11" t="s">
        <v>505</v>
      </c>
      <c r="G1926" s="15">
        <v>46166</v>
      </c>
      <c r="H1926" s="10" t="str">
        <f>IFERROR(INDEX(面试清单!H:H,MATCH(1925,面试清单!P:P,0)),"")</f>
        <v/>
      </c>
      <c r="I1926" s="13" t="s">
        <v>29</v>
      </c>
      <c r="J1926" s="10">
        <f ca="1" t="shared" si="91"/>
        <v>23</v>
      </c>
      <c r="K1926" s="10">
        <f ca="1" t="shared" si="92"/>
        <v>16</v>
      </c>
    </row>
    <row r="1927" ht="18" spans="1:11">
      <c r="A1927" s="14">
        <f t="shared" si="90"/>
        <v>1926</v>
      </c>
      <c r="B1927" s="11" t="s">
        <v>5850</v>
      </c>
      <c r="C1927" s="124" t="str">
        <f>IFERROR(INDEX(面试清单!D:D,MATCH(1926,面试清单!P:P,0)),"")</f>
        <v>0209</v>
      </c>
      <c r="D1927" s="11" t="s">
        <v>42</v>
      </c>
      <c r="E1927" s="11" t="s">
        <v>62</v>
      </c>
      <c r="F1927" s="11" t="s">
        <v>179</v>
      </c>
      <c r="G1927" s="15">
        <v>46166</v>
      </c>
      <c r="H1927" s="14" t="str">
        <f>IFERROR(INDEX(面试清单!H:H,MATCH(1926,面试清单!P:P,0)),"")</f>
        <v>线上</v>
      </c>
      <c r="I1927" s="13" t="s">
        <v>29</v>
      </c>
      <c r="J1927" s="14">
        <f ca="1" t="shared" si="91"/>
        <v>23</v>
      </c>
      <c r="K1927" s="14">
        <f ca="1" t="shared" si="92"/>
        <v>16</v>
      </c>
    </row>
    <row r="1928" ht="18" spans="1:11">
      <c r="A1928" s="10">
        <f t="shared" si="90"/>
        <v>1927</v>
      </c>
      <c r="B1928" s="11" t="s">
        <v>5851</v>
      </c>
      <c r="C1928" s="10" t="str">
        <f>IFERROR(INDEX(面试清单!D:D,MATCH(1927,面试清单!P:P,0)),"")</f>
        <v/>
      </c>
      <c r="D1928" s="11" t="s">
        <v>43</v>
      </c>
      <c r="E1928" s="11" t="s">
        <v>64</v>
      </c>
      <c r="F1928" s="11" t="s">
        <v>103</v>
      </c>
      <c r="G1928" s="15">
        <v>46166</v>
      </c>
      <c r="H1928" s="10" t="str">
        <f>IFERROR(INDEX(面试清单!H:H,MATCH(1927,面试清单!P:P,0)),"")</f>
        <v/>
      </c>
      <c r="I1928" s="13" t="s">
        <v>29</v>
      </c>
      <c r="J1928" s="10">
        <f ca="1" t="shared" si="91"/>
        <v>23</v>
      </c>
      <c r="K1928" s="10">
        <f ca="1" t="shared" si="92"/>
        <v>16</v>
      </c>
    </row>
    <row r="1929" ht="18" spans="1:11">
      <c r="A1929" s="14">
        <f t="shared" si="90"/>
        <v>1928</v>
      </c>
      <c r="B1929" s="11" t="s">
        <v>5852</v>
      </c>
      <c r="C1929" s="14" t="str">
        <f>IFERROR(INDEX(面试清单!D:D,MATCH(1928,面试清单!P:P,0)),"")</f>
        <v/>
      </c>
      <c r="D1929" s="11" t="s">
        <v>42</v>
      </c>
      <c r="E1929" s="11" t="s">
        <v>63</v>
      </c>
      <c r="F1929" s="11" t="s">
        <v>1542</v>
      </c>
      <c r="G1929" s="15">
        <v>46166</v>
      </c>
      <c r="H1929" s="14" t="str">
        <f>IFERROR(INDEX(面试清单!H:H,MATCH(1928,面试清单!P:P,0)),"")</f>
        <v/>
      </c>
      <c r="I1929" s="13" t="s">
        <v>29</v>
      </c>
      <c r="J1929" s="14">
        <f ca="1" t="shared" si="91"/>
        <v>23</v>
      </c>
      <c r="K1929" s="14">
        <f ca="1" t="shared" si="92"/>
        <v>16</v>
      </c>
    </row>
    <row r="1930" ht="18" spans="1:11">
      <c r="A1930" s="10">
        <f t="shared" si="90"/>
        <v>1929</v>
      </c>
      <c r="B1930" s="11" t="s">
        <v>5853</v>
      </c>
      <c r="C1930" s="10" t="str">
        <f>IFERROR(INDEX(面试清单!D:D,MATCH(1929,面试清单!P:P,0)),"")</f>
        <v/>
      </c>
      <c r="D1930" s="11" t="s">
        <v>43</v>
      </c>
      <c r="E1930" s="11" t="s">
        <v>62</v>
      </c>
      <c r="F1930" s="11" t="s">
        <v>132</v>
      </c>
      <c r="G1930" s="15">
        <v>46166</v>
      </c>
      <c r="H1930" s="10" t="str">
        <f>IFERROR(INDEX(面试清单!H:H,MATCH(1929,面试清单!P:P,0)),"")</f>
        <v/>
      </c>
      <c r="I1930" s="13" t="s">
        <v>29</v>
      </c>
      <c r="J1930" s="10">
        <f ca="1" t="shared" si="91"/>
        <v>23</v>
      </c>
      <c r="K1930" s="10">
        <f ca="1" t="shared" si="92"/>
        <v>16</v>
      </c>
    </row>
    <row r="1931" ht="18" spans="1:11">
      <c r="A1931" s="14">
        <f t="shared" si="90"/>
        <v>1930</v>
      </c>
      <c r="B1931" s="11" t="s">
        <v>5854</v>
      </c>
      <c r="C1931" s="14" t="str">
        <f>IFERROR(INDEX(面试清单!D:D,MATCH(1930,面试清单!P:P,0)),"")</f>
        <v/>
      </c>
      <c r="D1931" s="11" t="s">
        <v>43</v>
      </c>
      <c r="E1931" s="11" t="s">
        <v>63</v>
      </c>
      <c r="F1931" s="11" t="s">
        <v>176</v>
      </c>
      <c r="G1931" s="15">
        <v>46167</v>
      </c>
      <c r="H1931" s="14" t="str">
        <f>IFERROR(INDEX(面试清单!H:H,MATCH(1930,面试清单!P:P,0)),"")</f>
        <v/>
      </c>
      <c r="I1931" s="13" t="s">
        <v>29</v>
      </c>
      <c r="J1931" s="14">
        <f ca="1" t="shared" si="91"/>
        <v>22</v>
      </c>
      <c r="K1931" s="14">
        <f ca="1" t="shared" si="92"/>
        <v>16</v>
      </c>
    </row>
    <row r="1932" ht="18" spans="1:11">
      <c r="A1932" s="10">
        <f t="shared" si="90"/>
        <v>1931</v>
      </c>
      <c r="B1932" s="11" t="s">
        <v>5855</v>
      </c>
      <c r="C1932" s="10" t="str">
        <f>IFERROR(INDEX(面试清单!D:D,MATCH(1931,面试清单!P:P,0)),"")</f>
        <v/>
      </c>
      <c r="D1932" s="11" t="s">
        <v>43</v>
      </c>
      <c r="E1932" s="11" t="s">
        <v>62</v>
      </c>
      <c r="F1932" s="11" t="s">
        <v>176</v>
      </c>
      <c r="G1932" s="15">
        <v>46167</v>
      </c>
      <c r="H1932" s="10" t="str">
        <f>IFERROR(INDEX(面试清单!H:H,MATCH(1931,面试清单!P:P,0)),"")</f>
        <v/>
      </c>
      <c r="I1932" s="13" t="s">
        <v>29</v>
      </c>
      <c r="J1932" s="10">
        <f ca="1" t="shared" si="91"/>
        <v>22</v>
      </c>
      <c r="K1932" s="10">
        <f ca="1" t="shared" si="92"/>
        <v>16</v>
      </c>
    </row>
    <row r="1933" ht="18" spans="1:11">
      <c r="A1933" s="14">
        <f t="shared" si="90"/>
        <v>1932</v>
      </c>
      <c r="B1933" s="11" t="s">
        <v>5856</v>
      </c>
      <c r="C1933" s="14" t="str">
        <f>IFERROR(INDEX(面试清单!D:D,MATCH(1932,面试清单!P:P,0)),"")</f>
        <v/>
      </c>
      <c r="D1933" s="11" t="s">
        <v>43</v>
      </c>
      <c r="E1933" s="11" t="s">
        <v>64</v>
      </c>
      <c r="F1933" s="11" t="s">
        <v>176</v>
      </c>
      <c r="G1933" s="15">
        <v>46167</v>
      </c>
      <c r="H1933" s="14" t="str">
        <f>IFERROR(INDEX(面试清单!H:H,MATCH(1932,面试清单!P:P,0)),"")</f>
        <v/>
      </c>
      <c r="I1933" s="13" t="s">
        <v>29</v>
      </c>
      <c r="J1933" s="14">
        <f ca="1" t="shared" si="91"/>
        <v>22</v>
      </c>
      <c r="K1933" s="14">
        <f ca="1" t="shared" si="92"/>
        <v>16</v>
      </c>
    </row>
    <row r="1934" ht="18" spans="1:11">
      <c r="A1934" s="10">
        <f t="shared" si="90"/>
        <v>1933</v>
      </c>
      <c r="B1934" s="11" t="s">
        <v>5857</v>
      </c>
      <c r="C1934" s="10" t="str">
        <f>IFERROR(INDEX(面试清单!D:D,MATCH(1933,面试清单!P:P,0)),"")</f>
        <v/>
      </c>
      <c r="D1934" s="11" t="s">
        <v>43</v>
      </c>
      <c r="E1934" s="11" t="s">
        <v>62</v>
      </c>
      <c r="F1934" s="11" t="s">
        <v>307</v>
      </c>
      <c r="G1934" s="15">
        <v>46167</v>
      </c>
      <c r="H1934" s="10" t="str">
        <f>IFERROR(INDEX(面试清单!H:H,MATCH(1933,面试清单!P:P,0)),"")</f>
        <v/>
      </c>
      <c r="I1934" s="13" t="s">
        <v>29</v>
      </c>
      <c r="J1934" s="10">
        <f ca="1" t="shared" si="91"/>
        <v>22</v>
      </c>
      <c r="K1934" s="10">
        <f ca="1" t="shared" si="92"/>
        <v>16</v>
      </c>
    </row>
    <row r="1935" ht="18" spans="1:11">
      <c r="A1935" s="14">
        <f t="shared" si="90"/>
        <v>1934</v>
      </c>
      <c r="B1935" s="11" t="s">
        <v>5858</v>
      </c>
      <c r="C1935" s="14" t="str">
        <f>IFERROR(INDEX(面试清单!D:D,MATCH(1934,面试清单!P:P,0)),"")</f>
        <v/>
      </c>
      <c r="D1935" s="11" t="s">
        <v>42</v>
      </c>
      <c r="E1935" s="11" t="s">
        <v>63</v>
      </c>
      <c r="F1935" s="11" t="s">
        <v>129</v>
      </c>
      <c r="G1935" s="15">
        <v>46167</v>
      </c>
      <c r="H1935" s="14" t="str">
        <f>IFERROR(INDEX(面试清单!H:H,MATCH(1934,面试清单!P:P,0)),"")</f>
        <v/>
      </c>
      <c r="I1935" s="13" t="s">
        <v>29</v>
      </c>
      <c r="J1935" s="14">
        <f ca="1" t="shared" si="91"/>
        <v>22</v>
      </c>
      <c r="K1935" s="14">
        <f ca="1" t="shared" si="92"/>
        <v>16</v>
      </c>
    </row>
    <row r="1936" ht="18" spans="1:11">
      <c r="A1936" s="10">
        <f t="shared" si="90"/>
        <v>1935</v>
      </c>
      <c r="B1936" s="11" t="s">
        <v>5859</v>
      </c>
      <c r="C1936" s="10" t="str">
        <f>IFERROR(INDEX(面试清单!D:D,MATCH(1935,面试清单!P:P,0)),"")</f>
        <v/>
      </c>
      <c r="D1936" s="11" t="s">
        <v>42</v>
      </c>
      <c r="E1936" s="11" t="s">
        <v>63</v>
      </c>
      <c r="F1936" s="11" t="s">
        <v>129</v>
      </c>
      <c r="G1936" s="15">
        <v>46167</v>
      </c>
      <c r="H1936" s="10" t="str">
        <f>IFERROR(INDEX(面试清单!H:H,MATCH(1935,面试清单!P:P,0)),"")</f>
        <v/>
      </c>
      <c r="I1936" s="13" t="s">
        <v>29</v>
      </c>
      <c r="J1936" s="10">
        <f ca="1" t="shared" si="91"/>
        <v>22</v>
      </c>
      <c r="K1936" s="10">
        <f ca="1" t="shared" si="92"/>
        <v>16</v>
      </c>
    </row>
    <row r="1937" ht="18" spans="1:11">
      <c r="A1937" s="14">
        <f t="shared" si="90"/>
        <v>1936</v>
      </c>
      <c r="B1937" s="11" t="s">
        <v>5860</v>
      </c>
      <c r="C1937" s="14" t="str">
        <f>IFERROR(INDEX(面试清单!D:D,MATCH(1936,面试清单!P:P,0)),"")</f>
        <v/>
      </c>
      <c r="D1937" s="11" t="s">
        <v>42</v>
      </c>
      <c r="E1937" s="11" t="s">
        <v>63</v>
      </c>
      <c r="F1937" s="11" t="s">
        <v>468</v>
      </c>
      <c r="G1937" s="15">
        <v>46167</v>
      </c>
      <c r="H1937" s="14" t="str">
        <f>IFERROR(INDEX(面试清单!H:H,MATCH(1936,面试清单!P:P,0)),"")</f>
        <v/>
      </c>
      <c r="I1937" s="13" t="s">
        <v>29</v>
      </c>
      <c r="J1937" s="14">
        <f ca="1" t="shared" si="91"/>
        <v>22</v>
      </c>
      <c r="K1937" s="14">
        <f ca="1" t="shared" si="92"/>
        <v>16</v>
      </c>
    </row>
    <row r="1938" ht="18" spans="1:11">
      <c r="A1938" s="10">
        <f t="shared" si="90"/>
        <v>1937</v>
      </c>
      <c r="B1938" s="11" t="s">
        <v>5861</v>
      </c>
      <c r="C1938" s="10" t="str">
        <f>IFERROR(INDEX(面试清单!D:D,MATCH(1937,面试清单!P:P,0)),"")</f>
        <v/>
      </c>
      <c r="D1938" s="11" t="s">
        <v>42</v>
      </c>
      <c r="E1938" s="11" t="s">
        <v>62</v>
      </c>
      <c r="F1938" s="11" t="s">
        <v>233</v>
      </c>
      <c r="G1938" s="15">
        <v>46167</v>
      </c>
      <c r="H1938" s="10" t="str">
        <f>IFERROR(INDEX(面试清单!H:H,MATCH(1937,面试清单!P:P,0)),"")</f>
        <v/>
      </c>
      <c r="I1938" s="13" t="s">
        <v>29</v>
      </c>
      <c r="J1938" s="10">
        <f ca="1" t="shared" si="91"/>
        <v>22</v>
      </c>
      <c r="K1938" s="10">
        <f ca="1" t="shared" si="92"/>
        <v>16</v>
      </c>
    </row>
    <row r="1939" ht="18" spans="1:11">
      <c r="A1939" s="14">
        <f t="shared" si="90"/>
        <v>1938</v>
      </c>
      <c r="B1939" s="11" t="s">
        <v>5862</v>
      </c>
      <c r="C1939" s="14" t="str">
        <f>IFERROR(INDEX(面试清单!D:D,MATCH(1938,面试清单!P:P,0)),"")</f>
        <v/>
      </c>
      <c r="D1939" s="11" t="s">
        <v>43</v>
      </c>
      <c r="E1939" s="11" t="s">
        <v>62</v>
      </c>
      <c r="F1939" s="11" t="s">
        <v>233</v>
      </c>
      <c r="G1939" s="15">
        <v>46167</v>
      </c>
      <c r="H1939" s="14" t="str">
        <f>IFERROR(INDEX(面试清单!H:H,MATCH(1938,面试清单!P:P,0)),"")</f>
        <v/>
      </c>
      <c r="I1939" s="13" t="s">
        <v>29</v>
      </c>
      <c r="J1939" s="14">
        <f ca="1" t="shared" si="91"/>
        <v>22</v>
      </c>
      <c r="K1939" s="14">
        <f ca="1" t="shared" si="92"/>
        <v>16</v>
      </c>
    </row>
    <row r="1940" ht="18" spans="1:11">
      <c r="A1940" s="10">
        <f t="shared" si="90"/>
        <v>1939</v>
      </c>
      <c r="B1940" s="11" t="s">
        <v>5863</v>
      </c>
      <c r="C1940" s="10" t="str">
        <f>IFERROR(INDEX(面试清单!D:D,MATCH(1939,面试清单!P:P,0)),"")</f>
        <v/>
      </c>
      <c r="D1940" s="11" t="s">
        <v>43</v>
      </c>
      <c r="E1940" s="11" t="s">
        <v>63</v>
      </c>
      <c r="F1940" s="11" t="s">
        <v>103</v>
      </c>
      <c r="G1940" s="15">
        <v>46167</v>
      </c>
      <c r="H1940" s="10" t="str">
        <f>IFERROR(INDEX(面试清单!H:H,MATCH(1939,面试清单!P:P,0)),"")</f>
        <v/>
      </c>
      <c r="I1940" s="13" t="s">
        <v>29</v>
      </c>
      <c r="J1940" s="10">
        <f ca="1" t="shared" si="91"/>
        <v>22</v>
      </c>
      <c r="K1940" s="10">
        <f ca="1" t="shared" si="92"/>
        <v>16</v>
      </c>
    </row>
    <row r="1941" ht="18" spans="1:11">
      <c r="A1941" s="14">
        <f t="shared" si="90"/>
        <v>1940</v>
      </c>
      <c r="B1941" s="11" t="s">
        <v>5864</v>
      </c>
      <c r="C1941" s="14" t="str">
        <f>IFERROR(INDEX(面试清单!D:D,MATCH(1940,面试清单!P:P,0)),"")</f>
        <v/>
      </c>
      <c r="D1941" s="11" t="s">
        <v>42</v>
      </c>
      <c r="E1941" s="11" t="s">
        <v>62</v>
      </c>
      <c r="F1941" s="11" t="s">
        <v>103</v>
      </c>
      <c r="G1941" s="15">
        <v>46167</v>
      </c>
      <c r="H1941" s="14" t="str">
        <f>IFERROR(INDEX(面试清单!H:H,MATCH(1940,面试清单!P:P,0)),"")</f>
        <v/>
      </c>
      <c r="I1941" s="13" t="s">
        <v>29</v>
      </c>
      <c r="J1941" s="14">
        <f ca="1" t="shared" si="91"/>
        <v>22</v>
      </c>
      <c r="K1941" s="14">
        <f ca="1" t="shared" si="92"/>
        <v>16</v>
      </c>
    </row>
    <row r="1942" ht="18" spans="1:11">
      <c r="A1942" s="10">
        <f t="shared" si="90"/>
        <v>1941</v>
      </c>
      <c r="B1942" s="11" t="s">
        <v>5865</v>
      </c>
      <c r="C1942" s="10" t="str">
        <f>IFERROR(INDEX(面试清单!D:D,MATCH(1941,面试清单!P:P,0)),"")</f>
        <v/>
      </c>
      <c r="D1942" s="11" t="s">
        <v>42</v>
      </c>
      <c r="E1942" s="11" t="s">
        <v>62</v>
      </c>
      <c r="F1942" s="11" t="s">
        <v>103</v>
      </c>
      <c r="G1942" s="15">
        <v>46167</v>
      </c>
      <c r="H1942" s="10" t="str">
        <f>IFERROR(INDEX(面试清单!H:H,MATCH(1941,面试清单!P:P,0)),"")</f>
        <v/>
      </c>
      <c r="I1942" s="13" t="s">
        <v>29</v>
      </c>
      <c r="J1942" s="10">
        <f ca="1" t="shared" si="91"/>
        <v>22</v>
      </c>
      <c r="K1942" s="10">
        <f ca="1" t="shared" si="92"/>
        <v>16</v>
      </c>
    </row>
    <row r="1943" ht="18" spans="1:11">
      <c r="A1943" s="14">
        <f t="shared" si="90"/>
        <v>1942</v>
      </c>
      <c r="B1943" s="11" t="s">
        <v>5866</v>
      </c>
      <c r="C1943" s="14" t="str">
        <f>IFERROR(INDEX(面试清单!D:D,MATCH(1942,面试清单!P:P,0)),"")</f>
        <v/>
      </c>
      <c r="D1943" s="11" t="s">
        <v>43</v>
      </c>
      <c r="E1943" s="11" t="s">
        <v>62</v>
      </c>
      <c r="F1943" s="11" t="s">
        <v>733</v>
      </c>
      <c r="G1943" s="15">
        <v>46167</v>
      </c>
      <c r="H1943" s="14" t="str">
        <f>IFERROR(INDEX(面试清单!H:H,MATCH(1942,面试清单!P:P,0)),"")</f>
        <v/>
      </c>
      <c r="I1943" s="13" t="s">
        <v>29</v>
      </c>
      <c r="J1943" s="14">
        <f ca="1" t="shared" si="91"/>
        <v>22</v>
      </c>
      <c r="K1943" s="14">
        <f ca="1" t="shared" si="92"/>
        <v>16</v>
      </c>
    </row>
    <row r="1944" ht="18" spans="1:11">
      <c r="A1944" s="10">
        <f t="shared" si="90"/>
        <v>1943</v>
      </c>
      <c r="B1944" s="11" t="s">
        <v>5867</v>
      </c>
      <c r="C1944" s="10" t="str">
        <f>IFERROR(INDEX(面试清单!D:D,MATCH(1943,面试清单!P:P,0)),"")</f>
        <v/>
      </c>
      <c r="D1944" s="11" t="s">
        <v>43</v>
      </c>
      <c r="E1944" s="11" t="s">
        <v>62</v>
      </c>
      <c r="F1944" s="11" t="s">
        <v>179</v>
      </c>
      <c r="G1944" s="15">
        <v>46167</v>
      </c>
      <c r="H1944" s="10" t="str">
        <f>IFERROR(INDEX(面试清单!H:H,MATCH(1943,面试清单!P:P,0)),"")</f>
        <v/>
      </c>
      <c r="I1944" s="13" t="s">
        <v>29</v>
      </c>
      <c r="J1944" s="10">
        <f ca="1" t="shared" si="91"/>
        <v>22</v>
      </c>
      <c r="K1944" s="10">
        <f ca="1" t="shared" si="92"/>
        <v>16</v>
      </c>
    </row>
    <row r="1945" ht="18" spans="1:11">
      <c r="A1945" s="14">
        <f t="shared" si="90"/>
        <v>1944</v>
      </c>
      <c r="B1945" s="11" t="s">
        <v>5868</v>
      </c>
      <c r="C1945" s="14" t="str">
        <f>IFERROR(INDEX(面试清单!D:D,MATCH(1944,面试清单!P:P,0)),"")</f>
        <v/>
      </c>
      <c r="D1945" s="11" t="s">
        <v>42</v>
      </c>
      <c r="E1945" s="11" t="s">
        <v>63</v>
      </c>
      <c r="F1945" s="11" t="s">
        <v>148</v>
      </c>
      <c r="G1945" s="15">
        <v>46167</v>
      </c>
      <c r="H1945" s="14" t="str">
        <f>IFERROR(INDEX(面试清单!H:H,MATCH(1944,面试清单!P:P,0)),"")</f>
        <v/>
      </c>
      <c r="I1945" s="13" t="s">
        <v>29</v>
      </c>
      <c r="J1945" s="14">
        <f ca="1" t="shared" si="91"/>
        <v>22</v>
      </c>
      <c r="K1945" s="14">
        <f ca="1" t="shared" si="92"/>
        <v>16</v>
      </c>
    </row>
    <row r="1946" ht="18" spans="1:11">
      <c r="A1946" s="10">
        <f t="shared" si="90"/>
        <v>1945</v>
      </c>
      <c r="B1946" s="11" t="s">
        <v>5869</v>
      </c>
      <c r="C1946" s="10" t="str">
        <f>IFERROR(INDEX(面试清单!D:D,MATCH(1945,面试清单!P:P,0)),"")</f>
        <v/>
      </c>
      <c r="D1946" s="11" t="s">
        <v>43</v>
      </c>
      <c r="E1946" s="11" t="s">
        <v>62</v>
      </c>
      <c r="F1946" s="11" t="s">
        <v>132</v>
      </c>
      <c r="G1946" s="15">
        <v>46167</v>
      </c>
      <c r="H1946" s="10" t="str">
        <f>IFERROR(INDEX(面试清单!H:H,MATCH(1945,面试清单!P:P,0)),"")</f>
        <v/>
      </c>
      <c r="I1946" s="13" t="s">
        <v>29</v>
      </c>
      <c r="J1946" s="10">
        <f ca="1" t="shared" si="91"/>
        <v>22</v>
      </c>
      <c r="K1946" s="10">
        <f ca="1" t="shared" si="92"/>
        <v>16</v>
      </c>
    </row>
    <row r="1947" ht="18" spans="1:11">
      <c r="A1947" s="14">
        <f t="shared" si="90"/>
        <v>1946</v>
      </c>
      <c r="B1947" s="11" t="s">
        <v>5870</v>
      </c>
      <c r="C1947" s="14" t="str">
        <f>IFERROR(INDEX(面试清单!D:D,MATCH(1946,面试清单!P:P,0)),"")</f>
        <v/>
      </c>
      <c r="D1947" s="11" t="s">
        <v>43</v>
      </c>
      <c r="E1947" s="11" t="s">
        <v>63</v>
      </c>
      <c r="F1947" s="11" t="s">
        <v>173</v>
      </c>
      <c r="G1947" s="15">
        <v>46167</v>
      </c>
      <c r="H1947" s="14" t="str">
        <f>IFERROR(INDEX(面试清单!H:H,MATCH(1946,面试清单!P:P,0)),"")</f>
        <v/>
      </c>
      <c r="I1947" s="13" t="s">
        <v>29</v>
      </c>
      <c r="J1947" s="14">
        <f ca="1" t="shared" si="91"/>
        <v>22</v>
      </c>
      <c r="K1947" s="14">
        <f ca="1" t="shared" si="92"/>
        <v>16</v>
      </c>
    </row>
    <row r="1948" ht="18" spans="1:11">
      <c r="A1948" s="10">
        <f t="shared" si="90"/>
        <v>1947</v>
      </c>
      <c r="B1948" s="11" t="s">
        <v>5871</v>
      </c>
      <c r="C1948" s="10" t="str">
        <f>IFERROR(INDEX(面试清单!D:D,MATCH(1947,面试清单!P:P,0)),"")</f>
        <v/>
      </c>
      <c r="D1948" s="11" t="s">
        <v>43</v>
      </c>
      <c r="E1948" s="11" t="s">
        <v>63</v>
      </c>
      <c r="F1948" s="11" t="s">
        <v>176</v>
      </c>
      <c r="G1948" s="15">
        <v>46167</v>
      </c>
      <c r="H1948" s="10" t="str">
        <f>IFERROR(INDEX(面试清单!H:H,MATCH(1947,面试清单!P:P,0)),"")</f>
        <v/>
      </c>
      <c r="I1948" s="13" t="s">
        <v>29</v>
      </c>
      <c r="J1948" s="10">
        <f ca="1" t="shared" si="91"/>
        <v>22</v>
      </c>
      <c r="K1948" s="10">
        <f ca="1" t="shared" si="92"/>
        <v>16</v>
      </c>
    </row>
    <row r="1949" ht="18" spans="1:11">
      <c r="A1949" s="14">
        <f t="shared" si="90"/>
        <v>1948</v>
      </c>
      <c r="B1949" s="11" t="s">
        <v>5872</v>
      </c>
      <c r="C1949" s="14" t="str">
        <f>IFERROR(INDEX(面试清单!D:D,MATCH(1948,面试清单!P:P,0)),"")</f>
        <v/>
      </c>
      <c r="D1949" s="11" t="s">
        <v>43</v>
      </c>
      <c r="E1949" s="11" t="s">
        <v>62</v>
      </c>
      <c r="F1949" s="11" t="s">
        <v>129</v>
      </c>
      <c r="G1949" s="15">
        <v>46167</v>
      </c>
      <c r="H1949" s="14" t="str">
        <f>IFERROR(INDEX(面试清单!H:H,MATCH(1948,面试清单!P:P,0)),"")</f>
        <v/>
      </c>
      <c r="I1949" s="13" t="s">
        <v>29</v>
      </c>
      <c r="J1949" s="14">
        <f ca="1" t="shared" si="91"/>
        <v>22</v>
      </c>
      <c r="K1949" s="14">
        <f ca="1" t="shared" si="92"/>
        <v>16</v>
      </c>
    </row>
    <row r="1950" ht="18" spans="1:11">
      <c r="A1950" s="10">
        <f t="shared" si="90"/>
        <v>1949</v>
      </c>
      <c r="B1950" s="11" t="s">
        <v>5873</v>
      </c>
      <c r="C1950" s="10" t="str">
        <f>IFERROR(INDEX(面试清单!D:D,MATCH(1949,面试清单!P:P,0)),"")</f>
        <v/>
      </c>
      <c r="D1950" s="11" t="s">
        <v>42</v>
      </c>
      <c r="E1950" s="11" t="s">
        <v>63</v>
      </c>
      <c r="F1950" s="11" t="s">
        <v>129</v>
      </c>
      <c r="G1950" s="15">
        <v>46167</v>
      </c>
      <c r="H1950" s="10" t="str">
        <f>IFERROR(INDEX(面试清单!H:H,MATCH(1949,面试清单!P:P,0)),"")</f>
        <v/>
      </c>
      <c r="I1950" s="13" t="s">
        <v>29</v>
      </c>
      <c r="J1950" s="10">
        <f ca="1" t="shared" si="91"/>
        <v>22</v>
      </c>
      <c r="K1950" s="10">
        <f ca="1" t="shared" si="92"/>
        <v>16</v>
      </c>
    </row>
    <row r="1951" ht="18" spans="1:11">
      <c r="A1951" s="14">
        <f t="shared" si="90"/>
        <v>1950</v>
      </c>
      <c r="B1951" s="11" t="s">
        <v>5874</v>
      </c>
      <c r="C1951" s="14" t="str">
        <f>IFERROR(INDEX(面试清单!D:D,MATCH(1950,面试清单!P:P,0)),"")</f>
        <v/>
      </c>
      <c r="D1951" s="11" t="s">
        <v>43</v>
      </c>
      <c r="E1951" s="11" t="s">
        <v>64</v>
      </c>
      <c r="F1951" s="11" t="s">
        <v>117</v>
      </c>
      <c r="G1951" s="15">
        <v>46167</v>
      </c>
      <c r="H1951" s="14" t="str">
        <f>IFERROR(INDEX(面试清单!H:H,MATCH(1950,面试清单!P:P,0)),"")</f>
        <v/>
      </c>
      <c r="I1951" s="13" t="s">
        <v>29</v>
      </c>
      <c r="J1951" s="14">
        <f ca="1" t="shared" si="91"/>
        <v>22</v>
      </c>
      <c r="K1951" s="14">
        <f ca="1" t="shared" si="92"/>
        <v>16</v>
      </c>
    </row>
    <row r="1952" ht="18" spans="1:11">
      <c r="A1952" s="10">
        <f t="shared" si="90"/>
        <v>1951</v>
      </c>
      <c r="B1952" s="11" t="s">
        <v>5875</v>
      </c>
      <c r="C1952" s="10" t="str">
        <f>IFERROR(INDEX(面试清单!D:D,MATCH(1951,面试清单!P:P,0)),"")</f>
        <v/>
      </c>
      <c r="D1952" s="11" t="s">
        <v>42</v>
      </c>
      <c r="E1952" s="11" t="s">
        <v>62</v>
      </c>
      <c r="F1952" s="11" t="s">
        <v>103</v>
      </c>
      <c r="G1952" s="15">
        <v>46167</v>
      </c>
      <c r="H1952" s="10" t="str">
        <f>IFERROR(INDEX(面试清单!H:H,MATCH(1951,面试清单!P:P,0)),"")</f>
        <v/>
      </c>
      <c r="I1952" s="13" t="s">
        <v>29</v>
      </c>
      <c r="J1952" s="10">
        <f ca="1" t="shared" si="91"/>
        <v>22</v>
      </c>
      <c r="K1952" s="10">
        <f ca="1" t="shared" si="92"/>
        <v>16</v>
      </c>
    </row>
    <row r="1953" ht="18" spans="1:11">
      <c r="A1953" s="14">
        <f t="shared" si="90"/>
        <v>1952</v>
      </c>
      <c r="B1953" s="11" t="s">
        <v>5876</v>
      </c>
      <c r="C1953" s="14" t="str">
        <f>IFERROR(INDEX(面试清单!D:D,MATCH(1952,面试清单!P:P,0)),"")</f>
        <v/>
      </c>
      <c r="D1953" s="11" t="s">
        <v>42</v>
      </c>
      <c r="E1953" s="11" t="s">
        <v>62</v>
      </c>
      <c r="F1953" s="11" t="s">
        <v>103</v>
      </c>
      <c r="G1953" s="15">
        <v>46167</v>
      </c>
      <c r="H1953" s="14" t="str">
        <f>IFERROR(INDEX(面试清单!H:H,MATCH(1952,面试清单!P:P,0)),"")</f>
        <v/>
      </c>
      <c r="I1953" s="13" t="s">
        <v>29</v>
      </c>
      <c r="J1953" s="14">
        <f ca="1" t="shared" si="91"/>
        <v>22</v>
      </c>
      <c r="K1953" s="14">
        <f ca="1" t="shared" si="92"/>
        <v>16</v>
      </c>
    </row>
    <row r="1954" ht="18" spans="1:11">
      <c r="A1954" s="10">
        <f t="shared" si="90"/>
        <v>1953</v>
      </c>
      <c r="B1954" s="11" t="s">
        <v>5877</v>
      </c>
      <c r="C1954" s="10" t="str">
        <f>IFERROR(INDEX(面试清单!D:D,MATCH(1953,面试清单!P:P,0)),"")</f>
        <v/>
      </c>
      <c r="D1954" s="11" t="s">
        <v>74</v>
      </c>
      <c r="E1954" s="11" t="s">
        <v>190</v>
      </c>
      <c r="F1954" s="11" t="s">
        <v>117</v>
      </c>
      <c r="G1954" s="15">
        <v>46167</v>
      </c>
      <c r="H1954" s="10" t="str">
        <f>IFERROR(INDEX(面试清单!H:H,MATCH(1953,面试清单!P:P,0)),"")</f>
        <v/>
      </c>
      <c r="I1954" s="13" t="s">
        <v>29</v>
      </c>
      <c r="J1954" s="10">
        <f ca="1" t="shared" si="91"/>
        <v>22</v>
      </c>
      <c r="K1954" s="10">
        <f ca="1" t="shared" si="92"/>
        <v>16</v>
      </c>
    </row>
    <row r="1955" ht="18" spans="1:11">
      <c r="A1955" s="14">
        <f t="shared" si="90"/>
        <v>1954</v>
      </c>
      <c r="B1955" s="11" t="s">
        <v>5878</v>
      </c>
      <c r="C1955" s="14" t="str">
        <f>IFERROR(INDEX(面试清单!D:D,MATCH(1954,面试清单!P:P,0)),"")</f>
        <v/>
      </c>
      <c r="D1955" s="11" t="s">
        <v>74</v>
      </c>
      <c r="E1955" s="11" t="s">
        <v>190</v>
      </c>
      <c r="F1955" s="11" t="s">
        <v>179</v>
      </c>
      <c r="G1955" s="15">
        <v>46167</v>
      </c>
      <c r="H1955" s="14" t="str">
        <f>IFERROR(INDEX(面试清单!H:H,MATCH(1954,面试清单!P:P,0)),"")</f>
        <v/>
      </c>
      <c r="I1955" s="13" t="s">
        <v>29</v>
      </c>
      <c r="J1955" s="14">
        <f ca="1" t="shared" si="91"/>
        <v>22</v>
      </c>
      <c r="K1955" s="14">
        <f ca="1" t="shared" si="92"/>
        <v>16</v>
      </c>
    </row>
    <row r="1956" ht="18" spans="1:11">
      <c r="A1956" s="10">
        <f t="shared" si="90"/>
        <v>1955</v>
      </c>
      <c r="B1956" s="11" t="s">
        <v>5879</v>
      </c>
      <c r="C1956" s="10" t="str">
        <f>IFERROR(INDEX(面试清单!D:D,MATCH(1955,面试清单!P:P,0)),"")</f>
        <v/>
      </c>
      <c r="D1956" s="11" t="s">
        <v>74</v>
      </c>
      <c r="E1956" s="11" t="s">
        <v>190</v>
      </c>
      <c r="F1956" s="11" t="s">
        <v>179</v>
      </c>
      <c r="G1956" s="15">
        <v>46167</v>
      </c>
      <c r="H1956" s="10" t="str">
        <f>IFERROR(INDEX(面试清单!H:H,MATCH(1955,面试清单!P:P,0)),"")</f>
        <v/>
      </c>
      <c r="I1956" s="13" t="s">
        <v>29</v>
      </c>
      <c r="J1956" s="10">
        <f ca="1" t="shared" si="91"/>
        <v>22</v>
      </c>
      <c r="K1956" s="10">
        <f ca="1" t="shared" si="92"/>
        <v>16</v>
      </c>
    </row>
    <row r="1957" ht="18" spans="1:11">
      <c r="A1957" s="14">
        <f t="shared" si="90"/>
        <v>1956</v>
      </c>
      <c r="B1957" s="11" t="s">
        <v>5880</v>
      </c>
      <c r="C1957" s="14" t="str">
        <f>IFERROR(INDEX(面试清单!D:D,MATCH(1956,面试清单!P:P,0)),"")</f>
        <v/>
      </c>
      <c r="D1957" s="11" t="s">
        <v>74</v>
      </c>
      <c r="E1957" s="11" t="s">
        <v>190</v>
      </c>
      <c r="F1957" s="11" t="s">
        <v>179</v>
      </c>
      <c r="G1957" s="15">
        <v>46167</v>
      </c>
      <c r="H1957" s="14" t="str">
        <f>IFERROR(INDEX(面试清单!H:H,MATCH(1956,面试清单!P:P,0)),"")</f>
        <v/>
      </c>
      <c r="I1957" s="13" t="s">
        <v>29</v>
      </c>
      <c r="J1957" s="14">
        <f ca="1" t="shared" si="91"/>
        <v>22</v>
      </c>
      <c r="K1957" s="14">
        <f ca="1" t="shared" si="92"/>
        <v>16</v>
      </c>
    </row>
    <row r="1958" ht="18" spans="1:11">
      <c r="A1958" s="10">
        <f t="shared" si="90"/>
        <v>1957</v>
      </c>
      <c r="B1958" s="11" t="s">
        <v>5881</v>
      </c>
      <c r="C1958" s="10" t="str">
        <f>IFERROR(INDEX(面试清单!D:D,MATCH(1957,面试清单!P:P,0)),"")</f>
        <v/>
      </c>
      <c r="D1958" s="11" t="s">
        <v>43</v>
      </c>
      <c r="E1958" s="11" t="s">
        <v>63</v>
      </c>
      <c r="F1958" s="11" t="s">
        <v>179</v>
      </c>
      <c r="G1958" s="15">
        <v>46167</v>
      </c>
      <c r="H1958" s="10" t="str">
        <f>IFERROR(INDEX(面试清单!H:H,MATCH(1957,面试清单!P:P,0)),"")</f>
        <v/>
      </c>
      <c r="I1958" s="13" t="s">
        <v>29</v>
      </c>
      <c r="J1958" s="10">
        <f ca="1" t="shared" si="91"/>
        <v>22</v>
      </c>
      <c r="K1958" s="10">
        <f ca="1" t="shared" si="92"/>
        <v>16</v>
      </c>
    </row>
    <row r="1959" ht="18" spans="1:11">
      <c r="A1959" s="14">
        <f t="shared" si="90"/>
        <v>1958</v>
      </c>
      <c r="B1959" s="11" t="s">
        <v>5882</v>
      </c>
      <c r="C1959" s="14" t="str">
        <f>IFERROR(INDEX(面试清单!D:D,MATCH(1958,面试清单!P:P,0)),"")</f>
        <v/>
      </c>
      <c r="D1959" s="11" t="s">
        <v>42</v>
      </c>
      <c r="E1959" s="11" t="s">
        <v>63</v>
      </c>
      <c r="F1959" s="11" t="s">
        <v>129</v>
      </c>
      <c r="G1959" s="15">
        <v>46168</v>
      </c>
      <c r="H1959" s="14" t="str">
        <f>IFERROR(INDEX(面试清单!H:H,MATCH(1958,面试清单!P:P,0)),"")</f>
        <v/>
      </c>
      <c r="I1959" s="13" t="s">
        <v>29</v>
      </c>
      <c r="J1959" s="14">
        <f ca="1" t="shared" si="91"/>
        <v>21</v>
      </c>
      <c r="K1959" s="14">
        <f ca="1" t="shared" si="92"/>
        <v>16</v>
      </c>
    </row>
    <row r="1960" ht="18" spans="1:11">
      <c r="A1960" s="10">
        <f t="shared" si="90"/>
        <v>1959</v>
      </c>
      <c r="B1960" s="11" t="s">
        <v>5883</v>
      </c>
      <c r="C1960" s="10" t="str">
        <f>IFERROR(INDEX(面试清单!D:D,MATCH(1959,面试清单!P:P,0)),"")</f>
        <v/>
      </c>
      <c r="D1960" s="11" t="s">
        <v>43</v>
      </c>
      <c r="E1960" s="11" t="s">
        <v>62</v>
      </c>
      <c r="F1960" s="11" t="s">
        <v>176</v>
      </c>
      <c r="G1960" s="15">
        <v>46168</v>
      </c>
      <c r="H1960" s="10" t="str">
        <f>IFERROR(INDEX(面试清单!H:H,MATCH(1959,面试清单!P:P,0)),"")</f>
        <v/>
      </c>
      <c r="I1960" s="13" t="s">
        <v>29</v>
      </c>
      <c r="J1960" s="10">
        <f ca="1" t="shared" si="91"/>
        <v>21</v>
      </c>
      <c r="K1960" s="10">
        <f ca="1" t="shared" si="92"/>
        <v>16</v>
      </c>
    </row>
    <row r="1961" ht="18" spans="1:11">
      <c r="A1961" s="14">
        <f t="shared" si="90"/>
        <v>1960</v>
      </c>
      <c r="B1961" s="11" t="s">
        <v>5884</v>
      </c>
      <c r="C1961" s="14" t="str">
        <f>IFERROR(INDEX(面试清单!D:D,MATCH(1960,面试清单!P:P,0)),"")</f>
        <v/>
      </c>
      <c r="D1961" s="11" t="s">
        <v>43</v>
      </c>
      <c r="E1961" s="11" t="s">
        <v>63</v>
      </c>
      <c r="F1961" s="11" t="s">
        <v>176</v>
      </c>
      <c r="G1961" s="15">
        <v>46168</v>
      </c>
      <c r="H1961" s="14" t="str">
        <f>IFERROR(INDEX(面试清单!H:H,MATCH(1960,面试清单!P:P,0)),"")</f>
        <v/>
      </c>
      <c r="I1961" s="13" t="s">
        <v>29</v>
      </c>
      <c r="J1961" s="14">
        <f ca="1" t="shared" si="91"/>
        <v>21</v>
      </c>
      <c r="K1961" s="14">
        <f ca="1" t="shared" si="92"/>
        <v>16</v>
      </c>
    </row>
    <row r="1962" ht="18" spans="1:11">
      <c r="A1962" s="10">
        <f t="shared" si="90"/>
        <v>1961</v>
      </c>
      <c r="B1962" s="11" t="s">
        <v>5885</v>
      </c>
      <c r="C1962" s="10" t="str">
        <f>IFERROR(INDEX(面试清单!D:D,MATCH(1961,面试清单!P:P,0)),"")</f>
        <v/>
      </c>
      <c r="D1962" s="11" t="s">
        <v>43</v>
      </c>
      <c r="E1962" s="11" t="s">
        <v>63</v>
      </c>
      <c r="F1962" s="11" t="s">
        <v>176</v>
      </c>
      <c r="G1962" s="15">
        <v>46168</v>
      </c>
      <c r="H1962" s="10" t="str">
        <f>IFERROR(INDEX(面试清单!H:H,MATCH(1961,面试清单!P:P,0)),"")</f>
        <v/>
      </c>
      <c r="I1962" s="13" t="s">
        <v>29</v>
      </c>
      <c r="J1962" s="10">
        <f ca="1" t="shared" si="91"/>
        <v>21</v>
      </c>
      <c r="K1962" s="10">
        <f ca="1" t="shared" si="92"/>
        <v>16</v>
      </c>
    </row>
    <row r="1963" ht="18" spans="1:11">
      <c r="A1963" s="14">
        <f t="shared" si="90"/>
        <v>1962</v>
      </c>
      <c r="B1963" s="11" t="s">
        <v>5886</v>
      </c>
      <c r="C1963" s="14" t="str">
        <f>IFERROR(INDEX(面试清单!D:D,MATCH(1962,面试清单!P:P,0)),"")</f>
        <v/>
      </c>
      <c r="D1963" s="11" t="s">
        <v>43</v>
      </c>
      <c r="E1963" s="11" t="s">
        <v>63</v>
      </c>
      <c r="F1963" s="11" t="s">
        <v>176</v>
      </c>
      <c r="G1963" s="15">
        <v>46168</v>
      </c>
      <c r="H1963" s="14" t="str">
        <f>IFERROR(INDEX(面试清单!H:H,MATCH(1962,面试清单!P:P,0)),"")</f>
        <v/>
      </c>
      <c r="I1963" s="13" t="s">
        <v>29</v>
      </c>
      <c r="J1963" s="14">
        <f ca="1" t="shared" si="91"/>
        <v>21</v>
      </c>
      <c r="K1963" s="14">
        <f ca="1" t="shared" si="92"/>
        <v>16</v>
      </c>
    </row>
    <row r="1964" ht="18" spans="1:11">
      <c r="A1964" s="10">
        <f t="shared" si="90"/>
        <v>1963</v>
      </c>
      <c r="B1964" s="11" t="s">
        <v>5887</v>
      </c>
      <c r="C1964" s="10" t="str">
        <f>IFERROR(INDEX(面试清单!D:D,MATCH(1963,面试清单!P:P,0)),"")</f>
        <v/>
      </c>
      <c r="D1964" s="11" t="s">
        <v>42</v>
      </c>
      <c r="E1964" s="11" t="s">
        <v>62</v>
      </c>
      <c r="F1964" s="11" t="s">
        <v>176</v>
      </c>
      <c r="G1964" s="15">
        <v>46168</v>
      </c>
      <c r="H1964" s="10" t="str">
        <f>IFERROR(INDEX(面试清单!H:H,MATCH(1963,面试清单!P:P,0)),"")</f>
        <v/>
      </c>
      <c r="I1964" s="13" t="s">
        <v>29</v>
      </c>
      <c r="J1964" s="10">
        <f ca="1" t="shared" si="91"/>
        <v>21</v>
      </c>
      <c r="K1964" s="10">
        <f ca="1" t="shared" si="92"/>
        <v>16</v>
      </c>
    </row>
    <row r="1965" ht="18" spans="1:11">
      <c r="A1965" s="14">
        <f t="shared" si="90"/>
        <v>1964</v>
      </c>
      <c r="B1965" s="11" t="s">
        <v>5888</v>
      </c>
      <c r="C1965" s="14" t="str">
        <f>IFERROR(INDEX(面试清单!D:D,MATCH(1964,面试清单!P:P,0)),"")</f>
        <v/>
      </c>
      <c r="D1965" s="11" t="s">
        <v>42</v>
      </c>
      <c r="E1965" s="11" t="s">
        <v>62</v>
      </c>
      <c r="F1965" s="11" t="s">
        <v>124</v>
      </c>
      <c r="G1965" s="15">
        <v>46168</v>
      </c>
      <c r="H1965" s="14" t="str">
        <f>IFERROR(INDEX(面试清单!H:H,MATCH(1964,面试清单!P:P,0)),"")</f>
        <v/>
      </c>
      <c r="I1965" s="13" t="s">
        <v>29</v>
      </c>
      <c r="J1965" s="14">
        <f ca="1" t="shared" si="91"/>
        <v>21</v>
      </c>
      <c r="K1965" s="14">
        <f ca="1" t="shared" si="92"/>
        <v>16</v>
      </c>
    </row>
    <row r="1966" ht="18" spans="1:11">
      <c r="A1966" s="10">
        <f t="shared" si="90"/>
        <v>1965</v>
      </c>
      <c r="B1966" s="11" t="s">
        <v>5889</v>
      </c>
      <c r="C1966" s="10" t="str">
        <f>IFERROR(INDEX(面试清单!D:D,MATCH(1965,面试清单!P:P,0)),"")</f>
        <v/>
      </c>
      <c r="D1966" s="11" t="s">
        <v>42</v>
      </c>
      <c r="E1966" s="11" t="s">
        <v>62</v>
      </c>
      <c r="F1966" s="11" t="s">
        <v>103</v>
      </c>
      <c r="G1966" s="15">
        <v>46168</v>
      </c>
      <c r="H1966" s="10" t="str">
        <f>IFERROR(INDEX(面试清单!H:H,MATCH(1965,面试清单!P:P,0)),"")</f>
        <v/>
      </c>
      <c r="I1966" s="13" t="s">
        <v>29</v>
      </c>
      <c r="J1966" s="10">
        <f ca="1" t="shared" si="91"/>
        <v>21</v>
      </c>
      <c r="K1966" s="10">
        <f ca="1" t="shared" si="92"/>
        <v>16</v>
      </c>
    </row>
    <row r="1967" ht="18" spans="1:11">
      <c r="A1967" s="14">
        <f t="shared" si="90"/>
        <v>1966</v>
      </c>
      <c r="B1967" s="11" t="s">
        <v>5890</v>
      </c>
      <c r="C1967" s="14" t="str">
        <f>IFERROR(INDEX(面试清单!D:D,MATCH(1966,面试清单!P:P,0)),"")</f>
        <v/>
      </c>
      <c r="D1967" s="11" t="s">
        <v>43</v>
      </c>
      <c r="E1967" s="11" t="s">
        <v>62</v>
      </c>
      <c r="F1967" s="11" t="s">
        <v>307</v>
      </c>
      <c r="G1967" s="15">
        <v>46168</v>
      </c>
      <c r="H1967" s="14" t="str">
        <f>IFERROR(INDEX(面试清单!H:H,MATCH(1966,面试清单!P:P,0)),"")</f>
        <v/>
      </c>
      <c r="I1967" s="13" t="s">
        <v>29</v>
      </c>
      <c r="J1967" s="14">
        <f ca="1" t="shared" si="91"/>
        <v>21</v>
      </c>
      <c r="K1967" s="14">
        <f ca="1" t="shared" si="92"/>
        <v>16</v>
      </c>
    </row>
    <row r="1968" ht="18" spans="1:11">
      <c r="A1968" s="10">
        <f t="shared" si="90"/>
        <v>1967</v>
      </c>
      <c r="B1968" s="11" t="s">
        <v>1605</v>
      </c>
      <c r="C1968" s="10" t="str">
        <f>IFERROR(INDEX(面试清单!D:D,MATCH(1967,面试清单!P:P,0)),"")</f>
        <v/>
      </c>
      <c r="D1968" s="11" t="s">
        <v>42</v>
      </c>
      <c r="E1968" s="11" t="s">
        <v>62</v>
      </c>
      <c r="F1968" s="11" t="s">
        <v>233</v>
      </c>
      <c r="G1968" s="15">
        <v>46168</v>
      </c>
      <c r="H1968" s="10" t="str">
        <f>IFERROR(INDEX(面试清单!H:H,MATCH(1967,面试清单!P:P,0)),"")</f>
        <v/>
      </c>
      <c r="I1968" s="13" t="s">
        <v>29</v>
      </c>
      <c r="J1968" s="10">
        <f ca="1" t="shared" si="91"/>
        <v>21</v>
      </c>
      <c r="K1968" s="10">
        <f ca="1" t="shared" si="92"/>
        <v>16</v>
      </c>
    </row>
    <row r="1969" ht="18" spans="1:11">
      <c r="A1969" s="14">
        <f t="shared" si="90"/>
        <v>1968</v>
      </c>
      <c r="B1969" s="11" t="s">
        <v>5891</v>
      </c>
      <c r="C1969" s="124" t="str">
        <f>IFERROR(INDEX(面试清单!D:D,MATCH(1968,面试清单!P:P,0)),"")</f>
        <v>0220</v>
      </c>
      <c r="D1969" s="11" t="s">
        <v>43</v>
      </c>
      <c r="E1969" s="11" t="s">
        <v>62</v>
      </c>
      <c r="F1969" s="11" t="s">
        <v>233</v>
      </c>
      <c r="G1969" s="15">
        <v>46168</v>
      </c>
      <c r="H1969" s="14" t="str">
        <f>IFERROR(INDEX(面试清单!H:H,MATCH(1968,面试清单!P:P,0)),"")</f>
        <v>线上</v>
      </c>
      <c r="I1969" s="13" t="s">
        <v>29</v>
      </c>
      <c r="J1969" s="14">
        <f ca="1" t="shared" si="91"/>
        <v>21</v>
      </c>
      <c r="K1969" s="14">
        <f ca="1" t="shared" si="92"/>
        <v>16</v>
      </c>
    </row>
    <row r="1970" ht="18" spans="1:11">
      <c r="A1970" s="10">
        <f t="shared" si="90"/>
        <v>1969</v>
      </c>
      <c r="B1970" s="11" t="s">
        <v>5892</v>
      </c>
      <c r="C1970" s="10" t="str">
        <f>IFERROR(INDEX(面试清单!D:D,MATCH(1969,面试清单!P:P,0)),"")</f>
        <v/>
      </c>
      <c r="D1970" s="11" t="s">
        <v>43</v>
      </c>
      <c r="E1970" s="11" t="s">
        <v>62</v>
      </c>
      <c r="F1970" s="11" t="s">
        <v>246</v>
      </c>
      <c r="G1970" s="15">
        <v>46168</v>
      </c>
      <c r="H1970" s="10" t="str">
        <f>IFERROR(INDEX(面试清单!H:H,MATCH(1969,面试清单!P:P,0)),"")</f>
        <v/>
      </c>
      <c r="I1970" s="13" t="s">
        <v>29</v>
      </c>
      <c r="J1970" s="10">
        <f ca="1" t="shared" si="91"/>
        <v>21</v>
      </c>
      <c r="K1970" s="10">
        <f ca="1" t="shared" si="92"/>
        <v>16</v>
      </c>
    </row>
    <row r="1971" ht="18" spans="1:11">
      <c r="A1971" s="14">
        <f t="shared" si="90"/>
        <v>1970</v>
      </c>
      <c r="B1971" s="11" t="s">
        <v>5893</v>
      </c>
      <c r="C1971" s="14" t="str">
        <f>IFERROR(INDEX(面试清单!D:D,MATCH(1970,面试清单!P:P,0)),"")</f>
        <v/>
      </c>
      <c r="D1971" s="11" t="s">
        <v>42</v>
      </c>
      <c r="E1971" s="11" t="s">
        <v>63</v>
      </c>
      <c r="F1971" s="11" t="s">
        <v>578</v>
      </c>
      <c r="G1971" s="15">
        <v>46168</v>
      </c>
      <c r="H1971" s="14" t="str">
        <f>IFERROR(INDEX(面试清单!H:H,MATCH(1970,面试清单!P:P,0)),"")</f>
        <v/>
      </c>
      <c r="I1971" s="13" t="s">
        <v>29</v>
      </c>
      <c r="J1971" s="14">
        <f ca="1" t="shared" si="91"/>
        <v>21</v>
      </c>
      <c r="K1971" s="14">
        <f ca="1" t="shared" si="92"/>
        <v>16</v>
      </c>
    </row>
    <row r="1972" ht="18" spans="1:11">
      <c r="A1972" s="10">
        <f t="shared" si="90"/>
        <v>1971</v>
      </c>
      <c r="B1972" s="11" t="s">
        <v>5894</v>
      </c>
      <c r="C1972" s="10" t="str">
        <f>IFERROR(INDEX(面试清单!D:D,MATCH(1971,面试清单!P:P,0)),"")</f>
        <v/>
      </c>
      <c r="D1972" s="11" t="s">
        <v>42</v>
      </c>
      <c r="E1972" s="11" t="s">
        <v>63</v>
      </c>
      <c r="F1972" s="11" t="s">
        <v>578</v>
      </c>
      <c r="G1972" s="15">
        <v>46168</v>
      </c>
      <c r="H1972" s="10" t="str">
        <f>IFERROR(INDEX(面试清单!H:H,MATCH(1971,面试清单!P:P,0)),"")</f>
        <v/>
      </c>
      <c r="I1972" s="13" t="s">
        <v>29</v>
      </c>
      <c r="J1972" s="10">
        <f ca="1" t="shared" si="91"/>
        <v>21</v>
      </c>
      <c r="K1972" s="10">
        <f ca="1" t="shared" si="92"/>
        <v>16</v>
      </c>
    </row>
    <row r="1973" ht="18" spans="1:11">
      <c r="A1973" s="14">
        <f t="shared" si="90"/>
        <v>1972</v>
      </c>
      <c r="B1973" s="11" t="s">
        <v>5895</v>
      </c>
      <c r="C1973" s="124" t="str">
        <f>IFERROR(INDEX(面试清单!D:D,MATCH(1972,面试清单!P:P,0)),"")</f>
        <v>0209</v>
      </c>
      <c r="D1973" s="11" t="s">
        <v>42</v>
      </c>
      <c r="E1973" s="11" t="s">
        <v>63</v>
      </c>
      <c r="F1973" s="11" t="s">
        <v>578</v>
      </c>
      <c r="G1973" s="15">
        <v>46168</v>
      </c>
      <c r="H1973" s="14" t="str">
        <f>IFERROR(INDEX(面试清单!H:H,MATCH(1972,面试清单!P:P,0)),"")</f>
        <v>线上</v>
      </c>
      <c r="I1973" s="13" t="s">
        <v>29</v>
      </c>
      <c r="J1973" s="14">
        <f ca="1" t="shared" si="91"/>
        <v>21</v>
      </c>
      <c r="K1973" s="14">
        <f ca="1" t="shared" si="92"/>
        <v>16</v>
      </c>
    </row>
    <row r="1974" ht="18" spans="1:11">
      <c r="A1974" s="10">
        <f t="shared" si="90"/>
        <v>1973</v>
      </c>
      <c r="B1974" s="11" t="s">
        <v>5896</v>
      </c>
      <c r="C1974" s="10" t="str">
        <f>IFERROR(INDEX(面试清单!D:D,MATCH(1973,面试清单!P:P,0)),"")</f>
        <v/>
      </c>
      <c r="D1974" s="11" t="s">
        <v>43</v>
      </c>
      <c r="E1974" s="11" t="s">
        <v>62</v>
      </c>
      <c r="F1974" s="11" t="s">
        <v>132</v>
      </c>
      <c r="G1974" s="15">
        <v>46168</v>
      </c>
      <c r="H1974" s="10" t="str">
        <f>IFERROR(INDEX(面试清单!H:H,MATCH(1973,面试清单!P:P,0)),"")</f>
        <v/>
      </c>
      <c r="I1974" s="13" t="s">
        <v>29</v>
      </c>
      <c r="J1974" s="10">
        <f ca="1" t="shared" si="91"/>
        <v>21</v>
      </c>
      <c r="K1974" s="10">
        <f ca="1" t="shared" si="92"/>
        <v>16</v>
      </c>
    </row>
    <row r="1975" ht="18" spans="1:11">
      <c r="A1975" s="14">
        <f t="shared" si="90"/>
        <v>1974</v>
      </c>
      <c r="B1975" s="11" t="s">
        <v>5897</v>
      </c>
      <c r="C1975" s="124" t="str">
        <f>IFERROR(INDEX(面试清单!D:D,MATCH(1974,面试清单!P:P,0)),"")</f>
        <v>0214</v>
      </c>
      <c r="D1975" s="11" t="s">
        <v>43</v>
      </c>
      <c r="E1975" s="11" t="s">
        <v>63</v>
      </c>
      <c r="F1975" s="11" t="s">
        <v>173</v>
      </c>
      <c r="G1975" s="15">
        <v>46168</v>
      </c>
      <c r="H1975" s="14" t="str">
        <f>IFERROR(INDEX(面试清单!H:H,MATCH(1974,面试清单!P:P,0)),"")</f>
        <v>线上</v>
      </c>
      <c r="I1975" s="13" t="s">
        <v>29</v>
      </c>
      <c r="J1975" s="14">
        <f ca="1" t="shared" si="91"/>
        <v>21</v>
      </c>
      <c r="K1975" s="14">
        <f ca="1" t="shared" si="92"/>
        <v>16</v>
      </c>
    </row>
    <row r="1976" ht="18" spans="1:11">
      <c r="A1976" s="10">
        <f t="shared" si="90"/>
        <v>1975</v>
      </c>
      <c r="B1976" s="11" t="s">
        <v>5898</v>
      </c>
      <c r="C1976" s="125" t="str">
        <f>IFERROR(INDEX(面试清单!D:D,MATCH(1975,面试清单!P:P,0)),"")</f>
        <v>0217</v>
      </c>
      <c r="D1976" s="11" t="s">
        <v>43</v>
      </c>
      <c r="E1976" s="11" t="s">
        <v>62</v>
      </c>
      <c r="F1976" s="11" t="s">
        <v>179</v>
      </c>
      <c r="G1976" s="15">
        <v>46168</v>
      </c>
      <c r="H1976" s="10" t="str">
        <f>IFERROR(INDEX(面试清单!H:H,MATCH(1975,面试清单!P:P,0)),"")</f>
        <v>线上</v>
      </c>
      <c r="I1976" s="13" t="s">
        <v>29</v>
      </c>
      <c r="J1976" s="10">
        <f ca="1" t="shared" si="91"/>
        <v>21</v>
      </c>
      <c r="K1976" s="10">
        <f ca="1" t="shared" si="92"/>
        <v>16</v>
      </c>
    </row>
    <row r="1977" ht="18" spans="1:11">
      <c r="A1977" s="14">
        <f t="shared" si="90"/>
        <v>1976</v>
      </c>
      <c r="B1977" s="11" t="s">
        <v>5899</v>
      </c>
      <c r="C1977" s="14" t="str">
        <f>IFERROR(INDEX(面试清单!D:D,MATCH(1976,面试清单!P:P,0)),"")</f>
        <v/>
      </c>
      <c r="D1977" s="11" t="s">
        <v>42</v>
      </c>
      <c r="E1977" s="11" t="s">
        <v>63</v>
      </c>
      <c r="F1977" s="11" t="s">
        <v>179</v>
      </c>
      <c r="G1977" s="15">
        <v>46168</v>
      </c>
      <c r="H1977" s="14" t="str">
        <f>IFERROR(INDEX(面试清单!H:H,MATCH(1976,面试清单!P:P,0)),"")</f>
        <v/>
      </c>
      <c r="I1977" s="13" t="s">
        <v>29</v>
      </c>
      <c r="J1977" s="14">
        <f ca="1" t="shared" si="91"/>
        <v>21</v>
      </c>
      <c r="K1977" s="14">
        <f ca="1" t="shared" si="92"/>
        <v>16</v>
      </c>
    </row>
    <row r="1978" ht="18" spans="1:11">
      <c r="A1978" s="10">
        <f t="shared" si="90"/>
        <v>1977</v>
      </c>
      <c r="B1978" s="11" t="s">
        <v>5900</v>
      </c>
      <c r="C1978" s="10" t="str">
        <f>IFERROR(INDEX(面试清单!D:D,MATCH(1977,面试清单!P:P,0)),"")</f>
        <v/>
      </c>
      <c r="D1978" s="11" t="s">
        <v>42</v>
      </c>
      <c r="E1978" s="11" t="s">
        <v>63</v>
      </c>
      <c r="F1978" s="11" t="s">
        <v>173</v>
      </c>
      <c r="G1978" s="15">
        <v>46168</v>
      </c>
      <c r="H1978" s="10" t="str">
        <f>IFERROR(INDEX(面试清单!H:H,MATCH(1977,面试清单!P:P,0)),"")</f>
        <v/>
      </c>
      <c r="I1978" s="13" t="s">
        <v>29</v>
      </c>
      <c r="J1978" s="10">
        <f ca="1" t="shared" si="91"/>
        <v>21</v>
      </c>
      <c r="K1978" s="10">
        <f ca="1" t="shared" si="92"/>
        <v>16</v>
      </c>
    </row>
    <row r="1979" ht="18" spans="1:11">
      <c r="A1979" s="14">
        <f t="shared" si="90"/>
        <v>1978</v>
      </c>
      <c r="B1979" s="11" t="s">
        <v>5901</v>
      </c>
      <c r="C1979" s="14" t="str">
        <f>IFERROR(INDEX(面试清单!D:D,MATCH(1978,面试清单!P:P,0)),"")</f>
        <v/>
      </c>
      <c r="D1979" s="11" t="s">
        <v>42</v>
      </c>
      <c r="E1979" s="11" t="s">
        <v>63</v>
      </c>
      <c r="F1979" s="11" t="s">
        <v>117</v>
      </c>
      <c r="G1979" s="15">
        <v>46168</v>
      </c>
      <c r="H1979" s="14" t="str">
        <f>IFERROR(INDEX(面试清单!H:H,MATCH(1978,面试清单!P:P,0)),"")</f>
        <v/>
      </c>
      <c r="I1979" s="13" t="s">
        <v>29</v>
      </c>
      <c r="J1979" s="14">
        <f ca="1" t="shared" si="91"/>
        <v>21</v>
      </c>
      <c r="K1979" s="14">
        <f ca="1" t="shared" si="92"/>
        <v>16</v>
      </c>
    </row>
    <row r="1980" ht="18" spans="1:11">
      <c r="A1980" s="10">
        <f t="shared" si="90"/>
        <v>1979</v>
      </c>
      <c r="B1980" s="11" t="s">
        <v>5902</v>
      </c>
      <c r="C1980" s="10" t="str">
        <f>IFERROR(INDEX(面试清单!D:D,MATCH(1979,面试清单!P:P,0)),"")</f>
        <v/>
      </c>
      <c r="D1980" s="11" t="s">
        <v>42</v>
      </c>
      <c r="E1980" s="11" t="s">
        <v>64</v>
      </c>
      <c r="F1980" s="11" t="s">
        <v>117</v>
      </c>
      <c r="G1980" s="15">
        <v>46168</v>
      </c>
      <c r="H1980" s="10" t="str">
        <f>IFERROR(INDEX(面试清单!H:H,MATCH(1979,面试清单!P:P,0)),"")</f>
        <v/>
      </c>
      <c r="I1980" s="13" t="s">
        <v>29</v>
      </c>
      <c r="J1980" s="10">
        <f ca="1" t="shared" si="91"/>
        <v>21</v>
      </c>
      <c r="K1980" s="10">
        <f ca="1" t="shared" si="92"/>
        <v>16</v>
      </c>
    </row>
    <row r="1981" ht="18" spans="1:11">
      <c r="A1981" s="14">
        <f t="shared" si="90"/>
        <v>1980</v>
      </c>
      <c r="B1981" s="11" t="s">
        <v>5903</v>
      </c>
      <c r="C1981" s="14" t="str">
        <f>IFERROR(INDEX(面试清单!D:D,MATCH(1980,面试清单!P:P,0)),"")</f>
        <v/>
      </c>
      <c r="D1981" s="11" t="s">
        <v>74</v>
      </c>
      <c r="E1981" s="11" t="s">
        <v>190</v>
      </c>
      <c r="F1981" s="11" t="s">
        <v>117</v>
      </c>
      <c r="G1981" s="15">
        <v>46168</v>
      </c>
      <c r="H1981" s="14" t="str">
        <f>IFERROR(INDEX(面试清单!H:H,MATCH(1980,面试清单!P:P,0)),"")</f>
        <v/>
      </c>
      <c r="I1981" s="13" t="s">
        <v>29</v>
      </c>
      <c r="J1981" s="14">
        <f ca="1" t="shared" si="91"/>
        <v>21</v>
      </c>
      <c r="K1981" s="14">
        <f ca="1" t="shared" si="92"/>
        <v>16</v>
      </c>
    </row>
    <row r="1982" ht="18" spans="1:11">
      <c r="A1982" s="10">
        <f t="shared" si="90"/>
        <v>1981</v>
      </c>
      <c r="B1982" s="11" t="s">
        <v>5904</v>
      </c>
      <c r="C1982" s="10" t="str">
        <f>IFERROR(INDEX(面试清单!D:D,MATCH(1981,面试清单!P:P,0)),"")</f>
        <v/>
      </c>
      <c r="D1982" s="11" t="s">
        <v>43</v>
      </c>
      <c r="E1982" s="11" t="s">
        <v>64</v>
      </c>
      <c r="F1982" s="11" t="s">
        <v>117</v>
      </c>
      <c r="G1982" s="15">
        <v>46168</v>
      </c>
      <c r="H1982" s="10" t="str">
        <f>IFERROR(INDEX(面试清单!H:H,MATCH(1981,面试清单!P:P,0)),"")</f>
        <v/>
      </c>
      <c r="I1982" s="13" t="s">
        <v>29</v>
      </c>
      <c r="J1982" s="10">
        <f ca="1" t="shared" si="91"/>
        <v>21</v>
      </c>
      <c r="K1982" s="10">
        <f ca="1" t="shared" si="92"/>
        <v>16</v>
      </c>
    </row>
    <row r="1983" ht="18" spans="1:11">
      <c r="A1983" s="14">
        <f t="shared" si="90"/>
        <v>1982</v>
      </c>
      <c r="B1983" s="11" t="s">
        <v>5905</v>
      </c>
      <c r="C1983" s="14" t="str">
        <f>IFERROR(INDEX(面试清单!D:D,MATCH(1982,面试清单!P:P,0)),"")</f>
        <v/>
      </c>
      <c r="D1983" s="11" t="s">
        <v>42</v>
      </c>
      <c r="E1983" s="11" t="s">
        <v>62</v>
      </c>
      <c r="F1983" s="11" t="s">
        <v>173</v>
      </c>
      <c r="G1983" s="15">
        <v>46168</v>
      </c>
      <c r="H1983" s="14" t="str">
        <f>IFERROR(INDEX(面试清单!H:H,MATCH(1982,面试清单!P:P,0)),"")</f>
        <v/>
      </c>
      <c r="I1983" s="13" t="s">
        <v>29</v>
      </c>
      <c r="J1983" s="14">
        <f ca="1" t="shared" si="91"/>
        <v>21</v>
      </c>
      <c r="K1983" s="14">
        <f ca="1" t="shared" si="92"/>
        <v>16</v>
      </c>
    </row>
    <row r="1984" ht="18" spans="1:11">
      <c r="A1984" s="10">
        <f t="shared" si="90"/>
        <v>1983</v>
      </c>
      <c r="B1984" s="11" t="s">
        <v>5906</v>
      </c>
      <c r="C1984" s="125" t="str">
        <f>IFERROR(INDEX(面试清单!D:D,MATCH(1983,面试清单!P:P,0)),"")</f>
        <v>0214</v>
      </c>
      <c r="D1984" s="11" t="s">
        <v>42</v>
      </c>
      <c r="E1984" s="11" t="s">
        <v>63</v>
      </c>
      <c r="F1984" s="11" t="s">
        <v>173</v>
      </c>
      <c r="G1984" s="15">
        <v>46168</v>
      </c>
      <c r="H1984" s="10" t="str">
        <f>IFERROR(INDEX(面试清单!H:H,MATCH(1983,面试清单!P:P,0)),"")</f>
        <v>线上</v>
      </c>
      <c r="I1984" s="13" t="s">
        <v>29</v>
      </c>
      <c r="J1984" s="10">
        <f ca="1" t="shared" si="91"/>
        <v>21</v>
      </c>
      <c r="K1984" s="10">
        <f ca="1" t="shared" si="92"/>
        <v>16</v>
      </c>
    </row>
    <row r="1985" ht="18" spans="1:11">
      <c r="A1985" s="14">
        <f t="shared" si="90"/>
        <v>1984</v>
      </c>
      <c r="B1985" s="11" t="s">
        <v>5907</v>
      </c>
      <c r="C1985" s="14" t="str">
        <f>IFERROR(INDEX(面试清单!D:D,MATCH(1984,面试清单!P:P,0)),"")</f>
        <v/>
      </c>
      <c r="D1985" s="11" t="s">
        <v>43</v>
      </c>
      <c r="E1985" s="11" t="s">
        <v>62</v>
      </c>
      <c r="F1985" s="11" t="s">
        <v>179</v>
      </c>
      <c r="G1985" s="15">
        <v>46168</v>
      </c>
      <c r="H1985" s="14" t="str">
        <f>IFERROR(INDEX(面试清单!H:H,MATCH(1984,面试清单!P:P,0)),"")</f>
        <v/>
      </c>
      <c r="I1985" s="13" t="s">
        <v>29</v>
      </c>
      <c r="J1985" s="14">
        <f ca="1" t="shared" si="91"/>
        <v>21</v>
      </c>
      <c r="K1985" s="14">
        <f ca="1" t="shared" si="92"/>
        <v>16</v>
      </c>
    </row>
    <row r="1986" ht="18" spans="1:11">
      <c r="A1986" s="10">
        <f t="shared" ref="A1986:A2049" si="93">IF(B1986&lt;&gt;"",ROW()-1,"")</f>
        <v>1985</v>
      </c>
      <c r="B1986" s="11" t="s">
        <v>5908</v>
      </c>
      <c r="C1986" s="10" t="str">
        <f>IFERROR(INDEX(面试清单!D:D,MATCH(1985,面试清单!P:P,0)),"")</f>
        <v/>
      </c>
      <c r="D1986" s="11" t="s">
        <v>74</v>
      </c>
      <c r="E1986" s="11" t="s">
        <v>64</v>
      </c>
      <c r="F1986" s="11" t="s">
        <v>179</v>
      </c>
      <c r="G1986" s="15">
        <v>46168</v>
      </c>
      <c r="H1986" s="10" t="str">
        <f>IFERROR(INDEX(面试清单!H:H,MATCH(1985,面试清单!P:P,0)),"")</f>
        <v/>
      </c>
      <c r="I1986" s="13" t="s">
        <v>29</v>
      </c>
      <c r="J1986" s="10">
        <f ca="1" t="shared" ref="J1986:J2049" si="94">IF(G1986&lt;&gt;"",TODAY()-G1986,"")</f>
        <v>21</v>
      </c>
      <c r="K1986" s="10">
        <f ca="1" t="shared" ref="K1986:K2049" si="95">IF(G1986&lt;&gt;"",MAX(0,MIN(TODAY(),EOMONTH(TODAY(),0))-MAX(G1986,EOMONTH(TODAY(),-1)+1)+1),"")</f>
        <v>16</v>
      </c>
    </row>
    <row r="1987" ht="18" spans="1:11">
      <c r="A1987" s="14">
        <f t="shared" si="93"/>
        <v>1986</v>
      </c>
      <c r="B1987" s="11" t="s">
        <v>5909</v>
      </c>
      <c r="C1987" s="14" t="str">
        <f>IFERROR(INDEX(面试清单!D:D,MATCH(1986,面试清单!P:P,0)),"")</f>
        <v/>
      </c>
      <c r="D1987" s="11" t="s">
        <v>74</v>
      </c>
      <c r="E1987" s="11" t="s">
        <v>64</v>
      </c>
      <c r="F1987" s="11" t="s">
        <v>179</v>
      </c>
      <c r="G1987" s="15">
        <v>46168</v>
      </c>
      <c r="H1987" s="14" t="str">
        <f>IFERROR(INDEX(面试清单!H:H,MATCH(1986,面试清单!P:P,0)),"")</f>
        <v/>
      </c>
      <c r="I1987" s="13" t="s">
        <v>29</v>
      </c>
      <c r="J1987" s="14">
        <f ca="1" t="shared" si="94"/>
        <v>21</v>
      </c>
      <c r="K1987" s="14">
        <f ca="1" t="shared" si="95"/>
        <v>16</v>
      </c>
    </row>
    <row r="1988" ht="18" spans="1:11">
      <c r="A1988" s="10">
        <f t="shared" si="93"/>
        <v>1987</v>
      </c>
      <c r="B1988" s="11" t="s">
        <v>5910</v>
      </c>
      <c r="C1988" s="10" t="str">
        <f>IFERROR(INDEX(面试清单!D:D,MATCH(1987,面试清单!P:P,0)),"")</f>
        <v/>
      </c>
      <c r="D1988" s="11" t="s">
        <v>74</v>
      </c>
      <c r="E1988" s="11" t="s">
        <v>64</v>
      </c>
      <c r="F1988" s="11" t="s">
        <v>179</v>
      </c>
      <c r="G1988" s="15">
        <v>46168</v>
      </c>
      <c r="H1988" s="10" t="str">
        <f>IFERROR(INDEX(面试清单!H:H,MATCH(1987,面试清单!P:P,0)),"")</f>
        <v/>
      </c>
      <c r="I1988" s="13" t="s">
        <v>29</v>
      </c>
      <c r="J1988" s="10">
        <f ca="1" t="shared" si="94"/>
        <v>21</v>
      </c>
      <c r="K1988" s="10">
        <f ca="1" t="shared" si="95"/>
        <v>16</v>
      </c>
    </row>
    <row r="1989" ht="18" spans="1:11">
      <c r="A1989" s="14">
        <f t="shared" si="93"/>
        <v>1988</v>
      </c>
      <c r="B1989" s="11" t="s">
        <v>5911</v>
      </c>
      <c r="C1989" s="14" t="str">
        <f>IFERROR(INDEX(面试清单!D:D,MATCH(1988,面试清单!P:P,0)),"")</f>
        <v/>
      </c>
      <c r="D1989" s="11" t="s">
        <v>74</v>
      </c>
      <c r="E1989" s="11" t="s">
        <v>190</v>
      </c>
      <c r="F1989" s="11" t="s">
        <v>179</v>
      </c>
      <c r="G1989" s="15">
        <v>46168</v>
      </c>
      <c r="H1989" s="14" t="str">
        <f>IFERROR(INDEX(面试清单!H:H,MATCH(1988,面试清单!P:P,0)),"")</f>
        <v/>
      </c>
      <c r="I1989" s="13" t="s">
        <v>29</v>
      </c>
      <c r="J1989" s="14">
        <f ca="1" t="shared" si="94"/>
        <v>21</v>
      </c>
      <c r="K1989" s="14">
        <f ca="1" t="shared" si="95"/>
        <v>16</v>
      </c>
    </row>
    <row r="1990" ht="18" spans="1:11">
      <c r="A1990" s="10">
        <f t="shared" si="93"/>
        <v>1989</v>
      </c>
      <c r="B1990" s="11" t="s">
        <v>5912</v>
      </c>
      <c r="C1990" s="10" t="str">
        <f>IFERROR(INDEX(面试清单!D:D,MATCH(1989,面试清单!P:P,0)),"")</f>
        <v/>
      </c>
      <c r="D1990" s="11" t="s">
        <v>43</v>
      </c>
      <c r="E1990" s="11" t="s">
        <v>64</v>
      </c>
      <c r="F1990" s="11" t="s">
        <v>179</v>
      </c>
      <c r="G1990" s="15">
        <v>46168</v>
      </c>
      <c r="H1990" s="10" t="str">
        <f>IFERROR(INDEX(面试清单!H:H,MATCH(1989,面试清单!P:P,0)),"")</f>
        <v/>
      </c>
      <c r="I1990" s="13" t="s">
        <v>29</v>
      </c>
      <c r="J1990" s="10">
        <f ca="1" t="shared" si="94"/>
        <v>21</v>
      </c>
      <c r="K1990" s="10">
        <f ca="1" t="shared" si="95"/>
        <v>16</v>
      </c>
    </row>
    <row r="1991" ht="18" spans="1:11">
      <c r="A1991" s="14">
        <f t="shared" si="93"/>
        <v>1990</v>
      </c>
      <c r="B1991" s="11" t="s">
        <v>5913</v>
      </c>
      <c r="C1991" s="14" t="str">
        <f>IFERROR(INDEX(面试清单!D:D,MATCH(1990,面试清单!P:P,0)),"")</f>
        <v/>
      </c>
      <c r="D1991" s="11" t="s">
        <v>74</v>
      </c>
      <c r="E1991" s="11" t="s">
        <v>64</v>
      </c>
      <c r="F1991" s="11" t="s">
        <v>179</v>
      </c>
      <c r="G1991" s="15">
        <v>46168</v>
      </c>
      <c r="H1991" s="14" t="str">
        <f>IFERROR(INDEX(面试清单!H:H,MATCH(1990,面试清单!P:P,0)),"")</f>
        <v/>
      </c>
      <c r="I1991" s="13" t="s">
        <v>29</v>
      </c>
      <c r="J1991" s="14">
        <f ca="1" t="shared" si="94"/>
        <v>21</v>
      </c>
      <c r="K1991" s="14">
        <f ca="1" t="shared" si="95"/>
        <v>16</v>
      </c>
    </row>
    <row r="1992" ht="18" spans="1:11">
      <c r="A1992" s="10">
        <f t="shared" si="93"/>
        <v>1991</v>
      </c>
      <c r="B1992" s="11" t="s">
        <v>5914</v>
      </c>
      <c r="C1992" s="10" t="str">
        <f>IFERROR(INDEX(面试清单!D:D,MATCH(1991,面试清单!P:P,0)),"")</f>
        <v/>
      </c>
      <c r="D1992" s="11" t="s">
        <v>74</v>
      </c>
      <c r="E1992" s="11" t="s">
        <v>64</v>
      </c>
      <c r="F1992" s="11" t="s">
        <v>179</v>
      </c>
      <c r="G1992" s="15">
        <v>46168</v>
      </c>
      <c r="H1992" s="10" t="str">
        <f>IFERROR(INDEX(面试清单!H:H,MATCH(1991,面试清单!P:P,0)),"")</f>
        <v/>
      </c>
      <c r="I1992" s="13" t="s">
        <v>29</v>
      </c>
      <c r="J1992" s="10">
        <f ca="1" t="shared" si="94"/>
        <v>21</v>
      </c>
      <c r="K1992" s="10">
        <f ca="1" t="shared" si="95"/>
        <v>16</v>
      </c>
    </row>
    <row r="1993" ht="18" spans="1:11">
      <c r="A1993" s="14">
        <f t="shared" si="93"/>
        <v>1992</v>
      </c>
      <c r="B1993" s="11" t="s">
        <v>5915</v>
      </c>
      <c r="C1993" s="14" t="str">
        <f>IFERROR(INDEX(面试清单!D:D,MATCH(1992,面试清单!P:P,0)),"")</f>
        <v/>
      </c>
      <c r="D1993" s="11" t="s">
        <v>74</v>
      </c>
      <c r="E1993" s="11" t="s">
        <v>64</v>
      </c>
      <c r="F1993" s="11" t="s">
        <v>179</v>
      </c>
      <c r="G1993" s="15">
        <v>46168</v>
      </c>
      <c r="H1993" s="14" t="str">
        <f>IFERROR(INDEX(面试清单!H:H,MATCH(1992,面试清单!P:P,0)),"")</f>
        <v/>
      </c>
      <c r="I1993" s="13" t="s">
        <v>29</v>
      </c>
      <c r="J1993" s="14">
        <f ca="1" t="shared" si="94"/>
        <v>21</v>
      </c>
      <c r="K1993" s="14">
        <f ca="1" t="shared" si="95"/>
        <v>16</v>
      </c>
    </row>
    <row r="1994" ht="18" spans="1:11">
      <c r="A1994" s="10">
        <f t="shared" si="93"/>
        <v>1993</v>
      </c>
      <c r="B1994" s="11" t="s">
        <v>5916</v>
      </c>
      <c r="C1994" s="10" t="str">
        <f>IFERROR(INDEX(面试清单!D:D,MATCH(1993,面试清单!P:P,0)),"")</f>
        <v/>
      </c>
      <c r="D1994" s="11" t="s">
        <v>74</v>
      </c>
      <c r="E1994" s="11" t="s">
        <v>64</v>
      </c>
      <c r="F1994" s="11" t="s">
        <v>179</v>
      </c>
      <c r="G1994" s="15">
        <v>46168</v>
      </c>
      <c r="H1994" s="10" t="str">
        <f>IFERROR(INDEX(面试清单!H:H,MATCH(1993,面试清单!P:P,0)),"")</f>
        <v/>
      </c>
      <c r="I1994" s="13" t="s">
        <v>29</v>
      </c>
      <c r="J1994" s="10">
        <f ca="1" t="shared" si="94"/>
        <v>21</v>
      </c>
      <c r="K1994" s="10">
        <f ca="1" t="shared" si="95"/>
        <v>16</v>
      </c>
    </row>
    <row r="1995" ht="18" spans="1:11">
      <c r="A1995" s="14">
        <f t="shared" si="93"/>
        <v>1994</v>
      </c>
      <c r="B1995" s="11" t="s">
        <v>5917</v>
      </c>
      <c r="C1995" s="14" t="str">
        <f>IFERROR(INDEX(面试清单!D:D,MATCH(1994,面试清单!P:P,0)),"")</f>
        <v/>
      </c>
      <c r="D1995" s="11" t="s">
        <v>42</v>
      </c>
      <c r="E1995" s="11" t="s">
        <v>62</v>
      </c>
      <c r="F1995" s="11" t="s">
        <v>233</v>
      </c>
      <c r="G1995" s="15">
        <v>46168</v>
      </c>
      <c r="H1995" s="14" t="str">
        <f>IFERROR(INDEX(面试清单!H:H,MATCH(1994,面试清单!P:P,0)),"")</f>
        <v/>
      </c>
      <c r="I1995" s="13" t="s">
        <v>29</v>
      </c>
      <c r="J1995" s="14">
        <f ca="1" t="shared" si="94"/>
        <v>21</v>
      </c>
      <c r="K1995" s="14">
        <f ca="1" t="shared" si="95"/>
        <v>16</v>
      </c>
    </row>
    <row r="1996" ht="18" spans="1:11">
      <c r="A1996" s="10">
        <f t="shared" si="93"/>
        <v>1995</v>
      </c>
      <c r="B1996" s="11" t="s">
        <v>5918</v>
      </c>
      <c r="C1996" s="10" t="str">
        <f>IFERROR(INDEX(面试清单!D:D,MATCH(1995,面试清单!P:P,0)),"")</f>
        <v/>
      </c>
      <c r="D1996" s="11" t="s">
        <v>43</v>
      </c>
      <c r="E1996" s="11" t="s">
        <v>63</v>
      </c>
      <c r="F1996" s="11" t="s">
        <v>132</v>
      </c>
      <c r="G1996" s="15">
        <v>46168</v>
      </c>
      <c r="H1996" s="10" t="str">
        <f>IFERROR(INDEX(面试清单!H:H,MATCH(1995,面试清单!P:P,0)),"")</f>
        <v/>
      </c>
      <c r="I1996" s="13" t="s">
        <v>29</v>
      </c>
      <c r="J1996" s="10">
        <f ca="1" t="shared" si="94"/>
        <v>21</v>
      </c>
      <c r="K1996" s="10">
        <f ca="1" t="shared" si="95"/>
        <v>16</v>
      </c>
    </row>
    <row r="1997" ht="18" spans="1:11">
      <c r="A1997" s="14">
        <f t="shared" si="93"/>
        <v>1996</v>
      </c>
      <c r="B1997" s="11" t="s">
        <v>5919</v>
      </c>
      <c r="C1997" s="124" t="str">
        <f>IFERROR(INDEX(面试清单!D:D,MATCH(1996,面试清单!P:P,0)),"")</f>
        <v>0220</v>
      </c>
      <c r="D1997" s="11" t="s">
        <v>43</v>
      </c>
      <c r="E1997" s="11" t="s">
        <v>62</v>
      </c>
      <c r="F1997" s="11" t="s">
        <v>129</v>
      </c>
      <c r="G1997" s="15">
        <v>46169</v>
      </c>
      <c r="H1997" s="14" t="str">
        <f>IFERROR(INDEX(面试清单!H:H,MATCH(1996,面试清单!P:P,0)),"")</f>
        <v>线上</v>
      </c>
      <c r="I1997" s="13" t="s">
        <v>29</v>
      </c>
      <c r="J1997" s="14">
        <f ca="1" t="shared" si="94"/>
        <v>20</v>
      </c>
      <c r="K1997" s="14">
        <f ca="1" t="shared" si="95"/>
        <v>16</v>
      </c>
    </row>
    <row r="1998" ht="18" spans="1:11">
      <c r="A1998" s="10">
        <f t="shared" si="93"/>
        <v>1997</v>
      </c>
      <c r="B1998" s="11" t="s">
        <v>5920</v>
      </c>
      <c r="C1998" s="10" t="str">
        <f>IFERROR(INDEX(面试清单!D:D,MATCH(1997,面试清单!P:P,0)),"")</f>
        <v/>
      </c>
      <c r="D1998" s="11" t="s">
        <v>42</v>
      </c>
      <c r="E1998" s="11" t="s">
        <v>62</v>
      </c>
      <c r="F1998" s="11" t="s">
        <v>233</v>
      </c>
      <c r="G1998" s="15">
        <v>46169</v>
      </c>
      <c r="H1998" s="10" t="str">
        <f>IFERROR(INDEX(面试清单!H:H,MATCH(1997,面试清单!P:P,0)),"")</f>
        <v/>
      </c>
      <c r="I1998" s="13" t="s">
        <v>29</v>
      </c>
      <c r="J1998" s="10">
        <f ca="1" t="shared" si="94"/>
        <v>20</v>
      </c>
      <c r="K1998" s="10">
        <f ca="1" t="shared" si="95"/>
        <v>16</v>
      </c>
    </row>
    <row r="1999" ht="18" spans="1:11">
      <c r="A1999" s="14">
        <f t="shared" si="93"/>
        <v>1998</v>
      </c>
      <c r="B1999" s="11" t="s">
        <v>5921</v>
      </c>
      <c r="C1999" s="14" t="str">
        <f>IFERROR(INDEX(面试清单!D:D,MATCH(1998,面试清单!P:P,0)),"")</f>
        <v/>
      </c>
      <c r="D1999" s="11" t="s">
        <v>42</v>
      </c>
      <c r="E1999" s="11" t="s">
        <v>62</v>
      </c>
      <c r="F1999" s="11" t="s">
        <v>233</v>
      </c>
      <c r="G1999" s="15">
        <v>46169</v>
      </c>
      <c r="H1999" s="14" t="str">
        <f>IFERROR(INDEX(面试清单!H:H,MATCH(1998,面试清单!P:P,0)),"")</f>
        <v/>
      </c>
      <c r="I1999" s="13" t="s">
        <v>29</v>
      </c>
      <c r="J1999" s="14">
        <f ca="1" t="shared" si="94"/>
        <v>20</v>
      </c>
      <c r="K1999" s="14">
        <f ca="1" t="shared" si="95"/>
        <v>16</v>
      </c>
    </row>
    <row r="2000" ht="18" spans="1:11">
      <c r="A2000" s="10">
        <f t="shared" si="93"/>
        <v>1999</v>
      </c>
      <c r="B2000" s="11" t="s">
        <v>5922</v>
      </c>
      <c r="C2000" s="10" t="str">
        <f>IFERROR(INDEX(面试清单!D:D,MATCH(1999,面试清单!P:P,0)),"")</f>
        <v/>
      </c>
      <c r="D2000" s="11" t="s">
        <v>42</v>
      </c>
      <c r="E2000" s="11" t="s">
        <v>62</v>
      </c>
      <c r="F2000" s="11" t="s">
        <v>103</v>
      </c>
      <c r="G2000" s="15">
        <v>46169</v>
      </c>
      <c r="H2000" s="10" t="str">
        <f>IFERROR(INDEX(面试清单!H:H,MATCH(1999,面试清单!P:P,0)),"")</f>
        <v/>
      </c>
      <c r="I2000" s="13" t="s">
        <v>29</v>
      </c>
      <c r="J2000" s="10">
        <f ca="1" t="shared" si="94"/>
        <v>20</v>
      </c>
      <c r="K2000" s="10">
        <f ca="1" t="shared" si="95"/>
        <v>16</v>
      </c>
    </row>
    <row r="2001" ht="18" spans="1:11">
      <c r="A2001" s="14">
        <f t="shared" si="93"/>
        <v>2000</v>
      </c>
      <c r="B2001" s="11" t="s">
        <v>5923</v>
      </c>
      <c r="C2001" s="14" t="str">
        <f>IFERROR(INDEX(面试清单!D:D,MATCH(2000,面试清单!P:P,0)),"")</f>
        <v/>
      </c>
      <c r="D2001" s="11" t="s">
        <v>43</v>
      </c>
      <c r="E2001" s="11" t="s">
        <v>62</v>
      </c>
      <c r="F2001" s="11" t="s">
        <v>103</v>
      </c>
      <c r="G2001" s="15">
        <v>46169</v>
      </c>
      <c r="H2001" s="14" t="str">
        <f>IFERROR(INDEX(面试清单!H:H,MATCH(2000,面试清单!P:P,0)),"")</f>
        <v/>
      </c>
      <c r="I2001" s="13" t="s">
        <v>29</v>
      </c>
      <c r="J2001" s="14">
        <f ca="1" t="shared" si="94"/>
        <v>20</v>
      </c>
      <c r="K2001" s="14">
        <f ca="1" t="shared" si="95"/>
        <v>16</v>
      </c>
    </row>
    <row r="2002" ht="18" spans="1:11">
      <c r="A2002" s="10">
        <f t="shared" si="93"/>
        <v>2001</v>
      </c>
      <c r="B2002" s="11" t="s">
        <v>5924</v>
      </c>
      <c r="C2002" s="10" t="str">
        <f>IFERROR(INDEX(面试清单!D:D,MATCH(2001,面试清单!P:P,0)),"")</f>
        <v/>
      </c>
      <c r="D2002" s="11" t="s">
        <v>42</v>
      </c>
      <c r="E2002" s="11" t="s">
        <v>62</v>
      </c>
      <c r="F2002" s="11" t="s">
        <v>307</v>
      </c>
      <c r="G2002" s="15">
        <v>46169</v>
      </c>
      <c r="H2002" s="10" t="str">
        <f>IFERROR(INDEX(面试清单!H:H,MATCH(2001,面试清单!P:P,0)),"")</f>
        <v/>
      </c>
      <c r="I2002" s="13" t="s">
        <v>29</v>
      </c>
      <c r="J2002" s="10">
        <f ca="1" t="shared" si="94"/>
        <v>20</v>
      </c>
      <c r="K2002" s="10">
        <f ca="1" t="shared" si="95"/>
        <v>16</v>
      </c>
    </row>
    <row r="2003" ht="18" spans="1:11">
      <c r="A2003" s="14">
        <f t="shared" si="93"/>
        <v>2002</v>
      </c>
      <c r="B2003" s="11" t="s">
        <v>5925</v>
      </c>
      <c r="C2003" s="14" t="str">
        <f>IFERROR(INDEX(面试清单!D:D,MATCH(2002,面试清单!P:P,0)),"")</f>
        <v/>
      </c>
      <c r="D2003" s="11" t="s">
        <v>43</v>
      </c>
      <c r="E2003" s="11" t="s">
        <v>62</v>
      </c>
      <c r="F2003" s="11" t="s">
        <v>124</v>
      </c>
      <c r="G2003" s="15">
        <v>46169</v>
      </c>
      <c r="H2003" s="14" t="str">
        <f>IFERROR(INDEX(面试清单!H:H,MATCH(2002,面试清单!P:P,0)),"")</f>
        <v/>
      </c>
      <c r="I2003" s="13" t="s">
        <v>29</v>
      </c>
      <c r="J2003" s="14">
        <f ca="1" t="shared" si="94"/>
        <v>20</v>
      </c>
      <c r="K2003" s="14">
        <f ca="1" t="shared" si="95"/>
        <v>16</v>
      </c>
    </row>
    <row r="2004" ht="18" spans="1:11">
      <c r="A2004" s="10">
        <f t="shared" si="93"/>
        <v>2003</v>
      </c>
      <c r="B2004" s="11" t="s">
        <v>5926</v>
      </c>
      <c r="C2004" s="10" t="str">
        <f>IFERROR(INDEX(面试清单!D:D,MATCH(2003,面试清单!P:P,0)),"")</f>
        <v/>
      </c>
      <c r="D2004" s="11" t="s">
        <v>43</v>
      </c>
      <c r="E2004" s="11" t="s">
        <v>62</v>
      </c>
      <c r="F2004" s="11" t="s">
        <v>733</v>
      </c>
      <c r="G2004" s="15">
        <v>46169</v>
      </c>
      <c r="H2004" s="10" t="str">
        <f>IFERROR(INDEX(面试清单!H:H,MATCH(2003,面试清单!P:P,0)),"")</f>
        <v/>
      </c>
      <c r="I2004" s="13" t="s">
        <v>29</v>
      </c>
      <c r="J2004" s="10">
        <f ca="1" t="shared" si="94"/>
        <v>20</v>
      </c>
      <c r="K2004" s="10">
        <f ca="1" t="shared" si="95"/>
        <v>16</v>
      </c>
    </row>
    <row r="2005" ht="18" spans="1:11">
      <c r="A2005" s="14">
        <f t="shared" si="93"/>
        <v>2004</v>
      </c>
      <c r="B2005" s="11" t="s">
        <v>5927</v>
      </c>
      <c r="C2005" s="14" t="str">
        <f>IFERROR(INDEX(面试清单!D:D,MATCH(2004,面试清单!P:P,0)),"")</f>
        <v/>
      </c>
      <c r="D2005" s="11" t="s">
        <v>42</v>
      </c>
      <c r="E2005" s="11" t="s">
        <v>62</v>
      </c>
      <c r="F2005" s="11" t="s">
        <v>733</v>
      </c>
      <c r="G2005" s="15">
        <v>46169</v>
      </c>
      <c r="H2005" s="14" t="str">
        <f>IFERROR(INDEX(面试清单!H:H,MATCH(2004,面试清单!P:P,0)),"")</f>
        <v/>
      </c>
      <c r="I2005" s="13" t="s">
        <v>29</v>
      </c>
      <c r="J2005" s="14">
        <f ca="1" t="shared" si="94"/>
        <v>20</v>
      </c>
      <c r="K2005" s="14">
        <f ca="1" t="shared" si="95"/>
        <v>16</v>
      </c>
    </row>
    <row r="2006" ht="18" spans="1:11">
      <c r="A2006" s="10">
        <f t="shared" si="93"/>
        <v>2005</v>
      </c>
      <c r="B2006" s="11" t="s">
        <v>5928</v>
      </c>
      <c r="C2006" s="10" t="str">
        <f>IFERROR(INDEX(面试清单!D:D,MATCH(2005,面试清单!P:P,0)),"")</f>
        <v/>
      </c>
      <c r="D2006" s="11" t="s">
        <v>42</v>
      </c>
      <c r="E2006" s="11" t="s">
        <v>62</v>
      </c>
      <c r="F2006" s="11" t="s">
        <v>733</v>
      </c>
      <c r="G2006" s="15">
        <v>46169</v>
      </c>
      <c r="H2006" s="10" t="str">
        <f>IFERROR(INDEX(面试清单!H:H,MATCH(2005,面试清单!P:P,0)),"")</f>
        <v/>
      </c>
      <c r="I2006" s="13" t="s">
        <v>29</v>
      </c>
      <c r="J2006" s="10">
        <f ca="1" t="shared" si="94"/>
        <v>20</v>
      </c>
      <c r="K2006" s="10">
        <f ca="1" t="shared" si="95"/>
        <v>16</v>
      </c>
    </row>
    <row r="2007" ht="18" spans="1:11">
      <c r="A2007" s="14">
        <f t="shared" si="93"/>
        <v>2006</v>
      </c>
      <c r="B2007" s="11" t="s">
        <v>5929</v>
      </c>
      <c r="C2007" s="14" t="str">
        <f>IFERROR(INDEX(面试清单!D:D,MATCH(2006,面试清单!P:P,0)),"")</f>
        <v/>
      </c>
      <c r="D2007" s="11" t="s">
        <v>43</v>
      </c>
      <c r="E2007" s="11" t="s">
        <v>63</v>
      </c>
      <c r="F2007" s="11" t="s">
        <v>148</v>
      </c>
      <c r="G2007" s="15">
        <v>46169</v>
      </c>
      <c r="H2007" s="14" t="str">
        <f>IFERROR(INDEX(面试清单!H:H,MATCH(2006,面试清单!P:P,0)),"")</f>
        <v/>
      </c>
      <c r="I2007" s="13" t="s">
        <v>29</v>
      </c>
      <c r="J2007" s="14">
        <f ca="1" t="shared" si="94"/>
        <v>20</v>
      </c>
      <c r="K2007" s="14">
        <f ca="1" t="shared" si="95"/>
        <v>16</v>
      </c>
    </row>
    <row r="2008" ht="18" spans="1:11">
      <c r="A2008" s="10">
        <f t="shared" si="93"/>
        <v>2007</v>
      </c>
      <c r="B2008" s="11" t="s">
        <v>5930</v>
      </c>
      <c r="C2008" s="10" t="str">
        <f>IFERROR(INDEX(面试清单!D:D,MATCH(2007,面试清单!P:P,0)),"")</f>
        <v/>
      </c>
      <c r="D2008" s="11" t="s">
        <v>43</v>
      </c>
      <c r="E2008" s="11" t="s">
        <v>62</v>
      </c>
      <c r="F2008" s="11" t="s">
        <v>148</v>
      </c>
      <c r="G2008" s="15">
        <v>46169</v>
      </c>
      <c r="H2008" s="10" t="str">
        <f>IFERROR(INDEX(面试清单!H:H,MATCH(2007,面试清单!P:P,0)),"")</f>
        <v/>
      </c>
      <c r="I2008" s="13" t="s">
        <v>29</v>
      </c>
      <c r="J2008" s="10">
        <f ca="1" t="shared" si="94"/>
        <v>20</v>
      </c>
      <c r="K2008" s="10">
        <f ca="1" t="shared" si="95"/>
        <v>16</v>
      </c>
    </row>
    <row r="2009" ht="18" spans="1:11">
      <c r="A2009" s="14">
        <f t="shared" si="93"/>
        <v>2008</v>
      </c>
      <c r="B2009" s="11" t="s">
        <v>5931</v>
      </c>
      <c r="C2009" s="14" t="str">
        <f>IFERROR(INDEX(面试清单!D:D,MATCH(2008,面试清单!P:P,0)),"")</f>
        <v/>
      </c>
      <c r="D2009" s="11" t="s">
        <v>43</v>
      </c>
      <c r="E2009" s="11" t="s">
        <v>64</v>
      </c>
      <c r="F2009" s="11" t="s">
        <v>176</v>
      </c>
      <c r="G2009" s="15">
        <v>46169</v>
      </c>
      <c r="H2009" s="14" t="str">
        <f>IFERROR(INDEX(面试清单!H:H,MATCH(2008,面试清单!P:P,0)),"")</f>
        <v/>
      </c>
      <c r="I2009" s="13" t="s">
        <v>29</v>
      </c>
      <c r="J2009" s="14">
        <f ca="1" t="shared" si="94"/>
        <v>20</v>
      </c>
      <c r="K2009" s="14">
        <f ca="1" t="shared" si="95"/>
        <v>16</v>
      </c>
    </row>
    <row r="2010" ht="18" spans="1:11">
      <c r="A2010" s="10">
        <f t="shared" si="93"/>
        <v>2009</v>
      </c>
      <c r="B2010" s="11" t="s">
        <v>5932</v>
      </c>
      <c r="C2010" s="10" t="str">
        <f>IFERROR(INDEX(面试清单!D:D,MATCH(2009,面试清单!P:P,0)),"")</f>
        <v/>
      </c>
      <c r="D2010" s="11" t="s">
        <v>42</v>
      </c>
      <c r="E2010" s="11" t="s">
        <v>62</v>
      </c>
      <c r="F2010" s="11" t="s">
        <v>1166</v>
      </c>
      <c r="G2010" s="15">
        <v>46169</v>
      </c>
      <c r="H2010" s="10" t="str">
        <f>IFERROR(INDEX(面试清单!H:H,MATCH(2009,面试清单!P:P,0)),"")</f>
        <v/>
      </c>
      <c r="I2010" s="13" t="s">
        <v>29</v>
      </c>
      <c r="J2010" s="10">
        <f ca="1" t="shared" si="94"/>
        <v>20</v>
      </c>
      <c r="K2010" s="10">
        <f ca="1" t="shared" si="95"/>
        <v>16</v>
      </c>
    </row>
    <row r="2011" ht="18" spans="1:11">
      <c r="A2011" s="14">
        <f t="shared" si="93"/>
        <v>2010</v>
      </c>
      <c r="B2011" s="11" t="s">
        <v>5933</v>
      </c>
      <c r="C2011" s="14" t="str">
        <f>IFERROR(INDEX(面试清单!D:D,MATCH(2010,面试清单!P:P,0)),"")</f>
        <v/>
      </c>
      <c r="D2011" s="11" t="s">
        <v>42</v>
      </c>
      <c r="E2011" s="11" t="s">
        <v>63</v>
      </c>
      <c r="F2011" s="11" t="s">
        <v>1166</v>
      </c>
      <c r="G2011" s="15">
        <v>46169</v>
      </c>
      <c r="H2011" s="14" t="str">
        <f>IFERROR(INDEX(面试清单!H:H,MATCH(2010,面试清单!P:P,0)),"")</f>
        <v/>
      </c>
      <c r="I2011" s="13" t="s">
        <v>29</v>
      </c>
      <c r="J2011" s="14">
        <f ca="1" t="shared" si="94"/>
        <v>20</v>
      </c>
      <c r="K2011" s="14">
        <f ca="1" t="shared" si="95"/>
        <v>16</v>
      </c>
    </row>
    <row r="2012" ht="18" spans="1:11">
      <c r="A2012" s="10">
        <f t="shared" si="93"/>
        <v>2011</v>
      </c>
      <c r="B2012" s="11" t="s">
        <v>5934</v>
      </c>
      <c r="C2012" s="10" t="str">
        <f>IFERROR(INDEX(面试清单!D:D,MATCH(2011,面试清单!P:P,0)),"")</f>
        <v/>
      </c>
      <c r="D2012" s="11" t="s">
        <v>42</v>
      </c>
      <c r="E2012" s="11" t="s">
        <v>62</v>
      </c>
      <c r="F2012" s="11" t="s">
        <v>1166</v>
      </c>
      <c r="G2012" s="15">
        <v>46169</v>
      </c>
      <c r="H2012" s="10" t="str">
        <f>IFERROR(INDEX(面试清单!H:H,MATCH(2011,面试清单!P:P,0)),"")</f>
        <v/>
      </c>
      <c r="I2012" s="13" t="s">
        <v>29</v>
      </c>
      <c r="J2012" s="10">
        <f ca="1" t="shared" si="94"/>
        <v>20</v>
      </c>
      <c r="K2012" s="10">
        <f ca="1" t="shared" si="95"/>
        <v>16</v>
      </c>
    </row>
    <row r="2013" ht="18" spans="1:11">
      <c r="A2013" s="14">
        <f t="shared" si="93"/>
        <v>2012</v>
      </c>
      <c r="B2013" s="11" t="s">
        <v>5935</v>
      </c>
      <c r="C2013" s="124" t="str">
        <f>IFERROR(INDEX(面试清单!D:D,MATCH(2012,面试清单!P:P,0)),"")</f>
        <v>0217</v>
      </c>
      <c r="D2013" s="11" t="s">
        <v>42</v>
      </c>
      <c r="E2013" s="11" t="s">
        <v>63</v>
      </c>
      <c r="F2013" s="11" t="s">
        <v>1166</v>
      </c>
      <c r="G2013" s="15">
        <v>46169</v>
      </c>
      <c r="H2013" s="14" t="str">
        <f>IFERROR(INDEX(面试清单!H:H,MATCH(2012,面试清单!P:P,0)),"")</f>
        <v>线上</v>
      </c>
      <c r="I2013" s="13" t="s">
        <v>29</v>
      </c>
      <c r="J2013" s="14">
        <f ca="1" t="shared" si="94"/>
        <v>20</v>
      </c>
      <c r="K2013" s="14">
        <f ca="1" t="shared" si="95"/>
        <v>16</v>
      </c>
    </row>
    <row r="2014" ht="18" spans="1:11">
      <c r="A2014" s="10">
        <f t="shared" si="93"/>
        <v>2013</v>
      </c>
      <c r="B2014" s="11" t="s">
        <v>5936</v>
      </c>
      <c r="C2014" s="10" t="str">
        <f>IFERROR(INDEX(面试清单!D:D,MATCH(2013,面试清单!P:P,0)),"")</f>
        <v/>
      </c>
      <c r="D2014" s="11" t="s">
        <v>42</v>
      </c>
      <c r="E2014" s="11" t="s">
        <v>63</v>
      </c>
      <c r="F2014" s="11" t="s">
        <v>1166</v>
      </c>
      <c r="G2014" s="15">
        <v>46169</v>
      </c>
      <c r="H2014" s="10" t="str">
        <f>IFERROR(INDEX(面试清单!H:H,MATCH(2013,面试清单!P:P,0)),"")</f>
        <v/>
      </c>
      <c r="I2014" s="13" t="s">
        <v>29</v>
      </c>
      <c r="J2014" s="10">
        <f ca="1" t="shared" si="94"/>
        <v>20</v>
      </c>
      <c r="K2014" s="10">
        <f ca="1" t="shared" si="95"/>
        <v>16</v>
      </c>
    </row>
    <row r="2015" ht="18" spans="1:11">
      <c r="A2015" s="14">
        <f t="shared" si="93"/>
        <v>2014</v>
      </c>
      <c r="B2015" s="11" t="s">
        <v>5937</v>
      </c>
      <c r="C2015" s="14" t="str">
        <f>IFERROR(INDEX(面试清单!D:D,MATCH(2014,面试清单!P:P,0)),"")</f>
        <v/>
      </c>
      <c r="D2015" s="11" t="s">
        <v>42</v>
      </c>
      <c r="E2015" s="11" t="s">
        <v>63</v>
      </c>
      <c r="F2015" s="11" t="s">
        <v>1166</v>
      </c>
      <c r="G2015" s="15">
        <v>46169</v>
      </c>
      <c r="H2015" s="14" t="str">
        <f>IFERROR(INDEX(面试清单!H:H,MATCH(2014,面试清单!P:P,0)),"")</f>
        <v/>
      </c>
      <c r="I2015" s="13" t="s">
        <v>29</v>
      </c>
      <c r="J2015" s="14">
        <f ca="1" t="shared" si="94"/>
        <v>20</v>
      </c>
      <c r="K2015" s="14">
        <f ca="1" t="shared" si="95"/>
        <v>16</v>
      </c>
    </row>
    <row r="2016" ht="18" spans="1:11">
      <c r="A2016" s="10">
        <f t="shared" si="93"/>
        <v>2015</v>
      </c>
      <c r="B2016" s="11" t="s">
        <v>5938</v>
      </c>
      <c r="C2016" s="10" t="str">
        <f>IFERROR(INDEX(面试清单!D:D,MATCH(2015,面试清单!P:P,0)),"")</f>
        <v/>
      </c>
      <c r="D2016" s="11" t="s">
        <v>42</v>
      </c>
      <c r="E2016" s="11" t="s">
        <v>62</v>
      </c>
      <c r="F2016" s="11" t="s">
        <v>1166</v>
      </c>
      <c r="G2016" s="15">
        <v>46169</v>
      </c>
      <c r="H2016" s="10" t="str">
        <f>IFERROR(INDEX(面试清单!H:H,MATCH(2015,面试清单!P:P,0)),"")</f>
        <v/>
      </c>
      <c r="I2016" s="13" t="s">
        <v>29</v>
      </c>
      <c r="J2016" s="10">
        <f ca="1" t="shared" si="94"/>
        <v>20</v>
      </c>
      <c r="K2016" s="10">
        <f ca="1" t="shared" si="95"/>
        <v>16</v>
      </c>
    </row>
    <row r="2017" ht="18" spans="1:11">
      <c r="A2017" s="14">
        <f t="shared" si="93"/>
        <v>2016</v>
      </c>
      <c r="B2017" s="11" t="s">
        <v>5939</v>
      </c>
      <c r="C2017" s="14" t="str">
        <f>IFERROR(INDEX(面试清单!D:D,MATCH(2016,面试清单!P:P,0)),"")</f>
        <v/>
      </c>
      <c r="D2017" s="11" t="s">
        <v>43</v>
      </c>
      <c r="E2017" s="11" t="s">
        <v>62</v>
      </c>
      <c r="F2017" s="11" t="s">
        <v>132</v>
      </c>
      <c r="G2017" s="15">
        <v>46169</v>
      </c>
      <c r="H2017" s="14" t="str">
        <f>IFERROR(INDEX(面试清单!H:H,MATCH(2016,面试清单!P:P,0)),"")</f>
        <v/>
      </c>
      <c r="I2017" s="13" t="s">
        <v>29</v>
      </c>
      <c r="J2017" s="14">
        <f ca="1" t="shared" si="94"/>
        <v>20</v>
      </c>
      <c r="K2017" s="14">
        <f ca="1" t="shared" si="95"/>
        <v>16</v>
      </c>
    </row>
    <row r="2018" ht="18" spans="1:11">
      <c r="A2018" s="10">
        <f t="shared" si="93"/>
        <v>2017</v>
      </c>
      <c r="B2018" s="11" t="s">
        <v>5940</v>
      </c>
      <c r="C2018" s="10" t="str">
        <f>IFERROR(INDEX(面试清单!D:D,MATCH(2017,面试清单!P:P,0)),"")</f>
        <v/>
      </c>
      <c r="D2018" s="11" t="s">
        <v>42</v>
      </c>
      <c r="E2018" s="11" t="s">
        <v>62</v>
      </c>
      <c r="F2018" s="11" t="s">
        <v>179</v>
      </c>
      <c r="G2018" s="15">
        <v>46169</v>
      </c>
      <c r="H2018" s="10" t="str">
        <f>IFERROR(INDEX(面试清单!H:H,MATCH(2017,面试清单!P:P,0)),"")</f>
        <v/>
      </c>
      <c r="I2018" s="13" t="s">
        <v>29</v>
      </c>
      <c r="J2018" s="10">
        <f ca="1" t="shared" si="94"/>
        <v>20</v>
      </c>
      <c r="K2018" s="10">
        <f ca="1" t="shared" si="95"/>
        <v>16</v>
      </c>
    </row>
    <row r="2019" ht="18" spans="1:11">
      <c r="A2019" s="14">
        <f t="shared" si="93"/>
        <v>2018</v>
      </c>
      <c r="B2019" s="11" t="s">
        <v>5941</v>
      </c>
      <c r="C2019" s="14" t="str">
        <f>IFERROR(INDEX(面试清单!D:D,MATCH(2018,面试清单!P:P,0)),"")</f>
        <v/>
      </c>
      <c r="D2019" s="11" t="s">
        <v>42</v>
      </c>
      <c r="E2019" s="11" t="s">
        <v>62</v>
      </c>
      <c r="F2019" s="11" t="s">
        <v>173</v>
      </c>
      <c r="G2019" s="15">
        <v>46169</v>
      </c>
      <c r="H2019" s="14" t="str">
        <f>IFERROR(INDEX(面试清单!H:H,MATCH(2018,面试清单!P:P,0)),"")</f>
        <v/>
      </c>
      <c r="I2019" s="13" t="s">
        <v>29</v>
      </c>
      <c r="J2019" s="14">
        <f ca="1" t="shared" si="94"/>
        <v>20</v>
      </c>
      <c r="K2019" s="14">
        <f ca="1" t="shared" si="95"/>
        <v>16</v>
      </c>
    </row>
    <row r="2020" ht="18" spans="1:11">
      <c r="A2020" s="10">
        <f t="shared" si="93"/>
        <v>2019</v>
      </c>
      <c r="B2020" s="11" t="s">
        <v>5942</v>
      </c>
      <c r="C2020" s="10" t="str">
        <f>IFERROR(INDEX(面试清单!D:D,MATCH(2019,面试清单!P:P,0)),"")</f>
        <v/>
      </c>
      <c r="D2020" s="11" t="s">
        <v>42</v>
      </c>
      <c r="E2020" s="11" t="s">
        <v>62</v>
      </c>
      <c r="F2020" s="11" t="s">
        <v>173</v>
      </c>
      <c r="G2020" s="15">
        <v>46169</v>
      </c>
      <c r="H2020" s="10" t="str">
        <f>IFERROR(INDEX(面试清单!H:H,MATCH(2019,面试清单!P:P,0)),"")</f>
        <v/>
      </c>
      <c r="I2020" s="13" t="s">
        <v>29</v>
      </c>
      <c r="J2020" s="10">
        <f ca="1" t="shared" si="94"/>
        <v>20</v>
      </c>
      <c r="K2020" s="10">
        <f ca="1" t="shared" si="95"/>
        <v>16</v>
      </c>
    </row>
    <row r="2021" ht="18" spans="1:11">
      <c r="A2021" s="14">
        <f t="shared" si="93"/>
        <v>2020</v>
      </c>
      <c r="B2021" s="11" t="s">
        <v>5943</v>
      </c>
      <c r="C2021" s="14" t="str">
        <f>IFERROR(INDEX(面试清单!D:D,MATCH(2020,面试清单!P:P,0)),"")</f>
        <v/>
      </c>
      <c r="D2021" s="11" t="s">
        <v>42</v>
      </c>
      <c r="E2021" s="11" t="s">
        <v>62</v>
      </c>
      <c r="F2021" s="11" t="s">
        <v>233</v>
      </c>
      <c r="G2021" s="15">
        <v>46169</v>
      </c>
      <c r="H2021" s="14" t="str">
        <f>IFERROR(INDEX(面试清单!H:H,MATCH(2020,面试清单!P:P,0)),"")</f>
        <v/>
      </c>
      <c r="I2021" s="13" t="s">
        <v>29</v>
      </c>
      <c r="J2021" s="14">
        <f ca="1" t="shared" si="94"/>
        <v>20</v>
      </c>
      <c r="K2021" s="14">
        <f ca="1" t="shared" si="95"/>
        <v>16</v>
      </c>
    </row>
    <row r="2022" ht="18" spans="1:11">
      <c r="A2022" s="10">
        <f t="shared" si="93"/>
        <v>2021</v>
      </c>
      <c r="B2022" s="11" t="s">
        <v>5944</v>
      </c>
      <c r="C2022" s="10" t="str">
        <f>IFERROR(INDEX(面试清单!D:D,MATCH(2021,面试清单!P:P,0)),"")</f>
        <v/>
      </c>
      <c r="D2022" s="11" t="s">
        <v>43</v>
      </c>
      <c r="E2022" s="11" t="s">
        <v>62</v>
      </c>
      <c r="F2022" s="11" t="s">
        <v>117</v>
      </c>
      <c r="G2022" s="15">
        <v>46169</v>
      </c>
      <c r="H2022" s="10" t="str">
        <f>IFERROR(INDEX(面试清单!H:H,MATCH(2021,面试清单!P:P,0)),"")</f>
        <v/>
      </c>
      <c r="I2022" s="13" t="s">
        <v>29</v>
      </c>
      <c r="J2022" s="10">
        <f ca="1" t="shared" si="94"/>
        <v>20</v>
      </c>
      <c r="K2022" s="10">
        <f ca="1" t="shared" si="95"/>
        <v>16</v>
      </c>
    </row>
    <row r="2023" ht="18" spans="1:11">
      <c r="A2023" s="14">
        <f t="shared" si="93"/>
        <v>2022</v>
      </c>
      <c r="B2023" s="11" t="s">
        <v>5945</v>
      </c>
      <c r="C2023" s="14" t="str">
        <f>IFERROR(INDEX(面试清单!D:D,MATCH(2022,面试清单!P:P,0)),"")</f>
        <v/>
      </c>
      <c r="D2023" s="11" t="s">
        <v>43</v>
      </c>
      <c r="E2023" s="11" t="s">
        <v>62</v>
      </c>
      <c r="F2023" s="11" t="s">
        <v>129</v>
      </c>
      <c r="G2023" s="15">
        <v>46169</v>
      </c>
      <c r="H2023" s="14" t="str">
        <f>IFERROR(INDEX(面试清单!H:H,MATCH(2022,面试清单!P:P,0)),"")</f>
        <v/>
      </c>
      <c r="I2023" s="13" t="s">
        <v>29</v>
      </c>
      <c r="J2023" s="14">
        <f ca="1" t="shared" si="94"/>
        <v>20</v>
      </c>
      <c r="K2023" s="14">
        <f ca="1" t="shared" si="95"/>
        <v>16</v>
      </c>
    </row>
    <row r="2024" ht="18" spans="1:11">
      <c r="A2024" s="10">
        <f t="shared" si="93"/>
        <v>2023</v>
      </c>
      <c r="B2024" s="11" t="s">
        <v>5946</v>
      </c>
      <c r="C2024" s="10" t="str">
        <f>IFERROR(INDEX(面试清单!D:D,MATCH(2023,面试清单!P:P,0)),"")</f>
        <v/>
      </c>
      <c r="D2024" s="11" t="s">
        <v>43</v>
      </c>
      <c r="E2024" s="11" t="s">
        <v>63</v>
      </c>
      <c r="F2024" s="11" t="s">
        <v>117</v>
      </c>
      <c r="G2024" s="15">
        <v>46169</v>
      </c>
      <c r="H2024" s="10" t="str">
        <f>IFERROR(INDEX(面试清单!H:H,MATCH(2023,面试清单!P:P,0)),"")</f>
        <v/>
      </c>
      <c r="I2024" s="13" t="s">
        <v>29</v>
      </c>
      <c r="J2024" s="10">
        <f ca="1" t="shared" si="94"/>
        <v>20</v>
      </c>
      <c r="K2024" s="10">
        <f ca="1" t="shared" si="95"/>
        <v>16</v>
      </c>
    </row>
    <row r="2025" ht="18" spans="1:11">
      <c r="A2025" s="14">
        <f t="shared" si="93"/>
        <v>2024</v>
      </c>
      <c r="B2025" s="11" t="s">
        <v>5947</v>
      </c>
      <c r="C2025" s="14" t="str">
        <f>IFERROR(INDEX(面试清单!D:D,MATCH(2024,面试清单!P:P,0)),"")</f>
        <v/>
      </c>
      <c r="D2025" s="11" t="s">
        <v>74</v>
      </c>
      <c r="E2025" s="11" t="s">
        <v>64</v>
      </c>
      <c r="F2025" s="11" t="s">
        <v>117</v>
      </c>
      <c r="G2025" s="15">
        <v>46169</v>
      </c>
      <c r="H2025" s="14" t="str">
        <f>IFERROR(INDEX(面试清单!H:H,MATCH(2024,面试清单!P:P,0)),"")</f>
        <v/>
      </c>
      <c r="I2025" s="13" t="s">
        <v>29</v>
      </c>
      <c r="J2025" s="14">
        <f ca="1" t="shared" si="94"/>
        <v>20</v>
      </c>
      <c r="K2025" s="14">
        <f ca="1" t="shared" si="95"/>
        <v>16</v>
      </c>
    </row>
    <row r="2026" ht="18" spans="1:11">
      <c r="A2026" s="10">
        <f t="shared" si="93"/>
        <v>2025</v>
      </c>
      <c r="B2026" s="11" t="s">
        <v>5948</v>
      </c>
      <c r="C2026" s="10" t="str">
        <f>IFERROR(INDEX(面试清单!D:D,MATCH(2025,面试清单!P:P,0)),"")</f>
        <v/>
      </c>
      <c r="D2026" s="11" t="s">
        <v>74</v>
      </c>
      <c r="E2026" s="11" t="s">
        <v>64</v>
      </c>
      <c r="F2026" s="11" t="s">
        <v>179</v>
      </c>
      <c r="G2026" s="15">
        <v>46169</v>
      </c>
      <c r="H2026" s="10" t="str">
        <f>IFERROR(INDEX(面试清单!H:H,MATCH(2025,面试清单!P:P,0)),"")</f>
        <v/>
      </c>
      <c r="I2026" s="13" t="s">
        <v>29</v>
      </c>
      <c r="J2026" s="10">
        <f ca="1" t="shared" si="94"/>
        <v>20</v>
      </c>
      <c r="K2026" s="10">
        <f ca="1" t="shared" si="95"/>
        <v>16</v>
      </c>
    </row>
    <row r="2027" ht="18" spans="1:11">
      <c r="A2027" s="14">
        <f t="shared" si="93"/>
        <v>2026</v>
      </c>
      <c r="B2027" s="11" t="s">
        <v>5949</v>
      </c>
      <c r="C2027" s="14" t="str">
        <f>IFERROR(INDEX(面试清单!D:D,MATCH(2026,面试清单!P:P,0)),"")</f>
        <v/>
      </c>
      <c r="D2027" s="11" t="s">
        <v>43</v>
      </c>
      <c r="E2027" s="11" t="s">
        <v>62</v>
      </c>
      <c r="F2027" s="11" t="s">
        <v>103</v>
      </c>
      <c r="G2027" s="15">
        <v>46169</v>
      </c>
      <c r="H2027" s="14" t="str">
        <f>IFERROR(INDEX(面试清单!H:H,MATCH(2026,面试清单!P:P,0)),"")</f>
        <v/>
      </c>
      <c r="I2027" s="13" t="s">
        <v>29</v>
      </c>
      <c r="J2027" s="14">
        <f ca="1" t="shared" si="94"/>
        <v>20</v>
      </c>
      <c r="K2027" s="14">
        <f ca="1" t="shared" si="95"/>
        <v>16</v>
      </c>
    </row>
    <row r="2028" ht="18" spans="1:11">
      <c r="A2028" s="10">
        <f t="shared" si="93"/>
        <v>2027</v>
      </c>
      <c r="B2028" s="11" t="s">
        <v>5950</v>
      </c>
      <c r="C2028" s="10" t="str">
        <f>IFERROR(INDEX(面试清单!D:D,MATCH(2027,面试清单!P:P,0)),"")</f>
        <v/>
      </c>
      <c r="D2028" s="11" t="s">
        <v>43</v>
      </c>
      <c r="E2028" s="11" t="s">
        <v>62</v>
      </c>
      <c r="F2028" s="11" t="s">
        <v>103</v>
      </c>
      <c r="G2028" s="15">
        <v>46169</v>
      </c>
      <c r="H2028" s="10" t="str">
        <f>IFERROR(INDEX(面试清单!H:H,MATCH(2027,面试清单!P:P,0)),"")</f>
        <v/>
      </c>
      <c r="I2028" s="13" t="s">
        <v>29</v>
      </c>
      <c r="J2028" s="10">
        <f ca="1" t="shared" si="94"/>
        <v>20</v>
      </c>
      <c r="K2028" s="10">
        <f ca="1" t="shared" si="95"/>
        <v>16</v>
      </c>
    </row>
    <row r="2029" ht="18" spans="1:11">
      <c r="A2029" s="14">
        <f t="shared" si="93"/>
        <v>2028</v>
      </c>
      <c r="B2029" s="11" t="s">
        <v>5951</v>
      </c>
      <c r="C2029" s="14" t="str">
        <f>IFERROR(INDEX(面试清单!D:D,MATCH(2028,面试清单!P:P,0)),"")</f>
        <v/>
      </c>
      <c r="D2029" s="11" t="s">
        <v>74</v>
      </c>
      <c r="E2029" s="11" t="s">
        <v>64</v>
      </c>
      <c r="F2029" s="11" t="s">
        <v>148</v>
      </c>
      <c r="G2029" s="15">
        <v>46169</v>
      </c>
      <c r="H2029" s="14" t="str">
        <f>IFERROR(INDEX(面试清单!H:H,MATCH(2028,面试清单!P:P,0)),"")</f>
        <v/>
      </c>
      <c r="I2029" s="13" t="s">
        <v>29</v>
      </c>
      <c r="J2029" s="14">
        <f ca="1" t="shared" si="94"/>
        <v>20</v>
      </c>
      <c r="K2029" s="14">
        <f ca="1" t="shared" si="95"/>
        <v>16</v>
      </c>
    </row>
    <row r="2030" ht="18" spans="1:11">
      <c r="A2030" s="10">
        <f t="shared" si="93"/>
        <v>2029</v>
      </c>
      <c r="B2030" s="11" t="s">
        <v>5952</v>
      </c>
      <c r="C2030" s="10" t="str">
        <f>IFERROR(INDEX(面试清单!D:D,MATCH(2029,面试清单!P:P,0)),"")</f>
        <v/>
      </c>
      <c r="D2030" s="11" t="s">
        <v>74</v>
      </c>
      <c r="E2030" s="11" t="s">
        <v>64</v>
      </c>
      <c r="F2030" s="11" t="s">
        <v>148</v>
      </c>
      <c r="G2030" s="15">
        <v>46169</v>
      </c>
      <c r="H2030" s="10" t="str">
        <f>IFERROR(INDEX(面试清单!H:H,MATCH(2029,面试清单!P:P,0)),"")</f>
        <v/>
      </c>
      <c r="I2030" s="13" t="s">
        <v>29</v>
      </c>
      <c r="J2030" s="10">
        <f ca="1" t="shared" si="94"/>
        <v>20</v>
      </c>
      <c r="K2030" s="10">
        <f ca="1" t="shared" si="95"/>
        <v>16</v>
      </c>
    </row>
    <row r="2031" ht="18" spans="1:11">
      <c r="A2031" s="14">
        <f t="shared" si="93"/>
        <v>2030</v>
      </c>
      <c r="B2031" s="11" t="s">
        <v>5953</v>
      </c>
      <c r="C2031" s="14" t="str">
        <f>IFERROR(INDEX(面试清单!D:D,MATCH(2030,面试清单!P:P,0)),"")</f>
        <v/>
      </c>
      <c r="D2031" s="11" t="s">
        <v>42</v>
      </c>
      <c r="E2031" s="11" t="s">
        <v>62</v>
      </c>
      <c r="F2031" s="11" t="s">
        <v>103</v>
      </c>
      <c r="G2031" s="15">
        <v>46169</v>
      </c>
      <c r="H2031" s="14" t="str">
        <f>IFERROR(INDEX(面试清单!H:H,MATCH(2030,面试清单!P:P,0)),"")</f>
        <v/>
      </c>
      <c r="I2031" s="13" t="s">
        <v>29</v>
      </c>
      <c r="J2031" s="14">
        <f ca="1" t="shared" si="94"/>
        <v>20</v>
      </c>
      <c r="K2031" s="14">
        <f ca="1" t="shared" si="95"/>
        <v>16</v>
      </c>
    </row>
    <row r="2032" ht="18" spans="1:11">
      <c r="A2032" s="10">
        <f t="shared" si="93"/>
        <v>2031</v>
      </c>
      <c r="B2032" s="11" t="s">
        <v>5954</v>
      </c>
      <c r="C2032" s="10" t="str">
        <f>IFERROR(INDEX(面试清单!D:D,MATCH(2031,面试清单!P:P,0)),"")</f>
        <v/>
      </c>
      <c r="D2032" s="11" t="s">
        <v>42</v>
      </c>
      <c r="E2032" s="11" t="s">
        <v>64</v>
      </c>
      <c r="F2032" s="11" t="s">
        <v>307</v>
      </c>
      <c r="G2032" s="15">
        <v>46169</v>
      </c>
      <c r="H2032" s="10" t="str">
        <f>IFERROR(INDEX(面试清单!H:H,MATCH(2031,面试清单!P:P,0)),"")</f>
        <v/>
      </c>
      <c r="I2032" s="13" t="s">
        <v>29</v>
      </c>
      <c r="J2032" s="10">
        <f ca="1" t="shared" si="94"/>
        <v>20</v>
      </c>
      <c r="K2032" s="10">
        <f ca="1" t="shared" si="95"/>
        <v>16</v>
      </c>
    </row>
    <row r="2033" ht="18" spans="1:11">
      <c r="A2033" s="14">
        <f t="shared" si="93"/>
        <v>2032</v>
      </c>
      <c r="B2033" s="11" t="s">
        <v>5955</v>
      </c>
      <c r="C2033" s="14" t="str">
        <f>IFERROR(INDEX(面试清单!D:D,MATCH(2032,面试清单!P:P,0)),"")</f>
        <v/>
      </c>
      <c r="D2033" s="11" t="s">
        <v>42</v>
      </c>
      <c r="E2033" s="11" t="s">
        <v>62</v>
      </c>
      <c r="F2033" s="11" t="s">
        <v>179</v>
      </c>
      <c r="G2033" s="15">
        <v>46169</v>
      </c>
      <c r="H2033" s="14" t="str">
        <f>IFERROR(INDEX(面试清单!H:H,MATCH(2032,面试清单!P:P,0)),"")</f>
        <v/>
      </c>
      <c r="I2033" s="13" t="s">
        <v>29</v>
      </c>
      <c r="J2033" s="14">
        <f ca="1" t="shared" si="94"/>
        <v>20</v>
      </c>
      <c r="K2033" s="14">
        <f ca="1" t="shared" si="95"/>
        <v>16</v>
      </c>
    </row>
    <row r="2034" ht="18" spans="1:11">
      <c r="A2034" s="10">
        <f t="shared" si="93"/>
        <v>2033</v>
      </c>
      <c r="B2034" s="11" t="s">
        <v>5956</v>
      </c>
      <c r="C2034" s="10" t="str">
        <f>IFERROR(INDEX(面试清单!D:D,MATCH(2033,面试清单!P:P,0)),"")</f>
        <v/>
      </c>
      <c r="D2034" s="11" t="s">
        <v>42</v>
      </c>
      <c r="E2034" s="11" t="s">
        <v>64</v>
      </c>
      <c r="F2034" s="11" t="s">
        <v>179</v>
      </c>
      <c r="G2034" s="15">
        <v>46169</v>
      </c>
      <c r="H2034" s="10" t="str">
        <f>IFERROR(INDEX(面试清单!H:H,MATCH(2033,面试清单!P:P,0)),"")</f>
        <v/>
      </c>
      <c r="I2034" s="13" t="s">
        <v>29</v>
      </c>
      <c r="J2034" s="10">
        <f ca="1" t="shared" si="94"/>
        <v>20</v>
      </c>
      <c r="K2034" s="10">
        <f ca="1" t="shared" si="95"/>
        <v>16</v>
      </c>
    </row>
    <row r="2035" ht="18" spans="1:11">
      <c r="A2035" s="14">
        <f t="shared" si="93"/>
        <v>2034</v>
      </c>
      <c r="B2035" s="11" t="s">
        <v>5957</v>
      </c>
      <c r="C2035" s="14" t="str">
        <f>IFERROR(INDEX(面试清单!D:D,MATCH(2034,面试清单!P:P,0)),"")</f>
        <v/>
      </c>
      <c r="D2035" s="11" t="s">
        <v>42</v>
      </c>
      <c r="E2035" s="11" t="s">
        <v>63</v>
      </c>
      <c r="F2035" s="11" t="s">
        <v>954</v>
      </c>
      <c r="G2035" s="15">
        <v>46169</v>
      </c>
      <c r="H2035" s="14" t="str">
        <f>IFERROR(INDEX(面试清单!H:H,MATCH(2034,面试清单!P:P,0)),"")</f>
        <v/>
      </c>
      <c r="I2035" s="13" t="s">
        <v>29</v>
      </c>
      <c r="J2035" s="14">
        <f ca="1" t="shared" si="94"/>
        <v>20</v>
      </c>
      <c r="K2035" s="14">
        <f ca="1" t="shared" si="95"/>
        <v>16</v>
      </c>
    </row>
    <row r="2036" ht="18" spans="1:11">
      <c r="A2036" s="10">
        <f t="shared" si="93"/>
        <v>2035</v>
      </c>
      <c r="B2036" s="11" t="s">
        <v>5958</v>
      </c>
      <c r="C2036" s="10" t="str">
        <f>IFERROR(INDEX(面试清单!D:D,MATCH(2035,面试清单!P:P,0)),"")</f>
        <v/>
      </c>
      <c r="D2036" s="11" t="s">
        <v>43</v>
      </c>
      <c r="E2036" s="11" t="s">
        <v>62</v>
      </c>
      <c r="F2036" s="11" t="s">
        <v>179</v>
      </c>
      <c r="G2036" s="15">
        <v>46169</v>
      </c>
      <c r="H2036" s="10" t="str">
        <f>IFERROR(INDEX(面试清单!H:H,MATCH(2035,面试清单!P:P,0)),"")</f>
        <v/>
      </c>
      <c r="I2036" s="13" t="s">
        <v>29</v>
      </c>
      <c r="J2036" s="10">
        <f ca="1" t="shared" si="94"/>
        <v>20</v>
      </c>
      <c r="K2036" s="10">
        <f ca="1" t="shared" si="95"/>
        <v>16</v>
      </c>
    </row>
    <row r="2037" ht="18" spans="1:11">
      <c r="A2037" s="14">
        <f t="shared" si="93"/>
        <v>2036</v>
      </c>
      <c r="B2037" s="11" t="s">
        <v>5959</v>
      </c>
      <c r="C2037" s="14" t="str">
        <f>IFERROR(INDEX(面试清单!D:D,MATCH(2036,面试清单!P:P,0)),"")</f>
        <v/>
      </c>
      <c r="D2037" s="11" t="s">
        <v>42</v>
      </c>
      <c r="E2037" s="11" t="s">
        <v>63</v>
      </c>
      <c r="F2037" s="11" t="s">
        <v>129</v>
      </c>
      <c r="G2037" s="15">
        <v>46170</v>
      </c>
      <c r="H2037" s="14" t="str">
        <f>IFERROR(INDEX(面试清单!H:H,MATCH(2036,面试清单!P:P,0)),"")</f>
        <v/>
      </c>
      <c r="I2037" s="13" t="s">
        <v>29</v>
      </c>
      <c r="J2037" s="14">
        <f ca="1" t="shared" si="94"/>
        <v>19</v>
      </c>
      <c r="K2037" s="14">
        <f ca="1" t="shared" si="95"/>
        <v>16</v>
      </c>
    </row>
    <row r="2038" ht="18" spans="1:11">
      <c r="A2038" s="10">
        <f t="shared" si="93"/>
        <v>2037</v>
      </c>
      <c r="B2038" s="11" t="s">
        <v>5960</v>
      </c>
      <c r="C2038" s="10" t="str">
        <f>IFERROR(INDEX(面试清单!D:D,MATCH(2037,面试清单!P:P,0)),"")</f>
        <v/>
      </c>
      <c r="D2038" s="11" t="s">
        <v>43</v>
      </c>
      <c r="E2038" s="11" t="s">
        <v>62</v>
      </c>
      <c r="F2038" s="11" t="s">
        <v>117</v>
      </c>
      <c r="G2038" s="15">
        <v>46170</v>
      </c>
      <c r="H2038" s="10" t="str">
        <f>IFERROR(INDEX(面试清单!H:H,MATCH(2037,面试清单!P:P,0)),"")</f>
        <v/>
      </c>
      <c r="I2038" s="13" t="s">
        <v>29</v>
      </c>
      <c r="J2038" s="10">
        <f ca="1" t="shared" si="94"/>
        <v>19</v>
      </c>
      <c r="K2038" s="10">
        <f ca="1" t="shared" si="95"/>
        <v>16</v>
      </c>
    </row>
    <row r="2039" ht="18" spans="1:11">
      <c r="A2039" s="14">
        <f t="shared" si="93"/>
        <v>2038</v>
      </c>
      <c r="B2039" s="11" t="s">
        <v>5961</v>
      </c>
      <c r="C2039" s="14" t="str">
        <f>IFERROR(INDEX(面试清单!D:D,MATCH(2038,面试清单!P:P,0)),"")</f>
        <v/>
      </c>
      <c r="D2039" s="11" t="s">
        <v>42</v>
      </c>
      <c r="E2039" s="11" t="s">
        <v>63</v>
      </c>
      <c r="F2039" s="11" t="s">
        <v>530</v>
      </c>
      <c r="G2039" s="15">
        <v>46170</v>
      </c>
      <c r="H2039" s="14" t="str">
        <f>IFERROR(INDEX(面试清单!H:H,MATCH(2038,面试清单!P:P,0)),"")</f>
        <v/>
      </c>
      <c r="I2039" s="13" t="s">
        <v>29</v>
      </c>
      <c r="J2039" s="14">
        <f ca="1" t="shared" si="94"/>
        <v>19</v>
      </c>
      <c r="K2039" s="14">
        <f ca="1" t="shared" si="95"/>
        <v>16</v>
      </c>
    </row>
    <row r="2040" ht="18" spans="1:11">
      <c r="A2040" s="10">
        <f t="shared" si="93"/>
        <v>2039</v>
      </c>
      <c r="B2040" s="11" t="s">
        <v>5962</v>
      </c>
      <c r="C2040" s="125" t="str">
        <f>IFERROR(INDEX(面试清单!D:D,MATCH(2039,面试清单!P:P,0)),"")</f>
        <v>0217</v>
      </c>
      <c r="D2040" s="11" t="s">
        <v>42</v>
      </c>
      <c r="E2040" s="11" t="s">
        <v>62</v>
      </c>
      <c r="F2040" s="11" t="s">
        <v>307</v>
      </c>
      <c r="G2040" s="15">
        <v>46170</v>
      </c>
      <c r="H2040" s="10" t="str">
        <f>IFERROR(INDEX(面试清单!H:H,MATCH(2039,面试清单!P:P,0)),"")</f>
        <v>线上</v>
      </c>
      <c r="I2040" s="13" t="s">
        <v>29</v>
      </c>
      <c r="J2040" s="10">
        <f ca="1" t="shared" si="94"/>
        <v>19</v>
      </c>
      <c r="K2040" s="10">
        <f ca="1" t="shared" si="95"/>
        <v>16</v>
      </c>
    </row>
    <row r="2041" ht="18" spans="1:11">
      <c r="A2041" s="14">
        <f t="shared" si="93"/>
        <v>2040</v>
      </c>
      <c r="B2041" s="11" t="s">
        <v>5963</v>
      </c>
      <c r="C2041" s="14" t="str">
        <f>IFERROR(INDEX(面试清单!D:D,MATCH(2040,面试清单!P:P,0)),"")</f>
        <v/>
      </c>
      <c r="D2041" s="11" t="s">
        <v>43</v>
      </c>
      <c r="E2041" s="11" t="s">
        <v>62</v>
      </c>
      <c r="F2041" s="11" t="s">
        <v>124</v>
      </c>
      <c r="G2041" s="15">
        <v>46170</v>
      </c>
      <c r="H2041" s="14" t="str">
        <f>IFERROR(INDEX(面试清单!H:H,MATCH(2040,面试清单!P:P,0)),"")</f>
        <v/>
      </c>
      <c r="I2041" s="13" t="s">
        <v>29</v>
      </c>
      <c r="J2041" s="14">
        <f ca="1" t="shared" si="94"/>
        <v>19</v>
      </c>
      <c r="K2041" s="14">
        <f ca="1" t="shared" si="95"/>
        <v>16</v>
      </c>
    </row>
    <row r="2042" ht="18" spans="1:11">
      <c r="A2042" s="10">
        <f t="shared" si="93"/>
        <v>2041</v>
      </c>
      <c r="B2042" s="11" t="s">
        <v>2585</v>
      </c>
      <c r="C2042" s="10" t="str">
        <f>IFERROR(INDEX(面试清单!D:D,MATCH(2041,面试清单!P:P,0)),"")</f>
        <v/>
      </c>
      <c r="D2042" s="11" t="s">
        <v>42</v>
      </c>
      <c r="E2042" s="11" t="s">
        <v>64</v>
      </c>
      <c r="F2042" s="11" t="s">
        <v>135</v>
      </c>
      <c r="G2042" s="15">
        <v>46170</v>
      </c>
      <c r="H2042" s="10" t="str">
        <f>IFERROR(INDEX(面试清单!H:H,MATCH(2041,面试清单!P:P,0)),"")</f>
        <v/>
      </c>
      <c r="I2042" s="13" t="s">
        <v>29</v>
      </c>
      <c r="J2042" s="10">
        <f ca="1" t="shared" si="94"/>
        <v>19</v>
      </c>
      <c r="K2042" s="10">
        <f ca="1" t="shared" si="95"/>
        <v>16</v>
      </c>
    </row>
    <row r="2043" ht="18" spans="1:11">
      <c r="A2043" s="14">
        <f t="shared" si="93"/>
        <v>2042</v>
      </c>
      <c r="B2043" s="11" t="s">
        <v>5964</v>
      </c>
      <c r="C2043" s="14" t="str">
        <f>IFERROR(INDEX(面试清单!D:D,MATCH(2042,面试清单!P:P,0)),"")</f>
        <v/>
      </c>
      <c r="D2043" s="11" t="s">
        <v>42</v>
      </c>
      <c r="E2043" s="11" t="s">
        <v>62</v>
      </c>
      <c r="F2043" s="11" t="s">
        <v>233</v>
      </c>
      <c r="G2043" s="15">
        <v>46170</v>
      </c>
      <c r="H2043" s="14" t="str">
        <f>IFERROR(INDEX(面试清单!H:H,MATCH(2042,面试清单!P:P,0)),"")</f>
        <v/>
      </c>
      <c r="I2043" s="13" t="s">
        <v>29</v>
      </c>
      <c r="J2043" s="14">
        <f ca="1" t="shared" si="94"/>
        <v>19</v>
      </c>
      <c r="K2043" s="14">
        <f ca="1" t="shared" si="95"/>
        <v>16</v>
      </c>
    </row>
    <row r="2044" ht="18" spans="1:11">
      <c r="A2044" s="10">
        <f t="shared" si="93"/>
        <v>2043</v>
      </c>
      <c r="B2044" s="11" t="s">
        <v>5965</v>
      </c>
      <c r="C2044" s="10" t="str">
        <f>IFERROR(INDEX(面试清单!D:D,MATCH(2043,面试清单!P:P,0)),"")</f>
        <v/>
      </c>
      <c r="D2044" s="11" t="s">
        <v>42</v>
      </c>
      <c r="E2044" s="11" t="s">
        <v>62</v>
      </c>
      <c r="F2044" s="11" t="s">
        <v>233</v>
      </c>
      <c r="G2044" s="15">
        <v>46170</v>
      </c>
      <c r="H2044" s="10" t="str">
        <f>IFERROR(INDEX(面试清单!H:H,MATCH(2043,面试清单!P:P,0)),"")</f>
        <v/>
      </c>
      <c r="I2044" s="13" t="s">
        <v>29</v>
      </c>
      <c r="J2044" s="10">
        <f ca="1" t="shared" si="94"/>
        <v>19</v>
      </c>
      <c r="K2044" s="10">
        <f ca="1" t="shared" si="95"/>
        <v>16</v>
      </c>
    </row>
    <row r="2045" ht="18" spans="1:11">
      <c r="A2045" s="14">
        <f t="shared" si="93"/>
        <v>2044</v>
      </c>
      <c r="B2045" s="11" t="s">
        <v>5966</v>
      </c>
      <c r="C2045" s="14" t="str">
        <f>IFERROR(INDEX(面试清单!D:D,MATCH(2044,面试清单!P:P,0)),"")</f>
        <v/>
      </c>
      <c r="D2045" s="11" t="s">
        <v>43</v>
      </c>
      <c r="E2045" s="11" t="s">
        <v>62</v>
      </c>
      <c r="F2045" s="11" t="s">
        <v>1166</v>
      </c>
      <c r="G2045" s="15">
        <v>46170</v>
      </c>
      <c r="H2045" s="14" t="str">
        <f>IFERROR(INDEX(面试清单!H:H,MATCH(2044,面试清单!P:P,0)),"")</f>
        <v/>
      </c>
      <c r="I2045" s="13" t="s">
        <v>29</v>
      </c>
      <c r="J2045" s="14">
        <f ca="1" t="shared" si="94"/>
        <v>19</v>
      </c>
      <c r="K2045" s="14">
        <f ca="1" t="shared" si="95"/>
        <v>16</v>
      </c>
    </row>
    <row r="2046" ht="18" spans="1:11">
      <c r="A2046" s="10">
        <f t="shared" si="93"/>
        <v>2045</v>
      </c>
      <c r="B2046" s="11" t="s">
        <v>5967</v>
      </c>
      <c r="C2046" s="10" t="str">
        <f>IFERROR(INDEX(面试清单!D:D,MATCH(2045,面试清单!P:P,0)),"")</f>
        <v/>
      </c>
      <c r="D2046" s="11" t="s">
        <v>43</v>
      </c>
      <c r="E2046" s="11" t="s">
        <v>62</v>
      </c>
      <c r="F2046" s="11" t="s">
        <v>173</v>
      </c>
      <c r="G2046" s="15">
        <v>46170</v>
      </c>
      <c r="H2046" s="10" t="str">
        <f>IFERROR(INDEX(面试清单!H:H,MATCH(2045,面试清单!P:P,0)),"")</f>
        <v/>
      </c>
      <c r="I2046" s="13" t="s">
        <v>29</v>
      </c>
      <c r="J2046" s="10">
        <f ca="1" t="shared" si="94"/>
        <v>19</v>
      </c>
      <c r="K2046" s="10">
        <f ca="1" t="shared" si="95"/>
        <v>16</v>
      </c>
    </row>
    <row r="2047" ht="18" spans="1:11">
      <c r="A2047" s="14">
        <f t="shared" si="93"/>
        <v>2046</v>
      </c>
      <c r="B2047" s="11" t="s">
        <v>5968</v>
      </c>
      <c r="C2047" s="14" t="str">
        <f>IFERROR(INDEX(面试清单!D:D,MATCH(2046,面试清单!P:P,0)),"")</f>
        <v/>
      </c>
      <c r="D2047" s="11" t="s">
        <v>43</v>
      </c>
      <c r="E2047" s="11" t="s">
        <v>62</v>
      </c>
      <c r="F2047" s="11" t="s">
        <v>173</v>
      </c>
      <c r="G2047" s="15">
        <v>46170</v>
      </c>
      <c r="H2047" s="14" t="str">
        <f>IFERROR(INDEX(面试清单!H:H,MATCH(2046,面试清单!P:P,0)),"")</f>
        <v/>
      </c>
      <c r="I2047" s="13" t="s">
        <v>29</v>
      </c>
      <c r="J2047" s="14">
        <f ca="1" t="shared" si="94"/>
        <v>19</v>
      </c>
      <c r="K2047" s="14">
        <f ca="1" t="shared" si="95"/>
        <v>16</v>
      </c>
    </row>
    <row r="2048" ht="18" spans="1:11">
      <c r="A2048" s="10">
        <f t="shared" si="93"/>
        <v>2047</v>
      </c>
      <c r="B2048" s="11" t="s">
        <v>5969</v>
      </c>
      <c r="C2048" s="10" t="str">
        <f>IFERROR(INDEX(面试清单!D:D,MATCH(2047,面试清单!P:P,0)),"")</f>
        <v/>
      </c>
      <c r="D2048" s="11" t="s">
        <v>43</v>
      </c>
      <c r="E2048" s="11" t="s">
        <v>63</v>
      </c>
      <c r="F2048" s="11" t="s">
        <v>509</v>
      </c>
      <c r="G2048" s="15">
        <v>46170</v>
      </c>
      <c r="H2048" s="10" t="str">
        <f>IFERROR(INDEX(面试清单!H:H,MATCH(2047,面试清单!P:P,0)),"")</f>
        <v/>
      </c>
      <c r="I2048" s="13" t="s">
        <v>29</v>
      </c>
      <c r="J2048" s="10">
        <f ca="1" t="shared" si="94"/>
        <v>19</v>
      </c>
      <c r="K2048" s="10">
        <f ca="1" t="shared" si="95"/>
        <v>16</v>
      </c>
    </row>
    <row r="2049" ht="18" spans="1:11">
      <c r="A2049" s="14">
        <f t="shared" si="93"/>
        <v>2048</v>
      </c>
      <c r="B2049" s="11" t="s">
        <v>5970</v>
      </c>
      <c r="C2049" s="14" t="str">
        <f>IFERROR(INDEX(面试清单!D:D,MATCH(2048,面试清单!P:P,0)),"")</f>
        <v/>
      </c>
      <c r="D2049" s="11" t="s">
        <v>42</v>
      </c>
      <c r="E2049" s="11" t="s">
        <v>63</v>
      </c>
      <c r="F2049" s="11" t="s">
        <v>631</v>
      </c>
      <c r="G2049" s="15">
        <v>46170</v>
      </c>
      <c r="H2049" s="14" t="str">
        <f>IFERROR(INDEX(面试清单!H:H,MATCH(2048,面试清单!P:P,0)),"")</f>
        <v/>
      </c>
      <c r="I2049" s="13" t="s">
        <v>29</v>
      </c>
      <c r="J2049" s="14">
        <f ca="1" t="shared" si="94"/>
        <v>19</v>
      </c>
      <c r="K2049" s="14">
        <f ca="1" t="shared" si="95"/>
        <v>16</v>
      </c>
    </row>
    <row r="2050" ht="18" spans="1:11">
      <c r="A2050" s="10">
        <f t="shared" ref="A2050:A2113" si="96">IF(B2050&lt;&gt;"",ROW()-1,"")</f>
        <v>2049</v>
      </c>
      <c r="B2050" s="11" t="s">
        <v>5971</v>
      </c>
      <c r="C2050" s="10" t="str">
        <f>IFERROR(INDEX(面试清单!D:D,MATCH(2049,面试清单!P:P,0)),"")</f>
        <v/>
      </c>
      <c r="D2050" s="11" t="s">
        <v>42</v>
      </c>
      <c r="E2050" s="11" t="s">
        <v>63</v>
      </c>
      <c r="F2050" s="11" t="s">
        <v>179</v>
      </c>
      <c r="G2050" s="15">
        <v>46170</v>
      </c>
      <c r="H2050" s="10" t="str">
        <f>IFERROR(INDEX(面试清单!H:H,MATCH(2049,面试清单!P:P,0)),"")</f>
        <v/>
      </c>
      <c r="I2050" s="13" t="s">
        <v>29</v>
      </c>
      <c r="J2050" s="10">
        <f ca="1" t="shared" ref="J2050:J2113" si="97">IF(G2050&lt;&gt;"",TODAY()-G2050,"")</f>
        <v>19</v>
      </c>
      <c r="K2050" s="10">
        <f ca="1" t="shared" ref="K2050:K2113" si="98">IF(G2050&lt;&gt;"",MAX(0,MIN(TODAY(),EOMONTH(TODAY(),0))-MAX(G2050,EOMONTH(TODAY(),-1)+1)+1),"")</f>
        <v>16</v>
      </c>
    </row>
    <row r="2051" ht="18" spans="1:11">
      <c r="A2051" s="14">
        <f t="shared" si="96"/>
        <v>2050</v>
      </c>
      <c r="B2051" s="11" t="s">
        <v>5972</v>
      </c>
      <c r="C2051" s="14" t="str">
        <f>IFERROR(INDEX(面试清单!D:D,MATCH(2050,面试清单!P:P,0)),"")</f>
        <v/>
      </c>
      <c r="D2051" s="11" t="s">
        <v>42</v>
      </c>
      <c r="E2051" s="11" t="s">
        <v>63</v>
      </c>
      <c r="F2051" s="11" t="s">
        <v>179</v>
      </c>
      <c r="G2051" s="15">
        <v>46170</v>
      </c>
      <c r="H2051" s="14" t="str">
        <f>IFERROR(INDEX(面试清单!H:H,MATCH(2050,面试清单!P:P,0)),"")</f>
        <v/>
      </c>
      <c r="I2051" s="13" t="s">
        <v>29</v>
      </c>
      <c r="J2051" s="14">
        <f ca="1" t="shared" si="97"/>
        <v>19</v>
      </c>
      <c r="K2051" s="14">
        <f ca="1" t="shared" si="98"/>
        <v>16</v>
      </c>
    </row>
    <row r="2052" ht="18" spans="1:11">
      <c r="A2052" s="10">
        <f t="shared" si="96"/>
        <v>2051</v>
      </c>
      <c r="B2052" s="11" t="s">
        <v>5973</v>
      </c>
      <c r="C2052" s="10" t="str">
        <f>IFERROR(INDEX(面试清单!D:D,MATCH(2051,面试清单!P:P,0)),"")</f>
        <v/>
      </c>
      <c r="D2052" s="11" t="s">
        <v>42</v>
      </c>
      <c r="E2052" s="11" t="s">
        <v>62</v>
      </c>
      <c r="F2052" s="11" t="s">
        <v>176</v>
      </c>
      <c r="G2052" s="15">
        <v>46170</v>
      </c>
      <c r="H2052" s="10" t="str">
        <f>IFERROR(INDEX(面试清单!H:H,MATCH(2051,面试清单!P:P,0)),"")</f>
        <v/>
      </c>
      <c r="I2052" s="13" t="s">
        <v>29</v>
      </c>
      <c r="J2052" s="10">
        <f ca="1" t="shared" si="97"/>
        <v>19</v>
      </c>
      <c r="K2052" s="10">
        <f ca="1" t="shared" si="98"/>
        <v>16</v>
      </c>
    </row>
    <row r="2053" ht="18" spans="1:11">
      <c r="A2053" s="14">
        <f t="shared" si="96"/>
        <v>2052</v>
      </c>
      <c r="B2053" s="11" t="s">
        <v>5974</v>
      </c>
      <c r="C2053" s="14" t="str">
        <f>IFERROR(INDEX(面试清单!D:D,MATCH(2052,面试清单!P:P,0)),"")</f>
        <v/>
      </c>
      <c r="D2053" s="11" t="s">
        <v>42</v>
      </c>
      <c r="E2053" s="11" t="s">
        <v>62</v>
      </c>
      <c r="F2053" s="11" t="s">
        <v>103</v>
      </c>
      <c r="G2053" s="15">
        <v>46170</v>
      </c>
      <c r="H2053" s="14" t="str">
        <f>IFERROR(INDEX(面试清单!H:H,MATCH(2052,面试清单!P:P,0)),"")</f>
        <v/>
      </c>
      <c r="I2053" s="13" t="s">
        <v>29</v>
      </c>
      <c r="J2053" s="14">
        <f ca="1" t="shared" si="97"/>
        <v>19</v>
      </c>
      <c r="K2053" s="14">
        <f ca="1" t="shared" si="98"/>
        <v>16</v>
      </c>
    </row>
    <row r="2054" ht="18" spans="1:11">
      <c r="A2054" s="10">
        <f t="shared" si="96"/>
        <v>2053</v>
      </c>
      <c r="B2054" s="11" t="s">
        <v>5975</v>
      </c>
      <c r="C2054" s="10" t="str">
        <f>IFERROR(INDEX(面试清单!D:D,MATCH(2053,面试清单!P:P,0)),"")</f>
        <v/>
      </c>
      <c r="D2054" s="11" t="s">
        <v>43</v>
      </c>
      <c r="E2054" s="11" t="s">
        <v>63</v>
      </c>
      <c r="F2054" s="11" t="s">
        <v>176</v>
      </c>
      <c r="G2054" s="15">
        <v>46170</v>
      </c>
      <c r="H2054" s="10" t="str">
        <f>IFERROR(INDEX(面试清单!H:H,MATCH(2053,面试清单!P:P,0)),"")</f>
        <v/>
      </c>
      <c r="I2054" s="13" t="s">
        <v>29</v>
      </c>
      <c r="J2054" s="10">
        <f ca="1" t="shared" si="97"/>
        <v>19</v>
      </c>
      <c r="K2054" s="10">
        <f ca="1" t="shared" si="98"/>
        <v>16</v>
      </c>
    </row>
    <row r="2055" ht="18" spans="1:11">
      <c r="A2055" s="14">
        <f t="shared" si="96"/>
        <v>2054</v>
      </c>
      <c r="B2055" s="11" t="s">
        <v>5976</v>
      </c>
      <c r="C2055" s="14" t="str">
        <f>IFERROR(INDEX(面试清单!D:D,MATCH(2054,面试清单!P:P,0)),"")</f>
        <v/>
      </c>
      <c r="D2055" s="11" t="s">
        <v>43</v>
      </c>
      <c r="E2055" s="11" t="s">
        <v>62</v>
      </c>
      <c r="F2055" s="11" t="s">
        <v>233</v>
      </c>
      <c r="G2055" s="15">
        <v>46170</v>
      </c>
      <c r="H2055" s="14" t="str">
        <f>IFERROR(INDEX(面试清单!H:H,MATCH(2054,面试清单!P:P,0)),"")</f>
        <v/>
      </c>
      <c r="I2055" s="13" t="s">
        <v>29</v>
      </c>
      <c r="J2055" s="14">
        <f ca="1" t="shared" si="97"/>
        <v>19</v>
      </c>
      <c r="K2055" s="14">
        <f ca="1" t="shared" si="98"/>
        <v>16</v>
      </c>
    </row>
    <row r="2056" ht="18" spans="1:11">
      <c r="A2056" s="10">
        <f t="shared" si="96"/>
        <v>2055</v>
      </c>
      <c r="B2056" s="11" t="s">
        <v>5977</v>
      </c>
      <c r="C2056" s="10" t="str">
        <f>IFERROR(INDEX(面试清单!D:D,MATCH(2055,面试清单!P:P,0)),"")</f>
        <v/>
      </c>
      <c r="D2056" s="11" t="s">
        <v>43</v>
      </c>
      <c r="E2056" s="11" t="s">
        <v>63</v>
      </c>
      <c r="F2056" s="11" t="s">
        <v>233</v>
      </c>
      <c r="G2056" s="15">
        <v>46170</v>
      </c>
      <c r="H2056" s="10" t="str">
        <f>IFERROR(INDEX(面试清单!H:H,MATCH(2055,面试清单!P:P,0)),"")</f>
        <v/>
      </c>
      <c r="I2056" s="13" t="s">
        <v>29</v>
      </c>
      <c r="J2056" s="10">
        <f ca="1" t="shared" si="97"/>
        <v>19</v>
      </c>
      <c r="K2056" s="10">
        <f ca="1" t="shared" si="98"/>
        <v>16</v>
      </c>
    </row>
    <row r="2057" ht="18" spans="1:11">
      <c r="A2057" s="14">
        <f t="shared" si="96"/>
        <v>2056</v>
      </c>
      <c r="B2057" s="11" t="s">
        <v>5978</v>
      </c>
      <c r="C2057" s="14" t="str">
        <f>IFERROR(INDEX(面试清单!D:D,MATCH(2056,面试清单!P:P,0)),"")</f>
        <v/>
      </c>
      <c r="D2057" s="11" t="s">
        <v>43</v>
      </c>
      <c r="E2057" s="11" t="s">
        <v>62</v>
      </c>
      <c r="F2057" s="11" t="s">
        <v>468</v>
      </c>
      <c r="G2057" s="15">
        <v>46170</v>
      </c>
      <c r="H2057" s="14" t="str">
        <f>IFERROR(INDEX(面试清单!H:H,MATCH(2056,面试清单!P:P,0)),"")</f>
        <v/>
      </c>
      <c r="I2057" s="13" t="s">
        <v>29</v>
      </c>
      <c r="J2057" s="14">
        <f ca="1" t="shared" si="97"/>
        <v>19</v>
      </c>
      <c r="K2057" s="14">
        <f ca="1" t="shared" si="98"/>
        <v>16</v>
      </c>
    </row>
    <row r="2058" ht="18" spans="1:11">
      <c r="A2058" s="10">
        <f t="shared" si="96"/>
        <v>2057</v>
      </c>
      <c r="B2058" s="11" t="s">
        <v>5979</v>
      </c>
      <c r="C2058" s="10" t="str">
        <f>IFERROR(INDEX(面试清单!D:D,MATCH(2057,面试清单!P:P,0)),"")</f>
        <v/>
      </c>
      <c r="D2058" s="11" t="s">
        <v>42</v>
      </c>
      <c r="E2058" s="11" t="s">
        <v>63</v>
      </c>
      <c r="F2058" s="11" t="s">
        <v>132</v>
      </c>
      <c r="G2058" s="15">
        <v>46170</v>
      </c>
      <c r="H2058" s="10" t="str">
        <f>IFERROR(INDEX(面试清单!H:H,MATCH(2057,面试清单!P:P,0)),"")</f>
        <v/>
      </c>
      <c r="I2058" s="13" t="s">
        <v>29</v>
      </c>
      <c r="J2058" s="10">
        <f ca="1" t="shared" si="97"/>
        <v>19</v>
      </c>
      <c r="K2058" s="10">
        <f ca="1" t="shared" si="98"/>
        <v>16</v>
      </c>
    </row>
    <row r="2059" ht="18" spans="1:11">
      <c r="A2059" s="14">
        <f t="shared" si="96"/>
        <v>2058</v>
      </c>
      <c r="B2059" s="11" t="s">
        <v>5980</v>
      </c>
      <c r="C2059" s="14" t="str">
        <f>IFERROR(INDEX(面试清单!D:D,MATCH(2058,面试清单!P:P,0)),"")</f>
        <v/>
      </c>
      <c r="D2059" s="11" t="s">
        <v>43</v>
      </c>
      <c r="E2059" s="11" t="s">
        <v>63</v>
      </c>
      <c r="F2059" s="11" t="s">
        <v>103</v>
      </c>
      <c r="G2059" s="15">
        <v>46170</v>
      </c>
      <c r="H2059" s="14" t="str">
        <f>IFERROR(INDEX(面试清单!H:H,MATCH(2058,面试清单!P:P,0)),"")</f>
        <v/>
      </c>
      <c r="I2059" s="13" t="s">
        <v>29</v>
      </c>
      <c r="J2059" s="14">
        <f ca="1" t="shared" si="97"/>
        <v>19</v>
      </c>
      <c r="K2059" s="14">
        <f ca="1" t="shared" si="98"/>
        <v>16</v>
      </c>
    </row>
    <row r="2060" ht="18" spans="1:11">
      <c r="A2060" s="10">
        <f t="shared" si="96"/>
        <v>2059</v>
      </c>
      <c r="B2060" s="11" t="s">
        <v>5981</v>
      </c>
      <c r="C2060" s="10" t="str">
        <f>IFERROR(INDEX(面试清单!D:D,MATCH(2059,面试清单!P:P,0)),"")</f>
        <v/>
      </c>
      <c r="D2060" s="11" t="s">
        <v>42</v>
      </c>
      <c r="E2060" s="11" t="s">
        <v>63</v>
      </c>
      <c r="F2060" s="11" t="s">
        <v>173</v>
      </c>
      <c r="G2060" s="15">
        <v>46170</v>
      </c>
      <c r="H2060" s="10" t="str">
        <f>IFERROR(INDEX(面试清单!H:H,MATCH(2059,面试清单!P:P,0)),"")</f>
        <v/>
      </c>
      <c r="I2060" s="13" t="s">
        <v>29</v>
      </c>
      <c r="J2060" s="10">
        <f ca="1" t="shared" si="97"/>
        <v>19</v>
      </c>
      <c r="K2060" s="10">
        <f ca="1" t="shared" si="98"/>
        <v>16</v>
      </c>
    </row>
    <row r="2061" ht="18" spans="1:11">
      <c r="A2061" s="14">
        <f t="shared" si="96"/>
        <v>2060</v>
      </c>
      <c r="B2061" s="11" t="s">
        <v>5982</v>
      </c>
      <c r="C2061" s="14" t="str">
        <f>IFERROR(INDEX(面试清单!D:D,MATCH(2060,面试清单!P:P,0)),"")</f>
        <v/>
      </c>
      <c r="D2061" s="11" t="s">
        <v>74</v>
      </c>
      <c r="E2061" s="11" t="s">
        <v>64</v>
      </c>
      <c r="F2061" s="11" t="s">
        <v>179</v>
      </c>
      <c r="G2061" s="15">
        <v>46170</v>
      </c>
      <c r="H2061" s="14" t="str">
        <f>IFERROR(INDEX(面试清单!H:H,MATCH(2060,面试清单!P:P,0)),"")</f>
        <v/>
      </c>
      <c r="I2061" s="13" t="s">
        <v>29</v>
      </c>
      <c r="J2061" s="14">
        <f ca="1" t="shared" si="97"/>
        <v>19</v>
      </c>
      <c r="K2061" s="14">
        <f ca="1" t="shared" si="98"/>
        <v>16</v>
      </c>
    </row>
    <row r="2062" ht="18" spans="1:11">
      <c r="A2062" s="10">
        <f t="shared" si="96"/>
        <v>2061</v>
      </c>
      <c r="B2062" s="11" t="s">
        <v>5983</v>
      </c>
      <c r="C2062" s="10" t="str">
        <f>IFERROR(INDEX(面试清单!D:D,MATCH(2061,面试清单!P:P,0)),"")</f>
        <v/>
      </c>
      <c r="D2062" s="11" t="s">
        <v>74</v>
      </c>
      <c r="E2062" s="11" t="s">
        <v>64</v>
      </c>
      <c r="F2062" s="11" t="s">
        <v>179</v>
      </c>
      <c r="G2062" s="15">
        <v>46170</v>
      </c>
      <c r="H2062" s="10" t="str">
        <f>IFERROR(INDEX(面试清单!H:H,MATCH(2061,面试清单!P:P,0)),"")</f>
        <v/>
      </c>
      <c r="I2062" s="13" t="s">
        <v>29</v>
      </c>
      <c r="J2062" s="10">
        <f ca="1" t="shared" si="97"/>
        <v>19</v>
      </c>
      <c r="K2062" s="10">
        <f ca="1" t="shared" si="98"/>
        <v>16</v>
      </c>
    </row>
    <row r="2063" ht="18" spans="1:11">
      <c r="A2063" s="14">
        <f t="shared" si="96"/>
        <v>2062</v>
      </c>
      <c r="B2063" s="11" t="s">
        <v>5984</v>
      </c>
      <c r="C2063" s="14" t="str">
        <f>IFERROR(INDEX(面试清单!D:D,MATCH(2062,面试清单!P:P,0)),"")</f>
        <v/>
      </c>
      <c r="D2063" s="11" t="s">
        <v>74</v>
      </c>
      <c r="E2063" s="11" t="s">
        <v>64</v>
      </c>
      <c r="F2063" s="11" t="s">
        <v>179</v>
      </c>
      <c r="G2063" s="15">
        <v>46170</v>
      </c>
      <c r="H2063" s="14" t="str">
        <f>IFERROR(INDEX(面试清单!H:H,MATCH(2062,面试清单!P:P,0)),"")</f>
        <v/>
      </c>
      <c r="I2063" s="13" t="s">
        <v>29</v>
      </c>
      <c r="J2063" s="14">
        <f ca="1" t="shared" si="97"/>
        <v>19</v>
      </c>
      <c r="K2063" s="14">
        <f ca="1" t="shared" si="98"/>
        <v>16</v>
      </c>
    </row>
    <row r="2064" ht="18" spans="1:11">
      <c r="A2064" s="10">
        <f t="shared" si="96"/>
        <v>2063</v>
      </c>
      <c r="B2064" s="11" t="s">
        <v>5985</v>
      </c>
      <c r="C2064" s="10" t="str">
        <f>IFERROR(INDEX(面试清单!D:D,MATCH(2063,面试清单!P:P,0)),"")</f>
        <v/>
      </c>
      <c r="D2064" s="11" t="s">
        <v>74</v>
      </c>
      <c r="E2064" s="11" t="s">
        <v>64</v>
      </c>
      <c r="F2064" s="11" t="s">
        <v>179</v>
      </c>
      <c r="G2064" s="15">
        <v>46170</v>
      </c>
      <c r="H2064" s="10" t="str">
        <f>IFERROR(INDEX(面试清单!H:H,MATCH(2063,面试清单!P:P,0)),"")</f>
        <v/>
      </c>
      <c r="I2064" s="13" t="s">
        <v>29</v>
      </c>
      <c r="J2064" s="10">
        <f ca="1" t="shared" si="97"/>
        <v>19</v>
      </c>
      <c r="K2064" s="10">
        <f ca="1" t="shared" si="98"/>
        <v>16</v>
      </c>
    </row>
    <row r="2065" ht="18" spans="1:11">
      <c r="A2065" s="14">
        <f t="shared" si="96"/>
        <v>2064</v>
      </c>
      <c r="B2065" s="11" t="s">
        <v>5986</v>
      </c>
      <c r="C2065" s="14" t="str">
        <f>IFERROR(INDEX(面试清单!D:D,MATCH(2064,面试清单!P:P,0)),"")</f>
        <v/>
      </c>
      <c r="D2065" s="11" t="s">
        <v>42</v>
      </c>
      <c r="E2065" s="11" t="s">
        <v>64</v>
      </c>
      <c r="F2065" s="11" t="s">
        <v>179</v>
      </c>
      <c r="G2065" s="15">
        <v>46170</v>
      </c>
      <c r="H2065" s="14" t="str">
        <f>IFERROR(INDEX(面试清单!H:H,MATCH(2064,面试清单!P:P,0)),"")</f>
        <v/>
      </c>
      <c r="I2065" s="13" t="s">
        <v>29</v>
      </c>
      <c r="J2065" s="14">
        <f ca="1" t="shared" si="97"/>
        <v>19</v>
      </c>
      <c r="K2065" s="14">
        <f ca="1" t="shared" si="98"/>
        <v>16</v>
      </c>
    </row>
    <row r="2066" ht="18" spans="1:11">
      <c r="A2066" s="10">
        <f t="shared" si="96"/>
        <v>2065</v>
      </c>
      <c r="B2066" s="11" t="s">
        <v>5987</v>
      </c>
      <c r="C2066" s="10" t="str">
        <f>IFERROR(INDEX(面试清单!D:D,MATCH(2065,面试清单!P:P,0)),"")</f>
        <v/>
      </c>
      <c r="D2066" s="11" t="s">
        <v>42</v>
      </c>
      <c r="E2066" s="11" t="s">
        <v>64</v>
      </c>
      <c r="F2066" s="11" t="s">
        <v>179</v>
      </c>
      <c r="G2066" s="15">
        <v>46170</v>
      </c>
      <c r="H2066" s="10" t="str">
        <f>IFERROR(INDEX(面试清单!H:H,MATCH(2065,面试清单!P:P,0)),"")</f>
        <v/>
      </c>
      <c r="I2066" s="13" t="s">
        <v>29</v>
      </c>
      <c r="J2066" s="10">
        <f ca="1" t="shared" si="97"/>
        <v>19</v>
      </c>
      <c r="K2066" s="10">
        <f ca="1" t="shared" si="98"/>
        <v>16</v>
      </c>
    </row>
    <row r="2067" ht="18" spans="1:11">
      <c r="A2067" s="14">
        <f t="shared" si="96"/>
        <v>2066</v>
      </c>
      <c r="B2067" s="11" t="s">
        <v>5988</v>
      </c>
      <c r="C2067" s="14" t="str">
        <f>IFERROR(INDEX(面试清单!D:D,MATCH(2066,面试清单!P:P,0)),"")</f>
        <v/>
      </c>
      <c r="D2067" s="11" t="s">
        <v>74</v>
      </c>
      <c r="E2067" s="11" t="s">
        <v>64</v>
      </c>
      <c r="F2067" s="11" t="s">
        <v>179</v>
      </c>
      <c r="G2067" s="15">
        <v>46170</v>
      </c>
      <c r="H2067" s="14" t="str">
        <f>IFERROR(INDEX(面试清单!H:H,MATCH(2066,面试清单!P:P,0)),"")</f>
        <v/>
      </c>
      <c r="I2067" s="13" t="s">
        <v>29</v>
      </c>
      <c r="J2067" s="14">
        <f ca="1" t="shared" si="97"/>
        <v>19</v>
      </c>
      <c r="K2067" s="14">
        <f ca="1" t="shared" si="98"/>
        <v>16</v>
      </c>
    </row>
    <row r="2068" ht="18" spans="1:11">
      <c r="A2068" s="10">
        <f t="shared" si="96"/>
        <v>2067</v>
      </c>
      <c r="B2068" s="11" t="s">
        <v>5989</v>
      </c>
      <c r="C2068" s="10" t="str">
        <f>IFERROR(INDEX(面试清单!D:D,MATCH(2067,面试清单!P:P,0)),"")</f>
        <v/>
      </c>
      <c r="D2068" s="11" t="s">
        <v>74</v>
      </c>
      <c r="E2068" s="11" t="s">
        <v>64</v>
      </c>
      <c r="F2068" s="11" t="s">
        <v>179</v>
      </c>
      <c r="G2068" s="15">
        <v>46170</v>
      </c>
      <c r="H2068" s="10" t="str">
        <f>IFERROR(INDEX(面试清单!H:H,MATCH(2067,面试清单!P:P,0)),"")</f>
        <v/>
      </c>
      <c r="I2068" s="13" t="s">
        <v>29</v>
      </c>
      <c r="J2068" s="10">
        <f ca="1" t="shared" si="97"/>
        <v>19</v>
      </c>
      <c r="K2068" s="10">
        <f ca="1" t="shared" si="98"/>
        <v>16</v>
      </c>
    </row>
    <row r="2069" ht="18" spans="1:11">
      <c r="A2069" s="14">
        <f t="shared" si="96"/>
        <v>2068</v>
      </c>
      <c r="B2069" s="11" t="s">
        <v>5990</v>
      </c>
      <c r="C2069" s="14" t="str">
        <f>IFERROR(INDEX(面试清单!D:D,MATCH(2068,面试清单!P:P,0)),"")</f>
        <v/>
      </c>
      <c r="D2069" s="11" t="s">
        <v>74</v>
      </c>
      <c r="E2069" s="11" t="s">
        <v>64</v>
      </c>
      <c r="F2069" s="11" t="s">
        <v>179</v>
      </c>
      <c r="G2069" s="15">
        <v>46170</v>
      </c>
      <c r="H2069" s="14" t="str">
        <f>IFERROR(INDEX(面试清单!H:H,MATCH(2068,面试清单!P:P,0)),"")</f>
        <v/>
      </c>
      <c r="I2069" s="13" t="s">
        <v>29</v>
      </c>
      <c r="J2069" s="14">
        <f ca="1" t="shared" si="97"/>
        <v>19</v>
      </c>
      <c r="K2069" s="14">
        <f ca="1" t="shared" si="98"/>
        <v>16</v>
      </c>
    </row>
    <row r="2070" ht="18" spans="1:11">
      <c r="A2070" s="10">
        <f t="shared" si="96"/>
        <v>2069</v>
      </c>
      <c r="B2070" s="11" t="s">
        <v>5991</v>
      </c>
      <c r="C2070" s="10" t="str">
        <f>IFERROR(INDEX(面试清单!D:D,MATCH(2069,面试清单!P:P,0)),"")</f>
        <v/>
      </c>
      <c r="D2070" s="11" t="s">
        <v>74</v>
      </c>
      <c r="E2070" s="11" t="s">
        <v>64</v>
      </c>
      <c r="F2070" s="11" t="s">
        <v>179</v>
      </c>
      <c r="G2070" s="15">
        <v>46170</v>
      </c>
      <c r="H2070" s="10" t="str">
        <f>IFERROR(INDEX(面试清单!H:H,MATCH(2069,面试清单!P:P,0)),"")</f>
        <v/>
      </c>
      <c r="I2070" s="13" t="s">
        <v>29</v>
      </c>
      <c r="J2070" s="10">
        <f ca="1" t="shared" si="97"/>
        <v>19</v>
      </c>
      <c r="K2070" s="10">
        <f ca="1" t="shared" si="98"/>
        <v>16</v>
      </c>
    </row>
    <row r="2071" ht="18" spans="1:11">
      <c r="A2071" s="14">
        <f t="shared" si="96"/>
        <v>2070</v>
      </c>
      <c r="B2071" s="11" t="s">
        <v>5992</v>
      </c>
      <c r="C2071" s="14" t="str">
        <f>IFERROR(INDEX(面试清单!D:D,MATCH(2070,面试清单!P:P,0)),"")</f>
        <v/>
      </c>
      <c r="D2071" s="11" t="s">
        <v>74</v>
      </c>
      <c r="E2071" s="11" t="s">
        <v>64</v>
      </c>
      <c r="F2071" s="11" t="s">
        <v>179</v>
      </c>
      <c r="G2071" s="15">
        <v>46170</v>
      </c>
      <c r="H2071" s="14" t="str">
        <f>IFERROR(INDEX(面试清单!H:H,MATCH(2070,面试清单!P:P,0)),"")</f>
        <v/>
      </c>
      <c r="I2071" s="13" t="s">
        <v>29</v>
      </c>
      <c r="J2071" s="14">
        <f ca="1" t="shared" si="97"/>
        <v>19</v>
      </c>
      <c r="K2071" s="14">
        <f ca="1" t="shared" si="98"/>
        <v>16</v>
      </c>
    </row>
    <row r="2072" ht="18" spans="1:11">
      <c r="A2072" s="10">
        <f t="shared" si="96"/>
        <v>2071</v>
      </c>
      <c r="B2072" s="11" t="s">
        <v>5993</v>
      </c>
      <c r="C2072" s="10" t="str">
        <f>IFERROR(INDEX(面试清单!D:D,MATCH(2071,面试清单!P:P,0)),"")</f>
        <v/>
      </c>
      <c r="D2072" s="11" t="s">
        <v>74</v>
      </c>
      <c r="E2072" s="11" t="s">
        <v>190</v>
      </c>
      <c r="F2072" s="11" t="s">
        <v>117</v>
      </c>
      <c r="G2072" s="15">
        <v>46170</v>
      </c>
      <c r="H2072" s="10" t="str">
        <f>IFERROR(INDEX(面试清单!H:H,MATCH(2071,面试清单!P:P,0)),"")</f>
        <v/>
      </c>
      <c r="I2072" s="13" t="s">
        <v>29</v>
      </c>
      <c r="J2072" s="10">
        <f ca="1" t="shared" si="97"/>
        <v>19</v>
      </c>
      <c r="K2072" s="10">
        <f ca="1" t="shared" si="98"/>
        <v>16</v>
      </c>
    </row>
    <row r="2073" ht="18" spans="1:11">
      <c r="A2073" s="14">
        <f t="shared" si="96"/>
        <v>2072</v>
      </c>
      <c r="B2073" s="11" t="s">
        <v>5994</v>
      </c>
      <c r="C2073" s="14" t="str">
        <f>IFERROR(INDEX(面试清单!D:D,MATCH(2072,面试清单!P:P,0)),"")</f>
        <v/>
      </c>
      <c r="D2073" s="11" t="s">
        <v>74</v>
      </c>
      <c r="E2073" s="11" t="s">
        <v>190</v>
      </c>
      <c r="F2073" s="11" t="s">
        <v>117</v>
      </c>
      <c r="G2073" s="15">
        <v>46170</v>
      </c>
      <c r="H2073" s="14" t="str">
        <f>IFERROR(INDEX(面试清单!H:H,MATCH(2072,面试清单!P:P,0)),"")</f>
        <v/>
      </c>
      <c r="I2073" s="13" t="s">
        <v>29</v>
      </c>
      <c r="J2073" s="14">
        <f ca="1" t="shared" si="97"/>
        <v>19</v>
      </c>
      <c r="K2073" s="14">
        <f ca="1" t="shared" si="98"/>
        <v>16</v>
      </c>
    </row>
    <row r="2074" ht="18" spans="1:11">
      <c r="A2074" s="10">
        <f t="shared" si="96"/>
        <v>2073</v>
      </c>
      <c r="B2074" s="11" t="s">
        <v>5995</v>
      </c>
      <c r="C2074" s="10" t="str">
        <f>IFERROR(INDEX(面试清单!D:D,MATCH(2073,面试清单!P:P,0)),"")</f>
        <v/>
      </c>
      <c r="D2074" s="11" t="s">
        <v>74</v>
      </c>
      <c r="E2074" s="11" t="s">
        <v>190</v>
      </c>
      <c r="F2074" s="11" t="s">
        <v>117</v>
      </c>
      <c r="G2074" s="15">
        <v>46170</v>
      </c>
      <c r="H2074" s="10" t="str">
        <f>IFERROR(INDEX(面试清单!H:H,MATCH(2073,面试清单!P:P,0)),"")</f>
        <v/>
      </c>
      <c r="I2074" s="13" t="s">
        <v>29</v>
      </c>
      <c r="J2074" s="10">
        <f ca="1" t="shared" si="97"/>
        <v>19</v>
      </c>
      <c r="K2074" s="10">
        <f ca="1" t="shared" si="98"/>
        <v>16</v>
      </c>
    </row>
    <row r="2075" ht="18" spans="1:11">
      <c r="A2075" s="14">
        <f t="shared" si="96"/>
        <v>2074</v>
      </c>
      <c r="B2075" s="11" t="s">
        <v>5996</v>
      </c>
      <c r="C2075" s="14" t="str">
        <f>IFERROR(INDEX(面试清单!D:D,MATCH(2074,面试清单!P:P,0)),"")</f>
        <v/>
      </c>
      <c r="D2075" s="11" t="s">
        <v>42</v>
      </c>
      <c r="E2075" s="11" t="s">
        <v>62</v>
      </c>
      <c r="F2075" s="11" t="s">
        <v>233</v>
      </c>
      <c r="G2075" s="15">
        <v>46170</v>
      </c>
      <c r="H2075" s="14" t="str">
        <f>IFERROR(INDEX(面试清单!H:H,MATCH(2074,面试清单!P:P,0)),"")</f>
        <v/>
      </c>
      <c r="I2075" s="13" t="s">
        <v>29</v>
      </c>
      <c r="J2075" s="14">
        <f ca="1" t="shared" si="97"/>
        <v>19</v>
      </c>
      <c r="K2075" s="14">
        <f ca="1" t="shared" si="98"/>
        <v>16</v>
      </c>
    </row>
    <row r="2076" ht="18" spans="1:11">
      <c r="A2076" s="10">
        <f t="shared" si="96"/>
        <v>2075</v>
      </c>
      <c r="B2076" s="11" t="s">
        <v>5997</v>
      </c>
      <c r="C2076" s="10" t="str">
        <f>IFERROR(INDEX(面试清单!D:D,MATCH(2075,面试清单!P:P,0)),"")</f>
        <v/>
      </c>
      <c r="D2076" s="11" t="s">
        <v>42</v>
      </c>
      <c r="E2076" s="11" t="s">
        <v>63</v>
      </c>
      <c r="F2076" s="11" t="s">
        <v>176</v>
      </c>
      <c r="G2076" s="15">
        <v>46170</v>
      </c>
      <c r="H2076" s="10" t="str">
        <f>IFERROR(INDEX(面试清单!H:H,MATCH(2075,面试清单!P:P,0)),"")</f>
        <v/>
      </c>
      <c r="I2076" s="13" t="s">
        <v>29</v>
      </c>
      <c r="J2076" s="10">
        <f ca="1" t="shared" si="97"/>
        <v>19</v>
      </c>
      <c r="K2076" s="10">
        <f ca="1" t="shared" si="98"/>
        <v>16</v>
      </c>
    </row>
    <row r="2077" ht="18" spans="1:11">
      <c r="A2077" s="14">
        <f t="shared" si="96"/>
        <v>2076</v>
      </c>
      <c r="B2077" s="11" t="s">
        <v>5998</v>
      </c>
      <c r="C2077" s="14" t="str">
        <f>IFERROR(INDEX(面试清单!D:D,MATCH(2076,面试清单!P:P,0)),"")</f>
        <v/>
      </c>
      <c r="D2077" s="11" t="s">
        <v>73</v>
      </c>
      <c r="E2077" s="11" t="s">
        <v>62</v>
      </c>
      <c r="F2077" s="11" t="s">
        <v>1166</v>
      </c>
      <c r="G2077" s="15">
        <v>46170</v>
      </c>
      <c r="H2077" s="14" t="str">
        <f>IFERROR(INDEX(面试清单!H:H,MATCH(2076,面试清单!P:P,0)),"")</f>
        <v/>
      </c>
      <c r="I2077" s="13" t="s">
        <v>29</v>
      </c>
      <c r="J2077" s="14">
        <f ca="1" t="shared" si="97"/>
        <v>19</v>
      </c>
      <c r="K2077" s="14">
        <f ca="1" t="shared" si="98"/>
        <v>16</v>
      </c>
    </row>
    <row r="2078" ht="18" spans="1:11">
      <c r="A2078" s="10">
        <f t="shared" si="96"/>
        <v>2077</v>
      </c>
      <c r="B2078" s="11" t="s">
        <v>5999</v>
      </c>
      <c r="C2078" s="10" t="str">
        <f>IFERROR(INDEX(面试清单!D:D,MATCH(2077,面试清单!P:P,0)),"")</f>
        <v/>
      </c>
      <c r="D2078" s="11" t="s">
        <v>43</v>
      </c>
      <c r="E2078" s="11" t="s">
        <v>63</v>
      </c>
      <c r="F2078" s="11" t="s">
        <v>179</v>
      </c>
      <c r="G2078" s="15">
        <v>46170</v>
      </c>
      <c r="H2078" s="10" t="str">
        <f>IFERROR(INDEX(面试清单!H:H,MATCH(2077,面试清单!P:P,0)),"")</f>
        <v/>
      </c>
      <c r="I2078" s="13" t="s">
        <v>29</v>
      </c>
      <c r="J2078" s="10">
        <f ca="1" t="shared" si="97"/>
        <v>19</v>
      </c>
      <c r="K2078" s="10">
        <f ca="1" t="shared" si="98"/>
        <v>16</v>
      </c>
    </row>
    <row r="2079" ht="18" spans="1:11">
      <c r="A2079" s="14">
        <f t="shared" si="96"/>
        <v>2078</v>
      </c>
      <c r="B2079" s="11" t="s">
        <v>6000</v>
      </c>
      <c r="C2079" s="124" t="str">
        <f>IFERROR(INDEX(面试清单!D:D,MATCH(2078,面试清单!P:P,0)),"")</f>
        <v>0220</v>
      </c>
      <c r="D2079" s="11" t="s">
        <v>43</v>
      </c>
      <c r="E2079" s="11" t="s">
        <v>63</v>
      </c>
      <c r="F2079" s="11" t="s">
        <v>179</v>
      </c>
      <c r="G2079" s="15">
        <v>46170</v>
      </c>
      <c r="H2079" s="14" t="str">
        <f>IFERROR(INDEX(面试清单!H:H,MATCH(2078,面试清单!P:P,0)),"")</f>
        <v>线上</v>
      </c>
      <c r="I2079" s="13" t="s">
        <v>29</v>
      </c>
      <c r="J2079" s="14">
        <f ca="1" t="shared" si="97"/>
        <v>19</v>
      </c>
      <c r="K2079" s="14">
        <f ca="1" t="shared" si="98"/>
        <v>16</v>
      </c>
    </row>
    <row r="2080" ht="18" spans="1:11">
      <c r="A2080" s="10">
        <f t="shared" si="96"/>
        <v>2079</v>
      </c>
      <c r="B2080" s="11" t="s">
        <v>6001</v>
      </c>
      <c r="C2080" s="10" t="str">
        <f>IFERROR(INDEX(面试清单!D:D,MATCH(2079,面试清单!P:P,0)),"")</f>
        <v/>
      </c>
      <c r="D2080" s="11" t="s">
        <v>43</v>
      </c>
      <c r="E2080" s="11" t="s">
        <v>63</v>
      </c>
      <c r="F2080" s="11" t="s">
        <v>148</v>
      </c>
      <c r="G2080" s="15">
        <v>46170</v>
      </c>
      <c r="H2080" s="10" t="str">
        <f>IFERROR(INDEX(面试清单!H:H,MATCH(2079,面试清单!P:P,0)),"")</f>
        <v/>
      </c>
      <c r="I2080" s="13" t="s">
        <v>29</v>
      </c>
      <c r="J2080" s="10">
        <f ca="1" t="shared" si="97"/>
        <v>19</v>
      </c>
      <c r="K2080" s="10">
        <f ca="1" t="shared" si="98"/>
        <v>16</v>
      </c>
    </row>
    <row r="2081" ht="18" spans="1:11">
      <c r="A2081" s="14">
        <f t="shared" si="96"/>
        <v>2080</v>
      </c>
      <c r="B2081" s="11" t="s">
        <v>6002</v>
      </c>
      <c r="C2081" s="14" t="str">
        <f>IFERROR(INDEX(面试清单!D:D,MATCH(2080,面试清单!P:P,0)),"")</f>
        <v/>
      </c>
      <c r="D2081" s="11" t="s">
        <v>43</v>
      </c>
      <c r="E2081" s="11" t="s">
        <v>62</v>
      </c>
      <c r="F2081" s="11" t="s">
        <v>233</v>
      </c>
      <c r="G2081" s="15">
        <v>46170</v>
      </c>
      <c r="H2081" s="14" t="str">
        <f>IFERROR(INDEX(面试清单!H:H,MATCH(2080,面试清单!P:P,0)),"")</f>
        <v/>
      </c>
      <c r="I2081" s="13" t="s">
        <v>29</v>
      </c>
      <c r="J2081" s="14">
        <f ca="1" t="shared" si="97"/>
        <v>19</v>
      </c>
      <c r="K2081" s="14">
        <f ca="1" t="shared" si="98"/>
        <v>16</v>
      </c>
    </row>
    <row r="2082" ht="18" spans="1:11">
      <c r="A2082" s="10">
        <f t="shared" si="96"/>
        <v>2081</v>
      </c>
      <c r="B2082" s="11" t="s">
        <v>6003</v>
      </c>
      <c r="C2082" s="10" t="str">
        <f>IFERROR(INDEX(面试清单!D:D,MATCH(2081,面试清单!P:P,0)),"")</f>
        <v/>
      </c>
      <c r="D2082" s="11" t="s">
        <v>74</v>
      </c>
      <c r="E2082" s="11" t="s">
        <v>64</v>
      </c>
      <c r="F2082" s="11" t="s">
        <v>179</v>
      </c>
      <c r="G2082" s="15">
        <v>46170</v>
      </c>
      <c r="H2082" s="10" t="str">
        <f>IFERROR(INDEX(面试清单!H:H,MATCH(2081,面试清单!P:P,0)),"")</f>
        <v/>
      </c>
      <c r="I2082" s="13" t="s">
        <v>29</v>
      </c>
      <c r="J2082" s="10">
        <f ca="1" t="shared" si="97"/>
        <v>19</v>
      </c>
      <c r="K2082" s="10">
        <f ca="1" t="shared" si="98"/>
        <v>16</v>
      </c>
    </row>
    <row r="2083" ht="18" spans="1:11">
      <c r="A2083" s="14">
        <f t="shared" si="96"/>
        <v>2082</v>
      </c>
      <c r="B2083" s="11" t="s">
        <v>6004</v>
      </c>
      <c r="C2083" s="14" t="str">
        <f>IFERROR(INDEX(面试清单!D:D,MATCH(2082,面试清单!P:P,0)),"")</f>
        <v/>
      </c>
      <c r="D2083" s="11" t="s">
        <v>74</v>
      </c>
      <c r="E2083" s="11" t="s">
        <v>64</v>
      </c>
      <c r="F2083" s="11" t="s">
        <v>179</v>
      </c>
      <c r="G2083" s="15">
        <v>46170</v>
      </c>
      <c r="H2083" s="14" t="str">
        <f>IFERROR(INDEX(面试清单!H:H,MATCH(2082,面试清单!P:P,0)),"")</f>
        <v/>
      </c>
      <c r="I2083" s="13" t="s">
        <v>29</v>
      </c>
      <c r="J2083" s="14">
        <f ca="1" t="shared" si="97"/>
        <v>19</v>
      </c>
      <c r="K2083" s="14">
        <f ca="1" t="shared" si="98"/>
        <v>16</v>
      </c>
    </row>
    <row r="2084" ht="18" spans="1:11">
      <c r="A2084" s="10">
        <f t="shared" si="96"/>
        <v>2083</v>
      </c>
      <c r="B2084" s="11" t="s">
        <v>6005</v>
      </c>
      <c r="C2084" s="10" t="str">
        <f>IFERROR(INDEX(面试清单!D:D,MATCH(2083,面试清单!P:P,0)),"")</f>
        <v/>
      </c>
      <c r="D2084" s="11" t="s">
        <v>74</v>
      </c>
      <c r="E2084" s="11" t="s">
        <v>64</v>
      </c>
      <c r="F2084" s="11" t="s">
        <v>179</v>
      </c>
      <c r="G2084" s="15">
        <v>46170</v>
      </c>
      <c r="H2084" s="10" t="str">
        <f>IFERROR(INDEX(面试清单!H:H,MATCH(2083,面试清单!P:P,0)),"")</f>
        <v/>
      </c>
      <c r="I2084" s="13" t="s">
        <v>29</v>
      </c>
      <c r="J2084" s="10">
        <f ca="1" t="shared" si="97"/>
        <v>19</v>
      </c>
      <c r="K2084" s="10">
        <f ca="1" t="shared" si="98"/>
        <v>16</v>
      </c>
    </row>
    <row r="2085" ht="18" spans="1:11">
      <c r="A2085" s="14">
        <f t="shared" si="96"/>
        <v>2084</v>
      </c>
      <c r="B2085" s="11" t="s">
        <v>6006</v>
      </c>
      <c r="C2085" s="14" t="str">
        <f>IFERROR(INDEX(面试清单!D:D,MATCH(2084,面试清单!P:P,0)),"")</f>
        <v/>
      </c>
      <c r="D2085" s="11" t="s">
        <v>74</v>
      </c>
      <c r="E2085" s="11" t="s">
        <v>64</v>
      </c>
      <c r="F2085" s="11" t="s">
        <v>179</v>
      </c>
      <c r="G2085" s="15">
        <v>46170</v>
      </c>
      <c r="H2085" s="14" t="str">
        <f>IFERROR(INDEX(面试清单!H:H,MATCH(2084,面试清单!P:P,0)),"")</f>
        <v/>
      </c>
      <c r="I2085" s="13" t="s">
        <v>29</v>
      </c>
      <c r="J2085" s="14">
        <f ca="1" t="shared" si="97"/>
        <v>19</v>
      </c>
      <c r="K2085" s="14">
        <f ca="1" t="shared" si="98"/>
        <v>16</v>
      </c>
    </row>
    <row r="2086" ht="18" spans="1:11">
      <c r="A2086" s="10">
        <f t="shared" si="96"/>
        <v>2085</v>
      </c>
      <c r="B2086" s="11" t="s">
        <v>6007</v>
      </c>
      <c r="C2086" s="125" t="str">
        <f>IFERROR(INDEX(面试清单!D:D,MATCH(2085,面试清单!P:P,0)),"")</f>
        <v>0217</v>
      </c>
      <c r="D2086" s="11" t="s">
        <v>42</v>
      </c>
      <c r="E2086" s="11" t="s">
        <v>63</v>
      </c>
      <c r="F2086" s="11" t="s">
        <v>173</v>
      </c>
      <c r="G2086" s="15">
        <v>46170</v>
      </c>
      <c r="H2086" s="10" t="str">
        <f>IFERROR(INDEX(面试清单!H:H,MATCH(2085,面试清单!P:P,0)),"")</f>
        <v>线下</v>
      </c>
      <c r="I2086" s="13" t="s">
        <v>29</v>
      </c>
      <c r="J2086" s="10">
        <f ca="1" t="shared" si="97"/>
        <v>19</v>
      </c>
      <c r="K2086" s="10">
        <f ca="1" t="shared" si="98"/>
        <v>16</v>
      </c>
    </row>
    <row r="2087" ht="18" spans="1:11">
      <c r="A2087" s="14">
        <f t="shared" si="96"/>
        <v>2086</v>
      </c>
      <c r="B2087" s="11" t="s">
        <v>6008</v>
      </c>
      <c r="C2087" s="124" t="str">
        <f>IFERROR(INDEX(面试清单!D:D,MATCH(2086,面试清单!P:P,0)),"")</f>
        <v>0218</v>
      </c>
      <c r="D2087" s="11" t="s">
        <v>43</v>
      </c>
      <c r="E2087" s="11" t="s">
        <v>62</v>
      </c>
      <c r="F2087" s="11" t="s">
        <v>246</v>
      </c>
      <c r="G2087" s="15">
        <v>46170</v>
      </c>
      <c r="H2087" s="14" t="str">
        <f>IFERROR(INDEX(面试清单!H:H,MATCH(2086,面试清单!P:P,0)),"")</f>
        <v>线下</v>
      </c>
      <c r="I2087" s="13" t="s">
        <v>29</v>
      </c>
      <c r="J2087" s="14">
        <f ca="1" t="shared" si="97"/>
        <v>19</v>
      </c>
      <c r="K2087" s="14">
        <f ca="1" t="shared" si="98"/>
        <v>16</v>
      </c>
    </row>
    <row r="2088" ht="18" spans="1:11">
      <c r="A2088" s="10">
        <f t="shared" si="96"/>
        <v>2087</v>
      </c>
      <c r="B2088" s="11" t="s">
        <v>1066</v>
      </c>
      <c r="C2088" s="125" t="str">
        <f>IFERROR(INDEX(面试清单!D:D,MATCH(2087,面试清单!P:P,0)),"")</f>
        <v>0220</v>
      </c>
      <c r="D2088" s="11" t="s">
        <v>43</v>
      </c>
      <c r="E2088" s="11" t="s">
        <v>62</v>
      </c>
      <c r="F2088" s="11" t="s">
        <v>129</v>
      </c>
      <c r="G2088" s="15">
        <v>46171</v>
      </c>
      <c r="H2088" s="10" t="str">
        <f>IFERROR(INDEX(面试清单!H:H,MATCH(2087,面试清单!P:P,0)),"")</f>
        <v>线下</v>
      </c>
      <c r="I2088" s="13" t="s">
        <v>29</v>
      </c>
      <c r="J2088" s="10">
        <f ca="1" t="shared" si="97"/>
        <v>18</v>
      </c>
      <c r="K2088" s="10">
        <f ca="1" t="shared" si="98"/>
        <v>16</v>
      </c>
    </row>
    <row r="2089" ht="18" spans="1:11">
      <c r="A2089" s="14">
        <f t="shared" si="96"/>
        <v>2088</v>
      </c>
      <c r="B2089" s="11" t="s">
        <v>6009</v>
      </c>
      <c r="C2089" s="124" t="str">
        <f>IFERROR(INDEX(面试清单!D:D,MATCH(2088,面试清单!P:P,0)),"")</f>
        <v>0221</v>
      </c>
      <c r="D2089" s="11" t="s">
        <v>43</v>
      </c>
      <c r="E2089" s="11" t="s">
        <v>62</v>
      </c>
      <c r="F2089" s="11" t="s">
        <v>530</v>
      </c>
      <c r="G2089" s="15">
        <v>46171</v>
      </c>
      <c r="H2089" s="14" t="str">
        <f>IFERROR(INDEX(面试清单!H:H,MATCH(2088,面试清单!P:P,0)),"")</f>
        <v>线下</v>
      </c>
      <c r="I2089" s="13" t="s">
        <v>29</v>
      </c>
      <c r="J2089" s="14">
        <f ca="1" t="shared" si="97"/>
        <v>18</v>
      </c>
      <c r="K2089" s="14">
        <f ca="1" t="shared" si="98"/>
        <v>16</v>
      </c>
    </row>
    <row r="2090" ht="18" spans="1:11">
      <c r="A2090" s="10">
        <f t="shared" si="96"/>
        <v>2089</v>
      </c>
      <c r="B2090" s="11" t="s">
        <v>6010</v>
      </c>
      <c r="C2090" s="125" t="str">
        <f>IFERROR(INDEX(面试清单!D:D,MATCH(2089,面试清单!P:P,0)),"")</f>
        <v>0222</v>
      </c>
      <c r="D2090" s="11" t="s">
        <v>43</v>
      </c>
      <c r="E2090" s="11" t="s">
        <v>62</v>
      </c>
      <c r="F2090" s="11" t="s">
        <v>307</v>
      </c>
      <c r="G2090" s="15">
        <v>46171</v>
      </c>
      <c r="H2090" s="10" t="str">
        <f>IFERROR(INDEX(面试清单!H:H,MATCH(2089,面试清单!P:P,0)),"")</f>
        <v>线下</v>
      </c>
      <c r="I2090" s="13" t="s">
        <v>29</v>
      </c>
      <c r="J2090" s="10">
        <f ca="1" t="shared" si="97"/>
        <v>18</v>
      </c>
      <c r="K2090" s="10">
        <f ca="1" t="shared" si="98"/>
        <v>16</v>
      </c>
    </row>
    <row r="2091" ht="18" spans="1:11">
      <c r="A2091" s="14">
        <f t="shared" si="96"/>
        <v>2090</v>
      </c>
      <c r="B2091" s="11" t="s">
        <v>6011</v>
      </c>
      <c r="C2091" s="14" t="str">
        <f>IFERROR(INDEX(面试清单!D:D,MATCH(2090,面试清单!P:P,0)),"")</f>
        <v/>
      </c>
      <c r="D2091" s="11" t="s">
        <v>43</v>
      </c>
      <c r="E2091" s="11" t="s">
        <v>62</v>
      </c>
      <c r="F2091" s="11" t="s">
        <v>307</v>
      </c>
      <c r="G2091" s="15">
        <v>46171</v>
      </c>
      <c r="H2091" s="14" t="str">
        <f>IFERROR(INDEX(面试清单!H:H,MATCH(2090,面试清单!P:P,0)),"")</f>
        <v/>
      </c>
      <c r="I2091" s="13" t="s">
        <v>29</v>
      </c>
      <c r="J2091" s="14">
        <f ca="1" t="shared" si="97"/>
        <v>18</v>
      </c>
      <c r="K2091" s="14">
        <f ca="1" t="shared" si="98"/>
        <v>16</v>
      </c>
    </row>
    <row r="2092" ht="18" spans="1:11">
      <c r="A2092" s="10">
        <f t="shared" si="96"/>
        <v>2091</v>
      </c>
      <c r="B2092" s="11" t="s">
        <v>6012</v>
      </c>
      <c r="C2092" s="10" t="str">
        <f>IFERROR(INDEX(面试清单!D:D,MATCH(2091,面试清单!P:P,0)),"")</f>
        <v/>
      </c>
      <c r="D2092" s="11" t="s">
        <v>42</v>
      </c>
      <c r="E2092" s="11" t="s">
        <v>63</v>
      </c>
      <c r="F2092" s="11" t="s">
        <v>307</v>
      </c>
      <c r="G2092" s="15">
        <v>46171</v>
      </c>
      <c r="H2092" s="10" t="str">
        <f>IFERROR(INDEX(面试清单!H:H,MATCH(2091,面试清单!P:P,0)),"")</f>
        <v/>
      </c>
      <c r="I2092" s="13" t="s">
        <v>29</v>
      </c>
      <c r="J2092" s="10">
        <f ca="1" t="shared" si="97"/>
        <v>18</v>
      </c>
      <c r="K2092" s="10">
        <f ca="1" t="shared" si="98"/>
        <v>16</v>
      </c>
    </row>
    <row r="2093" ht="18" spans="1:11">
      <c r="A2093" s="14">
        <f t="shared" si="96"/>
        <v>2092</v>
      </c>
      <c r="B2093" s="11" t="s">
        <v>6013</v>
      </c>
      <c r="C2093" s="14" t="str">
        <f>IFERROR(INDEX(面试清单!D:D,MATCH(2092,面试清单!P:P,0)),"")</f>
        <v/>
      </c>
      <c r="D2093" s="11" t="s">
        <v>43</v>
      </c>
      <c r="E2093" s="11" t="s">
        <v>63</v>
      </c>
      <c r="F2093" s="11" t="s">
        <v>124</v>
      </c>
      <c r="G2093" s="15">
        <v>46171</v>
      </c>
      <c r="H2093" s="14" t="str">
        <f>IFERROR(INDEX(面试清单!H:H,MATCH(2092,面试清单!P:P,0)),"")</f>
        <v/>
      </c>
      <c r="I2093" s="13" t="s">
        <v>29</v>
      </c>
      <c r="J2093" s="14">
        <f ca="1" t="shared" si="97"/>
        <v>18</v>
      </c>
      <c r="K2093" s="14">
        <f ca="1" t="shared" si="98"/>
        <v>16</v>
      </c>
    </row>
    <row r="2094" ht="18" spans="1:11">
      <c r="A2094" s="10">
        <f t="shared" si="96"/>
        <v>2093</v>
      </c>
      <c r="B2094" s="11" t="s">
        <v>6014</v>
      </c>
      <c r="C2094" s="125" t="str">
        <f>IFERROR(INDEX(面试清单!D:D,MATCH(2093,面试清单!P:P,0)),"")</f>
        <v>0214</v>
      </c>
      <c r="D2094" s="11" t="s">
        <v>42</v>
      </c>
      <c r="E2094" s="11" t="s">
        <v>62</v>
      </c>
      <c r="F2094" s="11" t="s">
        <v>103</v>
      </c>
      <c r="G2094" s="15">
        <v>46171</v>
      </c>
      <c r="H2094" s="10" t="str">
        <f>IFERROR(INDEX(面试清单!H:H,MATCH(2093,面试清单!P:P,0)),"")</f>
        <v>线下</v>
      </c>
      <c r="I2094" s="13" t="s">
        <v>29</v>
      </c>
      <c r="J2094" s="10">
        <f ca="1" t="shared" si="97"/>
        <v>18</v>
      </c>
      <c r="K2094" s="10">
        <f ca="1" t="shared" si="98"/>
        <v>16</v>
      </c>
    </row>
    <row r="2095" ht="18" spans="1:11">
      <c r="A2095" s="14">
        <f t="shared" si="96"/>
        <v>2094</v>
      </c>
      <c r="B2095" s="11" t="s">
        <v>6015</v>
      </c>
      <c r="C2095" s="14" t="str">
        <f>IFERROR(INDEX(面试清单!D:D,MATCH(2094,面试清单!P:P,0)),"")</f>
        <v/>
      </c>
      <c r="D2095" s="11" t="s">
        <v>43</v>
      </c>
      <c r="E2095" s="11" t="s">
        <v>62</v>
      </c>
      <c r="F2095" s="11" t="s">
        <v>233</v>
      </c>
      <c r="G2095" s="15">
        <v>46171</v>
      </c>
      <c r="H2095" s="14" t="str">
        <f>IFERROR(INDEX(面试清单!H:H,MATCH(2094,面试清单!P:P,0)),"")</f>
        <v/>
      </c>
      <c r="I2095" s="13" t="s">
        <v>29</v>
      </c>
      <c r="J2095" s="14">
        <f ca="1" t="shared" si="97"/>
        <v>18</v>
      </c>
      <c r="K2095" s="14">
        <f ca="1" t="shared" si="98"/>
        <v>16</v>
      </c>
    </row>
    <row r="2096" ht="18" spans="1:11">
      <c r="A2096" s="10">
        <f t="shared" si="96"/>
        <v>2095</v>
      </c>
      <c r="B2096" s="11" t="s">
        <v>6016</v>
      </c>
      <c r="C2096" s="10" t="str">
        <f>IFERROR(INDEX(面试清单!D:D,MATCH(2095,面试清单!P:P,0)),"")</f>
        <v/>
      </c>
      <c r="D2096" s="11" t="s">
        <v>42</v>
      </c>
      <c r="E2096" s="11" t="s">
        <v>62</v>
      </c>
      <c r="F2096" s="11" t="s">
        <v>233</v>
      </c>
      <c r="G2096" s="15">
        <v>46171</v>
      </c>
      <c r="H2096" s="10" t="str">
        <f>IFERROR(INDEX(面试清单!H:H,MATCH(2095,面试清单!P:P,0)),"")</f>
        <v/>
      </c>
      <c r="I2096" s="13" t="s">
        <v>29</v>
      </c>
      <c r="J2096" s="10">
        <f ca="1" t="shared" si="97"/>
        <v>18</v>
      </c>
      <c r="K2096" s="10">
        <f ca="1" t="shared" si="98"/>
        <v>16</v>
      </c>
    </row>
    <row r="2097" ht="18" spans="1:11">
      <c r="A2097" s="14">
        <f t="shared" si="96"/>
        <v>2096</v>
      </c>
      <c r="B2097" s="11" t="s">
        <v>6017</v>
      </c>
      <c r="C2097" s="124" t="str">
        <f>IFERROR(INDEX(面试清单!D:D,MATCH(2096,面试清单!P:P,0)),"")</f>
        <v>0220</v>
      </c>
      <c r="D2097" s="11" t="s">
        <v>42</v>
      </c>
      <c r="E2097" s="11" t="s">
        <v>63</v>
      </c>
      <c r="F2097" s="11" t="s">
        <v>148</v>
      </c>
      <c r="G2097" s="15">
        <v>46171</v>
      </c>
      <c r="H2097" s="14" t="str">
        <f>IFERROR(INDEX(面试清单!H:H,MATCH(2096,面试清单!P:P,0)),"")</f>
        <v>线下</v>
      </c>
      <c r="I2097" s="13" t="s">
        <v>29</v>
      </c>
      <c r="J2097" s="14">
        <f ca="1" t="shared" si="97"/>
        <v>18</v>
      </c>
      <c r="K2097" s="14">
        <f ca="1" t="shared" si="98"/>
        <v>16</v>
      </c>
    </row>
    <row r="2098" ht="18" spans="1:11">
      <c r="A2098" s="10">
        <f t="shared" si="96"/>
        <v>2097</v>
      </c>
      <c r="B2098" s="11" t="s">
        <v>6018</v>
      </c>
      <c r="C2098" s="125" t="str">
        <f>IFERROR(INDEX(面试清单!D:D,MATCH(2097,面试清单!P:P,0)),"")</f>
        <v>0221</v>
      </c>
      <c r="D2098" s="11" t="s">
        <v>42</v>
      </c>
      <c r="E2098" s="11" t="s">
        <v>62</v>
      </c>
      <c r="F2098" s="11" t="s">
        <v>233</v>
      </c>
      <c r="G2098" s="15">
        <v>46171</v>
      </c>
      <c r="H2098" s="10" t="str">
        <f>IFERROR(INDEX(面试清单!H:H,MATCH(2097,面试清单!P:P,0)),"")</f>
        <v>线下</v>
      </c>
      <c r="I2098" s="13" t="s">
        <v>29</v>
      </c>
      <c r="J2098" s="10">
        <f ca="1" t="shared" si="97"/>
        <v>18</v>
      </c>
      <c r="K2098" s="10">
        <f ca="1" t="shared" si="98"/>
        <v>16</v>
      </c>
    </row>
    <row r="2099" ht="18" spans="1:11">
      <c r="A2099" s="14">
        <f t="shared" si="96"/>
        <v>2098</v>
      </c>
      <c r="B2099" s="11" t="s">
        <v>6019</v>
      </c>
      <c r="C2099" s="14" t="str">
        <f>IFERROR(INDEX(面试清单!D:D,MATCH(2098,面试清单!P:P,0)),"")</f>
        <v/>
      </c>
      <c r="D2099" s="11" t="s">
        <v>42</v>
      </c>
      <c r="E2099" s="11" t="s">
        <v>63</v>
      </c>
      <c r="F2099" s="11" t="s">
        <v>509</v>
      </c>
      <c r="G2099" s="15">
        <v>46171</v>
      </c>
      <c r="H2099" s="14" t="str">
        <f>IFERROR(INDEX(面试清单!H:H,MATCH(2098,面试清单!P:P,0)),"")</f>
        <v/>
      </c>
      <c r="I2099" s="13" t="s">
        <v>29</v>
      </c>
      <c r="J2099" s="14">
        <f ca="1" t="shared" si="97"/>
        <v>18</v>
      </c>
      <c r="K2099" s="14">
        <f ca="1" t="shared" si="98"/>
        <v>16</v>
      </c>
    </row>
    <row r="2100" ht="18" spans="1:11">
      <c r="A2100" s="10">
        <f t="shared" si="96"/>
        <v>2099</v>
      </c>
      <c r="B2100" s="11" t="s">
        <v>6020</v>
      </c>
      <c r="C2100" s="10" t="str">
        <f>IFERROR(INDEX(面试清单!D:D,MATCH(2099,面试清单!P:P,0)),"")</f>
        <v/>
      </c>
      <c r="D2100" s="11" t="s">
        <v>42</v>
      </c>
      <c r="E2100" s="11" t="s">
        <v>63</v>
      </c>
      <c r="F2100" s="11" t="s">
        <v>509</v>
      </c>
      <c r="G2100" s="15">
        <v>46171</v>
      </c>
      <c r="H2100" s="10" t="str">
        <f>IFERROR(INDEX(面试清单!H:H,MATCH(2099,面试清单!P:P,0)),"")</f>
        <v/>
      </c>
      <c r="I2100" s="13" t="s">
        <v>29</v>
      </c>
      <c r="J2100" s="10">
        <f ca="1" t="shared" si="97"/>
        <v>18</v>
      </c>
      <c r="K2100" s="10">
        <f ca="1" t="shared" si="98"/>
        <v>16</v>
      </c>
    </row>
    <row r="2101" ht="18" spans="1:11">
      <c r="A2101" s="14">
        <f t="shared" si="96"/>
        <v>2100</v>
      </c>
      <c r="B2101" s="11" t="s">
        <v>6021</v>
      </c>
      <c r="C2101" s="14" t="str">
        <f>IFERROR(INDEX(面试清单!D:D,MATCH(2100,面试清单!P:P,0)),"")</f>
        <v/>
      </c>
      <c r="D2101" s="11" t="s">
        <v>43</v>
      </c>
      <c r="E2101" s="11" t="s">
        <v>62</v>
      </c>
      <c r="F2101" s="11" t="s">
        <v>509</v>
      </c>
      <c r="G2101" s="15">
        <v>46171</v>
      </c>
      <c r="H2101" s="14" t="str">
        <f>IFERROR(INDEX(面试清单!H:H,MATCH(2100,面试清单!P:P,0)),"")</f>
        <v/>
      </c>
      <c r="I2101" s="13" t="s">
        <v>29</v>
      </c>
      <c r="J2101" s="14">
        <f ca="1" t="shared" si="97"/>
        <v>18</v>
      </c>
      <c r="K2101" s="14">
        <f ca="1" t="shared" si="98"/>
        <v>16</v>
      </c>
    </row>
    <row r="2102" ht="18" spans="1:11">
      <c r="A2102" s="10">
        <f t="shared" si="96"/>
        <v>2101</v>
      </c>
      <c r="B2102" s="11" t="s">
        <v>6022</v>
      </c>
      <c r="C2102" s="10" t="str">
        <f>IFERROR(INDEX(面试清单!D:D,MATCH(2101,面试清单!P:P,0)),"")</f>
        <v/>
      </c>
      <c r="D2102" s="11" t="s">
        <v>43</v>
      </c>
      <c r="E2102" s="11" t="s">
        <v>62</v>
      </c>
      <c r="F2102" s="11" t="s">
        <v>1426</v>
      </c>
      <c r="G2102" s="15">
        <v>46171</v>
      </c>
      <c r="H2102" s="10" t="str">
        <f>IFERROR(INDEX(面试清单!H:H,MATCH(2101,面试清单!P:P,0)),"")</f>
        <v/>
      </c>
      <c r="I2102" s="13" t="s">
        <v>29</v>
      </c>
      <c r="J2102" s="10">
        <f ca="1" t="shared" si="97"/>
        <v>18</v>
      </c>
      <c r="K2102" s="10">
        <f ca="1" t="shared" si="98"/>
        <v>16</v>
      </c>
    </row>
    <row r="2103" ht="18" spans="1:11">
      <c r="A2103" s="14">
        <f t="shared" si="96"/>
        <v>2102</v>
      </c>
      <c r="B2103" s="11" t="s">
        <v>6023</v>
      </c>
      <c r="C2103" s="14" t="str">
        <f>IFERROR(INDEX(面试清单!D:D,MATCH(2102,面试清单!P:P,0)),"")</f>
        <v/>
      </c>
      <c r="D2103" s="11" t="s">
        <v>43</v>
      </c>
      <c r="E2103" s="11" t="s">
        <v>62</v>
      </c>
      <c r="F2103" s="11" t="s">
        <v>173</v>
      </c>
      <c r="G2103" s="15">
        <v>46171</v>
      </c>
      <c r="H2103" s="14" t="str">
        <f>IFERROR(INDEX(面试清单!H:H,MATCH(2102,面试清单!P:P,0)),"")</f>
        <v/>
      </c>
      <c r="I2103" s="13" t="s">
        <v>29</v>
      </c>
      <c r="J2103" s="14">
        <f ca="1" t="shared" si="97"/>
        <v>18</v>
      </c>
      <c r="K2103" s="14">
        <f ca="1" t="shared" si="98"/>
        <v>16</v>
      </c>
    </row>
    <row r="2104" ht="18" spans="1:11">
      <c r="A2104" s="10">
        <f t="shared" si="96"/>
        <v>2103</v>
      </c>
      <c r="B2104" s="11" t="s">
        <v>6024</v>
      </c>
      <c r="C2104" s="125" t="str">
        <f>IFERROR(INDEX(面试清单!D:D,MATCH(2103,面试清单!P:P,0)),"")</f>
        <v>0214</v>
      </c>
      <c r="D2104" s="11" t="s">
        <v>43</v>
      </c>
      <c r="E2104" s="11" t="s">
        <v>63</v>
      </c>
      <c r="F2104" s="11" t="s">
        <v>173</v>
      </c>
      <c r="G2104" s="15">
        <v>46171</v>
      </c>
      <c r="H2104" s="10" t="str">
        <f>IFERROR(INDEX(面试清单!H:H,MATCH(2103,面试清单!P:P,0)),"")</f>
        <v>线上</v>
      </c>
      <c r="I2104" s="13" t="s">
        <v>29</v>
      </c>
      <c r="J2104" s="10">
        <f ca="1" t="shared" si="97"/>
        <v>18</v>
      </c>
      <c r="K2104" s="10">
        <f ca="1" t="shared" si="98"/>
        <v>16</v>
      </c>
    </row>
    <row r="2105" ht="18" spans="1:11">
      <c r="A2105" s="14">
        <f t="shared" si="96"/>
        <v>2104</v>
      </c>
      <c r="B2105" s="11" t="s">
        <v>6025</v>
      </c>
      <c r="C2105" s="14" t="str">
        <f>IFERROR(INDEX(面试清单!D:D,MATCH(2104,面试清单!P:P,0)),"")</f>
        <v/>
      </c>
      <c r="D2105" s="11" t="s">
        <v>43</v>
      </c>
      <c r="E2105" s="11" t="s">
        <v>63</v>
      </c>
      <c r="F2105" s="11" t="s">
        <v>179</v>
      </c>
      <c r="G2105" s="15">
        <v>46171</v>
      </c>
      <c r="H2105" s="14" t="str">
        <f>IFERROR(INDEX(面试清单!H:H,MATCH(2104,面试清单!P:P,0)),"")</f>
        <v/>
      </c>
      <c r="I2105" s="13" t="s">
        <v>29</v>
      </c>
      <c r="J2105" s="14">
        <f ca="1" t="shared" si="97"/>
        <v>18</v>
      </c>
      <c r="K2105" s="14">
        <f ca="1" t="shared" si="98"/>
        <v>16</v>
      </c>
    </row>
    <row r="2106" ht="18" spans="1:11">
      <c r="A2106" s="10">
        <f t="shared" si="96"/>
        <v>2105</v>
      </c>
      <c r="B2106" s="11" t="s">
        <v>2930</v>
      </c>
      <c r="C2106" s="10" t="str">
        <f>IFERROR(INDEX(面试清单!D:D,MATCH(2105,面试清单!P:P,0)),"")</f>
        <v/>
      </c>
      <c r="D2106" s="11" t="s">
        <v>42</v>
      </c>
      <c r="E2106" s="11" t="s">
        <v>62</v>
      </c>
      <c r="F2106" s="11" t="s">
        <v>246</v>
      </c>
      <c r="G2106" s="15">
        <v>46171</v>
      </c>
      <c r="H2106" s="10" t="str">
        <f>IFERROR(INDEX(面试清单!H:H,MATCH(2105,面试清单!P:P,0)),"")</f>
        <v/>
      </c>
      <c r="I2106" s="13" t="s">
        <v>29</v>
      </c>
      <c r="J2106" s="10">
        <f ca="1" t="shared" si="97"/>
        <v>18</v>
      </c>
      <c r="K2106" s="10">
        <f ca="1" t="shared" si="98"/>
        <v>16</v>
      </c>
    </row>
    <row r="2107" ht="18" spans="1:11">
      <c r="A2107" s="14">
        <f t="shared" si="96"/>
        <v>2106</v>
      </c>
      <c r="B2107" s="11" t="s">
        <v>6026</v>
      </c>
      <c r="C2107" s="14" t="str">
        <f>IFERROR(INDEX(面试清单!D:D,MATCH(2106,面试清单!P:P,0)),"")</f>
        <v/>
      </c>
      <c r="D2107" s="11" t="s">
        <v>43</v>
      </c>
      <c r="E2107" s="11" t="s">
        <v>62</v>
      </c>
      <c r="F2107" s="11" t="s">
        <v>179</v>
      </c>
      <c r="G2107" s="15">
        <v>46171</v>
      </c>
      <c r="H2107" s="14" t="str">
        <f>IFERROR(INDEX(面试清单!H:H,MATCH(2106,面试清单!P:P,0)),"")</f>
        <v/>
      </c>
      <c r="I2107" s="13" t="s">
        <v>29</v>
      </c>
      <c r="J2107" s="14">
        <f ca="1" t="shared" si="97"/>
        <v>18</v>
      </c>
      <c r="K2107" s="14">
        <f ca="1" t="shared" si="98"/>
        <v>16</v>
      </c>
    </row>
    <row r="2108" ht="18" spans="1:11">
      <c r="A2108" s="10">
        <f t="shared" si="96"/>
        <v>2107</v>
      </c>
      <c r="B2108" s="11" t="s">
        <v>6027</v>
      </c>
      <c r="C2108" s="125" t="str">
        <f>IFERROR(INDEX(面试清单!D:D,MATCH(2107,面试清单!P:P,0)),"")</f>
        <v>0221</v>
      </c>
      <c r="D2108" s="11" t="s">
        <v>43</v>
      </c>
      <c r="E2108" s="11" t="s">
        <v>63</v>
      </c>
      <c r="F2108" s="11" t="s">
        <v>954</v>
      </c>
      <c r="G2108" s="15">
        <v>46171</v>
      </c>
      <c r="H2108" s="10" t="str">
        <f>IFERROR(INDEX(面试清单!H:H,MATCH(2107,面试清单!P:P,0)),"")</f>
        <v>线上</v>
      </c>
      <c r="I2108" s="13" t="s">
        <v>29</v>
      </c>
      <c r="J2108" s="10">
        <f ca="1" t="shared" si="97"/>
        <v>18</v>
      </c>
      <c r="K2108" s="10">
        <f ca="1" t="shared" si="98"/>
        <v>16</v>
      </c>
    </row>
    <row r="2109" ht="18" spans="1:11">
      <c r="A2109" s="14">
        <f t="shared" si="96"/>
        <v>2108</v>
      </c>
      <c r="B2109" s="11" t="s">
        <v>6028</v>
      </c>
      <c r="C2109" s="14" t="str">
        <f>IFERROR(INDEX(面试清单!D:D,MATCH(2108,面试清单!P:P,0)),"")</f>
        <v/>
      </c>
      <c r="D2109" s="11" t="s">
        <v>43</v>
      </c>
      <c r="E2109" s="11" t="s">
        <v>62</v>
      </c>
      <c r="F2109" s="11" t="s">
        <v>233</v>
      </c>
      <c r="G2109" s="15">
        <v>46171</v>
      </c>
      <c r="H2109" s="14" t="str">
        <f>IFERROR(INDEX(面试清单!H:H,MATCH(2108,面试清单!P:P,0)),"")</f>
        <v/>
      </c>
      <c r="I2109" s="13" t="s">
        <v>29</v>
      </c>
      <c r="J2109" s="14">
        <f ca="1" t="shared" si="97"/>
        <v>18</v>
      </c>
      <c r="K2109" s="14">
        <f ca="1" t="shared" si="98"/>
        <v>16</v>
      </c>
    </row>
    <row r="2110" ht="18" spans="1:11">
      <c r="A2110" s="10">
        <f t="shared" si="96"/>
        <v>2109</v>
      </c>
      <c r="B2110" s="11" t="s">
        <v>6029</v>
      </c>
      <c r="C2110" s="10" t="str">
        <f>IFERROR(INDEX(面试清单!D:D,MATCH(2109,面试清单!P:P,0)),"")</f>
        <v/>
      </c>
      <c r="D2110" s="11" t="s">
        <v>42</v>
      </c>
      <c r="E2110" s="11" t="s">
        <v>63</v>
      </c>
      <c r="F2110" s="11" t="s">
        <v>129</v>
      </c>
      <c r="G2110" s="15">
        <v>46171</v>
      </c>
      <c r="H2110" s="10" t="str">
        <f>IFERROR(INDEX(面试清单!H:H,MATCH(2109,面试清单!P:P,0)),"")</f>
        <v/>
      </c>
      <c r="I2110" s="13" t="s">
        <v>29</v>
      </c>
      <c r="J2110" s="10">
        <f ca="1" t="shared" si="97"/>
        <v>18</v>
      </c>
      <c r="K2110" s="10">
        <f ca="1" t="shared" si="98"/>
        <v>16</v>
      </c>
    </row>
    <row r="2111" ht="18" spans="1:11">
      <c r="A2111" s="14">
        <f t="shared" si="96"/>
        <v>2110</v>
      </c>
      <c r="B2111" s="11" t="s">
        <v>6030</v>
      </c>
      <c r="C2111" s="14" t="str">
        <f>IFERROR(INDEX(面试清单!D:D,MATCH(2110,面试清单!P:P,0)),"")</f>
        <v/>
      </c>
      <c r="D2111" s="11" t="s">
        <v>42</v>
      </c>
      <c r="E2111" s="11" t="s">
        <v>63</v>
      </c>
      <c r="F2111" s="11" t="s">
        <v>246</v>
      </c>
      <c r="G2111" s="15">
        <v>46171</v>
      </c>
      <c r="H2111" s="14" t="str">
        <f>IFERROR(INDEX(面试清单!H:H,MATCH(2110,面试清单!P:P,0)),"")</f>
        <v/>
      </c>
      <c r="I2111" s="13" t="s">
        <v>29</v>
      </c>
      <c r="J2111" s="14">
        <f ca="1" t="shared" si="97"/>
        <v>18</v>
      </c>
      <c r="K2111" s="14">
        <f ca="1" t="shared" si="98"/>
        <v>16</v>
      </c>
    </row>
    <row r="2112" ht="18" spans="1:11">
      <c r="A2112" s="10">
        <f t="shared" si="96"/>
        <v>2111</v>
      </c>
      <c r="B2112" s="11" t="s">
        <v>6031</v>
      </c>
      <c r="C2112" s="10" t="str">
        <f>IFERROR(INDEX(面试清单!D:D,MATCH(2111,面试清单!P:P,0)),"")</f>
        <v/>
      </c>
      <c r="D2112" s="11" t="s">
        <v>74</v>
      </c>
      <c r="E2112" s="11" t="s">
        <v>64</v>
      </c>
      <c r="F2112" s="11" t="s">
        <v>124</v>
      </c>
      <c r="G2112" s="15">
        <v>46171</v>
      </c>
      <c r="H2112" s="10" t="str">
        <f>IFERROR(INDEX(面试清单!H:H,MATCH(2111,面试清单!P:P,0)),"")</f>
        <v/>
      </c>
      <c r="I2112" s="13" t="s">
        <v>29</v>
      </c>
      <c r="J2112" s="10">
        <f ca="1" t="shared" si="97"/>
        <v>18</v>
      </c>
      <c r="K2112" s="10">
        <f ca="1" t="shared" si="98"/>
        <v>16</v>
      </c>
    </row>
    <row r="2113" ht="18" spans="1:11">
      <c r="A2113" s="14">
        <f t="shared" si="96"/>
        <v>2112</v>
      </c>
      <c r="B2113" s="11" t="s">
        <v>6032</v>
      </c>
      <c r="C2113" s="14" t="str">
        <f>IFERROR(INDEX(面试清单!D:D,MATCH(2112,面试清单!P:P,0)),"")</f>
        <v/>
      </c>
      <c r="D2113" s="11" t="s">
        <v>74</v>
      </c>
      <c r="E2113" s="11" t="s">
        <v>64</v>
      </c>
      <c r="F2113" s="11" t="s">
        <v>124</v>
      </c>
      <c r="G2113" s="15">
        <v>46171</v>
      </c>
      <c r="H2113" s="14" t="str">
        <f>IFERROR(INDEX(面试清单!H:H,MATCH(2112,面试清单!P:P,0)),"")</f>
        <v/>
      </c>
      <c r="I2113" s="13" t="s">
        <v>29</v>
      </c>
      <c r="J2113" s="14">
        <f ca="1" t="shared" si="97"/>
        <v>18</v>
      </c>
      <c r="K2113" s="14">
        <f ca="1" t="shared" si="98"/>
        <v>16</v>
      </c>
    </row>
    <row r="2114" ht="18" spans="1:11">
      <c r="A2114" s="10">
        <f t="shared" ref="A2114:A2177" si="99">IF(B2114&lt;&gt;"",ROW()-1,"")</f>
        <v>2113</v>
      </c>
      <c r="B2114" s="11" t="s">
        <v>6033</v>
      </c>
      <c r="C2114" s="10" t="str">
        <f>IFERROR(INDEX(面试清单!D:D,MATCH(2113,面试清单!P:P,0)),"")</f>
        <v/>
      </c>
      <c r="D2114" s="11" t="s">
        <v>74</v>
      </c>
      <c r="E2114" s="11" t="s">
        <v>64</v>
      </c>
      <c r="F2114" s="11" t="s">
        <v>124</v>
      </c>
      <c r="G2114" s="15">
        <v>46171</v>
      </c>
      <c r="H2114" s="10" t="str">
        <f>IFERROR(INDEX(面试清单!H:H,MATCH(2113,面试清单!P:P,0)),"")</f>
        <v/>
      </c>
      <c r="I2114" s="13" t="s">
        <v>29</v>
      </c>
      <c r="J2114" s="10">
        <f ca="1" t="shared" ref="J2114:J2177" si="100">IF(G2114&lt;&gt;"",TODAY()-G2114,"")</f>
        <v>18</v>
      </c>
      <c r="K2114" s="10">
        <f ca="1" t="shared" ref="K2114:K2177" si="101">IF(G2114&lt;&gt;"",MAX(0,MIN(TODAY(),EOMONTH(TODAY(),0))-MAX(G2114,EOMONTH(TODAY(),-1)+1)+1),"")</f>
        <v>16</v>
      </c>
    </row>
    <row r="2115" ht="18" spans="1:11">
      <c r="A2115" s="14">
        <f t="shared" si="99"/>
        <v>2114</v>
      </c>
      <c r="B2115" s="11" t="s">
        <v>6034</v>
      </c>
      <c r="C2115" s="14" t="str">
        <f>IFERROR(INDEX(面试清单!D:D,MATCH(2114,面试清单!P:P,0)),"")</f>
        <v/>
      </c>
      <c r="D2115" s="11" t="s">
        <v>74</v>
      </c>
      <c r="E2115" s="11" t="s">
        <v>64</v>
      </c>
      <c r="F2115" s="11" t="s">
        <v>135</v>
      </c>
      <c r="G2115" s="15">
        <v>46171</v>
      </c>
      <c r="H2115" s="14" t="str">
        <f>IFERROR(INDEX(面试清单!H:H,MATCH(2114,面试清单!P:P,0)),"")</f>
        <v/>
      </c>
      <c r="I2115" s="13" t="s">
        <v>29</v>
      </c>
      <c r="J2115" s="14">
        <f ca="1" t="shared" si="100"/>
        <v>18</v>
      </c>
      <c r="K2115" s="14">
        <f ca="1" t="shared" si="101"/>
        <v>16</v>
      </c>
    </row>
    <row r="2116" ht="18" spans="1:11">
      <c r="A2116" s="10">
        <f t="shared" si="99"/>
        <v>2115</v>
      </c>
      <c r="B2116" s="11" t="s">
        <v>6035</v>
      </c>
      <c r="C2116" s="10" t="str">
        <f>IFERROR(INDEX(面试清单!D:D,MATCH(2115,面试清单!P:P,0)),"")</f>
        <v/>
      </c>
      <c r="D2116" s="11" t="s">
        <v>74</v>
      </c>
      <c r="E2116" s="11" t="s">
        <v>64</v>
      </c>
      <c r="F2116" s="11" t="s">
        <v>179</v>
      </c>
      <c r="G2116" s="15">
        <v>46171</v>
      </c>
      <c r="H2116" s="10" t="str">
        <f>IFERROR(INDEX(面试清单!H:H,MATCH(2115,面试清单!P:P,0)),"")</f>
        <v/>
      </c>
      <c r="I2116" s="13" t="s">
        <v>29</v>
      </c>
      <c r="J2116" s="10">
        <f ca="1" t="shared" si="100"/>
        <v>18</v>
      </c>
      <c r="K2116" s="10">
        <f ca="1" t="shared" si="101"/>
        <v>16</v>
      </c>
    </row>
    <row r="2117" ht="18" spans="1:11">
      <c r="A2117" s="14">
        <f t="shared" si="99"/>
        <v>2116</v>
      </c>
      <c r="B2117" s="11" t="s">
        <v>6036</v>
      </c>
      <c r="C2117" s="14" t="str">
        <f>IFERROR(INDEX(面试清单!D:D,MATCH(2116,面试清单!P:P,0)),"")</f>
        <v/>
      </c>
      <c r="D2117" s="11" t="s">
        <v>74</v>
      </c>
      <c r="E2117" s="11" t="s">
        <v>64</v>
      </c>
      <c r="F2117" s="11" t="s">
        <v>179</v>
      </c>
      <c r="G2117" s="15">
        <v>46171</v>
      </c>
      <c r="H2117" s="14" t="str">
        <f>IFERROR(INDEX(面试清单!H:H,MATCH(2116,面试清单!P:P,0)),"")</f>
        <v/>
      </c>
      <c r="I2117" s="13" t="s">
        <v>29</v>
      </c>
      <c r="J2117" s="14">
        <f ca="1" t="shared" si="100"/>
        <v>18</v>
      </c>
      <c r="K2117" s="14">
        <f ca="1" t="shared" si="101"/>
        <v>16</v>
      </c>
    </row>
    <row r="2118" ht="18" spans="1:11">
      <c r="A2118" s="10">
        <f t="shared" si="99"/>
        <v>2117</v>
      </c>
      <c r="B2118" s="11" t="s">
        <v>6037</v>
      </c>
      <c r="C2118" s="125" t="str">
        <f>IFERROR(INDEX(面试清单!D:D,MATCH(2117,面试清单!P:P,0)),"")</f>
        <v>0222</v>
      </c>
      <c r="D2118" s="11" t="s">
        <v>74</v>
      </c>
      <c r="E2118" s="11" t="s">
        <v>64</v>
      </c>
      <c r="F2118" s="11" t="s">
        <v>179</v>
      </c>
      <c r="G2118" s="15">
        <v>46171</v>
      </c>
      <c r="H2118" s="10" t="str">
        <f>IFERROR(INDEX(面试清单!H:H,MATCH(2117,面试清单!P:P,0)),"")</f>
        <v>线上</v>
      </c>
      <c r="I2118" s="13" t="s">
        <v>29</v>
      </c>
      <c r="J2118" s="10">
        <f ca="1" t="shared" si="100"/>
        <v>18</v>
      </c>
      <c r="K2118" s="10">
        <f ca="1" t="shared" si="101"/>
        <v>16</v>
      </c>
    </row>
    <row r="2119" ht="18" spans="1:11">
      <c r="A2119" s="14">
        <f t="shared" si="99"/>
        <v>2118</v>
      </c>
      <c r="B2119" s="11" t="s">
        <v>6038</v>
      </c>
      <c r="C2119" s="14" t="str">
        <f>IFERROR(INDEX(面试清单!D:D,MATCH(2118,面试清单!P:P,0)),"")</f>
        <v/>
      </c>
      <c r="D2119" s="11" t="s">
        <v>74</v>
      </c>
      <c r="E2119" s="11" t="s">
        <v>64</v>
      </c>
      <c r="F2119" s="11" t="s">
        <v>179</v>
      </c>
      <c r="G2119" s="15">
        <v>46171</v>
      </c>
      <c r="H2119" s="14" t="str">
        <f>IFERROR(INDEX(面试清单!H:H,MATCH(2118,面试清单!P:P,0)),"")</f>
        <v/>
      </c>
      <c r="I2119" s="13" t="s">
        <v>29</v>
      </c>
      <c r="J2119" s="14">
        <f ca="1" t="shared" si="100"/>
        <v>18</v>
      </c>
      <c r="K2119" s="14">
        <f ca="1" t="shared" si="101"/>
        <v>16</v>
      </c>
    </row>
    <row r="2120" ht="18" spans="1:11">
      <c r="A2120" s="10">
        <f t="shared" si="99"/>
        <v>2119</v>
      </c>
      <c r="B2120" s="11" t="s">
        <v>6039</v>
      </c>
      <c r="C2120" s="125" t="str">
        <f>IFERROR(INDEX(面试清单!D:D,MATCH(2119,面试清单!P:P,0)),"")</f>
        <v>0209</v>
      </c>
      <c r="D2120" s="11" t="s">
        <v>74</v>
      </c>
      <c r="E2120" s="11" t="s">
        <v>64</v>
      </c>
      <c r="F2120" s="11" t="s">
        <v>179</v>
      </c>
      <c r="G2120" s="15">
        <v>46171</v>
      </c>
      <c r="H2120" s="10" t="str">
        <f>IFERROR(INDEX(面试清单!H:H,MATCH(2119,面试清单!P:P,0)),"")</f>
        <v>线上</v>
      </c>
      <c r="I2120" s="13" t="s">
        <v>29</v>
      </c>
      <c r="J2120" s="10">
        <f ca="1" t="shared" si="100"/>
        <v>18</v>
      </c>
      <c r="K2120" s="10">
        <f ca="1" t="shared" si="101"/>
        <v>16</v>
      </c>
    </row>
    <row r="2121" ht="18" spans="1:11">
      <c r="A2121" s="14">
        <f t="shared" si="99"/>
        <v>2120</v>
      </c>
      <c r="B2121" s="11" t="s">
        <v>6040</v>
      </c>
      <c r="C2121" s="14" t="str">
        <f>IFERROR(INDEX(面试清单!D:D,MATCH(2120,面试清单!P:P,0)),"")</f>
        <v/>
      </c>
      <c r="D2121" s="11" t="s">
        <v>74</v>
      </c>
      <c r="E2121" s="11" t="s">
        <v>64</v>
      </c>
      <c r="F2121" s="11" t="s">
        <v>179</v>
      </c>
      <c r="G2121" s="15">
        <v>46171</v>
      </c>
      <c r="H2121" s="14" t="str">
        <f>IFERROR(INDEX(面试清单!H:H,MATCH(2120,面试清单!P:P,0)),"")</f>
        <v/>
      </c>
      <c r="I2121" s="13" t="s">
        <v>29</v>
      </c>
      <c r="J2121" s="14">
        <f ca="1" t="shared" si="100"/>
        <v>18</v>
      </c>
      <c r="K2121" s="14">
        <f ca="1" t="shared" si="101"/>
        <v>16</v>
      </c>
    </row>
    <row r="2122" ht="18" spans="1:11">
      <c r="A2122" s="10">
        <f t="shared" si="99"/>
        <v>2121</v>
      </c>
      <c r="B2122" s="11" t="s">
        <v>6041</v>
      </c>
      <c r="C2122" s="10" t="str">
        <f>IFERROR(INDEX(面试清单!D:D,MATCH(2121,面试清单!P:P,0)),"")</f>
        <v/>
      </c>
      <c r="D2122" s="11" t="s">
        <v>74</v>
      </c>
      <c r="E2122" s="11" t="s">
        <v>64</v>
      </c>
      <c r="F2122" s="11" t="s">
        <v>179</v>
      </c>
      <c r="G2122" s="15">
        <v>46171</v>
      </c>
      <c r="H2122" s="10" t="str">
        <f>IFERROR(INDEX(面试清单!H:H,MATCH(2121,面试清单!P:P,0)),"")</f>
        <v/>
      </c>
      <c r="I2122" s="13" t="s">
        <v>29</v>
      </c>
      <c r="J2122" s="10">
        <f ca="1" t="shared" si="100"/>
        <v>18</v>
      </c>
      <c r="K2122" s="10">
        <f ca="1" t="shared" si="101"/>
        <v>16</v>
      </c>
    </row>
    <row r="2123" ht="18" spans="1:11">
      <c r="A2123" s="14">
        <f t="shared" si="99"/>
        <v>2122</v>
      </c>
      <c r="B2123" s="11" t="s">
        <v>6042</v>
      </c>
      <c r="C2123" s="14" t="str">
        <f>IFERROR(INDEX(面试清单!D:D,MATCH(2122,面试清单!P:P,0)),"")</f>
        <v/>
      </c>
      <c r="D2123" s="11" t="s">
        <v>74</v>
      </c>
      <c r="E2123" s="11" t="s">
        <v>64</v>
      </c>
      <c r="F2123" s="11" t="s">
        <v>179</v>
      </c>
      <c r="G2123" s="15">
        <v>46171</v>
      </c>
      <c r="H2123" s="14" t="str">
        <f>IFERROR(INDEX(面试清单!H:H,MATCH(2122,面试清单!P:P,0)),"")</f>
        <v/>
      </c>
      <c r="I2123" s="13" t="s">
        <v>29</v>
      </c>
      <c r="J2123" s="14">
        <f ca="1" t="shared" si="100"/>
        <v>18</v>
      </c>
      <c r="K2123" s="14">
        <f ca="1" t="shared" si="101"/>
        <v>16</v>
      </c>
    </row>
    <row r="2124" ht="18" spans="1:11">
      <c r="A2124" s="10">
        <f t="shared" si="99"/>
        <v>2123</v>
      </c>
      <c r="B2124" s="11" t="s">
        <v>6043</v>
      </c>
      <c r="C2124" s="10" t="str">
        <f>IFERROR(INDEX(面试清单!D:D,MATCH(2123,面试清单!P:P,0)),"")</f>
        <v/>
      </c>
      <c r="D2124" s="11" t="s">
        <v>42</v>
      </c>
      <c r="E2124" s="11" t="s">
        <v>62</v>
      </c>
      <c r="F2124" s="11" t="s">
        <v>233</v>
      </c>
      <c r="G2124" s="15">
        <v>46171</v>
      </c>
      <c r="H2124" s="10" t="str">
        <f>IFERROR(INDEX(面试清单!H:H,MATCH(2123,面试清单!P:P,0)),"")</f>
        <v/>
      </c>
      <c r="I2124" s="13" t="s">
        <v>29</v>
      </c>
      <c r="J2124" s="10">
        <f ca="1" t="shared" si="100"/>
        <v>18</v>
      </c>
      <c r="K2124" s="10">
        <f ca="1" t="shared" si="101"/>
        <v>16</v>
      </c>
    </row>
    <row r="2125" ht="18" spans="1:11">
      <c r="A2125" s="14">
        <f t="shared" si="99"/>
        <v>2124</v>
      </c>
      <c r="B2125" s="11" t="s">
        <v>6044</v>
      </c>
      <c r="C2125" s="14" t="str">
        <f>IFERROR(INDEX(面试清单!D:D,MATCH(2124,面试清单!P:P,0)),"")</f>
        <v/>
      </c>
      <c r="D2125" s="11" t="s">
        <v>42</v>
      </c>
      <c r="E2125" s="11" t="s">
        <v>63</v>
      </c>
      <c r="F2125" s="11" t="s">
        <v>578</v>
      </c>
      <c r="G2125" s="15">
        <v>46171</v>
      </c>
      <c r="H2125" s="14" t="str">
        <f>IFERROR(INDEX(面试清单!H:H,MATCH(2124,面试清单!P:P,0)),"")</f>
        <v/>
      </c>
      <c r="I2125" s="13" t="s">
        <v>29</v>
      </c>
      <c r="J2125" s="14">
        <f ca="1" t="shared" si="100"/>
        <v>18</v>
      </c>
      <c r="K2125" s="14">
        <f ca="1" t="shared" si="101"/>
        <v>16</v>
      </c>
    </row>
    <row r="2126" ht="18" spans="1:11">
      <c r="A2126" s="10">
        <f t="shared" si="99"/>
        <v>2125</v>
      </c>
      <c r="B2126" s="11" t="s">
        <v>6045</v>
      </c>
      <c r="C2126" s="10" t="str">
        <f>IFERROR(INDEX(面试清单!D:D,MATCH(2125,面试清单!P:P,0)),"")</f>
        <v/>
      </c>
      <c r="D2126" s="11" t="s">
        <v>42</v>
      </c>
      <c r="E2126" s="11" t="s">
        <v>63</v>
      </c>
      <c r="F2126" s="11" t="s">
        <v>578</v>
      </c>
      <c r="G2126" s="15">
        <v>46171</v>
      </c>
      <c r="H2126" s="10" t="str">
        <f>IFERROR(INDEX(面试清单!H:H,MATCH(2125,面试清单!P:P,0)),"")</f>
        <v/>
      </c>
      <c r="I2126" s="13" t="s">
        <v>29</v>
      </c>
      <c r="J2126" s="10">
        <f ca="1" t="shared" si="100"/>
        <v>18</v>
      </c>
      <c r="K2126" s="10">
        <f ca="1" t="shared" si="101"/>
        <v>16</v>
      </c>
    </row>
    <row r="2127" ht="18" spans="1:11">
      <c r="A2127" s="14">
        <f t="shared" si="99"/>
        <v>2126</v>
      </c>
      <c r="B2127" s="11" t="s">
        <v>6046</v>
      </c>
      <c r="C2127" s="124" t="str">
        <f>IFERROR(INDEX(面试清单!D:D,MATCH(2126,面试清单!P:P,0)),"")</f>
        <v>0222</v>
      </c>
      <c r="D2127" s="11" t="s">
        <v>42</v>
      </c>
      <c r="E2127" s="11" t="s">
        <v>62</v>
      </c>
      <c r="F2127" s="11" t="s">
        <v>233</v>
      </c>
      <c r="G2127" s="15">
        <v>46171</v>
      </c>
      <c r="H2127" s="14" t="str">
        <f>IFERROR(INDEX(面试清单!H:H,MATCH(2126,面试清单!P:P,0)),"")</f>
        <v>线上</v>
      </c>
      <c r="I2127" s="13" t="s">
        <v>29</v>
      </c>
      <c r="J2127" s="14">
        <f ca="1" t="shared" si="100"/>
        <v>18</v>
      </c>
      <c r="K2127" s="14">
        <f ca="1" t="shared" si="101"/>
        <v>16</v>
      </c>
    </row>
    <row r="2128" ht="18" spans="1:11">
      <c r="A2128" s="10">
        <f t="shared" si="99"/>
        <v>2127</v>
      </c>
      <c r="B2128" s="11" t="s">
        <v>6047</v>
      </c>
      <c r="C2128" s="125" t="str">
        <f>IFERROR(INDEX(面试清单!D:D,MATCH(2127,面试清单!P:P,0)),"")</f>
        <v>0208</v>
      </c>
      <c r="D2128" s="11" t="s">
        <v>43</v>
      </c>
      <c r="E2128" s="11" t="s">
        <v>64</v>
      </c>
      <c r="F2128" s="11" t="s">
        <v>117</v>
      </c>
      <c r="G2128" s="15">
        <v>46171</v>
      </c>
      <c r="H2128" s="10" t="str">
        <f>IFERROR(INDEX(面试清单!H:H,MATCH(2127,面试清单!P:P,0)),"")</f>
        <v>线上</v>
      </c>
      <c r="I2128" s="13" t="s">
        <v>29</v>
      </c>
      <c r="J2128" s="10">
        <f ca="1" t="shared" si="100"/>
        <v>18</v>
      </c>
      <c r="K2128" s="10">
        <f ca="1" t="shared" si="101"/>
        <v>16</v>
      </c>
    </row>
    <row r="2129" ht="18" spans="1:11">
      <c r="A2129" s="14">
        <f t="shared" si="99"/>
        <v>2128</v>
      </c>
      <c r="B2129" s="11" t="s">
        <v>6048</v>
      </c>
      <c r="C2129" s="124" t="str">
        <f>IFERROR(INDEX(面试清单!D:D,MATCH(2128,面试清单!P:P,0)),"")</f>
        <v>0209</v>
      </c>
      <c r="D2129" s="11" t="s">
        <v>43</v>
      </c>
      <c r="E2129" s="11" t="s">
        <v>64</v>
      </c>
      <c r="F2129" s="11" t="s">
        <v>179</v>
      </c>
      <c r="G2129" s="15">
        <v>46171</v>
      </c>
      <c r="H2129" s="14" t="str">
        <f>IFERROR(INDEX(面试清单!H:H,MATCH(2128,面试清单!P:P,0)),"")</f>
        <v>线上</v>
      </c>
      <c r="I2129" s="13" t="s">
        <v>29</v>
      </c>
      <c r="J2129" s="14">
        <f ca="1" t="shared" si="100"/>
        <v>18</v>
      </c>
      <c r="K2129" s="14">
        <f ca="1" t="shared" si="101"/>
        <v>16</v>
      </c>
    </row>
    <row r="2130" ht="18" spans="1:11">
      <c r="A2130" s="10">
        <f t="shared" si="99"/>
        <v>2129</v>
      </c>
      <c r="B2130" s="11" t="s">
        <v>6049</v>
      </c>
      <c r="C2130" s="10" t="str">
        <f>IFERROR(INDEX(面试清单!D:D,MATCH(2129,面试清单!P:P,0)),"")</f>
        <v/>
      </c>
      <c r="D2130" s="11" t="s">
        <v>43</v>
      </c>
      <c r="E2130" s="11" t="s">
        <v>62</v>
      </c>
      <c r="F2130" s="11" t="s">
        <v>103</v>
      </c>
      <c r="G2130" s="15">
        <v>46171</v>
      </c>
      <c r="H2130" s="10" t="str">
        <f>IFERROR(INDEX(面试清单!H:H,MATCH(2129,面试清单!P:P,0)),"")</f>
        <v/>
      </c>
      <c r="I2130" s="13" t="s">
        <v>29</v>
      </c>
      <c r="J2130" s="10">
        <f ca="1" t="shared" si="100"/>
        <v>18</v>
      </c>
      <c r="K2130" s="10">
        <f ca="1" t="shared" si="101"/>
        <v>16</v>
      </c>
    </row>
    <row r="2131" ht="18" spans="1:11">
      <c r="A2131" s="14">
        <f t="shared" si="99"/>
        <v>2130</v>
      </c>
      <c r="B2131" s="11" t="s">
        <v>6050</v>
      </c>
      <c r="C2131" s="14" t="str">
        <f>IFERROR(INDEX(面试清单!D:D,MATCH(2130,面试清单!P:P,0)),"")</f>
        <v/>
      </c>
      <c r="D2131" s="11" t="s">
        <v>43</v>
      </c>
      <c r="E2131" s="11" t="s">
        <v>62</v>
      </c>
      <c r="F2131" s="11" t="s">
        <v>103</v>
      </c>
      <c r="G2131" s="15">
        <v>46171</v>
      </c>
      <c r="H2131" s="14" t="str">
        <f>IFERROR(INDEX(面试清单!H:H,MATCH(2130,面试清单!P:P,0)),"")</f>
        <v/>
      </c>
      <c r="I2131" s="13" t="s">
        <v>29</v>
      </c>
      <c r="J2131" s="14">
        <f ca="1" t="shared" si="100"/>
        <v>18</v>
      </c>
      <c r="K2131" s="14">
        <f ca="1" t="shared" si="101"/>
        <v>16</v>
      </c>
    </row>
    <row r="2132" ht="18" spans="1:11">
      <c r="A2132" s="10">
        <f t="shared" si="99"/>
        <v>2131</v>
      </c>
      <c r="B2132" s="11" t="s">
        <v>6051</v>
      </c>
      <c r="C2132" s="10" t="str">
        <f>IFERROR(INDEX(面试清单!D:D,MATCH(2131,面试清单!P:P,0)),"")</f>
        <v/>
      </c>
      <c r="D2132" s="11" t="s">
        <v>42</v>
      </c>
      <c r="E2132" s="11" t="s">
        <v>64</v>
      </c>
      <c r="F2132" s="11" t="s">
        <v>117</v>
      </c>
      <c r="G2132" s="15">
        <v>46171</v>
      </c>
      <c r="H2132" s="10" t="str">
        <f>IFERROR(INDEX(面试清单!H:H,MATCH(2131,面试清单!P:P,0)),"")</f>
        <v/>
      </c>
      <c r="I2132" s="13" t="s">
        <v>29</v>
      </c>
      <c r="J2132" s="10">
        <f ca="1" t="shared" si="100"/>
        <v>18</v>
      </c>
      <c r="K2132" s="10">
        <f ca="1" t="shared" si="101"/>
        <v>16</v>
      </c>
    </row>
    <row r="2133" ht="18" spans="1:11">
      <c r="A2133" s="14">
        <f t="shared" si="99"/>
        <v>2132</v>
      </c>
      <c r="B2133" s="11" t="s">
        <v>6052</v>
      </c>
      <c r="C2133" s="14" t="str">
        <f>IFERROR(INDEX(面试清单!D:D,MATCH(2132,面试清单!P:P,0)),"")</f>
        <v/>
      </c>
      <c r="D2133" s="11" t="s">
        <v>42</v>
      </c>
      <c r="E2133" s="11" t="s">
        <v>64</v>
      </c>
      <c r="F2133" s="11" t="s">
        <v>135</v>
      </c>
      <c r="G2133" s="15">
        <v>46171</v>
      </c>
      <c r="H2133" s="14" t="str">
        <f>IFERROR(INDEX(面试清单!H:H,MATCH(2132,面试清单!P:P,0)),"")</f>
        <v/>
      </c>
      <c r="I2133" s="13" t="s">
        <v>29</v>
      </c>
      <c r="J2133" s="14">
        <f ca="1" t="shared" si="100"/>
        <v>18</v>
      </c>
      <c r="K2133" s="14">
        <f ca="1" t="shared" si="101"/>
        <v>16</v>
      </c>
    </row>
    <row r="2134" ht="18" spans="1:11">
      <c r="A2134" s="10">
        <f t="shared" si="99"/>
        <v>2133</v>
      </c>
      <c r="B2134" s="11" t="s">
        <v>6053</v>
      </c>
      <c r="C2134" s="10" t="str">
        <f>IFERROR(INDEX(面试清单!D:D,MATCH(2133,面试清单!P:P,0)),"")</f>
        <v/>
      </c>
      <c r="D2134" s="11" t="s">
        <v>43</v>
      </c>
      <c r="E2134" s="11" t="s">
        <v>63</v>
      </c>
      <c r="F2134" s="11" t="s">
        <v>110</v>
      </c>
      <c r="G2134" s="15">
        <v>46171</v>
      </c>
      <c r="H2134" s="10" t="str">
        <f>IFERROR(INDEX(面试清单!H:H,MATCH(2133,面试清单!P:P,0)),"")</f>
        <v/>
      </c>
      <c r="I2134" s="13" t="s">
        <v>29</v>
      </c>
      <c r="J2134" s="10">
        <f ca="1" t="shared" si="100"/>
        <v>18</v>
      </c>
      <c r="K2134" s="10">
        <f ca="1" t="shared" si="101"/>
        <v>16</v>
      </c>
    </row>
    <row r="2135" ht="18" spans="1:11">
      <c r="A2135" s="14">
        <f t="shared" si="99"/>
        <v>2134</v>
      </c>
      <c r="B2135" s="11" t="s">
        <v>6054</v>
      </c>
      <c r="C2135" s="14" t="str">
        <f>IFERROR(INDEX(面试清单!D:D,MATCH(2134,面试清单!P:P,0)),"")</f>
        <v/>
      </c>
      <c r="D2135" s="11" t="s">
        <v>74</v>
      </c>
      <c r="E2135" s="11" t="s">
        <v>190</v>
      </c>
      <c r="F2135" s="11" t="s">
        <v>117</v>
      </c>
      <c r="G2135" s="15">
        <v>46171</v>
      </c>
      <c r="H2135" s="14" t="str">
        <f>IFERROR(INDEX(面试清单!H:H,MATCH(2134,面试清单!P:P,0)),"")</f>
        <v/>
      </c>
      <c r="I2135" s="13" t="s">
        <v>29</v>
      </c>
      <c r="J2135" s="14">
        <f ca="1" t="shared" si="100"/>
        <v>18</v>
      </c>
      <c r="K2135" s="14">
        <f ca="1" t="shared" si="101"/>
        <v>16</v>
      </c>
    </row>
    <row r="2136" ht="18" spans="1:11">
      <c r="A2136" s="10">
        <f t="shared" si="99"/>
        <v>2135</v>
      </c>
      <c r="B2136" s="11" t="s">
        <v>6055</v>
      </c>
      <c r="C2136" s="125" t="str">
        <f>IFERROR(INDEX(面试清单!D:D,MATCH(2135,面试清单!P:P,0)),"")</f>
        <v>0222</v>
      </c>
      <c r="D2136" s="11" t="s">
        <v>42</v>
      </c>
      <c r="E2136" s="11" t="s">
        <v>63</v>
      </c>
      <c r="F2136" s="11" t="s">
        <v>179</v>
      </c>
      <c r="G2136" s="15">
        <v>46171</v>
      </c>
      <c r="H2136" s="10" t="str">
        <f>IFERROR(INDEX(面试清单!H:H,MATCH(2135,面试清单!P:P,0)),"")</f>
        <v>线上</v>
      </c>
      <c r="I2136" s="13" t="s">
        <v>29</v>
      </c>
      <c r="J2136" s="10">
        <f ca="1" t="shared" si="100"/>
        <v>18</v>
      </c>
      <c r="K2136" s="10">
        <f ca="1" t="shared" si="101"/>
        <v>16</v>
      </c>
    </row>
    <row r="2137" ht="18" spans="1:11">
      <c r="A2137" s="14">
        <f t="shared" si="99"/>
        <v>2136</v>
      </c>
      <c r="B2137" s="11" t="s">
        <v>6056</v>
      </c>
      <c r="C2137" s="14" t="str">
        <f>IFERROR(INDEX(面试清单!D:D,MATCH(2136,面试清单!P:P,0)),"")</f>
        <v/>
      </c>
      <c r="D2137" s="11" t="s">
        <v>43</v>
      </c>
      <c r="E2137" s="11" t="s">
        <v>62</v>
      </c>
      <c r="F2137" s="11" t="s">
        <v>124</v>
      </c>
      <c r="G2137" s="15">
        <v>46172</v>
      </c>
      <c r="H2137" s="14" t="str">
        <f>IFERROR(INDEX(面试清单!H:H,MATCH(2136,面试清单!P:P,0)),"")</f>
        <v/>
      </c>
      <c r="I2137" s="13" t="s">
        <v>29</v>
      </c>
      <c r="J2137" s="14">
        <f ca="1" t="shared" si="100"/>
        <v>17</v>
      </c>
      <c r="K2137" s="14">
        <f ca="1" t="shared" si="101"/>
        <v>16</v>
      </c>
    </row>
    <row r="2138" ht="18" spans="1:11">
      <c r="A2138" s="10">
        <f t="shared" si="99"/>
        <v>2137</v>
      </c>
      <c r="B2138" s="11" t="s">
        <v>6057</v>
      </c>
      <c r="C2138" s="125" t="str">
        <f>IFERROR(INDEX(面试清单!D:D,MATCH(2137,面试清单!P:P,0)),"")</f>
        <v>0209</v>
      </c>
      <c r="D2138" s="11" t="s">
        <v>42</v>
      </c>
      <c r="E2138" s="11" t="s">
        <v>63</v>
      </c>
      <c r="F2138" s="11" t="s">
        <v>124</v>
      </c>
      <c r="G2138" s="15">
        <v>46172</v>
      </c>
      <c r="H2138" s="10" t="str">
        <f>IFERROR(INDEX(面试清单!H:H,MATCH(2137,面试清单!P:P,0)),"")</f>
        <v>线上</v>
      </c>
      <c r="I2138" s="13" t="s">
        <v>29</v>
      </c>
      <c r="J2138" s="10">
        <f ca="1" t="shared" si="100"/>
        <v>17</v>
      </c>
      <c r="K2138" s="10">
        <f ca="1" t="shared" si="101"/>
        <v>16</v>
      </c>
    </row>
    <row r="2139" ht="18" spans="1:11">
      <c r="A2139" s="14">
        <f t="shared" si="99"/>
        <v>2138</v>
      </c>
      <c r="B2139" s="11" t="s">
        <v>6058</v>
      </c>
      <c r="C2139" s="14" t="str">
        <f>IFERROR(INDEX(面试清单!D:D,MATCH(2138,面试清单!P:P,0)),"")</f>
        <v/>
      </c>
      <c r="D2139" s="11" t="s">
        <v>43</v>
      </c>
      <c r="E2139" s="11" t="s">
        <v>62</v>
      </c>
      <c r="F2139" s="11" t="s">
        <v>124</v>
      </c>
      <c r="G2139" s="15">
        <v>46172</v>
      </c>
      <c r="H2139" s="14" t="str">
        <f>IFERROR(INDEX(面试清单!H:H,MATCH(2138,面试清单!P:P,0)),"")</f>
        <v/>
      </c>
      <c r="I2139" s="13" t="s">
        <v>29</v>
      </c>
      <c r="J2139" s="14">
        <f ca="1" t="shared" si="100"/>
        <v>17</v>
      </c>
      <c r="K2139" s="14">
        <f ca="1" t="shared" si="101"/>
        <v>16</v>
      </c>
    </row>
    <row r="2140" ht="18" spans="1:11">
      <c r="A2140" s="10">
        <f t="shared" si="99"/>
        <v>2139</v>
      </c>
      <c r="B2140" s="11" t="s">
        <v>6059</v>
      </c>
      <c r="C2140" s="125" t="str">
        <f>IFERROR(INDEX(面试清单!D:D,MATCH(2139,面试清单!P:P,0)),"")</f>
        <v>0214</v>
      </c>
      <c r="D2140" s="11" t="s">
        <v>43</v>
      </c>
      <c r="E2140" s="11" t="s">
        <v>63</v>
      </c>
      <c r="F2140" s="11" t="s">
        <v>103</v>
      </c>
      <c r="G2140" s="15">
        <v>46172</v>
      </c>
      <c r="H2140" s="10" t="str">
        <f>IFERROR(INDEX(面试清单!H:H,MATCH(2139,面试清单!P:P,0)),"")</f>
        <v>线上</v>
      </c>
      <c r="I2140" s="13" t="s">
        <v>29</v>
      </c>
      <c r="J2140" s="10">
        <f ca="1" t="shared" si="100"/>
        <v>17</v>
      </c>
      <c r="K2140" s="10">
        <f ca="1" t="shared" si="101"/>
        <v>16</v>
      </c>
    </row>
    <row r="2141" ht="18" spans="1:11">
      <c r="A2141" s="14">
        <f t="shared" si="99"/>
        <v>2140</v>
      </c>
      <c r="B2141" s="11" t="s">
        <v>6060</v>
      </c>
      <c r="C2141" s="14" t="str">
        <f>IFERROR(INDEX(面试清单!D:D,MATCH(2140,面试清单!P:P,0)),"")</f>
        <v/>
      </c>
      <c r="D2141" s="11" t="s">
        <v>42</v>
      </c>
      <c r="E2141" s="11" t="s">
        <v>62</v>
      </c>
      <c r="F2141" s="11" t="s">
        <v>103</v>
      </c>
      <c r="G2141" s="15">
        <v>46172</v>
      </c>
      <c r="H2141" s="14" t="str">
        <f>IFERROR(INDEX(面试清单!H:H,MATCH(2140,面试清单!P:P,0)),"")</f>
        <v/>
      </c>
      <c r="I2141" s="13" t="s">
        <v>29</v>
      </c>
      <c r="J2141" s="14">
        <f ca="1" t="shared" si="100"/>
        <v>17</v>
      </c>
      <c r="K2141" s="14">
        <f ca="1" t="shared" si="101"/>
        <v>16</v>
      </c>
    </row>
    <row r="2142" ht="18" spans="1:11">
      <c r="A2142" s="10">
        <f t="shared" si="99"/>
        <v>2141</v>
      </c>
      <c r="B2142" s="11" t="s">
        <v>6061</v>
      </c>
      <c r="C2142" s="10" t="str">
        <f>IFERROR(INDEX(面试清单!D:D,MATCH(2141,面试清单!P:P,0)),"")</f>
        <v/>
      </c>
      <c r="D2142" s="11" t="s">
        <v>43</v>
      </c>
      <c r="E2142" s="11" t="s">
        <v>63</v>
      </c>
      <c r="F2142" s="11" t="s">
        <v>690</v>
      </c>
      <c r="G2142" s="15">
        <v>46172</v>
      </c>
      <c r="H2142" s="10" t="str">
        <f>IFERROR(INDEX(面试清单!H:H,MATCH(2141,面试清单!P:P,0)),"")</f>
        <v/>
      </c>
      <c r="I2142" s="13" t="s">
        <v>29</v>
      </c>
      <c r="J2142" s="10">
        <f ca="1" t="shared" si="100"/>
        <v>17</v>
      </c>
      <c r="K2142" s="10">
        <f ca="1" t="shared" si="101"/>
        <v>16</v>
      </c>
    </row>
    <row r="2143" ht="18" spans="1:11">
      <c r="A2143" s="14">
        <f t="shared" si="99"/>
        <v>2142</v>
      </c>
      <c r="B2143" s="11" t="s">
        <v>6062</v>
      </c>
      <c r="C2143" s="124" t="str">
        <f>IFERROR(INDEX(面试清单!D:D,MATCH(2142,面试清单!P:P,0)),"")</f>
        <v>0220</v>
      </c>
      <c r="D2143" s="11" t="s">
        <v>43</v>
      </c>
      <c r="E2143" s="11" t="s">
        <v>63</v>
      </c>
      <c r="F2143" s="11" t="s">
        <v>690</v>
      </c>
      <c r="G2143" s="15">
        <v>46172</v>
      </c>
      <c r="H2143" s="14" t="str">
        <f>IFERROR(INDEX(面试清单!H:H,MATCH(2142,面试清单!P:P,0)),"")</f>
        <v>线下</v>
      </c>
      <c r="I2143" s="13" t="s">
        <v>29</v>
      </c>
      <c r="J2143" s="14">
        <f ca="1" t="shared" si="100"/>
        <v>17</v>
      </c>
      <c r="K2143" s="14">
        <f ca="1" t="shared" si="101"/>
        <v>16</v>
      </c>
    </row>
    <row r="2144" ht="18" spans="1:11">
      <c r="A2144" s="10">
        <f t="shared" si="99"/>
        <v>2143</v>
      </c>
      <c r="B2144" s="11" t="s">
        <v>6063</v>
      </c>
      <c r="C2144" s="125" t="str">
        <f>IFERROR(INDEX(面试清单!D:D,MATCH(2143,面试清单!P:P,0)),"")</f>
        <v>0221</v>
      </c>
      <c r="D2144" s="11" t="s">
        <v>42</v>
      </c>
      <c r="E2144" s="11" t="s">
        <v>64</v>
      </c>
      <c r="F2144" s="11" t="s">
        <v>148</v>
      </c>
      <c r="G2144" s="15">
        <v>46172</v>
      </c>
      <c r="H2144" s="10" t="str">
        <f>IFERROR(INDEX(面试清单!H:H,MATCH(2143,面试清单!P:P,0)),"")</f>
        <v>线下</v>
      </c>
      <c r="I2144" s="13" t="s">
        <v>29</v>
      </c>
      <c r="J2144" s="10">
        <f ca="1" t="shared" si="100"/>
        <v>17</v>
      </c>
      <c r="K2144" s="10">
        <f ca="1" t="shared" si="101"/>
        <v>16</v>
      </c>
    </row>
    <row r="2145" ht="18" spans="1:11">
      <c r="A2145" s="14">
        <f t="shared" si="99"/>
        <v>2144</v>
      </c>
      <c r="B2145" s="11" t="s">
        <v>6064</v>
      </c>
      <c r="C2145" s="124" t="str">
        <f>IFERROR(INDEX(面试清单!D:D,MATCH(2144,面试清单!P:P,0)),"")</f>
        <v>0222</v>
      </c>
      <c r="D2145" s="11" t="s">
        <v>42</v>
      </c>
      <c r="E2145" s="11" t="s">
        <v>63</v>
      </c>
      <c r="F2145" s="11" t="s">
        <v>148</v>
      </c>
      <c r="G2145" s="15">
        <v>46172</v>
      </c>
      <c r="H2145" s="14" t="str">
        <f>IFERROR(INDEX(面试清单!H:H,MATCH(2144,面试清单!P:P,0)),"")</f>
        <v>线下</v>
      </c>
      <c r="I2145" s="13" t="s">
        <v>29</v>
      </c>
      <c r="J2145" s="14">
        <f ca="1" t="shared" si="100"/>
        <v>17</v>
      </c>
      <c r="K2145" s="14">
        <f ca="1" t="shared" si="101"/>
        <v>16</v>
      </c>
    </row>
    <row r="2146" ht="18" spans="1:11">
      <c r="A2146" s="10">
        <f t="shared" si="99"/>
        <v>2145</v>
      </c>
      <c r="B2146" s="11" t="s">
        <v>6065</v>
      </c>
      <c r="C2146" s="10" t="str">
        <f>IFERROR(INDEX(面试清单!D:D,MATCH(2145,面试清单!P:P,0)),"")</f>
        <v/>
      </c>
      <c r="D2146" s="11" t="s">
        <v>42</v>
      </c>
      <c r="E2146" s="11" t="s">
        <v>63</v>
      </c>
      <c r="F2146" s="11" t="s">
        <v>148</v>
      </c>
      <c r="G2146" s="15">
        <v>46172</v>
      </c>
      <c r="H2146" s="10" t="str">
        <f>IFERROR(INDEX(面试清单!H:H,MATCH(2145,面试清单!P:P,0)),"")</f>
        <v/>
      </c>
      <c r="I2146" s="13" t="s">
        <v>29</v>
      </c>
      <c r="J2146" s="10">
        <f ca="1" t="shared" si="100"/>
        <v>17</v>
      </c>
      <c r="K2146" s="10">
        <f ca="1" t="shared" si="101"/>
        <v>16</v>
      </c>
    </row>
    <row r="2147" ht="18" spans="1:11">
      <c r="A2147" s="14">
        <f t="shared" si="99"/>
        <v>2146</v>
      </c>
      <c r="B2147" s="11" t="s">
        <v>6066</v>
      </c>
      <c r="C2147" s="14" t="str">
        <f>IFERROR(INDEX(面试清单!D:D,MATCH(2146,面试清单!P:P,0)),"")</f>
        <v/>
      </c>
      <c r="D2147" s="11" t="s">
        <v>43</v>
      </c>
      <c r="E2147" s="11" t="s">
        <v>62</v>
      </c>
      <c r="F2147" s="11" t="s">
        <v>233</v>
      </c>
      <c r="G2147" s="15">
        <v>46172</v>
      </c>
      <c r="H2147" s="14" t="str">
        <f>IFERROR(INDEX(面试清单!H:H,MATCH(2146,面试清单!P:P,0)),"")</f>
        <v/>
      </c>
      <c r="I2147" s="13" t="s">
        <v>29</v>
      </c>
      <c r="J2147" s="14">
        <f ca="1" t="shared" si="100"/>
        <v>17</v>
      </c>
      <c r="K2147" s="14">
        <f ca="1" t="shared" si="101"/>
        <v>16</v>
      </c>
    </row>
    <row r="2148" ht="18" spans="1:11">
      <c r="A2148" s="10">
        <f t="shared" si="99"/>
        <v>2147</v>
      </c>
      <c r="B2148" s="11" t="s">
        <v>6067</v>
      </c>
      <c r="C2148" s="125" t="str">
        <f>IFERROR(INDEX(面试清单!D:D,MATCH(2147,面试清单!P:P,0)),"")</f>
        <v>0212</v>
      </c>
      <c r="D2148" s="11" t="s">
        <v>42</v>
      </c>
      <c r="E2148" s="11" t="s">
        <v>63</v>
      </c>
      <c r="F2148" s="11" t="s">
        <v>578</v>
      </c>
      <c r="G2148" s="15">
        <v>46172</v>
      </c>
      <c r="H2148" s="10" t="str">
        <f>IFERROR(INDEX(面试清单!H:H,MATCH(2147,面试清单!P:P,0)),"")</f>
        <v>线下</v>
      </c>
      <c r="I2148" s="13" t="s">
        <v>29</v>
      </c>
      <c r="J2148" s="10">
        <f ca="1" t="shared" si="100"/>
        <v>17</v>
      </c>
      <c r="K2148" s="10">
        <f ca="1" t="shared" si="101"/>
        <v>16</v>
      </c>
    </row>
    <row r="2149" ht="18" spans="1:11">
      <c r="A2149" s="14">
        <f t="shared" si="99"/>
        <v>2148</v>
      </c>
      <c r="B2149" s="11" t="s">
        <v>6068</v>
      </c>
      <c r="C2149" s="14" t="str">
        <f>IFERROR(INDEX(面试清单!D:D,MATCH(2148,面试清单!P:P,0)),"")</f>
        <v/>
      </c>
      <c r="D2149" s="11" t="s">
        <v>43</v>
      </c>
      <c r="E2149" s="11" t="s">
        <v>62</v>
      </c>
      <c r="F2149" s="11" t="s">
        <v>307</v>
      </c>
      <c r="G2149" s="15">
        <v>46172</v>
      </c>
      <c r="H2149" s="14" t="str">
        <f>IFERROR(INDEX(面试清单!H:H,MATCH(2148,面试清单!P:P,0)),"")</f>
        <v/>
      </c>
      <c r="I2149" s="13" t="s">
        <v>29</v>
      </c>
      <c r="J2149" s="14">
        <f ca="1" t="shared" si="100"/>
        <v>17</v>
      </c>
      <c r="K2149" s="14">
        <f ca="1" t="shared" si="101"/>
        <v>16</v>
      </c>
    </row>
    <row r="2150" ht="18" spans="1:11">
      <c r="A2150" s="10">
        <f t="shared" si="99"/>
        <v>2149</v>
      </c>
      <c r="B2150" s="11" t="s">
        <v>6069</v>
      </c>
      <c r="C2150" s="10" t="str">
        <f>IFERROR(INDEX(面试清单!D:D,MATCH(2149,面试清单!P:P,0)),"")</f>
        <v/>
      </c>
      <c r="D2150" s="11" t="s">
        <v>43</v>
      </c>
      <c r="E2150" s="11" t="s">
        <v>62</v>
      </c>
      <c r="F2150" s="11" t="s">
        <v>307</v>
      </c>
      <c r="G2150" s="15">
        <v>46172</v>
      </c>
      <c r="H2150" s="10" t="str">
        <f>IFERROR(INDEX(面试清单!H:H,MATCH(2149,面试清单!P:P,0)),"")</f>
        <v/>
      </c>
      <c r="I2150" s="13" t="s">
        <v>29</v>
      </c>
      <c r="J2150" s="10">
        <f ca="1" t="shared" si="100"/>
        <v>17</v>
      </c>
      <c r="K2150" s="10">
        <f ca="1" t="shared" si="101"/>
        <v>16</v>
      </c>
    </row>
    <row r="2151" ht="18" spans="1:11">
      <c r="A2151" s="14">
        <f t="shared" si="99"/>
        <v>2150</v>
      </c>
      <c r="B2151" s="11" t="s">
        <v>6070</v>
      </c>
      <c r="C2151" s="14" t="str">
        <f>IFERROR(INDEX(面试清单!D:D,MATCH(2150,面试清单!P:P,0)),"")</f>
        <v/>
      </c>
      <c r="D2151" s="11" t="s">
        <v>43</v>
      </c>
      <c r="E2151" s="11" t="s">
        <v>62</v>
      </c>
      <c r="F2151" s="11" t="s">
        <v>307</v>
      </c>
      <c r="G2151" s="15">
        <v>46172</v>
      </c>
      <c r="H2151" s="14" t="str">
        <f>IFERROR(INDEX(面试清单!H:H,MATCH(2150,面试清单!P:P,0)),"")</f>
        <v/>
      </c>
      <c r="I2151" s="13" t="s">
        <v>29</v>
      </c>
      <c r="J2151" s="14">
        <f ca="1" t="shared" si="100"/>
        <v>17</v>
      </c>
      <c r="K2151" s="14">
        <f ca="1" t="shared" si="101"/>
        <v>16</v>
      </c>
    </row>
    <row r="2152" ht="18" spans="1:11">
      <c r="A2152" s="10">
        <f t="shared" si="99"/>
        <v>2151</v>
      </c>
      <c r="B2152" s="11" t="s">
        <v>6071</v>
      </c>
      <c r="C2152" s="10" t="str">
        <f>IFERROR(INDEX(面试清单!D:D,MATCH(2151,面试清单!P:P,0)),"")</f>
        <v/>
      </c>
      <c r="D2152" s="11" t="s">
        <v>42</v>
      </c>
      <c r="E2152" s="11" t="s">
        <v>63</v>
      </c>
      <c r="F2152" s="11" t="s">
        <v>173</v>
      </c>
      <c r="G2152" s="15">
        <v>46172</v>
      </c>
      <c r="H2152" s="10" t="str">
        <f>IFERROR(INDEX(面试清单!H:H,MATCH(2151,面试清单!P:P,0)),"")</f>
        <v/>
      </c>
      <c r="I2152" s="13" t="s">
        <v>29</v>
      </c>
      <c r="J2152" s="10">
        <f ca="1" t="shared" si="100"/>
        <v>17</v>
      </c>
      <c r="K2152" s="10">
        <f ca="1" t="shared" si="101"/>
        <v>16</v>
      </c>
    </row>
    <row r="2153" ht="18" spans="1:11">
      <c r="A2153" s="14">
        <f t="shared" si="99"/>
        <v>2152</v>
      </c>
      <c r="B2153" s="11" t="s">
        <v>6072</v>
      </c>
      <c r="C2153" s="124" t="str">
        <f>IFERROR(INDEX(面试清单!D:D,MATCH(2152,面试清单!P:P,0)),"")</f>
        <v>0221</v>
      </c>
      <c r="D2153" s="11" t="s">
        <v>42</v>
      </c>
      <c r="E2153" s="11" t="s">
        <v>63</v>
      </c>
      <c r="F2153" s="11" t="s">
        <v>173</v>
      </c>
      <c r="G2153" s="15">
        <v>46172</v>
      </c>
      <c r="H2153" s="14" t="str">
        <f>IFERROR(INDEX(面试清单!H:H,MATCH(2152,面试清单!P:P,0)),"")</f>
        <v>线上</v>
      </c>
      <c r="I2153" s="13" t="s">
        <v>29</v>
      </c>
      <c r="J2153" s="14">
        <f ca="1" t="shared" si="100"/>
        <v>17</v>
      </c>
      <c r="K2153" s="14">
        <f ca="1" t="shared" si="101"/>
        <v>16</v>
      </c>
    </row>
    <row r="2154" ht="18" spans="1:11">
      <c r="A2154" s="10">
        <f t="shared" si="99"/>
        <v>2153</v>
      </c>
      <c r="B2154" s="11" t="s">
        <v>6073</v>
      </c>
      <c r="C2154" s="10" t="str">
        <f>IFERROR(INDEX(面试清单!D:D,MATCH(2153,面试清单!P:P,0)),"")</f>
        <v/>
      </c>
      <c r="D2154" s="11" t="s">
        <v>42</v>
      </c>
      <c r="E2154" s="11" t="s">
        <v>62</v>
      </c>
      <c r="F2154" s="11" t="s">
        <v>954</v>
      </c>
      <c r="G2154" s="15">
        <v>46172</v>
      </c>
      <c r="H2154" s="10" t="str">
        <f>IFERROR(INDEX(面试清单!H:H,MATCH(2153,面试清单!P:P,0)),"")</f>
        <v/>
      </c>
      <c r="I2154" s="13" t="s">
        <v>29</v>
      </c>
      <c r="J2154" s="10">
        <f ca="1" t="shared" si="100"/>
        <v>17</v>
      </c>
      <c r="K2154" s="10">
        <f ca="1" t="shared" si="101"/>
        <v>16</v>
      </c>
    </row>
    <row r="2155" ht="18" spans="1:11">
      <c r="A2155" s="14">
        <f t="shared" si="99"/>
        <v>2154</v>
      </c>
      <c r="B2155" s="11" t="s">
        <v>6074</v>
      </c>
      <c r="C2155" s="14" t="str">
        <f>IFERROR(INDEX(面试清单!D:D,MATCH(2154,面试清单!P:P,0)),"")</f>
        <v/>
      </c>
      <c r="D2155" s="11" t="s">
        <v>74</v>
      </c>
      <c r="E2155" s="11" t="s">
        <v>190</v>
      </c>
      <c r="F2155" s="11" t="s">
        <v>117</v>
      </c>
      <c r="G2155" s="15">
        <v>46172</v>
      </c>
      <c r="H2155" s="14" t="str">
        <f>IFERROR(INDEX(面试清单!H:H,MATCH(2154,面试清单!P:P,0)),"")</f>
        <v/>
      </c>
      <c r="I2155" s="13" t="s">
        <v>29</v>
      </c>
      <c r="J2155" s="14">
        <f ca="1" t="shared" si="100"/>
        <v>17</v>
      </c>
      <c r="K2155" s="14">
        <f ca="1" t="shared" si="101"/>
        <v>16</v>
      </c>
    </row>
    <row r="2156" ht="18" spans="1:11">
      <c r="A2156" s="10">
        <f t="shared" si="99"/>
        <v>2155</v>
      </c>
      <c r="B2156" s="11" t="s">
        <v>6075</v>
      </c>
      <c r="C2156" s="125" t="str">
        <f>IFERROR(INDEX(面试清单!D:D,MATCH(2155,面试清单!P:P,0)),"")</f>
        <v>0208</v>
      </c>
      <c r="D2156" s="11" t="s">
        <v>74</v>
      </c>
      <c r="E2156" s="11" t="s">
        <v>190</v>
      </c>
      <c r="F2156" s="11" t="s">
        <v>117</v>
      </c>
      <c r="G2156" s="15">
        <v>46172</v>
      </c>
      <c r="H2156" s="10" t="str">
        <f>IFERROR(INDEX(面试清单!H:H,MATCH(2155,面试清单!P:P,0)),"")</f>
        <v>线上</v>
      </c>
      <c r="I2156" s="13" t="s">
        <v>29</v>
      </c>
      <c r="J2156" s="10">
        <f ca="1" t="shared" si="100"/>
        <v>17</v>
      </c>
      <c r="K2156" s="10">
        <f ca="1" t="shared" si="101"/>
        <v>16</v>
      </c>
    </row>
    <row r="2157" ht="18" spans="1:11">
      <c r="A2157" s="14">
        <f t="shared" si="99"/>
        <v>2156</v>
      </c>
      <c r="B2157" s="11" t="s">
        <v>6076</v>
      </c>
      <c r="C2157" s="14" t="str">
        <f>IFERROR(INDEX(面试清单!D:D,MATCH(2156,面试清单!P:P,0)),"")</f>
        <v/>
      </c>
      <c r="D2157" s="11" t="s">
        <v>74</v>
      </c>
      <c r="E2157" s="11" t="s">
        <v>64</v>
      </c>
      <c r="F2157" s="11" t="s">
        <v>148</v>
      </c>
      <c r="G2157" s="15">
        <v>46172</v>
      </c>
      <c r="H2157" s="14" t="str">
        <f>IFERROR(INDEX(面试清单!H:H,MATCH(2156,面试清单!P:P,0)),"")</f>
        <v/>
      </c>
      <c r="I2157" s="13" t="s">
        <v>29</v>
      </c>
      <c r="J2157" s="14">
        <f ca="1" t="shared" si="100"/>
        <v>17</v>
      </c>
      <c r="K2157" s="14">
        <f ca="1" t="shared" si="101"/>
        <v>16</v>
      </c>
    </row>
    <row r="2158" ht="18" spans="1:11">
      <c r="A2158" s="10">
        <f t="shared" si="99"/>
        <v>2157</v>
      </c>
      <c r="B2158" s="11" t="s">
        <v>6077</v>
      </c>
      <c r="C2158" s="10" t="str">
        <f>IFERROR(INDEX(面试清单!D:D,MATCH(2157,面试清单!P:P,0)),"")</f>
        <v/>
      </c>
      <c r="D2158" s="11" t="s">
        <v>43</v>
      </c>
      <c r="E2158" s="11" t="s">
        <v>62</v>
      </c>
      <c r="F2158" s="11" t="s">
        <v>148</v>
      </c>
      <c r="G2158" s="15">
        <v>46172</v>
      </c>
      <c r="H2158" s="10" t="str">
        <f>IFERROR(INDEX(面试清单!H:H,MATCH(2157,面试清单!P:P,0)),"")</f>
        <v/>
      </c>
      <c r="I2158" s="13" t="s">
        <v>29</v>
      </c>
      <c r="J2158" s="10">
        <f ca="1" t="shared" si="100"/>
        <v>17</v>
      </c>
      <c r="K2158" s="10">
        <f ca="1" t="shared" si="101"/>
        <v>16</v>
      </c>
    </row>
    <row r="2159" ht="18" spans="1:11">
      <c r="A2159" s="14">
        <f t="shared" si="99"/>
        <v>2158</v>
      </c>
      <c r="B2159" s="11" t="s">
        <v>6078</v>
      </c>
      <c r="C2159" s="14" t="str">
        <f>IFERROR(INDEX(面试清单!D:D,MATCH(2158,面试清单!P:P,0)),"")</f>
        <v/>
      </c>
      <c r="D2159" s="11" t="s">
        <v>43</v>
      </c>
      <c r="E2159" s="11" t="s">
        <v>62</v>
      </c>
      <c r="F2159" s="11" t="s">
        <v>148</v>
      </c>
      <c r="G2159" s="15">
        <v>46172</v>
      </c>
      <c r="H2159" s="14" t="str">
        <f>IFERROR(INDEX(面试清单!H:H,MATCH(2158,面试清单!P:P,0)),"")</f>
        <v/>
      </c>
      <c r="I2159" s="13" t="s">
        <v>29</v>
      </c>
      <c r="J2159" s="14">
        <f ca="1" t="shared" si="100"/>
        <v>17</v>
      </c>
      <c r="K2159" s="14">
        <f ca="1" t="shared" si="101"/>
        <v>16</v>
      </c>
    </row>
    <row r="2160" ht="18" spans="1:11">
      <c r="A2160" s="10">
        <f t="shared" si="99"/>
        <v>2159</v>
      </c>
      <c r="B2160" s="11" t="s">
        <v>6079</v>
      </c>
      <c r="C2160" s="10" t="str">
        <f>IFERROR(INDEX(面试清单!D:D,MATCH(2159,面试清单!P:P,0)),"")</f>
        <v/>
      </c>
      <c r="D2160" s="11" t="s">
        <v>43</v>
      </c>
      <c r="E2160" s="11" t="s">
        <v>62</v>
      </c>
      <c r="F2160" s="11" t="s">
        <v>124</v>
      </c>
      <c r="G2160" s="15">
        <v>46172</v>
      </c>
      <c r="H2160" s="10" t="str">
        <f>IFERROR(INDEX(面试清单!H:H,MATCH(2159,面试清单!P:P,0)),"")</f>
        <v/>
      </c>
      <c r="I2160" s="13" t="s">
        <v>29</v>
      </c>
      <c r="J2160" s="10">
        <f ca="1" t="shared" si="100"/>
        <v>17</v>
      </c>
      <c r="K2160" s="10">
        <f ca="1" t="shared" si="101"/>
        <v>16</v>
      </c>
    </row>
    <row r="2161" ht="18" spans="1:11">
      <c r="A2161" s="14">
        <f t="shared" si="99"/>
        <v>2160</v>
      </c>
      <c r="B2161" s="11" t="s">
        <v>6080</v>
      </c>
      <c r="C2161" s="124" t="str">
        <f>IFERROR(INDEX(面试清单!D:D,MATCH(2160,面试清单!P:P,0)),"")</f>
        <v>0218</v>
      </c>
      <c r="D2161" s="11" t="s">
        <v>42</v>
      </c>
      <c r="E2161" s="11" t="s">
        <v>63</v>
      </c>
      <c r="F2161" s="11" t="s">
        <v>124</v>
      </c>
      <c r="G2161" s="15">
        <v>46172</v>
      </c>
      <c r="H2161" s="14" t="str">
        <f>IFERROR(INDEX(面试清单!H:H,MATCH(2160,面试清单!P:P,0)),"")</f>
        <v>线上</v>
      </c>
      <c r="I2161" s="13" t="s">
        <v>29</v>
      </c>
      <c r="J2161" s="14">
        <f ca="1" t="shared" si="100"/>
        <v>17</v>
      </c>
      <c r="K2161" s="14">
        <f ca="1" t="shared" si="101"/>
        <v>16</v>
      </c>
    </row>
    <row r="2162" ht="18" spans="1:11">
      <c r="A2162" s="10">
        <f t="shared" si="99"/>
        <v>2161</v>
      </c>
      <c r="B2162" s="11" t="s">
        <v>6081</v>
      </c>
      <c r="C2162" s="10" t="str">
        <f>IFERROR(INDEX(面试清单!D:D,MATCH(2161,面试清单!P:P,0)),"")</f>
        <v/>
      </c>
      <c r="D2162" s="11" t="s">
        <v>43</v>
      </c>
      <c r="E2162" s="11" t="s">
        <v>64</v>
      </c>
      <c r="F2162" s="11" t="s">
        <v>233</v>
      </c>
      <c r="G2162" s="15">
        <v>46172</v>
      </c>
      <c r="H2162" s="10" t="str">
        <f>IFERROR(INDEX(面试清单!H:H,MATCH(2161,面试清单!P:P,0)),"")</f>
        <v/>
      </c>
      <c r="I2162" s="13" t="s">
        <v>29</v>
      </c>
      <c r="J2162" s="10">
        <f ca="1" t="shared" si="100"/>
        <v>17</v>
      </c>
      <c r="K2162" s="10">
        <f ca="1" t="shared" si="101"/>
        <v>16</v>
      </c>
    </row>
    <row r="2163" ht="18" spans="1:11">
      <c r="A2163" s="14">
        <f t="shared" si="99"/>
        <v>2162</v>
      </c>
      <c r="B2163" s="11" t="s">
        <v>6082</v>
      </c>
      <c r="C2163" s="14" t="str">
        <f>IFERROR(INDEX(面试清单!D:D,MATCH(2162,面试清单!P:P,0)),"")</f>
        <v/>
      </c>
      <c r="D2163" s="11" t="s">
        <v>43</v>
      </c>
      <c r="E2163" s="11" t="s">
        <v>62</v>
      </c>
      <c r="F2163" s="11" t="s">
        <v>233</v>
      </c>
      <c r="G2163" s="15">
        <v>46172</v>
      </c>
      <c r="H2163" s="14" t="str">
        <f>IFERROR(INDEX(面试清单!H:H,MATCH(2162,面试清单!P:P,0)),"")</f>
        <v/>
      </c>
      <c r="I2163" s="13" t="s">
        <v>29</v>
      </c>
      <c r="J2163" s="14">
        <f ca="1" t="shared" si="100"/>
        <v>17</v>
      </c>
      <c r="K2163" s="14">
        <f ca="1" t="shared" si="101"/>
        <v>16</v>
      </c>
    </row>
    <row r="2164" ht="18" spans="1:11">
      <c r="A2164" s="10">
        <f t="shared" si="99"/>
        <v>2163</v>
      </c>
      <c r="B2164" s="11" t="s">
        <v>6083</v>
      </c>
      <c r="C2164" s="10" t="str">
        <f>IFERROR(INDEX(面试清单!D:D,MATCH(2163,面试清单!P:P,0)),"")</f>
        <v/>
      </c>
      <c r="D2164" s="11" t="s">
        <v>43</v>
      </c>
      <c r="E2164" s="11" t="s">
        <v>62</v>
      </c>
      <c r="F2164" s="11" t="s">
        <v>233</v>
      </c>
      <c r="G2164" s="15">
        <v>46172</v>
      </c>
      <c r="H2164" s="10" t="str">
        <f>IFERROR(INDEX(面试清单!H:H,MATCH(2163,面试清单!P:P,0)),"")</f>
        <v/>
      </c>
      <c r="I2164" s="13" t="s">
        <v>29</v>
      </c>
      <c r="J2164" s="10">
        <f ca="1" t="shared" si="100"/>
        <v>17</v>
      </c>
      <c r="K2164" s="10">
        <f ca="1" t="shared" si="101"/>
        <v>16</v>
      </c>
    </row>
    <row r="2165" ht="18" spans="1:11">
      <c r="A2165" s="14">
        <f t="shared" si="99"/>
        <v>2164</v>
      </c>
      <c r="B2165" s="11" t="s">
        <v>6084</v>
      </c>
      <c r="C2165" s="14" t="str">
        <f>IFERROR(INDEX(面试清单!D:D,MATCH(2164,面试清单!P:P,0)),"")</f>
        <v/>
      </c>
      <c r="D2165" s="11" t="s">
        <v>74</v>
      </c>
      <c r="E2165" s="11" t="s">
        <v>64</v>
      </c>
      <c r="F2165" s="11" t="s">
        <v>246</v>
      </c>
      <c r="G2165" s="15">
        <v>46172</v>
      </c>
      <c r="H2165" s="14" t="str">
        <f>IFERROR(INDEX(面试清单!H:H,MATCH(2164,面试清单!P:P,0)),"")</f>
        <v/>
      </c>
      <c r="I2165" s="13" t="s">
        <v>29</v>
      </c>
      <c r="J2165" s="14">
        <f ca="1" t="shared" si="100"/>
        <v>17</v>
      </c>
      <c r="K2165" s="14">
        <f ca="1" t="shared" si="101"/>
        <v>16</v>
      </c>
    </row>
    <row r="2166" ht="18" spans="1:11">
      <c r="A2166" s="10">
        <f t="shared" si="99"/>
        <v>2165</v>
      </c>
      <c r="B2166" s="11" t="s">
        <v>6085</v>
      </c>
      <c r="C2166" s="10" t="str">
        <f>IFERROR(INDEX(面试清单!D:D,MATCH(2165,面试清单!P:P,0)),"")</f>
        <v/>
      </c>
      <c r="D2166" s="11" t="s">
        <v>74</v>
      </c>
      <c r="E2166" s="11" t="s">
        <v>64</v>
      </c>
      <c r="F2166" s="11" t="s">
        <v>246</v>
      </c>
      <c r="G2166" s="15">
        <v>46172</v>
      </c>
      <c r="H2166" s="10" t="str">
        <f>IFERROR(INDEX(面试清单!H:H,MATCH(2165,面试清单!P:P,0)),"")</f>
        <v/>
      </c>
      <c r="I2166" s="13" t="s">
        <v>29</v>
      </c>
      <c r="J2166" s="10">
        <f ca="1" t="shared" si="100"/>
        <v>17</v>
      </c>
      <c r="K2166" s="10">
        <f ca="1" t="shared" si="101"/>
        <v>16</v>
      </c>
    </row>
    <row r="2167" ht="18" spans="1:11">
      <c r="A2167" s="14">
        <f t="shared" si="99"/>
        <v>2166</v>
      </c>
      <c r="B2167" s="11" t="s">
        <v>6086</v>
      </c>
      <c r="C2167" s="14" t="str">
        <f>IFERROR(INDEX(面试清单!D:D,MATCH(2166,面试清单!P:P,0)),"")</f>
        <v/>
      </c>
      <c r="D2167" s="11" t="s">
        <v>74</v>
      </c>
      <c r="E2167" s="11" t="s">
        <v>64</v>
      </c>
      <c r="F2167" s="11" t="s">
        <v>246</v>
      </c>
      <c r="G2167" s="15">
        <v>46172</v>
      </c>
      <c r="H2167" s="14" t="str">
        <f>IFERROR(INDEX(面试清单!H:H,MATCH(2166,面试清单!P:P,0)),"")</f>
        <v/>
      </c>
      <c r="I2167" s="13" t="s">
        <v>29</v>
      </c>
      <c r="J2167" s="14">
        <f ca="1" t="shared" si="100"/>
        <v>17</v>
      </c>
      <c r="K2167" s="14">
        <f ca="1" t="shared" si="101"/>
        <v>16</v>
      </c>
    </row>
    <row r="2168" ht="18" spans="1:11">
      <c r="A2168" s="10">
        <f t="shared" si="99"/>
        <v>2167</v>
      </c>
      <c r="B2168" s="11" t="s">
        <v>6087</v>
      </c>
      <c r="C2168" s="10" t="str">
        <f>IFERROR(INDEX(面试清单!D:D,MATCH(2167,面试清单!P:P,0)),"")</f>
        <v/>
      </c>
      <c r="D2168" s="11" t="s">
        <v>42</v>
      </c>
      <c r="E2168" s="11" t="s">
        <v>64</v>
      </c>
      <c r="F2168" s="11" t="s">
        <v>246</v>
      </c>
      <c r="G2168" s="15">
        <v>46172</v>
      </c>
      <c r="H2168" s="10" t="str">
        <f>IFERROR(INDEX(面试清单!H:H,MATCH(2167,面试清单!P:P,0)),"")</f>
        <v/>
      </c>
      <c r="I2168" s="13" t="s">
        <v>29</v>
      </c>
      <c r="J2168" s="10">
        <f ca="1" t="shared" si="100"/>
        <v>17</v>
      </c>
      <c r="K2168" s="10">
        <f ca="1" t="shared" si="101"/>
        <v>16</v>
      </c>
    </row>
    <row r="2169" ht="18" spans="1:11">
      <c r="A2169" s="14">
        <f t="shared" si="99"/>
        <v>2168</v>
      </c>
      <c r="B2169" s="11" t="s">
        <v>6088</v>
      </c>
      <c r="C2169" s="14" t="str">
        <f>IFERROR(INDEX(面试清单!D:D,MATCH(2168,面试清单!P:P,0)),"")</f>
        <v/>
      </c>
      <c r="D2169" s="11" t="s">
        <v>74</v>
      </c>
      <c r="E2169" s="11" t="s">
        <v>64</v>
      </c>
      <c r="F2169" s="11" t="s">
        <v>135</v>
      </c>
      <c r="G2169" s="15">
        <v>46172</v>
      </c>
      <c r="H2169" s="14" t="str">
        <f>IFERROR(INDEX(面试清单!H:H,MATCH(2168,面试清单!P:P,0)),"")</f>
        <v/>
      </c>
      <c r="I2169" s="13" t="s">
        <v>29</v>
      </c>
      <c r="J2169" s="14">
        <f ca="1" t="shared" si="100"/>
        <v>17</v>
      </c>
      <c r="K2169" s="14">
        <f ca="1" t="shared" si="101"/>
        <v>16</v>
      </c>
    </row>
    <row r="2170" ht="18" spans="1:11">
      <c r="A2170" s="10">
        <f t="shared" si="99"/>
        <v>2169</v>
      </c>
      <c r="B2170" s="11" t="s">
        <v>6089</v>
      </c>
      <c r="C2170" s="10" t="str">
        <f>IFERROR(INDEX(面试清单!D:D,MATCH(2169,面试清单!P:P,0)),"")</f>
        <v/>
      </c>
      <c r="D2170" s="11" t="s">
        <v>43</v>
      </c>
      <c r="E2170" s="11" t="s">
        <v>64</v>
      </c>
      <c r="F2170" s="11" t="s">
        <v>135</v>
      </c>
      <c r="G2170" s="15">
        <v>46172</v>
      </c>
      <c r="H2170" s="10" t="str">
        <f>IFERROR(INDEX(面试清单!H:H,MATCH(2169,面试清单!P:P,0)),"")</f>
        <v/>
      </c>
      <c r="I2170" s="13" t="s">
        <v>29</v>
      </c>
      <c r="J2170" s="10">
        <f ca="1" t="shared" si="100"/>
        <v>17</v>
      </c>
      <c r="K2170" s="10">
        <f ca="1" t="shared" si="101"/>
        <v>16</v>
      </c>
    </row>
    <row r="2171" ht="18" spans="1:11">
      <c r="A2171" s="14">
        <f t="shared" si="99"/>
        <v>2170</v>
      </c>
      <c r="B2171" s="11" t="s">
        <v>6090</v>
      </c>
      <c r="C2171" s="14" t="str">
        <f>IFERROR(INDEX(面试清单!D:D,MATCH(2170,面试清单!P:P,0)),"")</f>
        <v/>
      </c>
      <c r="D2171" s="11" t="s">
        <v>74</v>
      </c>
      <c r="E2171" s="11" t="s">
        <v>64</v>
      </c>
      <c r="F2171" s="11" t="s">
        <v>148</v>
      </c>
      <c r="G2171" s="15">
        <v>46172</v>
      </c>
      <c r="H2171" s="14" t="str">
        <f>IFERROR(INDEX(面试清单!H:H,MATCH(2170,面试清单!P:P,0)),"")</f>
        <v/>
      </c>
      <c r="I2171" s="13" t="s">
        <v>29</v>
      </c>
      <c r="J2171" s="14">
        <f ca="1" t="shared" si="100"/>
        <v>17</v>
      </c>
      <c r="K2171" s="14">
        <f ca="1" t="shared" si="101"/>
        <v>16</v>
      </c>
    </row>
    <row r="2172" ht="18" spans="1:11">
      <c r="A2172" s="10">
        <f t="shared" si="99"/>
        <v>2171</v>
      </c>
      <c r="B2172" s="11" t="s">
        <v>6091</v>
      </c>
      <c r="C2172" s="125" t="str">
        <f>IFERROR(INDEX(面试清单!D:D,MATCH(2171,面试清单!P:P,0)),"")</f>
        <v>0221</v>
      </c>
      <c r="D2172" s="11" t="s">
        <v>74</v>
      </c>
      <c r="E2172" s="11" t="s">
        <v>64</v>
      </c>
      <c r="F2172" s="11" t="s">
        <v>148</v>
      </c>
      <c r="G2172" s="15">
        <v>46172</v>
      </c>
      <c r="H2172" s="10" t="str">
        <f>IFERROR(INDEX(面试清单!H:H,MATCH(2171,面试清单!P:P,0)),"")</f>
        <v>线上</v>
      </c>
      <c r="I2172" s="13" t="s">
        <v>29</v>
      </c>
      <c r="J2172" s="10">
        <f ca="1" t="shared" si="100"/>
        <v>17</v>
      </c>
      <c r="K2172" s="10">
        <f ca="1" t="shared" si="101"/>
        <v>16</v>
      </c>
    </row>
    <row r="2173" ht="18" spans="1:11">
      <c r="A2173" s="14">
        <f t="shared" si="99"/>
        <v>2172</v>
      </c>
      <c r="B2173" s="11" t="s">
        <v>6092</v>
      </c>
      <c r="C2173" s="14" t="str">
        <f>IFERROR(INDEX(面试清单!D:D,MATCH(2172,面试清单!P:P,0)),"")</f>
        <v/>
      </c>
      <c r="D2173" s="11" t="s">
        <v>74</v>
      </c>
      <c r="E2173" s="11" t="s">
        <v>64</v>
      </c>
      <c r="F2173" s="11" t="s">
        <v>148</v>
      </c>
      <c r="G2173" s="15">
        <v>46172</v>
      </c>
      <c r="H2173" s="14" t="str">
        <f>IFERROR(INDEX(面试清单!H:H,MATCH(2172,面试清单!P:P,0)),"")</f>
        <v/>
      </c>
      <c r="I2173" s="13" t="s">
        <v>29</v>
      </c>
      <c r="J2173" s="14">
        <f ca="1" t="shared" si="100"/>
        <v>17</v>
      </c>
      <c r="K2173" s="14">
        <f ca="1" t="shared" si="101"/>
        <v>16</v>
      </c>
    </row>
    <row r="2174" ht="18" spans="1:11">
      <c r="A2174" s="10">
        <f t="shared" si="99"/>
        <v>2173</v>
      </c>
      <c r="B2174" s="11" t="s">
        <v>6093</v>
      </c>
      <c r="C2174" s="125" t="str">
        <f>IFERROR(INDEX(面试清单!D:D,MATCH(2173,面试清单!P:P,0)),"")</f>
        <v>0208</v>
      </c>
      <c r="D2174" s="11" t="s">
        <v>43</v>
      </c>
      <c r="E2174" s="11" t="s">
        <v>64</v>
      </c>
      <c r="F2174" s="11" t="s">
        <v>179</v>
      </c>
      <c r="G2174" s="15">
        <v>46172</v>
      </c>
      <c r="H2174" s="10" t="str">
        <f>IFERROR(INDEX(面试清单!H:H,MATCH(2173,面试清单!P:P,0)),"")</f>
        <v>线上</v>
      </c>
      <c r="I2174" s="13" t="s">
        <v>29</v>
      </c>
      <c r="J2174" s="10">
        <f ca="1" t="shared" si="100"/>
        <v>17</v>
      </c>
      <c r="K2174" s="10">
        <f ca="1" t="shared" si="101"/>
        <v>16</v>
      </c>
    </row>
    <row r="2175" ht="18" spans="1:11">
      <c r="A2175" s="14">
        <f t="shared" si="99"/>
        <v>2174</v>
      </c>
      <c r="B2175" s="11" t="s">
        <v>6094</v>
      </c>
      <c r="C2175" s="14" t="str">
        <f>IFERROR(INDEX(面试清单!D:D,MATCH(2174,面试清单!P:P,0)),"")</f>
        <v/>
      </c>
      <c r="D2175" s="11" t="s">
        <v>74</v>
      </c>
      <c r="E2175" s="11" t="s">
        <v>64</v>
      </c>
      <c r="F2175" s="11" t="s">
        <v>179</v>
      </c>
      <c r="G2175" s="15">
        <v>46172</v>
      </c>
      <c r="H2175" s="14" t="str">
        <f>IFERROR(INDEX(面试清单!H:H,MATCH(2174,面试清单!P:P,0)),"")</f>
        <v/>
      </c>
      <c r="I2175" s="13" t="s">
        <v>29</v>
      </c>
      <c r="J2175" s="14">
        <f ca="1" t="shared" si="100"/>
        <v>17</v>
      </c>
      <c r="K2175" s="14">
        <f ca="1" t="shared" si="101"/>
        <v>16</v>
      </c>
    </row>
    <row r="2176" ht="18" spans="1:11">
      <c r="A2176" s="10">
        <f t="shared" si="99"/>
        <v>2175</v>
      </c>
      <c r="B2176" s="11" t="s">
        <v>6095</v>
      </c>
      <c r="C2176" s="10" t="str">
        <f>IFERROR(INDEX(面试清单!D:D,MATCH(2175,面试清单!P:P,0)),"")</f>
        <v/>
      </c>
      <c r="D2176" s="11" t="s">
        <v>74</v>
      </c>
      <c r="E2176" s="11" t="s">
        <v>64</v>
      </c>
      <c r="F2176" s="11" t="s">
        <v>179</v>
      </c>
      <c r="G2176" s="15">
        <v>46172</v>
      </c>
      <c r="H2176" s="10" t="str">
        <f>IFERROR(INDEX(面试清单!H:H,MATCH(2175,面试清单!P:P,0)),"")</f>
        <v/>
      </c>
      <c r="I2176" s="13" t="s">
        <v>29</v>
      </c>
      <c r="J2176" s="10">
        <f ca="1" t="shared" si="100"/>
        <v>17</v>
      </c>
      <c r="K2176" s="10">
        <f ca="1" t="shared" si="101"/>
        <v>16</v>
      </c>
    </row>
    <row r="2177" ht="18" spans="1:11">
      <c r="A2177" s="14">
        <f t="shared" si="99"/>
        <v>2176</v>
      </c>
      <c r="B2177" s="11" t="s">
        <v>6096</v>
      </c>
      <c r="C2177" s="14" t="str">
        <f>IFERROR(INDEX(面试清单!D:D,MATCH(2176,面试清单!P:P,0)),"")</f>
        <v/>
      </c>
      <c r="D2177" s="11" t="s">
        <v>74</v>
      </c>
      <c r="E2177" s="11" t="s">
        <v>64</v>
      </c>
      <c r="F2177" s="11" t="s">
        <v>179</v>
      </c>
      <c r="G2177" s="15">
        <v>46172</v>
      </c>
      <c r="H2177" s="14" t="str">
        <f>IFERROR(INDEX(面试清单!H:H,MATCH(2176,面试清单!P:P,0)),"")</f>
        <v/>
      </c>
      <c r="I2177" s="13" t="s">
        <v>29</v>
      </c>
      <c r="J2177" s="14">
        <f ca="1" t="shared" si="100"/>
        <v>17</v>
      </c>
      <c r="K2177" s="14">
        <f ca="1" t="shared" si="101"/>
        <v>16</v>
      </c>
    </row>
    <row r="2178" ht="18" spans="1:11">
      <c r="A2178" s="10">
        <f t="shared" ref="A2178:A2241" si="102">IF(B2178&lt;&gt;"",ROW()-1,"")</f>
        <v>2177</v>
      </c>
      <c r="B2178" s="11" t="s">
        <v>6097</v>
      </c>
      <c r="C2178" s="10" t="str">
        <f>IFERROR(INDEX(面试清单!D:D,MATCH(2177,面试清单!P:P,0)),"")</f>
        <v/>
      </c>
      <c r="D2178" s="11" t="s">
        <v>74</v>
      </c>
      <c r="E2178" s="11" t="s">
        <v>64</v>
      </c>
      <c r="F2178" s="11" t="s">
        <v>179</v>
      </c>
      <c r="G2178" s="15">
        <v>46172</v>
      </c>
      <c r="H2178" s="10" t="str">
        <f>IFERROR(INDEX(面试清单!H:H,MATCH(2177,面试清单!P:P,0)),"")</f>
        <v/>
      </c>
      <c r="I2178" s="13" t="s">
        <v>29</v>
      </c>
      <c r="J2178" s="10">
        <f ca="1" t="shared" ref="J2178:J2241" si="103">IF(G2178&lt;&gt;"",TODAY()-G2178,"")</f>
        <v>17</v>
      </c>
      <c r="K2178" s="10">
        <f ca="1" t="shared" ref="K2178:K2241" si="104">IF(G2178&lt;&gt;"",MAX(0,MIN(TODAY(),EOMONTH(TODAY(),0))-MAX(G2178,EOMONTH(TODAY(),-1)+1)+1),"")</f>
        <v>16</v>
      </c>
    </row>
    <row r="2179" ht="18" spans="1:11">
      <c r="A2179" s="14">
        <f t="shared" si="102"/>
        <v>2178</v>
      </c>
      <c r="B2179" s="11" t="s">
        <v>6098</v>
      </c>
      <c r="C2179" s="124" t="str">
        <f>IFERROR(INDEX(面试清单!D:D,MATCH(2178,面试清单!P:P,0)),"")</f>
        <v>0218</v>
      </c>
      <c r="D2179" s="11" t="s">
        <v>74</v>
      </c>
      <c r="E2179" s="11" t="s">
        <v>64</v>
      </c>
      <c r="F2179" s="11" t="s">
        <v>179</v>
      </c>
      <c r="G2179" s="15">
        <v>46172</v>
      </c>
      <c r="H2179" s="14" t="str">
        <f>IFERROR(INDEX(面试清单!H:H,MATCH(2178,面试清单!P:P,0)),"")</f>
        <v>线上</v>
      </c>
      <c r="I2179" s="13" t="s">
        <v>29</v>
      </c>
      <c r="J2179" s="14">
        <f ca="1" t="shared" si="103"/>
        <v>17</v>
      </c>
      <c r="K2179" s="14">
        <f ca="1" t="shared" si="104"/>
        <v>16</v>
      </c>
    </row>
    <row r="2180" ht="18" spans="1:11">
      <c r="A2180" s="10">
        <f t="shared" si="102"/>
        <v>2179</v>
      </c>
      <c r="B2180" s="11" t="s">
        <v>6099</v>
      </c>
      <c r="C2180" s="10" t="str">
        <f>IFERROR(INDEX(面试清单!D:D,MATCH(2179,面试清单!P:P,0)),"")</f>
        <v/>
      </c>
      <c r="D2180" s="11" t="s">
        <v>74</v>
      </c>
      <c r="E2180" s="11" t="s">
        <v>64</v>
      </c>
      <c r="F2180" s="11" t="s">
        <v>179</v>
      </c>
      <c r="G2180" s="15">
        <v>46172</v>
      </c>
      <c r="H2180" s="10" t="str">
        <f>IFERROR(INDEX(面试清单!H:H,MATCH(2179,面试清单!P:P,0)),"")</f>
        <v/>
      </c>
      <c r="I2180" s="13" t="s">
        <v>29</v>
      </c>
      <c r="J2180" s="10">
        <f ca="1" t="shared" si="103"/>
        <v>17</v>
      </c>
      <c r="K2180" s="10">
        <f ca="1" t="shared" si="104"/>
        <v>16</v>
      </c>
    </row>
    <row r="2181" ht="18" spans="1:11">
      <c r="A2181" s="14">
        <f t="shared" si="102"/>
        <v>2180</v>
      </c>
      <c r="B2181" s="11" t="s">
        <v>6100</v>
      </c>
      <c r="C2181" s="14" t="str">
        <f>IFERROR(INDEX(面试清单!D:D,MATCH(2180,面试清单!P:P,0)),"")</f>
        <v/>
      </c>
      <c r="D2181" s="11" t="s">
        <v>74</v>
      </c>
      <c r="E2181" s="11" t="s">
        <v>64</v>
      </c>
      <c r="F2181" s="11" t="s">
        <v>179</v>
      </c>
      <c r="G2181" s="15">
        <v>46172</v>
      </c>
      <c r="H2181" s="14" t="str">
        <f>IFERROR(INDEX(面试清单!H:H,MATCH(2180,面试清单!P:P,0)),"")</f>
        <v/>
      </c>
      <c r="I2181" s="13" t="s">
        <v>29</v>
      </c>
      <c r="J2181" s="14">
        <f ca="1" t="shared" si="103"/>
        <v>17</v>
      </c>
      <c r="K2181" s="14">
        <f ca="1" t="shared" si="104"/>
        <v>16</v>
      </c>
    </row>
    <row r="2182" ht="18" spans="1:11">
      <c r="A2182" s="10">
        <f t="shared" si="102"/>
        <v>2181</v>
      </c>
      <c r="B2182" s="11" t="s">
        <v>6101</v>
      </c>
      <c r="C2182" s="10" t="str">
        <f>IFERROR(INDEX(面试清单!D:D,MATCH(2181,面试清单!P:P,0)),"")</f>
        <v/>
      </c>
      <c r="D2182" s="11" t="s">
        <v>43</v>
      </c>
      <c r="E2182" s="11" t="s">
        <v>64</v>
      </c>
      <c r="F2182" s="11" t="s">
        <v>179</v>
      </c>
      <c r="G2182" s="15">
        <v>46172</v>
      </c>
      <c r="H2182" s="10" t="str">
        <f>IFERROR(INDEX(面试清单!H:H,MATCH(2181,面试清单!P:P,0)),"")</f>
        <v/>
      </c>
      <c r="I2182" s="13" t="s">
        <v>29</v>
      </c>
      <c r="J2182" s="10">
        <f ca="1" t="shared" si="103"/>
        <v>17</v>
      </c>
      <c r="K2182" s="10">
        <f ca="1" t="shared" si="104"/>
        <v>16</v>
      </c>
    </row>
    <row r="2183" ht="18" spans="1:11">
      <c r="A2183" s="14">
        <f t="shared" si="102"/>
        <v>2182</v>
      </c>
      <c r="B2183" s="11" t="s">
        <v>6102</v>
      </c>
      <c r="C2183" s="124" t="str">
        <f>IFERROR(INDEX(面试清单!D:D,MATCH(2182,面试清单!P:P,0)),"")</f>
        <v>0208</v>
      </c>
      <c r="D2183" s="11" t="s">
        <v>43</v>
      </c>
      <c r="E2183" s="11" t="s">
        <v>64</v>
      </c>
      <c r="F2183" s="11" t="s">
        <v>179</v>
      </c>
      <c r="G2183" s="15">
        <v>46172</v>
      </c>
      <c r="H2183" s="14" t="str">
        <f>IFERROR(INDEX(面试清单!H:H,MATCH(2182,面试清单!P:P,0)),"")</f>
        <v>线上</v>
      </c>
      <c r="I2183" s="13" t="s">
        <v>29</v>
      </c>
      <c r="J2183" s="14">
        <f ca="1" t="shared" si="103"/>
        <v>17</v>
      </c>
      <c r="K2183" s="14">
        <f ca="1" t="shared" si="104"/>
        <v>16</v>
      </c>
    </row>
    <row r="2184" ht="18" spans="1:11">
      <c r="A2184" s="10">
        <f t="shared" si="102"/>
        <v>2183</v>
      </c>
      <c r="B2184" s="11" t="s">
        <v>678</v>
      </c>
      <c r="C2184" s="10" t="str">
        <f>IFERROR(INDEX(面试清单!D:D,MATCH(2183,面试清单!P:P,0)),"")</f>
        <v/>
      </c>
      <c r="D2184" s="11" t="s">
        <v>43</v>
      </c>
      <c r="E2184" s="11" t="s">
        <v>64</v>
      </c>
      <c r="F2184" s="11" t="s">
        <v>179</v>
      </c>
      <c r="G2184" s="15">
        <v>46172</v>
      </c>
      <c r="H2184" s="10" t="str">
        <f>IFERROR(INDEX(面试清单!H:H,MATCH(2183,面试清单!P:P,0)),"")</f>
        <v/>
      </c>
      <c r="I2184" s="13" t="s">
        <v>29</v>
      </c>
      <c r="J2184" s="10">
        <f ca="1" t="shared" si="103"/>
        <v>17</v>
      </c>
      <c r="K2184" s="10">
        <f ca="1" t="shared" si="104"/>
        <v>16</v>
      </c>
    </row>
    <row r="2185" ht="18" spans="1:11">
      <c r="A2185" s="14">
        <f t="shared" si="102"/>
        <v>2184</v>
      </c>
      <c r="B2185" s="11" t="s">
        <v>6103</v>
      </c>
      <c r="C2185" s="14" t="str">
        <f>IFERROR(INDEX(面试清单!D:D,MATCH(2184,面试清单!P:P,0)),"")</f>
        <v/>
      </c>
      <c r="D2185" s="11" t="s">
        <v>74</v>
      </c>
      <c r="E2185" s="11" t="s">
        <v>64</v>
      </c>
      <c r="F2185" s="11" t="s">
        <v>148</v>
      </c>
      <c r="G2185" s="15">
        <v>46172</v>
      </c>
      <c r="H2185" s="14" t="str">
        <f>IFERROR(INDEX(面试清单!H:H,MATCH(2184,面试清单!P:P,0)),"")</f>
        <v/>
      </c>
      <c r="I2185" s="13" t="s">
        <v>29</v>
      </c>
      <c r="J2185" s="14">
        <f ca="1" t="shared" si="103"/>
        <v>17</v>
      </c>
      <c r="K2185" s="14">
        <f ca="1" t="shared" si="104"/>
        <v>16</v>
      </c>
    </row>
    <row r="2186" ht="18" spans="1:11">
      <c r="A2186" s="10">
        <f t="shared" si="102"/>
        <v>2185</v>
      </c>
      <c r="B2186" s="11" t="s">
        <v>6104</v>
      </c>
      <c r="C2186" s="10" t="str">
        <f>IFERROR(INDEX(面试清单!D:D,MATCH(2185,面试清单!P:P,0)),"")</f>
        <v/>
      </c>
      <c r="D2186" s="11" t="s">
        <v>74</v>
      </c>
      <c r="E2186" s="11" t="s">
        <v>64</v>
      </c>
      <c r="F2186" s="11" t="s">
        <v>148</v>
      </c>
      <c r="G2186" s="15">
        <v>46172</v>
      </c>
      <c r="H2186" s="10" t="str">
        <f>IFERROR(INDEX(面试清单!H:H,MATCH(2185,面试清单!P:P,0)),"")</f>
        <v/>
      </c>
      <c r="I2186" s="13" t="s">
        <v>29</v>
      </c>
      <c r="J2186" s="10">
        <f ca="1" t="shared" si="103"/>
        <v>17</v>
      </c>
      <c r="K2186" s="10">
        <f ca="1" t="shared" si="104"/>
        <v>16</v>
      </c>
    </row>
    <row r="2187" ht="18" spans="1:11">
      <c r="A2187" s="14">
        <f t="shared" si="102"/>
        <v>2186</v>
      </c>
      <c r="B2187" s="11" t="s">
        <v>6105</v>
      </c>
      <c r="C2187" s="124" t="str">
        <f>IFERROR(INDEX(面试清单!D:D,MATCH(2186,面试清单!P:P,0)),"")</f>
        <v>0217</v>
      </c>
      <c r="D2187" s="11" t="s">
        <v>42</v>
      </c>
      <c r="E2187" s="11" t="s">
        <v>62</v>
      </c>
      <c r="F2187" s="11" t="s">
        <v>246</v>
      </c>
      <c r="G2187" s="15">
        <v>46172</v>
      </c>
      <c r="H2187" s="14" t="str">
        <f>IFERROR(INDEX(面试清单!H:H,MATCH(2186,面试清单!P:P,0)),"")</f>
        <v>线下</v>
      </c>
      <c r="I2187" s="13" t="s">
        <v>29</v>
      </c>
      <c r="J2187" s="14">
        <f ca="1" t="shared" si="103"/>
        <v>17</v>
      </c>
      <c r="K2187" s="14">
        <f ca="1" t="shared" si="104"/>
        <v>16</v>
      </c>
    </row>
    <row r="2188" ht="18" spans="1:11">
      <c r="A2188" s="10">
        <f t="shared" si="102"/>
        <v>2187</v>
      </c>
      <c r="B2188" s="11" t="s">
        <v>6106</v>
      </c>
      <c r="C2188" s="10" t="str">
        <f>IFERROR(INDEX(面试清单!D:D,MATCH(2187,面试清单!P:P,0)),"")</f>
        <v/>
      </c>
      <c r="D2188" s="11" t="s">
        <v>74</v>
      </c>
      <c r="E2188" s="11" t="s">
        <v>64</v>
      </c>
      <c r="F2188" s="11" t="s">
        <v>135</v>
      </c>
      <c r="G2188" s="15">
        <v>46172</v>
      </c>
      <c r="H2188" s="10" t="str">
        <f>IFERROR(INDEX(面试清单!H:H,MATCH(2187,面试清单!P:P,0)),"")</f>
        <v/>
      </c>
      <c r="I2188" s="13" t="s">
        <v>29</v>
      </c>
      <c r="J2188" s="10">
        <f ca="1" t="shared" si="103"/>
        <v>17</v>
      </c>
      <c r="K2188" s="10">
        <f ca="1" t="shared" si="104"/>
        <v>16</v>
      </c>
    </row>
    <row r="2189" ht="36" spans="1:11">
      <c r="A2189" s="14">
        <f t="shared" si="102"/>
        <v>2188</v>
      </c>
      <c r="B2189" s="11" t="s">
        <v>6107</v>
      </c>
      <c r="C2189" s="14" t="str">
        <f>IFERROR(INDEX(面试清单!D:D,MATCH(2188,面试清单!P:P,0)),"")</f>
        <v/>
      </c>
      <c r="D2189" s="11" t="s">
        <v>74</v>
      </c>
      <c r="E2189" s="11" t="s">
        <v>64</v>
      </c>
      <c r="F2189" s="11" t="s">
        <v>179</v>
      </c>
      <c r="G2189" s="15">
        <v>46172</v>
      </c>
      <c r="H2189" s="14" t="str">
        <f>IFERROR(INDEX(面试清单!H:H,MATCH(2188,面试清单!P:P,0)),"")</f>
        <v/>
      </c>
      <c r="I2189" s="13" t="s">
        <v>29</v>
      </c>
      <c r="J2189" s="14">
        <f ca="1" t="shared" si="103"/>
        <v>17</v>
      </c>
      <c r="K2189" s="14">
        <f ca="1" t="shared" si="104"/>
        <v>16</v>
      </c>
    </row>
    <row r="2190" ht="18" spans="1:11">
      <c r="A2190" s="10">
        <f t="shared" si="102"/>
        <v>2189</v>
      </c>
      <c r="B2190" s="11" t="s">
        <v>6108</v>
      </c>
      <c r="C2190" s="10" t="str">
        <f>IFERROR(INDEX(面试清单!D:D,MATCH(2189,面试清单!P:P,0)),"")</f>
        <v/>
      </c>
      <c r="D2190" s="11" t="s">
        <v>74</v>
      </c>
      <c r="E2190" s="11" t="s">
        <v>64</v>
      </c>
      <c r="F2190" s="11" t="s">
        <v>179</v>
      </c>
      <c r="G2190" s="15">
        <v>46172</v>
      </c>
      <c r="H2190" s="10" t="str">
        <f>IFERROR(INDEX(面试清单!H:H,MATCH(2189,面试清单!P:P,0)),"")</f>
        <v/>
      </c>
      <c r="I2190" s="13" t="s">
        <v>29</v>
      </c>
      <c r="J2190" s="10">
        <f ca="1" t="shared" si="103"/>
        <v>17</v>
      </c>
      <c r="K2190" s="10">
        <f ca="1" t="shared" si="104"/>
        <v>16</v>
      </c>
    </row>
    <row r="2191" ht="18" spans="1:11">
      <c r="A2191" s="14">
        <f t="shared" si="102"/>
        <v>2190</v>
      </c>
      <c r="B2191" s="11" t="s">
        <v>6109</v>
      </c>
      <c r="C2191" s="124" t="str">
        <f>IFERROR(INDEX(面试清单!D:D,MATCH(2190,面试清单!P:P,0)),"")</f>
        <v>0222</v>
      </c>
      <c r="D2191" s="11" t="s">
        <v>74</v>
      </c>
      <c r="E2191" s="11" t="s">
        <v>64</v>
      </c>
      <c r="F2191" s="11" t="s">
        <v>148</v>
      </c>
      <c r="G2191" s="15">
        <v>46172</v>
      </c>
      <c r="H2191" s="14" t="str">
        <f>IFERROR(INDEX(面试清单!H:H,MATCH(2190,面试清单!P:P,0)),"")</f>
        <v>线上</v>
      </c>
      <c r="I2191" s="13" t="s">
        <v>29</v>
      </c>
      <c r="J2191" s="14">
        <f ca="1" t="shared" si="103"/>
        <v>17</v>
      </c>
      <c r="K2191" s="14">
        <f ca="1" t="shared" si="104"/>
        <v>16</v>
      </c>
    </row>
    <row r="2192" ht="18" spans="1:11">
      <c r="A2192" s="10">
        <f t="shared" si="102"/>
        <v>2191</v>
      </c>
      <c r="B2192" s="11" t="s">
        <v>6110</v>
      </c>
      <c r="C2192" s="10" t="str">
        <f>IFERROR(INDEX(面试清单!D:D,MATCH(2191,面试清单!P:P,0)),"")</f>
        <v/>
      </c>
      <c r="D2192" s="11" t="s">
        <v>43</v>
      </c>
      <c r="E2192" s="11" t="s">
        <v>62</v>
      </c>
      <c r="F2192" s="11" t="s">
        <v>176</v>
      </c>
      <c r="G2192" s="15">
        <v>46172</v>
      </c>
      <c r="H2192" s="10" t="str">
        <f>IFERROR(INDEX(面试清单!H:H,MATCH(2191,面试清单!P:P,0)),"")</f>
        <v/>
      </c>
      <c r="I2192" s="13" t="s">
        <v>29</v>
      </c>
      <c r="J2192" s="10">
        <f ca="1" t="shared" si="103"/>
        <v>17</v>
      </c>
      <c r="K2192" s="10">
        <f ca="1" t="shared" si="104"/>
        <v>16</v>
      </c>
    </row>
    <row r="2193" ht="18" spans="1:11">
      <c r="A2193" s="14">
        <f t="shared" si="102"/>
        <v>2192</v>
      </c>
      <c r="B2193" s="11" t="s">
        <v>6111</v>
      </c>
      <c r="C2193" s="124" t="str">
        <f>IFERROR(INDEX(面试清单!D:D,MATCH(2192,面试清单!P:P,0)),"")</f>
        <v>0209</v>
      </c>
      <c r="D2193" s="11" t="s">
        <v>74</v>
      </c>
      <c r="E2193" s="11" t="s">
        <v>64</v>
      </c>
      <c r="F2193" s="11" t="s">
        <v>179</v>
      </c>
      <c r="G2193" s="15">
        <v>46172</v>
      </c>
      <c r="H2193" s="14" t="str">
        <f>IFERROR(INDEX(面试清单!H:H,MATCH(2192,面试清单!P:P,0)),"")</f>
        <v>线上</v>
      </c>
      <c r="I2193" s="13" t="s">
        <v>29</v>
      </c>
      <c r="J2193" s="14">
        <f ca="1" t="shared" si="103"/>
        <v>17</v>
      </c>
      <c r="K2193" s="14">
        <f ca="1" t="shared" si="104"/>
        <v>16</v>
      </c>
    </row>
    <row r="2194" ht="18" spans="1:11">
      <c r="A2194" s="10">
        <f t="shared" si="102"/>
        <v>2193</v>
      </c>
      <c r="B2194" s="11" t="s">
        <v>6112</v>
      </c>
      <c r="C2194" s="125" t="str">
        <f>IFERROR(INDEX(面试清单!D:D,MATCH(2193,面试清单!P:P,0)),"")</f>
        <v>0212</v>
      </c>
      <c r="D2194" s="11" t="s">
        <v>43</v>
      </c>
      <c r="E2194" s="11" t="s">
        <v>63</v>
      </c>
      <c r="F2194" s="11" t="s">
        <v>124</v>
      </c>
      <c r="G2194" s="15">
        <v>46173</v>
      </c>
      <c r="H2194" s="10" t="str">
        <f>IFERROR(INDEX(面试清单!H:H,MATCH(2193,面试清单!P:P,0)),"")</f>
        <v>线上</v>
      </c>
      <c r="I2194" s="13" t="s">
        <v>29</v>
      </c>
      <c r="J2194" s="10">
        <f ca="1" t="shared" si="103"/>
        <v>16</v>
      </c>
      <c r="K2194" s="10">
        <f ca="1" t="shared" si="104"/>
        <v>16</v>
      </c>
    </row>
    <row r="2195" ht="18" spans="1:11">
      <c r="A2195" s="14">
        <f t="shared" si="102"/>
        <v>2194</v>
      </c>
      <c r="B2195" s="11" t="s">
        <v>6113</v>
      </c>
      <c r="C2195" s="14" t="str">
        <f>IFERROR(INDEX(面试清单!D:D,MATCH(2194,面试清单!P:P,0)),"")</f>
        <v/>
      </c>
      <c r="D2195" s="11" t="s">
        <v>43</v>
      </c>
      <c r="E2195" s="11" t="s">
        <v>63</v>
      </c>
      <c r="F2195" s="11" t="s">
        <v>233</v>
      </c>
      <c r="G2195" s="15">
        <v>46173</v>
      </c>
      <c r="H2195" s="14" t="str">
        <f>IFERROR(INDEX(面试清单!H:H,MATCH(2194,面试清单!P:P,0)),"")</f>
        <v/>
      </c>
      <c r="I2195" s="13" t="s">
        <v>29</v>
      </c>
      <c r="J2195" s="14">
        <f ca="1" t="shared" si="103"/>
        <v>16</v>
      </c>
      <c r="K2195" s="14">
        <f ca="1" t="shared" si="104"/>
        <v>16</v>
      </c>
    </row>
    <row r="2196" ht="18" spans="1:11">
      <c r="A2196" s="10">
        <f t="shared" si="102"/>
        <v>2195</v>
      </c>
      <c r="B2196" s="11" t="s">
        <v>6114</v>
      </c>
      <c r="C2196" s="125" t="str">
        <f>IFERROR(INDEX(面试清单!D:D,MATCH(2195,面试清单!P:P,0)),"")</f>
        <v>0217</v>
      </c>
      <c r="D2196" s="11" t="s">
        <v>43</v>
      </c>
      <c r="E2196" s="11" t="s">
        <v>63</v>
      </c>
      <c r="F2196" s="11" t="s">
        <v>233</v>
      </c>
      <c r="G2196" s="15">
        <v>46173</v>
      </c>
      <c r="H2196" s="10" t="str">
        <f>IFERROR(INDEX(面试清单!H:H,MATCH(2195,面试清单!P:P,0)),"")</f>
        <v>线下</v>
      </c>
      <c r="I2196" s="13" t="s">
        <v>29</v>
      </c>
      <c r="J2196" s="10">
        <f ca="1" t="shared" si="103"/>
        <v>16</v>
      </c>
      <c r="K2196" s="10">
        <f ca="1" t="shared" si="104"/>
        <v>16</v>
      </c>
    </row>
    <row r="2197" ht="18" spans="1:11">
      <c r="A2197" s="14">
        <f t="shared" si="102"/>
        <v>2196</v>
      </c>
      <c r="B2197" s="11" t="s">
        <v>6115</v>
      </c>
      <c r="C2197" s="14" t="str">
        <f>IFERROR(INDEX(面试清单!D:D,MATCH(2196,面试清单!P:P,0)),"")</f>
        <v/>
      </c>
      <c r="D2197" s="11" t="s">
        <v>42</v>
      </c>
      <c r="E2197" s="11" t="s">
        <v>63</v>
      </c>
      <c r="F2197" s="11" t="s">
        <v>233</v>
      </c>
      <c r="G2197" s="15">
        <v>46173</v>
      </c>
      <c r="H2197" s="14" t="str">
        <f>IFERROR(INDEX(面试清单!H:H,MATCH(2196,面试清单!P:P,0)),"")</f>
        <v/>
      </c>
      <c r="I2197" s="13" t="s">
        <v>29</v>
      </c>
      <c r="J2197" s="14">
        <f ca="1" t="shared" si="103"/>
        <v>16</v>
      </c>
      <c r="K2197" s="14">
        <f ca="1" t="shared" si="104"/>
        <v>16</v>
      </c>
    </row>
    <row r="2198" ht="18" spans="1:11">
      <c r="A2198" s="10">
        <f t="shared" si="102"/>
        <v>2197</v>
      </c>
      <c r="B2198" s="11" t="s">
        <v>6116</v>
      </c>
      <c r="C2198" s="125" t="str">
        <f>IFERROR(INDEX(面试清单!D:D,MATCH(2197,面试清单!P:P,0)),"")</f>
        <v>0220</v>
      </c>
      <c r="D2198" s="11" t="s">
        <v>43</v>
      </c>
      <c r="E2198" s="11" t="s">
        <v>63</v>
      </c>
      <c r="F2198" s="11" t="s">
        <v>129</v>
      </c>
      <c r="G2198" s="15">
        <v>46173</v>
      </c>
      <c r="H2198" s="10" t="str">
        <f>IFERROR(INDEX(面试清单!H:H,MATCH(2197,面试清单!P:P,0)),"")</f>
        <v>线上</v>
      </c>
      <c r="I2198" s="13" t="s">
        <v>29</v>
      </c>
      <c r="J2198" s="10">
        <f ca="1" t="shared" si="103"/>
        <v>16</v>
      </c>
      <c r="K2198" s="10">
        <f ca="1" t="shared" si="104"/>
        <v>16</v>
      </c>
    </row>
    <row r="2199" ht="18" spans="1:11">
      <c r="A2199" s="14">
        <f t="shared" si="102"/>
        <v>2198</v>
      </c>
      <c r="B2199" s="11" t="s">
        <v>6117</v>
      </c>
      <c r="C2199" s="124" t="str">
        <f>IFERROR(INDEX(面试清单!D:D,MATCH(2198,面试清单!P:P,0)),"")</f>
        <v>0221</v>
      </c>
      <c r="D2199" s="11" t="s">
        <v>42</v>
      </c>
      <c r="E2199" s="11" t="s">
        <v>63</v>
      </c>
      <c r="F2199" s="11" t="s">
        <v>132</v>
      </c>
      <c r="G2199" s="15">
        <v>46173</v>
      </c>
      <c r="H2199" s="14" t="str">
        <f>IFERROR(INDEX(面试清单!H:H,MATCH(2198,面试清单!P:P,0)),"")</f>
        <v>线上</v>
      </c>
      <c r="I2199" s="13" t="s">
        <v>29</v>
      </c>
      <c r="J2199" s="14">
        <f ca="1" t="shared" si="103"/>
        <v>16</v>
      </c>
      <c r="K2199" s="14">
        <f ca="1" t="shared" si="104"/>
        <v>16</v>
      </c>
    </row>
    <row r="2200" ht="18" spans="1:11">
      <c r="A2200" s="10">
        <f t="shared" si="102"/>
        <v>2199</v>
      </c>
      <c r="B2200" s="11" t="s">
        <v>6118</v>
      </c>
      <c r="C2200" s="10" t="str">
        <f>IFERROR(INDEX(面试清单!D:D,MATCH(2199,面试清单!P:P,0)),"")</f>
        <v/>
      </c>
      <c r="D2200" s="11" t="s">
        <v>42</v>
      </c>
      <c r="E2200" s="11" t="s">
        <v>62</v>
      </c>
      <c r="F2200" s="11" t="s">
        <v>307</v>
      </c>
      <c r="G2200" s="15">
        <v>46173</v>
      </c>
      <c r="H2200" s="10" t="str">
        <f>IFERROR(INDEX(面试清单!H:H,MATCH(2199,面试清单!P:P,0)),"")</f>
        <v/>
      </c>
      <c r="I2200" s="13" t="s">
        <v>29</v>
      </c>
      <c r="J2200" s="10">
        <f ca="1" t="shared" si="103"/>
        <v>16</v>
      </c>
      <c r="K2200" s="10">
        <f ca="1" t="shared" si="104"/>
        <v>16</v>
      </c>
    </row>
    <row r="2201" ht="18" spans="1:11">
      <c r="A2201" s="14">
        <f t="shared" si="102"/>
        <v>2200</v>
      </c>
      <c r="B2201" s="11" t="s">
        <v>6119</v>
      </c>
      <c r="C2201" s="14" t="str">
        <f>IFERROR(INDEX(面试清单!D:D,MATCH(2200,面试清单!P:P,0)),"")</f>
        <v/>
      </c>
      <c r="D2201" s="11" t="s">
        <v>42</v>
      </c>
      <c r="E2201" s="11" t="s">
        <v>63</v>
      </c>
      <c r="F2201" s="11" t="s">
        <v>307</v>
      </c>
      <c r="G2201" s="15">
        <v>46173</v>
      </c>
      <c r="H2201" s="14" t="str">
        <f>IFERROR(INDEX(面试清单!H:H,MATCH(2200,面试清单!P:P,0)),"")</f>
        <v/>
      </c>
      <c r="I2201" s="13" t="s">
        <v>29</v>
      </c>
      <c r="J2201" s="14">
        <f ca="1" t="shared" si="103"/>
        <v>16</v>
      </c>
      <c r="K2201" s="14">
        <f ca="1" t="shared" si="104"/>
        <v>16</v>
      </c>
    </row>
    <row r="2202" ht="18" spans="1:11">
      <c r="A2202" s="10">
        <f t="shared" si="102"/>
        <v>2201</v>
      </c>
      <c r="B2202" s="11" t="s">
        <v>6120</v>
      </c>
      <c r="C2202" s="10" t="str">
        <f>IFERROR(INDEX(面试清单!D:D,MATCH(2201,面试清单!P:P,0)),"")</f>
        <v/>
      </c>
      <c r="D2202" s="11" t="s">
        <v>42</v>
      </c>
      <c r="E2202" s="11" t="s">
        <v>63</v>
      </c>
      <c r="F2202" s="11" t="s">
        <v>307</v>
      </c>
      <c r="G2202" s="15">
        <v>46173</v>
      </c>
      <c r="H2202" s="10" t="str">
        <f>IFERROR(INDEX(面试清单!H:H,MATCH(2201,面试清单!P:P,0)),"")</f>
        <v/>
      </c>
      <c r="I2202" s="13" t="s">
        <v>29</v>
      </c>
      <c r="J2202" s="10">
        <f ca="1" t="shared" si="103"/>
        <v>16</v>
      </c>
      <c r="K2202" s="10">
        <f ca="1" t="shared" si="104"/>
        <v>16</v>
      </c>
    </row>
    <row r="2203" ht="18" spans="1:11">
      <c r="A2203" s="14">
        <f t="shared" si="102"/>
        <v>2202</v>
      </c>
      <c r="B2203" s="11" t="s">
        <v>6121</v>
      </c>
      <c r="C2203" s="14" t="str">
        <f>IFERROR(INDEX(面试清单!D:D,MATCH(2202,面试清单!P:P,0)),"")</f>
        <v/>
      </c>
      <c r="D2203" s="11" t="s">
        <v>42</v>
      </c>
      <c r="E2203" s="11" t="s">
        <v>62</v>
      </c>
      <c r="F2203" s="11" t="s">
        <v>132</v>
      </c>
      <c r="G2203" s="15">
        <v>46173</v>
      </c>
      <c r="H2203" s="14" t="str">
        <f>IFERROR(INDEX(面试清单!H:H,MATCH(2202,面试清单!P:P,0)),"")</f>
        <v/>
      </c>
      <c r="I2203" s="13" t="s">
        <v>29</v>
      </c>
      <c r="J2203" s="14">
        <f ca="1" t="shared" si="103"/>
        <v>16</v>
      </c>
      <c r="K2203" s="14">
        <f ca="1" t="shared" si="104"/>
        <v>16</v>
      </c>
    </row>
    <row r="2204" ht="18" spans="1:11">
      <c r="A2204" s="10">
        <f t="shared" si="102"/>
        <v>2203</v>
      </c>
      <c r="B2204" s="11" t="s">
        <v>6122</v>
      </c>
      <c r="C2204" s="10" t="str">
        <f>IFERROR(INDEX(面试清单!D:D,MATCH(2203,面试清单!P:P,0)),"")</f>
        <v/>
      </c>
      <c r="D2204" s="11" t="s">
        <v>43</v>
      </c>
      <c r="E2204" s="11" t="s">
        <v>63</v>
      </c>
      <c r="F2204" s="11" t="s">
        <v>690</v>
      </c>
      <c r="G2204" s="15">
        <v>46173</v>
      </c>
      <c r="H2204" s="10" t="str">
        <f>IFERROR(INDEX(面试清单!H:H,MATCH(2203,面试清单!P:P,0)),"")</f>
        <v/>
      </c>
      <c r="I2204" s="13" t="s">
        <v>29</v>
      </c>
      <c r="J2204" s="10">
        <f ca="1" t="shared" si="103"/>
        <v>16</v>
      </c>
      <c r="K2204" s="10">
        <f ca="1" t="shared" si="104"/>
        <v>16</v>
      </c>
    </row>
    <row r="2205" ht="18" spans="1:11">
      <c r="A2205" s="14">
        <f t="shared" si="102"/>
        <v>2204</v>
      </c>
      <c r="B2205" s="11" t="s">
        <v>6123</v>
      </c>
      <c r="C2205" s="124" t="str">
        <f>IFERROR(INDEX(面试清单!D:D,MATCH(2204,面试清单!P:P,0)),"")</f>
        <v>0217</v>
      </c>
      <c r="D2205" s="11" t="s">
        <v>42</v>
      </c>
      <c r="E2205" s="11" t="s">
        <v>62</v>
      </c>
      <c r="F2205" s="11" t="s">
        <v>530</v>
      </c>
      <c r="G2205" s="15">
        <v>46173</v>
      </c>
      <c r="H2205" s="14" t="str">
        <f>IFERROR(INDEX(面试清单!H:H,MATCH(2204,面试清单!P:P,0)),"")</f>
        <v>线上</v>
      </c>
      <c r="I2205" s="13" t="s">
        <v>29</v>
      </c>
      <c r="J2205" s="14">
        <f ca="1" t="shared" si="103"/>
        <v>16</v>
      </c>
      <c r="K2205" s="14">
        <f ca="1" t="shared" si="104"/>
        <v>16</v>
      </c>
    </row>
    <row r="2206" ht="36" spans="1:11">
      <c r="A2206" s="10">
        <f t="shared" si="102"/>
        <v>2205</v>
      </c>
      <c r="B2206" s="11" t="s">
        <v>6124</v>
      </c>
      <c r="C2206" s="10" t="str">
        <f>IFERROR(INDEX(面试清单!D:D,MATCH(2205,面试清单!P:P,0)),"")</f>
        <v/>
      </c>
      <c r="D2206" s="11" t="s">
        <v>42</v>
      </c>
      <c r="E2206" s="11" t="s">
        <v>62</v>
      </c>
      <c r="F2206" s="11" t="s">
        <v>233</v>
      </c>
      <c r="G2206" s="15">
        <v>46173</v>
      </c>
      <c r="H2206" s="10" t="str">
        <f>IFERROR(INDEX(面试清单!H:H,MATCH(2205,面试清单!P:P,0)),"")</f>
        <v/>
      </c>
      <c r="I2206" s="13" t="s">
        <v>29</v>
      </c>
      <c r="J2206" s="10">
        <f ca="1" t="shared" si="103"/>
        <v>16</v>
      </c>
      <c r="K2206" s="10">
        <f ca="1" t="shared" si="104"/>
        <v>16</v>
      </c>
    </row>
    <row r="2207" ht="18" spans="1:11">
      <c r="A2207" s="14">
        <f t="shared" si="102"/>
        <v>2206</v>
      </c>
      <c r="B2207" s="11" t="s">
        <v>6125</v>
      </c>
      <c r="C2207" s="14" t="str">
        <f>IFERROR(INDEX(面试清单!D:D,MATCH(2206,面试清单!P:P,0)),"")</f>
        <v/>
      </c>
      <c r="D2207" s="11" t="s">
        <v>43</v>
      </c>
      <c r="E2207" s="11" t="s">
        <v>62</v>
      </c>
      <c r="F2207" s="11" t="s">
        <v>426</v>
      </c>
      <c r="G2207" s="15">
        <v>46173</v>
      </c>
      <c r="H2207" s="14" t="str">
        <f>IFERROR(INDEX(面试清单!H:H,MATCH(2206,面试清单!P:P,0)),"")</f>
        <v/>
      </c>
      <c r="I2207" s="13" t="s">
        <v>29</v>
      </c>
      <c r="J2207" s="14">
        <f ca="1" t="shared" si="103"/>
        <v>16</v>
      </c>
      <c r="K2207" s="14">
        <f ca="1" t="shared" si="104"/>
        <v>16</v>
      </c>
    </row>
    <row r="2208" ht="18" spans="1:11">
      <c r="A2208" s="10">
        <f t="shared" si="102"/>
        <v>2207</v>
      </c>
      <c r="B2208" s="11" t="s">
        <v>6126</v>
      </c>
      <c r="C2208" s="10" t="str">
        <f>IFERROR(INDEX(面试清单!D:D,MATCH(2207,面试清单!P:P,0)),"")</f>
        <v/>
      </c>
      <c r="D2208" s="11" t="s">
        <v>43</v>
      </c>
      <c r="E2208" s="11" t="s">
        <v>63</v>
      </c>
      <c r="F2208" s="11" t="s">
        <v>1006</v>
      </c>
      <c r="G2208" s="15">
        <v>46173</v>
      </c>
      <c r="H2208" s="10" t="str">
        <f>IFERROR(INDEX(面试清单!H:H,MATCH(2207,面试清单!P:P,0)),"")</f>
        <v/>
      </c>
      <c r="I2208" s="13" t="s">
        <v>29</v>
      </c>
      <c r="J2208" s="10">
        <f ca="1" t="shared" si="103"/>
        <v>16</v>
      </c>
      <c r="K2208" s="10">
        <f ca="1" t="shared" si="104"/>
        <v>16</v>
      </c>
    </row>
    <row r="2209" ht="18" spans="1:11">
      <c r="A2209" s="14">
        <f t="shared" si="102"/>
        <v>2208</v>
      </c>
      <c r="B2209" s="11" t="s">
        <v>6127</v>
      </c>
      <c r="C2209" s="14" t="str">
        <f>IFERROR(INDEX(面试清单!D:D,MATCH(2208,面试清单!P:P,0)),"")</f>
        <v/>
      </c>
      <c r="D2209" s="11" t="s">
        <v>43</v>
      </c>
      <c r="E2209" s="11" t="s">
        <v>62</v>
      </c>
      <c r="F2209" s="11" t="s">
        <v>117</v>
      </c>
      <c r="G2209" s="15">
        <v>46173</v>
      </c>
      <c r="H2209" s="14" t="str">
        <f>IFERROR(INDEX(面试清单!H:H,MATCH(2208,面试清单!P:P,0)),"")</f>
        <v/>
      </c>
      <c r="I2209" s="13" t="s">
        <v>29</v>
      </c>
      <c r="J2209" s="14">
        <f ca="1" t="shared" si="103"/>
        <v>16</v>
      </c>
      <c r="K2209" s="14">
        <f ca="1" t="shared" si="104"/>
        <v>16</v>
      </c>
    </row>
    <row r="2210" ht="18" spans="1:11">
      <c r="A2210" s="10">
        <f t="shared" si="102"/>
        <v>2209</v>
      </c>
      <c r="B2210" s="11" t="s">
        <v>6128</v>
      </c>
      <c r="C2210" s="10" t="str">
        <f>IFERROR(INDEX(面试清单!D:D,MATCH(2209,面试清单!P:P,0)),"")</f>
        <v/>
      </c>
      <c r="D2210" s="11" t="s">
        <v>43</v>
      </c>
      <c r="E2210" s="11" t="s">
        <v>62</v>
      </c>
      <c r="F2210" s="11" t="s">
        <v>233</v>
      </c>
      <c r="G2210" s="15">
        <v>46173</v>
      </c>
      <c r="H2210" s="10" t="str">
        <f>IFERROR(INDEX(面试清单!H:H,MATCH(2209,面试清单!P:P,0)),"")</f>
        <v/>
      </c>
      <c r="I2210" s="13" t="s">
        <v>29</v>
      </c>
      <c r="J2210" s="10">
        <f ca="1" t="shared" si="103"/>
        <v>16</v>
      </c>
      <c r="K2210" s="10">
        <f ca="1" t="shared" si="104"/>
        <v>16</v>
      </c>
    </row>
    <row r="2211" ht="18" spans="1:11">
      <c r="A2211" s="14">
        <f t="shared" si="102"/>
        <v>2210</v>
      </c>
      <c r="B2211" s="11" t="s">
        <v>6129</v>
      </c>
      <c r="C2211" s="14" t="str">
        <f>IFERROR(INDEX(面试清单!D:D,MATCH(2210,面试清单!P:P,0)),"")</f>
        <v/>
      </c>
      <c r="D2211" s="11" t="s">
        <v>43</v>
      </c>
      <c r="E2211" s="11" t="s">
        <v>62</v>
      </c>
      <c r="F2211" s="11" t="s">
        <v>117</v>
      </c>
      <c r="G2211" s="15">
        <v>46173</v>
      </c>
      <c r="H2211" s="14" t="str">
        <f>IFERROR(INDEX(面试清单!H:H,MATCH(2210,面试清单!P:P,0)),"")</f>
        <v/>
      </c>
      <c r="I2211" s="13" t="s">
        <v>29</v>
      </c>
      <c r="J2211" s="14">
        <f ca="1" t="shared" si="103"/>
        <v>16</v>
      </c>
      <c r="K2211" s="14">
        <f ca="1" t="shared" si="104"/>
        <v>16</v>
      </c>
    </row>
    <row r="2212" ht="18" spans="1:11">
      <c r="A2212" s="10">
        <f t="shared" si="102"/>
        <v>2211</v>
      </c>
      <c r="B2212" s="11" t="s">
        <v>6130</v>
      </c>
      <c r="C2212" s="125" t="str">
        <f>IFERROR(INDEX(面试清单!D:D,MATCH(2211,面试清单!P:P,0)),"")</f>
        <v>0209</v>
      </c>
      <c r="D2212" s="11" t="s">
        <v>42</v>
      </c>
      <c r="E2212" s="11" t="s">
        <v>62</v>
      </c>
      <c r="F2212" s="11" t="s">
        <v>103</v>
      </c>
      <c r="G2212" s="15">
        <v>46173</v>
      </c>
      <c r="H2212" s="10" t="str">
        <f>IFERROR(INDEX(面试清单!H:H,MATCH(2211,面试清单!P:P,0)),"")</f>
        <v>线上</v>
      </c>
      <c r="I2212" s="13" t="s">
        <v>29</v>
      </c>
      <c r="J2212" s="10">
        <f ca="1" t="shared" si="103"/>
        <v>16</v>
      </c>
      <c r="K2212" s="10">
        <f ca="1" t="shared" si="104"/>
        <v>16</v>
      </c>
    </row>
    <row r="2213" ht="18" spans="1:11">
      <c r="A2213" s="14">
        <f t="shared" si="102"/>
        <v>2212</v>
      </c>
      <c r="B2213" s="11" t="s">
        <v>6131</v>
      </c>
      <c r="C2213" s="14" t="str">
        <f>IFERROR(INDEX(面试清单!D:D,MATCH(2212,面试清单!P:P,0)),"")</f>
        <v/>
      </c>
      <c r="D2213" s="11" t="s">
        <v>43</v>
      </c>
      <c r="E2213" s="11" t="s">
        <v>64</v>
      </c>
      <c r="F2213" s="11" t="s">
        <v>179</v>
      </c>
      <c r="G2213" s="15">
        <v>46173</v>
      </c>
      <c r="H2213" s="14" t="str">
        <f>IFERROR(INDEX(面试清单!H:H,MATCH(2212,面试清单!P:P,0)),"")</f>
        <v/>
      </c>
      <c r="I2213" s="13" t="s">
        <v>29</v>
      </c>
      <c r="J2213" s="14">
        <f ca="1" t="shared" si="103"/>
        <v>16</v>
      </c>
      <c r="K2213" s="14">
        <f ca="1" t="shared" si="104"/>
        <v>16</v>
      </c>
    </row>
    <row r="2214" ht="18" spans="1:11">
      <c r="A2214" s="10">
        <f t="shared" si="102"/>
        <v>2213</v>
      </c>
      <c r="B2214" s="11" t="s">
        <v>6132</v>
      </c>
      <c r="C2214" s="10" t="str">
        <f>IFERROR(INDEX(面试清单!D:D,MATCH(2213,面试清单!P:P,0)),"")</f>
        <v/>
      </c>
      <c r="D2214" s="11" t="s">
        <v>43</v>
      </c>
      <c r="E2214" s="11" t="s">
        <v>64</v>
      </c>
      <c r="F2214" s="11" t="s">
        <v>179</v>
      </c>
      <c r="G2214" s="15">
        <v>46173</v>
      </c>
      <c r="H2214" s="10" t="str">
        <f>IFERROR(INDEX(面试清单!H:H,MATCH(2213,面试清单!P:P,0)),"")</f>
        <v/>
      </c>
      <c r="I2214" s="13" t="s">
        <v>29</v>
      </c>
      <c r="J2214" s="10">
        <f ca="1" t="shared" si="103"/>
        <v>16</v>
      </c>
      <c r="K2214" s="10">
        <f ca="1" t="shared" si="104"/>
        <v>16</v>
      </c>
    </row>
    <row r="2215" ht="18" spans="1:11">
      <c r="A2215" s="14">
        <f t="shared" si="102"/>
        <v>2214</v>
      </c>
      <c r="B2215" s="11" t="s">
        <v>6133</v>
      </c>
      <c r="C2215" s="14" t="str">
        <f>IFERROR(INDEX(面试清单!D:D,MATCH(2214,面试清单!P:P,0)),"")</f>
        <v/>
      </c>
      <c r="D2215" s="11" t="s">
        <v>42</v>
      </c>
      <c r="E2215" s="11" t="s">
        <v>64</v>
      </c>
      <c r="F2215" s="11" t="s">
        <v>233</v>
      </c>
      <c r="G2215" s="15">
        <v>46173</v>
      </c>
      <c r="H2215" s="14" t="str">
        <f>IFERROR(INDEX(面试清单!H:H,MATCH(2214,面试清单!P:P,0)),"")</f>
        <v/>
      </c>
      <c r="I2215" s="13" t="s">
        <v>29</v>
      </c>
      <c r="J2215" s="14">
        <f ca="1" t="shared" si="103"/>
        <v>16</v>
      </c>
      <c r="K2215" s="14">
        <f ca="1" t="shared" si="104"/>
        <v>16</v>
      </c>
    </row>
    <row r="2216" ht="18" spans="1:11">
      <c r="A2216" s="10">
        <f t="shared" si="102"/>
        <v>2215</v>
      </c>
      <c r="B2216" s="11" t="s">
        <v>6134</v>
      </c>
      <c r="C2216" s="10" t="str">
        <f>IFERROR(INDEX(面试清单!D:D,MATCH(2215,面试清单!P:P,0)),"")</f>
        <v/>
      </c>
      <c r="D2216" s="11" t="s">
        <v>42</v>
      </c>
      <c r="E2216" s="11" t="s">
        <v>64</v>
      </c>
      <c r="F2216" s="11" t="s">
        <v>117</v>
      </c>
      <c r="G2216" s="15">
        <v>46173</v>
      </c>
      <c r="H2216" s="10" t="str">
        <f>IFERROR(INDEX(面试清单!H:H,MATCH(2215,面试清单!P:P,0)),"")</f>
        <v/>
      </c>
      <c r="I2216" s="13" t="s">
        <v>29</v>
      </c>
      <c r="J2216" s="10">
        <f ca="1" t="shared" si="103"/>
        <v>16</v>
      </c>
      <c r="K2216" s="10">
        <f ca="1" t="shared" si="104"/>
        <v>16</v>
      </c>
    </row>
    <row r="2217" ht="18" spans="1:11">
      <c r="A2217" s="14">
        <f t="shared" si="102"/>
        <v>2216</v>
      </c>
      <c r="B2217" s="11" t="s">
        <v>6135</v>
      </c>
      <c r="C2217" s="124" t="str">
        <f>IFERROR(INDEX(面试清单!D:D,MATCH(2216,面试清单!P:P,0)),"")</f>
        <v>0220</v>
      </c>
      <c r="D2217" s="11" t="s">
        <v>42</v>
      </c>
      <c r="E2217" s="11" t="s">
        <v>64</v>
      </c>
      <c r="F2217" s="11" t="s">
        <v>135</v>
      </c>
      <c r="G2217" s="15">
        <v>46173</v>
      </c>
      <c r="H2217" s="14" t="str">
        <f>IFERROR(INDEX(面试清单!H:H,MATCH(2216,面试清单!P:P,0)),"")</f>
        <v>线上</v>
      </c>
      <c r="I2217" s="13" t="s">
        <v>29</v>
      </c>
      <c r="J2217" s="14">
        <f ca="1" t="shared" si="103"/>
        <v>16</v>
      </c>
      <c r="K2217" s="14">
        <f ca="1" t="shared" si="104"/>
        <v>16</v>
      </c>
    </row>
    <row r="2218" ht="18" spans="1:11">
      <c r="A2218" s="10">
        <f t="shared" si="102"/>
        <v>2217</v>
      </c>
      <c r="B2218" s="11" t="s">
        <v>6136</v>
      </c>
      <c r="C2218" s="10" t="str">
        <f>IFERROR(INDEX(面试清单!D:D,MATCH(2217,面试清单!P:P,0)),"")</f>
        <v/>
      </c>
      <c r="D2218" s="11" t="s">
        <v>74</v>
      </c>
      <c r="E2218" s="11" t="s">
        <v>64</v>
      </c>
      <c r="F2218" s="11" t="s">
        <v>103</v>
      </c>
      <c r="G2218" s="15">
        <v>46173</v>
      </c>
      <c r="H2218" s="10" t="str">
        <f>IFERROR(INDEX(面试清单!H:H,MATCH(2217,面试清单!P:P,0)),"")</f>
        <v/>
      </c>
      <c r="I2218" s="13" t="s">
        <v>29</v>
      </c>
      <c r="J2218" s="10">
        <f ca="1" t="shared" si="103"/>
        <v>16</v>
      </c>
      <c r="K2218" s="10">
        <f ca="1" t="shared" si="104"/>
        <v>16</v>
      </c>
    </row>
    <row r="2219" ht="18" spans="1:11">
      <c r="A2219" s="14">
        <f t="shared" si="102"/>
        <v>2218</v>
      </c>
      <c r="B2219" s="11" t="s">
        <v>6137</v>
      </c>
      <c r="C2219" s="124" t="str">
        <f>IFERROR(INDEX(面试清单!D:D,MATCH(2218,面试清单!P:P,0)),"")</f>
        <v>0222</v>
      </c>
      <c r="D2219" s="11" t="s">
        <v>74</v>
      </c>
      <c r="E2219" s="11" t="s">
        <v>64</v>
      </c>
      <c r="F2219" s="11" t="s">
        <v>124</v>
      </c>
      <c r="G2219" s="15">
        <v>46173</v>
      </c>
      <c r="H2219" s="14" t="str">
        <f>IFERROR(INDEX(面试清单!H:H,MATCH(2218,面试清单!P:P,0)),"")</f>
        <v>线上</v>
      </c>
      <c r="I2219" s="13" t="s">
        <v>29</v>
      </c>
      <c r="J2219" s="14">
        <f ca="1" t="shared" si="103"/>
        <v>16</v>
      </c>
      <c r="K2219" s="14">
        <f ca="1" t="shared" si="104"/>
        <v>16</v>
      </c>
    </row>
    <row r="2220" ht="18" spans="1:11">
      <c r="A2220" s="10">
        <f t="shared" si="102"/>
        <v>2219</v>
      </c>
      <c r="B2220" s="11" t="s">
        <v>6138</v>
      </c>
      <c r="C2220" s="10" t="str">
        <f>IFERROR(INDEX(面试清单!D:D,MATCH(2219,面试清单!P:P,0)),"")</f>
        <v/>
      </c>
      <c r="D2220" s="11" t="s">
        <v>74</v>
      </c>
      <c r="E2220" s="11" t="s">
        <v>64</v>
      </c>
      <c r="F2220" s="11" t="s">
        <v>246</v>
      </c>
      <c r="G2220" s="15">
        <v>46173</v>
      </c>
      <c r="H2220" s="10" t="str">
        <f>IFERROR(INDEX(面试清单!H:H,MATCH(2219,面试清单!P:P,0)),"")</f>
        <v/>
      </c>
      <c r="I2220" s="13" t="s">
        <v>29</v>
      </c>
      <c r="J2220" s="10">
        <f ca="1" t="shared" si="103"/>
        <v>16</v>
      </c>
      <c r="K2220" s="10">
        <f ca="1" t="shared" si="104"/>
        <v>16</v>
      </c>
    </row>
    <row r="2221" ht="18" spans="1:11">
      <c r="A2221" s="14">
        <f t="shared" si="102"/>
        <v>2220</v>
      </c>
      <c r="B2221" s="11" t="s">
        <v>6139</v>
      </c>
      <c r="C2221" s="14" t="str">
        <f>IFERROR(INDEX(面试清单!D:D,MATCH(2220,面试清单!P:P,0)),"")</f>
        <v/>
      </c>
      <c r="D2221" s="11" t="s">
        <v>74</v>
      </c>
      <c r="E2221" s="11" t="s">
        <v>64</v>
      </c>
      <c r="F2221" s="11" t="s">
        <v>246</v>
      </c>
      <c r="G2221" s="15">
        <v>46173</v>
      </c>
      <c r="H2221" s="14" t="str">
        <f>IFERROR(INDEX(面试清单!H:H,MATCH(2220,面试清单!P:P,0)),"")</f>
        <v/>
      </c>
      <c r="I2221" s="13" t="s">
        <v>29</v>
      </c>
      <c r="J2221" s="14">
        <f ca="1" t="shared" si="103"/>
        <v>16</v>
      </c>
      <c r="K2221" s="14">
        <f ca="1" t="shared" si="104"/>
        <v>16</v>
      </c>
    </row>
    <row r="2222" ht="18" spans="1:11">
      <c r="A2222" s="10">
        <f t="shared" si="102"/>
        <v>2221</v>
      </c>
      <c r="B2222" s="11" t="s">
        <v>6140</v>
      </c>
      <c r="C2222" s="10" t="str">
        <f>IFERROR(INDEX(面试清单!D:D,MATCH(2221,面试清单!P:P,0)),"")</f>
        <v/>
      </c>
      <c r="D2222" s="11" t="s">
        <v>74</v>
      </c>
      <c r="E2222" s="11" t="s">
        <v>64</v>
      </c>
      <c r="F2222" s="11" t="s">
        <v>129</v>
      </c>
      <c r="G2222" s="15">
        <v>46173</v>
      </c>
      <c r="H2222" s="10" t="str">
        <f>IFERROR(INDEX(面试清单!H:H,MATCH(2221,面试清单!P:P,0)),"")</f>
        <v/>
      </c>
      <c r="I2222" s="13" t="s">
        <v>29</v>
      </c>
      <c r="J2222" s="10">
        <f ca="1" t="shared" si="103"/>
        <v>16</v>
      </c>
      <c r="K2222" s="10">
        <f ca="1" t="shared" si="104"/>
        <v>16</v>
      </c>
    </row>
    <row r="2223" ht="18" spans="1:11">
      <c r="A2223" s="14">
        <f t="shared" si="102"/>
        <v>2222</v>
      </c>
      <c r="B2223" s="11" t="s">
        <v>6141</v>
      </c>
      <c r="C2223" s="14" t="str">
        <f>IFERROR(INDEX(面试清单!D:D,MATCH(2222,面试清单!P:P,0)),"")</f>
        <v/>
      </c>
      <c r="D2223" s="11" t="s">
        <v>74</v>
      </c>
      <c r="E2223" s="11" t="s">
        <v>64</v>
      </c>
      <c r="F2223" s="11" t="s">
        <v>129</v>
      </c>
      <c r="G2223" s="15">
        <v>46173</v>
      </c>
      <c r="H2223" s="14" t="str">
        <f>IFERROR(INDEX(面试清单!H:H,MATCH(2222,面试清单!P:P,0)),"")</f>
        <v/>
      </c>
      <c r="I2223" s="13" t="s">
        <v>29</v>
      </c>
      <c r="J2223" s="14">
        <f ca="1" t="shared" si="103"/>
        <v>16</v>
      </c>
      <c r="K2223" s="14">
        <f ca="1" t="shared" si="104"/>
        <v>16</v>
      </c>
    </row>
    <row r="2224" ht="18" spans="1:11">
      <c r="A2224" s="10">
        <f t="shared" si="102"/>
        <v>2223</v>
      </c>
      <c r="B2224" s="11" t="s">
        <v>6142</v>
      </c>
      <c r="C2224" s="10" t="str">
        <f>IFERROR(INDEX(面试清单!D:D,MATCH(2223,面试清单!P:P,0)),"")</f>
        <v/>
      </c>
      <c r="D2224" s="11" t="s">
        <v>74</v>
      </c>
      <c r="E2224" s="11" t="s">
        <v>64</v>
      </c>
      <c r="F2224" s="11" t="s">
        <v>179</v>
      </c>
      <c r="G2224" s="15">
        <v>46173</v>
      </c>
      <c r="H2224" s="10" t="str">
        <f>IFERROR(INDEX(面试清单!H:H,MATCH(2223,面试清单!P:P,0)),"")</f>
        <v/>
      </c>
      <c r="I2224" s="13" t="s">
        <v>29</v>
      </c>
      <c r="J2224" s="10">
        <f ca="1" t="shared" si="103"/>
        <v>16</v>
      </c>
      <c r="K2224" s="10">
        <f ca="1" t="shared" si="104"/>
        <v>16</v>
      </c>
    </row>
    <row r="2225" ht="18" spans="1:11">
      <c r="A2225" s="14">
        <f t="shared" si="102"/>
        <v>2224</v>
      </c>
      <c r="B2225" s="11" t="s">
        <v>6143</v>
      </c>
      <c r="C2225" s="124" t="str">
        <f>IFERROR(INDEX(面试清单!D:D,MATCH(2224,面试清单!P:P,0)),"")</f>
        <v>0218</v>
      </c>
      <c r="D2225" s="11" t="s">
        <v>74</v>
      </c>
      <c r="E2225" s="11" t="s">
        <v>64</v>
      </c>
      <c r="F2225" s="11" t="s">
        <v>179</v>
      </c>
      <c r="G2225" s="15">
        <v>46173</v>
      </c>
      <c r="H2225" s="14" t="str">
        <f>IFERROR(INDEX(面试清单!H:H,MATCH(2224,面试清单!P:P,0)),"")</f>
        <v>线下</v>
      </c>
      <c r="I2225" s="13" t="s">
        <v>29</v>
      </c>
      <c r="J2225" s="14">
        <f ca="1" t="shared" si="103"/>
        <v>16</v>
      </c>
      <c r="K2225" s="14">
        <f ca="1" t="shared" si="104"/>
        <v>16</v>
      </c>
    </row>
    <row r="2226" ht="18" spans="1:11">
      <c r="A2226" s="10">
        <f t="shared" si="102"/>
        <v>2225</v>
      </c>
      <c r="B2226" s="11" t="s">
        <v>6144</v>
      </c>
      <c r="C2226" s="125" t="str">
        <f>IFERROR(INDEX(面试清单!D:D,MATCH(2225,面试清单!P:P,0)),"")</f>
        <v>0220</v>
      </c>
      <c r="D2226" s="11" t="s">
        <v>74</v>
      </c>
      <c r="E2226" s="11" t="s">
        <v>64</v>
      </c>
      <c r="F2226" s="11" t="s">
        <v>179</v>
      </c>
      <c r="G2226" s="15">
        <v>46173</v>
      </c>
      <c r="H2226" s="10" t="str">
        <f>IFERROR(INDEX(面试清单!H:H,MATCH(2225,面试清单!P:P,0)),"")</f>
        <v>线上</v>
      </c>
      <c r="I2226" s="13" t="s">
        <v>29</v>
      </c>
      <c r="J2226" s="10">
        <f ca="1" t="shared" si="103"/>
        <v>16</v>
      </c>
      <c r="K2226" s="10">
        <f ca="1" t="shared" si="104"/>
        <v>16</v>
      </c>
    </row>
    <row r="2227" ht="18" spans="1:11">
      <c r="A2227" s="14">
        <f t="shared" si="102"/>
        <v>2226</v>
      </c>
      <c r="B2227" s="11" t="s">
        <v>6145</v>
      </c>
      <c r="C2227" s="124" t="str">
        <f>IFERROR(INDEX(面试清单!D:D,MATCH(2226,面试清单!P:P,0)),"")</f>
        <v>0221</v>
      </c>
      <c r="D2227" s="11" t="s">
        <v>74</v>
      </c>
      <c r="E2227" s="11" t="s">
        <v>64</v>
      </c>
      <c r="F2227" s="11" t="s">
        <v>179</v>
      </c>
      <c r="G2227" s="15">
        <v>46173</v>
      </c>
      <c r="H2227" s="14" t="str">
        <f>IFERROR(INDEX(面试清单!H:H,MATCH(2226,面试清单!P:P,0)),"")</f>
        <v>线上</v>
      </c>
      <c r="I2227" s="13" t="s">
        <v>29</v>
      </c>
      <c r="J2227" s="14">
        <f ca="1" t="shared" si="103"/>
        <v>16</v>
      </c>
      <c r="K2227" s="14">
        <f ca="1" t="shared" si="104"/>
        <v>16</v>
      </c>
    </row>
    <row r="2228" ht="18" spans="1:11">
      <c r="A2228" s="10">
        <f t="shared" si="102"/>
        <v>2227</v>
      </c>
      <c r="B2228" s="11" t="s">
        <v>2182</v>
      </c>
      <c r="C2228" s="10" t="str">
        <f>IFERROR(INDEX(面试清单!D:D,MATCH(2227,面试清单!P:P,0)),"")</f>
        <v/>
      </c>
      <c r="D2228" s="11" t="s">
        <v>74</v>
      </c>
      <c r="E2228" s="11" t="s">
        <v>64</v>
      </c>
      <c r="F2228" s="11" t="s">
        <v>179</v>
      </c>
      <c r="G2228" s="15">
        <v>46173</v>
      </c>
      <c r="H2228" s="10" t="str">
        <f>IFERROR(INDEX(面试清单!H:H,MATCH(2227,面试清单!P:P,0)),"")</f>
        <v/>
      </c>
      <c r="I2228" s="13" t="s">
        <v>29</v>
      </c>
      <c r="J2228" s="10">
        <f ca="1" t="shared" si="103"/>
        <v>16</v>
      </c>
      <c r="K2228" s="10">
        <f ca="1" t="shared" si="104"/>
        <v>16</v>
      </c>
    </row>
    <row r="2229" ht="18" spans="1:11">
      <c r="A2229" s="14">
        <f t="shared" si="102"/>
        <v>2228</v>
      </c>
      <c r="B2229" s="11" t="s">
        <v>6146</v>
      </c>
      <c r="C2229" s="14" t="str">
        <f>IFERROR(INDEX(面试清单!D:D,MATCH(2228,面试清单!P:P,0)),"")</f>
        <v/>
      </c>
      <c r="D2229" s="11" t="s">
        <v>74</v>
      </c>
      <c r="E2229" s="11" t="s">
        <v>64</v>
      </c>
      <c r="F2229" s="11" t="s">
        <v>179</v>
      </c>
      <c r="G2229" s="15">
        <v>46173</v>
      </c>
      <c r="H2229" s="14" t="str">
        <f>IFERROR(INDEX(面试清单!H:H,MATCH(2228,面试清单!P:P,0)),"")</f>
        <v/>
      </c>
      <c r="I2229" s="13" t="s">
        <v>29</v>
      </c>
      <c r="J2229" s="14">
        <f ca="1" t="shared" si="103"/>
        <v>16</v>
      </c>
      <c r="K2229" s="14">
        <f ca="1" t="shared" si="104"/>
        <v>16</v>
      </c>
    </row>
    <row r="2230" ht="18" spans="1:11">
      <c r="A2230" s="10">
        <f t="shared" si="102"/>
        <v>2229</v>
      </c>
      <c r="B2230" s="11" t="s">
        <v>6147</v>
      </c>
      <c r="C2230" s="125" t="str">
        <f>IFERROR(INDEX(面试清单!D:D,MATCH(2229,面试清单!P:P,0)),"")</f>
        <v>0209</v>
      </c>
      <c r="D2230" s="11" t="s">
        <v>74</v>
      </c>
      <c r="E2230" s="11" t="s">
        <v>64</v>
      </c>
      <c r="F2230" s="11" t="s">
        <v>148</v>
      </c>
      <c r="G2230" s="15">
        <v>46173</v>
      </c>
      <c r="H2230" s="10" t="str">
        <f>IFERROR(INDEX(面试清单!H:H,MATCH(2229,面试清单!P:P,0)),"")</f>
        <v>线上</v>
      </c>
      <c r="I2230" s="13" t="s">
        <v>29</v>
      </c>
      <c r="J2230" s="10">
        <f ca="1" t="shared" si="103"/>
        <v>16</v>
      </c>
      <c r="K2230" s="10">
        <f ca="1" t="shared" si="104"/>
        <v>16</v>
      </c>
    </row>
    <row r="2231" ht="18" spans="1:11">
      <c r="A2231" s="14">
        <f t="shared" si="102"/>
        <v>2230</v>
      </c>
      <c r="B2231" s="11" t="s">
        <v>6148</v>
      </c>
      <c r="C2231" s="124" t="str">
        <f>IFERROR(INDEX(面试清单!D:D,MATCH(2230,面试清单!P:P,0)),"")</f>
        <v>0212</v>
      </c>
      <c r="D2231" s="11" t="s">
        <v>74</v>
      </c>
      <c r="E2231" s="11" t="s">
        <v>64</v>
      </c>
      <c r="F2231" s="11" t="s">
        <v>148</v>
      </c>
      <c r="G2231" s="15">
        <v>46173</v>
      </c>
      <c r="H2231" s="14" t="str">
        <f>IFERROR(INDEX(面试清单!H:H,MATCH(2230,面试清单!P:P,0)),"")</f>
        <v>线上</v>
      </c>
      <c r="I2231" s="13" t="s">
        <v>29</v>
      </c>
      <c r="J2231" s="14">
        <f ca="1" t="shared" si="103"/>
        <v>16</v>
      </c>
      <c r="K2231" s="14">
        <f ca="1" t="shared" si="104"/>
        <v>16</v>
      </c>
    </row>
    <row r="2232" ht="18" spans="1:11">
      <c r="A2232" s="10">
        <f t="shared" si="102"/>
        <v>2231</v>
      </c>
      <c r="B2232" s="11" t="s">
        <v>6149</v>
      </c>
      <c r="C2232" s="10" t="str">
        <f>IFERROR(INDEX(面试清单!D:D,MATCH(2231,面试清单!P:P,0)),"")</f>
        <v/>
      </c>
      <c r="D2232" s="11" t="s">
        <v>74</v>
      </c>
      <c r="E2232" s="11" t="s">
        <v>64</v>
      </c>
      <c r="F2232" s="11" t="s">
        <v>148</v>
      </c>
      <c r="G2232" s="15">
        <v>46173</v>
      </c>
      <c r="H2232" s="10" t="str">
        <f>IFERROR(INDEX(面试清单!H:H,MATCH(2231,面试清单!P:P,0)),"")</f>
        <v/>
      </c>
      <c r="I2232" s="13" t="s">
        <v>29</v>
      </c>
      <c r="J2232" s="10">
        <f ca="1" t="shared" si="103"/>
        <v>16</v>
      </c>
      <c r="K2232" s="10">
        <f ca="1" t="shared" si="104"/>
        <v>16</v>
      </c>
    </row>
    <row r="2233" ht="18" spans="1:11">
      <c r="A2233" s="14">
        <f t="shared" si="102"/>
        <v>2232</v>
      </c>
      <c r="B2233" s="11" t="s">
        <v>6150</v>
      </c>
      <c r="C2233" s="124" t="str">
        <f>IFERROR(INDEX(面试清单!D:D,MATCH(2232,面试清单!P:P,0)),"")</f>
        <v>0217</v>
      </c>
      <c r="D2233" s="11" t="s">
        <v>74</v>
      </c>
      <c r="E2233" s="11" t="s">
        <v>64</v>
      </c>
      <c r="F2233" s="11" t="s">
        <v>148</v>
      </c>
      <c r="G2233" s="15">
        <v>46173</v>
      </c>
      <c r="H2233" s="14" t="str">
        <f>IFERROR(INDEX(面试清单!H:H,MATCH(2232,面试清单!P:P,0)),"")</f>
        <v>线上</v>
      </c>
      <c r="I2233" s="13" t="s">
        <v>29</v>
      </c>
      <c r="J2233" s="14">
        <f ca="1" t="shared" si="103"/>
        <v>16</v>
      </c>
      <c r="K2233" s="14">
        <f ca="1" t="shared" si="104"/>
        <v>16</v>
      </c>
    </row>
    <row r="2234" ht="18" spans="1:11">
      <c r="A2234" s="10">
        <f t="shared" si="102"/>
        <v>2233</v>
      </c>
      <c r="B2234" s="11" t="s">
        <v>6151</v>
      </c>
      <c r="C2234" s="125" t="str">
        <f>IFERROR(INDEX(面试清单!D:D,MATCH(2233,面试清单!P:P,0)),"")</f>
        <v>0218</v>
      </c>
      <c r="D2234" s="11" t="s">
        <v>74</v>
      </c>
      <c r="E2234" s="11" t="s">
        <v>64</v>
      </c>
      <c r="F2234" s="11" t="s">
        <v>148</v>
      </c>
      <c r="G2234" s="15">
        <v>46173</v>
      </c>
      <c r="H2234" s="10" t="str">
        <f>IFERROR(INDEX(面试清单!H:H,MATCH(2233,面试清单!P:P,0)),"")</f>
        <v>线上</v>
      </c>
      <c r="I2234" s="13" t="s">
        <v>29</v>
      </c>
      <c r="J2234" s="10">
        <f ca="1" t="shared" si="103"/>
        <v>16</v>
      </c>
      <c r="K2234" s="10">
        <f ca="1" t="shared" si="104"/>
        <v>16</v>
      </c>
    </row>
    <row r="2235" ht="18" spans="1:11">
      <c r="A2235" s="14">
        <f t="shared" si="102"/>
        <v>2234</v>
      </c>
      <c r="B2235" s="11" t="s">
        <v>6152</v>
      </c>
      <c r="C2235" s="124" t="str">
        <f>IFERROR(INDEX(面试清单!D:D,MATCH(2234,面试清单!P:P,0)),"")</f>
        <v>0220</v>
      </c>
      <c r="D2235" s="11" t="s">
        <v>74</v>
      </c>
      <c r="E2235" s="11" t="s">
        <v>64</v>
      </c>
      <c r="F2235" s="11" t="s">
        <v>103</v>
      </c>
      <c r="G2235" s="15">
        <v>46173</v>
      </c>
      <c r="H2235" s="14" t="str">
        <f>IFERROR(INDEX(面试清单!H:H,MATCH(2234,面试清单!P:P,0)),"")</f>
        <v>线下</v>
      </c>
      <c r="I2235" s="13" t="s">
        <v>29</v>
      </c>
      <c r="J2235" s="14">
        <f ca="1" t="shared" si="103"/>
        <v>16</v>
      </c>
      <c r="K2235" s="14">
        <f ca="1" t="shared" si="104"/>
        <v>16</v>
      </c>
    </row>
    <row r="2236" ht="18" spans="1:11">
      <c r="A2236" s="10">
        <f t="shared" si="102"/>
        <v>2235</v>
      </c>
      <c r="B2236" s="11" t="s">
        <v>6153</v>
      </c>
      <c r="C2236" s="10" t="str">
        <f>IFERROR(INDEX(面试清单!D:D,MATCH(2235,面试清单!P:P,0)),"")</f>
        <v/>
      </c>
      <c r="D2236" s="11" t="s">
        <v>74</v>
      </c>
      <c r="E2236" s="11" t="s">
        <v>64</v>
      </c>
      <c r="F2236" s="11" t="s">
        <v>103</v>
      </c>
      <c r="G2236" s="15">
        <v>46173</v>
      </c>
      <c r="H2236" s="10" t="str">
        <f>IFERROR(INDEX(面试清单!H:H,MATCH(2235,面试清单!P:P,0)),"")</f>
        <v/>
      </c>
      <c r="I2236" s="13" t="s">
        <v>29</v>
      </c>
      <c r="J2236" s="10">
        <f ca="1" t="shared" si="103"/>
        <v>16</v>
      </c>
      <c r="K2236" s="10">
        <f ca="1" t="shared" si="104"/>
        <v>16</v>
      </c>
    </row>
    <row r="2237" ht="18" spans="1:11">
      <c r="A2237" s="14">
        <f t="shared" si="102"/>
        <v>2236</v>
      </c>
      <c r="B2237" s="11" t="s">
        <v>6154</v>
      </c>
      <c r="C2237" s="124" t="str">
        <f>IFERROR(INDEX(面试清单!D:D,MATCH(2236,面试清单!P:P,0)),"")</f>
        <v>0222</v>
      </c>
      <c r="D2237" s="11" t="s">
        <v>42</v>
      </c>
      <c r="E2237" s="11" t="s">
        <v>63</v>
      </c>
      <c r="F2237" s="11" t="s">
        <v>509</v>
      </c>
      <c r="G2237" s="15">
        <v>46173</v>
      </c>
      <c r="H2237" s="14" t="str">
        <f>IFERROR(INDEX(面试清单!H:H,MATCH(2236,面试清单!P:P,0)),"")</f>
        <v>线下</v>
      </c>
      <c r="I2237" s="13" t="s">
        <v>29</v>
      </c>
      <c r="J2237" s="14">
        <f ca="1" t="shared" si="103"/>
        <v>16</v>
      </c>
      <c r="K2237" s="14">
        <f ca="1" t="shared" si="104"/>
        <v>16</v>
      </c>
    </row>
    <row r="2238" ht="18" spans="1:11">
      <c r="A2238" s="10">
        <f t="shared" si="102"/>
        <v>2237</v>
      </c>
      <c r="B2238" s="11" t="s">
        <v>6155</v>
      </c>
      <c r="C2238" s="125" t="str">
        <f>IFERROR(INDEX(面试清单!D:D,MATCH(2237,面试清单!P:P,0)),"")</f>
        <v>0208</v>
      </c>
      <c r="D2238" s="11" t="s">
        <v>74</v>
      </c>
      <c r="E2238" s="11" t="s">
        <v>64</v>
      </c>
      <c r="F2238" s="11" t="s">
        <v>103</v>
      </c>
      <c r="G2238" s="15">
        <v>46174</v>
      </c>
      <c r="H2238" s="10" t="str">
        <f>IFERROR(INDEX(面试清单!H:H,MATCH(2237,面试清单!P:P,0)),"")</f>
        <v>线上</v>
      </c>
      <c r="I2238" s="13" t="s">
        <v>29</v>
      </c>
      <c r="J2238" s="10">
        <f ca="1" t="shared" si="103"/>
        <v>15</v>
      </c>
      <c r="K2238" s="10">
        <f ca="1" t="shared" si="104"/>
        <v>16</v>
      </c>
    </row>
    <row r="2239" ht="18" spans="1:11">
      <c r="A2239" s="14">
        <f t="shared" si="102"/>
        <v>2238</v>
      </c>
      <c r="B2239" s="11" t="s">
        <v>6156</v>
      </c>
      <c r="C2239" s="14" t="str">
        <f>IFERROR(INDEX(面试清单!D:D,MATCH(2238,面试清单!P:P,0)),"")</f>
        <v/>
      </c>
      <c r="D2239" s="11" t="s">
        <v>43</v>
      </c>
      <c r="E2239" s="11" t="s">
        <v>63</v>
      </c>
      <c r="F2239" s="11" t="s">
        <v>103</v>
      </c>
      <c r="G2239" s="15">
        <v>46174</v>
      </c>
      <c r="H2239" s="14" t="str">
        <f>IFERROR(INDEX(面试清单!H:H,MATCH(2238,面试清单!P:P,0)),"")</f>
        <v/>
      </c>
      <c r="I2239" s="13" t="s">
        <v>29</v>
      </c>
      <c r="J2239" s="14">
        <f ca="1" t="shared" si="103"/>
        <v>15</v>
      </c>
      <c r="K2239" s="14">
        <f ca="1" t="shared" si="104"/>
        <v>16</v>
      </c>
    </row>
    <row r="2240" ht="18" spans="1:11">
      <c r="A2240" s="10">
        <f t="shared" si="102"/>
        <v>2239</v>
      </c>
      <c r="B2240" s="11" t="s">
        <v>6157</v>
      </c>
      <c r="C2240" s="10" t="str">
        <f>IFERROR(INDEX(面试清单!D:D,MATCH(2239,面试清单!P:P,0)),"")</f>
        <v/>
      </c>
      <c r="D2240" s="11" t="s">
        <v>42</v>
      </c>
      <c r="E2240" s="11" t="s">
        <v>63</v>
      </c>
      <c r="F2240" s="11" t="s">
        <v>103</v>
      </c>
      <c r="G2240" s="15">
        <v>46174</v>
      </c>
      <c r="H2240" s="10" t="str">
        <f>IFERROR(INDEX(面试清单!H:H,MATCH(2239,面试清单!P:P,0)),"")</f>
        <v/>
      </c>
      <c r="I2240" s="13" t="s">
        <v>29</v>
      </c>
      <c r="J2240" s="10">
        <f ca="1" t="shared" si="103"/>
        <v>15</v>
      </c>
      <c r="K2240" s="10">
        <f ca="1" t="shared" si="104"/>
        <v>16</v>
      </c>
    </row>
    <row r="2241" ht="18" spans="1:11">
      <c r="A2241" s="14">
        <f t="shared" si="102"/>
        <v>2240</v>
      </c>
      <c r="B2241" s="11" t="s">
        <v>6158</v>
      </c>
      <c r="C2241" s="14" t="str">
        <f>IFERROR(INDEX(面试清单!D:D,MATCH(2240,面试清单!P:P,0)),"")</f>
        <v/>
      </c>
      <c r="D2241" s="11" t="s">
        <v>42</v>
      </c>
      <c r="E2241" s="11" t="s">
        <v>62</v>
      </c>
      <c r="F2241" s="11" t="s">
        <v>103</v>
      </c>
      <c r="G2241" s="15">
        <v>46174</v>
      </c>
      <c r="H2241" s="14" t="str">
        <f>IFERROR(INDEX(面试清单!H:H,MATCH(2240,面试清单!P:P,0)),"")</f>
        <v/>
      </c>
      <c r="I2241" s="13" t="s">
        <v>29</v>
      </c>
      <c r="J2241" s="14">
        <f ca="1" t="shared" si="103"/>
        <v>15</v>
      </c>
      <c r="K2241" s="14">
        <f ca="1" t="shared" si="104"/>
        <v>16</v>
      </c>
    </row>
    <row r="2242" ht="18" spans="1:11">
      <c r="A2242" s="10">
        <f t="shared" ref="A2242:A2305" si="105">IF(B2242&lt;&gt;"",ROW()-1,"")</f>
        <v>2241</v>
      </c>
      <c r="B2242" s="11" t="s">
        <v>6159</v>
      </c>
      <c r="C2242" s="10" t="str">
        <f>IFERROR(INDEX(面试清单!D:D,MATCH(2241,面试清单!P:P,0)),"")</f>
        <v/>
      </c>
      <c r="D2242" s="11" t="s">
        <v>42</v>
      </c>
      <c r="E2242" s="11" t="s">
        <v>63</v>
      </c>
      <c r="F2242" s="11" t="s">
        <v>117</v>
      </c>
      <c r="G2242" s="15">
        <v>46174</v>
      </c>
      <c r="H2242" s="10" t="str">
        <f>IFERROR(INDEX(面试清单!H:H,MATCH(2241,面试清单!P:P,0)),"")</f>
        <v/>
      </c>
      <c r="I2242" s="13" t="s">
        <v>29</v>
      </c>
      <c r="J2242" s="10">
        <f ca="1" t="shared" ref="J2242:J2305" si="106">IF(G2242&lt;&gt;"",TODAY()-G2242,"")</f>
        <v>15</v>
      </c>
      <c r="K2242" s="10">
        <f ca="1" t="shared" ref="K2242:K2305" si="107">IF(G2242&lt;&gt;"",MAX(0,MIN(TODAY(),EOMONTH(TODAY(),0))-MAX(G2242,EOMONTH(TODAY(),-1)+1)+1),"")</f>
        <v>16</v>
      </c>
    </row>
    <row r="2243" ht="18" spans="1:11">
      <c r="A2243" s="14">
        <f t="shared" si="105"/>
        <v>2242</v>
      </c>
      <c r="B2243" s="11" t="s">
        <v>6160</v>
      </c>
      <c r="C2243" s="124" t="str">
        <f>IFERROR(INDEX(面试清单!D:D,MATCH(2242,面试清单!P:P,0)),"")</f>
        <v>0218</v>
      </c>
      <c r="D2243" s="11" t="s">
        <v>43</v>
      </c>
      <c r="E2243" s="11" t="s">
        <v>62</v>
      </c>
      <c r="F2243" s="11" t="s">
        <v>129</v>
      </c>
      <c r="G2243" s="15">
        <v>46174</v>
      </c>
      <c r="H2243" s="14" t="str">
        <f>IFERROR(INDEX(面试清单!H:H,MATCH(2242,面试清单!P:P,0)),"")</f>
        <v>线上</v>
      </c>
      <c r="I2243" s="13" t="s">
        <v>29</v>
      </c>
      <c r="J2243" s="14">
        <f ca="1" t="shared" si="106"/>
        <v>15</v>
      </c>
      <c r="K2243" s="14">
        <f ca="1" t="shared" si="107"/>
        <v>16</v>
      </c>
    </row>
    <row r="2244" ht="18" spans="1:11">
      <c r="A2244" s="10">
        <f t="shared" si="105"/>
        <v>2243</v>
      </c>
      <c r="B2244" s="11" t="s">
        <v>6161</v>
      </c>
      <c r="C2244" s="10" t="str">
        <f>IFERROR(INDEX(面试清单!D:D,MATCH(2243,面试清单!P:P,0)),"")</f>
        <v/>
      </c>
      <c r="D2244" s="11" t="s">
        <v>42</v>
      </c>
      <c r="E2244" s="11" t="s">
        <v>62</v>
      </c>
      <c r="F2244" s="11" t="s">
        <v>129</v>
      </c>
      <c r="G2244" s="15">
        <v>46174</v>
      </c>
      <c r="H2244" s="10" t="str">
        <f>IFERROR(INDEX(面试清单!H:H,MATCH(2243,面试清单!P:P,0)),"")</f>
        <v/>
      </c>
      <c r="I2244" s="13" t="s">
        <v>29</v>
      </c>
      <c r="J2244" s="10">
        <f ca="1" t="shared" si="106"/>
        <v>15</v>
      </c>
      <c r="K2244" s="10">
        <f ca="1" t="shared" si="107"/>
        <v>16</v>
      </c>
    </row>
    <row r="2245" ht="18" spans="1:11">
      <c r="A2245" s="14">
        <f t="shared" si="105"/>
        <v>2244</v>
      </c>
      <c r="B2245" s="11" t="s">
        <v>6162</v>
      </c>
      <c r="C2245" s="14" t="str">
        <f>IFERROR(INDEX(面试清单!D:D,MATCH(2244,面试清单!P:P,0)),"")</f>
        <v/>
      </c>
      <c r="D2245" s="11" t="s">
        <v>43</v>
      </c>
      <c r="E2245" s="11" t="s">
        <v>63</v>
      </c>
      <c r="F2245" s="11" t="s">
        <v>246</v>
      </c>
      <c r="G2245" s="15">
        <v>46174</v>
      </c>
      <c r="H2245" s="14" t="str">
        <f>IFERROR(INDEX(面试清单!H:H,MATCH(2244,面试清单!P:P,0)),"")</f>
        <v/>
      </c>
      <c r="I2245" s="13" t="s">
        <v>29</v>
      </c>
      <c r="J2245" s="14">
        <f ca="1" t="shared" si="106"/>
        <v>15</v>
      </c>
      <c r="K2245" s="14">
        <f ca="1" t="shared" si="107"/>
        <v>16</v>
      </c>
    </row>
    <row r="2246" ht="18" spans="1:11">
      <c r="A2246" s="10">
        <f t="shared" si="105"/>
        <v>2245</v>
      </c>
      <c r="B2246" s="11" t="s">
        <v>6163</v>
      </c>
      <c r="C2246" s="10" t="str">
        <f>IFERROR(INDEX(面试清单!D:D,MATCH(2245,面试清单!P:P,0)),"")</f>
        <v/>
      </c>
      <c r="D2246" s="11" t="s">
        <v>43</v>
      </c>
      <c r="E2246" s="11" t="s">
        <v>62</v>
      </c>
      <c r="F2246" s="11" t="s">
        <v>246</v>
      </c>
      <c r="G2246" s="15">
        <v>46174</v>
      </c>
      <c r="H2246" s="10" t="str">
        <f>IFERROR(INDEX(面试清单!H:H,MATCH(2245,面试清单!P:P,0)),"")</f>
        <v/>
      </c>
      <c r="I2246" s="13" t="s">
        <v>29</v>
      </c>
      <c r="J2246" s="10">
        <f ca="1" t="shared" si="106"/>
        <v>15</v>
      </c>
      <c r="K2246" s="10">
        <f ca="1" t="shared" si="107"/>
        <v>16</v>
      </c>
    </row>
    <row r="2247" ht="18" spans="1:11">
      <c r="A2247" s="14">
        <f t="shared" si="105"/>
        <v>2246</v>
      </c>
      <c r="B2247" s="11" t="s">
        <v>6164</v>
      </c>
      <c r="C2247" s="14" t="str">
        <f>IFERROR(INDEX(面试清单!D:D,MATCH(2246,面试清单!P:P,0)),"")</f>
        <v/>
      </c>
      <c r="D2247" s="11" t="s">
        <v>43</v>
      </c>
      <c r="E2247" s="11" t="s">
        <v>62</v>
      </c>
      <c r="F2247" s="11" t="s">
        <v>246</v>
      </c>
      <c r="G2247" s="15">
        <v>46174</v>
      </c>
      <c r="H2247" s="14" t="str">
        <f>IFERROR(INDEX(面试清单!H:H,MATCH(2246,面试清单!P:P,0)),"")</f>
        <v/>
      </c>
      <c r="I2247" s="13" t="s">
        <v>29</v>
      </c>
      <c r="J2247" s="14">
        <f ca="1" t="shared" si="106"/>
        <v>15</v>
      </c>
      <c r="K2247" s="14">
        <f ca="1" t="shared" si="107"/>
        <v>16</v>
      </c>
    </row>
    <row r="2248" ht="18" spans="1:11">
      <c r="A2248" s="10">
        <f t="shared" si="105"/>
        <v>2247</v>
      </c>
      <c r="B2248" s="11" t="s">
        <v>6165</v>
      </c>
      <c r="C2248" s="10" t="str">
        <f>IFERROR(INDEX(面试清单!D:D,MATCH(2247,面试清单!P:P,0)),"")</f>
        <v/>
      </c>
      <c r="D2248" s="11" t="s">
        <v>42</v>
      </c>
      <c r="E2248" s="11" t="s">
        <v>62</v>
      </c>
      <c r="F2248" s="11" t="s">
        <v>246</v>
      </c>
      <c r="G2248" s="15">
        <v>46174</v>
      </c>
      <c r="H2248" s="10" t="str">
        <f>IFERROR(INDEX(面试清单!H:H,MATCH(2247,面试清单!P:P,0)),"")</f>
        <v/>
      </c>
      <c r="I2248" s="13" t="s">
        <v>29</v>
      </c>
      <c r="J2248" s="10">
        <f ca="1" t="shared" si="106"/>
        <v>15</v>
      </c>
      <c r="K2248" s="10">
        <f ca="1" t="shared" si="107"/>
        <v>16</v>
      </c>
    </row>
    <row r="2249" ht="18" spans="1:11">
      <c r="A2249" s="14">
        <f t="shared" si="105"/>
        <v>2248</v>
      </c>
      <c r="B2249" s="11" t="s">
        <v>6166</v>
      </c>
      <c r="C2249" s="14" t="str">
        <f>IFERROR(INDEX(面试清单!D:D,MATCH(2248,面试清单!P:P,0)),"")</f>
        <v/>
      </c>
      <c r="D2249" s="11" t="s">
        <v>42</v>
      </c>
      <c r="E2249" s="11" t="s">
        <v>62</v>
      </c>
      <c r="F2249" s="11" t="s">
        <v>246</v>
      </c>
      <c r="G2249" s="15">
        <v>46174</v>
      </c>
      <c r="H2249" s="14" t="str">
        <f>IFERROR(INDEX(面试清单!H:H,MATCH(2248,面试清单!P:P,0)),"")</f>
        <v/>
      </c>
      <c r="I2249" s="13" t="s">
        <v>29</v>
      </c>
      <c r="J2249" s="14">
        <f ca="1" t="shared" si="106"/>
        <v>15</v>
      </c>
      <c r="K2249" s="14">
        <f ca="1" t="shared" si="107"/>
        <v>16</v>
      </c>
    </row>
    <row r="2250" ht="18" spans="1:11">
      <c r="A2250" s="10">
        <f t="shared" si="105"/>
        <v>2249</v>
      </c>
      <c r="B2250" s="11" t="s">
        <v>6167</v>
      </c>
      <c r="C2250" s="125" t="str">
        <f>IFERROR(INDEX(面试清单!D:D,MATCH(2249,面试清单!P:P,0)),"")</f>
        <v>0214</v>
      </c>
      <c r="D2250" s="11" t="s">
        <v>42</v>
      </c>
      <c r="E2250" s="11" t="s">
        <v>62</v>
      </c>
      <c r="F2250" s="11" t="s">
        <v>246</v>
      </c>
      <c r="G2250" s="15">
        <v>46174</v>
      </c>
      <c r="H2250" s="10" t="str">
        <f>IFERROR(INDEX(面试清单!H:H,MATCH(2249,面试清单!P:P,0)),"")</f>
        <v>线上</v>
      </c>
      <c r="I2250" s="13" t="s">
        <v>29</v>
      </c>
      <c r="J2250" s="10">
        <f ca="1" t="shared" si="106"/>
        <v>15</v>
      </c>
      <c r="K2250" s="10">
        <f ca="1" t="shared" si="107"/>
        <v>16</v>
      </c>
    </row>
    <row r="2251" ht="18" spans="1:11">
      <c r="A2251" s="14">
        <f t="shared" si="105"/>
        <v>2250</v>
      </c>
      <c r="B2251" s="11" t="s">
        <v>6168</v>
      </c>
      <c r="C2251" s="124" t="str">
        <f>IFERROR(INDEX(面试清单!D:D,MATCH(2250,面试清单!P:P,0)),"")</f>
        <v>0217</v>
      </c>
      <c r="D2251" s="11" t="s">
        <v>42</v>
      </c>
      <c r="E2251" s="11" t="s">
        <v>62</v>
      </c>
      <c r="F2251" s="11" t="s">
        <v>246</v>
      </c>
      <c r="G2251" s="15">
        <v>46174</v>
      </c>
      <c r="H2251" s="14" t="str">
        <f>IFERROR(INDEX(面试清单!H:H,MATCH(2250,面试清单!P:P,0)),"")</f>
        <v>线上</v>
      </c>
      <c r="I2251" s="13" t="s">
        <v>29</v>
      </c>
      <c r="J2251" s="14">
        <f ca="1" t="shared" si="106"/>
        <v>15</v>
      </c>
      <c r="K2251" s="14">
        <f ca="1" t="shared" si="107"/>
        <v>16</v>
      </c>
    </row>
    <row r="2252" ht="18" spans="1:11">
      <c r="A2252" s="10">
        <f t="shared" si="105"/>
        <v>2251</v>
      </c>
      <c r="B2252" s="11" t="s">
        <v>6169</v>
      </c>
      <c r="C2252" s="10" t="str">
        <f>IFERROR(INDEX(面试清单!D:D,MATCH(2251,面试清单!P:P,0)),"")</f>
        <v/>
      </c>
      <c r="D2252" s="11" t="s">
        <v>42</v>
      </c>
      <c r="E2252" s="11" t="s">
        <v>62</v>
      </c>
      <c r="F2252" s="11" t="s">
        <v>246</v>
      </c>
      <c r="G2252" s="15">
        <v>46174</v>
      </c>
      <c r="H2252" s="10" t="str">
        <f>IFERROR(INDEX(面试清单!H:H,MATCH(2251,面试清单!P:P,0)),"")</f>
        <v/>
      </c>
      <c r="I2252" s="13" t="s">
        <v>29</v>
      </c>
      <c r="J2252" s="10">
        <f ca="1" t="shared" si="106"/>
        <v>15</v>
      </c>
      <c r="K2252" s="10">
        <f ca="1" t="shared" si="107"/>
        <v>16</v>
      </c>
    </row>
    <row r="2253" ht="18" spans="1:11">
      <c r="A2253" s="14">
        <f t="shared" si="105"/>
        <v>2252</v>
      </c>
      <c r="B2253" s="11" t="s">
        <v>6170</v>
      </c>
      <c r="C2253" s="14" t="str">
        <f>IFERROR(INDEX(面试清单!D:D,MATCH(2252,面试清单!P:P,0)),"")</f>
        <v/>
      </c>
      <c r="D2253" s="11" t="s">
        <v>42</v>
      </c>
      <c r="E2253" s="11" t="s">
        <v>63</v>
      </c>
      <c r="F2253" s="11" t="s">
        <v>578</v>
      </c>
      <c r="G2253" s="15">
        <v>46174</v>
      </c>
      <c r="H2253" s="14" t="str">
        <f>IFERROR(INDEX(面试清单!H:H,MATCH(2252,面试清单!P:P,0)),"")</f>
        <v/>
      </c>
      <c r="I2253" s="13" t="s">
        <v>29</v>
      </c>
      <c r="J2253" s="14">
        <f ca="1" t="shared" si="106"/>
        <v>15</v>
      </c>
      <c r="K2253" s="14">
        <f ca="1" t="shared" si="107"/>
        <v>16</v>
      </c>
    </row>
    <row r="2254" ht="18" spans="1:11">
      <c r="A2254" s="10">
        <f t="shared" si="105"/>
        <v>2253</v>
      </c>
      <c r="B2254" s="11" t="s">
        <v>1171</v>
      </c>
      <c r="C2254" s="10" t="str">
        <f>IFERROR(INDEX(面试清单!D:D,MATCH(2253,面试清单!P:P,0)),"")</f>
        <v/>
      </c>
      <c r="D2254" s="11" t="s">
        <v>42</v>
      </c>
      <c r="E2254" s="11" t="s">
        <v>62</v>
      </c>
      <c r="F2254" s="11" t="s">
        <v>578</v>
      </c>
      <c r="G2254" s="15">
        <v>46174</v>
      </c>
      <c r="H2254" s="10" t="str">
        <f>IFERROR(INDEX(面试清单!H:H,MATCH(2253,面试清单!P:P,0)),"")</f>
        <v/>
      </c>
      <c r="I2254" s="13" t="s">
        <v>29</v>
      </c>
      <c r="J2254" s="10">
        <f ca="1" t="shared" si="106"/>
        <v>15</v>
      </c>
      <c r="K2254" s="10">
        <f ca="1" t="shared" si="107"/>
        <v>16</v>
      </c>
    </row>
    <row r="2255" ht="18" spans="1:11">
      <c r="A2255" s="14">
        <f t="shared" si="105"/>
        <v>2254</v>
      </c>
      <c r="B2255" s="11" t="s">
        <v>6171</v>
      </c>
      <c r="C2255" s="124" t="str">
        <f>IFERROR(INDEX(面试清单!D:D,MATCH(2254,面试清单!P:P,0)),"")</f>
        <v>0222</v>
      </c>
      <c r="D2255" s="11" t="s">
        <v>42</v>
      </c>
      <c r="E2255" s="11" t="s">
        <v>63</v>
      </c>
      <c r="F2255" s="11" t="s">
        <v>578</v>
      </c>
      <c r="G2255" s="15">
        <v>46174</v>
      </c>
      <c r="H2255" s="14" t="str">
        <f>IFERROR(INDEX(面试清单!H:H,MATCH(2254,面试清单!P:P,0)),"")</f>
        <v>线上</v>
      </c>
      <c r="I2255" s="13" t="s">
        <v>29</v>
      </c>
      <c r="J2255" s="14">
        <f ca="1" t="shared" si="106"/>
        <v>15</v>
      </c>
      <c r="K2255" s="14">
        <f ca="1" t="shared" si="107"/>
        <v>16</v>
      </c>
    </row>
    <row r="2256" ht="18" spans="1:11">
      <c r="A2256" s="10">
        <f t="shared" si="105"/>
        <v>2255</v>
      </c>
      <c r="B2256" s="11" t="s">
        <v>6172</v>
      </c>
      <c r="C2256" s="125" t="str">
        <f>IFERROR(INDEX(面试清单!D:D,MATCH(2255,面试清单!P:P,0)),"")</f>
        <v>0208</v>
      </c>
      <c r="D2256" s="11" t="s">
        <v>42</v>
      </c>
      <c r="E2256" s="11" t="s">
        <v>63</v>
      </c>
      <c r="F2256" s="11" t="s">
        <v>578</v>
      </c>
      <c r="G2256" s="15">
        <v>46174</v>
      </c>
      <c r="H2256" s="10" t="str">
        <f>IFERROR(INDEX(面试清单!H:H,MATCH(2255,面试清单!P:P,0)),"")</f>
        <v>线上</v>
      </c>
      <c r="I2256" s="13" t="s">
        <v>29</v>
      </c>
      <c r="J2256" s="10">
        <f ca="1" t="shared" si="106"/>
        <v>15</v>
      </c>
      <c r="K2256" s="10">
        <f ca="1" t="shared" si="107"/>
        <v>16</v>
      </c>
    </row>
    <row r="2257" ht="18" spans="1:11">
      <c r="A2257" s="14">
        <f t="shared" si="105"/>
        <v>2256</v>
      </c>
      <c r="B2257" s="11" t="s">
        <v>6173</v>
      </c>
      <c r="C2257" s="124" t="str">
        <f>IFERROR(INDEX(面试清单!D:D,MATCH(2256,面试清单!P:P,0)),"")</f>
        <v>0209</v>
      </c>
      <c r="D2257" s="11" t="s">
        <v>43</v>
      </c>
      <c r="E2257" s="11" t="s">
        <v>62</v>
      </c>
      <c r="F2257" s="11" t="s">
        <v>132</v>
      </c>
      <c r="G2257" s="15">
        <v>46174</v>
      </c>
      <c r="H2257" s="14" t="str">
        <f>IFERROR(INDEX(面试清单!H:H,MATCH(2256,面试清单!P:P,0)),"")</f>
        <v>线上</v>
      </c>
      <c r="I2257" s="13" t="s">
        <v>29</v>
      </c>
      <c r="J2257" s="14">
        <f ca="1" t="shared" si="106"/>
        <v>15</v>
      </c>
      <c r="K2257" s="14">
        <f ca="1" t="shared" si="107"/>
        <v>16</v>
      </c>
    </row>
    <row r="2258" ht="18" spans="1:11">
      <c r="A2258" s="10">
        <f t="shared" si="105"/>
        <v>2257</v>
      </c>
      <c r="B2258" s="11" t="s">
        <v>6174</v>
      </c>
      <c r="C2258" s="10" t="str">
        <f>IFERROR(INDEX(面试清单!D:D,MATCH(2257,面试清单!P:P,0)),"")</f>
        <v/>
      </c>
      <c r="D2258" s="11" t="s">
        <v>42</v>
      </c>
      <c r="E2258" s="11" t="s">
        <v>63</v>
      </c>
      <c r="F2258" s="11" t="s">
        <v>307</v>
      </c>
      <c r="G2258" s="15">
        <v>46174</v>
      </c>
      <c r="H2258" s="10" t="str">
        <f>IFERROR(INDEX(面试清单!H:H,MATCH(2257,面试清单!P:P,0)),"")</f>
        <v/>
      </c>
      <c r="I2258" s="13" t="s">
        <v>29</v>
      </c>
      <c r="J2258" s="10">
        <f ca="1" t="shared" si="106"/>
        <v>15</v>
      </c>
      <c r="K2258" s="10">
        <f ca="1" t="shared" si="107"/>
        <v>16</v>
      </c>
    </row>
    <row r="2259" ht="18" spans="1:11">
      <c r="A2259" s="14">
        <f t="shared" si="105"/>
        <v>2258</v>
      </c>
      <c r="B2259" s="11" t="s">
        <v>6175</v>
      </c>
      <c r="C2259" s="124" t="str">
        <f>IFERROR(INDEX(面试清单!D:D,MATCH(2258,面试清单!P:P,0)),"")</f>
        <v>0214</v>
      </c>
      <c r="D2259" s="11" t="s">
        <v>43</v>
      </c>
      <c r="E2259" s="11" t="s">
        <v>62</v>
      </c>
      <c r="F2259" s="11" t="s">
        <v>148</v>
      </c>
      <c r="G2259" s="15">
        <v>46174</v>
      </c>
      <c r="H2259" s="14" t="str">
        <f>IFERROR(INDEX(面试清单!H:H,MATCH(2258,面试清单!P:P,0)),"")</f>
        <v>线上</v>
      </c>
      <c r="I2259" s="13" t="s">
        <v>29</v>
      </c>
      <c r="J2259" s="14">
        <f ca="1" t="shared" si="106"/>
        <v>15</v>
      </c>
      <c r="K2259" s="14">
        <f ca="1" t="shared" si="107"/>
        <v>16</v>
      </c>
    </row>
    <row r="2260" ht="18" spans="1:11">
      <c r="A2260" s="10">
        <f t="shared" si="105"/>
        <v>2259</v>
      </c>
      <c r="B2260" s="11" t="s">
        <v>6176</v>
      </c>
      <c r="C2260" s="10" t="str">
        <f>IFERROR(INDEX(面试清单!D:D,MATCH(2259,面试清单!P:P,0)),"")</f>
        <v/>
      </c>
      <c r="D2260" s="11" t="s">
        <v>42</v>
      </c>
      <c r="E2260" s="11" t="s">
        <v>63</v>
      </c>
      <c r="F2260" s="11" t="s">
        <v>148</v>
      </c>
      <c r="G2260" s="15">
        <v>46174</v>
      </c>
      <c r="H2260" s="10" t="str">
        <f>IFERROR(INDEX(面试清单!H:H,MATCH(2259,面试清单!P:P,0)),"")</f>
        <v/>
      </c>
      <c r="I2260" s="13" t="s">
        <v>29</v>
      </c>
      <c r="J2260" s="10">
        <f ca="1" t="shared" si="106"/>
        <v>15</v>
      </c>
      <c r="K2260" s="10">
        <f ca="1" t="shared" si="107"/>
        <v>16</v>
      </c>
    </row>
    <row r="2261" ht="18" spans="1:11">
      <c r="A2261" s="14">
        <f t="shared" si="105"/>
        <v>2260</v>
      </c>
      <c r="B2261" s="11" t="s">
        <v>2886</v>
      </c>
      <c r="C2261" s="14" t="str">
        <f>IFERROR(INDEX(面试清单!D:D,MATCH(2260,面试清单!P:P,0)),"")</f>
        <v/>
      </c>
      <c r="D2261" s="11" t="s">
        <v>43</v>
      </c>
      <c r="E2261" s="11" t="s">
        <v>62</v>
      </c>
      <c r="F2261" s="11" t="s">
        <v>148</v>
      </c>
      <c r="G2261" s="15">
        <v>46174</v>
      </c>
      <c r="H2261" s="14" t="str">
        <f>IFERROR(INDEX(面试清单!H:H,MATCH(2260,面试清单!P:P,0)),"")</f>
        <v/>
      </c>
      <c r="I2261" s="13" t="s">
        <v>29</v>
      </c>
      <c r="J2261" s="14">
        <f ca="1" t="shared" si="106"/>
        <v>15</v>
      </c>
      <c r="K2261" s="14">
        <f ca="1" t="shared" si="107"/>
        <v>16</v>
      </c>
    </row>
    <row r="2262" ht="18" spans="1:11">
      <c r="A2262" s="10">
        <f t="shared" si="105"/>
        <v>2261</v>
      </c>
      <c r="B2262" s="11" t="s">
        <v>6177</v>
      </c>
      <c r="C2262" s="10" t="str">
        <f>IFERROR(INDEX(面试清单!D:D,MATCH(2261,面试清单!P:P,0)),"")</f>
        <v/>
      </c>
      <c r="D2262" s="11" t="s">
        <v>42</v>
      </c>
      <c r="E2262" s="11" t="s">
        <v>63</v>
      </c>
      <c r="F2262" s="11" t="s">
        <v>124</v>
      </c>
      <c r="G2262" s="15">
        <v>46174</v>
      </c>
      <c r="H2262" s="10" t="str">
        <f>IFERROR(INDEX(面试清单!H:H,MATCH(2261,面试清单!P:P,0)),"")</f>
        <v/>
      </c>
      <c r="I2262" s="13" t="s">
        <v>29</v>
      </c>
      <c r="J2262" s="10">
        <f ca="1" t="shared" si="106"/>
        <v>15</v>
      </c>
      <c r="K2262" s="10">
        <f ca="1" t="shared" si="107"/>
        <v>16</v>
      </c>
    </row>
    <row r="2263" ht="18" spans="1:11">
      <c r="A2263" s="14">
        <f t="shared" si="105"/>
        <v>2262</v>
      </c>
      <c r="B2263" s="11" t="s">
        <v>6178</v>
      </c>
      <c r="C2263" s="14" t="str">
        <f>IFERROR(INDEX(面试清单!D:D,MATCH(2262,面试清单!P:P,0)),"")</f>
        <v/>
      </c>
      <c r="D2263" s="11" t="s">
        <v>43</v>
      </c>
      <c r="E2263" s="11" t="s">
        <v>62</v>
      </c>
      <c r="F2263" s="11" t="s">
        <v>103</v>
      </c>
      <c r="G2263" s="15">
        <v>46174</v>
      </c>
      <c r="H2263" s="14" t="str">
        <f>IFERROR(INDEX(面试清单!H:H,MATCH(2262,面试清单!P:P,0)),"")</f>
        <v/>
      </c>
      <c r="I2263" s="13" t="s">
        <v>29</v>
      </c>
      <c r="J2263" s="14">
        <f ca="1" t="shared" si="106"/>
        <v>15</v>
      </c>
      <c r="K2263" s="14">
        <f ca="1" t="shared" si="107"/>
        <v>16</v>
      </c>
    </row>
    <row r="2264" ht="18" spans="1:11">
      <c r="A2264" s="10">
        <f t="shared" si="105"/>
        <v>2263</v>
      </c>
      <c r="B2264" s="11" t="s">
        <v>6179</v>
      </c>
      <c r="C2264" s="10" t="str">
        <f>IFERROR(INDEX(面试清单!D:D,MATCH(2263,面试清单!P:P,0)),"")</f>
        <v/>
      </c>
      <c r="D2264" s="11" t="s">
        <v>43</v>
      </c>
      <c r="E2264" s="11" t="s">
        <v>62</v>
      </c>
      <c r="F2264" s="11" t="s">
        <v>233</v>
      </c>
      <c r="G2264" s="15">
        <v>46174</v>
      </c>
      <c r="H2264" s="10" t="str">
        <f>IFERROR(INDEX(面试清单!H:H,MATCH(2263,面试清单!P:P,0)),"")</f>
        <v/>
      </c>
      <c r="I2264" s="13" t="s">
        <v>29</v>
      </c>
      <c r="J2264" s="10">
        <f ca="1" t="shared" si="106"/>
        <v>15</v>
      </c>
      <c r="K2264" s="10">
        <f ca="1" t="shared" si="107"/>
        <v>16</v>
      </c>
    </row>
    <row r="2265" ht="18" spans="1:11">
      <c r="A2265" s="14">
        <f t="shared" si="105"/>
        <v>2264</v>
      </c>
      <c r="B2265" s="11" t="s">
        <v>6180</v>
      </c>
      <c r="C2265" s="14" t="str">
        <f>IFERROR(INDEX(面试清单!D:D,MATCH(2264,面试清单!P:P,0)),"")</f>
        <v/>
      </c>
      <c r="D2265" s="11" t="s">
        <v>43</v>
      </c>
      <c r="E2265" s="11" t="s">
        <v>62</v>
      </c>
      <c r="F2265" s="11" t="s">
        <v>173</v>
      </c>
      <c r="G2265" s="15">
        <v>46174</v>
      </c>
      <c r="H2265" s="14" t="str">
        <f>IFERROR(INDEX(面试清单!H:H,MATCH(2264,面试清单!P:P,0)),"")</f>
        <v/>
      </c>
      <c r="I2265" s="13" t="s">
        <v>29</v>
      </c>
      <c r="J2265" s="14">
        <f ca="1" t="shared" si="106"/>
        <v>15</v>
      </c>
      <c r="K2265" s="14">
        <f ca="1" t="shared" si="107"/>
        <v>16</v>
      </c>
    </row>
    <row r="2266" ht="18" spans="1:11">
      <c r="A2266" s="10">
        <f t="shared" si="105"/>
        <v>2265</v>
      </c>
      <c r="B2266" s="11" t="s">
        <v>6181</v>
      </c>
      <c r="C2266" s="10" t="str">
        <f>IFERROR(INDEX(面试清单!D:D,MATCH(2265,面试清单!P:P,0)),"")</f>
        <v/>
      </c>
      <c r="D2266" s="11" t="s">
        <v>42</v>
      </c>
      <c r="E2266" s="11" t="s">
        <v>63</v>
      </c>
      <c r="F2266" s="11" t="s">
        <v>117</v>
      </c>
      <c r="G2266" s="15">
        <v>46174</v>
      </c>
      <c r="H2266" s="10" t="str">
        <f>IFERROR(INDEX(面试清单!H:H,MATCH(2265,面试清单!P:P,0)),"")</f>
        <v/>
      </c>
      <c r="I2266" s="13" t="s">
        <v>29</v>
      </c>
      <c r="J2266" s="10">
        <f ca="1" t="shared" si="106"/>
        <v>15</v>
      </c>
      <c r="K2266" s="10">
        <f ca="1" t="shared" si="107"/>
        <v>16</v>
      </c>
    </row>
    <row r="2267" ht="18" spans="1:11">
      <c r="A2267" s="14">
        <f t="shared" si="105"/>
        <v>2266</v>
      </c>
      <c r="B2267" s="11" t="s">
        <v>6182</v>
      </c>
      <c r="C2267" s="14" t="str">
        <f>IFERROR(INDEX(面试清单!D:D,MATCH(2266,面试清单!P:P,0)),"")</f>
        <v/>
      </c>
      <c r="D2267" s="11" t="s">
        <v>43</v>
      </c>
      <c r="E2267" s="11" t="s">
        <v>63</v>
      </c>
      <c r="F2267" s="11" t="s">
        <v>129</v>
      </c>
      <c r="G2267" s="15">
        <v>46174</v>
      </c>
      <c r="H2267" s="14" t="str">
        <f>IFERROR(INDEX(面试清单!H:H,MATCH(2266,面试清单!P:P,0)),"")</f>
        <v/>
      </c>
      <c r="I2267" s="13" t="s">
        <v>29</v>
      </c>
      <c r="J2267" s="14">
        <f ca="1" t="shared" si="106"/>
        <v>15</v>
      </c>
      <c r="K2267" s="14">
        <f ca="1" t="shared" si="107"/>
        <v>16</v>
      </c>
    </row>
    <row r="2268" ht="18" spans="1:11">
      <c r="A2268" s="10">
        <f t="shared" si="105"/>
        <v>2267</v>
      </c>
      <c r="B2268" s="11" t="s">
        <v>6183</v>
      </c>
      <c r="C2268" s="10" t="str">
        <f>IFERROR(INDEX(面试清单!D:D,MATCH(2267,面试清单!P:P,0)),"")</f>
        <v/>
      </c>
      <c r="D2268" s="11" t="s">
        <v>43</v>
      </c>
      <c r="E2268" s="11" t="s">
        <v>62</v>
      </c>
      <c r="F2268" s="11" t="s">
        <v>530</v>
      </c>
      <c r="G2268" s="15">
        <v>46174</v>
      </c>
      <c r="H2268" s="10" t="str">
        <f>IFERROR(INDEX(面试清单!H:H,MATCH(2267,面试清单!P:P,0)),"")</f>
        <v/>
      </c>
      <c r="I2268" s="13" t="s">
        <v>29</v>
      </c>
      <c r="J2268" s="10">
        <f ca="1" t="shared" si="106"/>
        <v>15</v>
      </c>
      <c r="K2268" s="10">
        <f ca="1" t="shared" si="107"/>
        <v>16</v>
      </c>
    </row>
    <row r="2269" ht="18" spans="1:11">
      <c r="A2269" s="14">
        <f t="shared" si="105"/>
        <v>2268</v>
      </c>
      <c r="B2269" s="11" t="s">
        <v>6184</v>
      </c>
      <c r="C2269" s="14" t="str">
        <f>IFERROR(INDEX(面试清单!D:D,MATCH(2268,面试清单!P:P,0)),"")</f>
        <v/>
      </c>
      <c r="D2269" s="11" t="s">
        <v>42</v>
      </c>
      <c r="E2269" s="11" t="s">
        <v>63</v>
      </c>
      <c r="F2269" s="11" t="s">
        <v>148</v>
      </c>
      <c r="G2269" s="15">
        <v>46174</v>
      </c>
      <c r="H2269" s="14" t="str">
        <f>IFERROR(INDEX(面试清单!H:H,MATCH(2268,面试清单!P:P,0)),"")</f>
        <v/>
      </c>
      <c r="I2269" s="13" t="s">
        <v>29</v>
      </c>
      <c r="J2269" s="14">
        <f ca="1" t="shared" si="106"/>
        <v>15</v>
      </c>
      <c r="K2269" s="14">
        <f ca="1" t="shared" si="107"/>
        <v>16</v>
      </c>
    </row>
    <row r="2270" ht="18" spans="1:11">
      <c r="A2270" s="10">
        <f t="shared" si="105"/>
        <v>2269</v>
      </c>
      <c r="B2270" s="11" t="s">
        <v>6185</v>
      </c>
      <c r="C2270" s="125" t="str">
        <f>IFERROR(INDEX(面试清单!D:D,MATCH(2269,面试清单!P:P,0)),"")</f>
        <v>0217</v>
      </c>
      <c r="D2270" s="11" t="s">
        <v>43</v>
      </c>
      <c r="E2270" s="11" t="s">
        <v>62</v>
      </c>
      <c r="F2270" s="11" t="s">
        <v>179</v>
      </c>
      <c r="G2270" s="15">
        <v>46174</v>
      </c>
      <c r="H2270" s="10" t="str">
        <f>IFERROR(INDEX(面试清单!H:H,MATCH(2269,面试清单!P:P,0)),"")</f>
        <v>线下</v>
      </c>
      <c r="I2270" s="13" t="s">
        <v>29</v>
      </c>
      <c r="J2270" s="10">
        <f ca="1" t="shared" si="106"/>
        <v>15</v>
      </c>
      <c r="K2270" s="10">
        <f ca="1" t="shared" si="107"/>
        <v>16</v>
      </c>
    </row>
    <row r="2271" ht="18" spans="1:11">
      <c r="A2271" s="14">
        <f t="shared" si="105"/>
        <v>2270</v>
      </c>
      <c r="B2271" s="11" t="s">
        <v>6186</v>
      </c>
      <c r="C2271" s="14" t="str">
        <f>IFERROR(INDEX(面试清单!D:D,MATCH(2270,面试清单!P:P,0)),"")</f>
        <v/>
      </c>
      <c r="D2271" s="11" t="s">
        <v>43</v>
      </c>
      <c r="E2271" s="11" t="s">
        <v>62</v>
      </c>
      <c r="F2271" s="11" t="s">
        <v>233</v>
      </c>
      <c r="G2271" s="15">
        <v>46174</v>
      </c>
      <c r="H2271" s="14" t="str">
        <f>IFERROR(INDEX(面试清单!H:H,MATCH(2270,面试清单!P:P,0)),"")</f>
        <v/>
      </c>
      <c r="I2271" s="13" t="s">
        <v>29</v>
      </c>
      <c r="J2271" s="14">
        <f ca="1" t="shared" si="106"/>
        <v>15</v>
      </c>
      <c r="K2271" s="14">
        <f ca="1" t="shared" si="107"/>
        <v>16</v>
      </c>
    </row>
    <row r="2272" ht="18" spans="1:11">
      <c r="A2272" s="10">
        <f t="shared" si="105"/>
        <v>2271</v>
      </c>
      <c r="B2272" s="11" t="s">
        <v>6187</v>
      </c>
      <c r="C2272" s="125" t="str">
        <f>IFERROR(INDEX(面试清单!D:D,MATCH(2271,面试清单!P:P,0)),"")</f>
        <v>0220</v>
      </c>
      <c r="D2272" s="11" t="s">
        <v>43</v>
      </c>
      <c r="E2272" s="11" t="s">
        <v>62</v>
      </c>
      <c r="F2272" s="11" t="s">
        <v>233</v>
      </c>
      <c r="G2272" s="15">
        <v>46174</v>
      </c>
      <c r="H2272" s="10" t="str">
        <f>IFERROR(INDEX(面试清单!H:H,MATCH(2271,面试清单!P:P,0)),"")</f>
        <v>线下</v>
      </c>
      <c r="I2272" s="13" t="s">
        <v>29</v>
      </c>
      <c r="J2272" s="10">
        <f ca="1" t="shared" si="106"/>
        <v>15</v>
      </c>
      <c r="K2272" s="10">
        <f ca="1" t="shared" si="107"/>
        <v>16</v>
      </c>
    </row>
    <row r="2273" ht="18" spans="1:11">
      <c r="A2273" s="14">
        <f t="shared" si="105"/>
        <v>2272</v>
      </c>
      <c r="B2273" s="11" t="s">
        <v>106</v>
      </c>
      <c r="C2273" s="124" t="str">
        <f>IFERROR(INDEX(面试清单!D:D,MATCH(2272,面试清单!P:P,0)),"")</f>
        <v>0221</v>
      </c>
      <c r="D2273" s="11" t="s">
        <v>42</v>
      </c>
      <c r="E2273" s="11" t="s">
        <v>64</v>
      </c>
      <c r="F2273" s="11" t="s">
        <v>103</v>
      </c>
      <c r="G2273" s="15">
        <v>46174</v>
      </c>
      <c r="H2273" s="14" t="str">
        <f>IFERROR(INDEX(面试清单!H:H,MATCH(2272,面试清单!P:P,0)),"")</f>
        <v>线下</v>
      </c>
      <c r="I2273" s="13" t="s">
        <v>29</v>
      </c>
      <c r="J2273" s="14">
        <f ca="1" t="shared" si="106"/>
        <v>15</v>
      </c>
      <c r="K2273" s="14">
        <f ca="1" t="shared" si="107"/>
        <v>16</v>
      </c>
    </row>
    <row r="2274" ht="18" spans="1:11">
      <c r="A2274" s="10">
        <f t="shared" si="105"/>
        <v>2273</v>
      </c>
      <c r="B2274" s="11" t="s">
        <v>115</v>
      </c>
      <c r="C2274" s="125" t="str">
        <f>IFERROR(INDEX(面试清单!D:D,MATCH(2273,面试清单!P:P,0)),"")</f>
        <v>0222</v>
      </c>
      <c r="D2274" s="11" t="s">
        <v>42</v>
      </c>
      <c r="E2274" s="11" t="s">
        <v>64</v>
      </c>
      <c r="F2274" s="11" t="s">
        <v>117</v>
      </c>
      <c r="G2274" s="15">
        <v>46174</v>
      </c>
      <c r="H2274" s="10" t="str">
        <f>IFERROR(INDEX(面试清单!H:H,MATCH(2273,面试清单!P:P,0)),"")</f>
        <v>线下</v>
      </c>
      <c r="I2274" s="13" t="s">
        <v>29</v>
      </c>
      <c r="J2274" s="10">
        <f ca="1" t="shared" si="106"/>
        <v>15</v>
      </c>
      <c r="K2274" s="10">
        <f ca="1" t="shared" si="107"/>
        <v>16</v>
      </c>
    </row>
    <row r="2275" ht="18" spans="1:11">
      <c r="A2275" s="14">
        <f t="shared" si="105"/>
        <v>2274</v>
      </c>
      <c r="B2275" s="11" t="s">
        <v>122</v>
      </c>
      <c r="C2275" s="124" t="str">
        <f>IFERROR(INDEX(面试清单!D:D,MATCH(2274,面试清单!P:P,0)),"")</f>
        <v>0208</v>
      </c>
      <c r="D2275" s="11" t="s">
        <v>43</v>
      </c>
      <c r="E2275" s="11" t="s">
        <v>63</v>
      </c>
      <c r="F2275" s="11" t="s">
        <v>124</v>
      </c>
      <c r="G2275" s="15">
        <v>46174</v>
      </c>
      <c r="H2275" s="14" t="str">
        <f>IFERROR(INDEX(面试清单!H:H,MATCH(2274,面试清单!P:P,0)),"")</f>
        <v>线下</v>
      </c>
      <c r="I2275" s="13" t="s">
        <v>29</v>
      </c>
      <c r="J2275" s="14">
        <f ca="1" t="shared" si="106"/>
        <v>15</v>
      </c>
      <c r="K2275" s="14">
        <f ca="1" t="shared" si="107"/>
        <v>16</v>
      </c>
    </row>
    <row r="2276" ht="18" spans="1:11">
      <c r="A2276" s="10">
        <f t="shared" si="105"/>
        <v>2275</v>
      </c>
      <c r="B2276" s="11" t="s">
        <v>130</v>
      </c>
      <c r="C2276" s="10" t="str">
        <f>IFERROR(INDEX(面试清单!D:D,MATCH(2275,面试清单!P:P,0)),"")</f>
        <v/>
      </c>
      <c r="D2276" s="11" t="s">
        <v>43</v>
      </c>
      <c r="E2276" s="11" t="s">
        <v>63</v>
      </c>
      <c r="F2276" s="11" t="s">
        <v>132</v>
      </c>
      <c r="G2276" s="15">
        <v>46174</v>
      </c>
      <c r="H2276" s="10" t="str">
        <f>IFERROR(INDEX(面试清单!H:H,MATCH(2275,面试清单!P:P,0)),"")</f>
        <v/>
      </c>
      <c r="I2276" s="13" t="s">
        <v>29</v>
      </c>
      <c r="J2276" s="10">
        <f ca="1" t="shared" si="106"/>
        <v>15</v>
      </c>
      <c r="K2276" s="10">
        <f ca="1" t="shared" si="107"/>
        <v>16</v>
      </c>
    </row>
    <row r="2277" ht="18" spans="1:11">
      <c r="A2277" s="14">
        <f t="shared" si="105"/>
        <v>2276</v>
      </c>
      <c r="B2277" s="11" t="s">
        <v>6188</v>
      </c>
      <c r="C2277" s="124" t="str">
        <f>IFERROR(INDEX(面试清单!D:D,MATCH(2276,面试清单!P:P,0)),"")</f>
        <v>0212</v>
      </c>
      <c r="D2277" s="11" t="s">
        <v>42</v>
      </c>
      <c r="E2277" s="11" t="s">
        <v>62</v>
      </c>
      <c r="F2277" s="11" t="s">
        <v>578</v>
      </c>
      <c r="G2277" s="15">
        <v>46174</v>
      </c>
      <c r="H2277" s="14" t="str">
        <f>IFERROR(INDEX(面试清单!H:H,MATCH(2276,面试清单!P:P,0)),"")</f>
        <v>线下</v>
      </c>
      <c r="I2277" s="13" t="s">
        <v>29</v>
      </c>
      <c r="J2277" s="14">
        <f ca="1" t="shared" si="106"/>
        <v>15</v>
      </c>
      <c r="K2277" s="14">
        <f ca="1" t="shared" si="107"/>
        <v>16</v>
      </c>
    </row>
    <row r="2278" ht="18" spans="1:11">
      <c r="A2278" s="10">
        <f t="shared" si="105"/>
        <v>2277</v>
      </c>
      <c r="B2278" s="11" t="s">
        <v>133</v>
      </c>
      <c r="C2278" s="125" t="str">
        <f>IFERROR(INDEX(面试清单!D:D,MATCH(2277,面试清单!P:P,0)),"")</f>
        <v>0214</v>
      </c>
      <c r="D2278" s="11" t="s">
        <v>74</v>
      </c>
      <c r="E2278" s="11" t="s">
        <v>64</v>
      </c>
      <c r="F2278" s="11" t="s">
        <v>135</v>
      </c>
      <c r="G2278" s="15">
        <v>46174</v>
      </c>
      <c r="H2278" s="10" t="str">
        <f>IFERROR(INDEX(面试清单!H:H,MATCH(2277,面试清单!P:P,0)),"")</f>
        <v>线下</v>
      </c>
      <c r="I2278" s="13" t="s">
        <v>29</v>
      </c>
      <c r="J2278" s="10">
        <f ca="1" t="shared" si="106"/>
        <v>15</v>
      </c>
      <c r="K2278" s="10">
        <f ca="1" t="shared" si="107"/>
        <v>16</v>
      </c>
    </row>
    <row r="2279" ht="18" spans="1:11">
      <c r="A2279" s="14">
        <f t="shared" si="105"/>
        <v>2278</v>
      </c>
      <c r="B2279" s="11" t="s">
        <v>136</v>
      </c>
      <c r="C2279" s="14" t="str">
        <f>IFERROR(INDEX(面试清单!D:D,MATCH(2278,面试清单!P:P,0)),"")</f>
        <v/>
      </c>
      <c r="D2279" s="11" t="s">
        <v>74</v>
      </c>
      <c r="E2279" s="11" t="s">
        <v>64</v>
      </c>
      <c r="F2279" s="11" t="s">
        <v>135</v>
      </c>
      <c r="G2279" s="15">
        <v>46174</v>
      </c>
      <c r="H2279" s="14" t="str">
        <f>IFERROR(INDEX(面试清单!H:H,MATCH(2278,面试清单!P:P,0)),"")</f>
        <v/>
      </c>
      <c r="I2279" s="13" t="s">
        <v>29</v>
      </c>
      <c r="J2279" s="14">
        <f ca="1" t="shared" si="106"/>
        <v>15</v>
      </c>
      <c r="K2279" s="14">
        <f ca="1" t="shared" si="107"/>
        <v>16</v>
      </c>
    </row>
    <row r="2280" ht="18" spans="1:11">
      <c r="A2280" s="10">
        <f t="shared" si="105"/>
        <v>2279</v>
      </c>
      <c r="B2280" s="11" t="s">
        <v>142</v>
      </c>
      <c r="C2280" s="10" t="str">
        <f>IFERROR(INDEX(面试清单!D:D,MATCH(2279,面试清单!P:P,0)),"")</f>
        <v/>
      </c>
      <c r="D2280" s="11" t="s">
        <v>74</v>
      </c>
      <c r="E2280" s="11" t="s">
        <v>64</v>
      </c>
      <c r="F2280" s="11" t="s">
        <v>135</v>
      </c>
      <c r="G2280" s="15">
        <v>46174</v>
      </c>
      <c r="H2280" s="10" t="str">
        <f>IFERROR(INDEX(面试清单!H:H,MATCH(2279,面试清单!P:P,0)),"")</f>
        <v/>
      </c>
      <c r="I2280" s="13" t="s">
        <v>29</v>
      </c>
      <c r="J2280" s="10">
        <f ca="1" t="shared" si="106"/>
        <v>15</v>
      </c>
      <c r="K2280" s="10">
        <f ca="1" t="shared" si="107"/>
        <v>16</v>
      </c>
    </row>
    <row r="2281" ht="18" spans="1:11">
      <c r="A2281" s="14">
        <f t="shared" si="105"/>
        <v>2280</v>
      </c>
      <c r="B2281" s="11" t="s">
        <v>153</v>
      </c>
      <c r="C2281" s="124" t="str">
        <f>IFERROR(INDEX(面试清单!D:D,MATCH(2280,面试清单!P:P,0)),"")</f>
        <v>0220</v>
      </c>
      <c r="D2281" s="11" t="s">
        <v>43</v>
      </c>
      <c r="E2281" s="11" t="s">
        <v>64</v>
      </c>
      <c r="F2281" s="11" t="s">
        <v>148</v>
      </c>
      <c r="G2281" s="15">
        <v>46174</v>
      </c>
      <c r="H2281" s="14" t="str">
        <f>IFERROR(INDEX(面试清单!H:H,MATCH(2280,面试清单!P:P,0)),"")</f>
        <v>线上</v>
      </c>
      <c r="I2281" s="13" t="s">
        <v>29</v>
      </c>
      <c r="J2281" s="14">
        <f ca="1" t="shared" si="106"/>
        <v>15</v>
      </c>
      <c r="K2281" s="14">
        <f ca="1" t="shared" si="107"/>
        <v>16</v>
      </c>
    </row>
    <row r="2282" ht="18" spans="1:11">
      <c r="A2282" s="10">
        <f t="shared" si="105"/>
        <v>2281</v>
      </c>
      <c r="B2282" s="11" t="s">
        <v>165</v>
      </c>
      <c r="C2282" s="10" t="str">
        <f>IFERROR(INDEX(面试清单!D:D,MATCH(2281,面试清单!P:P,0)),"")</f>
        <v/>
      </c>
      <c r="D2282" s="11" t="s">
        <v>74</v>
      </c>
      <c r="E2282" s="11" t="s">
        <v>64</v>
      </c>
      <c r="F2282" s="11" t="s">
        <v>148</v>
      </c>
      <c r="G2282" s="15">
        <v>46174</v>
      </c>
      <c r="H2282" s="10" t="str">
        <f>IFERROR(INDEX(面试清单!H:H,MATCH(2281,面试清单!P:P,0)),"")</f>
        <v/>
      </c>
      <c r="I2282" s="13" t="s">
        <v>29</v>
      </c>
      <c r="J2282" s="10">
        <f ca="1" t="shared" si="106"/>
        <v>15</v>
      </c>
      <c r="K2282" s="10">
        <f ca="1" t="shared" si="107"/>
        <v>16</v>
      </c>
    </row>
    <row r="2283" ht="18" spans="1:11">
      <c r="A2283" s="14">
        <f t="shared" si="105"/>
        <v>2282</v>
      </c>
      <c r="B2283" s="11" t="s">
        <v>167</v>
      </c>
      <c r="C2283" s="124" t="str">
        <f>IFERROR(INDEX(面试清单!D:D,MATCH(2282,面试清单!P:P,0)),"")</f>
        <v>0222</v>
      </c>
      <c r="D2283" s="11" t="s">
        <v>74</v>
      </c>
      <c r="E2283" s="11" t="s">
        <v>64</v>
      </c>
      <c r="F2283" s="11" t="s">
        <v>148</v>
      </c>
      <c r="G2283" s="15">
        <v>46174</v>
      </c>
      <c r="H2283" s="14" t="str">
        <f>IFERROR(INDEX(面试清单!H:H,MATCH(2282,面试清单!P:P,0)),"")</f>
        <v>线上</v>
      </c>
      <c r="I2283" s="13" t="s">
        <v>29</v>
      </c>
      <c r="J2283" s="14">
        <f ca="1" t="shared" si="106"/>
        <v>15</v>
      </c>
      <c r="K2283" s="14">
        <f ca="1" t="shared" si="107"/>
        <v>16</v>
      </c>
    </row>
    <row r="2284" ht="18" spans="1:11">
      <c r="A2284" s="10">
        <f t="shared" si="105"/>
        <v>2283</v>
      </c>
      <c r="B2284" s="11" t="s">
        <v>169</v>
      </c>
      <c r="C2284" s="10" t="str">
        <f>IFERROR(INDEX(面试清单!D:D,MATCH(2283,面试清单!P:P,0)),"")</f>
        <v/>
      </c>
      <c r="D2284" s="11" t="s">
        <v>74</v>
      </c>
      <c r="E2284" s="11" t="s">
        <v>64</v>
      </c>
      <c r="F2284" s="11" t="s">
        <v>148</v>
      </c>
      <c r="G2284" s="15">
        <v>46174</v>
      </c>
      <c r="H2284" s="10" t="str">
        <f>IFERROR(INDEX(面试清单!H:H,MATCH(2283,面试清单!P:P,0)),"")</f>
        <v/>
      </c>
      <c r="I2284" s="13" t="s">
        <v>29</v>
      </c>
      <c r="J2284" s="10">
        <f ca="1" t="shared" si="106"/>
        <v>15</v>
      </c>
      <c r="K2284" s="10">
        <f ca="1" t="shared" si="107"/>
        <v>16</v>
      </c>
    </row>
    <row r="2285" ht="18" spans="1:11">
      <c r="A2285" s="14">
        <f t="shared" si="105"/>
        <v>2284</v>
      </c>
      <c r="B2285" s="11" t="s">
        <v>171</v>
      </c>
      <c r="C2285" s="14" t="str">
        <f>IFERROR(INDEX(面试清单!D:D,MATCH(2284,面试清单!P:P,0)),"")</f>
        <v/>
      </c>
      <c r="D2285" s="11" t="s">
        <v>42</v>
      </c>
      <c r="E2285" s="11" t="s">
        <v>62</v>
      </c>
      <c r="F2285" s="11" t="s">
        <v>173</v>
      </c>
      <c r="G2285" s="15">
        <v>46174</v>
      </c>
      <c r="H2285" s="14" t="str">
        <f>IFERROR(INDEX(面试清单!H:H,MATCH(2284,面试清单!P:P,0)),"")</f>
        <v/>
      </c>
      <c r="I2285" s="13" t="s">
        <v>29</v>
      </c>
      <c r="J2285" s="14">
        <f ca="1" t="shared" si="106"/>
        <v>15</v>
      </c>
      <c r="K2285" s="14">
        <f ca="1" t="shared" si="107"/>
        <v>16</v>
      </c>
    </row>
    <row r="2286" ht="18" spans="1:11">
      <c r="A2286" s="10">
        <f t="shared" si="105"/>
        <v>2285</v>
      </c>
      <c r="B2286" s="11" t="s">
        <v>177</v>
      </c>
      <c r="C2286" s="10" t="str">
        <f>IFERROR(INDEX(面试清单!D:D,MATCH(2285,面试清单!P:P,0)),"")</f>
        <v/>
      </c>
      <c r="D2286" s="11" t="s">
        <v>43</v>
      </c>
      <c r="E2286" s="11" t="s">
        <v>62</v>
      </c>
      <c r="F2286" s="11" t="s">
        <v>179</v>
      </c>
      <c r="G2286" s="15">
        <v>46174</v>
      </c>
      <c r="H2286" s="10" t="str">
        <f>IFERROR(INDEX(面试清单!H:H,MATCH(2285,面试清单!P:P,0)),"")</f>
        <v/>
      </c>
      <c r="I2286" s="13" t="s">
        <v>29</v>
      </c>
      <c r="J2286" s="10">
        <f ca="1" t="shared" si="106"/>
        <v>15</v>
      </c>
      <c r="K2286" s="10">
        <f ca="1" t="shared" si="107"/>
        <v>16</v>
      </c>
    </row>
    <row r="2287" ht="18" spans="1:11">
      <c r="A2287" s="14">
        <f t="shared" si="105"/>
        <v>2286</v>
      </c>
      <c r="B2287" s="11" t="s">
        <v>180</v>
      </c>
      <c r="C2287" s="14" t="str">
        <f>IFERROR(INDEX(面试清单!D:D,MATCH(2286,面试清单!P:P,0)),"")</f>
        <v/>
      </c>
      <c r="D2287" s="11" t="s">
        <v>43</v>
      </c>
      <c r="E2287" s="11" t="s">
        <v>63</v>
      </c>
      <c r="F2287" s="11" t="s">
        <v>179</v>
      </c>
      <c r="G2287" s="15">
        <v>46174</v>
      </c>
      <c r="H2287" s="14" t="str">
        <f>IFERROR(INDEX(面试清单!H:H,MATCH(2286,面试清单!P:P,0)),"")</f>
        <v/>
      </c>
      <c r="I2287" s="13" t="s">
        <v>29</v>
      </c>
      <c r="J2287" s="14">
        <f ca="1" t="shared" si="106"/>
        <v>15</v>
      </c>
      <c r="K2287" s="14">
        <f ca="1" t="shared" si="107"/>
        <v>16</v>
      </c>
    </row>
    <row r="2288" ht="18" spans="1:11">
      <c r="A2288" s="10">
        <f t="shared" si="105"/>
        <v>2287</v>
      </c>
      <c r="B2288" s="11" t="s">
        <v>184</v>
      </c>
      <c r="C2288" s="10" t="str">
        <f>IFERROR(INDEX(面试清单!D:D,MATCH(2287,面试清单!P:P,0)),"")</f>
        <v/>
      </c>
      <c r="D2288" s="11" t="s">
        <v>43</v>
      </c>
      <c r="E2288" s="11" t="s">
        <v>64</v>
      </c>
      <c r="F2288" s="11" t="s">
        <v>179</v>
      </c>
      <c r="G2288" s="15">
        <v>46174</v>
      </c>
      <c r="H2288" s="10" t="str">
        <f>IFERROR(INDEX(面试清单!H:H,MATCH(2287,面试清单!P:P,0)),"")</f>
        <v/>
      </c>
      <c r="I2288" s="13" t="s">
        <v>29</v>
      </c>
      <c r="J2288" s="10">
        <f ca="1" t="shared" si="106"/>
        <v>15</v>
      </c>
      <c r="K2288" s="10">
        <f ca="1" t="shared" si="107"/>
        <v>16</v>
      </c>
    </row>
    <row r="2289" ht="18" spans="1:11">
      <c r="A2289" s="14">
        <f t="shared" si="105"/>
        <v>2288</v>
      </c>
      <c r="B2289" s="11" t="s">
        <v>188</v>
      </c>
      <c r="C2289" s="14" t="str">
        <f>IFERROR(INDEX(面试清单!D:D,MATCH(2288,面试清单!P:P,0)),"")</f>
        <v/>
      </c>
      <c r="D2289" s="11" t="s">
        <v>74</v>
      </c>
      <c r="E2289" s="11" t="s">
        <v>190</v>
      </c>
      <c r="F2289" s="11" t="s">
        <v>179</v>
      </c>
      <c r="G2289" s="15">
        <v>46174</v>
      </c>
      <c r="H2289" s="14" t="str">
        <f>IFERROR(INDEX(面试清单!H:H,MATCH(2288,面试清单!P:P,0)),"")</f>
        <v/>
      </c>
      <c r="I2289" s="13" t="s">
        <v>29</v>
      </c>
      <c r="J2289" s="14">
        <f ca="1" t="shared" si="106"/>
        <v>15</v>
      </c>
      <c r="K2289" s="14">
        <f ca="1" t="shared" si="107"/>
        <v>16</v>
      </c>
    </row>
    <row r="2290" ht="18" spans="1:11">
      <c r="A2290" s="10">
        <f t="shared" si="105"/>
        <v>2289</v>
      </c>
      <c r="B2290" s="11" t="s">
        <v>191</v>
      </c>
      <c r="C2290" s="10" t="str">
        <f>IFERROR(INDEX(面试清单!D:D,MATCH(2289,面试清单!P:P,0)),"")</f>
        <v/>
      </c>
      <c r="D2290" s="11" t="s">
        <v>74</v>
      </c>
      <c r="E2290" s="11" t="s">
        <v>64</v>
      </c>
      <c r="F2290" s="11" t="s">
        <v>179</v>
      </c>
      <c r="G2290" s="15">
        <v>46174</v>
      </c>
      <c r="H2290" s="10" t="str">
        <f>IFERROR(INDEX(面试清单!H:H,MATCH(2289,面试清单!P:P,0)),"")</f>
        <v/>
      </c>
      <c r="I2290" s="13" t="s">
        <v>29</v>
      </c>
      <c r="J2290" s="10">
        <f ca="1" t="shared" si="106"/>
        <v>15</v>
      </c>
      <c r="K2290" s="10">
        <f ca="1" t="shared" si="107"/>
        <v>16</v>
      </c>
    </row>
    <row r="2291" ht="18" spans="1:11">
      <c r="A2291" s="14">
        <f t="shared" si="105"/>
        <v>2290</v>
      </c>
      <c r="B2291" s="11" t="s">
        <v>201</v>
      </c>
      <c r="C2291" s="14" t="str">
        <f>IFERROR(INDEX(面试清单!D:D,MATCH(2290,面试清单!P:P,0)),"")</f>
        <v/>
      </c>
      <c r="D2291" s="11" t="s">
        <v>74</v>
      </c>
      <c r="E2291" s="11" t="s">
        <v>64</v>
      </c>
      <c r="F2291" s="11" t="s">
        <v>179</v>
      </c>
      <c r="G2291" s="15">
        <v>46174</v>
      </c>
      <c r="H2291" s="14" t="str">
        <f>IFERROR(INDEX(面试清单!H:H,MATCH(2290,面试清单!P:P,0)),"")</f>
        <v/>
      </c>
      <c r="I2291" s="13" t="s">
        <v>29</v>
      </c>
      <c r="J2291" s="14">
        <f ca="1" t="shared" si="106"/>
        <v>15</v>
      </c>
      <c r="K2291" s="14">
        <f ca="1" t="shared" si="107"/>
        <v>16</v>
      </c>
    </row>
    <row r="2292" ht="18" spans="1:11">
      <c r="A2292" s="10">
        <f t="shared" si="105"/>
        <v>2291</v>
      </c>
      <c r="B2292" s="11" t="s">
        <v>215</v>
      </c>
      <c r="C2292" s="10" t="str">
        <f>IFERROR(INDEX(面试清单!D:D,MATCH(2291,面试清单!P:P,0)),"")</f>
        <v/>
      </c>
      <c r="D2292" s="11" t="s">
        <v>74</v>
      </c>
      <c r="E2292" s="11" t="s">
        <v>64</v>
      </c>
      <c r="F2292" s="11" t="s">
        <v>179</v>
      </c>
      <c r="G2292" s="15">
        <v>46174</v>
      </c>
      <c r="H2292" s="10" t="str">
        <f>IFERROR(INDEX(面试清单!H:H,MATCH(2291,面试清单!P:P,0)),"")</f>
        <v/>
      </c>
      <c r="I2292" s="13" t="s">
        <v>29</v>
      </c>
      <c r="J2292" s="10">
        <f ca="1" t="shared" si="106"/>
        <v>15</v>
      </c>
      <c r="K2292" s="10">
        <f ca="1" t="shared" si="107"/>
        <v>16</v>
      </c>
    </row>
    <row r="2293" ht="18" spans="1:11">
      <c r="A2293" s="14">
        <f t="shared" si="105"/>
        <v>2292</v>
      </c>
      <c r="B2293" s="11" t="s">
        <v>221</v>
      </c>
      <c r="C2293" s="14" t="str">
        <f>IFERROR(INDEX(面试清单!D:D,MATCH(2292,面试清单!P:P,0)),"")</f>
        <v/>
      </c>
      <c r="D2293" s="11" t="s">
        <v>42</v>
      </c>
      <c r="E2293" s="11" t="s">
        <v>62</v>
      </c>
      <c r="F2293" s="11" t="s">
        <v>103</v>
      </c>
      <c r="G2293" s="15">
        <v>46174</v>
      </c>
      <c r="H2293" s="14" t="str">
        <f>IFERROR(INDEX(面试清单!H:H,MATCH(2292,面试清单!P:P,0)),"")</f>
        <v/>
      </c>
      <c r="I2293" s="13" t="s">
        <v>29</v>
      </c>
      <c r="J2293" s="14">
        <f ca="1" t="shared" si="106"/>
        <v>15</v>
      </c>
      <c r="K2293" s="14">
        <f ca="1" t="shared" si="107"/>
        <v>16</v>
      </c>
    </row>
    <row r="2294" ht="18" spans="1:11">
      <c r="A2294" s="10">
        <f t="shared" si="105"/>
        <v>2293</v>
      </c>
      <c r="B2294" s="11" t="s">
        <v>227</v>
      </c>
      <c r="C2294" s="10" t="str">
        <f>IFERROR(INDEX(面试清单!D:D,MATCH(2293,面试清单!P:P,0)),"")</f>
        <v/>
      </c>
      <c r="D2294" s="11" t="s">
        <v>43</v>
      </c>
      <c r="E2294" s="11" t="s">
        <v>64</v>
      </c>
      <c r="F2294" s="11" t="s">
        <v>117</v>
      </c>
      <c r="G2294" s="15">
        <v>46174</v>
      </c>
      <c r="H2294" s="10" t="str">
        <f>IFERROR(INDEX(面试清单!H:H,MATCH(2293,面试清单!P:P,0)),"")</f>
        <v/>
      </c>
      <c r="I2294" s="13" t="s">
        <v>29</v>
      </c>
      <c r="J2294" s="10">
        <f ca="1" t="shared" si="106"/>
        <v>15</v>
      </c>
      <c r="K2294" s="10">
        <f ca="1" t="shared" si="107"/>
        <v>16</v>
      </c>
    </row>
    <row r="2295" ht="18" spans="1:11">
      <c r="A2295" s="14">
        <f t="shared" si="105"/>
        <v>2294</v>
      </c>
      <c r="B2295" s="11" t="s">
        <v>231</v>
      </c>
      <c r="C2295" s="124" t="str">
        <f>IFERROR(INDEX(面试清单!D:D,MATCH(2294,面试清单!P:P,0)),"")</f>
        <v>0212</v>
      </c>
      <c r="D2295" s="11" t="s">
        <v>43</v>
      </c>
      <c r="E2295" s="11" t="s">
        <v>62</v>
      </c>
      <c r="F2295" s="11" t="s">
        <v>233</v>
      </c>
      <c r="G2295" s="15">
        <v>46174</v>
      </c>
      <c r="H2295" s="14" t="str">
        <f>IFERROR(INDEX(面试清单!H:H,MATCH(2294,面试清单!P:P,0)),"")</f>
        <v>线上</v>
      </c>
      <c r="I2295" s="13" t="s">
        <v>29</v>
      </c>
      <c r="J2295" s="14">
        <f ca="1" t="shared" si="106"/>
        <v>15</v>
      </c>
      <c r="K2295" s="14">
        <f ca="1" t="shared" si="107"/>
        <v>16</v>
      </c>
    </row>
    <row r="2296" ht="18" spans="1:11">
      <c r="A2296" s="10">
        <f t="shared" si="105"/>
        <v>2295</v>
      </c>
      <c r="B2296" s="11" t="s">
        <v>234</v>
      </c>
      <c r="C2296" s="10" t="str">
        <f>IFERROR(INDEX(面试清单!D:D,MATCH(2295,面试清单!P:P,0)),"")</f>
        <v/>
      </c>
      <c r="D2296" s="11" t="s">
        <v>43</v>
      </c>
      <c r="E2296" s="11" t="s">
        <v>62</v>
      </c>
      <c r="F2296" s="11" t="s">
        <v>233</v>
      </c>
      <c r="G2296" s="15">
        <v>46174</v>
      </c>
      <c r="H2296" s="10" t="str">
        <f>IFERROR(INDEX(面试清单!H:H,MATCH(2295,面试清单!P:P,0)),"")</f>
        <v/>
      </c>
      <c r="I2296" s="13" t="s">
        <v>29</v>
      </c>
      <c r="J2296" s="10">
        <f ca="1" t="shared" si="106"/>
        <v>15</v>
      </c>
      <c r="K2296" s="10">
        <f ca="1" t="shared" si="107"/>
        <v>16</v>
      </c>
    </row>
    <row r="2297" ht="18" spans="1:11">
      <c r="A2297" s="14">
        <f t="shared" si="105"/>
        <v>2296</v>
      </c>
      <c r="B2297" s="11" t="s">
        <v>236</v>
      </c>
      <c r="C2297" s="14" t="str">
        <f>IFERROR(INDEX(面试清单!D:D,MATCH(2296,面试清单!P:P,0)),"")</f>
        <v/>
      </c>
      <c r="D2297" s="11" t="s">
        <v>43</v>
      </c>
      <c r="E2297" s="11" t="s">
        <v>63</v>
      </c>
      <c r="F2297" s="11" t="s">
        <v>233</v>
      </c>
      <c r="G2297" s="15">
        <v>46174</v>
      </c>
      <c r="H2297" s="14" t="str">
        <f>IFERROR(INDEX(面试清单!H:H,MATCH(2296,面试清单!P:P,0)),"")</f>
        <v/>
      </c>
      <c r="I2297" s="13" t="s">
        <v>29</v>
      </c>
      <c r="J2297" s="14">
        <f ca="1" t="shared" si="106"/>
        <v>15</v>
      </c>
      <c r="K2297" s="14">
        <f ca="1" t="shared" si="107"/>
        <v>16</v>
      </c>
    </row>
    <row r="2298" ht="18" spans="1:11">
      <c r="A2298" s="10">
        <f t="shared" si="105"/>
        <v>2297</v>
      </c>
      <c r="B2298" s="11" t="s">
        <v>238</v>
      </c>
      <c r="C2298" s="125" t="str">
        <f>IFERROR(INDEX(面试清单!D:D,MATCH(2297,面试清单!P:P,0)),"")</f>
        <v>0218</v>
      </c>
      <c r="D2298" s="11" t="s">
        <v>42</v>
      </c>
      <c r="E2298" s="11" t="s">
        <v>62</v>
      </c>
      <c r="F2298" s="11" t="s">
        <v>233</v>
      </c>
      <c r="G2298" s="15">
        <v>46174</v>
      </c>
      <c r="H2298" s="10" t="str">
        <f>IFERROR(INDEX(面试清单!H:H,MATCH(2297,面试清单!P:P,0)),"")</f>
        <v>线上</v>
      </c>
      <c r="I2298" s="13" t="s">
        <v>29</v>
      </c>
      <c r="J2298" s="10">
        <f ca="1" t="shared" si="106"/>
        <v>15</v>
      </c>
      <c r="K2298" s="10">
        <f ca="1" t="shared" si="107"/>
        <v>16</v>
      </c>
    </row>
    <row r="2299" ht="18" spans="1:11">
      <c r="A2299" s="14">
        <f t="shared" si="105"/>
        <v>2298</v>
      </c>
      <c r="B2299" s="11" t="s">
        <v>244</v>
      </c>
      <c r="C2299" s="124" t="str">
        <f>IFERROR(INDEX(面试清单!D:D,MATCH(2298,面试清单!P:P,0)),"")</f>
        <v>0220</v>
      </c>
      <c r="D2299" s="11" t="s">
        <v>42</v>
      </c>
      <c r="E2299" s="11" t="s">
        <v>62</v>
      </c>
      <c r="F2299" s="11" t="s">
        <v>246</v>
      </c>
      <c r="G2299" s="15">
        <v>46174</v>
      </c>
      <c r="H2299" s="14" t="str">
        <f>IFERROR(INDEX(面试清单!H:H,MATCH(2298,面试清单!P:P,0)),"")</f>
        <v>线上</v>
      </c>
      <c r="I2299" s="13" t="s">
        <v>29</v>
      </c>
      <c r="J2299" s="14">
        <f ca="1" t="shared" si="106"/>
        <v>15</v>
      </c>
      <c r="K2299" s="14">
        <f ca="1" t="shared" si="107"/>
        <v>16</v>
      </c>
    </row>
    <row r="2300" ht="18" spans="1:11">
      <c r="A2300" s="10">
        <f t="shared" si="105"/>
        <v>2299</v>
      </c>
      <c r="B2300" s="11" t="s">
        <v>249</v>
      </c>
      <c r="C2300" s="10" t="str">
        <f>IFERROR(INDEX(面试清单!D:D,MATCH(2299,面试清单!P:P,0)),"")</f>
        <v/>
      </c>
      <c r="D2300" s="11" t="s">
        <v>74</v>
      </c>
      <c r="E2300" s="11" t="s">
        <v>64</v>
      </c>
      <c r="F2300" s="11" t="s">
        <v>148</v>
      </c>
      <c r="G2300" s="15">
        <v>46174</v>
      </c>
      <c r="H2300" s="10" t="str">
        <f>IFERROR(INDEX(面试清单!H:H,MATCH(2299,面试清单!P:P,0)),"")</f>
        <v/>
      </c>
      <c r="I2300" s="13" t="s">
        <v>29</v>
      </c>
      <c r="J2300" s="10">
        <f ca="1" t="shared" si="106"/>
        <v>15</v>
      </c>
      <c r="K2300" s="10">
        <f ca="1" t="shared" si="107"/>
        <v>16</v>
      </c>
    </row>
    <row r="2301" ht="18" spans="1:11">
      <c r="A2301" s="14">
        <f t="shared" si="105"/>
        <v>2300</v>
      </c>
      <c r="B2301" s="11" t="s">
        <v>257</v>
      </c>
      <c r="C2301" s="14" t="str">
        <f>IFERROR(INDEX(面试清单!D:D,MATCH(2300,面试清单!P:P,0)),"")</f>
        <v/>
      </c>
      <c r="D2301" s="11" t="s">
        <v>74</v>
      </c>
      <c r="E2301" s="11" t="s">
        <v>64</v>
      </c>
      <c r="F2301" s="11" t="s">
        <v>179</v>
      </c>
      <c r="G2301" s="15">
        <v>46174</v>
      </c>
      <c r="H2301" s="14" t="str">
        <f>IFERROR(INDEX(面试清单!H:H,MATCH(2300,面试清单!P:P,0)),"")</f>
        <v/>
      </c>
      <c r="I2301" s="13" t="s">
        <v>29</v>
      </c>
      <c r="J2301" s="14">
        <f ca="1" t="shared" si="106"/>
        <v>15</v>
      </c>
      <c r="K2301" s="14">
        <f ca="1" t="shared" si="107"/>
        <v>16</v>
      </c>
    </row>
    <row r="2302" ht="18" spans="1:11">
      <c r="A2302" s="10">
        <f t="shared" si="105"/>
        <v>2301</v>
      </c>
      <c r="B2302" s="11" t="s">
        <v>259</v>
      </c>
      <c r="C2302" s="10" t="str">
        <f>IFERROR(INDEX(面试清单!D:D,MATCH(2301,面试清单!P:P,0)),"")</f>
        <v/>
      </c>
      <c r="D2302" s="11" t="s">
        <v>74</v>
      </c>
      <c r="E2302" s="11" t="s">
        <v>64</v>
      </c>
      <c r="F2302" s="11" t="s">
        <v>179</v>
      </c>
      <c r="G2302" s="15">
        <v>46174</v>
      </c>
      <c r="H2302" s="10" t="str">
        <f>IFERROR(INDEX(面试清单!H:H,MATCH(2301,面试清单!P:P,0)),"")</f>
        <v/>
      </c>
      <c r="I2302" s="13" t="s">
        <v>29</v>
      </c>
      <c r="J2302" s="10">
        <f ca="1" t="shared" si="106"/>
        <v>15</v>
      </c>
      <c r="K2302" s="10">
        <f ca="1" t="shared" si="107"/>
        <v>16</v>
      </c>
    </row>
    <row r="2303" ht="18" spans="1:11">
      <c r="A2303" s="14">
        <f t="shared" si="105"/>
        <v>2302</v>
      </c>
      <c r="B2303" s="11" t="s">
        <v>261</v>
      </c>
      <c r="C2303" s="14" t="str">
        <f>IFERROR(INDEX(面试清单!D:D,MATCH(2302,面试清单!P:P,0)),"")</f>
        <v/>
      </c>
      <c r="D2303" s="11" t="s">
        <v>74</v>
      </c>
      <c r="E2303" s="11" t="s">
        <v>64</v>
      </c>
      <c r="F2303" s="11" t="s">
        <v>179</v>
      </c>
      <c r="G2303" s="15">
        <v>46174</v>
      </c>
      <c r="H2303" s="14" t="str">
        <f>IFERROR(INDEX(面试清单!H:H,MATCH(2302,面试清单!P:P,0)),"")</f>
        <v/>
      </c>
      <c r="I2303" s="13" t="s">
        <v>29</v>
      </c>
      <c r="J2303" s="14">
        <f ca="1" t="shared" si="106"/>
        <v>15</v>
      </c>
      <c r="K2303" s="14">
        <f ca="1" t="shared" si="107"/>
        <v>16</v>
      </c>
    </row>
    <row r="2304" ht="18" spans="1:11">
      <c r="A2304" s="10">
        <f t="shared" si="105"/>
        <v>2303</v>
      </c>
      <c r="B2304" s="11" t="s">
        <v>1110</v>
      </c>
      <c r="C2304" s="125" t="str">
        <f>IFERROR(INDEX(面试清单!D:D,MATCH(2303,面试清单!P:P,0)),"")</f>
        <v>0212</v>
      </c>
      <c r="D2304" s="11" t="s">
        <v>43</v>
      </c>
      <c r="E2304" s="11" t="s">
        <v>62</v>
      </c>
      <c r="F2304" s="11" t="s">
        <v>124</v>
      </c>
      <c r="G2304" s="15">
        <v>46175</v>
      </c>
      <c r="H2304" s="10" t="str">
        <f>IFERROR(INDEX(面试清单!H:H,MATCH(2303,面试清单!P:P,0)),"")</f>
        <v>线上</v>
      </c>
      <c r="I2304" s="13" t="s">
        <v>29</v>
      </c>
      <c r="J2304" s="10">
        <f ca="1" t="shared" si="106"/>
        <v>14</v>
      </c>
      <c r="K2304" s="10">
        <f ca="1" t="shared" si="107"/>
        <v>15</v>
      </c>
    </row>
    <row r="2305" ht="36" spans="1:11">
      <c r="A2305" s="14">
        <f t="shared" si="105"/>
        <v>2304</v>
      </c>
      <c r="B2305" s="11" t="s">
        <v>6189</v>
      </c>
      <c r="C2305" s="124" t="str">
        <f>IFERROR(INDEX(面试清单!D:D,MATCH(2304,面试清单!P:P,0)),"")</f>
        <v>0214</v>
      </c>
      <c r="D2305" s="11" t="s">
        <v>43</v>
      </c>
      <c r="E2305" s="11" t="s">
        <v>63</v>
      </c>
      <c r="F2305" s="11" t="s">
        <v>124</v>
      </c>
      <c r="G2305" s="15">
        <v>46175</v>
      </c>
      <c r="H2305" s="14" t="str">
        <f>IFERROR(INDEX(面试清单!H:H,MATCH(2304,面试清单!P:P,0)),"")</f>
        <v>线上</v>
      </c>
      <c r="I2305" s="13" t="s">
        <v>29</v>
      </c>
      <c r="J2305" s="14">
        <f ca="1" t="shared" si="106"/>
        <v>14</v>
      </c>
      <c r="K2305" s="14">
        <f ca="1" t="shared" si="107"/>
        <v>15</v>
      </c>
    </row>
    <row r="2306" ht="18" spans="1:11">
      <c r="A2306" s="10">
        <f t="shared" ref="A2306:A2369" si="108">IF(B2306&lt;&gt;"",ROW()-1,"")</f>
        <v>2305</v>
      </c>
      <c r="B2306" s="11" t="s">
        <v>1146</v>
      </c>
      <c r="C2306" s="10" t="str">
        <f>IFERROR(INDEX(面试清单!D:D,MATCH(2305,面试清单!P:P,0)),"")</f>
        <v/>
      </c>
      <c r="D2306" s="11" t="s">
        <v>42</v>
      </c>
      <c r="E2306" s="11" t="s">
        <v>63</v>
      </c>
      <c r="F2306" s="11" t="s">
        <v>124</v>
      </c>
      <c r="G2306" s="15">
        <v>46175</v>
      </c>
      <c r="H2306" s="10" t="str">
        <f>IFERROR(INDEX(面试清单!H:H,MATCH(2305,面试清单!P:P,0)),"")</f>
        <v/>
      </c>
      <c r="I2306" s="13" t="s">
        <v>29</v>
      </c>
      <c r="J2306" s="10">
        <f ca="1" t="shared" ref="J2306:J2369" si="109">IF(G2306&lt;&gt;"",TODAY()-G2306,"")</f>
        <v>14</v>
      </c>
      <c r="K2306" s="10">
        <f ca="1" t="shared" ref="K2306:K2369" si="110">IF(G2306&lt;&gt;"",MAX(0,MIN(TODAY(),EOMONTH(TODAY(),0))-MAX(G2306,EOMONTH(TODAY(),-1)+1)+1),"")</f>
        <v>15</v>
      </c>
    </row>
    <row r="2307" ht="18" spans="1:11">
      <c r="A2307" s="14">
        <f t="shared" si="108"/>
        <v>2306</v>
      </c>
      <c r="B2307" s="11" t="s">
        <v>6190</v>
      </c>
      <c r="C2307" s="14" t="str">
        <f>IFERROR(INDEX(面试清单!D:D,MATCH(2306,面试清单!P:P,0)),"")</f>
        <v/>
      </c>
      <c r="D2307" s="11" t="s">
        <v>42</v>
      </c>
      <c r="E2307" s="11" t="s">
        <v>62</v>
      </c>
      <c r="F2307" s="11" t="s">
        <v>690</v>
      </c>
      <c r="G2307" s="15">
        <v>46175</v>
      </c>
      <c r="H2307" s="14" t="str">
        <f>IFERROR(INDEX(面试清单!H:H,MATCH(2306,面试清单!P:P,0)),"")</f>
        <v/>
      </c>
      <c r="I2307" s="13" t="s">
        <v>29</v>
      </c>
      <c r="J2307" s="14">
        <f ca="1" t="shared" si="109"/>
        <v>14</v>
      </c>
      <c r="K2307" s="14">
        <f ca="1" t="shared" si="110"/>
        <v>15</v>
      </c>
    </row>
    <row r="2308" ht="18" spans="1:11">
      <c r="A2308" s="10">
        <f t="shared" si="108"/>
        <v>2307</v>
      </c>
      <c r="B2308" s="11" t="s">
        <v>6191</v>
      </c>
      <c r="C2308" s="10" t="str">
        <f>IFERROR(INDEX(面试清单!D:D,MATCH(2307,面试清单!P:P,0)),"")</f>
        <v/>
      </c>
      <c r="D2308" s="11" t="s">
        <v>42</v>
      </c>
      <c r="E2308" s="11" t="s">
        <v>62</v>
      </c>
      <c r="F2308" s="11" t="s">
        <v>103</v>
      </c>
      <c r="G2308" s="15">
        <v>46175</v>
      </c>
      <c r="H2308" s="10" t="str">
        <f>IFERROR(INDEX(面试清单!H:H,MATCH(2307,面试清单!P:P,0)),"")</f>
        <v/>
      </c>
      <c r="I2308" s="13" t="s">
        <v>29</v>
      </c>
      <c r="J2308" s="10">
        <f ca="1" t="shared" si="109"/>
        <v>14</v>
      </c>
      <c r="K2308" s="10">
        <f ca="1" t="shared" si="110"/>
        <v>15</v>
      </c>
    </row>
    <row r="2309" ht="18" spans="1:11">
      <c r="A2309" s="14">
        <f t="shared" si="108"/>
        <v>2308</v>
      </c>
      <c r="B2309" s="11" t="s">
        <v>6192</v>
      </c>
      <c r="C2309" s="14" t="str">
        <f>IFERROR(INDEX(面试清单!D:D,MATCH(2308,面试清单!P:P,0)),"")</f>
        <v/>
      </c>
      <c r="D2309" s="11" t="s">
        <v>42</v>
      </c>
      <c r="E2309" s="11" t="s">
        <v>62</v>
      </c>
      <c r="F2309" s="11" t="s">
        <v>103</v>
      </c>
      <c r="G2309" s="15">
        <v>46175</v>
      </c>
      <c r="H2309" s="14" t="str">
        <f>IFERROR(INDEX(面试清单!H:H,MATCH(2308,面试清单!P:P,0)),"")</f>
        <v/>
      </c>
      <c r="I2309" s="13" t="s">
        <v>29</v>
      </c>
      <c r="J2309" s="14">
        <f ca="1" t="shared" si="109"/>
        <v>14</v>
      </c>
      <c r="K2309" s="14">
        <f ca="1" t="shared" si="110"/>
        <v>15</v>
      </c>
    </row>
    <row r="2310" ht="18" spans="1:11">
      <c r="A2310" s="10">
        <f t="shared" si="108"/>
        <v>2309</v>
      </c>
      <c r="B2310" s="11" t="s">
        <v>6193</v>
      </c>
      <c r="C2310" s="125" t="str">
        <f>IFERROR(INDEX(面试清单!D:D,MATCH(2309,面试清单!P:P,0)),"")</f>
        <v>0222</v>
      </c>
      <c r="D2310" s="11" t="s">
        <v>43</v>
      </c>
      <c r="E2310" s="11" t="s">
        <v>63</v>
      </c>
      <c r="F2310" s="11" t="s">
        <v>233</v>
      </c>
      <c r="G2310" s="15">
        <v>46175</v>
      </c>
      <c r="H2310" s="10" t="str">
        <f>IFERROR(INDEX(面试清单!H:H,MATCH(2309,面试清单!P:P,0)),"")</f>
        <v>线上</v>
      </c>
      <c r="I2310" s="13" t="s">
        <v>29</v>
      </c>
      <c r="J2310" s="10">
        <f ca="1" t="shared" si="109"/>
        <v>14</v>
      </c>
      <c r="K2310" s="10">
        <f ca="1" t="shared" si="110"/>
        <v>15</v>
      </c>
    </row>
    <row r="2311" ht="18" spans="1:11">
      <c r="A2311" s="14">
        <f t="shared" si="108"/>
        <v>2310</v>
      </c>
      <c r="B2311" s="11" t="s">
        <v>6194</v>
      </c>
      <c r="C2311" s="14" t="str">
        <f>IFERROR(INDEX(面试清单!D:D,MATCH(2310,面试清单!P:P,0)),"")</f>
        <v/>
      </c>
      <c r="D2311" s="11" t="s">
        <v>43</v>
      </c>
      <c r="E2311" s="11" t="s">
        <v>62</v>
      </c>
      <c r="F2311" s="11" t="s">
        <v>233</v>
      </c>
      <c r="G2311" s="15">
        <v>46175</v>
      </c>
      <c r="H2311" s="14" t="str">
        <f>IFERROR(INDEX(面试清单!H:H,MATCH(2310,面试清单!P:P,0)),"")</f>
        <v/>
      </c>
      <c r="I2311" s="13" t="s">
        <v>29</v>
      </c>
      <c r="J2311" s="14">
        <f ca="1" t="shared" si="109"/>
        <v>14</v>
      </c>
      <c r="K2311" s="14">
        <f ca="1" t="shared" si="110"/>
        <v>15</v>
      </c>
    </row>
    <row r="2312" ht="18" spans="1:11">
      <c r="A2312" s="10">
        <f t="shared" si="108"/>
        <v>2311</v>
      </c>
      <c r="B2312" s="11" t="s">
        <v>1107</v>
      </c>
      <c r="C2312" s="10" t="str">
        <f>IFERROR(INDEX(面试清单!D:D,MATCH(2311,面试清单!P:P,0)),"")</f>
        <v/>
      </c>
      <c r="D2312" s="11" t="s">
        <v>43</v>
      </c>
      <c r="E2312" s="11" t="s">
        <v>63</v>
      </c>
      <c r="F2312" s="11" t="s">
        <v>233</v>
      </c>
      <c r="G2312" s="15">
        <v>46175</v>
      </c>
      <c r="H2312" s="10" t="str">
        <f>IFERROR(INDEX(面试清单!H:H,MATCH(2311,面试清单!P:P,0)),"")</f>
        <v/>
      </c>
      <c r="I2312" s="13" t="s">
        <v>29</v>
      </c>
      <c r="J2312" s="10">
        <f ca="1" t="shared" si="109"/>
        <v>14</v>
      </c>
      <c r="K2312" s="10">
        <f ca="1" t="shared" si="110"/>
        <v>15</v>
      </c>
    </row>
    <row r="2313" ht="18" spans="1:11">
      <c r="A2313" s="14">
        <f t="shared" si="108"/>
        <v>2312</v>
      </c>
      <c r="B2313" s="11" t="s">
        <v>6195</v>
      </c>
      <c r="C2313" s="14" t="str">
        <f>IFERROR(INDEX(面试清单!D:D,MATCH(2312,面试清单!P:P,0)),"")</f>
        <v/>
      </c>
      <c r="D2313" s="11" t="s">
        <v>43</v>
      </c>
      <c r="E2313" s="11" t="s">
        <v>63</v>
      </c>
      <c r="F2313" s="11" t="s">
        <v>233</v>
      </c>
      <c r="G2313" s="15">
        <v>46175</v>
      </c>
      <c r="H2313" s="14" t="str">
        <f>IFERROR(INDEX(面试清单!H:H,MATCH(2312,面试清单!P:P,0)),"")</f>
        <v/>
      </c>
      <c r="I2313" s="13" t="s">
        <v>29</v>
      </c>
      <c r="J2313" s="14">
        <f ca="1" t="shared" si="109"/>
        <v>14</v>
      </c>
      <c r="K2313" s="14">
        <f ca="1" t="shared" si="110"/>
        <v>15</v>
      </c>
    </row>
    <row r="2314" ht="18" spans="1:11">
      <c r="A2314" s="10">
        <f t="shared" si="108"/>
        <v>2313</v>
      </c>
      <c r="B2314" s="11" t="s">
        <v>6196</v>
      </c>
      <c r="C2314" s="10" t="str">
        <f>IFERROR(INDEX(面试清单!D:D,MATCH(2313,面试清单!P:P,0)),"")</f>
        <v/>
      </c>
      <c r="D2314" s="11" t="s">
        <v>43</v>
      </c>
      <c r="E2314" s="11" t="s">
        <v>63</v>
      </c>
      <c r="F2314" s="11" t="s">
        <v>233</v>
      </c>
      <c r="G2314" s="15">
        <v>46175</v>
      </c>
      <c r="H2314" s="10" t="str">
        <f>IFERROR(INDEX(面试清单!H:H,MATCH(2313,面试清单!P:P,0)),"")</f>
        <v/>
      </c>
      <c r="I2314" s="13" t="s">
        <v>29</v>
      </c>
      <c r="J2314" s="10">
        <f ca="1" t="shared" si="109"/>
        <v>14</v>
      </c>
      <c r="K2314" s="10">
        <f ca="1" t="shared" si="110"/>
        <v>15</v>
      </c>
    </row>
    <row r="2315" ht="18" spans="1:11">
      <c r="A2315" s="14">
        <f t="shared" si="108"/>
        <v>2314</v>
      </c>
      <c r="B2315" s="11" t="s">
        <v>6197</v>
      </c>
      <c r="C2315" s="14" t="str">
        <f>IFERROR(INDEX(面试清单!D:D,MATCH(2314,面试清单!P:P,0)),"")</f>
        <v/>
      </c>
      <c r="D2315" s="11" t="s">
        <v>42</v>
      </c>
      <c r="E2315" s="11" t="s">
        <v>63</v>
      </c>
      <c r="F2315" s="11" t="s">
        <v>117</v>
      </c>
      <c r="G2315" s="15">
        <v>46175</v>
      </c>
      <c r="H2315" s="14" t="str">
        <f>IFERROR(INDEX(面试清单!H:H,MATCH(2314,面试清单!P:P,0)),"")</f>
        <v/>
      </c>
      <c r="I2315" s="13" t="s">
        <v>29</v>
      </c>
      <c r="J2315" s="14">
        <f ca="1" t="shared" si="109"/>
        <v>14</v>
      </c>
      <c r="K2315" s="14">
        <f ca="1" t="shared" si="110"/>
        <v>15</v>
      </c>
    </row>
    <row r="2316" ht="18" spans="1:11">
      <c r="A2316" s="10">
        <f t="shared" si="108"/>
        <v>2315</v>
      </c>
      <c r="B2316" s="11" t="s">
        <v>6198</v>
      </c>
      <c r="C2316" s="10" t="str">
        <f>IFERROR(INDEX(面试清单!D:D,MATCH(2315,面试清单!P:P,0)),"")</f>
        <v/>
      </c>
      <c r="D2316" s="11" t="s">
        <v>43</v>
      </c>
      <c r="E2316" s="11" t="s">
        <v>63</v>
      </c>
      <c r="F2316" s="11" t="s">
        <v>1426</v>
      </c>
      <c r="G2316" s="15">
        <v>46175</v>
      </c>
      <c r="H2316" s="10" t="str">
        <f>IFERROR(INDEX(面试清单!H:H,MATCH(2315,面试清单!P:P,0)),"")</f>
        <v/>
      </c>
      <c r="I2316" s="13" t="s">
        <v>29</v>
      </c>
      <c r="J2316" s="10">
        <f ca="1" t="shared" si="109"/>
        <v>14</v>
      </c>
      <c r="K2316" s="10">
        <f ca="1" t="shared" si="110"/>
        <v>15</v>
      </c>
    </row>
    <row r="2317" ht="18" spans="1:11">
      <c r="A2317" s="14">
        <f t="shared" si="108"/>
        <v>2316</v>
      </c>
      <c r="B2317" s="11" t="s">
        <v>6199</v>
      </c>
      <c r="C2317" s="124" t="str">
        <f>IFERROR(INDEX(面试清单!D:D,MATCH(2316,面试清单!P:P,0)),"")</f>
        <v>0220</v>
      </c>
      <c r="D2317" s="11" t="s">
        <v>43</v>
      </c>
      <c r="E2317" s="11" t="s">
        <v>62</v>
      </c>
      <c r="F2317" s="11" t="s">
        <v>1426</v>
      </c>
      <c r="G2317" s="15">
        <v>46175</v>
      </c>
      <c r="H2317" s="14" t="str">
        <f>IFERROR(INDEX(面试清单!H:H,MATCH(2316,面试清单!P:P,0)),"")</f>
        <v>线下</v>
      </c>
      <c r="I2317" s="13" t="s">
        <v>29</v>
      </c>
      <c r="J2317" s="14">
        <f ca="1" t="shared" si="109"/>
        <v>14</v>
      </c>
      <c r="K2317" s="14">
        <f ca="1" t="shared" si="110"/>
        <v>15</v>
      </c>
    </row>
    <row r="2318" ht="18" spans="1:11">
      <c r="A2318" s="10">
        <f t="shared" si="108"/>
        <v>2317</v>
      </c>
      <c r="B2318" s="11" t="s">
        <v>1895</v>
      </c>
      <c r="C2318" s="10" t="str">
        <f>IFERROR(INDEX(面试清单!D:D,MATCH(2317,面试清单!P:P,0)),"")</f>
        <v/>
      </c>
      <c r="D2318" s="11" t="s">
        <v>43</v>
      </c>
      <c r="E2318" s="11" t="s">
        <v>62</v>
      </c>
      <c r="F2318" s="11" t="s">
        <v>1426</v>
      </c>
      <c r="G2318" s="15">
        <v>46175</v>
      </c>
      <c r="H2318" s="10" t="str">
        <f>IFERROR(INDEX(面试清单!H:H,MATCH(2317,面试清单!P:P,0)),"")</f>
        <v/>
      </c>
      <c r="I2318" s="13" t="s">
        <v>29</v>
      </c>
      <c r="J2318" s="10">
        <f ca="1" t="shared" si="109"/>
        <v>14</v>
      </c>
      <c r="K2318" s="10">
        <f ca="1" t="shared" si="110"/>
        <v>15</v>
      </c>
    </row>
    <row r="2319" ht="18" spans="1:11">
      <c r="A2319" s="14">
        <f t="shared" si="108"/>
        <v>2318</v>
      </c>
      <c r="B2319" s="11" t="s">
        <v>6200</v>
      </c>
      <c r="C2319" s="124" t="str">
        <f>IFERROR(INDEX(面试清单!D:D,MATCH(2318,面试清单!P:P,0)),"")</f>
        <v>0222</v>
      </c>
      <c r="D2319" s="11" t="s">
        <v>43</v>
      </c>
      <c r="E2319" s="11" t="s">
        <v>62</v>
      </c>
      <c r="F2319" s="11" t="s">
        <v>1426</v>
      </c>
      <c r="G2319" s="15">
        <v>46175</v>
      </c>
      <c r="H2319" s="14" t="str">
        <f>IFERROR(INDEX(面试清单!H:H,MATCH(2318,面试清单!P:P,0)),"")</f>
        <v>线下</v>
      </c>
      <c r="I2319" s="13" t="s">
        <v>29</v>
      </c>
      <c r="J2319" s="14">
        <f ca="1" t="shared" si="109"/>
        <v>14</v>
      </c>
      <c r="K2319" s="14">
        <f ca="1" t="shared" si="110"/>
        <v>15</v>
      </c>
    </row>
    <row r="2320" ht="18" spans="1:11">
      <c r="A2320" s="10">
        <f t="shared" si="108"/>
        <v>2319</v>
      </c>
      <c r="B2320" s="11" t="s">
        <v>1153</v>
      </c>
      <c r="C2320" s="10" t="str">
        <f>IFERROR(INDEX(面试清单!D:D,MATCH(2319,面试清单!P:P,0)),"")</f>
        <v/>
      </c>
      <c r="D2320" s="11" t="s">
        <v>42</v>
      </c>
      <c r="E2320" s="11" t="s">
        <v>63</v>
      </c>
      <c r="F2320" s="11" t="s">
        <v>307</v>
      </c>
      <c r="G2320" s="15">
        <v>46175</v>
      </c>
      <c r="H2320" s="10" t="str">
        <f>IFERROR(INDEX(面试清单!H:H,MATCH(2319,面试清单!P:P,0)),"")</f>
        <v/>
      </c>
      <c r="I2320" s="13" t="s">
        <v>29</v>
      </c>
      <c r="J2320" s="10">
        <f ca="1" t="shared" si="109"/>
        <v>14</v>
      </c>
      <c r="K2320" s="10">
        <f ca="1" t="shared" si="110"/>
        <v>15</v>
      </c>
    </row>
    <row r="2321" ht="18" spans="1:11">
      <c r="A2321" s="14">
        <f t="shared" si="108"/>
        <v>2320</v>
      </c>
      <c r="B2321" s="11" t="s">
        <v>1133</v>
      </c>
      <c r="C2321" s="14" t="str">
        <f>IFERROR(INDEX(面试清单!D:D,MATCH(2320,面试清单!P:P,0)),"")</f>
        <v/>
      </c>
      <c r="D2321" s="11" t="s">
        <v>42</v>
      </c>
      <c r="E2321" s="11" t="s">
        <v>62</v>
      </c>
      <c r="F2321" s="11" t="s">
        <v>307</v>
      </c>
      <c r="G2321" s="15">
        <v>46175</v>
      </c>
      <c r="H2321" s="14" t="str">
        <f>IFERROR(INDEX(面试清单!H:H,MATCH(2320,面试清单!P:P,0)),"")</f>
        <v/>
      </c>
      <c r="I2321" s="13" t="s">
        <v>29</v>
      </c>
      <c r="J2321" s="14">
        <f ca="1" t="shared" si="109"/>
        <v>14</v>
      </c>
      <c r="K2321" s="14">
        <f ca="1" t="shared" si="110"/>
        <v>15</v>
      </c>
    </row>
    <row r="2322" ht="18" spans="1:11">
      <c r="A2322" s="10">
        <f t="shared" si="108"/>
        <v>2321</v>
      </c>
      <c r="B2322" s="11" t="s">
        <v>6201</v>
      </c>
      <c r="C2322" s="125" t="str">
        <f>IFERROR(INDEX(面试清单!D:D,MATCH(2321,面试清单!P:P,0)),"")</f>
        <v>0209</v>
      </c>
      <c r="D2322" s="11" t="s">
        <v>42</v>
      </c>
      <c r="E2322" s="11" t="s">
        <v>63</v>
      </c>
      <c r="F2322" s="11" t="s">
        <v>307</v>
      </c>
      <c r="G2322" s="15">
        <v>46175</v>
      </c>
      <c r="H2322" s="10" t="str">
        <f>IFERROR(INDEX(面试清单!H:H,MATCH(2321,面试清单!P:P,0)),"")</f>
        <v>线上</v>
      </c>
      <c r="I2322" s="13" t="s">
        <v>29</v>
      </c>
      <c r="J2322" s="10">
        <f ca="1" t="shared" si="109"/>
        <v>14</v>
      </c>
      <c r="K2322" s="10">
        <f ca="1" t="shared" si="110"/>
        <v>15</v>
      </c>
    </row>
    <row r="2323" ht="18" spans="1:11">
      <c r="A2323" s="14">
        <f t="shared" si="108"/>
        <v>2322</v>
      </c>
      <c r="B2323" s="11" t="s">
        <v>6202</v>
      </c>
      <c r="C2323" s="14" t="str">
        <f>IFERROR(INDEX(面试清单!D:D,MATCH(2322,面试清单!P:P,0)),"")</f>
        <v/>
      </c>
      <c r="D2323" s="11" t="s">
        <v>42</v>
      </c>
      <c r="E2323" s="11" t="s">
        <v>62</v>
      </c>
      <c r="F2323" s="11" t="s">
        <v>307</v>
      </c>
      <c r="G2323" s="15">
        <v>46175</v>
      </c>
      <c r="H2323" s="14" t="str">
        <f>IFERROR(INDEX(面试清单!H:H,MATCH(2322,面试清单!P:P,0)),"")</f>
        <v/>
      </c>
      <c r="I2323" s="13" t="s">
        <v>29</v>
      </c>
      <c r="J2323" s="14">
        <f ca="1" t="shared" si="109"/>
        <v>14</v>
      </c>
      <c r="K2323" s="14">
        <f ca="1" t="shared" si="110"/>
        <v>15</v>
      </c>
    </row>
    <row r="2324" ht="18" spans="1:11">
      <c r="A2324" s="10">
        <f t="shared" si="108"/>
        <v>2323</v>
      </c>
      <c r="B2324" s="11" t="s">
        <v>6203</v>
      </c>
      <c r="C2324" s="125" t="str">
        <f>IFERROR(INDEX(面试清单!D:D,MATCH(2323,面试清单!P:P,0)),"")</f>
        <v>0214</v>
      </c>
      <c r="D2324" s="11" t="s">
        <v>42</v>
      </c>
      <c r="E2324" s="11" t="s">
        <v>63</v>
      </c>
      <c r="F2324" s="11" t="s">
        <v>307</v>
      </c>
      <c r="G2324" s="15">
        <v>46175</v>
      </c>
      <c r="H2324" s="10" t="str">
        <f>IFERROR(INDEX(面试清单!H:H,MATCH(2323,面试清单!P:P,0)),"")</f>
        <v>线上</v>
      </c>
      <c r="I2324" s="13" t="s">
        <v>29</v>
      </c>
      <c r="J2324" s="10">
        <f ca="1" t="shared" si="109"/>
        <v>14</v>
      </c>
      <c r="K2324" s="10">
        <f ca="1" t="shared" si="110"/>
        <v>15</v>
      </c>
    </row>
    <row r="2325" ht="18" spans="1:11">
      <c r="A2325" s="14">
        <f t="shared" si="108"/>
        <v>2324</v>
      </c>
      <c r="B2325" s="11" t="s">
        <v>6204</v>
      </c>
      <c r="C2325" s="124" t="str">
        <f>IFERROR(INDEX(面试清单!D:D,MATCH(2324,面试清单!P:P,0)),"")</f>
        <v>0217</v>
      </c>
      <c r="D2325" s="11" t="s">
        <v>42</v>
      </c>
      <c r="E2325" s="11" t="s">
        <v>63</v>
      </c>
      <c r="F2325" s="11" t="s">
        <v>173</v>
      </c>
      <c r="G2325" s="15">
        <v>46175</v>
      </c>
      <c r="H2325" s="14" t="str">
        <f>IFERROR(INDEX(面试清单!H:H,MATCH(2324,面试清单!P:P,0)),"")</f>
        <v>线上</v>
      </c>
      <c r="I2325" s="13" t="s">
        <v>29</v>
      </c>
      <c r="J2325" s="14">
        <f ca="1" t="shared" si="109"/>
        <v>14</v>
      </c>
      <c r="K2325" s="14">
        <f ca="1" t="shared" si="110"/>
        <v>15</v>
      </c>
    </row>
    <row r="2326" ht="18" spans="1:11">
      <c r="A2326" s="10">
        <f t="shared" si="108"/>
        <v>2325</v>
      </c>
      <c r="B2326" s="11" t="s">
        <v>6205</v>
      </c>
      <c r="C2326" s="10" t="str">
        <f>IFERROR(INDEX(面试清单!D:D,MATCH(2325,面试清单!P:P,0)),"")</f>
        <v/>
      </c>
      <c r="D2326" s="11" t="s">
        <v>43</v>
      </c>
      <c r="E2326" s="11" t="s">
        <v>62</v>
      </c>
      <c r="F2326" s="11" t="s">
        <v>129</v>
      </c>
      <c r="G2326" s="15">
        <v>46175</v>
      </c>
      <c r="H2326" s="10" t="str">
        <f>IFERROR(INDEX(面试清单!H:H,MATCH(2325,面试清单!P:P,0)),"")</f>
        <v/>
      </c>
      <c r="I2326" s="13" t="s">
        <v>29</v>
      </c>
      <c r="J2326" s="10">
        <f ca="1" t="shared" si="109"/>
        <v>14</v>
      </c>
      <c r="K2326" s="10">
        <f ca="1" t="shared" si="110"/>
        <v>15</v>
      </c>
    </row>
    <row r="2327" ht="18" spans="1:11">
      <c r="A2327" s="14">
        <f t="shared" si="108"/>
        <v>2326</v>
      </c>
      <c r="B2327" s="11" t="s">
        <v>6206</v>
      </c>
      <c r="C2327" s="14" t="str">
        <f>IFERROR(INDEX(面试清单!D:D,MATCH(2326,面试清单!P:P,0)),"")</f>
        <v/>
      </c>
      <c r="D2327" s="11" t="s">
        <v>43</v>
      </c>
      <c r="E2327" s="11" t="s">
        <v>63</v>
      </c>
      <c r="F2327" s="11" t="s">
        <v>129</v>
      </c>
      <c r="G2327" s="15">
        <v>46175</v>
      </c>
      <c r="H2327" s="14" t="str">
        <f>IFERROR(INDEX(面试清单!H:H,MATCH(2326,面试清单!P:P,0)),"")</f>
        <v/>
      </c>
      <c r="I2327" s="13" t="s">
        <v>29</v>
      </c>
      <c r="J2327" s="14">
        <f ca="1" t="shared" si="109"/>
        <v>14</v>
      </c>
      <c r="K2327" s="14">
        <f ca="1" t="shared" si="110"/>
        <v>15</v>
      </c>
    </row>
    <row r="2328" ht="18" spans="1:11">
      <c r="A2328" s="10">
        <f t="shared" si="108"/>
        <v>2327</v>
      </c>
      <c r="B2328" s="11" t="s">
        <v>6207</v>
      </c>
      <c r="C2328" s="10" t="str">
        <f>IFERROR(INDEX(面试清单!D:D,MATCH(2327,面试清单!P:P,0)),"")</f>
        <v/>
      </c>
      <c r="D2328" s="11" t="s">
        <v>42</v>
      </c>
      <c r="E2328" s="11" t="s">
        <v>63</v>
      </c>
      <c r="F2328" s="11" t="s">
        <v>129</v>
      </c>
      <c r="G2328" s="15">
        <v>46175</v>
      </c>
      <c r="H2328" s="10" t="str">
        <f>IFERROR(INDEX(面试清单!H:H,MATCH(2327,面试清单!P:P,0)),"")</f>
        <v/>
      </c>
      <c r="I2328" s="13" t="s">
        <v>29</v>
      </c>
      <c r="J2328" s="10">
        <f ca="1" t="shared" si="109"/>
        <v>14</v>
      </c>
      <c r="K2328" s="10">
        <f ca="1" t="shared" si="110"/>
        <v>15</v>
      </c>
    </row>
    <row r="2329" ht="18" spans="1:11">
      <c r="A2329" s="14">
        <f t="shared" si="108"/>
        <v>2328</v>
      </c>
      <c r="B2329" s="11" t="s">
        <v>1114</v>
      </c>
      <c r="C2329" s="14" t="str">
        <f>IFERROR(INDEX(面试清单!D:D,MATCH(2328,面试清单!P:P,0)),"")</f>
        <v/>
      </c>
      <c r="D2329" s="11" t="s">
        <v>43</v>
      </c>
      <c r="E2329" s="11" t="s">
        <v>63</v>
      </c>
      <c r="F2329" s="11" t="s">
        <v>129</v>
      </c>
      <c r="G2329" s="15">
        <v>46175</v>
      </c>
      <c r="H2329" s="14" t="str">
        <f>IFERROR(INDEX(面试清单!H:H,MATCH(2328,面试清单!P:P,0)),"")</f>
        <v/>
      </c>
      <c r="I2329" s="13" t="s">
        <v>29</v>
      </c>
      <c r="J2329" s="14">
        <f ca="1" t="shared" si="109"/>
        <v>14</v>
      </c>
      <c r="K2329" s="14">
        <f ca="1" t="shared" si="110"/>
        <v>15</v>
      </c>
    </row>
    <row r="2330" ht="18" spans="1:11">
      <c r="A2330" s="10">
        <f t="shared" si="108"/>
        <v>2329</v>
      </c>
      <c r="B2330" s="11" t="s">
        <v>1108</v>
      </c>
      <c r="C2330" s="125" t="str">
        <f>IFERROR(INDEX(面试清单!D:D,MATCH(2329,面试清单!P:P,0)),"")</f>
        <v>0208</v>
      </c>
      <c r="D2330" s="11" t="s">
        <v>43</v>
      </c>
      <c r="E2330" s="11" t="s">
        <v>62</v>
      </c>
      <c r="F2330" s="11" t="s">
        <v>129</v>
      </c>
      <c r="G2330" s="15">
        <v>46175</v>
      </c>
      <c r="H2330" s="10" t="str">
        <f>IFERROR(INDEX(面试清单!H:H,MATCH(2329,面试清单!P:P,0)),"")</f>
        <v>线上</v>
      </c>
      <c r="I2330" s="13" t="s">
        <v>29</v>
      </c>
      <c r="J2330" s="10">
        <f ca="1" t="shared" si="109"/>
        <v>14</v>
      </c>
      <c r="K2330" s="10">
        <f ca="1" t="shared" si="110"/>
        <v>15</v>
      </c>
    </row>
    <row r="2331" ht="18" spans="1:11">
      <c r="A2331" s="14">
        <f t="shared" si="108"/>
        <v>2330</v>
      </c>
      <c r="B2331" s="11" t="s">
        <v>6208</v>
      </c>
      <c r="C2331" s="14" t="str">
        <f>IFERROR(INDEX(面试清单!D:D,MATCH(2330,面试清单!P:P,0)),"")</f>
        <v/>
      </c>
      <c r="D2331" s="11" t="s">
        <v>43</v>
      </c>
      <c r="E2331" s="11" t="s">
        <v>62</v>
      </c>
      <c r="F2331" s="11" t="s">
        <v>176</v>
      </c>
      <c r="G2331" s="15">
        <v>46175</v>
      </c>
      <c r="H2331" s="14" t="str">
        <f>IFERROR(INDEX(面试清单!H:H,MATCH(2330,面试清单!P:P,0)),"")</f>
        <v/>
      </c>
      <c r="I2331" s="13" t="s">
        <v>29</v>
      </c>
      <c r="J2331" s="14">
        <f ca="1" t="shared" si="109"/>
        <v>14</v>
      </c>
      <c r="K2331" s="14">
        <f ca="1" t="shared" si="110"/>
        <v>15</v>
      </c>
    </row>
    <row r="2332" ht="18" spans="1:11">
      <c r="A2332" s="10">
        <f t="shared" si="108"/>
        <v>2331</v>
      </c>
      <c r="B2332" s="11" t="s">
        <v>1120</v>
      </c>
      <c r="C2332" s="125" t="str">
        <f>IFERROR(INDEX(面试清单!D:D,MATCH(2331,面试清单!P:P,0)),"")</f>
        <v>0212</v>
      </c>
      <c r="D2332" s="11" t="s">
        <v>43</v>
      </c>
      <c r="E2332" s="11" t="s">
        <v>63</v>
      </c>
      <c r="F2332" s="11" t="s">
        <v>176</v>
      </c>
      <c r="G2332" s="15">
        <v>46175</v>
      </c>
      <c r="H2332" s="10" t="str">
        <f>IFERROR(INDEX(面试清单!H:H,MATCH(2331,面试清单!P:P,0)),"")</f>
        <v>线上</v>
      </c>
      <c r="I2332" s="13" t="s">
        <v>29</v>
      </c>
      <c r="J2332" s="10">
        <f ca="1" t="shared" si="109"/>
        <v>14</v>
      </c>
      <c r="K2332" s="10">
        <f ca="1" t="shared" si="110"/>
        <v>15</v>
      </c>
    </row>
    <row r="2333" ht="18" spans="1:11">
      <c r="A2333" s="14">
        <f t="shared" si="108"/>
        <v>2332</v>
      </c>
      <c r="B2333" s="11" t="s">
        <v>1126</v>
      </c>
      <c r="C2333" s="14" t="str">
        <f>IFERROR(INDEX(面试清单!D:D,MATCH(2332,面试清单!P:P,0)),"")</f>
        <v/>
      </c>
      <c r="D2333" s="11" t="s">
        <v>43</v>
      </c>
      <c r="E2333" s="11" t="s">
        <v>63</v>
      </c>
      <c r="F2333" s="11" t="s">
        <v>176</v>
      </c>
      <c r="G2333" s="15">
        <v>46175</v>
      </c>
      <c r="H2333" s="14" t="str">
        <f>IFERROR(INDEX(面试清单!H:H,MATCH(2332,面试清单!P:P,0)),"")</f>
        <v/>
      </c>
      <c r="I2333" s="13" t="s">
        <v>29</v>
      </c>
      <c r="J2333" s="14">
        <f ca="1" t="shared" si="109"/>
        <v>14</v>
      </c>
      <c r="K2333" s="14">
        <f ca="1" t="shared" si="110"/>
        <v>15</v>
      </c>
    </row>
    <row r="2334" ht="18" spans="1:11">
      <c r="A2334" s="10">
        <f t="shared" si="108"/>
        <v>2333</v>
      </c>
      <c r="B2334" s="11" t="s">
        <v>6209</v>
      </c>
      <c r="C2334" s="10" t="str">
        <f>IFERROR(INDEX(面试清单!D:D,MATCH(2333,面试清单!P:P,0)),"")</f>
        <v/>
      </c>
      <c r="D2334" s="11" t="s">
        <v>42</v>
      </c>
      <c r="E2334" s="11" t="s">
        <v>63</v>
      </c>
      <c r="F2334" s="11" t="s">
        <v>135</v>
      </c>
      <c r="G2334" s="15">
        <v>46175</v>
      </c>
      <c r="H2334" s="10" t="str">
        <f>IFERROR(INDEX(面试清单!H:H,MATCH(2333,面试清单!P:P,0)),"")</f>
        <v/>
      </c>
      <c r="I2334" s="13" t="s">
        <v>29</v>
      </c>
      <c r="J2334" s="10">
        <f ca="1" t="shared" si="109"/>
        <v>14</v>
      </c>
      <c r="K2334" s="10">
        <f ca="1" t="shared" si="110"/>
        <v>15</v>
      </c>
    </row>
    <row r="2335" ht="18" spans="1:11">
      <c r="A2335" s="14">
        <f t="shared" si="108"/>
        <v>2334</v>
      </c>
      <c r="B2335" s="11" t="s">
        <v>6210</v>
      </c>
      <c r="C2335" s="14" t="str">
        <f>IFERROR(INDEX(面试清单!D:D,MATCH(2334,面试清单!P:P,0)),"")</f>
        <v/>
      </c>
      <c r="D2335" s="11" t="s">
        <v>43</v>
      </c>
      <c r="E2335" s="11" t="s">
        <v>63</v>
      </c>
      <c r="F2335" s="11" t="s">
        <v>135</v>
      </c>
      <c r="G2335" s="15">
        <v>46175</v>
      </c>
      <c r="H2335" s="14" t="str">
        <f>IFERROR(INDEX(面试清单!H:H,MATCH(2334,面试清单!P:P,0)),"")</f>
        <v/>
      </c>
      <c r="I2335" s="13" t="s">
        <v>29</v>
      </c>
      <c r="J2335" s="14">
        <f ca="1" t="shared" si="109"/>
        <v>14</v>
      </c>
      <c r="K2335" s="14">
        <f ca="1" t="shared" si="110"/>
        <v>15</v>
      </c>
    </row>
    <row r="2336" ht="18" spans="1:11">
      <c r="A2336" s="10">
        <f t="shared" si="108"/>
        <v>2335</v>
      </c>
      <c r="B2336" s="11" t="s">
        <v>6211</v>
      </c>
      <c r="C2336" s="10" t="str">
        <f>IFERROR(INDEX(面试清单!D:D,MATCH(2335,面试清单!P:P,0)),"")</f>
        <v/>
      </c>
      <c r="D2336" s="11" t="s">
        <v>42</v>
      </c>
      <c r="E2336" s="11" t="s">
        <v>62</v>
      </c>
      <c r="F2336" s="11" t="s">
        <v>110</v>
      </c>
      <c r="G2336" s="15">
        <v>46175</v>
      </c>
      <c r="H2336" s="10" t="str">
        <f>IFERROR(INDEX(面试清单!H:H,MATCH(2335,面试清单!P:P,0)),"")</f>
        <v/>
      </c>
      <c r="I2336" s="13" t="s">
        <v>29</v>
      </c>
      <c r="J2336" s="10">
        <f ca="1" t="shared" si="109"/>
        <v>14</v>
      </c>
      <c r="K2336" s="10">
        <f ca="1" t="shared" si="110"/>
        <v>15</v>
      </c>
    </row>
    <row r="2337" ht="18" spans="1:11">
      <c r="A2337" s="14">
        <f t="shared" si="108"/>
        <v>2336</v>
      </c>
      <c r="B2337" s="11" t="s">
        <v>1129</v>
      </c>
      <c r="C2337" s="124" t="str">
        <f>IFERROR(INDEX(面试清单!D:D,MATCH(2336,面试清单!P:P,0)),"")</f>
        <v>0221</v>
      </c>
      <c r="D2337" s="11" t="s">
        <v>42</v>
      </c>
      <c r="E2337" s="11" t="s">
        <v>63</v>
      </c>
      <c r="F2337" s="11" t="s">
        <v>148</v>
      </c>
      <c r="G2337" s="15">
        <v>46175</v>
      </c>
      <c r="H2337" s="14" t="str">
        <f>IFERROR(INDEX(面试清单!H:H,MATCH(2336,面试清单!P:P,0)),"")</f>
        <v>线上</v>
      </c>
      <c r="I2337" s="13" t="s">
        <v>29</v>
      </c>
      <c r="J2337" s="14">
        <f ca="1" t="shared" si="109"/>
        <v>14</v>
      </c>
      <c r="K2337" s="14">
        <f ca="1" t="shared" si="110"/>
        <v>15</v>
      </c>
    </row>
    <row r="2338" ht="18" spans="1:11">
      <c r="A2338" s="10">
        <f t="shared" si="108"/>
        <v>2337</v>
      </c>
      <c r="B2338" s="11" t="s">
        <v>6212</v>
      </c>
      <c r="C2338" s="125" t="str">
        <f>IFERROR(INDEX(面试清单!D:D,MATCH(2337,面试清单!P:P,0)),"")</f>
        <v>0222</v>
      </c>
      <c r="D2338" s="11" t="s">
        <v>42</v>
      </c>
      <c r="E2338" s="11" t="s">
        <v>63</v>
      </c>
      <c r="F2338" s="11" t="s">
        <v>578</v>
      </c>
      <c r="G2338" s="15">
        <v>46175</v>
      </c>
      <c r="H2338" s="10" t="str">
        <f>IFERROR(INDEX(面试清单!H:H,MATCH(2337,面试清单!P:P,0)),"")</f>
        <v>线上</v>
      </c>
      <c r="I2338" s="13" t="s">
        <v>29</v>
      </c>
      <c r="J2338" s="10">
        <f ca="1" t="shared" si="109"/>
        <v>14</v>
      </c>
      <c r="K2338" s="10">
        <f ca="1" t="shared" si="110"/>
        <v>15</v>
      </c>
    </row>
    <row r="2339" ht="18" spans="1:11">
      <c r="A2339" s="14">
        <f t="shared" si="108"/>
        <v>2338</v>
      </c>
      <c r="B2339" s="11" t="s">
        <v>6213</v>
      </c>
      <c r="C2339" s="14" t="str">
        <f>IFERROR(INDEX(面试清单!D:D,MATCH(2338,面试清单!P:P,0)),"")</f>
        <v/>
      </c>
      <c r="D2339" s="11" t="s">
        <v>42</v>
      </c>
      <c r="E2339" s="11" t="s">
        <v>62</v>
      </c>
      <c r="F2339" s="11" t="s">
        <v>530</v>
      </c>
      <c r="G2339" s="15">
        <v>46175</v>
      </c>
      <c r="H2339" s="14" t="str">
        <f>IFERROR(INDEX(面试清单!H:H,MATCH(2338,面试清单!P:P,0)),"")</f>
        <v/>
      </c>
      <c r="I2339" s="13" t="s">
        <v>29</v>
      </c>
      <c r="J2339" s="14">
        <f ca="1" t="shared" si="109"/>
        <v>14</v>
      </c>
      <c r="K2339" s="14">
        <f ca="1" t="shared" si="110"/>
        <v>15</v>
      </c>
    </row>
    <row r="2340" ht="18" spans="1:11">
      <c r="A2340" s="10">
        <f t="shared" si="108"/>
        <v>2339</v>
      </c>
      <c r="B2340" s="11" t="s">
        <v>1134</v>
      </c>
      <c r="C2340" s="10" t="str">
        <f>IFERROR(INDEX(面试清单!D:D,MATCH(2339,面试清单!P:P,0)),"")</f>
        <v/>
      </c>
      <c r="D2340" s="11" t="s">
        <v>42</v>
      </c>
      <c r="E2340" s="11" t="s">
        <v>62</v>
      </c>
      <c r="F2340" s="11" t="s">
        <v>796</v>
      </c>
      <c r="G2340" s="15">
        <v>46175</v>
      </c>
      <c r="H2340" s="10" t="str">
        <f>IFERROR(INDEX(面试清单!H:H,MATCH(2339,面试清单!P:P,0)),"")</f>
        <v/>
      </c>
      <c r="I2340" s="13" t="s">
        <v>29</v>
      </c>
      <c r="J2340" s="10">
        <f ca="1" t="shared" si="109"/>
        <v>14</v>
      </c>
      <c r="K2340" s="10">
        <f ca="1" t="shared" si="110"/>
        <v>15</v>
      </c>
    </row>
    <row r="2341" ht="18" spans="1:11">
      <c r="A2341" s="14">
        <f t="shared" si="108"/>
        <v>2340</v>
      </c>
      <c r="B2341" s="11" t="s">
        <v>1138</v>
      </c>
      <c r="C2341" s="14" t="str">
        <f>IFERROR(INDEX(面试清单!D:D,MATCH(2340,面试清单!P:P,0)),"")</f>
        <v/>
      </c>
      <c r="D2341" s="11" t="s">
        <v>42</v>
      </c>
      <c r="E2341" s="11" t="s">
        <v>62</v>
      </c>
      <c r="F2341" s="11" t="s">
        <v>468</v>
      </c>
      <c r="G2341" s="15">
        <v>46175</v>
      </c>
      <c r="H2341" s="14" t="str">
        <f>IFERROR(INDEX(面试清单!H:H,MATCH(2340,面试清单!P:P,0)),"")</f>
        <v/>
      </c>
      <c r="I2341" s="13" t="s">
        <v>29</v>
      </c>
      <c r="J2341" s="14">
        <f ca="1" t="shared" si="109"/>
        <v>14</v>
      </c>
      <c r="K2341" s="14">
        <f ca="1" t="shared" si="110"/>
        <v>15</v>
      </c>
    </row>
    <row r="2342" ht="18" spans="1:11">
      <c r="A2342" s="10">
        <f t="shared" si="108"/>
        <v>2341</v>
      </c>
      <c r="B2342" s="11" t="s">
        <v>1142</v>
      </c>
      <c r="C2342" s="10" t="str">
        <f>IFERROR(INDEX(面试清单!D:D,MATCH(2341,面试清单!P:P,0)),"")</f>
        <v/>
      </c>
      <c r="D2342" s="11" t="s">
        <v>42</v>
      </c>
      <c r="E2342" s="11" t="s">
        <v>62</v>
      </c>
      <c r="F2342" s="11" t="s">
        <v>179</v>
      </c>
      <c r="G2342" s="15">
        <v>46175</v>
      </c>
      <c r="H2342" s="10" t="str">
        <f>IFERROR(INDEX(面试清单!H:H,MATCH(2341,面试清单!P:P,0)),"")</f>
        <v/>
      </c>
      <c r="I2342" s="13" t="s">
        <v>29</v>
      </c>
      <c r="J2342" s="10">
        <f ca="1" t="shared" si="109"/>
        <v>14</v>
      </c>
      <c r="K2342" s="10">
        <f ca="1" t="shared" si="110"/>
        <v>15</v>
      </c>
    </row>
    <row r="2343" ht="18" spans="1:11">
      <c r="A2343" s="14">
        <f t="shared" si="108"/>
        <v>2342</v>
      </c>
      <c r="B2343" s="11" t="s">
        <v>1119</v>
      </c>
      <c r="C2343" s="14" t="str">
        <f>IFERROR(INDEX(面试清单!D:D,MATCH(2342,面试清单!P:P,0)),"")</f>
        <v/>
      </c>
      <c r="D2343" s="11" t="s">
        <v>43</v>
      </c>
      <c r="E2343" s="11" t="s">
        <v>63</v>
      </c>
      <c r="F2343" s="11" t="s">
        <v>176</v>
      </c>
      <c r="G2343" s="15">
        <v>46175</v>
      </c>
      <c r="H2343" s="14" t="str">
        <f>IFERROR(INDEX(面试清单!H:H,MATCH(2342,面试清单!P:P,0)),"")</f>
        <v/>
      </c>
      <c r="I2343" s="13" t="s">
        <v>29</v>
      </c>
      <c r="J2343" s="14">
        <f ca="1" t="shared" si="109"/>
        <v>14</v>
      </c>
      <c r="K2343" s="14">
        <f ca="1" t="shared" si="110"/>
        <v>15</v>
      </c>
    </row>
    <row r="2344" ht="18" spans="1:11">
      <c r="A2344" s="10">
        <f t="shared" si="108"/>
        <v>2343</v>
      </c>
      <c r="B2344" s="11" t="s">
        <v>6214</v>
      </c>
      <c r="C2344" s="10" t="str">
        <f>IFERROR(INDEX(面试清单!D:D,MATCH(2343,面试清单!P:P,0)),"")</f>
        <v/>
      </c>
      <c r="D2344" s="11" t="s">
        <v>43</v>
      </c>
      <c r="E2344" s="11" t="s">
        <v>63</v>
      </c>
      <c r="F2344" s="11" t="s">
        <v>179</v>
      </c>
      <c r="G2344" s="15">
        <v>46175</v>
      </c>
      <c r="H2344" s="10" t="str">
        <f>IFERROR(INDEX(面试清单!H:H,MATCH(2343,面试清单!P:P,0)),"")</f>
        <v/>
      </c>
      <c r="I2344" s="13" t="s">
        <v>29</v>
      </c>
      <c r="J2344" s="10">
        <f ca="1" t="shared" si="109"/>
        <v>14</v>
      </c>
      <c r="K2344" s="10">
        <f ca="1" t="shared" si="110"/>
        <v>15</v>
      </c>
    </row>
    <row r="2345" ht="18" spans="1:11">
      <c r="A2345" s="14">
        <f t="shared" si="108"/>
        <v>2344</v>
      </c>
      <c r="B2345" s="11" t="s">
        <v>265</v>
      </c>
      <c r="C2345" s="14" t="str">
        <f>IFERROR(INDEX(面试清单!D:D,MATCH(2344,面试清单!P:P,0)),"")</f>
        <v/>
      </c>
      <c r="D2345" s="11" t="s">
        <v>43</v>
      </c>
      <c r="E2345" s="11" t="s">
        <v>63</v>
      </c>
      <c r="F2345" s="11" t="s">
        <v>124</v>
      </c>
      <c r="G2345" s="15">
        <v>46175</v>
      </c>
      <c r="H2345" s="14" t="str">
        <f>IFERROR(INDEX(面试清单!H:H,MATCH(2344,面试清单!P:P,0)),"")</f>
        <v/>
      </c>
      <c r="I2345" s="13" t="s">
        <v>29</v>
      </c>
      <c r="J2345" s="14">
        <f ca="1" t="shared" si="109"/>
        <v>14</v>
      </c>
      <c r="K2345" s="14">
        <f ca="1" t="shared" si="110"/>
        <v>15</v>
      </c>
    </row>
    <row r="2346" ht="18" spans="1:11">
      <c r="A2346" s="10">
        <f t="shared" si="108"/>
        <v>2345</v>
      </c>
      <c r="B2346" s="11" t="s">
        <v>6215</v>
      </c>
      <c r="C2346" s="10" t="str">
        <f>IFERROR(INDEX(面试清单!D:D,MATCH(2345,面试清单!P:P,0)),"")</f>
        <v/>
      </c>
      <c r="D2346" s="11" t="s">
        <v>42</v>
      </c>
      <c r="E2346" s="11" t="s">
        <v>64</v>
      </c>
      <c r="F2346" s="11" t="s">
        <v>246</v>
      </c>
      <c r="G2346" s="15">
        <v>46175</v>
      </c>
      <c r="H2346" s="10" t="str">
        <f>IFERROR(INDEX(面试清单!H:H,MATCH(2345,面试清单!P:P,0)),"")</f>
        <v/>
      </c>
      <c r="I2346" s="13" t="s">
        <v>29</v>
      </c>
      <c r="J2346" s="10">
        <f ca="1" t="shared" si="109"/>
        <v>14</v>
      </c>
      <c r="K2346" s="10">
        <f ca="1" t="shared" si="110"/>
        <v>15</v>
      </c>
    </row>
    <row r="2347" ht="18" spans="1:11">
      <c r="A2347" s="14">
        <f t="shared" si="108"/>
        <v>2346</v>
      </c>
      <c r="B2347" s="11" t="s">
        <v>273</v>
      </c>
      <c r="C2347" s="124" t="str">
        <f>IFERROR(INDEX(面试清单!D:D,MATCH(2346,面试清单!P:P,0)),"")</f>
        <v>0222</v>
      </c>
      <c r="D2347" s="11" t="s">
        <v>74</v>
      </c>
      <c r="E2347" s="11" t="s">
        <v>64</v>
      </c>
      <c r="F2347" s="11" t="s">
        <v>246</v>
      </c>
      <c r="G2347" s="15">
        <v>46175</v>
      </c>
      <c r="H2347" s="14" t="str">
        <f>IFERROR(INDEX(面试清单!H:H,MATCH(2346,面试清单!P:P,0)),"")</f>
        <v>线上</v>
      </c>
      <c r="I2347" s="13" t="s">
        <v>29</v>
      </c>
      <c r="J2347" s="14">
        <f ca="1" t="shared" si="109"/>
        <v>14</v>
      </c>
      <c r="K2347" s="14">
        <f ca="1" t="shared" si="110"/>
        <v>15</v>
      </c>
    </row>
    <row r="2348" ht="18" spans="1:11">
      <c r="A2348" s="10">
        <f t="shared" si="108"/>
        <v>2347</v>
      </c>
      <c r="B2348" s="11" t="s">
        <v>277</v>
      </c>
      <c r="C2348" s="10" t="str">
        <f>IFERROR(INDEX(面试清单!D:D,MATCH(2347,面试清单!P:P,0)),"")</f>
        <v/>
      </c>
      <c r="D2348" s="11" t="s">
        <v>74</v>
      </c>
      <c r="E2348" s="11" t="s">
        <v>64</v>
      </c>
      <c r="F2348" s="11" t="s">
        <v>246</v>
      </c>
      <c r="G2348" s="15">
        <v>46175</v>
      </c>
      <c r="H2348" s="10" t="str">
        <f>IFERROR(INDEX(面试清单!H:H,MATCH(2347,面试清单!P:P,0)),"")</f>
        <v/>
      </c>
      <c r="I2348" s="13" t="s">
        <v>29</v>
      </c>
      <c r="J2348" s="10">
        <f ca="1" t="shared" si="109"/>
        <v>14</v>
      </c>
      <c r="K2348" s="10">
        <f ca="1" t="shared" si="110"/>
        <v>15</v>
      </c>
    </row>
    <row r="2349" ht="18" spans="1:11">
      <c r="A2349" s="14">
        <f t="shared" si="108"/>
        <v>2348</v>
      </c>
      <c r="B2349" s="11" t="s">
        <v>281</v>
      </c>
      <c r="C2349" s="14" t="str">
        <f>IFERROR(INDEX(面试清单!D:D,MATCH(2348,面试清单!P:P,0)),"")</f>
        <v/>
      </c>
      <c r="D2349" s="11" t="s">
        <v>74</v>
      </c>
      <c r="E2349" s="11" t="s">
        <v>64</v>
      </c>
      <c r="F2349" s="11" t="s">
        <v>246</v>
      </c>
      <c r="G2349" s="15">
        <v>46175</v>
      </c>
      <c r="H2349" s="14" t="str">
        <f>IFERROR(INDEX(面试清单!H:H,MATCH(2348,面试清单!P:P,0)),"")</f>
        <v/>
      </c>
      <c r="I2349" s="13" t="s">
        <v>29</v>
      </c>
      <c r="J2349" s="14">
        <f ca="1" t="shared" si="109"/>
        <v>14</v>
      </c>
      <c r="K2349" s="14">
        <f ca="1" t="shared" si="110"/>
        <v>15</v>
      </c>
    </row>
    <row r="2350" ht="18" spans="1:11">
      <c r="A2350" s="10">
        <f t="shared" si="108"/>
        <v>2349</v>
      </c>
      <c r="B2350" s="11" t="s">
        <v>225</v>
      </c>
      <c r="C2350" s="10" t="str">
        <f>IFERROR(INDEX(面试清单!D:D,MATCH(2349,面试清单!P:P,0)),"")</f>
        <v/>
      </c>
      <c r="D2350" s="11" t="s">
        <v>42</v>
      </c>
      <c r="E2350" s="11" t="s">
        <v>64</v>
      </c>
      <c r="F2350" s="11" t="s">
        <v>103</v>
      </c>
      <c r="G2350" s="15">
        <v>46175</v>
      </c>
      <c r="H2350" s="10" t="str">
        <f>IFERROR(INDEX(面试清单!H:H,MATCH(2349,面试清单!P:P,0)),"")</f>
        <v/>
      </c>
      <c r="I2350" s="13" t="s">
        <v>29</v>
      </c>
      <c r="J2350" s="10">
        <f ca="1" t="shared" si="109"/>
        <v>14</v>
      </c>
      <c r="K2350" s="10">
        <f ca="1" t="shared" si="110"/>
        <v>15</v>
      </c>
    </row>
    <row r="2351" ht="18" spans="1:11">
      <c r="A2351" s="14">
        <f t="shared" si="108"/>
        <v>2350</v>
      </c>
      <c r="B2351" s="11" t="s">
        <v>298</v>
      </c>
      <c r="C2351" s="14" t="str">
        <f>IFERROR(INDEX(面试清单!D:D,MATCH(2350,面试清单!P:P,0)),"")</f>
        <v/>
      </c>
      <c r="D2351" s="11" t="s">
        <v>43</v>
      </c>
      <c r="E2351" s="11" t="s">
        <v>62</v>
      </c>
      <c r="F2351" s="11" t="s">
        <v>103</v>
      </c>
      <c r="G2351" s="15">
        <v>46175</v>
      </c>
      <c r="H2351" s="14" t="str">
        <f>IFERROR(INDEX(面试清单!H:H,MATCH(2350,面试清单!P:P,0)),"")</f>
        <v/>
      </c>
      <c r="I2351" s="13" t="s">
        <v>29</v>
      </c>
      <c r="J2351" s="14">
        <f ca="1" t="shared" si="109"/>
        <v>14</v>
      </c>
      <c r="K2351" s="14">
        <f ca="1" t="shared" si="110"/>
        <v>15</v>
      </c>
    </row>
    <row r="2352" ht="18" spans="1:11">
      <c r="A2352" s="10">
        <f t="shared" si="108"/>
        <v>2351</v>
      </c>
      <c r="B2352" s="11" t="s">
        <v>6216</v>
      </c>
      <c r="C2352" s="125" t="str">
        <f>IFERROR(INDEX(面试清单!D:D,MATCH(2351,面试清单!P:P,0)),"")</f>
        <v>0217</v>
      </c>
      <c r="D2352" s="11" t="s">
        <v>42</v>
      </c>
      <c r="E2352" s="11" t="s">
        <v>64</v>
      </c>
      <c r="F2352" s="11" t="s">
        <v>233</v>
      </c>
      <c r="G2352" s="15">
        <v>46175</v>
      </c>
      <c r="H2352" s="10" t="str">
        <f>IFERROR(INDEX(面试清单!H:H,MATCH(2351,面试清单!P:P,0)),"")</f>
        <v>线上</v>
      </c>
      <c r="I2352" s="13" t="s">
        <v>29</v>
      </c>
      <c r="J2352" s="10">
        <f ca="1" t="shared" si="109"/>
        <v>14</v>
      </c>
      <c r="K2352" s="10">
        <f ca="1" t="shared" si="110"/>
        <v>15</v>
      </c>
    </row>
    <row r="2353" ht="18" spans="1:11">
      <c r="A2353" s="14">
        <f t="shared" si="108"/>
        <v>2352</v>
      </c>
      <c r="B2353" s="11" t="s">
        <v>303</v>
      </c>
      <c r="C2353" s="14" t="str">
        <f>IFERROR(INDEX(面试清单!D:D,MATCH(2352,面试清单!P:P,0)),"")</f>
        <v/>
      </c>
      <c r="D2353" s="11" t="s">
        <v>43</v>
      </c>
      <c r="E2353" s="11" t="s">
        <v>63</v>
      </c>
      <c r="F2353" s="11" t="s">
        <v>117</v>
      </c>
      <c r="G2353" s="15">
        <v>46175</v>
      </c>
      <c r="H2353" s="14" t="str">
        <f>IFERROR(INDEX(面试清单!H:H,MATCH(2352,面试清单!P:P,0)),"")</f>
        <v/>
      </c>
      <c r="I2353" s="13" t="s">
        <v>29</v>
      </c>
      <c r="J2353" s="14">
        <f ca="1" t="shared" si="109"/>
        <v>14</v>
      </c>
      <c r="K2353" s="14">
        <f ca="1" t="shared" si="110"/>
        <v>15</v>
      </c>
    </row>
    <row r="2354" ht="18" spans="1:11">
      <c r="A2354" s="10">
        <f t="shared" si="108"/>
        <v>2353</v>
      </c>
      <c r="B2354" s="11" t="s">
        <v>6217</v>
      </c>
      <c r="C2354" s="10" t="str">
        <f>IFERROR(INDEX(面试清单!D:D,MATCH(2353,面试清单!P:P,0)),"")</f>
        <v/>
      </c>
      <c r="D2354" s="11" t="s">
        <v>42</v>
      </c>
      <c r="E2354" s="11" t="s">
        <v>62</v>
      </c>
      <c r="F2354" s="11" t="s">
        <v>307</v>
      </c>
      <c r="G2354" s="15">
        <v>46175</v>
      </c>
      <c r="H2354" s="10" t="str">
        <f>IFERROR(INDEX(面试清单!H:H,MATCH(2353,面试清单!P:P,0)),"")</f>
        <v/>
      </c>
      <c r="I2354" s="13" t="s">
        <v>29</v>
      </c>
      <c r="J2354" s="10">
        <f ca="1" t="shared" si="109"/>
        <v>14</v>
      </c>
      <c r="K2354" s="10">
        <f ca="1" t="shared" si="110"/>
        <v>15</v>
      </c>
    </row>
    <row r="2355" ht="18" spans="1:11">
      <c r="A2355" s="14">
        <f t="shared" si="108"/>
        <v>2354</v>
      </c>
      <c r="B2355" s="11" t="s">
        <v>313</v>
      </c>
      <c r="C2355" s="124" t="str">
        <f>IFERROR(INDEX(面试清单!D:D,MATCH(2354,面试清单!P:P,0)),"")</f>
        <v>0221</v>
      </c>
      <c r="D2355" s="11" t="s">
        <v>74</v>
      </c>
      <c r="E2355" s="11" t="s">
        <v>64</v>
      </c>
      <c r="F2355" s="11" t="s">
        <v>135</v>
      </c>
      <c r="G2355" s="15">
        <v>46175</v>
      </c>
      <c r="H2355" s="14" t="str">
        <f>IFERROR(INDEX(面试清单!H:H,MATCH(2354,面试清单!P:P,0)),"")</f>
        <v>线上</v>
      </c>
      <c r="I2355" s="13" t="s">
        <v>29</v>
      </c>
      <c r="J2355" s="14">
        <f ca="1" t="shared" si="109"/>
        <v>14</v>
      </c>
      <c r="K2355" s="14">
        <f ca="1" t="shared" si="110"/>
        <v>15</v>
      </c>
    </row>
    <row r="2356" ht="18" spans="1:11">
      <c r="A2356" s="10">
        <f t="shared" si="108"/>
        <v>2355</v>
      </c>
      <c r="B2356" s="11" t="s">
        <v>144</v>
      </c>
      <c r="C2356" s="10" t="str">
        <f>IFERROR(INDEX(面试清单!D:D,MATCH(2355,面试清单!P:P,0)),"")</f>
        <v/>
      </c>
      <c r="D2356" s="11" t="s">
        <v>42</v>
      </c>
      <c r="E2356" s="11" t="s">
        <v>64</v>
      </c>
      <c r="F2356" s="11" t="s">
        <v>135</v>
      </c>
      <c r="G2356" s="15">
        <v>46175</v>
      </c>
      <c r="H2356" s="10" t="str">
        <f>IFERROR(INDEX(面试清单!H:H,MATCH(2355,面试清单!P:P,0)),"")</f>
        <v/>
      </c>
      <c r="I2356" s="13" t="s">
        <v>29</v>
      </c>
      <c r="J2356" s="10">
        <f ca="1" t="shared" si="109"/>
        <v>14</v>
      </c>
      <c r="K2356" s="10">
        <f ca="1" t="shared" si="110"/>
        <v>15</v>
      </c>
    </row>
    <row r="2357" ht="18" spans="1:11">
      <c r="A2357" s="14">
        <f t="shared" si="108"/>
        <v>2356</v>
      </c>
      <c r="B2357" s="11" t="s">
        <v>341</v>
      </c>
      <c r="C2357" s="14" t="str">
        <f>IFERROR(INDEX(面试清单!D:D,MATCH(2356,面试清单!P:P,0)),"")</f>
        <v/>
      </c>
      <c r="D2357" s="11" t="s">
        <v>74</v>
      </c>
      <c r="E2357" s="11" t="s">
        <v>64</v>
      </c>
      <c r="F2357" s="11" t="s">
        <v>148</v>
      </c>
      <c r="G2357" s="15">
        <v>46175</v>
      </c>
      <c r="H2357" s="14" t="str">
        <f>IFERROR(INDEX(面试清单!H:H,MATCH(2356,面试清单!P:P,0)),"")</f>
        <v/>
      </c>
      <c r="I2357" s="13" t="s">
        <v>29</v>
      </c>
      <c r="J2357" s="14">
        <f ca="1" t="shared" si="109"/>
        <v>14</v>
      </c>
      <c r="K2357" s="14">
        <f ca="1" t="shared" si="110"/>
        <v>15</v>
      </c>
    </row>
    <row r="2358" ht="18" spans="1:11">
      <c r="A2358" s="10">
        <f t="shared" si="108"/>
        <v>2357</v>
      </c>
      <c r="B2358" s="11" t="s">
        <v>343</v>
      </c>
      <c r="C2358" s="125" t="str">
        <f>IFERROR(INDEX(面试清单!D:D,MATCH(2357,面试清单!P:P,0)),"")</f>
        <v>0209</v>
      </c>
      <c r="D2358" s="11" t="s">
        <v>74</v>
      </c>
      <c r="E2358" s="11" t="s">
        <v>64</v>
      </c>
      <c r="F2358" s="11" t="s">
        <v>148</v>
      </c>
      <c r="G2358" s="15">
        <v>46175</v>
      </c>
      <c r="H2358" s="10" t="str">
        <f>IFERROR(INDEX(面试清单!H:H,MATCH(2357,面试清单!P:P,0)),"")</f>
        <v>线上</v>
      </c>
      <c r="I2358" s="13" t="s">
        <v>29</v>
      </c>
      <c r="J2358" s="10">
        <f ca="1" t="shared" si="109"/>
        <v>14</v>
      </c>
      <c r="K2358" s="10">
        <f ca="1" t="shared" si="110"/>
        <v>15</v>
      </c>
    </row>
    <row r="2359" ht="18" spans="1:11">
      <c r="A2359" s="14">
        <f t="shared" si="108"/>
        <v>2358</v>
      </c>
      <c r="B2359" s="11" t="s">
        <v>360</v>
      </c>
      <c r="C2359" s="14" t="str">
        <f>IFERROR(INDEX(面试清单!D:D,MATCH(2358,面试清单!P:P,0)),"")</f>
        <v/>
      </c>
      <c r="D2359" s="11" t="s">
        <v>43</v>
      </c>
      <c r="E2359" s="11" t="s">
        <v>63</v>
      </c>
      <c r="F2359" s="11" t="s">
        <v>179</v>
      </c>
      <c r="G2359" s="15">
        <v>46175</v>
      </c>
      <c r="H2359" s="14" t="str">
        <f>IFERROR(INDEX(面试清单!H:H,MATCH(2358,面试清单!P:P,0)),"")</f>
        <v/>
      </c>
      <c r="I2359" s="13" t="s">
        <v>29</v>
      </c>
      <c r="J2359" s="14">
        <f ca="1" t="shared" si="109"/>
        <v>14</v>
      </c>
      <c r="K2359" s="14">
        <f ca="1" t="shared" si="110"/>
        <v>15</v>
      </c>
    </row>
    <row r="2360" ht="18" spans="1:11">
      <c r="A2360" s="10">
        <f t="shared" si="108"/>
        <v>2359</v>
      </c>
      <c r="B2360" s="11" t="s">
        <v>362</v>
      </c>
      <c r="C2360" s="125" t="str">
        <f>IFERROR(INDEX(面试清单!D:D,MATCH(2359,面试清单!P:P,0)),"")</f>
        <v>0214</v>
      </c>
      <c r="D2360" s="11" t="s">
        <v>43</v>
      </c>
      <c r="E2360" s="11" t="s">
        <v>64</v>
      </c>
      <c r="F2360" s="11" t="s">
        <v>179</v>
      </c>
      <c r="G2360" s="15">
        <v>46175</v>
      </c>
      <c r="H2360" s="10" t="str">
        <f>IFERROR(INDEX(面试清单!H:H,MATCH(2359,面试清单!P:P,0)),"")</f>
        <v>线上</v>
      </c>
      <c r="I2360" s="13" t="s">
        <v>29</v>
      </c>
      <c r="J2360" s="10">
        <f ca="1" t="shared" si="109"/>
        <v>14</v>
      </c>
      <c r="K2360" s="10">
        <f ca="1" t="shared" si="110"/>
        <v>15</v>
      </c>
    </row>
    <row r="2361" ht="18" spans="1:11">
      <c r="A2361" s="14">
        <f t="shared" si="108"/>
        <v>2360</v>
      </c>
      <c r="B2361" s="11" t="s">
        <v>364</v>
      </c>
      <c r="C2361" s="124" t="str">
        <f>IFERROR(INDEX(面试清单!D:D,MATCH(2360,面试清单!P:P,0)),"")</f>
        <v>0217</v>
      </c>
      <c r="D2361" s="11" t="s">
        <v>43</v>
      </c>
      <c r="E2361" s="11" t="s">
        <v>64</v>
      </c>
      <c r="F2361" s="11" t="s">
        <v>179</v>
      </c>
      <c r="G2361" s="15">
        <v>46175</v>
      </c>
      <c r="H2361" s="14" t="str">
        <f>IFERROR(INDEX(面试清单!H:H,MATCH(2360,面试清单!P:P,0)),"")</f>
        <v>线上</v>
      </c>
      <c r="I2361" s="13" t="s">
        <v>29</v>
      </c>
      <c r="J2361" s="14">
        <f ca="1" t="shared" si="109"/>
        <v>14</v>
      </c>
      <c r="K2361" s="14">
        <f ca="1" t="shared" si="110"/>
        <v>15</v>
      </c>
    </row>
    <row r="2362" ht="18" spans="1:11">
      <c r="A2362" s="10">
        <f t="shared" si="108"/>
        <v>2361</v>
      </c>
      <c r="B2362" s="11" t="s">
        <v>371</v>
      </c>
      <c r="C2362" s="10" t="str">
        <f>IFERROR(INDEX(面试清单!D:D,MATCH(2361,面试清单!P:P,0)),"")</f>
        <v/>
      </c>
      <c r="D2362" s="11" t="s">
        <v>74</v>
      </c>
      <c r="E2362" s="11" t="s">
        <v>64</v>
      </c>
      <c r="F2362" s="11" t="s">
        <v>179</v>
      </c>
      <c r="G2362" s="15">
        <v>46175</v>
      </c>
      <c r="H2362" s="10" t="str">
        <f>IFERROR(INDEX(面试清单!H:H,MATCH(2361,面试清单!P:P,0)),"")</f>
        <v/>
      </c>
      <c r="I2362" s="13" t="s">
        <v>29</v>
      </c>
      <c r="J2362" s="10">
        <f ca="1" t="shared" si="109"/>
        <v>14</v>
      </c>
      <c r="K2362" s="10">
        <f ca="1" t="shared" si="110"/>
        <v>15</v>
      </c>
    </row>
    <row r="2363" ht="18" spans="1:11">
      <c r="A2363" s="14">
        <f t="shared" si="108"/>
        <v>2362</v>
      </c>
      <c r="B2363" s="11" t="s">
        <v>242</v>
      </c>
      <c r="C2363" s="14" t="str">
        <f>IFERROR(INDEX(面试清单!D:D,MATCH(2362,面试清单!P:P,0)),"")</f>
        <v/>
      </c>
      <c r="D2363" s="11" t="s">
        <v>42</v>
      </c>
      <c r="E2363" s="11" t="s">
        <v>64</v>
      </c>
      <c r="F2363" s="11" t="s">
        <v>179</v>
      </c>
      <c r="G2363" s="15">
        <v>46175</v>
      </c>
      <c r="H2363" s="14" t="str">
        <f>IFERROR(INDEX(面试清单!H:H,MATCH(2362,面试清单!P:P,0)),"")</f>
        <v/>
      </c>
      <c r="I2363" s="13" t="s">
        <v>29</v>
      </c>
      <c r="J2363" s="14">
        <f ca="1" t="shared" si="109"/>
        <v>14</v>
      </c>
      <c r="K2363" s="14">
        <f ca="1" t="shared" si="110"/>
        <v>15</v>
      </c>
    </row>
    <row r="2364" ht="18" spans="1:11">
      <c r="A2364" s="10">
        <f t="shared" si="108"/>
        <v>2363</v>
      </c>
      <c r="B2364" s="11" t="s">
        <v>374</v>
      </c>
      <c r="C2364" s="10" t="str">
        <f>IFERROR(INDEX(面试清单!D:D,MATCH(2363,面试清单!P:P,0)),"")</f>
        <v/>
      </c>
      <c r="D2364" s="11" t="s">
        <v>42</v>
      </c>
      <c r="E2364" s="11" t="s">
        <v>64</v>
      </c>
      <c r="F2364" s="11" t="s">
        <v>179</v>
      </c>
      <c r="G2364" s="15">
        <v>46175</v>
      </c>
      <c r="H2364" s="10" t="str">
        <f>IFERROR(INDEX(面试清单!H:H,MATCH(2363,面试清单!P:P,0)),"")</f>
        <v/>
      </c>
      <c r="I2364" s="13" t="s">
        <v>29</v>
      </c>
      <c r="J2364" s="10">
        <f ca="1" t="shared" si="109"/>
        <v>14</v>
      </c>
      <c r="K2364" s="10">
        <f ca="1" t="shared" si="110"/>
        <v>15</v>
      </c>
    </row>
    <row r="2365" ht="18" spans="1:11">
      <c r="A2365" s="14">
        <f t="shared" si="108"/>
        <v>2364</v>
      </c>
      <c r="B2365" s="11" t="s">
        <v>396</v>
      </c>
      <c r="C2365" s="14" t="str">
        <f>IFERROR(INDEX(面试清单!D:D,MATCH(2364,面试清单!P:P,0)),"")</f>
        <v/>
      </c>
      <c r="D2365" s="11" t="s">
        <v>43</v>
      </c>
      <c r="E2365" s="11" t="s">
        <v>64</v>
      </c>
      <c r="F2365" s="11" t="s">
        <v>179</v>
      </c>
      <c r="G2365" s="15">
        <v>46175</v>
      </c>
      <c r="H2365" s="14" t="str">
        <f>IFERROR(INDEX(面试清单!H:H,MATCH(2364,面试清单!P:P,0)),"")</f>
        <v/>
      </c>
      <c r="I2365" s="13" t="s">
        <v>29</v>
      </c>
      <c r="J2365" s="14">
        <f ca="1" t="shared" si="109"/>
        <v>14</v>
      </c>
      <c r="K2365" s="14">
        <f ca="1" t="shared" si="110"/>
        <v>15</v>
      </c>
    </row>
    <row r="2366" ht="18" spans="1:11">
      <c r="A2366" s="10">
        <f t="shared" si="108"/>
        <v>2365</v>
      </c>
      <c r="B2366" s="11" t="s">
        <v>412</v>
      </c>
      <c r="C2366" s="125" t="str">
        <f>IFERROR(INDEX(面试清单!D:D,MATCH(2365,面试清单!P:P,0)),"")</f>
        <v>0208</v>
      </c>
      <c r="D2366" s="11" t="s">
        <v>43</v>
      </c>
      <c r="E2366" s="11" t="s">
        <v>62</v>
      </c>
      <c r="F2366" s="11" t="s">
        <v>103</v>
      </c>
      <c r="G2366" s="15">
        <v>46175</v>
      </c>
      <c r="H2366" s="10" t="str">
        <f>IFERROR(INDEX(面试清单!H:H,MATCH(2365,面试清单!P:P,0)),"")</f>
        <v>线上</v>
      </c>
      <c r="I2366" s="13" t="s">
        <v>29</v>
      </c>
      <c r="J2366" s="10">
        <f ca="1" t="shared" si="109"/>
        <v>14</v>
      </c>
      <c r="K2366" s="10">
        <f ca="1" t="shared" si="110"/>
        <v>15</v>
      </c>
    </row>
    <row r="2367" ht="18" spans="1:11">
      <c r="A2367" s="14">
        <f t="shared" si="108"/>
        <v>2366</v>
      </c>
      <c r="B2367" s="11" t="s">
        <v>416</v>
      </c>
      <c r="C2367" s="14" t="str">
        <f>IFERROR(INDEX(面试清单!D:D,MATCH(2366,面试清单!P:P,0)),"")</f>
        <v/>
      </c>
      <c r="D2367" s="11" t="s">
        <v>74</v>
      </c>
      <c r="E2367" s="11" t="s">
        <v>64</v>
      </c>
      <c r="F2367" s="11" t="s">
        <v>179</v>
      </c>
      <c r="G2367" s="15">
        <v>46175</v>
      </c>
      <c r="H2367" s="14" t="str">
        <f>IFERROR(INDEX(面试清单!H:H,MATCH(2366,面试清单!P:P,0)),"")</f>
        <v/>
      </c>
      <c r="I2367" s="13" t="s">
        <v>29</v>
      </c>
      <c r="J2367" s="14">
        <f ca="1" t="shared" si="109"/>
        <v>14</v>
      </c>
      <c r="K2367" s="14">
        <f ca="1" t="shared" si="110"/>
        <v>15</v>
      </c>
    </row>
    <row r="2368" ht="18" spans="1:11">
      <c r="A2368" s="10">
        <f t="shared" si="108"/>
        <v>2367</v>
      </c>
      <c r="B2368" s="11" t="s">
        <v>420</v>
      </c>
      <c r="C2368" s="125" t="str">
        <f>IFERROR(INDEX(面试清单!D:D,MATCH(2367,面试清单!P:P,0)),"")</f>
        <v>0212</v>
      </c>
      <c r="D2368" s="11" t="s">
        <v>43</v>
      </c>
      <c r="E2368" s="11" t="s">
        <v>62</v>
      </c>
      <c r="F2368" s="11" t="s">
        <v>179</v>
      </c>
      <c r="G2368" s="15">
        <v>46175</v>
      </c>
      <c r="H2368" s="10" t="str">
        <f>IFERROR(INDEX(面试清单!H:H,MATCH(2367,面试清单!P:P,0)),"")</f>
        <v>线下</v>
      </c>
      <c r="I2368" s="13" t="s">
        <v>29</v>
      </c>
      <c r="J2368" s="10">
        <f ca="1" t="shared" si="109"/>
        <v>14</v>
      </c>
      <c r="K2368" s="10">
        <f ca="1" t="shared" si="110"/>
        <v>15</v>
      </c>
    </row>
    <row r="2369" ht="18" spans="1:11">
      <c r="A2369" s="14">
        <f t="shared" si="108"/>
        <v>2368</v>
      </c>
      <c r="B2369" s="11" t="s">
        <v>1137</v>
      </c>
      <c r="C2369" s="14" t="str">
        <f>IFERROR(INDEX(面试清单!D:D,MATCH(2368,面试清单!P:P,0)),"")</f>
        <v/>
      </c>
      <c r="D2369" s="11" t="s">
        <v>42</v>
      </c>
      <c r="E2369" s="11" t="s">
        <v>63</v>
      </c>
      <c r="F2369" s="11" t="s">
        <v>468</v>
      </c>
      <c r="G2369" s="15">
        <v>46175</v>
      </c>
      <c r="H2369" s="14" t="str">
        <f>IFERROR(INDEX(面试清单!H:H,MATCH(2368,面试清单!P:P,0)),"")</f>
        <v/>
      </c>
      <c r="I2369" s="13" t="s">
        <v>29</v>
      </c>
      <c r="J2369" s="14">
        <f ca="1" t="shared" si="109"/>
        <v>14</v>
      </c>
      <c r="K2369" s="14">
        <f ca="1" t="shared" si="110"/>
        <v>15</v>
      </c>
    </row>
    <row r="2370" ht="18" spans="1:11">
      <c r="A2370" s="10">
        <f t="shared" ref="A2370:A2433" si="111">IF(B2370&lt;&gt;"",ROW()-1,"")</f>
        <v>2369</v>
      </c>
      <c r="B2370" s="11" t="s">
        <v>424</v>
      </c>
      <c r="C2370" s="125" t="str">
        <f>IFERROR(INDEX(面试清单!D:D,MATCH(2369,面试清单!P:P,0)),"")</f>
        <v>0217</v>
      </c>
      <c r="D2370" s="11" t="s">
        <v>74</v>
      </c>
      <c r="E2370" s="11" t="s">
        <v>64</v>
      </c>
      <c r="F2370" s="11" t="s">
        <v>426</v>
      </c>
      <c r="G2370" s="15">
        <v>46175</v>
      </c>
      <c r="H2370" s="10" t="str">
        <f>IFERROR(INDEX(面试清单!H:H,MATCH(2369,面试清单!P:P,0)),"")</f>
        <v>线下</v>
      </c>
      <c r="I2370" s="13" t="s">
        <v>29</v>
      </c>
      <c r="J2370" s="10">
        <f ca="1" t="shared" ref="J2370:J2433" si="112">IF(G2370&lt;&gt;"",TODAY()-G2370,"")</f>
        <v>14</v>
      </c>
      <c r="K2370" s="10">
        <f ca="1" t="shared" ref="K2370:K2433" si="113">IF(G2370&lt;&gt;"",MAX(0,MIN(TODAY(),EOMONTH(TODAY(),0))-MAX(G2370,EOMONTH(TODAY(),-1)+1)+1),"")</f>
        <v>15</v>
      </c>
    </row>
    <row r="2371" ht="18" spans="1:11">
      <c r="A2371" s="14">
        <f t="shared" si="111"/>
        <v>2370</v>
      </c>
      <c r="B2371" s="11" t="s">
        <v>429</v>
      </c>
      <c r="C2371" s="124" t="str">
        <f>IFERROR(INDEX(面试清单!D:D,MATCH(2370,面试清单!P:P,0)),"")</f>
        <v>0218</v>
      </c>
      <c r="D2371" s="11" t="s">
        <v>74</v>
      </c>
      <c r="E2371" s="11" t="s">
        <v>64</v>
      </c>
      <c r="F2371" s="11" t="s">
        <v>135</v>
      </c>
      <c r="G2371" s="15">
        <v>46175</v>
      </c>
      <c r="H2371" s="14" t="str">
        <f>IFERROR(INDEX(面试清单!H:H,MATCH(2370,面试清单!P:P,0)),"")</f>
        <v>线下</v>
      </c>
      <c r="I2371" s="13" t="s">
        <v>29</v>
      </c>
      <c r="J2371" s="14">
        <f ca="1" t="shared" si="112"/>
        <v>14</v>
      </c>
      <c r="K2371" s="14">
        <f ca="1" t="shared" si="113"/>
        <v>15</v>
      </c>
    </row>
    <row r="2372" ht="18" spans="1:11">
      <c r="A2372" s="10">
        <f t="shared" si="111"/>
        <v>2371</v>
      </c>
      <c r="B2372" s="11" t="s">
        <v>431</v>
      </c>
      <c r="C2372" s="125" t="str">
        <f>IFERROR(INDEX(面试清单!D:D,MATCH(2371,面试清单!P:P,0)),"")</f>
        <v>0220</v>
      </c>
      <c r="D2372" s="11" t="s">
        <v>74</v>
      </c>
      <c r="E2372" s="11" t="s">
        <v>64</v>
      </c>
      <c r="F2372" s="11" t="s">
        <v>103</v>
      </c>
      <c r="G2372" s="15">
        <v>46175</v>
      </c>
      <c r="H2372" s="10" t="str">
        <f>IFERROR(INDEX(面试清单!H:H,MATCH(2371,面试清单!P:P,0)),"")</f>
        <v>线下</v>
      </c>
      <c r="I2372" s="13" t="s">
        <v>29</v>
      </c>
      <c r="J2372" s="10">
        <f ca="1" t="shared" si="112"/>
        <v>14</v>
      </c>
      <c r="K2372" s="10">
        <f ca="1" t="shared" si="113"/>
        <v>15</v>
      </c>
    </row>
    <row r="2373" ht="18" spans="1:11">
      <c r="A2373" s="14">
        <f t="shared" si="111"/>
        <v>2372</v>
      </c>
      <c r="B2373" s="11" t="s">
        <v>287</v>
      </c>
      <c r="C2373" s="14" t="str">
        <f>IFERROR(INDEX(面试清单!D:D,MATCH(2372,面试清单!P:P,0)),"")</f>
        <v/>
      </c>
      <c r="D2373" s="11" t="s">
        <v>42</v>
      </c>
      <c r="E2373" s="11" t="s">
        <v>62</v>
      </c>
      <c r="F2373" s="11" t="s">
        <v>103</v>
      </c>
      <c r="G2373" s="15">
        <v>46175</v>
      </c>
      <c r="H2373" s="14" t="str">
        <f>IFERROR(INDEX(面试清单!H:H,MATCH(2372,面试清单!P:P,0)),"")</f>
        <v/>
      </c>
      <c r="I2373" s="13" t="s">
        <v>29</v>
      </c>
      <c r="J2373" s="14">
        <f ca="1" t="shared" si="112"/>
        <v>14</v>
      </c>
      <c r="K2373" s="14">
        <f ca="1" t="shared" si="113"/>
        <v>15</v>
      </c>
    </row>
    <row r="2374" ht="18" spans="1:11">
      <c r="A2374" s="10">
        <f t="shared" si="111"/>
        <v>2373</v>
      </c>
      <c r="B2374" s="11" t="s">
        <v>289</v>
      </c>
      <c r="C2374" s="10" t="str">
        <f>IFERROR(INDEX(面试清单!D:D,MATCH(2373,面试清单!P:P,0)),"")</f>
        <v/>
      </c>
      <c r="D2374" s="11" t="s">
        <v>42</v>
      </c>
      <c r="E2374" s="11" t="s">
        <v>64</v>
      </c>
      <c r="F2374" s="11" t="s">
        <v>103</v>
      </c>
      <c r="G2374" s="15">
        <v>46175</v>
      </c>
      <c r="H2374" s="10" t="str">
        <f>IFERROR(INDEX(面试清单!H:H,MATCH(2373,面试清单!P:P,0)),"")</f>
        <v/>
      </c>
      <c r="I2374" s="13" t="s">
        <v>29</v>
      </c>
      <c r="J2374" s="10">
        <f ca="1" t="shared" si="112"/>
        <v>14</v>
      </c>
      <c r="K2374" s="10">
        <f ca="1" t="shared" si="113"/>
        <v>15</v>
      </c>
    </row>
    <row r="2375" ht="18" spans="1:11">
      <c r="A2375" s="14">
        <f t="shared" si="111"/>
        <v>2374</v>
      </c>
      <c r="B2375" s="11" t="s">
        <v>291</v>
      </c>
      <c r="C2375" s="14" t="str">
        <f>IFERROR(INDEX(面试清单!D:D,MATCH(2374,面试清单!P:P,0)),"")</f>
        <v/>
      </c>
      <c r="D2375" s="11" t="s">
        <v>42</v>
      </c>
      <c r="E2375" s="11" t="s">
        <v>64</v>
      </c>
      <c r="F2375" s="11" t="s">
        <v>103</v>
      </c>
      <c r="G2375" s="15">
        <v>46175</v>
      </c>
      <c r="H2375" s="14" t="str">
        <f>IFERROR(INDEX(面试清单!H:H,MATCH(2374,面试清单!P:P,0)),"")</f>
        <v/>
      </c>
      <c r="I2375" s="13" t="s">
        <v>29</v>
      </c>
      <c r="J2375" s="14">
        <f ca="1" t="shared" si="112"/>
        <v>14</v>
      </c>
      <c r="K2375" s="14">
        <f ca="1" t="shared" si="113"/>
        <v>15</v>
      </c>
    </row>
    <row r="2376" ht="18" spans="1:11">
      <c r="A2376" s="10">
        <f t="shared" si="111"/>
        <v>2375</v>
      </c>
      <c r="B2376" s="11" t="s">
        <v>6218</v>
      </c>
      <c r="C2376" s="10" t="str">
        <f>IFERROR(INDEX(面试清单!D:D,MATCH(2375,面试清单!P:P,0)),"")</f>
        <v/>
      </c>
      <c r="D2376" s="11" t="s">
        <v>42</v>
      </c>
      <c r="E2376" s="11" t="s">
        <v>62</v>
      </c>
      <c r="F2376" s="11" t="s">
        <v>233</v>
      </c>
      <c r="G2376" s="15">
        <v>46176</v>
      </c>
      <c r="H2376" s="10" t="str">
        <f>IFERROR(INDEX(面试清单!H:H,MATCH(2375,面试清单!P:P,0)),"")</f>
        <v/>
      </c>
      <c r="I2376" s="13" t="s">
        <v>29</v>
      </c>
      <c r="J2376" s="10">
        <f ca="1" t="shared" si="112"/>
        <v>13</v>
      </c>
      <c r="K2376" s="10">
        <f ca="1" t="shared" si="113"/>
        <v>14</v>
      </c>
    </row>
    <row r="2377" ht="18" spans="1:11">
      <c r="A2377" s="14">
        <f t="shared" si="111"/>
        <v>2376</v>
      </c>
      <c r="B2377" s="11" t="s">
        <v>6219</v>
      </c>
      <c r="C2377" s="14" t="str">
        <f>IFERROR(INDEX(面试清单!D:D,MATCH(2376,面试清单!P:P,0)),"")</f>
        <v/>
      </c>
      <c r="D2377" s="11" t="s">
        <v>42</v>
      </c>
      <c r="E2377" s="11" t="s">
        <v>63</v>
      </c>
      <c r="F2377" s="11" t="s">
        <v>233</v>
      </c>
      <c r="G2377" s="15">
        <v>46176</v>
      </c>
      <c r="H2377" s="14" t="str">
        <f>IFERROR(INDEX(面试清单!H:H,MATCH(2376,面试清单!P:P,0)),"")</f>
        <v/>
      </c>
      <c r="I2377" s="13" t="s">
        <v>29</v>
      </c>
      <c r="J2377" s="14">
        <f ca="1" t="shared" si="112"/>
        <v>13</v>
      </c>
      <c r="K2377" s="14">
        <f ca="1" t="shared" si="113"/>
        <v>14</v>
      </c>
    </row>
    <row r="2378" ht="18" spans="1:11">
      <c r="A2378" s="10">
        <f t="shared" si="111"/>
        <v>2377</v>
      </c>
      <c r="B2378" s="11" t="s">
        <v>6220</v>
      </c>
      <c r="C2378" s="10" t="str">
        <f>IFERROR(INDEX(面试清单!D:D,MATCH(2377,面试清单!P:P,0)),"")</f>
        <v/>
      </c>
      <c r="D2378" s="11" t="s">
        <v>42</v>
      </c>
      <c r="E2378" s="11" t="s">
        <v>63</v>
      </c>
      <c r="F2378" s="11" t="s">
        <v>233</v>
      </c>
      <c r="G2378" s="15">
        <v>46176</v>
      </c>
      <c r="H2378" s="10" t="str">
        <f>IFERROR(INDEX(面试清单!H:H,MATCH(2377,面试清单!P:P,0)),"")</f>
        <v/>
      </c>
      <c r="I2378" s="13" t="s">
        <v>29</v>
      </c>
      <c r="J2378" s="10">
        <f ca="1" t="shared" si="112"/>
        <v>13</v>
      </c>
      <c r="K2378" s="10">
        <f ca="1" t="shared" si="113"/>
        <v>14</v>
      </c>
    </row>
    <row r="2379" ht="18" spans="1:11">
      <c r="A2379" s="14">
        <f t="shared" si="111"/>
        <v>2378</v>
      </c>
      <c r="B2379" s="11" t="s">
        <v>6221</v>
      </c>
      <c r="C2379" s="14" t="str">
        <f>IFERROR(INDEX(面试清单!D:D,MATCH(2378,面试清单!P:P,0)),"")</f>
        <v/>
      </c>
      <c r="D2379" s="11" t="s">
        <v>42</v>
      </c>
      <c r="E2379" s="11" t="s">
        <v>63</v>
      </c>
      <c r="F2379" s="11" t="s">
        <v>117</v>
      </c>
      <c r="G2379" s="15">
        <v>46176</v>
      </c>
      <c r="H2379" s="14" t="str">
        <f>IFERROR(INDEX(面试清单!H:H,MATCH(2378,面试清单!P:P,0)),"")</f>
        <v/>
      </c>
      <c r="I2379" s="13" t="s">
        <v>29</v>
      </c>
      <c r="J2379" s="14">
        <f ca="1" t="shared" si="112"/>
        <v>13</v>
      </c>
      <c r="K2379" s="14">
        <f ca="1" t="shared" si="113"/>
        <v>14</v>
      </c>
    </row>
    <row r="2380" ht="18" spans="1:11">
      <c r="A2380" s="10">
        <f t="shared" si="111"/>
        <v>2379</v>
      </c>
      <c r="B2380" s="11" t="s">
        <v>6222</v>
      </c>
      <c r="C2380" s="10" t="str">
        <f>IFERROR(INDEX(面试清单!D:D,MATCH(2379,面试清单!P:P,0)),"")</f>
        <v/>
      </c>
      <c r="D2380" s="11" t="s">
        <v>43</v>
      </c>
      <c r="E2380" s="11" t="s">
        <v>62</v>
      </c>
      <c r="F2380" s="11" t="s">
        <v>129</v>
      </c>
      <c r="G2380" s="15">
        <v>46176</v>
      </c>
      <c r="H2380" s="10" t="str">
        <f>IFERROR(INDEX(面试清单!H:H,MATCH(2379,面试清单!P:P,0)),"")</f>
        <v/>
      </c>
      <c r="I2380" s="13" t="s">
        <v>29</v>
      </c>
      <c r="J2380" s="10">
        <f ca="1" t="shared" si="112"/>
        <v>13</v>
      </c>
      <c r="K2380" s="10">
        <f ca="1" t="shared" si="113"/>
        <v>14</v>
      </c>
    </row>
    <row r="2381" ht="18" spans="1:11">
      <c r="A2381" s="14">
        <f t="shared" si="111"/>
        <v>2380</v>
      </c>
      <c r="B2381" s="11" t="s">
        <v>1169</v>
      </c>
      <c r="C2381" s="14" t="str">
        <f>IFERROR(INDEX(面试清单!D:D,MATCH(2380,面试清单!P:P,0)),"")</f>
        <v/>
      </c>
      <c r="D2381" s="11" t="s">
        <v>42</v>
      </c>
      <c r="E2381" s="11" t="s">
        <v>63</v>
      </c>
      <c r="F2381" s="11" t="s">
        <v>129</v>
      </c>
      <c r="G2381" s="15">
        <v>46176</v>
      </c>
      <c r="H2381" s="14" t="str">
        <f>IFERROR(INDEX(面试清单!H:H,MATCH(2380,面试清单!P:P,0)),"")</f>
        <v/>
      </c>
      <c r="I2381" s="13" t="s">
        <v>29</v>
      </c>
      <c r="J2381" s="14">
        <f ca="1" t="shared" si="112"/>
        <v>13</v>
      </c>
      <c r="K2381" s="14">
        <f ca="1" t="shared" si="113"/>
        <v>14</v>
      </c>
    </row>
    <row r="2382" ht="18" spans="1:11">
      <c r="A2382" s="10">
        <f t="shared" si="111"/>
        <v>2381</v>
      </c>
      <c r="B2382" s="11" t="s">
        <v>6223</v>
      </c>
      <c r="C2382" s="10" t="str">
        <f>IFERROR(INDEX(面试清单!D:D,MATCH(2381,面试清单!P:P,0)),"")</f>
        <v/>
      </c>
      <c r="D2382" s="11" t="s">
        <v>42</v>
      </c>
      <c r="E2382" s="11" t="s">
        <v>63</v>
      </c>
      <c r="F2382" s="11" t="s">
        <v>246</v>
      </c>
      <c r="G2382" s="15">
        <v>46176</v>
      </c>
      <c r="H2382" s="10" t="str">
        <f>IFERROR(INDEX(面试清单!H:H,MATCH(2381,面试清单!P:P,0)),"")</f>
        <v/>
      </c>
      <c r="I2382" s="13" t="s">
        <v>29</v>
      </c>
      <c r="J2382" s="10">
        <f ca="1" t="shared" si="112"/>
        <v>13</v>
      </c>
      <c r="K2382" s="10">
        <f ca="1" t="shared" si="113"/>
        <v>14</v>
      </c>
    </row>
    <row r="2383" ht="18" spans="1:11">
      <c r="A2383" s="14">
        <f t="shared" si="111"/>
        <v>2382</v>
      </c>
      <c r="B2383" s="11" t="s">
        <v>1223</v>
      </c>
      <c r="C2383" s="124" t="str">
        <f>IFERROR(INDEX(面试清单!D:D,MATCH(2382,面试清单!P:P,0)),"")</f>
        <v>0221</v>
      </c>
      <c r="D2383" s="11" t="s">
        <v>43</v>
      </c>
      <c r="E2383" s="11" t="s">
        <v>63</v>
      </c>
      <c r="F2383" s="11" t="s">
        <v>509</v>
      </c>
      <c r="G2383" s="15">
        <v>46176</v>
      </c>
      <c r="H2383" s="14" t="str">
        <f>IFERROR(INDEX(面试清单!H:H,MATCH(2382,面试清单!P:P,0)),"")</f>
        <v>线上</v>
      </c>
      <c r="I2383" s="13" t="s">
        <v>29</v>
      </c>
      <c r="J2383" s="14">
        <f ca="1" t="shared" si="112"/>
        <v>13</v>
      </c>
      <c r="K2383" s="14">
        <f ca="1" t="shared" si="113"/>
        <v>14</v>
      </c>
    </row>
    <row r="2384" ht="18" spans="1:11">
      <c r="A2384" s="10">
        <f t="shared" si="111"/>
        <v>2383</v>
      </c>
      <c r="B2384" s="11" t="s">
        <v>1202</v>
      </c>
      <c r="C2384" s="10" t="str">
        <f>IFERROR(INDEX(面试清单!D:D,MATCH(2383,面试清单!P:P,0)),"")</f>
        <v/>
      </c>
      <c r="D2384" s="11" t="s">
        <v>42</v>
      </c>
      <c r="E2384" s="11" t="s">
        <v>62</v>
      </c>
      <c r="F2384" s="11" t="s">
        <v>148</v>
      </c>
      <c r="G2384" s="15">
        <v>46176</v>
      </c>
      <c r="H2384" s="10" t="str">
        <f>IFERROR(INDEX(面试清单!H:H,MATCH(2383,面试清单!P:P,0)),"")</f>
        <v/>
      </c>
      <c r="I2384" s="13" t="s">
        <v>29</v>
      </c>
      <c r="J2384" s="10">
        <f ca="1" t="shared" si="112"/>
        <v>13</v>
      </c>
      <c r="K2384" s="10">
        <f ca="1" t="shared" si="113"/>
        <v>14</v>
      </c>
    </row>
    <row r="2385" ht="18" spans="1:11">
      <c r="A2385" s="14">
        <f t="shared" si="111"/>
        <v>2384</v>
      </c>
      <c r="B2385" s="11" t="s">
        <v>1156</v>
      </c>
      <c r="C2385" s="14" t="str">
        <f>IFERROR(INDEX(面试清单!D:D,MATCH(2384,面试清单!P:P,0)),"")</f>
        <v/>
      </c>
      <c r="D2385" s="11" t="s">
        <v>42</v>
      </c>
      <c r="E2385" s="11" t="s">
        <v>63</v>
      </c>
      <c r="F2385" s="11" t="s">
        <v>148</v>
      </c>
      <c r="G2385" s="15">
        <v>46176</v>
      </c>
      <c r="H2385" s="14" t="str">
        <f>IFERROR(INDEX(面试清单!H:H,MATCH(2384,面试清单!P:P,0)),"")</f>
        <v/>
      </c>
      <c r="I2385" s="13" t="s">
        <v>29</v>
      </c>
      <c r="J2385" s="14">
        <f ca="1" t="shared" si="112"/>
        <v>13</v>
      </c>
      <c r="K2385" s="14">
        <f ca="1" t="shared" si="113"/>
        <v>14</v>
      </c>
    </row>
    <row r="2386" ht="18" spans="1:11">
      <c r="A2386" s="10">
        <f t="shared" si="111"/>
        <v>2385</v>
      </c>
      <c r="B2386" s="11" t="s">
        <v>6224</v>
      </c>
      <c r="C2386" s="10" t="str">
        <f>IFERROR(INDEX(面试清单!D:D,MATCH(2385,面试清单!P:P,0)),"")</f>
        <v/>
      </c>
      <c r="D2386" s="11" t="s">
        <v>42</v>
      </c>
      <c r="E2386" s="11" t="s">
        <v>62</v>
      </c>
      <c r="F2386" s="11" t="s">
        <v>148</v>
      </c>
      <c r="G2386" s="15">
        <v>46176</v>
      </c>
      <c r="H2386" s="10" t="str">
        <f>IFERROR(INDEX(面试清单!H:H,MATCH(2385,面试清单!P:P,0)),"")</f>
        <v/>
      </c>
      <c r="I2386" s="13" t="s">
        <v>29</v>
      </c>
      <c r="J2386" s="10">
        <f ca="1" t="shared" si="112"/>
        <v>13</v>
      </c>
      <c r="K2386" s="10">
        <f ca="1" t="shared" si="113"/>
        <v>14</v>
      </c>
    </row>
    <row r="2387" ht="18" spans="1:11">
      <c r="A2387" s="14">
        <f t="shared" si="111"/>
        <v>2386</v>
      </c>
      <c r="B2387" s="11" t="s">
        <v>1174</v>
      </c>
      <c r="C2387" s="14" t="str">
        <f>IFERROR(INDEX(面试清单!D:D,MATCH(2386,面试清单!P:P,0)),"")</f>
        <v/>
      </c>
      <c r="D2387" s="11" t="s">
        <v>42</v>
      </c>
      <c r="E2387" s="11" t="s">
        <v>63</v>
      </c>
      <c r="F2387" s="11" t="s">
        <v>148</v>
      </c>
      <c r="G2387" s="15">
        <v>46176</v>
      </c>
      <c r="H2387" s="14" t="str">
        <f>IFERROR(INDEX(面试清单!H:H,MATCH(2386,面试清单!P:P,0)),"")</f>
        <v/>
      </c>
      <c r="I2387" s="13" t="s">
        <v>29</v>
      </c>
      <c r="J2387" s="14">
        <f ca="1" t="shared" si="112"/>
        <v>13</v>
      </c>
      <c r="K2387" s="14">
        <f ca="1" t="shared" si="113"/>
        <v>14</v>
      </c>
    </row>
    <row r="2388" ht="18" spans="1:11">
      <c r="A2388" s="10">
        <f t="shared" si="111"/>
        <v>2387</v>
      </c>
      <c r="B2388" s="11" t="s">
        <v>6225</v>
      </c>
      <c r="C2388" s="10" t="str">
        <f>IFERROR(INDEX(面试清单!D:D,MATCH(2387,面试清单!P:P,0)),"")</f>
        <v/>
      </c>
      <c r="D2388" s="11" t="s">
        <v>43</v>
      </c>
      <c r="E2388" s="11" t="s">
        <v>62</v>
      </c>
      <c r="F2388" s="11" t="s">
        <v>148</v>
      </c>
      <c r="G2388" s="15">
        <v>46176</v>
      </c>
      <c r="H2388" s="10" t="str">
        <f>IFERROR(INDEX(面试清单!H:H,MATCH(2387,面试清单!P:P,0)),"")</f>
        <v/>
      </c>
      <c r="I2388" s="13" t="s">
        <v>29</v>
      </c>
      <c r="J2388" s="10">
        <f ca="1" t="shared" si="112"/>
        <v>13</v>
      </c>
      <c r="K2388" s="10">
        <f ca="1" t="shared" si="113"/>
        <v>14</v>
      </c>
    </row>
    <row r="2389" ht="18" spans="1:11">
      <c r="A2389" s="14">
        <f t="shared" si="111"/>
        <v>2388</v>
      </c>
      <c r="B2389" s="11" t="s">
        <v>1121</v>
      </c>
      <c r="C2389" s="14" t="str">
        <f>IFERROR(INDEX(面试清单!D:D,MATCH(2388,面试清单!P:P,0)),"")</f>
        <v/>
      </c>
      <c r="D2389" s="11" t="s">
        <v>43</v>
      </c>
      <c r="E2389" s="11" t="s">
        <v>62</v>
      </c>
      <c r="F2389" s="11" t="s">
        <v>307</v>
      </c>
      <c r="G2389" s="15">
        <v>46176</v>
      </c>
      <c r="H2389" s="14" t="str">
        <f>IFERROR(INDEX(面试清单!H:H,MATCH(2388,面试清单!P:P,0)),"")</f>
        <v/>
      </c>
      <c r="I2389" s="13" t="s">
        <v>29</v>
      </c>
      <c r="J2389" s="14">
        <f ca="1" t="shared" si="112"/>
        <v>13</v>
      </c>
      <c r="K2389" s="14">
        <f ca="1" t="shared" si="113"/>
        <v>14</v>
      </c>
    </row>
    <row r="2390" ht="18" spans="1:11">
      <c r="A2390" s="10">
        <f t="shared" si="111"/>
        <v>2389</v>
      </c>
      <c r="B2390" s="11" t="s">
        <v>1154</v>
      </c>
      <c r="C2390" s="10" t="str">
        <f>IFERROR(INDEX(面试清单!D:D,MATCH(2389,面试清单!P:P,0)),"")</f>
        <v/>
      </c>
      <c r="D2390" s="11" t="s">
        <v>42</v>
      </c>
      <c r="E2390" s="11" t="s">
        <v>63</v>
      </c>
      <c r="F2390" s="11" t="s">
        <v>307</v>
      </c>
      <c r="G2390" s="15">
        <v>46176</v>
      </c>
      <c r="H2390" s="10" t="str">
        <f>IFERROR(INDEX(面试清单!H:H,MATCH(2389,面试清单!P:P,0)),"")</f>
        <v/>
      </c>
      <c r="I2390" s="13" t="s">
        <v>29</v>
      </c>
      <c r="J2390" s="10">
        <f ca="1" t="shared" si="112"/>
        <v>13</v>
      </c>
      <c r="K2390" s="10">
        <f ca="1" t="shared" si="113"/>
        <v>14</v>
      </c>
    </row>
    <row r="2391" ht="18" spans="1:11">
      <c r="A2391" s="14">
        <f t="shared" si="111"/>
        <v>2390</v>
      </c>
      <c r="B2391" s="11" t="s">
        <v>1106</v>
      </c>
      <c r="C2391" s="14" t="str">
        <f>IFERROR(INDEX(面试清单!D:D,MATCH(2390,面试清单!P:P,0)),"")</f>
        <v/>
      </c>
      <c r="D2391" s="11" t="s">
        <v>43</v>
      </c>
      <c r="E2391" s="11" t="s">
        <v>62</v>
      </c>
      <c r="F2391" s="11" t="s">
        <v>307</v>
      </c>
      <c r="G2391" s="15">
        <v>46176</v>
      </c>
      <c r="H2391" s="14" t="str">
        <f>IFERROR(INDEX(面试清单!H:H,MATCH(2390,面试清单!P:P,0)),"")</f>
        <v/>
      </c>
      <c r="I2391" s="13" t="s">
        <v>29</v>
      </c>
      <c r="J2391" s="14">
        <f ca="1" t="shared" si="112"/>
        <v>13</v>
      </c>
      <c r="K2391" s="14">
        <f ca="1" t="shared" si="113"/>
        <v>14</v>
      </c>
    </row>
    <row r="2392" ht="18" spans="1:11">
      <c r="A2392" s="10">
        <f t="shared" si="111"/>
        <v>2391</v>
      </c>
      <c r="B2392" s="11" t="s">
        <v>1190</v>
      </c>
      <c r="C2392" s="10" t="str">
        <f>IFERROR(INDEX(面试清单!D:D,MATCH(2391,面试清单!P:P,0)),"")</f>
        <v/>
      </c>
      <c r="D2392" s="11" t="s">
        <v>42</v>
      </c>
      <c r="E2392" s="11" t="s">
        <v>63</v>
      </c>
      <c r="F2392" s="11" t="s">
        <v>307</v>
      </c>
      <c r="G2392" s="15">
        <v>46176</v>
      </c>
      <c r="H2392" s="10" t="str">
        <f>IFERROR(INDEX(面试清单!H:H,MATCH(2391,面试清单!P:P,0)),"")</f>
        <v/>
      </c>
      <c r="I2392" s="13" t="s">
        <v>29</v>
      </c>
      <c r="J2392" s="10">
        <f ca="1" t="shared" si="112"/>
        <v>13</v>
      </c>
      <c r="K2392" s="10">
        <f ca="1" t="shared" si="113"/>
        <v>14</v>
      </c>
    </row>
    <row r="2393" ht="18" spans="1:11">
      <c r="A2393" s="14">
        <f t="shared" si="111"/>
        <v>2392</v>
      </c>
      <c r="B2393" s="11" t="s">
        <v>6226</v>
      </c>
      <c r="C2393" s="14" t="str">
        <f>IFERROR(INDEX(面试清单!D:D,MATCH(2392,面试清单!P:P,0)),"")</f>
        <v/>
      </c>
      <c r="D2393" s="11" t="s">
        <v>43</v>
      </c>
      <c r="E2393" s="11" t="s">
        <v>62</v>
      </c>
      <c r="F2393" s="11" t="s">
        <v>733</v>
      </c>
      <c r="G2393" s="15">
        <v>46176</v>
      </c>
      <c r="H2393" s="14" t="str">
        <f>IFERROR(INDEX(面试清单!H:H,MATCH(2392,面试清单!P:P,0)),"")</f>
        <v/>
      </c>
      <c r="I2393" s="13" t="s">
        <v>29</v>
      </c>
      <c r="J2393" s="14">
        <f ca="1" t="shared" si="112"/>
        <v>13</v>
      </c>
      <c r="K2393" s="14">
        <f ca="1" t="shared" si="113"/>
        <v>14</v>
      </c>
    </row>
    <row r="2394" ht="18" spans="1:11">
      <c r="A2394" s="10">
        <f t="shared" si="111"/>
        <v>2393</v>
      </c>
      <c r="B2394" s="11" t="s">
        <v>1180</v>
      </c>
      <c r="C2394" s="10" t="str">
        <f>IFERROR(INDEX(面试清单!D:D,MATCH(2393,面试清单!P:P,0)),"")</f>
        <v/>
      </c>
      <c r="D2394" s="11" t="s">
        <v>42</v>
      </c>
      <c r="E2394" s="11" t="s">
        <v>62</v>
      </c>
      <c r="F2394" s="11" t="s">
        <v>173</v>
      </c>
      <c r="G2394" s="15">
        <v>46176</v>
      </c>
      <c r="H2394" s="10" t="str">
        <f>IFERROR(INDEX(面试清单!H:H,MATCH(2393,面试清单!P:P,0)),"")</f>
        <v/>
      </c>
      <c r="I2394" s="13" t="s">
        <v>29</v>
      </c>
      <c r="J2394" s="10">
        <f ca="1" t="shared" si="112"/>
        <v>13</v>
      </c>
      <c r="K2394" s="10">
        <f ca="1" t="shared" si="113"/>
        <v>14</v>
      </c>
    </row>
    <row r="2395" ht="18" spans="1:11">
      <c r="A2395" s="14">
        <f t="shared" si="111"/>
        <v>2394</v>
      </c>
      <c r="B2395" s="11" t="s">
        <v>1179</v>
      </c>
      <c r="C2395" s="14" t="str">
        <f>IFERROR(INDEX(面试清单!D:D,MATCH(2394,面试清单!P:P,0)),"")</f>
        <v/>
      </c>
      <c r="D2395" s="11" t="s">
        <v>42</v>
      </c>
      <c r="E2395" s="11" t="s">
        <v>62</v>
      </c>
      <c r="F2395" s="11" t="s">
        <v>173</v>
      </c>
      <c r="G2395" s="15">
        <v>46176</v>
      </c>
      <c r="H2395" s="14" t="str">
        <f>IFERROR(INDEX(面试清单!H:H,MATCH(2394,面试清单!P:P,0)),"")</f>
        <v/>
      </c>
      <c r="I2395" s="13" t="s">
        <v>29</v>
      </c>
      <c r="J2395" s="14">
        <f ca="1" t="shared" si="112"/>
        <v>13</v>
      </c>
      <c r="K2395" s="14">
        <f ca="1" t="shared" si="113"/>
        <v>14</v>
      </c>
    </row>
    <row r="2396" ht="18" spans="1:11">
      <c r="A2396" s="10">
        <f t="shared" si="111"/>
        <v>2395</v>
      </c>
      <c r="B2396" s="11" t="s">
        <v>1215</v>
      </c>
      <c r="C2396" s="10" t="str">
        <f>IFERROR(INDEX(面试清单!D:D,MATCH(2395,面试清单!P:P,0)),"")</f>
        <v/>
      </c>
      <c r="D2396" s="11" t="s">
        <v>43</v>
      </c>
      <c r="E2396" s="11" t="s">
        <v>62</v>
      </c>
      <c r="F2396" s="11" t="s">
        <v>173</v>
      </c>
      <c r="G2396" s="15">
        <v>46176</v>
      </c>
      <c r="H2396" s="10" t="str">
        <f>IFERROR(INDEX(面试清单!H:H,MATCH(2395,面试清单!P:P,0)),"")</f>
        <v/>
      </c>
      <c r="I2396" s="13" t="s">
        <v>29</v>
      </c>
      <c r="J2396" s="10">
        <f ca="1" t="shared" si="112"/>
        <v>13</v>
      </c>
      <c r="K2396" s="10">
        <f ca="1" t="shared" si="113"/>
        <v>14</v>
      </c>
    </row>
    <row r="2397" ht="18" spans="1:11">
      <c r="A2397" s="14">
        <f t="shared" si="111"/>
        <v>2396</v>
      </c>
      <c r="B2397" s="11" t="s">
        <v>6227</v>
      </c>
      <c r="C2397" s="124" t="str">
        <f>IFERROR(INDEX(面试清单!D:D,MATCH(2396,面试清单!P:P,0)),"")</f>
        <v>0214</v>
      </c>
      <c r="D2397" s="11" t="s">
        <v>43</v>
      </c>
      <c r="E2397" s="11" t="s">
        <v>62</v>
      </c>
      <c r="F2397" s="11" t="s">
        <v>173</v>
      </c>
      <c r="G2397" s="15">
        <v>46176</v>
      </c>
      <c r="H2397" s="14" t="str">
        <f>IFERROR(INDEX(面试清单!H:H,MATCH(2396,面试清单!P:P,0)),"")</f>
        <v>线上</v>
      </c>
      <c r="I2397" s="13" t="s">
        <v>29</v>
      </c>
      <c r="J2397" s="14">
        <f ca="1" t="shared" si="112"/>
        <v>13</v>
      </c>
      <c r="K2397" s="14">
        <f ca="1" t="shared" si="113"/>
        <v>14</v>
      </c>
    </row>
    <row r="2398" ht="18" spans="1:11">
      <c r="A2398" s="10">
        <f t="shared" si="111"/>
        <v>2397</v>
      </c>
      <c r="B2398" s="11" t="s">
        <v>1233</v>
      </c>
      <c r="C2398" s="10" t="str">
        <f>IFERROR(INDEX(面试清单!D:D,MATCH(2397,面试清单!P:P,0)),"")</f>
        <v/>
      </c>
      <c r="D2398" s="11" t="s">
        <v>43</v>
      </c>
      <c r="E2398" s="11" t="s">
        <v>62</v>
      </c>
      <c r="F2398" s="11" t="s">
        <v>179</v>
      </c>
      <c r="G2398" s="15">
        <v>46176</v>
      </c>
      <c r="H2398" s="10" t="str">
        <f>IFERROR(INDEX(面试清单!H:H,MATCH(2397,面试清单!P:P,0)),"")</f>
        <v/>
      </c>
      <c r="I2398" s="13" t="s">
        <v>29</v>
      </c>
      <c r="J2398" s="10">
        <f ca="1" t="shared" si="112"/>
        <v>13</v>
      </c>
      <c r="K2398" s="10">
        <f ca="1" t="shared" si="113"/>
        <v>14</v>
      </c>
    </row>
    <row r="2399" ht="18" spans="1:11">
      <c r="A2399" s="14">
        <f t="shared" si="111"/>
        <v>2398</v>
      </c>
      <c r="B2399" s="11" t="s">
        <v>1116</v>
      </c>
      <c r="C2399" s="124" t="str">
        <f>IFERROR(INDEX(面试清单!D:D,MATCH(2398,面试清单!P:P,0)),"")</f>
        <v>0218</v>
      </c>
      <c r="D2399" s="11" t="s">
        <v>43</v>
      </c>
      <c r="E2399" s="11" t="s">
        <v>62</v>
      </c>
      <c r="F2399" s="11" t="s">
        <v>132</v>
      </c>
      <c r="G2399" s="15">
        <v>46176</v>
      </c>
      <c r="H2399" s="14" t="str">
        <f>IFERROR(INDEX(面试清单!H:H,MATCH(2398,面试清单!P:P,0)),"")</f>
        <v>线上</v>
      </c>
      <c r="I2399" s="13" t="s">
        <v>29</v>
      </c>
      <c r="J2399" s="14">
        <f ca="1" t="shared" si="112"/>
        <v>13</v>
      </c>
      <c r="K2399" s="14">
        <f ca="1" t="shared" si="113"/>
        <v>14</v>
      </c>
    </row>
    <row r="2400" ht="18" spans="1:11">
      <c r="A2400" s="10">
        <f t="shared" si="111"/>
        <v>2399</v>
      </c>
      <c r="B2400" s="11" t="s">
        <v>6228</v>
      </c>
      <c r="C2400" s="10" t="str">
        <f>IFERROR(INDEX(面试清单!D:D,MATCH(2399,面试清单!P:P,0)),"")</f>
        <v/>
      </c>
      <c r="D2400" s="11" t="s">
        <v>42</v>
      </c>
      <c r="E2400" s="11" t="s">
        <v>63</v>
      </c>
      <c r="F2400" s="11" t="s">
        <v>173</v>
      </c>
      <c r="G2400" s="15">
        <v>46176</v>
      </c>
      <c r="H2400" s="10" t="str">
        <f>IFERROR(INDEX(面试清单!H:H,MATCH(2399,面试清单!P:P,0)),"")</f>
        <v/>
      </c>
      <c r="I2400" s="13" t="s">
        <v>29</v>
      </c>
      <c r="J2400" s="10">
        <f ca="1" t="shared" si="112"/>
        <v>13</v>
      </c>
      <c r="K2400" s="10">
        <f ca="1" t="shared" si="113"/>
        <v>14</v>
      </c>
    </row>
    <row r="2401" ht="18" spans="1:11">
      <c r="A2401" s="14">
        <f t="shared" si="111"/>
        <v>2400</v>
      </c>
      <c r="B2401" s="11" t="s">
        <v>6229</v>
      </c>
      <c r="C2401" s="14" t="str">
        <f>IFERROR(INDEX(面试清单!D:D,MATCH(2400,面试清单!P:P,0)),"")</f>
        <v/>
      </c>
      <c r="D2401" s="11" t="s">
        <v>42</v>
      </c>
      <c r="E2401" s="11" t="s">
        <v>63</v>
      </c>
      <c r="F2401" s="11" t="s">
        <v>173</v>
      </c>
      <c r="G2401" s="15">
        <v>46176</v>
      </c>
      <c r="H2401" s="14" t="str">
        <f>IFERROR(INDEX(面试清单!H:H,MATCH(2400,面试清单!P:P,0)),"")</f>
        <v/>
      </c>
      <c r="I2401" s="13" t="s">
        <v>29</v>
      </c>
      <c r="J2401" s="14">
        <f ca="1" t="shared" si="112"/>
        <v>13</v>
      </c>
      <c r="K2401" s="14">
        <f ca="1" t="shared" si="113"/>
        <v>14</v>
      </c>
    </row>
    <row r="2402" ht="18" spans="1:11">
      <c r="A2402" s="10">
        <f t="shared" si="111"/>
        <v>2401</v>
      </c>
      <c r="B2402" s="11" t="s">
        <v>6230</v>
      </c>
      <c r="C2402" s="125" t="str">
        <f>IFERROR(INDEX(面试清单!D:D,MATCH(2401,面试清单!P:P,0)),"")</f>
        <v>0222</v>
      </c>
      <c r="D2402" s="11" t="s">
        <v>42</v>
      </c>
      <c r="E2402" s="11" t="s">
        <v>63</v>
      </c>
      <c r="F2402" s="11" t="s">
        <v>173</v>
      </c>
      <c r="G2402" s="15">
        <v>46176</v>
      </c>
      <c r="H2402" s="10" t="str">
        <f>IFERROR(INDEX(面试清单!H:H,MATCH(2401,面试清单!P:P,0)),"")</f>
        <v>线上</v>
      </c>
      <c r="I2402" s="13" t="s">
        <v>29</v>
      </c>
      <c r="J2402" s="10">
        <f ca="1" t="shared" si="112"/>
        <v>13</v>
      </c>
      <c r="K2402" s="10">
        <f ca="1" t="shared" si="113"/>
        <v>14</v>
      </c>
    </row>
    <row r="2403" ht="18" spans="1:11">
      <c r="A2403" s="14">
        <f t="shared" si="111"/>
        <v>2402</v>
      </c>
      <c r="B2403" s="11" t="s">
        <v>6231</v>
      </c>
      <c r="C2403" s="14" t="str">
        <f>IFERROR(INDEX(面试清单!D:D,MATCH(2402,面试清单!P:P,0)),"")</f>
        <v/>
      </c>
      <c r="D2403" s="11" t="s">
        <v>42</v>
      </c>
      <c r="E2403" s="11" t="s">
        <v>63</v>
      </c>
      <c r="F2403" s="11" t="s">
        <v>173</v>
      </c>
      <c r="G2403" s="15">
        <v>46176</v>
      </c>
      <c r="H2403" s="14" t="str">
        <f>IFERROR(INDEX(面试清单!H:H,MATCH(2402,面试清单!P:P,0)),"")</f>
        <v/>
      </c>
      <c r="I2403" s="13" t="s">
        <v>29</v>
      </c>
      <c r="J2403" s="14">
        <f ca="1" t="shared" si="112"/>
        <v>13</v>
      </c>
      <c r="K2403" s="14">
        <f ca="1" t="shared" si="113"/>
        <v>14</v>
      </c>
    </row>
    <row r="2404" ht="18" spans="1:11">
      <c r="A2404" s="10">
        <f t="shared" si="111"/>
        <v>2403</v>
      </c>
      <c r="B2404" s="11" t="s">
        <v>6232</v>
      </c>
      <c r="C2404" s="10" t="str">
        <f>IFERROR(INDEX(面试清单!D:D,MATCH(2403,面试清单!P:P,0)),"")</f>
        <v/>
      </c>
      <c r="D2404" s="11" t="s">
        <v>42</v>
      </c>
      <c r="E2404" s="11" t="s">
        <v>63</v>
      </c>
      <c r="F2404" s="11" t="s">
        <v>173</v>
      </c>
      <c r="G2404" s="15">
        <v>46176</v>
      </c>
      <c r="H2404" s="10" t="str">
        <f>IFERROR(INDEX(面试清单!H:H,MATCH(2403,面试清单!P:P,0)),"")</f>
        <v/>
      </c>
      <c r="I2404" s="13" t="s">
        <v>29</v>
      </c>
      <c r="J2404" s="10">
        <f ca="1" t="shared" si="112"/>
        <v>13</v>
      </c>
      <c r="K2404" s="10">
        <f ca="1" t="shared" si="113"/>
        <v>14</v>
      </c>
    </row>
    <row r="2405" ht="18" spans="1:11">
      <c r="A2405" s="14">
        <f t="shared" si="111"/>
        <v>2404</v>
      </c>
      <c r="B2405" s="11" t="s">
        <v>6233</v>
      </c>
      <c r="C2405" s="14" t="str">
        <f>IFERROR(INDEX(面试清单!D:D,MATCH(2404,面试清单!P:P,0)),"")</f>
        <v/>
      </c>
      <c r="D2405" s="11" t="s">
        <v>42</v>
      </c>
      <c r="E2405" s="11" t="s">
        <v>63</v>
      </c>
      <c r="F2405" s="11" t="s">
        <v>173</v>
      </c>
      <c r="G2405" s="15">
        <v>46176</v>
      </c>
      <c r="H2405" s="14" t="str">
        <f>IFERROR(INDEX(面试清单!H:H,MATCH(2404,面试清单!P:P,0)),"")</f>
        <v/>
      </c>
      <c r="I2405" s="13" t="s">
        <v>29</v>
      </c>
      <c r="J2405" s="14">
        <f ca="1" t="shared" si="112"/>
        <v>13</v>
      </c>
      <c r="K2405" s="14">
        <f ca="1" t="shared" si="113"/>
        <v>14</v>
      </c>
    </row>
    <row r="2406" ht="18" spans="1:11">
      <c r="A2406" s="10">
        <f t="shared" si="111"/>
        <v>2405</v>
      </c>
      <c r="B2406" s="11" t="s">
        <v>6234</v>
      </c>
      <c r="C2406" s="10" t="str">
        <f>IFERROR(INDEX(面试清单!D:D,MATCH(2405,面试清单!P:P,0)),"")</f>
        <v/>
      </c>
      <c r="D2406" s="11" t="s">
        <v>42</v>
      </c>
      <c r="E2406" s="11" t="s">
        <v>63</v>
      </c>
      <c r="F2406" s="11" t="s">
        <v>173</v>
      </c>
      <c r="G2406" s="15">
        <v>46176</v>
      </c>
      <c r="H2406" s="10" t="str">
        <f>IFERROR(INDEX(面试清单!H:H,MATCH(2405,面试清单!P:P,0)),"")</f>
        <v/>
      </c>
      <c r="I2406" s="13" t="s">
        <v>29</v>
      </c>
      <c r="J2406" s="10">
        <f ca="1" t="shared" si="112"/>
        <v>13</v>
      </c>
      <c r="K2406" s="10">
        <f ca="1" t="shared" si="113"/>
        <v>14</v>
      </c>
    </row>
    <row r="2407" ht="18" spans="1:11">
      <c r="A2407" s="14">
        <f t="shared" si="111"/>
        <v>2406</v>
      </c>
      <c r="B2407" s="11" t="s">
        <v>2814</v>
      </c>
      <c r="C2407" s="14" t="str">
        <f>IFERROR(INDEX(面试清单!D:D,MATCH(2406,面试清单!P:P,0)),"")</f>
        <v/>
      </c>
      <c r="D2407" s="11" t="s">
        <v>42</v>
      </c>
      <c r="E2407" s="11" t="s">
        <v>63</v>
      </c>
      <c r="F2407" s="11" t="s">
        <v>173</v>
      </c>
      <c r="G2407" s="15">
        <v>46176</v>
      </c>
      <c r="H2407" s="14" t="str">
        <f>IFERROR(INDEX(面试清单!H:H,MATCH(2406,面试清单!P:P,0)),"")</f>
        <v/>
      </c>
      <c r="I2407" s="13" t="s">
        <v>29</v>
      </c>
      <c r="J2407" s="14">
        <f ca="1" t="shared" si="112"/>
        <v>13</v>
      </c>
      <c r="K2407" s="14">
        <f ca="1" t="shared" si="113"/>
        <v>14</v>
      </c>
    </row>
    <row r="2408" ht="18" spans="1:11">
      <c r="A2408" s="10">
        <f t="shared" si="111"/>
        <v>2407</v>
      </c>
      <c r="B2408" s="11" t="s">
        <v>6235</v>
      </c>
      <c r="C2408" s="10" t="str">
        <f>IFERROR(INDEX(面试清单!D:D,MATCH(2407,面试清单!P:P,0)),"")</f>
        <v/>
      </c>
      <c r="D2408" s="11" t="s">
        <v>42</v>
      </c>
      <c r="E2408" s="11" t="s">
        <v>63</v>
      </c>
      <c r="F2408" s="11" t="s">
        <v>173</v>
      </c>
      <c r="G2408" s="15">
        <v>46176</v>
      </c>
      <c r="H2408" s="10" t="str">
        <f>IFERROR(INDEX(面试清单!H:H,MATCH(2407,面试清单!P:P,0)),"")</f>
        <v/>
      </c>
      <c r="I2408" s="13" t="s">
        <v>29</v>
      </c>
      <c r="J2408" s="10">
        <f ca="1" t="shared" si="112"/>
        <v>13</v>
      </c>
      <c r="K2408" s="10">
        <f ca="1" t="shared" si="113"/>
        <v>14</v>
      </c>
    </row>
    <row r="2409" ht="36" spans="1:11">
      <c r="A2409" s="14">
        <f t="shared" si="111"/>
        <v>2408</v>
      </c>
      <c r="B2409" s="11" t="s">
        <v>6236</v>
      </c>
      <c r="C2409" s="14" t="str">
        <f>IFERROR(INDEX(面试清单!D:D,MATCH(2408,面试清单!P:P,0)),"")</f>
        <v/>
      </c>
      <c r="D2409" s="11" t="s">
        <v>42</v>
      </c>
      <c r="E2409" s="11" t="s">
        <v>63</v>
      </c>
      <c r="F2409" s="11" t="s">
        <v>173</v>
      </c>
      <c r="G2409" s="15">
        <v>46176</v>
      </c>
      <c r="H2409" s="14" t="str">
        <f>IFERROR(INDEX(面试清单!H:H,MATCH(2408,面试清单!P:P,0)),"")</f>
        <v/>
      </c>
      <c r="I2409" s="13" t="s">
        <v>29</v>
      </c>
      <c r="J2409" s="14">
        <f ca="1" t="shared" si="112"/>
        <v>13</v>
      </c>
      <c r="K2409" s="14">
        <f ca="1" t="shared" si="113"/>
        <v>14</v>
      </c>
    </row>
    <row r="2410" ht="18" spans="1:11">
      <c r="A2410" s="10">
        <f t="shared" si="111"/>
        <v>2409</v>
      </c>
      <c r="B2410" s="11" t="s">
        <v>6237</v>
      </c>
      <c r="C2410" s="10" t="str">
        <f>IFERROR(INDEX(面试清单!D:D,MATCH(2409,面试清单!P:P,0)),"")</f>
        <v/>
      </c>
      <c r="D2410" s="11" t="s">
        <v>42</v>
      </c>
      <c r="E2410" s="11" t="s">
        <v>63</v>
      </c>
      <c r="F2410" s="11" t="s">
        <v>173</v>
      </c>
      <c r="G2410" s="15">
        <v>46176</v>
      </c>
      <c r="H2410" s="10" t="str">
        <f>IFERROR(INDEX(面试清单!H:H,MATCH(2409,面试清单!P:P,0)),"")</f>
        <v/>
      </c>
      <c r="I2410" s="13" t="s">
        <v>29</v>
      </c>
      <c r="J2410" s="10">
        <f ca="1" t="shared" si="112"/>
        <v>13</v>
      </c>
      <c r="K2410" s="10">
        <f ca="1" t="shared" si="113"/>
        <v>14</v>
      </c>
    </row>
    <row r="2411" ht="18" spans="1:11">
      <c r="A2411" s="14">
        <f t="shared" si="111"/>
        <v>2410</v>
      </c>
      <c r="B2411" s="11" t="s">
        <v>6238</v>
      </c>
      <c r="C2411" s="14" t="str">
        <f>IFERROR(INDEX(面试清单!D:D,MATCH(2410,面试清单!P:P,0)),"")</f>
        <v/>
      </c>
      <c r="D2411" s="11" t="s">
        <v>42</v>
      </c>
      <c r="E2411" s="11" t="s">
        <v>63</v>
      </c>
      <c r="F2411" s="11" t="s">
        <v>173</v>
      </c>
      <c r="G2411" s="15">
        <v>46176</v>
      </c>
      <c r="H2411" s="14" t="str">
        <f>IFERROR(INDEX(面试清单!H:H,MATCH(2410,面试清单!P:P,0)),"")</f>
        <v/>
      </c>
      <c r="I2411" s="13" t="s">
        <v>29</v>
      </c>
      <c r="J2411" s="14">
        <f ca="1" t="shared" si="112"/>
        <v>13</v>
      </c>
      <c r="K2411" s="14">
        <f ca="1" t="shared" si="113"/>
        <v>14</v>
      </c>
    </row>
    <row r="2412" ht="18" spans="1:11">
      <c r="A2412" s="10">
        <f t="shared" si="111"/>
        <v>2411</v>
      </c>
      <c r="B2412" s="11" t="s">
        <v>6239</v>
      </c>
      <c r="C2412" s="10" t="str">
        <f>IFERROR(INDEX(面试清单!D:D,MATCH(2411,面试清单!P:P,0)),"")</f>
        <v/>
      </c>
      <c r="D2412" s="11" t="s">
        <v>42</v>
      </c>
      <c r="E2412" s="11" t="s">
        <v>63</v>
      </c>
      <c r="F2412" s="11" t="s">
        <v>173</v>
      </c>
      <c r="G2412" s="15">
        <v>46176</v>
      </c>
      <c r="H2412" s="10" t="str">
        <f>IFERROR(INDEX(面试清单!H:H,MATCH(2411,面试清单!P:P,0)),"")</f>
        <v/>
      </c>
      <c r="I2412" s="13" t="s">
        <v>29</v>
      </c>
      <c r="J2412" s="10">
        <f ca="1" t="shared" si="112"/>
        <v>13</v>
      </c>
      <c r="K2412" s="10">
        <f ca="1" t="shared" si="113"/>
        <v>14</v>
      </c>
    </row>
    <row r="2413" ht="18" spans="1:11">
      <c r="A2413" s="14">
        <f t="shared" si="111"/>
        <v>2412</v>
      </c>
      <c r="B2413" s="11" t="s">
        <v>1105</v>
      </c>
      <c r="C2413" s="14" t="str">
        <f>IFERROR(INDEX(面试清单!D:D,MATCH(2412,面试清单!P:P,0)),"")</f>
        <v/>
      </c>
      <c r="D2413" s="11" t="s">
        <v>42</v>
      </c>
      <c r="E2413" s="11" t="s">
        <v>63</v>
      </c>
      <c r="F2413" s="11" t="s">
        <v>173</v>
      </c>
      <c r="G2413" s="15">
        <v>46176</v>
      </c>
      <c r="H2413" s="14" t="str">
        <f>IFERROR(INDEX(面试清单!H:H,MATCH(2412,面试清单!P:P,0)),"")</f>
        <v/>
      </c>
      <c r="I2413" s="13" t="s">
        <v>29</v>
      </c>
      <c r="J2413" s="14">
        <f ca="1" t="shared" si="112"/>
        <v>13</v>
      </c>
      <c r="K2413" s="14">
        <f ca="1" t="shared" si="113"/>
        <v>14</v>
      </c>
    </row>
    <row r="2414" ht="18" spans="1:11">
      <c r="A2414" s="10">
        <f t="shared" si="111"/>
        <v>2413</v>
      </c>
      <c r="B2414" s="11" t="s">
        <v>6240</v>
      </c>
      <c r="C2414" s="125" t="str">
        <f>IFERROR(INDEX(面试清单!D:D,MATCH(2413,面试清单!P:P,0)),"")</f>
        <v>0212</v>
      </c>
      <c r="D2414" s="11" t="s">
        <v>42</v>
      </c>
      <c r="E2414" s="11" t="s">
        <v>63</v>
      </c>
      <c r="F2414" s="11" t="s">
        <v>173</v>
      </c>
      <c r="G2414" s="15">
        <v>46176</v>
      </c>
      <c r="H2414" s="10" t="str">
        <f>IFERROR(INDEX(面试清单!H:H,MATCH(2413,面试清单!P:P,0)),"")</f>
        <v>线上</v>
      </c>
      <c r="I2414" s="13" t="s">
        <v>29</v>
      </c>
      <c r="J2414" s="10">
        <f ca="1" t="shared" si="112"/>
        <v>13</v>
      </c>
      <c r="K2414" s="10">
        <f ca="1" t="shared" si="113"/>
        <v>14</v>
      </c>
    </row>
    <row r="2415" ht="18" spans="1:11">
      <c r="A2415" s="14">
        <f t="shared" si="111"/>
        <v>2414</v>
      </c>
      <c r="B2415" s="11" t="s">
        <v>6241</v>
      </c>
      <c r="C2415" s="124" t="str">
        <f>IFERROR(INDEX(面试清单!D:D,MATCH(2414,面试清单!P:P,0)),"")</f>
        <v>0214</v>
      </c>
      <c r="D2415" s="11" t="s">
        <v>42</v>
      </c>
      <c r="E2415" s="11" t="s">
        <v>63</v>
      </c>
      <c r="F2415" s="11" t="s">
        <v>173</v>
      </c>
      <c r="G2415" s="15">
        <v>46176</v>
      </c>
      <c r="H2415" s="14" t="str">
        <f>IFERROR(INDEX(面试清单!H:H,MATCH(2414,面试清单!P:P,0)),"")</f>
        <v>线上</v>
      </c>
      <c r="I2415" s="13" t="s">
        <v>29</v>
      </c>
      <c r="J2415" s="14">
        <f ca="1" t="shared" si="112"/>
        <v>13</v>
      </c>
      <c r="K2415" s="14">
        <f ca="1" t="shared" si="113"/>
        <v>14</v>
      </c>
    </row>
    <row r="2416" ht="18" spans="1:11">
      <c r="A2416" s="10">
        <f t="shared" si="111"/>
        <v>2415</v>
      </c>
      <c r="B2416" s="11" t="s">
        <v>6242</v>
      </c>
      <c r="C2416" s="125" t="str">
        <f>IFERROR(INDEX(面试清单!D:D,MATCH(2415,面试清单!P:P,0)),"")</f>
        <v>0217</v>
      </c>
      <c r="D2416" s="11" t="s">
        <v>42</v>
      </c>
      <c r="E2416" s="11" t="s">
        <v>63</v>
      </c>
      <c r="F2416" s="11" t="s">
        <v>173</v>
      </c>
      <c r="G2416" s="15">
        <v>46176</v>
      </c>
      <c r="H2416" s="10" t="str">
        <f>IFERROR(INDEX(面试清单!H:H,MATCH(2415,面试清单!P:P,0)),"")</f>
        <v>线上</v>
      </c>
      <c r="I2416" s="13" t="s">
        <v>29</v>
      </c>
      <c r="J2416" s="10">
        <f ca="1" t="shared" si="112"/>
        <v>13</v>
      </c>
      <c r="K2416" s="10">
        <f ca="1" t="shared" si="113"/>
        <v>14</v>
      </c>
    </row>
    <row r="2417" ht="18" spans="1:11">
      <c r="A2417" s="14">
        <f t="shared" si="111"/>
        <v>2416</v>
      </c>
      <c r="B2417" s="11" t="s">
        <v>6243</v>
      </c>
      <c r="C2417" s="124" t="str">
        <f>IFERROR(INDEX(面试清单!D:D,MATCH(2416,面试清单!P:P,0)),"")</f>
        <v>0218</v>
      </c>
      <c r="D2417" s="11" t="s">
        <v>42</v>
      </c>
      <c r="E2417" s="11" t="s">
        <v>63</v>
      </c>
      <c r="F2417" s="11" t="s">
        <v>173</v>
      </c>
      <c r="G2417" s="15">
        <v>46176</v>
      </c>
      <c r="H2417" s="14" t="str">
        <f>IFERROR(INDEX(面试清单!H:H,MATCH(2416,面试清单!P:P,0)),"")</f>
        <v>线上</v>
      </c>
      <c r="I2417" s="13" t="s">
        <v>29</v>
      </c>
      <c r="J2417" s="14">
        <f ca="1" t="shared" si="112"/>
        <v>13</v>
      </c>
      <c r="K2417" s="14">
        <f ca="1" t="shared" si="113"/>
        <v>14</v>
      </c>
    </row>
    <row r="2418" ht="18" spans="1:11">
      <c r="A2418" s="10">
        <f t="shared" si="111"/>
        <v>2417</v>
      </c>
      <c r="B2418" s="11" t="s">
        <v>6244</v>
      </c>
      <c r="C2418" s="10" t="str">
        <f>IFERROR(INDEX(面试清单!D:D,MATCH(2417,面试清单!P:P,0)),"")</f>
        <v/>
      </c>
      <c r="D2418" s="11" t="s">
        <v>42</v>
      </c>
      <c r="E2418" s="11" t="s">
        <v>63</v>
      </c>
      <c r="F2418" s="11" t="s">
        <v>173</v>
      </c>
      <c r="G2418" s="15">
        <v>46176</v>
      </c>
      <c r="H2418" s="10" t="str">
        <f>IFERROR(INDEX(面试清单!H:H,MATCH(2417,面试清单!P:P,0)),"")</f>
        <v/>
      </c>
      <c r="I2418" s="13" t="s">
        <v>29</v>
      </c>
      <c r="J2418" s="10">
        <f ca="1" t="shared" si="112"/>
        <v>13</v>
      </c>
      <c r="K2418" s="10">
        <f ca="1" t="shared" si="113"/>
        <v>14</v>
      </c>
    </row>
    <row r="2419" ht="18" spans="1:11">
      <c r="A2419" s="14">
        <f t="shared" si="111"/>
        <v>2418</v>
      </c>
      <c r="B2419" s="11" t="s">
        <v>6245</v>
      </c>
      <c r="C2419" s="124" t="str">
        <f>IFERROR(INDEX(面试清单!D:D,MATCH(2418,面试清单!P:P,0)),"")</f>
        <v>0221</v>
      </c>
      <c r="D2419" s="11" t="s">
        <v>42</v>
      </c>
      <c r="E2419" s="11" t="s">
        <v>64</v>
      </c>
      <c r="F2419" s="11" t="s">
        <v>173</v>
      </c>
      <c r="G2419" s="15">
        <v>46176</v>
      </c>
      <c r="H2419" s="14" t="str">
        <f>IFERROR(INDEX(面试清单!H:H,MATCH(2418,面试清单!P:P,0)),"")</f>
        <v>线上</v>
      </c>
      <c r="I2419" s="13" t="s">
        <v>29</v>
      </c>
      <c r="J2419" s="14">
        <f ca="1" t="shared" si="112"/>
        <v>13</v>
      </c>
      <c r="K2419" s="14">
        <f ca="1" t="shared" si="113"/>
        <v>14</v>
      </c>
    </row>
    <row r="2420" ht="18" spans="1:11">
      <c r="A2420" s="10">
        <f t="shared" si="111"/>
        <v>2419</v>
      </c>
      <c r="B2420" s="11" t="s">
        <v>6246</v>
      </c>
      <c r="C2420" s="10" t="str">
        <f>IFERROR(INDEX(面试清单!D:D,MATCH(2419,面试清单!P:P,0)),"")</f>
        <v/>
      </c>
      <c r="D2420" s="11" t="s">
        <v>42</v>
      </c>
      <c r="E2420" s="11" t="s">
        <v>64</v>
      </c>
      <c r="F2420" s="11" t="s">
        <v>173</v>
      </c>
      <c r="G2420" s="15">
        <v>46176</v>
      </c>
      <c r="H2420" s="10" t="str">
        <f>IFERROR(INDEX(面试清单!H:H,MATCH(2419,面试清单!P:P,0)),"")</f>
        <v/>
      </c>
      <c r="I2420" s="13" t="s">
        <v>29</v>
      </c>
      <c r="J2420" s="10">
        <f ca="1" t="shared" si="112"/>
        <v>13</v>
      </c>
      <c r="K2420" s="10">
        <f ca="1" t="shared" si="113"/>
        <v>14</v>
      </c>
    </row>
    <row r="2421" ht="18" spans="1:11">
      <c r="A2421" s="14">
        <f t="shared" si="111"/>
        <v>2420</v>
      </c>
      <c r="B2421" s="11" t="s">
        <v>6247</v>
      </c>
      <c r="C2421" s="14" t="str">
        <f>IFERROR(INDEX(面试清单!D:D,MATCH(2420,面试清单!P:P,0)),"")</f>
        <v/>
      </c>
      <c r="D2421" s="11" t="s">
        <v>42</v>
      </c>
      <c r="E2421" s="11" t="s">
        <v>64</v>
      </c>
      <c r="F2421" s="11" t="s">
        <v>173</v>
      </c>
      <c r="G2421" s="15">
        <v>46176</v>
      </c>
      <c r="H2421" s="14" t="str">
        <f>IFERROR(INDEX(面试清单!H:H,MATCH(2420,面试清单!P:P,0)),"")</f>
        <v/>
      </c>
      <c r="I2421" s="13" t="s">
        <v>29</v>
      </c>
      <c r="J2421" s="14">
        <f ca="1" t="shared" si="112"/>
        <v>13</v>
      </c>
      <c r="K2421" s="14">
        <f ca="1" t="shared" si="113"/>
        <v>14</v>
      </c>
    </row>
    <row r="2422" ht="18" spans="1:11">
      <c r="A2422" s="10">
        <f t="shared" si="111"/>
        <v>2421</v>
      </c>
      <c r="B2422" s="11" t="s">
        <v>6248</v>
      </c>
      <c r="C2422" s="10" t="str">
        <f>IFERROR(INDEX(面试清单!D:D,MATCH(2421,面试清单!P:P,0)),"")</f>
        <v/>
      </c>
      <c r="D2422" s="11" t="s">
        <v>42</v>
      </c>
      <c r="E2422" s="11" t="s">
        <v>64</v>
      </c>
      <c r="F2422" s="11" t="s">
        <v>173</v>
      </c>
      <c r="G2422" s="15">
        <v>46176</v>
      </c>
      <c r="H2422" s="10" t="str">
        <f>IFERROR(INDEX(面试清单!H:H,MATCH(2421,面试清单!P:P,0)),"")</f>
        <v/>
      </c>
      <c r="I2422" s="13" t="s">
        <v>29</v>
      </c>
      <c r="J2422" s="10">
        <f ca="1" t="shared" si="112"/>
        <v>13</v>
      </c>
      <c r="K2422" s="10">
        <f ca="1" t="shared" si="113"/>
        <v>14</v>
      </c>
    </row>
    <row r="2423" ht="18" spans="1:11">
      <c r="A2423" s="14">
        <f t="shared" si="111"/>
        <v>2422</v>
      </c>
      <c r="B2423" s="11" t="s">
        <v>6249</v>
      </c>
      <c r="C2423" s="14" t="str">
        <f>IFERROR(INDEX(面试清单!D:D,MATCH(2422,面试清单!P:P,0)),"")</f>
        <v/>
      </c>
      <c r="D2423" s="11" t="s">
        <v>43</v>
      </c>
      <c r="E2423" s="11" t="s">
        <v>63</v>
      </c>
      <c r="F2423" s="11" t="s">
        <v>173</v>
      </c>
      <c r="G2423" s="15">
        <v>46176</v>
      </c>
      <c r="H2423" s="14" t="str">
        <f>IFERROR(INDEX(面试清单!H:H,MATCH(2422,面试清单!P:P,0)),"")</f>
        <v/>
      </c>
      <c r="I2423" s="13" t="s">
        <v>29</v>
      </c>
      <c r="J2423" s="14">
        <f ca="1" t="shared" si="112"/>
        <v>13</v>
      </c>
      <c r="K2423" s="14">
        <f ca="1" t="shared" si="113"/>
        <v>14</v>
      </c>
    </row>
    <row r="2424" ht="18" spans="1:11">
      <c r="A2424" s="10">
        <f t="shared" si="111"/>
        <v>2423</v>
      </c>
      <c r="B2424" s="11" t="s">
        <v>6250</v>
      </c>
      <c r="C2424" s="10" t="str">
        <f>IFERROR(INDEX(面试清单!D:D,MATCH(2423,面试清单!P:P,0)),"")</f>
        <v/>
      </c>
      <c r="D2424" s="11" t="s">
        <v>42</v>
      </c>
      <c r="E2424" s="11" t="s">
        <v>63</v>
      </c>
      <c r="F2424" s="11" t="s">
        <v>176</v>
      </c>
      <c r="G2424" s="15">
        <v>46176</v>
      </c>
      <c r="H2424" s="10" t="str">
        <f>IFERROR(INDEX(面试清单!H:H,MATCH(2423,面试清单!P:P,0)),"")</f>
        <v/>
      </c>
      <c r="I2424" s="13" t="s">
        <v>29</v>
      </c>
      <c r="J2424" s="10">
        <f ca="1" t="shared" si="112"/>
        <v>13</v>
      </c>
      <c r="K2424" s="10">
        <f ca="1" t="shared" si="113"/>
        <v>14</v>
      </c>
    </row>
    <row r="2425" ht="18" spans="1:11">
      <c r="A2425" s="14">
        <f t="shared" si="111"/>
        <v>2424</v>
      </c>
      <c r="B2425" s="11" t="s">
        <v>1183</v>
      </c>
      <c r="C2425" s="124" t="str">
        <f>IFERROR(INDEX(面试清单!D:D,MATCH(2424,面试清单!P:P,0)),"")</f>
        <v>0217</v>
      </c>
      <c r="D2425" s="11" t="s">
        <v>42</v>
      </c>
      <c r="E2425" s="11" t="s">
        <v>62</v>
      </c>
      <c r="F2425" s="11" t="s">
        <v>103</v>
      </c>
      <c r="G2425" s="15">
        <v>46176</v>
      </c>
      <c r="H2425" s="14" t="str">
        <f>IFERROR(INDEX(面试清单!H:H,MATCH(2424,面试清单!P:P,0)),"")</f>
        <v>线上</v>
      </c>
      <c r="I2425" s="13" t="s">
        <v>29</v>
      </c>
      <c r="J2425" s="14">
        <f ca="1" t="shared" si="112"/>
        <v>13</v>
      </c>
      <c r="K2425" s="14">
        <f ca="1" t="shared" si="113"/>
        <v>14</v>
      </c>
    </row>
    <row r="2426" ht="18" spans="1:11">
      <c r="A2426" s="10">
        <f t="shared" si="111"/>
        <v>2425</v>
      </c>
      <c r="B2426" s="11" t="s">
        <v>1184</v>
      </c>
      <c r="C2426" s="10" t="str">
        <f>IFERROR(INDEX(面试清单!D:D,MATCH(2425,面试清单!P:P,0)),"")</f>
        <v/>
      </c>
      <c r="D2426" s="11" t="s">
        <v>42</v>
      </c>
      <c r="E2426" s="11" t="s">
        <v>63</v>
      </c>
      <c r="F2426" s="11" t="s">
        <v>103</v>
      </c>
      <c r="G2426" s="15">
        <v>46176</v>
      </c>
      <c r="H2426" s="10" t="str">
        <f>IFERROR(INDEX(面试清单!H:H,MATCH(2425,面试清单!P:P,0)),"")</f>
        <v/>
      </c>
      <c r="I2426" s="13" t="s">
        <v>29</v>
      </c>
      <c r="J2426" s="10">
        <f ca="1" t="shared" si="112"/>
        <v>13</v>
      </c>
      <c r="K2426" s="10">
        <f ca="1" t="shared" si="113"/>
        <v>14</v>
      </c>
    </row>
    <row r="2427" ht="18" spans="1:11">
      <c r="A2427" s="14">
        <f t="shared" si="111"/>
        <v>2426</v>
      </c>
      <c r="B2427" s="11" t="s">
        <v>6251</v>
      </c>
      <c r="C2427" s="14" t="str">
        <f>IFERROR(INDEX(面试清单!D:D,MATCH(2426,面试清单!P:P,0)),"")</f>
        <v/>
      </c>
      <c r="D2427" s="11" t="s">
        <v>42</v>
      </c>
      <c r="E2427" s="11" t="s">
        <v>63</v>
      </c>
      <c r="F2427" s="11" t="s">
        <v>103</v>
      </c>
      <c r="G2427" s="15">
        <v>46176</v>
      </c>
      <c r="H2427" s="14" t="str">
        <f>IFERROR(INDEX(面试清单!H:H,MATCH(2426,面试清单!P:P,0)),"")</f>
        <v/>
      </c>
      <c r="I2427" s="13" t="s">
        <v>29</v>
      </c>
      <c r="J2427" s="14">
        <f ca="1" t="shared" si="112"/>
        <v>13</v>
      </c>
      <c r="K2427" s="14">
        <f ca="1" t="shared" si="113"/>
        <v>14</v>
      </c>
    </row>
    <row r="2428" ht="18" spans="1:11">
      <c r="A2428" s="10">
        <f t="shared" si="111"/>
        <v>2427</v>
      </c>
      <c r="B2428" s="11" t="s">
        <v>6252</v>
      </c>
      <c r="C2428" s="10" t="str">
        <f>IFERROR(INDEX(面试清单!D:D,MATCH(2427,面试清单!P:P,0)),"")</f>
        <v/>
      </c>
      <c r="D2428" s="11" t="s">
        <v>42</v>
      </c>
      <c r="E2428" s="11" t="s">
        <v>63</v>
      </c>
      <c r="F2428" s="11" t="s">
        <v>103</v>
      </c>
      <c r="G2428" s="15">
        <v>46176</v>
      </c>
      <c r="H2428" s="10" t="str">
        <f>IFERROR(INDEX(面试清单!H:H,MATCH(2427,面试清单!P:P,0)),"")</f>
        <v/>
      </c>
      <c r="I2428" s="13" t="s">
        <v>29</v>
      </c>
      <c r="J2428" s="10">
        <f ca="1" t="shared" si="112"/>
        <v>13</v>
      </c>
      <c r="K2428" s="10">
        <f ca="1" t="shared" si="113"/>
        <v>14</v>
      </c>
    </row>
    <row r="2429" ht="18" spans="1:11">
      <c r="A2429" s="14">
        <f t="shared" si="111"/>
        <v>2428</v>
      </c>
      <c r="B2429" s="11" t="s">
        <v>1227</v>
      </c>
      <c r="C2429" s="14" t="str">
        <f>IFERROR(INDEX(面试清单!D:D,MATCH(2428,面试清单!P:P,0)),"")</f>
        <v/>
      </c>
      <c r="D2429" s="11" t="s">
        <v>43</v>
      </c>
      <c r="E2429" s="11" t="s">
        <v>62</v>
      </c>
      <c r="F2429" s="11" t="s">
        <v>468</v>
      </c>
      <c r="G2429" s="15">
        <v>46176</v>
      </c>
      <c r="H2429" s="14" t="str">
        <f>IFERROR(INDEX(面试清单!H:H,MATCH(2428,面试清单!P:P,0)),"")</f>
        <v/>
      </c>
      <c r="I2429" s="13" t="s">
        <v>29</v>
      </c>
      <c r="J2429" s="14">
        <f ca="1" t="shared" si="112"/>
        <v>13</v>
      </c>
      <c r="K2429" s="14">
        <f ca="1" t="shared" si="113"/>
        <v>14</v>
      </c>
    </row>
    <row r="2430" ht="18" spans="1:11">
      <c r="A2430" s="10">
        <f t="shared" si="111"/>
        <v>2429</v>
      </c>
      <c r="B2430" s="11" t="s">
        <v>1228</v>
      </c>
      <c r="C2430" s="10" t="str">
        <f>IFERROR(INDEX(面试清单!D:D,MATCH(2429,面试清单!P:P,0)),"")</f>
        <v/>
      </c>
      <c r="D2430" s="11" t="s">
        <v>43</v>
      </c>
      <c r="E2430" s="11" t="s">
        <v>62</v>
      </c>
      <c r="F2430" s="11" t="s">
        <v>468</v>
      </c>
      <c r="G2430" s="15">
        <v>46176</v>
      </c>
      <c r="H2430" s="10" t="str">
        <f>IFERROR(INDEX(面试清单!H:H,MATCH(2429,面试清单!P:P,0)),"")</f>
        <v/>
      </c>
      <c r="I2430" s="13" t="s">
        <v>29</v>
      </c>
      <c r="J2430" s="10">
        <f ca="1" t="shared" si="112"/>
        <v>13</v>
      </c>
      <c r="K2430" s="10">
        <f ca="1" t="shared" si="113"/>
        <v>14</v>
      </c>
    </row>
    <row r="2431" ht="18" spans="1:11">
      <c r="A2431" s="14">
        <f t="shared" si="111"/>
        <v>2430</v>
      </c>
      <c r="B2431" s="11" t="s">
        <v>6253</v>
      </c>
      <c r="C2431" s="124" t="str">
        <f>IFERROR(INDEX(面试清单!D:D,MATCH(2430,面试清单!P:P,0)),"")</f>
        <v>0208</v>
      </c>
      <c r="D2431" s="11" t="s">
        <v>42</v>
      </c>
      <c r="E2431" s="11" t="s">
        <v>62</v>
      </c>
      <c r="F2431" s="11" t="s">
        <v>1166</v>
      </c>
      <c r="G2431" s="15">
        <v>46176</v>
      </c>
      <c r="H2431" s="14" t="str">
        <f>IFERROR(INDEX(面试清单!H:H,MATCH(2430,面试清单!P:P,0)),"")</f>
        <v>线上</v>
      </c>
      <c r="I2431" s="13" t="s">
        <v>29</v>
      </c>
      <c r="J2431" s="14">
        <f ca="1" t="shared" si="112"/>
        <v>13</v>
      </c>
      <c r="K2431" s="14">
        <f ca="1" t="shared" si="113"/>
        <v>14</v>
      </c>
    </row>
    <row r="2432" ht="18" spans="1:11">
      <c r="A2432" s="10">
        <f t="shared" si="111"/>
        <v>2431</v>
      </c>
      <c r="B2432" s="11" t="s">
        <v>6254</v>
      </c>
      <c r="C2432" s="10" t="str">
        <f>IFERROR(INDEX(面试清单!D:D,MATCH(2431,面试清单!P:P,0)),"")</f>
        <v/>
      </c>
      <c r="D2432" s="11" t="s">
        <v>42</v>
      </c>
      <c r="E2432" s="11" t="s">
        <v>62</v>
      </c>
      <c r="F2432" s="11" t="s">
        <v>1166</v>
      </c>
      <c r="G2432" s="15">
        <v>46176</v>
      </c>
      <c r="H2432" s="10" t="str">
        <f>IFERROR(INDEX(面试清单!H:H,MATCH(2431,面试清单!P:P,0)),"")</f>
        <v/>
      </c>
      <c r="I2432" s="13" t="s">
        <v>29</v>
      </c>
      <c r="J2432" s="10">
        <f ca="1" t="shared" si="112"/>
        <v>13</v>
      </c>
      <c r="K2432" s="10">
        <f ca="1" t="shared" si="113"/>
        <v>14</v>
      </c>
    </row>
    <row r="2433" ht="18" spans="1:11">
      <c r="A2433" s="14">
        <f t="shared" si="111"/>
        <v>2432</v>
      </c>
      <c r="B2433" s="11" t="s">
        <v>1160</v>
      </c>
      <c r="C2433" s="124" t="str">
        <f>IFERROR(INDEX(面试清单!D:D,MATCH(2432,面试清单!P:P,0)),"")</f>
        <v>0212</v>
      </c>
      <c r="D2433" s="11" t="s">
        <v>42</v>
      </c>
      <c r="E2433" s="11" t="s">
        <v>63</v>
      </c>
      <c r="F2433" s="11" t="s">
        <v>176</v>
      </c>
      <c r="G2433" s="15">
        <v>46176</v>
      </c>
      <c r="H2433" s="14" t="str">
        <f>IFERROR(INDEX(面试清单!H:H,MATCH(2432,面试清单!P:P,0)),"")</f>
        <v>线上</v>
      </c>
      <c r="I2433" s="13" t="s">
        <v>29</v>
      </c>
      <c r="J2433" s="14">
        <f ca="1" t="shared" si="112"/>
        <v>13</v>
      </c>
      <c r="K2433" s="14">
        <f ca="1" t="shared" si="113"/>
        <v>14</v>
      </c>
    </row>
    <row r="2434" ht="18" spans="1:11">
      <c r="A2434" s="10">
        <f t="shared" ref="A2434:A2497" si="114">IF(B2434&lt;&gt;"",ROW()-1,"")</f>
        <v>2433</v>
      </c>
      <c r="B2434" s="11" t="s">
        <v>6255</v>
      </c>
      <c r="C2434" s="125" t="str">
        <f>IFERROR(INDEX(面试清单!D:D,MATCH(2433,面试清单!P:P,0)),"")</f>
        <v>0214</v>
      </c>
      <c r="D2434" s="11" t="s">
        <v>43</v>
      </c>
      <c r="E2434" s="11" t="s">
        <v>62</v>
      </c>
      <c r="F2434" s="11" t="s">
        <v>233</v>
      </c>
      <c r="G2434" s="15">
        <v>46176</v>
      </c>
      <c r="H2434" s="10" t="str">
        <f>IFERROR(INDEX(面试清单!H:H,MATCH(2433,面试清单!P:P,0)),"")</f>
        <v>线上</v>
      </c>
      <c r="I2434" s="13" t="s">
        <v>29</v>
      </c>
      <c r="J2434" s="10">
        <f ca="1" t="shared" ref="J2434:J2497" si="115">IF(G2434&lt;&gt;"",TODAY()-G2434,"")</f>
        <v>13</v>
      </c>
      <c r="K2434" s="10">
        <f ca="1" t="shared" ref="K2434:K2497" si="116">IF(G2434&lt;&gt;"",MAX(0,MIN(TODAY(),EOMONTH(TODAY(),0))-MAX(G2434,EOMONTH(TODAY(),-1)+1)+1),"")</f>
        <v>14</v>
      </c>
    </row>
    <row r="2435" ht="18" spans="1:11">
      <c r="A2435" s="14">
        <f t="shared" si="114"/>
        <v>2434</v>
      </c>
      <c r="B2435" s="11" t="s">
        <v>439</v>
      </c>
      <c r="C2435" s="124" t="str">
        <f>IFERROR(INDEX(面试清单!D:D,MATCH(2434,面试清单!P:P,0)),"")</f>
        <v>0217</v>
      </c>
      <c r="D2435" s="11" t="s">
        <v>43</v>
      </c>
      <c r="E2435" s="11" t="s">
        <v>62</v>
      </c>
      <c r="F2435" s="11" t="s">
        <v>117</v>
      </c>
      <c r="G2435" s="15">
        <v>46176</v>
      </c>
      <c r="H2435" s="14" t="str">
        <f>IFERROR(INDEX(面试清单!H:H,MATCH(2434,面试清单!P:P,0)),"")</f>
        <v>线上</v>
      </c>
      <c r="I2435" s="13" t="s">
        <v>29</v>
      </c>
      <c r="J2435" s="14">
        <f ca="1" t="shared" si="115"/>
        <v>13</v>
      </c>
      <c r="K2435" s="14">
        <f ca="1" t="shared" si="116"/>
        <v>14</v>
      </c>
    </row>
    <row r="2436" ht="18" spans="1:11">
      <c r="A2436" s="10">
        <f t="shared" si="114"/>
        <v>2435</v>
      </c>
      <c r="B2436" s="11" t="s">
        <v>443</v>
      </c>
      <c r="C2436" s="10" t="str">
        <f>IFERROR(INDEX(面试清单!D:D,MATCH(2435,面试清单!P:P,0)),"")</f>
        <v/>
      </c>
      <c r="D2436" s="11" t="s">
        <v>42</v>
      </c>
      <c r="E2436" s="11" t="s">
        <v>63</v>
      </c>
      <c r="F2436" s="11" t="s">
        <v>117</v>
      </c>
      <c r="G2436" s="15">
        <v>46176</v>
      </c>
      <c r="H2436" s="10" t="str">
        <f>IFERROR(INDEX(面试清单!H:H,MATCH(2435,面试清单!P:P,0)),"")</f>
        <v/>
      </c>
      <c r="I2436" s="13" t="s">
        <v>29</v>
      </c>
      <c r="J2436" s="10">
        <f ca="1" t="shared" si="115"/>
        <v>13</v>
      </c>
      <c r="K2436" s="10">
        <f ca="1" t="shared" si="116"/>
        <v>14</v>
      </c>
    </row>
    <row r="2437" ht="18" spans="1:11">
      <c r="A2437" s="14">
        <f t="shared" si="114"/>
        <v>2436</v>
      </c>
      <c r="B2437" s="11" t="s">
        <v>445</v>
      </c>
      <c r="C2437" s="14" t="str">
        <f>IFERROR(INDEX(面试清单!D:D,MATCH(2436,面试清单!P:P,0)),"")</f>
        <v/>
      </c>
      <c r="D2437" s="11" t="s">
        <v>42</v>
      </c>
      <c r="E2437" s="11" t="s">
        <v>63</v>
      </c>
      <c r="F2437" s="11" t="s">
        <v>117</v>
      </c>
      <c r="G2437" s="15">
        <v>46176</v>
      </c>
      <c r="H2437" s="14" t="str">
        <f>IFERROR(INDEX(面试清单!H:H,MATCH(2436,面试清单!P:P,0)),"")</f>
        <v/>
      </c>
      <c r="I2437" s="13" t="s">
        <v>29</v>
      </c>
      <c r="J2437" s="14">
        <f ca="1" t="shared" si="115"/>
        <v>13</v>
      </c>
      <c r="K2437" s="14">
        <f ca="1" t="shared" si="116"/>
        <v>14</v>
      </c>
    </row>
    <row r="2438" ht="18" spans="1:11">
      <c r="A2438" s="10">
        <f t="shared" si="114"/>
        <v>2437</v>
      </c>
      <c r="B2438" s="11" t="s">
        <v>400</v>
      </c>
      <c r="C2438" s="10" t="str">
        <f>IFERROR(INDEX(面试清单!D:D,MATCH(2437,面试清单!P:P,0)),"")</f>
        <v/>
      </c>
      <c r="D2438" s="11" t="s">
        <v>74</v>
      </c>
      <c r="E2438" s="11" t="s">
        <v>64</v>
      </c>
      <c r="F2438" s="11" t="s">
        <v>124</v>
      </c>
      <c r="G2438" s="15">
        <v>46176</v>
      </c>
      <c r="H2438" s="10" t="str">
        <f>IFERROR(INDEX(面试清单!H:H,MATCH(2437,面试清单!P:P,0)),"")</f>
        <v/>
      </c>
      <c r="I2438" s="13" t="s">
        <v>29</v>
      </c>
      <c r="J2438" s="10">
        <f ca="1" t="shared" si="115"/>
        <v>13</v>
      </c>
      <c r="K2438" s="10">
        <f ca="1" t="shared" si="116"/>
        <v>14</v>
      </c>
    </row>
    <row r="2439" ht="18" spans="1:11">
      <c r="A2439" s="14">
        <f t="shared" si="114"/>
        <v>2438</v>
      </c>
      <c r="B2439" s="11" t="s">
        <v>450</v>
      </c>
      <c r="C2439" s="14" t="str">
        <f>IFERROR(INDEX(面试清单!D:D,MATCH(2438,面试清单!P:P,0)),"")</f>
        <v/>
      </c>
      <c r="D2439" s="11" t="s">
        <v>42</v>
      </c>
      <c r="E2439" s="11" t="s">
        <v>63</v>
      </c>
      <c r="F2439" s="11" t="s">
        <v>246</v>
      </c>
      <c r="G2439" s="15">
        <v>46176</v>
      </c>
      <c r="H2439" s="14" t="str">
        <f>IFERROR(INDEX(面试清单!H:H,MATCH(2438,面试清单!P:P,0)),"")</f>
        <v/>
      </c>
      <c r="I2439" s="13" t="s">
        <v>29</v>
      </c>
      <c r="J2439" s="14">
        <f ca="1" t="shared" si="115"/>
        <v>13</v>
      </c>
      <c r="K2439" s="14">
        <f ca="1" t="shared" si="116"/>
        <v>14</v>
      </c>
    </row>
    <row r="2440" ht="18" spans="1:11">
      <c r="A2440" s="10">
        <f t="shared" si="114"/>
        <v>2439</v>
      </c>
      <c r="B2440" s="11" t="s">
        <v>452</v>
      </c>
      <c r="C2440" s="10" t="str">
        <f>IFERROR(INDEX(面试清单!D:D,MATCH(2439,面试清单!P:P,0)),"")</f>
        <v/>
      </c>
      <c r="D2440" s="11" t="s">
        <v>42</v>
      </c>
      <c r="E2440" s="11" t="s">
        <v>64</v>
      </c>
      <c r="F2440" s="11" t="s">
        <v>312</v>
      </c>
      <c r="G2440" s="15">
        <v>46176</v>
      </c>
      <c r="H2440" s="10" t="str">
        <f>IFERROR(INDEX(面试清单!H:H,MATCH(2439,面试清单!P:P,0)),"")</f>
        <v/>
      </c>
      <c r="I2440" s="13" t="s">
        <v>29</v>
      </c>
      <c r="J2440" s="10">
        <f ca="1" t="shared" si="115"/>
        <v>13</v>
      </c>
      <c r="K2440" s="10">
        <f ca="1" t="shared" si="116"/>
        <v>14</v>
      </c>
    </row>
    <row r="2441" ht="18" spans="1:11">
      <c r="A2441" s="14">
        <f t="shared" si="114"/>
        <v>2440</v>
      </c>
      <c r="B2441" s="11" t="s">
        <v>458</v>
      </c>
      <c r="C2441" s="14" t="str">
        <f>IFERROR(INDEX(面试清单!D:D,MATCH(2440,面试清单!P:P,0)),"")</f>
        <v/>
      </c>
      <c r="D2441" s="11" t="s">
        <v>43</v>
      </c>
      <c r="E2441" s="11" t="s">
        <v>62</v>
      </c>
      <c r="F2441" s="11" t="s">
        <v>148</v>
      </c>
      <c r="G2441" s="15">
        <v>46176</v>
      </c>
      <c r="H2441" s="14" t="str">
        <f>IFERROR(INDEX(面试清单!H:H,MATCH(2440,面试清单!P:P,0)),"")</f>
        <v/>
      </c>
      <c r="I2441" s="13" t="s">
        <v>29</v>
      </c>
      <c r="J2441" s="14">
        <f ca="1" t="shared" si="115"/>
        <v>13</v>
      </c>
      <c r="K2441" s="14">
        <f ca="1" t="shared" si="116"/>
        <v>14</v>
      </c>
    </row>
    <row r="2442" ht="18" spans="1:11">
      <c r="A2442" s="10">
        <f t="shared" si="114"/>
        <v>2441</v>
      </c>
      <c r="B2442" s="11" t="s">
        <v>1103</v>
      </c>
      <c r="C2442" s="10" t="str">
        <f>IFERROR(INDEX(面试清单!D:D,MATCH(2441,面试清单!P:P,0)),"")</f>
        <v/>
      </c>
      <c r="D2442" s="11" t="s">
        <v>43</v>
      </c>
      <c r="E2442" s="11" t="s">
        <v>62</v>
      </c>
      <c r="F2442" s="11" t="s">
        <v>148</v>
      </c>
      <c r="G2442" s="15">
        <v>46176</v>
      </c>
      <c r="H2442" s="10" t="str">
        <f>IFERROR(INDEX(面试清单!H:H,MATCH(2441,面试清单!P:P,0)),"")</f>
        <v/>
      </c>
      <c r="I2442" s="13" t="s">
        <v>29</v>
      </c>
      <c r="J2442" s="10">
        <f ca="1" t="shared" si="115"/>
        <v>13</v>
      </c>
      <c r="K2442" s="10">
        <f ca="1" t="shared" si="116"/>
        <v>14</v>
      </c>
    </row>
    <row r="2443" ht="18" spans="1:11">
      <c r="A2443" s="14">
        <f t="shared" si="114"/>
        <v>2442</v>
      </c>
      <c r="B2443" s="11" t="s">
        <v>1172</v>
      </c>
      <c r="C2443" s="14" t="str">
        <f>IFERROR(INDEX(面试清单!D:D,MATCH(2442,面试清单!P:P,0)),"")</f>
        <v/>
      </c>
      <c r="D2443" s="11" t="s">
        <v>42</v>
      </c>
      <c r="E2443" s="11" t="s">
        <v>64</v>
      </c>
      <c r="F2443" s="11" t="s">
        <v>148</v>
      </c>
      <c r="G2443" s="15">
        <v>46176</v>
      </c>
      <c r="H2443" s="14" t="str">
        <f>IFERROR(INDEX(面试清单!H:H,MATCH(2442,面试清单!P:P,0)),"")</f>
        <v/>
      </c>
      <c r="I2443" s="13" t="s">
        <v>29</v>
      </c>
      <c r="J2443" s="14">
        <f ca="1" t="shared" si="115"/>
        <v>13</v>
      </c>
      <c r="K2443" s="14">
        <f ca="1" t="shared" si="116"/>
        <v>14</v>
      </c>
    </row>
    <row r="2444" ht="18" spans="1:11">
      <c r="A2444" s="10">
        <f t="shared" si="114"/>
        <v>2443</v>
      </c>
      <c r="B2444" s="11" t="s">
        <v>6256</v>
      </c>
      <c r="C2444" s="10" t="str">
        <f>IFERROR(INDEX(面试清单!D:D,MATCH(2443,面试清单!P:P,0)),"")</f>
        <v/>
      </c>
      <c r="D2444" s="11" t="s">
        <v>43</v>
      </c>
      <c r="E2444" s="11" t="s">
        <v>62</v>
      </c>
      <c r="F2444" s="11" t="s">
        <v>148</v>
      </c>
      <c r="G2444" s="15">
        <v>46176</v>
      </c>
      <c r="H2444" s="10" t="str">
        <f>IFERROR(INDEX(面试清单!H:H,MATCH(2443,面试清单!P:P,0)),"")</f>
        <v/>
      </c>
      <c r="I2444" s="13" t="s">
        <v>29</v>
      </c>
      <c r="J2444" s="10">
        <f ca="1" t="shared" si="115"/>
        <v>13</v>
      </c>
      <c r="K2444" s="10">
        <f ca="1" t="shared" si="116"/>
        <v>14</v>
      </c>
    </row>
    <row r="2445" ht="18" spans="1:11">
      <c r="A2445" s="14">
        <f t="shared" si="114"/>
        <v>2444</v>
      </c>
      <c r="B2445" s="11" t="s">
        <v>1127</v>
      </c>
      <c r="C2445" s="14" t="str">
        <f>IFERROR(INDEX(面试清单!D:D,MATCH(2444,面试清单!P:P,0)),"")</f>
        <v/>
      </c>
      <c r="D2445" s="11" t="s">
        <v>42</v>
      </c>
      <c r="E2445" s="11" t="s">
        <v>63</v>
      </c>
      <c r="F2445" s="11" t="s">
        <v>148</v>
      </c>
      <c r="G2445" s="15">
        <v>46176</v>
      </c>
      <c r="H2445" s="14" t="str">
        <f>IFERROR(INDEX(面试清单!H:H,MATCH(2444,面试清单!P:P,0)),"")</f>
        <v/>
      </c>
      <c r="I2445" s="13" t="s">
        <v>29</v>
      </c>
      <c r="J2445" s="14">
        <f ca="1" t="shared" si="115"/>
        <v>13</v>
      </c>
      <c r="K2445" s="14">
        <f ca="1" t="shared" si="116"/>
        <v>14</v>
      </c>
    </row>
    <row r="2446" ht="18" spans="1:11">
      <c r="A2446" s="10">
        <f t="shared" si="114"/>
        <v>2445</v>
      </c>
      <c r="B2446" s="11" t="s">
        <v>6257</v>
      </c>
      <c r="C2446" s="10" t="str">
        <f>IFERROR(INDEX(面试清单!D:D,MATCH(2445,面试清单!P:P,0)),"")</f>
        <v/>
      </c>
      <c r="D2446" s="11" t="s">
        <v>42</v>
      </c>
      <c r="E2446" s="11" t="s">
        <v>62</v>
      </c>
      <c r="F2446" s="11" t="s">
        <v>307</v>
      </c>
      <c r="G2446" s="15">
        <v>46176</v>
      </c>
      <c r="H2446" s="10" t="str">
        <f>IFERROR(INDEX(面试清单!H:H,MATCH(2445,面试清单!P:P,0)),"")</f>
        <v/>
      </c>
      <c r="I2446" s="13" t="s">
        <v>29</v>
      </c>
      <c r="J2446" s="10">
        <f ca="1" t="shared" si="115"/>
        <v>13</v>
      </c>
      <c r="K2446" s="10">
        <f ca="1" t="shared" si="116"/>
        <v>14</v>
      </c>
    </row>
    <row r="2447" ht="18" spans="1:11">
      <c r="A2447" s="14">
        <f t="shared" si="114"/>
        <v>2446</v>
      </c>
      <c r="B2447" s="11" t="s">
        <v>112</v>
      </c>
      <c r="C2447" s="14" t="str">
        <f>IFERROR(INDEX(面试清单!D:D,MATCH(2446,面试清单!P:P,0)),"")</f>
        <v/>
      </c>
      <c r="D2447" s="11" t="s">
        <v>74</v>
      </c>
      <c r="E2447" s="11" t="s">
        <v>64</v>
      </c>
      <c r="F2447" s="11" t="s">
        <v>173</v>
      </c>
      <c r="G2447" s="15">
        <v>46176</v>
      </c>
      <c r="H2447" s="14" t="str">
        <f>IFERROR(INDEX(面试清单!H:H,MATCH(2446,面试清单!P:P,0)),"")</f>
        <v/>
      </c>
      <c r="I2447" s="13" t="s">
        <v>29</v>
      </c>
      <c r="J2447" s="14">
        <f ca="1" t="shared" si="115"/>
        <v>13</v>
      </c>
      <c r="K2447" s="14">
        <f ca="1" t="shared" si="116"/>
        <v>14</v>
      </c>
    </row>
    <row r="2448" ht="18" spans="1:11">
      <c r="A2448" s="10">
        <f t="shared" si="114"/>
        <v>2447</v>
      </c>
      <c r="B2448" s="11" t="s">
        <v>469</v>
      </c>
      <c r="C2448" s="125" t="str">
        <f>IFERROR(INDEX(面试清单!D:D,MATCH(2447,面试清单!P:P,0)),"")</f>
        <v>0222</v>
      </c>
      <c r="D2448" s="11" t="s">
        <v>74</v>
      </c>
      <c r="E2448" s="11" t="s">
        <v>64</v>
      </c>
      <c r="F2448" s="11" t="s">
        <v>110</v>
      </c>
      <c r="G2448" s="15">
        <v>46176</v>
      </c>
      <c r="H2448" s="10" t="str">
        <f>IFERROR(INDEX(面试清单!H:H,MATCH(2447,面试清单!P:P,0)),"")</f>
        <v>线上</v>
      </c>
      <c r="I2448" s="13" t="s">
        <v>29</v>
      </c>
      <c r="J2448" s="10">
        <f ca="1" t="shared" si="115"/>
        <v>13</v>
      </c>
      <c r="K2448" s="10">
        <f ca="1" t="shared" si="116"/>
        <v>14</v>
      </c>
    </row>
    <row r="2449" ht="18" spans="1:11">
      <c r="A2449" s="14">
        <f t="shared" si="114"/>
        <v>2448</v>
      </c>
      <c r="B2449" s="11" t="s">
        <v>471</v>
      </c>
      <c r="C2449" s="14" t="str">
        <f>IFERROR(INDEX(面试清单!D:D,MATCH(2448,面试清单!P:P,0)),"")</f>
        <v/>
      </c>
      <c r="D2449" s="11" t="s">
        <v>42</v>
      </c>
      <c r="E2449" s="11" t="s">
        <v>63</v>
      </c>
      <c r="F2449" s="11" t="s">
        <v>173</v>
      </c>
      <c r="G2449" s="15">
        <v>46176</v>
      </c>
      <c r="H2449" s="14" t="str">
        <f>IFERROR(INDEX(面试清单!H:H,MATCH(2448,面试清单!P:P,0)),"")</f>
        <v/>
      </c>
      <c r="I2449" s="13" t="s">
        <v>29</v>
      </c>
      <c r="J2449" s="14">
        <f ca="1" t="shared" si="115"/>
        <v>13</v>
      </c>
      <c r="K2449" s="14">
        <f ca="1" t="shared" si="116"/>
        <v>14</v>
      </c>
    </row>
    <row r="2450" ht="18" spans="1:11">
      <c r="A2450" s="10">
        <f t="shared" si="114"/>
        <v>2449</v>
      </c>
      <c r="B2450" s="11" t="s">
        <v>263</v>
      </c>
      <c r="C2450" s="10" t="str">
        <f>IFERROR(INDEX(面试清单!D:D,MATCH(2449,面试清单!P:P,0)),"")</f>
        <v/>
      </c>
      <c r="D2450" s="11" t="s">
        <v>74</v>
      </c>
      <c r="E2450" s="11" t="s">
        <v>64</v>
      </c>
      <c r="F2450" s="11" t="s">
        <v>124</v>
      </c>
      <c r="G2450" s="15">
        <v>46176</v>
      </c>
      <c r="H2450" s="10" t="str">
        <f>IFERROR(INDEX(面试清单!H:H,MATCH(2449,面试清单!P:P,0)),"")</f>
        <v/>
      </c>
      <c r="I2450" s="13" t="s">
        <v>29</v>
      </c>
      <c r="J2450" s="10">
        <f ca="1" t="shared" si="115"/>
        <v>13</v>
      </c>
      <c r="K2450" s="10">
        <f ca="1" t="shared" si="116"/>
        <v>14</v>
      </c>
    </row>
    <row r="2451" ht="18" spans="1:11">
      <c r="A2451" s="14">
        <f t="shared" si="114"/>
        <v>2450</v>
      </c>
      <c r="B2451" s="11" t="s">
        <v>479</v>
      </c>
      <c r="C2451" s="124" t="str">
        <f>IFERROR(INDEX(面试清单!D:D,MATCH(2450,面试清单!P:P,0)),"")</f>
        <v>0212</v>
      </c>
      <c r="D2451" s="11" t="s">
        <v>42</v>
      </c>
      <c r="E2451" s="11" t="s">
        <v>62</v>
      </c>
      <c r="F2451" s="11" t="s">
        <v>179</v>
      </c>
      <c r="G2451" s="15">
        <v>46176</v>
      </c>
      <c r="H2451" s="14" t="str">
        <f>IFERROR(INDEX(面试清单!H:H,MATCH(2450,面试清单!P:P,0)),"")</f>
        <v>线上</v>
      </c>
      <c r="I2451" s="13" t="s">
        <v>29</v>
      </c>
      <c r="J2451" s="14">
        <f ca="1" t="shared" si="115"/>
        <v>13</v>
      </c>
      <c r="K2451" s="14">
        <f ca="1" t="shared" si="116"/>
        <v>14</v>
      </c>
    </row>
    <row r="2452" ht="18" spans="1:11">
      <c r="A2452" s="10">
        <f t="shared" si="114"/>
        <v>2451</v>
      </c>
      <c r="B2452" s="11" t="s">
        <v>481</v>
      </c>
      <c r="C2452" s="125" t="str">
        <f>IFERROR(INDEX(面试清单!D:D,MATCH(2451,面试清单!P:P,0)),"")</f>
        <v>0214</v>
      </c>
      <c r="D2452" s="11" t="s">
        <v>74</v>
      </c>
      <c r="E2452" s="11" t="s">
        <v>64</v>
      </c>
      <c r="F2452" s="11" t="s">
        <v>179</v>
      </c>
      <c r="G2452" s="15">
        <v>46176</v>
      </c>
      <c r="H2452" s="10" t="str">
        <f>IFERROR(INDEX(面试清单!H:H,MATCH(2451,面试清单!P:P,0)),"")</f>
        <v>线上</v>
      </c>
      <c r="I2452" s="13" t="s">
        <v>29</v>
      </c>
      <c r="J2452" s="10">
        <f ca="1" t="shared" si="115"/>
        <v>13</v>
      </c>
      <c r="K2452" s="10">
        <f ca="1" t="shared" si="116"/>
        <v>14</v>
      </c>
    </row>
    <row r="2453" ht="18" spans="1:11">
      <c r="A2453" s="14">
        <f t="shared" si="114"/>
        <v>2452</v>
      </c>
      <c r="B2453" s="11" t="s">
        <v>483</v>
      </c>
      <c r="C2453" s="124" t="str">
        <f>IFERROR(INDEX(面试清单!D:D,MATCH(2452,面试清单!P:P,0)),"")</f>
        <v>0217</v>
      </c>
      <c r="D2453" s="11" t="s">
        <v>74</v>
      </c>
      <c r="E2453" s="11" t="s">
        <v>64</v>
      </c>
      <c r="F2453" s="11" t="s">
        <v>179</v>
      </c>
      <c r="G2453" s="15">
        <v>46176</v>
      </c>
      <c r="H2453" s="14" t="str">
        <f>IFERROR(INDEX(面试清单!H:H,MATCH(2452,面试清单!P:P,0)),"")</f>
        <v>线上</v>
      </c>
      <c r="I2453" s="13" t="s">
        <v>29</v>
      </c>
      <c r="J2453" s="14">
        <f ca="1" t="shared" si="115"/>
        <v>13</v>
      </c>
      <c r="K2453" s="14">
        <f ca="1" t="shared" si="116"/>
        <v>14</v>
      </c>
    </row>
    <row r="2454" ht="18" spans="1:11">
      <c r="A2454" s="10">
        <f t="shared" si="114"/>
        <v>2453</v>
      </c>
      <c r="B2454" s="11" t="s">
        <v>491</v>
      </c>
      <c r="C2454" s="10" t="str">
        <f>IFERROR(INDEX(面试清单!D:D,MATCH(2453,面试清单!P:P,0)),"")</f>
        <v/>
      </c>
      <c r="D2454" s="11" t="s">
        <v>42</v>
      </c>
      <c r="E2454" s="11" t="s">
        <v>64</v>
      </c>
      <c r="F2454" s="11" t="s">
        <v>179</v>
      </c>
      <c r="G2454" s="15">
        <v>46176</v>
      </c>
      <c r="H2454" s="10" t="str">
        <f>IFERROR(INDEX(面试清单!H:H,MATCH(2453,面试清单!P:P,0)),"")</f>
        <v/>
      </c>
      <c r="I2454" s="13" t="s">
        <v>29</v>
      </c>
      <c r="J2454" s="10">
        <f ca="1" t="shared" si="115"/>
        <v>13</v>
      </c>
      <c r="K2454" s="10">
        <f ca="1" t="shared" si="116"/>
        <v>14</v>
      </c>
    </row>
    <row r="2455" ht="36" spans="1:11">
      <c r="A2455" s="14">
        <f t="shared" si="114"/>
        <v>2454</v>
      </c>
      <c r="B2455" s="11" t="s">
        <v>6258</v>
      </c>
      <c r="C2455" s="14" t="str">
        <f>IFERROR(INDEX(面试清单!D:D,MATCH(2454,面试清单!P:P,0)),"")</f>
        <v/>
      </c>
      <c r="D2455" s="11" t="s">
        <v>42</v>
      </c>
      <c r="E2455" s="11" t="s">
        <v>63</v>
      </c>
      <c r="F2455" s="11" t="s">
        <v>631</v>
      </c>
      <c r="G2455" s="15">
        <v>46176</v>
      </c>
      <c r="H2455" s="14" t="str">
        <f>IFERROR(INDEX(面试清单!H:H,MATCH(2454,面试清单!P:P,0)),"")</f>
        <v/>
      </c>
      <c r="I2455" s="13" t="s">
        <v>29</v>
      </c>
      <c r="J2455" s="14">
        <f ca="1" t="shared" si="115"/>
        <v>13</v>
      </c>
      <c r="K2455" s="14">
        <f ca="1" t="shared" si="116"/>
        <v>14</v>
      </c>
    </row>
    <row r="2456" ht="18" spans="1:11">
      <c r="A2456" s="10">
        <f t="shared" si="114"/>
        <v>2455</v>
      </c>
      <c r="B2456" s="11" t="s">
        <v>496</v>
      </c>
      <c r="C2456" s="10" t="str">
        <f>IFERROR(INDEX(面试清单!D:D,MATCH(2455,面试清单!P:P,0)),"")</f>
        <v/>
      </c>
      <c r="D2456" s="11" t="s">
        <v>74</v>
      </c>
      <c r="E2456" s="11" t="s">
        <v>190</v>
      </c>
      <c r="F2456" s="11" t="s">
        <v>117</v>
      </c>
      <c r="G2456" s="15">
        <v>46176</v>
      </c>
      <c r="H2456" s="10" t="str">
        <f>IFERROR(INDEX(面试清单!H:H,MATCH(2455,面试清单!P:P,0)),"")</f>
        <v/>
      </c>
      <c r="I2456" s="13" t="s">
        <v>29</v>
      </c>
      <c r="J2456" s="10">
        <f ca="1" t="shared" si="115"/>
        <v>13</v>
      </c>
      <c r="K2456" s="10">
        <f ca="1" t="shared" si="116"/>
        <v>14</v>
      </c>
    </row>
    <row r="2457" ht="18" spans="1:11">
      <c r="A2457" s="14">
        <f t="shared" si="114"/>
        <v>2456</v>
      </c>
      <c r="B2457" s="11" t="s">
        <v>498</v>
      </c>
      <c r="C2457" s="124" t="str">
        <f>IFERROR(INDEX(面试清单!D:D,MATCH(2456,面试清单!P:P,0)),"")</f>
        <v>0222</v>
      </c>
      <c r="D2457" s="11" t="s">
        <v>43</v>
      </c>
      <c r="E2457" s="11" t="s">
        <v>62</v>
      </c>
      <c r="F2457" s="11" t="s">
        <v>103</v>
      </c>
      <c r="G2457" s="15">
        <v>46176</v>
      </c>
      <c r="H2457" s="14" t="str">
        <f>IFERROR(INDEX(面试清单!H:H,MATCH(2456,面试清单!P:P,0)),"")</f>
        <v>线上</v>
      </c>
      <c r="I2457" s="13" t="s">
        <v>29</v>
      </c>
      <c r="J2457" s="14">
        <f ca="1" t="shared" si="115"/>
        <v>13</v>
      </c>
      <c r="K2457" s="14">
        <f ca="1" t="shared" si="116"/>
        <v>14</v>
      </c>
    </row>
    <row r="2458" ht="18" spans="1:11">
      <c r="A2458" s="10">
        <f t="shared" si="114"/>
        <v>2457</v>
      </c>
      <c r="B2458" s="11" t="s">
        <v>499</v>
      </c>
      <c r="C2458" s="125" t="str">
        <f>IFERROR(INDEX(面试清单!D:D,MATCH(2457,面试清单!P:P,0)),"")</f>
        <v>0208</v>
      </c>
      <c r="D2458" s="11" t="s">
        <v>43</v>
      </c>
      <c r="E2458" s="11" t="s">
        <v>62</v>
      </c>
      <c r="F2458" s="11" t="s">
        <v>103</v>
      </c>
      <c r="G2458" s="15">
        <v>46176</v>
      </c>
      <c r="H2458" s="10" t="str">
        <f>IFERROR(INDEX(面试清单!H:H,MATCH(2457,面试清单!P:P,0)),"")</f>
        <v>线上</v>
      </c>
      <c r="I2458" s="13" t="s">
        <v>29</v>
      </c>
      <c r="J2458" s="10">
        <f ca="1" t="shared" si="115"/>
        <v>13</v>
      </c>
      <c r="K2458" s="10">
        <f ca="1" t="shared" si="116"/>
        <v>14</v>
      </c>
    </row>
    <row r="2459" ht="18" spans="1:11">
      <c r="A2459" s="14">
        <f t="shared" si="114"/>
        <v>2458</v>
      </c>
      <c r="B2459" s="11" t="s">
        <v>500</v>
      </c>
      <c r="C2459" s="14" t="str">
        <f>IFERROR(INDEX(面试清单!D:D,MATCH(2458,面试清单!P:P,0)),"")</f>
        <v/>
      </c>
      <c r="D2459" s="11" t="s">
        <v>43</v>
      </c>
      <c r="E2459" s="11" t="s">
        <v>63</v>
      </c>
      <c r="F2459" s="11" t="s">
        <v>103</v>
      </c>
      <c r="G2459" s="15">
        <v>46176</v>
      </c>
      <c r="H2459" s="14" t="str">
        <f>IFERROR(INDEX(面试清单!H:H,MATCH(2458,面试清单!P:P,0)),"")</f>
        <v/>
      </c>
      <c r="I2459" s="13" t="s">
        <v>29</v>
      </c>
      <c r="J2459" s="14">
        <f ca="1" t="shared" si="115"/>
        <v>13</v>
      </c>
      <c r="K2459" s="14">
        <f ca="1" t="shared" si="116"/>
        <v>14</v>
      </c>
    </row>
    <row r="2460" ht="18" spans="1:11">
      <c r="A2460" s="10">
        <f t="shared" si="114"/>
        <v>2459</v>
      </c>
      <c r="B2460" s="11" t="s">
        <v>501</v>
      </c>
      <c r="C2460" s="10" t="str">
        <f>IFERROR(INDEX(面试清单!D:D,MATCH(2459,面试清单!P:P,0)),"")</f>
        <v/>
      </c>
      <c r="D2460" s="11" t="s">
        <v>74</v>
      </c>
      <c r="E2460" s="11" t="s">
        <v>64</v>
      </c>
      <c r="F2460" s="11" t="s">
        <v>179</v>
      </c>
      <c r="G2460" s="15">
        <v>46176</v>
      </c>
      <c r="H2460" s="10" t="str">
        <f>IFERROR(INDEX(面试清单!H:H,MATCH(2459,面试清单!P:P,0)),"")</f>
        <v/>
      </c>
      <c r="I2460" s="13" t="s">
        <v>29</v>
      </c>
      <c r="J2460" s="10">
        <f ca="1" t="shared" si="115"/>
        <v>13</v>
      </c>
      <c r="K2460" s="10">
        <f ca="1" t="shared" si="116"/>
        <v>14</v>
      </c>
    </row>
    <row r="2461" ht="18" spans="1:11">
      <c r="A2461" s="14">
        <f t="shared" si="114"/>
        <v>2460</v>
      </c>
      <c r="B2461" s="11" t="s">
        <v>502</v>
      </c>
      <c r="C2461" s="14" t="str">
        <f>IFERROR(INDEX(面试清单!D:D,MATCH(2460,面试清单!P:P,0)),"")</f>
        <v/>
      </c>
      <c r="D2461" s="11" t="s">
        <v>74</v>
      </c>
      <c r="E2461" s="11" t="s">
        <v>64</v>
      </c>
      <c r="F2461" s="11" t="s">
        <v>179</v>
      </c>
      <c r="G2461" s="15">
        <v>46176</v>
      </c>
      <c r="H2461" s="14" t="str">
        <f>IFERROR(INDEX(面试清单!H:H,MATCH(2460,面试清单!P:P,0)),"")</f>
        <v/>
      </c>
      <c r="I2461" s="13" t="s">
        <v>29</v>
      </c>
      <c r="J2461" s="14">
        <f ca="1" t="shared" si="115"/>
        <v>13</v>
      </c>
      <c r="K2461" s="14">
        <f ca="1" t="shared" si="116"/>
        <v>14</v>
      </c>
    </row>
    <row r="2462" ht="18" spans="1:11">
      <c r="A2462" s="10">
        <f t="shared" si="114"/>
        <v>2461</v>
      </c>
      <c r="B2462" s="11" t="s">
        <v>376</v>
      </c>
      <c r="C2462" s="10" t="str">
        <f>IFERROR(INDEX(面试清单!D:D,MATCH(2461,面试清单!P:P,0)),"")</f>
        <v/>
      </c>
      <c r="D2462" s="11" t="s">
        <v>74</v>
      </c>
      <c r="E2462" s="11" t="s">
        <v>190</v>
      </c>
      <c r="F2462" s="11" t="s">
        <v>179</v>
      </c>
      <c r="G2462" s="15">
        <v>46176</v>
      </c>
      <c r="H2462" s="10" t="str">
        <f>IFERROR(INDEX(面试清单!H:H,MATCH(2461,面试清单!P:P,0)),"")</f>
        <v/>
      </c>
      <c r="I2462" s="13" t="s">
        <v>29</v>
      </c>
      <c r="J2462" s="10">
        <f ca="1" t="shared" si="115"/>
        <v>13</v>
      </c>
      <c r="K2462" s="10">
        <f ca="1" t="shared" si="116"/>
        <v>14</v>
      </c>
    </row>
    <row r="2463" ht="18" spans="1:11">
      <c r="A2463" s="14">
        <f t="shared" si="114"/>
        <v>2462</v>
      </c>
      <c r="B2463" s="11" t="s">
        <v>504</v>
      </c>
      <c r="C2463" s="14" t="str">
        <f>IFERROR(INDEX(面试清单!D:D,MATCH(2462,面试清单!P:P,0)),"")</f>
        <v/>
      </c>
      <c r="D2463" s="11" t="s">
        <v>42</v>
      </c>
      <c r="E2463" s="11" t="s">
        <v>62</v>
      </c>
      <c r="F2463" s="11" t="s">
        <v>505</v>
      </c>
      <c r="G2463" s="15">
        <v>46176</v>
      </c>
      <c r="H2463" s="14" t="str">
        <f>IFERROR(INDEX(面试清单!H:H,MATCH(2462,面试清单!P:P,0)),"")</f>
        <v/>
      </c>
      <c r="I2463" s="13" t="s">
        <v>29</v>
      </c>
      <c r="J2463" s="14">
        <f ca="1" t="shared" si="115"/>
        <v>13</v>
      </c>
      <c r="K2463" s="14">
        <f ca="1" t="shared" si="116"/>
        <v>14</v>
      </c>
    </row>
    <row r="2464" ht="18" spans="1:11">
      <c r="A2464" s="10">
        <f t="shared" si="114"/>
        <v>2463</v>
      </c>
      <c r="B2464" s="11" t="s">
        <v>506</v>
      </c>
      <c r="C2464" s="10" t="str">
        <f>IFERROR(INDEX(面试清单!D:D,MATCH(2463,面试清单!P:P,0)),"")</f>
        <v/>
      </c>
      <c r="D2464" s="11" t="s">
        <v>42</v>
      </c>
      <c r="E2464" s="11" t="s">
        <v>64</v>
      </c>
      <c r="F2464" s="11" t="s">
        <v>233</v>
      </c>
      <c r="G2464" s="15">
        <v>46176</v>
      </c>
      <c r="H2464" s="10" t="str">
        <f>IFERROR(INDEX(面试清单!H:H,MATCH(2463,面试清单!P:P,0)),"")</f>
        <v/>
      </c>
      <c r="I2464" s="13" t="s">
        <v>29</v>
      </c>
      <c r="J2464" s="10">
        <f ca="1" t="shared" si="115"/>
        <v>13</v>
      </c>
      <c r="K2464" s="10">
        <f ca="1" t="shared" si="116"/>
        <v>14</v>
      </c>
    </row>
    <row r="2465" ht="18" spans="1:11">
      <c r="A2465" s="14">
        <f t="shared" si="114"/>
        <v>2464</v>
      </c>
      <c r="B2465" s="11" t="s">
        <v>507</v>
      </c>
      <c r="C2465" s="124" t="str">
        <f>IFERROR(INDEX(面试清单!D:D,MATCH(2464,面试清单!P:P,0)),"")</f>
        <v>0221</v>
      </c>
      <c r="D2465" s="11" t="s">
        <v>43</v>
      </c>
      <c r="E2465" s="11" t="s">
        <v>64</v>
      </c>
      <c r="F2465" s="11" t="s">
        <v>179</v>
      </c>
      <c r="G2465" s="15">
        <v>46176</v>
      </c>
      <c r="H2465" s="14" t="str">
        <f>IFERROR(INDEX(面试清单!H:H,MATCH(2464,面试清单!P:P,0)),"")</f>
        <v>线上</v>
      </c>
      <c r="I2465" s="13" t="s">
        <v>29</v>
      </c>
      <c r="J2465" s="14">
        <f ca="1" t="shared" si="115"/>
        <v>13</v>
      </c>
      <c r="K2465" s="14">
        <f ca="1" t="shared" si="116"/>
        <v>14</v>
      </c>
    </row>
    <row r="2466" ht="18" spans="1:11">
      <c r="A2466" s="10">
        <f t="shared" si="114"/>
        <v>2465</v>
      </c>
      <c r="B2466" s="11" t="s">
        <v>441</v>
      </c>
      <c r="C2466" s="10" t="str">
        <f>IFERROR(INDEX(面试清单!D:D,MATCH(2465,面试清单!P:P,0)),"")</f>
        <v/>
      </c>
      <c r="D2466" s="11" t="s">
        <v>74</v>
      </c>
      <c r="E2466" s="11" t="s">
        <v>190</v>
      </c>
      <c r="F2466" s="11" t="s">
        <v>117</v>
      </c>
      <c r="G2466" s="15">
        <v>46176</v>
      </c>
      <c r="H2466" s="10" t="str">
        <f>IFERROR(INDEX(面试清单!H:H,MATCH(2465,面试清单!P:P,0)),"")</f>
        <v/>
      </c>
      <c r="I2466" s="13" t="s">
        <v>29</v>
      </c>
      <c r="J2466" s="10">
        <f ca="1" t="shared" si="115"/>
        <v>13</v>
      </c>
      <c r="K2466" s="10">
        <f ca="1" t="shared" si="116"/>
        <v>14</v>
      </c>
    </row>
    <row r="2467" ht="36" spans="1:11">
      <c r="A2467" s="14">
        <f t="shared" si="114"/>
        <v>2466</v>
      </c>
      <c r="B2467" s="11" t="s">
        <v>6259</v>
      </c>
      <c r="C2467" s="124" t="str">
        <f>IFERROR(INDEX(面试清单!D:D,MATCH(2466,面试清单!P:P,0)),"")</f>
        <v>0208</v>
      </c>
      <c r="D2467" s="11" t="s">
        <v>43</v>
      </c>
      <c r="E2467" s="11" t="s">
        <v>63</v>
      </c>
      <c r="F2467" s="11" t="s">
        <v>132</v>
      </c>
      <c r="G2467" s="15">
        <v>46177</v>
      </c>
      <c r="H2467" s="14" t="str">
        <f>IFERROR(INDEX(面试清单!H:H,MATCH(2466,面试清单!P:P,0)),"")</f>
        <v>线上</v>
      </c>
      <c r="I2467" s="13" t="s">
        <v>29</v>
      </c>
      <c r="J2467" s="14">
        <f ca="1" t="shared" si="115"/>
        <v>12</v>
      </c>
      <c r="K2467" s="14">
        <f ca="1" t="shared" si="116"/>
        <v>13</v>
      </c>
    </row>
    <row r="2468" ht="18" spans="1:11">
      <c r="A2468" s="10">
        <f t="shared" si="114"/>
        <v>2467</v>
      </c>
      <c r="B2468" s="11" t="s">
        <v>1281</v>
      </c>
      <c r="C2468" s="10" t="str">
        <f>IFERROR(INDEX(面试清单!D:D,MATCH(2467,面试清单!P:P,0)),"")</f>
        <v/>
      </c>
      <c r="D2468" s="11" t="s">
        <v>43</v>
      </c>
      <c r="E2468" s="11" t="s">
        <v>62</v>
      </c>
      <c r="F2468" s="11" t="s">
        <v>132</v>
      </c>
      <c r="G2468" s="15">
        <v>46177</v>
      </c>
      <c r="H2468" s="10" t="str">
        <f>IFERROR(INDEX(面试清单!H:H,MATCH(2467,面试清单!P:P,0)),"")</f>
        <v/>
      </c>
      <c r="I2468" s="13" t="s">
        <v>29</v>
      </c>
      <c r="J2468" s="10">
        <f ca="1" t="shared" si="115"/>
        <v>12</v>
      </c>
      <c r="K2468" s="10">
        <f ca="1" t="shared" si="116"/>
        <v>13</v>
      </c>
    </row>
    <row r="2469" ht="18" spans="1:11">
      <c r="A2469" s="14">
        <f t="shared" si="114"/>
        <v>2468</v>
      </c>
      <c r="B2469" s="11" t="s">
        <v>1290</v>
      </c>
      <c r="C2469" s="124" t="str">
        <f>IFERROR(INDEX(面试清单!D:D,MATCH(2468,面试清单!P:P,0)),"")</f>
        <v>0212</v>
      </c>
      <c r="D2469" s="11" t="s">
        <v>43</v>
      </c>
      <c r="E2469" s="11" t="s">
        <v>62</v>
      </c>
      <c r="F2469" s="11" t="s">
        <v>132</v>
      </c>
      <c r="G2469" s="15">
        <v>46177</v>
      </c>
      <c r="H2469" s="14" t="str">
        <f>IFERROR(INDEX(面试清单!H:H,MATCH(2468,面试清单!P:P,0)),"")</f>
        <v>线上</v>
      </c>
      <c r="I2469" s="13" t="s">
        <v>29</v>
      </c>
      <c r="J2469" s="14">
        <f ca="1" t="shared" si="115"/>
        <v>12</v>
      </c>
      <c r="K2469" s="14">
        <f ca="1" t="shared" si="116"/>
        <v>13</v>
      </c>
    </row>
    <row r="2470" ht="18" spans="1:11">
      <c r="A2470" s="10">
        <f t="shared" si="114"/>
        <v>2469</v>
      </c>
      <c r="B2470" s="11" t="s">
        <v>1167</v>
      </c>
      <c r="C2470" s="10" t="str">
        <f>IFERROR(INDEX(面试清单!D:D,MATCH(2469,面试清单!P:P,0)),"")</f>
        <v/>
      </c>
      <c r="D2470" s="11" t="s">
        <v>42</v>
      </c>
      <c r="E2470" s="11" t="s">
        <v>63</v>
      </c>
      <c r="F2470" s="11" t="s">
        <v>1166</v>
      </c>
      <c r="G2470" s="15">
        <v>46177</v>
      </c>
      <c r="H2470" s="10" t="str">
        <f>IFERROR(INDEX(面试清单!H:H,MATCH(2469,面试清单!P:P,0)),"")</f>
        <v/>
      </c>
      <c r="I2470" s="13" t="s">
        <v>29</v>
      </c>
      <c r="J2470" s="10">
        <f ca="1" t="shared" si="115"/>
        <v>12</v>
      </c>
      <c r="K2470" s="10">
        <f ca="1" t="shared" si="116"/>
        <v>13</v>
      </c>
    </row>
    <row r="2471" ht="18" spans="1:11">
      <c r="A2471" s="14">
        <f t="shared" si="114"/>
        <v>2470</v>
      </c>
      <c r="B2471" s="11" t="s">
        <v>1286</v>
      </c>
      <c r="C2471" s="124" t="str">
        <f>IFERROR(INDEX(面试清单!D:D,MATCH(2470,面试清单!P:P,0)),"")</f>
        <v>0217</v>
      </c>
      <c r="D2471" s="11" t="s">
        <v>43</v>
      </c>
      <c r="E2471" s="11" t="s">
        <v>62</v>
      </c>
      <c r="F2471" s="11" t="s">
        <v>307</v>
      </c>
      <c r="G2471" s="15">
        <v>46177</v>
      </c>
      <c r="H2471" s="14" t="str">
        <f>IFERROR(INDEX(面试清单!H:H,MATCH(2470,面试清单!P:P,0)),"")</f>
        <v>线上</v>
      </c>
      <c r="I2471" s="13" t="s">
        <v>29</v>
      </c>
      <c r="J2471" s="14">
        <f ca="1" t="shared" si="115"/>
        <v>12</v>
      </c>
      <c r="K2471" s="14">
        <f ca="1" t="shared" si="116"/>
        <v>13</v>
      </c>
    </row>
    <row r="2472" ht="18" spans="1:11">
      <c r="A2472" s="10">
        <f t="shared" si="114"/>
        <v>2471</v>
      </c>
      <c r="B2472" s="11" t="s">
        <v>1287</v>
      </c>
      <c r="C2472" s="10" t="str">
        <f>IFERROR(INDEX(面试清单!D:D,MATCH(2471,面试清单!P:P,0)),"")</f>
        <v/>
      </c>
      <c r="D2472" s="11" t="s">
        <v>43</v>
      </c>
      <c r="E2472" s="11" t="s">
        <v>62</v>
      </c>
      <c r="F2472" s="11" t="s">
        <v>307</v>
      </c>
      <c r="G2472" s="15">
        <v>46177</v>
      </c>
      <c r="H2472" s="10" t="str">
        <f>IFERROR(INDEX(面试清单!H:H,MATCH(2471,面试清单!P:P,0)),"")</f>
        <v/>
      </c>
      <c r="I2472" s="13" t="s">
        <v>29</v>
      </c>
      <c r="J2472" s="10">
        <f ca="1" t="shared" si="115"/>
        <v>12</v>
      </c>
      <c r="K2472" s="10">
        <f ca="1" t="shared" si="116"/>
        <v>13</v>
      </c>
    </row>
    <row r="2473" ht="18" spans="1:11">
      <c r="A2473" s="14">
        <f t="shared" si="114"/>
        <v>2472</v>
      </c>
      <c r="B2473" s="11" t="s">
        <v>1219</v>
      </c>
      <c r="C2473" s="124" t="str">
        <f>IFERROR(INDEX(面试清单!D:D,MATCH(2472,面试清单!P:P,0)),"")</f>
        <v>0220</v>
      </c>
      <c r="D2473" s="11" t="s">
        <v>43</v>
      </c>
      <c r="E2473" s="11" t="s">
        <v>62</v>
      </c>
      <c r="F2473" s="11" t="s">
        <v>117</v>
      </c>
      <c r="G2473" s="15">
        <v>46177</v>
      </c>
      <c r="H2473" s="14" t="str">
        <f>IFERROR(INDEX(面试清单!H:H,MATCH(2472,面试清单!P:P,0)),"")</f>
        <v>线上</v>
      </c>
      <c r="I2473" s="13" t="s">
        <v>29</v>
      </c>
      <c r="J2473" s="14">
        <f ca="1" t="shared" si="115"/>
        <v>12</v>
      </c>
      <c r="K2473" s="14">
        <f ca="1" t="shared" si="116"/>
        <v>13</v>
      </c>
    </row>
    <row r="2474" ht="18" spans="1:11">
      <c r="A2474" s="10">
        <f t="shared" si="114"/>
        <v>2473</v>
      </c>
      <c r="B2474" s="11" t="s">
        <v>1232</v>
      </c>
      <c r="C2474" s="10" t="str">
        <f>IFERROR(INDEX(面试清单!D:D,MATCH(2473,面试清单!P:P,0)),"")</f>
        <v/>
      </c>
      <c r="D2474" s="11" t="s">
        <v>43</v>
      </c>
      <c r="E2474" s="11" t="s">
        <v>62</v>
      </c>
      <c r="F2474" s="11" t="s">
        <v>148</v>
      </c>
      <c r="G2474" s="15">
        <v>46177</v>
      </c>
      <c r="H2474" s="10" t="str">
        <f>IFERROR(INDEX(面试清单!H:H,MATCH(2473,面试清单!P:P,0)),"")</f>
        <v/>
      </c>
      <c r="I2474" s="13" t="s">
        <v>29</v>
      </c>
      <c r="J2474" s="10">
        <f ca="1" t="shared" si="115"/>
        <v>12</v>
      </c>
      <c r="K2474" s="10">
        <f ca="1" t="shared" si="116"/>
        <v>13</v>
      </c>
    </row>
    <row r="2475" ht="18" spans="1:11">
      <c r="A2475" s="14">
        <f t="shared" si="114"/>
        <v>2474</v>
      </c>
      <c r="B2475" s="11" t="s">
        <v>1210</v>
      </c>
      <c r="C2475" s="14" t="str">
        <f>IFERROR(INDEX(面试清单!D:D,MATCH(2474,面试清单!P:P,0)),"")</f>
        <v/>
      </c>
      <c r="D2475" s="11" t="s">
        <v>43</v>
      </c>
      <c r="E2475" s="11" t="s">
        <v>63</v>
      </c>
      <c r="F2475" s="11" t="s">
        <v>148</v>
      </c>
      <c r="G2475" s="15">
        <v>46177</v>
      </c>
      <c r="H2475" s="14" t="str">
        <f>IFERROR(INDEX(面试清单!H:H,MATCH(2474,面试清单!P:P,0)),"")</f>
        <v/>
      </c>
      <c r="I2475" s="13" t="s">
        <v>29</v>
      </c>
      <c r="J2475" s="14">
        <f ca="1" t="shared" si="115"/>
        <v>12</v>
      </c>
      <c r="K2475" s="14">
        <f ca="1" t="shared" si="116"/>
        <v>13</v>
      </c>
    </row>
    <row r="2476" ht="18" spans="1:11">
      <c r="A2476" s="10">
        <f t="shared" si="114"/>
        <v>2475</v>
      </c>
      <c r="B2476" s="11" t="s">
        <v>1205</v>
      </c>
      <c r="C2476" s="125" t="str">
        <f>IFERROR(INDEX(面试清单!D:D,MATCH(2475,面试清单!P:P,0)),"")</f>
        <v>0208</v>
      </c>
      <c r="D2476" s="11" t="s">
        <v>42</v>
      </c>
      <c r="E2476" s="11" t="s">
        <v>63</v>
      </c>
      <c r="F2476" s="11" t="s">
        <v>148</v>
      </c>
      <c r="G2476" s="15">
        <v>46177</v>
      </c>
      <c r="H2476" s="10" t="str">
        <f>IFERROR(INDEX(面试清单!H:H,MATCH(2475,面试清单!P:P,0)),"")</f>
        <v>线上</v>
      </c>
      <c r="I2476" s="13" t="s">
        <v>29</v>
      </c>
      <c r="J2476" s="10">
        <f ca="1" t="shared" si="115"/>
        <v>12</v>
      </c>
      <c r="K2476" s="10">
        <f ca="1" t="shared" si="116"/>
        <v>13</v>
      </c>
    </row>
    <row r="2477" ht="18" spans="1:11">
      <c r="A2477" s="14">
        <f t="shared" si="114"/>
        <v>2476</v>
      </c>
      <c r="B2477" s="11" t="s">
        <v>1231</v>
      </c>
      <c r="C2477" s="14" t="str">
        <f>IFERROR(INDEX(面试清单!D:D,MATCH(2476,面试清单!P:P,0)),"")</f>
        <v/>
      </c>
      <c r="D2477" s="11" t="s">
        <v>43</v>
      </c>
      <c r="E2477" s="11" t="s">
        <v>63</v>
      </c>
      <c r="F2477" s="11" t="s">
        <v>148</v>
      </c>
      <c r="G2477" s="15">
        <v>46177</v>
      </c>
      <c r="H2477" s="14" t="str">
        <f>IFERROR(INDEX(面试清单!H:H,MATCH(2476,面试清单!P:P,0)),"")</f>
        <v/>
      </c>
      <c r="I2477" s="13" t="s">
        <v>29</v>
      </c>
      <c r="J2477" s="14">
        <f ca="1" t="shared" si="115"/>
        <v>12</v>
      </c>
      <c r="K2477" s="14">
        <f ca="1" t="shared" si="116"/>
        <v>13</v>
      </c>
    </row>
    <row r="2478" ht="18" spans="1:11">
      <c r="A2478" s="10">
        <f t="shared" si="114"/>
        <v>2477</v>
      </c>
      <c r="B2478" s="11" t="s">
        <v>1212</v>
      </c>
      <c r="C2478" s="10" t="str">
        <f>IFERROR(INDEX(面试清单!D:D,MATCH(2477,面试清单!P:P,0)),"")</f>
        <v/>
      </c>
      <c r="D2478" s="11" t="s">
        <v>43</v>
      </c>
      <c r="E2478" s="11" t="s">
        <v>63</v>
      </c>
      <c r="F2478" s="11" t="s">
        <v>246</v>
      </c>
      <c r="G2478" s="15">
        <v>46177</v>
      </c>
      <c r="H2478" s="10" t="str">
        <f>IFERROR(INDEX(面试清单!H:H,MATCH(2477,面试清单!P:P,0)),"")</f>
        <v/>
      </c>
      <c r="I2478" s="13" t="s">
        <v>29</v>
      </c>
      <c r="J2478" s="10">
        <f ca="1" t="shared" si="115"/>
        <v>12</v>
      </c>
      <c r="K2478" s="10">
        <f ca="1" t="shared" si="116"/>
        <v>13</v>
      </c>
    </row>
    <row r="2479" ht="18" spans="1:11">
      <c r="A2479" s="14">
        <f t="shared" si="114"/>
        <v>2478</v>
      </c>
      <c r="B2479" s="11" t="s">
        <v>1267</v>
      </c>
      <c r="C2479" s="124" t="str">
        <f>IFERROR(INDEX(面试清单!D:D,MATCH(2478,面试清单!P:P,0)),"")</f>
        <v>0214</v>
      </c>
      <c r="D2479" s="11" t="s">
        <v>43</v>
      </c>
      <c r="E2479" s="11" t="s">
        <v>62</v>
      </c>
      <c r="F2479" s="11" t="s">
        <v>468</v>
      </c>
      <c r="G2479" s="15">
        <v>46177</v>
      </c>
      <c r="H2479" s="14" t="str">
        <f>IFERROR(INDEX(面试清单!H:H,MATCH(2478,面试清单!P:P,0)),"")</f>
        <v>线上</v>
      </c>
      <c r="I2479" s="13" t="s">
        <v>29</v>
      </c>
      <c r="J2479" s="14">
        <f ca="1" t="shared" si="115"/>
        <v>12</v>
      </c>
      <c r="K2479" s="14">
        <f ca="1" t="shared" si="116"/>
        <v>13</v>
      </c>
    </row>
    <row r="2480" ht="18" spans="1:11">
      <c r="A2480" s="10">
        <f t="shared" si="114"/>
        <v>2479</v>
      </c>
      <c r="B2480" s="11" t="s">
        <v>1194</v>
      </c>
      <c r="C2480" s="10" t="str">
        <f>IFERROR(INDEX(面试清单!D:D,MATCH(2479,面试清单!P:P,0)),"")</f>
        <v/>
      </c>
      <c r="D2480" s="11" t="s">
        <v>42</v>
      </c>
      <c r="E2480" s="11" t="s">
        <v>64</v>
      </c>
      <c r="F2480" s="11" t="s">
        <v>578</v>
      </c>
      <c r="G2480" s="15">
        <v>46177</v>
      </c>
      <c r="H2480" s="10" t="str">
        <f>IFERROR(INDEX(面试清单!H:H,MATCH(2479,面试清单!P:P,0)),"")</f>
        <v/>
      </c>
      <c r="I2480" s="13" t="s">
        <v>29</v>
      </c>
      <c r="J2480" s="10">
        <f ca="1" t="shared" si="115"/>
        <v>12</v>
      </c>
      <c r="K2480" s="10">
        <f ca="1" t="shared" si="116"/>
        <v>13</v>
      </c>
    </row>
    <row r="2481" ht="18" spans="1:11">
      <c r="A2481" s="14">
        <f t="shared" si="114"/>
        <v>2480</v>
      </c>
      <c r="B2481" s="11" t="s">
        <v>6260</v>
      </c>
      <c r="C2481" s="14" t="str">
        <f>IFERROR(INDEX(面试清单!D:D,MATCH(2480,面试清单!P:P,0)),"")</f>
        <v/>
      </c>
      <c r="D2481" s="11" t="s">
        <v>43</v>
      </c>
      <c r="E2481" s="11" t="s">
        <v>63</v>
      </c>
      <c r="F2481" s="11" t="s">
        <v>176</v>
      </c>
      <c r="G2481" s="15">
        <v>46177</v>
      </c>
      <c r="H2481" s="14" t="str">
        <f>IFERROR(INDEX(面试清单!H:H,MATCH(2480,面试清单!P:P,0)),"")</f>
        <v/>
      </c>
      <c r="I2481" s="13" t="s">
        <v>29</v>
      </c>
      <c r="J2481" s="14">
        <f ca="1" t="shared" si="115"/>
        <v>12</v>
      </c>
      <c r="K2481" s="14">
        <f ca="1" t="shared" si="116"/>
        <v>13</v>
      </c>
    </row>
    <row r="2482" ht="18" spans="1:11">
      <c r="A2482" s="10">
        <f t="shared" si="114"/>
        <v>2481</v>
      </c>
      <c r="B2482" s="11" t="s">
        <v>1255</v>
      </c>
      <c r="C2482" s="10" t="str">
        <f>IFERROR(INDEX(面试清单!D:D,MATCH(2481,面试清单!P:P,0)),"")</f>
        <v/>
      </c>
      <c r="D2482" s="11" t="s">
        <v>42</v>
      </c>
      <c r="E2482" s="11" t="s">
        <v>62</v>
      </c>
      <c r="F2482" s="11" t="s">
        <v>148</v>
      </c>
      <c r="G2482" s="15">
        <v>46177</v>
      </c>
      <c r="H2482" s="10" t="str">
        <f>IFERROR(INDEX(面试清单!H:H,MATCH(2481,面试清单!P:P,0)),"")</f>
        <v/>
      </c>
      <c r="I2482" s="13" t="s">
        <v>29</v>
      </c>
      <c r="J2482" s="10">
        <f ca="1" t="shared" si="115"/>
        <v>12</v>
      </c>
      <c r="K2482" s="10">
        <f ca="1" t="shared" si="116"/>
        <v>13</v>
      </c>
    </row>
    <row r="2483" ht="18" spans="1:11">
      <c r="A2483" s="14">
        <f t="shared" si="114"/>
        <v>2482</v>
      </c>
      <c r="B2483" s="11" t="s">
        <v>1275</v>
      </c>
      <c r="C2483" s="124" t="str">
        <f>IFERROR(INDEX(面试清单!D:D,MATCH(2482,面试清单!P:P,0)),"")</f>
        <v>0221</v>
      </c>
      <c r="D2483" s="11" t="s">
        <v>43</v>
      </c>
      <c r="E2483" s="11" t="s">
        <v>63</v>
      </c>
      <c r="F2483" s="11" t="s">
        <v>124</v>
      </c>
      <c r="G2483" s="15">
        <v>46177</v>
      </c>
      <c r="H2483" s="14" t="str">
        <f>IFERROR(INDEX(面试清单!H:H,MATCH(2482,面试清单!P:P,0)),"")</f>
        <v>线下</v>
      </c>
      <c r="I2483" s="13" t="s">
        <v>29</v>
      </c>
      <c r="J2483" s="14">
        <f ca="1" t="shared" si="115"/>
        <v>12</v>
      </c>
      <c r="K2483" s="14">
        <f ca="1" t="shared" si="116"/>
        <v>13</v>
      </c>
    </row>
    <row r="2484" ht="18" spans="1:11">
      <c r="A2484" s="10">
        <f t="shared" si="114"/>
        <v>2483</v>
      </c>
      <c r="B2484" s="11" t="s">
        <v>6261</v>
      </c>
      <c r="C2484" s="125" t="str">
        <f>IFERROR(INDEX(面试清单!D:D,MATCH(2483,面试清单!P:P,0)),"")</f>
        <v>0222</v>
      </c>
      <c r="D2484" s="11" t="s">
        <v>42</v>
      </c>
      <c r="E2484" s="11" t="s">
        <v>62</v>
      </c>
      <c r="F2484" s="11" t="s">
        <v>124</v>
      </c>
      <c r="G2484" s="15">
        <v>46177</v>
      </c>
      <c r="H2484" s="10" t="str">
        <f>IFERROR(INDEX(面试清单!H:H,MATCH(2483,面试清单!P:P,0)),"")</f>
        <v>线下</v>
      </c>
      <c r="I2484" s="13" t="s">
        <v>29</v>
      </c>
      <c r="J2484" s="10">
        <f ca="1" t="shared" si="115"/>
        <v>12</v>
      </c>
      <c r="K2484" s="10">
        <f ca="1" t="shared" si="116"/>
        <v>13</v>
      </c>
    </row>
    <row r="2485" ht="18" spans="1:11">
      <c r="A2485" s="14">
        <f t="shared" si="114"/>
        <v>2484</v>
      </c>
      <c r="B2485" s="11" t="s">
        <v>6262</v>
      </c>
      <c r="C2485" s="124" t="str">
        <f>IFERROR(INDEX(面试清单!D:D,MATCH(2484,面试清单!P:P,0)),"")</f>
        <v>0208</v>
      </c>
      <c r="D2485" s="11" t="s">
        <v>43</v>
      </c>
      <c r="E2485" s="11" t="s">
        <v>62</v>
      </c>
      <c r="F2485" s="11" t="s">
        <v>233</v>
      </c>
      <c r="G2485" s="15">
        <v>46177</v>
      </c>
      <c r="H2485" s="14" t="str">
        <f>IFERROR(INDEX(面试清单!H:H,MATCH(2484,面试清单!P:P,0)),"")</f>
        <v>线下</v>
      </c>
      <c r="I2485" s="13" t="s">
        <v>29</v>
      </c>
      <c r="J2485" s="14">
        <f ca="1" t="shared" si="115"/>
        <v>12</v>
      </c>
      <c r="K2485" s="14">
        <f ca="1" t="shared" si="116"/>
        <v>13</v>
      </c>
    </row>
    <row r="2486" ht="18" spans="1:11">
      <c r="A2486" s="10">
        <f t="shared" si="114"/>
        <v>2485</v>
      </c>
      <c r="B2486" s="11" t="s">
        <v>1214</v>
      </c>
      <c r="C2486" s="125" t="str">
        <f>IFERROR(INDEX(面试清单!D:D,MATCH(2485,面试清单!P:P,0)),"")</f>
        <v>0208</v>
      </c>
      <c r="D2486" s="11" t="s">
        <v>43</v>
      </c>
      <c r="E2486" s="11" t="s">
        <v>63</v>
      </c>
      <c r="F2486" s="11" t="s">
        <v>173</v>
      </c>
      <c r="G2486" s="15">
        <v>46177</v>
      </c>
      <c r="H2486" s="10" t="str">
        <f>IFERROR(INDEX(面试清单!H:H,MATCH(2485,面试清单!P:P,0)),"")</f>
        <v>线下</v>
      </c>
      <c r="I2486" s="13" t="s">
        <v>29</v>
      </c>
      <c r="J2486" s="10">
        <f ca="1" t="shared" si="115"/>
        <v>12</v>
      </c>
      <c r="K2486" s="10">
        <f ca="1" t="shared" si="116"/>
        <v>13</v>
      </c>
    </row>
    <row r="2487" ht="18" spans="1:11">
      <c r="A2487" s="14">
        <f t="shared" si="114"/>
        <v>2486</v>
      </c>
      <c r="B2487" s="11" t="s">
        <v>6263</v>
      </c>
      <c r="C2487" s="14" t="str">
        <f>IFERROR(INDEX(面试清单!D:D,MATCH(2486,面试清单!P:P,0)),"")</f>
        <v/>
      </c>
      <c r="D2487" s="11" t="s">
        <v>42</v>
      </c>
      <c r="E2487" s="11" t="s">
        <v>62</v>
      </c>
      <c r="F2487" s="11" t="s">
        <v>173</v>
      </c>
      <c r="G2487" s="15">
        <v>46177</v>
      </c>
      <c r="H2487" s="14" t="str">
        <f>IFERROR(INDEX(面试清单!H:H,MATCH(2486,面试清单!P:P,0)),"")</f>
        <v/>
      </c>
      <c r="I2487" s="13" t="s">
        <v>29</v>
      </c>
      <c r="J2487" s="14">
        <f ca="1" t="shared" si="115"/>
        <v>12</v>
      </c>
      <c r="K2487" s="14">
        <f ca="1" t="shared" si="116"/>
        <v>13</v>
      </c>
    </row>
    <row r="2488" ht="18" spans="1:11">
      <c r="A2488" s="10">
        <f t="shared" si="114"/>
        <v>2487</v>
      </c>
      <c r="B2488" s="11" t="s">
        <v>1164</v>
      </c>
      <c r="C2488" s="10" t="str">
        <f>IFERROR(INDEX(面试清单!D:D,MATCH(2487,面试清单!P:P,0)),"")</f>
        <v/>
      </c>
      <c r="D2488" s="11" t="s">
        <v>42</v>
      </c>
      <c r="E2488" s="11" t="s">
        <v>62</v>
      </c>
      <c r="F2488" s="11" t="s">
        <v>173</v>
      </c>
      <c r="G2488" s="15">
        <v>46177</v>
      </c>
      <c r="H2488" s="10" t="str">
        <f>IFERROR(INDEX(面试清单!H:H,MATCH(2487,面试清单!P:P,0)),"")</f>
        <v/>
      </c>
      <c r="I2488" s="13" t="s">
        <v>29</v>
      </c>
      <c r="J2488" s="10">
        <f ca="1" t="shared" si="115"/>
        <v>12</v>
      </c>
      <c r="K2488" s="10">
        <f ca="1" t="shared" si="116"/>
        <v>13</v>
      </c>
    </row>
    <row r="2489" ht="18" spans="1:11">
      <c r="A2489" s="14">
        <f t="shared" si="114"/>
        <v>2488</v>
      </c>
      <c r="B2489" s="11" t="s">
        <v>6264</v>
      </c>
      <c r="C2489" s="14" t="str">
        <f>IFERROR(INDEX(面试清单!D:D,MATCH(2488,面试清单!P:P,0)),"")</f>
        <v/>
      </c>
      <c r="D2489" s="11" t="s">
        <v>42</v>
      </c>
      <c r="E2489" s="11" t="s">
        <v>62</v>
      </c>
      <c r="F2489" s="11" t="s">
        <v>103</v>
      </c>
      <c r="G2489" s="15">
        <v>46177</v>
      </c>
      <c r="H2489" s="14" t="str">
        <f>IFERROR(INDEX(面试清单!H:H,MATCH(2488,面试清单!P:P,0)),"")</f>
        <v/>
      </c>
      <c r="I2489" s="13" t="s">
        <v>29</v>
      </c>
      <c r="J2489" s="14">
        <f ca="1" t="shared" si="115"/>
        <v>12</v>
      </c>
      <c r="K2489" s="14">
        <f ca="1" t="shared" si="116"/>
        <v>13</v>
      </c>
    </row>
    <row r="2490" ht="18" spans="1:11">
      <c r="A2490" s="10">
        <f t="shared" si="114"/>
        <v>2489</v>
      </c>
      <c r="B2490" s="11" t="s">
        <v>1274</v>
      </c>
      <c r="C2490" s="10" t="str">
        <f>IFERROR(INDEX(面试清单!D:D,MATCH(2489,面试清单!P:P,0)),"")</f>
        <v/>
      </c>
      <c r="D2490" s="11" t="s">
        <v>43</v>
      </c>
      <c r="E2490" s="11" t="s">
        <v>62</v>
      </c>
      <c r="F2490" s="11" t="s">
        <v>124</v>
      </c>
      <c r="G2490" s="15">
        <v>46177</v>
      </c>
      <c r="H2490" s="10" t="str">
        <f>IFERROR(INDEX(面试清单!H:H,MATCH(2489,面试清单!P:P,0)),"")</f>
        <v/>
      </c>
      <c r="I2490" s="13" t="s">
        <v>29</v>
      </c>
      <c r="J2490" s="10">
        <f ca="1" t="shared" si="115"/>
        <v>12</v>
      </c>
      <c r="K2490" s="10">
        <f ca="1" t="shared" si="116"/>
        <v>13</v>
      </c>
    </row>
    <row r="2491" ht="18" spans="1:11">
      <c r="A2491" s="14">
        <f t="shared" si="114"/>
        <v>2490</v>
      </c>
      <c r="B2491" s="11" t="s">
        <v>1185</v>
      </c>
      <c r="C2491" s="14" t="str">
        <f>IFERROR(INDEX(面试清单!D:D,MATCH(2490,面试清单!P:P,0)),"")</f>
        <v/>
      </c>
      <c r="D2491" s="11" t="s">
        <v>42</v>
      </c>
      <c r="E2491" s="11" t="s">
        <v>62</v>
      </c>
      <c r="F2491" s="11" t="s">
        <v>233</v>
      </c>
      <c r="G2491" s="15">
        <v>46177</v>
      </c>
      <c r="H2491" s="14" t="str">
        <f>IFERROR(INDEX(面试清单!H:H,MATCH(2490,面试清单!P:P,0)),"")</f>
        <v/>
      </c>
      <c r="I2491" s="13" t="s">
        <v>29</v>
      </c>
      <c r="J2491" s="14">
        <f ca="1" t="shared" si="115"/>
        <v>12</v>
      </c>
      <c r="K2491" s="14">
        <f ca="1" t="shared" si="116"/>
        <v>13</v>
      </c>
    </row>
    <row r="2492" ht="18" spans="1:11">
      <c r="A2492" s="10">
        <f t="shared" si="114"/>
        <v>2491</v>
      </c>
      <c r="B2492" s="11" t="s">
        <v>6265</v>
      </c>
      <c r="C2492" s="10" t="str">
        <f>IFERROR(INDEX(面试清单!D:D,MATCH(2491,面试清单!P:P,0)),"")</f>
        <v/>
      </c>
      <c r="D2492" s="11" t="s">
        <v>42</v>
      </c>
      <c r="E2492" s="11" t="s">
        <v>62</v>
      </c>
      <c r="F2492" s="11" t="s">
        <v>103</v>
      </c>
      <c r="G2492" s="15">
        <v>46177</v>
      </c>
      <c r="H2492" s="10" t="str">
        <f>IFERROR(INDEX(面试清单!H:H,MATCH(2491,面试清单!P:P,0)),"")</f>
        <v/>
      </c>
      <c r="I2492" s="13" t="s">
        <v>29</v>
      </c>
      <c r="J2492" s="10">
        <f ca="1" t="shared" si="115"/>
        <v>12</v>
      </c>
      <c r="K2492" s="10">
        <f ca="1" t="shared" si="116"/>
        <v>13</v>
      </c>
    </row>
    <row r="2493" ht="18" spans="1:11">
      <c r="A2493" s="14">
        <f t="shared" si="114"/>
        <v>2492</v>
      </c>
      <c r="B2493" s="11" t="s">
        <v>6266</v>
      </c>
      <c r="C2493" s="14" t="str">
        <f>IFERROR(INDEX(面试清单!D:D,MATCH(2492,面试清单!P:P,0)),"")</f>
        <v/>
      </c>
      <c r="D2493" s="11" t="s">
        <v>42</v>
      </c>
      <c r="E2493" s="11" t="s">
        <v>62</v>
      </c>
      <c r="F2493" s="11" t="s">
        <v>103</v>
      </c>
      <c r="G2493" s="15">
        <v>46177</v>
      </c>
      <c r="H2493" s="14" t="str">
        <f>IFERROR(INDEX(面试清单!H:H,MATCH(2492,面试清单!P:P,0)),"")</f>
        <v/>
      </c>
      <c r="I2493" s="13" t="s">
        <v>29</v>
      </c>
      <c r="J2493" s="14">
        <f ca="1" t="shared" si="115"/>
        <v>12</v>
      </c>
      <c r="K2493" s="14">
        <f ca="1" t="shared" si="116"/>
        <v>13</v>
      </c>
    </row>
    <row r="2494" ht="18" spans="1:11">
      <c r="A2494" s="10">
        <f t="shared" si="114"/>
        <v>2493</v>
      </c>
      <c r="B2494" s="11" t="s">
        <v>1143</v>
      </c>
      <c r="C2494" s="10" t="str">
        <f>IFERROR(INDEX(面试清单!D:D,MATCH(2493,面试清单!P:P,0)),"")</f>
        <v/>
      </c>
      <c r="D2494" s="11" t="s">
        <v>42</v>
      </c>
      <c r="E2494" s="11" t="s">
        <v>63</v>
      </c>
      <c r="F2494" s="11" t="s">
        <v>426</v>
      </c>
      <c r="G2494" s="15">
        <v>46177</v>
      </c>
      <c r="H2494" s="10" t="str">
        <f>IFERROR(INDEX(面试清单!H:H,MATCH(2493,面试清单!P:P,0)),"")</f>
        <v/>
      </c>
      <c r="I2494" s="13" t="s">
        <v>29</v>
      </c>
      <c r="J2494" s="10">
        <f ca="1" t="shared" si="115"/>
        <v>12</v>
      </c>
      <c r="K2494" s="10">
        <f ca="1" t="shared" si="116"/>
        <v>13</v>
      </c>
    </row>
    <row r="2495" ht="18" spans="1:11">
      <c r="A2495" s="14">
        <f t="shared" si="114"/>
        <v>2494</v>
      </c>
      <c r="B2495" s="11" t="s">
        <v>511</v>
      </c>
      <c r="C2495" s="14" t="str">
        <f>IFERROR(INDEX(面试清单!D:D,MATCH(2494,面试清单!P:P,0)),"")</f>
        <v/>
      </c>
      <c r="D2495" s="11" t="s">
        <v>42</v>
      </c>
      <c r="E2495" s="11" t="s">
        <v>64</v>
      </c>
      <c r="F2495" s="11" t="s">
        <v>512</v>
      </c>
      <c r="G2495" s="15">
        <v>46177</v>
      </c>
      <c r="H2495" s="14" t="str">
        <f>IFERROR(INDEX(面试清单!H:H,MATCH(2494,面试清单!P:P,0)),"")</f>
        <v/>
      </c>
      <c r="I2495" s="13" t="s">
        <v>29</v>
      </c>
      <c r="J2495" s="14">
        <f ca="1" t="shared" si="115"/>
        <v>12</v>
      </c>
      <c r="K2495" s="14">
        <f ca="1" t="shared" si="116"/>
        <v>13</v>
      </c>
    </row>
    <row r="2496" ht="18" spans="1:11">
      <c r="A2496" s="10">
        <f t="shared" si="114"/>
        <v>2495</v>
      </c>
      <c r="B2496" s="11" t="s">
        <v>517</v>
      </c>
      <c r="C2496" s="10" t="str">
        <f>IFERROR(INDEX(面试清单!D:D,MATCH(2495,面试清单!P:P,0)),"")</f>
        <v/>
      </c>
      <c r="D2496" s="11" t="s">
        <v>74</v>
      </c>
      <c r="E2496" s="11" t="s">
        <v>190</v>
      </c>
      <c r="F2496" s="11" t="s">
        <v>117</v>
      </c>
      <c r="G2496" s="15">
        <v>46177</v>
      </c>
      <c r="H2496" s="10" t="str">
        <f>IFERROR(INDEX(面试清单!H:H,MATCH(2495,面试清单!P:P,0)),"")</f>
        <v/>
      </c>
      <c r="I2496" s="13" t="s">
        <v>29</v>
      </c>
      <c r="J2496" s="10">
        <f ca="1" t="shared" si="115"/>
        <v>12</v>
      </c>
      <c r="K2496" s="10">
        <f ca="1" t="shared" si="116"/>
        <v>13</v>
      </c>
    </row>
    <row r="2497" ht="18" spans="1:11">
      <c r="A2497" s="14">
        <f t="shared" si="114"/>
        <v>2496</v>
      </c>
      <c r="B2497" s="11" t="s">
        <v>519</v>
      </c>
      <c r="C2497" s="124" t="str">
        <f>IFERROR(INDEX(面试清单!D:D,MATCH(2496,面试清单!P:P,0)),"")</f>
        <v>0212</v>
      </c>
      <c r="D2497" s="11" t="s">
        <v>43</v>
      </c>
      <c r="E2497" s="11" t="s">
        <v>62</v>
      </c>
      <c r="F2497" s="11" t="s">
        <v>246</v>
      </c>
      <c r="G2497" s="15">
        <v>46177</v>
      </c>
      <c r="H2497" s="14" t="str">
        <f>IFERROR(INDEX(面试清单!H:H,MATCH(2496,面试清单!P:P,0)),"")</f>
        <v>线上</v>
      </c>
      <c r="I2497" s="13" t="s">
        <v>29</v>
      </c>
      <c r="J2497" s="14">
        <f ca="1" t="shared" si="115"/>
        <v>12</v>
      </c>
      <c r="K2497" s="14">
        <f ca="1" t="shared" si="116"/>
        <v>13</v>
      </c>
    </row>
    <row r="2498" ht="18" spans="1:11">
      <c r="A2498" s="10">
        <f t="shared" ref="A2498:A2561" si="117">IF(B2498&lt;&gt;"",ROW()-1,"")</f>
        <v>2497</v>
      </c>
      <c r="B2498" s="11" t="s">
        <v>520</v>
      </c>
      <c r="C2498" s="10" t="str">
        <f>IFERROR(INDEX(面试清单!D:D,MATCH(2497,面试清单!P:P,0)),"")</f>
        <v/>
      </c>
      <c r="D2498" s="11" t="s">
        <v>43</v>
      </c>
      <c r="E2498" s="11" t="s">
        <v>62</v>
      </c>
      <c r="F2498" s="11" t="s">
        <v>173</v>
      </c>
      <c r="G2498" s="15">
        <v>46177</v>
      </c>
      <c r="H2498" s="10" t="str">
        <f>IFERROR(INDEX(面试清单!H:H,MATCH(2497,面试清单!P:P,0)),"")</f>
        <v/>
      </c>
      <c r="I2498" s="13" t="s">
        <v>29</v>
      </c>
      <c r="J2498" s="10">
        <f ca="1" t="shared" ref="J2498:J2561" si="118">IF(G2498&lt;&gt;"",TODAY()-G2498,"")</f>
        <v>12</v>
      </c>
      <c r="K2498" s="10">
        <f ca="1" t="shared" ref="K2498:K2561" si="119">IF(G2498&lt;&gt;"",MAX(0,MIN(TODAY(),EOMONTH(TODAY(),0))-MAX(G2498,EOMONTH(TODAY(),-1)+1)+1),"")</f>
        <v>13</v>
      </c>
    </row>
    <row r="2499" ht="18" spans="1:11">
      <c r="A2499" s="14">
        <f t="shared" si="117"/>
        <v>2498</v>
      </c>
      <c r="B2499" s="11" t="s">
        <v>521</v>
      </c>
      <c r="C2499" s="124" t="str">
        <f>IFERROR(INDEX(面试清单!D:D,MATCH(2498,面试清单!P:P,0)),"")</f>
        <v>0217</v>
      </c>
      <c r="D2499" s="11" t="s">
        <v>74</v>
      </c>
      <c r="E2499" s="11" t="s">
        <v>64</v>
      </c>
      <c r="F2499" s="11" t="s">
        <v>135</v>
      </c>
      <c r="G2499" s="15">
        <v>46177</v>
      </c>
      <c r="H2499" s="14" t="str">
        <f>IFERROR(INDEX(面试清单!H:H,MATCH(2498,面试清单!P:P,0)),"")</f>
        <v>线上</v>
      </c>
      <c r="I2499" s="13" t="s">
        <v>29</v>
      </c>
      <c r="J2499" s="14">
        <f ca="1" t="shared" si="118"/>
        <v>12</v>
      </c>
      <c r="K2499" s="14">
        <f ca="1" t="shared" si="119"/>
        <v>13</v>
      </c>
    </row>
    <row r="2500" ht="18" spans="1:11">
      <c r="A2500" s="10">
        <f t="shared" si="117"/>
        <v>2499</v>
      </c>
      <c r="B2500" s="11" t="s">
        <v>522</v>
      </c>
      <c r="C2500" s="10" t="str">
        <f>IFERROR(INDEX(面试清单!D:D,MATCH(2499,面试清单!P:P,0)),"")</f>
        <v/>
      </c>
      <c r="D2500" s="11" t="s">
        <v>74</v>
      </c>
      <c r="E2500" s="11" t="s">
        <v>64</v>
      </c>
      <c r="F2500" s="11" t="s">
        <v>135</v>
      </c>
      <c r="G2500" s="15">
        <v>46177</v>
      </c>
      <c r="H2500" s="10" t="str">
        <f>IFERROR(INDEX(面试清单!H:H,MATCH(2499,面试清单!P:P,0)),"")</f>
        <v/>
      </c>
      <c r="I2500" s="13" t="s">
        <v>29</v>
      </c>
      <c r="J2500" s="10">
        <f ca="1" t="shared" si="118"/>
        <v>12</v>
      </c>
      <c r="K2500" s="10">
        <f ca="1" t="shared" si="119"/>
        <v>13</v>
      </c>
    </row>
    <row r="2501" ht="18" spans="1:11">
      <c r="A2501" s="14">
        <f t="shared" si="117"/>
        <v>2500</v>
      </c>
      <c r="B2501" s="11" t="s">
        <v>523</v>
      </c>
      <c r="C2501" s="124" t="str">
        <f>IFERROR(INDEX(面试清单!D:D,MATCH(2500,面试清单!P:P,0)),"")</f>
        <v>0220</v>
      </c>
      <c r="D2501" s="11" t="s">
        <v>74</v>
      </c>
      <c r="E2501" s="11" t="s">
        <v>64</v>
      </c>
      <c r="F2501" s="11" t="s">
        <v>135</v>
      </c>
      <c r="G2501" s="15">
        <v>46177</v>
      </c>
      <c r="H2501" s="14" t="str">
        <f>IFERROR(INDEX(面试清单!H:H,MATCH(2500,面试清单!P:P,0)),"")</f>
        <v>线上</v>
      </c>
      <c r="I2501" s="13" t="s">
        <v>29</v>
      </c>
      <c r="J2501" s="14">
        <f ca="1" t="shared" si="118"/>
        <v>12</v>
      </c>
      <c r="K2501" s="14">
        <f ca="1" t="shared" si="119"/>
        <v>13</v>
      </c>
    </row>
    <row r="2502" ht="18" spans="1:11">
      <c r="A2502" s="10">
        <f t="shared" si="117"/>
        <v>2501</v>
      </c>
      <c r="B2502" s="11" t="s">
        <v>527</v>
      </c>
      <c r="C2502" s="125" t="str">
        <f>IFERROR(INDEX(面试清单!D:D,MATCH(2501,面试清单!P:P,0)),"")</f>
        <v>0221</v>
      </c>
      <c r="D2502" s="11" t="s">
        <v>43</v>
      </c>
      <c r="E2502" s="11" t="s">
        <v>62</v>
      </c>
      <c r="F2502" s="11" t="s">
        <v>233</v>
      </c>
      <c r="G2502" s="15">
        <v>46177</v>
      </c>
      <c r="H2502" s="10" t="str">
        <f>IFERROR(INDEX(面试清单!H:H,MATCH(2501,面试清单!P:P,0)),"")</f>
        <v>线上</v>
      </c>
      <c r="I2502" s="13" t="s">
        <v>29</v>
      </c>
      <c r="J2502" s="10">
        <f ca="1" t="shared" si="118"/>
        <v>12</v>
      </c>
      <c r="K2502" s="10">
        <f ca="1" t="shared" si="119"/>
        <v>13</v>
      </c>
    </row>
    <row r="2503" ht="18" spans="1:11">
      <c r="A2503" s="14">
        <f t="shared" si="117"/>
        <v>2502</v>
      </c>
      <c r="B2503" s="11" t="s">
        <v>529</v>
      </c>
      <c r="C2503" s="124" t="str">
        <f>IFERROR(INDEX(面试清单!D:D,MATCH(2502,面试清单!P:P,0)),"")</f>
        <v>0222</v>
      </c>
      <c r="D2503" s="11" t="s">
        <v>43</v>
      </c>
      <c r="E2503" s="11" t="s">
        <v>62</v>
      </c>
      <c r="F2503" s="11" t="s">
        <v>530</v>
      </c>
      <c r="G2503" s="15">
        <v>46177</v>
      </c>
      <c r="H2503" s="14" t="str">
        <f>IFERROR(INDEX(面试清单!H:H,MATCH(2502,面试清单!P:P,0)),"")</f>
        <v>线上</v>
      </c>
      <c r="I2503" s="13" t="s">
        <v>29</v>
      </c>
      <c r="J2503" s="14">
        <f ca="1" t="shared" si="118"/>
        <v>12</v>
      </c>
      <c r="K2503" s="14">
        <f ca="1" t="shared" si="119"/>
        <v>13</v>
      </c>
    </row>
    <row r="2504" ht="18" spans="1:11">
      <c r="A2504" s="10">
        <f t="shared" si="117"/>
        <v>2503</v>
      </c>
      <c r="B2504" s="11" t="s">
        <v>531</v>
      </c>
      <c r="C2504" s="10" t="str">
        <f>IFERROR(INDEX(面试清单!D:D,MATCH(2503,面试清单!P:P,0)),"")</f>
        <v/>
      </c>
      <c r="D2504" s="11" t="s">
        <v>43</v>
      </c>
      <c r="E2504" s="11" t="s">
        <v>64</v>
      </c>
      <c r="F2504" s="11" t="s">
        <v>179</v>
      </c>
      <c r="G2504" s="15">
        <v>46177</v>
      </c>
      <c r="H2504" s="10" t="str">
        <f>IFERROR(INDEX(面试清单!H:H,MATCH(2503,面试清单!P:P,0)),"")</f>
        <v/>
      </c>
      <c r="I2504" s="13" t="s">
        <v>29</v>
      </c>
      <c r="J2504" s="10">
        <f ca="1" t="shared" si="118"/>
        <v>12</v>
      </c>
      <c r="K2504" s="10">
        <f ca="1" t="shared" si="119"/>
        <v>13</v>
      </c>
    </row>
    <row r="2505" ht="18" spans="1:11">
      <c r="A2505" s="14">
        <f t="shared" si="117"/>
        <v>2504</v>
      </c>
      <c r="B2505" s="11" t="s">
        <v>489</v>
      </c>
      <c r="C2505" s="14" t="str">
        <f>IFERROR(INDEX(面试清单!D:D,MATCH(2504,面试清单!P:P,0)),"")</f>
        <v/>
      </c>
      <c r="D2505" s="11" t="s">
        <v>42</v>
      </c>
      <c r="E2505" s="11" t="s">
        <v>64</v>
      </c>
      <c r="F2505" s="11" t="s">
        <v>179</v>
      </c>
      <c r="G2505" s="15">
        <v>46177</v>
      </c>
      <c r="H2505" s="14" t="str">
        <f>IFERROR(INDEX(面试清单!H:H,MATCH(2504,面试清单!P:P,0)),"")</f>
        <v/>
      </c>
      <c r="I2505" s="13" t="s">
        <v>29</v>
      </c>
      <c r="J2505" s="14">
        <f ca="1" t="shared" si="118"/>
        <v>12</v>
      </c>
      <c r="K2505" s="14">
        <f ca="1" t="shared" si="119"/>
        <v>13</v>
      </c>
    </row>
    <row r="2506" ht="18" spans="1:11">
      <c r="A2506" s="10">
        <f t="shared" si="117"/>
        <v>2505</v>
      </c>
      <c r="B2506" s="11" t="s">
        <v>540</v>
      </c>
      <c r="C2506" s="125" t="str">
        <f>IFERROR(INDEX(面试清单!D:D,MATCH(2505,面试清单!P:P,0)),"")</f>
        <v>0212</v>
      </c>
      <c r="D2506" s="11" t="s">
        <v>42</v>
      </c>
      <c r="E2506" s="11" t="s">
        <v>64</v>
      </c>
      <c r="F2506" s="11" t="s">
        <v>103</v>
      </c>
      <c r="G2506" s="15">
        <v>46177</v>
      </c>
      <c r="H2506" s="10" t="str">
        <f>IFERROR(INDEX(面试清单!H:H,MATCH(2505,面试清单!P:P,0)),"")</f>
        <v>线下</v>
      </c>
      <c r="I2506" s="13" t="s">
        <v>29</v>
      </c>
      <c r="J2506" s="10">
        <f ca="1" t="shared" si="118"/>
        <v>12</v>
      </c>
      <c r="K2506" s="10">
        <f ca="1" t="shared" si="119"/>
        <v>13</v>
      </c>
    </row>
    <row r="2507" ht="18" spans="1:11">
      <c r="A2507" s="14">
        <f t="shared" si="117"/>
        <v>2506</v>
      </c>
      <c r="B2507" s="11" t="s">
        <v>349</v>
      </c>
      <c r="C2507" s="14" t="str">
        <f>IFERROR(INDEX(面试清单!D:D,MATCH(2506,面试清单!P:P,0)),"")</f>
        <v/>
      </c>
      <c r="D2507" s="11" t="s">
        <v>42</v>
      </c>
      <c r="E2507" s="11" t="s">
        <v>64</v>
      </c>
      <c r="F2507" s="11" t="s">
        <v>103</v>
      </c>
      <c r="G2507" s="15">
        <v>46177</v>
      </c>
      <c r="H2507" s="14" t="str">
        <f>IFERROR(INDEX(面试清单!H:H,MATCH(2506,面试清单!P:P,0)),"")</f>
        <v/>
      </c>
      <c r="I2507" s="13" t="s">
        <v>29</v>
      </c>
      <c r="J2507" s="14">
        <f ca="1" t="shared" si="118"/>
        <v>12</v>
      </c>
      <c r="K2507" s="14">
        <f ca="1" t="shared" si="119"/>
        <v>13</v>
      </c>
    </row>
    <row r="2508" ht="18" spans="1:11">
      <c r="A2508" s="10">
        <f t="shared" si="117"/>
        <v>2507</v>
      </c>
      <c r="B2508" s="11" t="s">
        <v>6267</v>
      </c>
      <c r="C2508" s="125" t="str">
        <f>IFERROR(INDEX(面试清单!D:D,MATCH(2507,面试清单!P:P,0)),"")</f>
        <v>0217</v>
      </c>
      <c r="D2508" s="11" t="s">
        <v>43</v>
      </c>
      <c r="E2508" s="11" t="s">
        <v>62</v>
      </c>
      <c r="F2508" s="11" t="s">
        <v>954</v>
      </c>
      <c r="G2508" s="15">
        <v>46177</v>
      </c>
      <c r="H2508" s="10" t="str">
        <f>IFERROR(INDEX(面试清单!H:H,MATCH(2507,面试清单!P:P,0)),"")</f>
        <v>线下</v>
      </c>
      <c r="I2508" s="13" t="s">
        <v>29</v>
      </c>
      <c r="J2508" s="10">
        <f ca="1" t="shared" si="118"/>
        <v>12</v>
      </c>
      <c r="K2508" s="10">
        <f ca="1" t="shared" si="119"/>
        <v>13</v>
      </c>
    </row>
    <row r="2509" ht="18" spans="1:11">
      <c r="A2509" s="14">
        <f t="shared" si="117"/>
        <v>2508</v>
      </c>
      <c r="B2509" s="11" t="s">
        <v>347</v>
      </c>
      <c r="C2509" s="14" t="str">
        <f>IFERROR(INDEX(面试清单!D:D,MATCH(2508,面试清单!P:P,0)),"")</f>
        <v/>
      </c>
      <c r="D2509" s="11" t="s">
        <v>42</v>
      </c>
      <c r="E2509" s="11" t="s">
        <v>64</v>
      </c>
      <c r="F2509" s="11" t="s">
        <v>426</v>
      </c>
      <c r="G2509" s="15">
        <v>46177</v>
      </c>
      <c r="H2509" s="14" t="str">
        <f>IFERROR(INDEX(面试清单!H:H,MATCH(2508,面试清单!P:P,0)),"")</f>
        <v/>
      </c>
      <c r="I2509" s="13" t="s">
        <v>29</v>
      </c>
      <c r="J2509" s="14">
        <f ca="1" t="shared" si="118"/>
        <v>12</v>
      </c>
      <c r="K2509" s="14">
        <f ca="1" t="shared" si="119"/>
        <v>13</v>
      </c>
    </row>
    <row r="2510" ht="18" spans="1:11">
      <c r="A2510" s="10">
        <f t="shared" si="117"/>
        <v>2509</v>
      </c>
      <c r="B2510" s="11" t="s">
        <v>543</v>
      </c>
      <c r="C2510" s="10" t="str">
        <f>IFERROR(INDEX(面试清单!D:D,MATCH(2509,面试清单!P:P,0)),"")</f>
        <v/>
      </c>
      <c r="D2510" s="11" t="s">
        <v>43</v>
      </c>
      <c r="E2510" s="11" t="s">
        <v>64</v>
      </c>
      <c r="F2510" s="11" t="s">
        <v>426</v>
      </c>
      <c r="G2510" s="15">
        <v>46177</v>
      </c>
      <c r="H2510" s="10" t="str">
        <f>IFERROR(INDEX(面试清单!H:H,MATCH(2509,面试清单!P:P,0)),"")</f>
        <v/>
      </c>
      <c r="I2510" s="13" t="s">
        <v>29</v>
      </c>
      <c r="J2510" s="10">
        <f ca="1" t="shared" si="118"/>
        <v>12</v>
      </c>
      <c r="K2510" s="10">
        <f ca="1" t="shared" si="119"/>
        <v>13</v>
      </c>
    </row>
    <row r="2511" ht="18" spans="1:11">
      <c r="A2511" s="14">
        <f t="shared" si="117"/>
        <v>2510</v>
      </c>
      <c r="B2511" s="11" t="s">
        <v>448</v>
      </c>
      <c r="C2511" s="124" t="str">
        <f>IFERROR(INDEX(面试清单!D:D,MATCH(2510,面试清单!P:P,0)),"")</f>
        <v>0221</v>
      </c>
      <c r="D2511" s="11" t="s">
        <v>42</v>
      </c>
      <c r="E2511" s="11" t="s">
        <v>64</v>
      </c>
      <c r="F2511" s="11" t="s">
        <v>129</v>
      </c>
      <c r="G2511" s="15">
        <v>46177</v>
      </c>
      <c r="H2511" s="14" t="str">
        <f>IFERROR(INDEX(面试清单!H:H,MATCH(2510,面试清单!P:P,0)),"")</f>
        <v>线上</v>
      </c>
      <c r="I2511" s="13" t="s">
        <v>29</v>
      </c>
      <c r="J2511" s="14">
        <f ca="1" t="shared" si="118"/>
        <v>12</v>
      </c>
      <c r="K2511" s="14">
        <f ca="1" t="shared" si="119"/>
        <v>13</v>
      </c>
    </row>
    <row r="2512" ht="18" spans="1:11">
      <c r="A2512" s="10">
        <f t="shared" si="117"/>
        <v>2511</v>
      </c>
      <c r="B2512" s="11" t="s">
        <v>544</v>
      </c>
      <c r="C2512" s="125" t="str">
        <f>IFERROR(INDEX(面试清单!D:D,MATCH(2511,面试清单!P:P,0)),"")</f>
        <v>0222</v>
      </c>
      <c r="D2512" s="11" t="s">
        <v>42</v>
      </c>
      <c r="E2512" s="11" t="s">
        <v>64</v>
      </c>
      <c r="F2512" s="11" t="s">
        <v>103</v>
      </c>
      <c r="G2512" s="15">
        <v>46177</v>
      </c>
      <c r="H2512" s="10" t="str">
        <f>IFERROR(INDEX(面试清单!H:H,MATCH(2511,面试清单!P:P,0)),"")</f>
        <v>线上</v>
      </c>
      <c r="I2512" s="13" t="s">
        <v>29</v>
      </c>
      <c r="J2512" s="10">
        <f ca="1" t="shared" si="118"/>
        <v>12</v>
      </c>
      <c r="K2512" s="10">
        <f ca="1" t="shared" si="119"/>
        <v>13</v>
      </c>
    </row>
    <row r="2513" ht="18" spans="1:11">
      <c r="A2513" s="14">
        <f t="shared" si="117"/>
        <v>2512</v>
      </c>
      <c r="B2513" s="11" t="s">
        <v>545</v>
      </c>
      <c r="C2513" s="14" t="str">
        <f>IFERROR(INDEX(面试清单!D:D,MATCH(2512,面试清单!P:P,0)),"")</f>
        <v/>
      </c>
      <c r="D2513" s="11" t="s">
        <v>74</v>
      </c>
      <c r="E2513" s="11" t="s">
        <v>64</v>
      </c>
      <c r="F2513" s="11" t="s">
        <v>179</v>
      </c>
      <c r="G2513" s="15">
        <v>46177</v>
      </c>
      <c r="H2513" s="14" t="str">
        <f>IFERROR(INDEX(面试清单!H:H,MATCH(2512,面试清单!P:P,0)),"")</f>
        <v/>
      </c>
      <c r="I2513" s="13" t="s">
        <v>29</v>
      </c>
      <c r="J2513" s="14">
        <f ca="1" t="shared" si="118"/>
        <v>12</v>
      </c>
      <c r="K2513" s="14">
        <f ca="1" t="shared" si="119"/>
        <v>13</v>
      </c>
    </row>
    <row r="2514" ht="18" spans="1:11">
      <c r="A2514" s="10">
        <f t="shared" si="117"/>
        <v>2513</v>
      </c>
      <c r="B2514" s="11" t="s">
        <v>275</v>
      </c>
      <c r="C2514" s="10" t="str">
        <f>IFERROR(INDEX(面试清单!D:D,MATCH(2513,面试清单!P:P,0)),"")</f>
        <v/>
      </c>
      <c r="D2514" s="11" t="s">
        <v>43</v>
      </c>
      <c r="E2514" s="11" t="s">
        <v>64</v>
      </c>
      <c r="F2514" s="11" t="s">
        <v>179</v>
      </c>
      <c r="G2514" s="15">
        <v>46177</v>
      </c>
      <c r="H2514" s="10" t="str">
        <f>IFERROR(INDEX(面试清单!H:H,MATCH(2513,面试清单!P:P,0)),"")</f>
        <v/>
      </c>
      <c r="I2514" s="13" t="s">
        <v>29</v>
      </c>
      <c r="J2514" s="10">
        <f ca="1" t="shared" si="118"/>
        <v>12</v>
      </c>
      <c r="K2514" s="10">
        <f ca="1" t="shared" si="119"/>
        <v>13</v>
      </c>
    </row>
    <row r="2515" ht="18" spans="1:11">
      <c r="A2515" s="14">
        <f t="shared" si="117"/>
        <v>2514</v>
      </c>
      <c r="B2515" s="11" t="s">
        <v>546</v>
      </c>
      <c r="C2515" s="14" t="str">
        <f>IFERROR(INDEX(面试清单!D:D,MATCH(2514,面试清单!P:P,0)),"")</f>
        <v/>
      </c>
      <c r="D2515" s="11" t="s">
        <v>43</v>
      </c>
      <c r="E2515" s="11" t="s">
        <v>64</v>
      </c>
      <c r="F2515" s="11" t="s">
        <v>179</v>
      </c>
      <c r="G2515" s="15">
        <v>46177</v>
      </c>
      <c r="H2515" s="14" t="str">
        <f>IFERROR(INDEX(面试清单!H:H,MATCH(2514,面试清单!P:P,0)),"")</f>
        <v/>
      </c>
      <c r="I2515" s="13" t="s">
        <v>29</v>
      </c>
      <c r="J2515" s="14">
        <f ca="1" t="shared" si="118"/>
        <v>12</v>
      </c>
      <c r="K2515" s="14">
        <f ca="1" t="shared" si="119"/>
        <v>13</v>
      </c>
    </row>
    <row r="2516" ht="18" spans="1:11">
      <c r="A2516" s="10">
        <f t="shared" si="117"/>
        <v>2515</v>
      </c>
      <c r="B2516" s="11" t="s">
        <v>547</v>
      </c>
      <c r="C2516" s="10" t="str">
        <f>IFERROR(INDEX(面试清单!D:D,MATCH(2515,面试清单!P:P,0)),"")</f>
        <v/>
      </c>
      <c r="D2516" s="11" t="s">
        <v>43</v>
      </c>
      <c r="E2516" s="11" t="s">
        <v>64</v>
      </c>
      <c r="F2516" s="11" t="s">
        <v>179</v>
      </c>
      <c r="G2516" s="15">
        <v>46177</v>
      </c>
      <c r="H2516" s="10" t="str">
        <f>IFERROR(INDEX(面试清单!H:H,MATCH(2515,面试清单!P:P,0)),"")</f>
        <v/>
      </c>
      <c r="I2516" s="13" t="s">
        <v>29</v>
      </c>
      <c r="J2516" s="10">
        <f ca="1" t="shared" si="118"/>
        <v>12</v>
      </c>
      <c r="K2516" s="10">
        <f ca="1" t="shared" si="119"/>
        <v>13</v>
      </c>
    </row>
    <row r="2517" ht="18" spans="1:11">
      <c r="A2517" s="14">
        <f t="shared" si="117"/>
        <v>2516</v>
      </c>
      <c r="B2517" s="11" t="s">
        <v>548</v>
      </c>
      <c r="C2517" s="14" t="str">
        <f>IFERROR(INDEX(面试清单!D:D,MATCH(2516,面试清单!P:P,0)),"")</f>
        <v/>
      </c>
      <c r="D2517" s="11" t="s">
        <v>42</v>
      </c>
      <c r="E2517" s="11" t="s">
        <v>63</v>
      </c>
      <c r="F2517" s="11" t="s">
        <v>103</v>
      </c>
      <c r="G2517" s="15">
        <v>46177</v>
      </c>
      <c r="H2517" s="14" t="str">
        <f>IFERROR(INDEX(面试清单!H:H,MATCH(2516,面试清单!P:P,0)),"")</f>
        <v/>
      </c>
      <c r="I2517" s="13" t="s">
        <v>29</v>
      </c>
      <c r="J2517" s="14">
        <f ca="1" t="shared" si="118"/>
        <v>12</v>
      </c>
      <c r="K2517" s="14">
        <f ca="1" t="shared" si="119"/>
        <v>13</v>
      </c>
    </row>
    <row r="2518" ht="18" spans="1:11">
      <c r="A2518" s="10">
        <f t="shared" si="117"/>
        <v>2517</v>
      </c>
      <c r="B2518" s="11" t="s">
        <v>1245</v>
      </c>
      <c r="C2518" s="10" t="str">
        <f>IFERROR(INDEX(面试清单!D:D,MATCH(2517,面试清单!P:P,0)),"")</f>
        <v/>
      </c>
      <c r="D2518" s="11" t="s">
        <v>42</v>
      </c>
      <c r="E2518" s="11" t="s">
        <v>63</v>
      </c>
      <c r="F2518" s="11" t="s">
        <v>505</v>
      </c>
      <c r="G2518" s="15">
        <v>46177</v>
      </c>
      <c r="H2518" s="10" t="str">
        <f>IFERROR(INDEX(面试清单!H:H,MATCH(2517,面试清单!P:P,0)),"")</f>
        <v/>
      </c>
      <c r="I2518" s="13" t="s">
        <v>29</v>
      </c>
      <c r="J2518" s="10">
        <f ca="1" t="shared" si="118"/>
        <v>12</v>
      </c>
      <c r="K2518" s="10">
        <f ca="1" t="shared" si="119"/>
        <v>13</v>
      </c>
    </row>
    <row r="2519" ht="18" spans="1:11">
      <c r="A2519" s="14">
        <f t="shared" si="117"/>
        <v>2518</v>
      </c>
      <c r="B2519" s="11" t="s">
        <v>6268</v>
      </c>
      <c r="C2519" s="14" t="str">
        <f>IFERROR(INDEX(面试清单!D:D,MATCH(2518,面试清单!P:P,0)),"")</f>
        <v/>
      </c>
      <c r="D2519" s="11" t="s">
        <v>42</v>
      </c>
      <c r="E2519" s="11" t="s">
        <v>63</v>
      </c>
      <c r="F2519" s="11" t="s">
        <v>810</v>
      </c>
      <c r="G2519" s="15">
        <v>46178</v>
      </c>
      <c r="H2519" s="14" t="str">
        <f>IFERROR(INDEX(面试清单!H:H,MATCH(2518,面试清单!P:P,0)),"")</f>
        <v/>
      </c>
      <c r="I2519" s="13" t="s">
        <v>29</v>
      </c>
      <c r="J2519" s="14">
        <f ca="1" t="shared" si="118"/>
        <v>11</v>
      </c>
      <c r="K2519" s="14">
        <f ca="1" t="shared" si="119"/>
        <v>12</v>
      </c>
    </row>
    <row r="2520" ht="18" spans="1:11">
      <c r="A2520" s="10">
        <f t="shared" si="117"/>
        <v>2519</v>
      </c>
      <c r="B2520" s="11" t="s">
        <v>2074</v>
      </c>
      <c r="C2520" s="10" t="str">
        <f>IFERROR(INDEX(面试清单!D:D,MATCH(2519,面试清单!P:P,0)),"")</f>
        <v/>
      </c>
      <c r="D2520" s="11" t="s">
        <v>42</v>
      </c>
      <c r="E2520" s="11" t="s">
        <v>63</v>
      </c>
      <c r="F2520" s="11" t="s">
        <v>129</v>
      </c>
      <c r="G2520" s="15">
        <v>46178</v>
      </c>
      <c r="H2520" s="10" t="str">
        <f>IFERROR(INDEX(面试清单!H:H,MATCH(2519,面试清单!P:P,0)),"")</f>
        <v/>
      </c>
      <c r="I2520" s="13" t="s">
        <v>29</v>
      </c>
      <c r="J2520" s="10">
        <f ca="1" t="shared" si="118"/>
        <v>11</v>
      </c>
      <c r="K2520" s="10">
        <f ca="1" t="shared" si="119"/>
        <v>12</v>
      </c>
    </row>
    <row r="2521" ht="18" spans="1:11">
      <c r="A2521" s="14">
        <f t="shared" si="117"/>
        <v>2520</v>
      </c>
      <c r="B2521" s="11" t="s">
        <v>1132</v>
      </c>
      <c r="C2521" s="14" t="str">
        <f>IFERROR(INDEX(面试清单!D:D,MATCH(2520,面试清单!P:P,0)),"")</f>
        <v/>
      </c>
      <c r="D2521" s="11" t="s">
        <v>42</v>
      </c>
      <c r="E2521" s="11" t="s">
        <v>62</v>
      </c>
      <c r="F2521" s="11" t="s">
        <v>129</v>
      </c>
      <c r="G2521" s="15">
        <v>46178</v>
      </c>
      <c r="H2521" s="14" t="str">
        <f>IFERROR(INDEX(面试清单!H:H,MATCH(2520,面试清单!P:P,0)),"")</f>
        <v/>
      </c>
      <c r="I2521" s="13" t="s">
        <v>29</v>
      </c>
      <c r="J2521" s="14">
        <f ca="1" t="shared" si="118"/>
        <v>11</v>
      </c>
      <c r="K2521" s="14">
        <f ca="1" t="shared" si="119"/>
        <v>12</v>
      </c>
    </row>
    <row r="2522" ht="18" spans="1:11">
      <c r="A2522" s="10">
        <f t="shared" si="117"/>
        <v>2521</v>
      </c>
      <c r="B2522" s="11" t="s">
        <v>6269</v>
      </c>
      <c r="C2522" s="10" t="str">
        <f>IFERROR(INDEX(面试清单!D:D,MATCH(2521,面试清单!P:P,0)),"")</f>
        <v/>
      </c>
      <c r="D2522" s="11" t="s">
        <v>42</v>
      </c>
      <c r="E2522" s="11" t="s">
        <v>63</v>
      </c>
      <c r="F2522" s="11" t="s">
        <v>176</v>
      </c>
      <c r="G2522" s="15">
        <v>46178</v>
      </c>
      <c r="H2522" s="10" t="str">
        <f>IFERROR(INDEX(面试清单!H:H,MATCH(2521,面试清单!P:P,0)),"")</f>
        <v/>
      </c>
      <c r="I2522" s="13" t="s">
        <v>29</v>
      </c>
      <c r="J2522" s="10">
        <f ca="1" t="shared" si="118"/>
        <v>11</v>
      </c>
      <c r="K2522" s="10">
        <f ca="1" t="shared" si="119"/>
        <v>12</v>
      </c>
    </row>
    <row r="2523" ht="18" spans="1:11">
      <c r="A2523" s="14">
        <f t="shared" si="117"/>
        <v>2522</v>
      </c>
      <c r="B2523" s="11" t="s">
        <v>1224</v>
      </c>
      <c r="C2523" s="14" t="str">
        <f>IFERROR(INDEX(面试清单!D:D,MATCH(2522,面试清单!P:P,0)),"")</f>
        <v/>
      </c>
      <c r="D2523" s="11" t="s">
        <v>43</v>
      </c>
      <c r="E2523" s="11" t="s">
        <v>63</v>
      </c>
      <c r="F2523" s="11" t="s">
        <v>176</v>
      </c>
      <c r="G2523" s="15">
        <v>46178</v>
      </c>
      <c r="H2523" s="14" t="str">
        <f>IFERROR(INDEX(面试清单!H:H,MATCH(2522,面试清单!P:P,0)),"")</f>
        <v/>
      </c>
      <c r="I2523" s="13" t="s">
        <v>29</v>
      </c>
      <c r="J2523" s="14">
        <f ca="1" t="shared" si="118"/>
        <v>11</v>
      </c>
      <c r="K2523" s="14">
        <f ca="1" t="shared" si="119"/>
        <v>12</v>
      </c>
    </row>
    <row r="2524" ht="18" spans="1:11">
      <c r="A2524" s="10">
        <f t="shared" si="117"/>
        <v>2523</v>
      </c>
      <c r="B2524" s="11" t="s">
        <v>6270</v>
      </c>
      <c r="C2524" s="10" t="str">
        <f>IFERROR(INDEX(面试清单!D:D,MATCH(2523,面试清单!P:P,0)),"")</f>
        <v/>
      </c>
      <c r="D2524" s="11" t="s">
        <v>43</v>
      </c>
      <c r="E2524" s="11" t="s">
        <v>62</v>
      </c>
      <c r="F2524" s="11" t="s">
        <v>148</v>
      </c>
      <c r="G2524" s="15">
        <v>46178</v>
      </c>
      <c r="H2524" s="10" t="str">
        <f>IFERROR(INDEX(面试清单!H:H,MATCH(2523,面试清单!P:P,0)),"")</f>
        <v/>
      </c>
      <c r="I2524" s="13" t="s">
        <v>29</v>
      </c>
      <c r="J2524" s="10">
        <f ca="1" t="shared" si="118"/>
        <v>11</v>
      </c>
      <c r="K2524" s="10">
        <f ca="1" t="shared" si="119"/>
        <v>12</v>
      </c>
    </row>
    <row r="2525" ht="18" spans="1:11">
      <c r="A2525" s="14">
        <f t="shared" si="117"/>
        <v>2524</v>
      </c>
      <c r="B2525" s="11" t="s">
        <v>1271</v>
      </c>
      <c r="C2525" s="14" t="str">
        <f>IFERROR(INDEX(面试清单!D:D,MATCH(2524,面试清单!P:P,0)),"")</f>
        <v/>
      </c>
      <c r="D2525" s="11" t="s">
        <v>43</v>
      </c>
      <c r="E2525" s="11" t="s">
        <v>62</v>
      </c>
      <c r="F2525" s="11" t="s">
        <v>148</v>
      </c>
      <c r="G2525" s="15">
        <v>46178</v>
      </c>
      <c r="H2525" s="14" t="str">
        <f>IFERROR(INDEX(面试清单!H:H,MATCH(2524,面试清单!P:P,0)),"")</f>
        <v/>
      </c>
      <c r="I2525" s="13" t="s">
        <v>29</v>
      </c>
      <c r="J2525" s="14">
        <f ca="1" t="shared" si="118"/>
        <v>11</v>
      </c>
      <c r="K2525" s="14">
        <f ca="1" t="shared" si="119"/>
        <v>12</v>
      </c>
    </row>
    <row r="2526" ht="18" spans="1:11">
      <c r="A2526" s="10">
        <f t="shared" si="117"/>
        <v>2525</v>
      </c>
      <c r="B2526" s="11" t="s">
        <v>1182</v>
      </c>
      <c r="C2526" s="10" t="str">
        <f>IFERROR(INDEX(面试清单!D:D,MATCH(2525,面试清单!P:P,0)),"")</f>
        <v/>
      </c>
      <c r="D2526" s="11" t="s">
        <v>42</v>
      </c>
      <c r="E2526" s="11" t="s">
        <v>64</v>
      </c>
      <c r="F2526" s="11" t="s">
        <v>1166</v>
      </c>
      <c r="G2526" s="15">
        <v>46178</v>
      </c>
      <c r="H2526" s="10" t="str">
        <f>IFERROR(INDEX(面试清单!H:H,MATCH(2525,面试清单!P:P,0)),"")</f>
        <v/>
      </c>
      <c r="I2526" s="13" t="s">
        <v>29</v>
      </c>
      <c r="J2526" s="10">
        <f ca="1" t="shared" si="118"/>
        <v>11</v>
      </c>
      <c r="K2526" s="10">
        <f ca="1" t="shared" si="119"/>
        <v>12</v>
      </c>
    </row>
    <row r="2527" ht="18" spans="1:11">
      <c r="A2527" s="14">
        <f t="shared" si="117"/>
        <v>2526</v>
      </c>
      <c r="B2527" s="11" t="s">
        <v>6271</v>
      </c>
      <c r="C2527" s="14" t="str">
        <f>IFERROR(INDEX(面试清单!D:D,MATCH(2526,面试清单!P:P,0)),"")</f>
        <v/>
      </c>
      <c r="D2527" s="11" t="s">
        <v>42</v>
      </c>
      <c r="E2527" s="11" t="s">
        <v>62</v>
      </c>
      <c r="F2527" s="11" t="s">
        <v>1166</v>
      </c>
      <c r="G2527" s="15">
        <v>46178</v>
      </c>
      <c r="H2527" s="14" t="str">
        <f>IFERROR(INDEX(面试清单!H:H,MATCH(2526,面试清单!P:P,0)),"")</f>
        <v/>
      </c>
      <c r="I2527" s="13" t="s">
        <v>29</v>
      </c>
      <c r="J2527" s="14">
        <f ca="1" t="shared" si="118"/>
        <v>11</v>
      </c>
      <c r="K2527" s="14">
        <f ca="1" t="shared" si="119"/>
        <v>12</v>
      </c>
    </row>
    <row r="2528" ht="18" spans="1:11">
      <c r="A2528" s="10">
        <f t="shared" si="117"/>
        <v>2527</v>
      </c>
      <c r="B2528" s="11" t="s">
        <v>1331</v>
      </c>
      <c r="C2528" s="10" t="str">
        <f>IFERROR(INDEX(面试清单!D:D,MATCH(2527,面试清单!P:P,0)),"")</f>
        <v/>
      </c>
      <c r="D2528" s="11" t="s">
        <v>42</v>
      </c>
      <c r="E2528" s="11" t="s">
        <v>62</v>
      </c>
      <c r="F2528" s="11" t="s">
        <v>233</v>
      </c>
      <c r="G2528" s="15">
        <v>46178</v>
      </c>
      <c r="H2528" s="10" t="str">
        <f>IFERROR(INDEX(面试清单!H:H,MATCH(2527,面试清单!P:P,0)),"")</f>
        <v/>
      </c>
      <c r="I2528" s="13" t="s">
        <v>29</v>
      </c>
      <c r="J2528" s="10">
        <f ca="1" t="shared" si="118"/>
        <v>11</v>
      </c>
      <c r="K2528" s="10">
        <f ca="1" t="shared" si="119"/>
        <v>12</v>
      </c>
    </row>
    <row r="2529" ht="18" spans="1:11">
      <c r="A2529" s="14">
        <f t="shared" si="117"/>
        <v>2528</v>
      </c>
      <c r="B2529" s="11" t="s">
        <v>6272</v>
      </c>
      <c r="C2529" s="14" t="str">
        <f>IFERROR(INDEX(面试清单!D:D,MATCH(2528,面试清单!P:P,0)),"")</f>
        <v/>
      </c>
      <c r="D2529" s="11" t="s">
        <v>42</v>
      </c>
      <c r="E2529" s="11" t="s">
        <v>62</v>
      </c>
      <c r="F2529" s="11" t="s">
        <v>233</v>
      </c>
      <c r="G2529" s="15">
        <v>46178</v>
      </c>
      <c r="H2529" s="14" t="str">
        <f>IFERROR(INDEX(面试清单!H:H,MATCH(2528,面试清单!P:P,0)),"")</f>
        <v/>
      </c>
      <c r="I2529" s="13" t="s">
        <v>29</v>
      </c>
      <c r="J2529" s="14">
        <f ca="1" t="shared" si="118"/>
        <v>11</v>
      </c>
      <c r="K2529" s="14">
        <f ca="1" t="shared" si="119"/>
        <v>12</v>
      </c>
    </row>
    <row r="2530" ht="18" spans="1:11">
      <c r="A2530" s="10">
        <f t="shared" si="117"/>
        <v>2529</v>
      </c>
      <c r="B2530" s="11" t="s">
        <v>2615</v>
      </c>
      <c r="C2530" s="10" t="str">
        <f>IFERROR(INDEX(面试清单!D:D,MATCH(2529,面试清单!P:P,0)),"")</f>
        <v/>
      </c>
      <c r="D2530" s="11" t="s">
        <v>42</v>
      </c>
      <c r="E2530" s="11" t="s">
        <v>62</v>
      </c>
      <c r="F2530" s="11" t="s">
        <v>233</v>
      </c>
      <c r="G2530" s="15">
        <v>46178</v>
      </c>
      <c r="H2530" s="10" t="str">
        <f>IFERROR(INDEX(面试清单!H:H,MATCH(2529,面试清单!P:P,0)),"")</f>
        <v/>
      </c>
      <c r="I2530" s="13" t="s">
        <v>29</v>
      </c>
      <c r="J2530" s="10">
        <f ca="1" t="shared" si="118"/>
        <v>11</v>
      </c>
      <c r="K2530" s="10">
        <f ca="1" t="shared" si="119"/>
        <v>12</v>
      </c>
    </row>
    <row r="2531" ht="18" spans="1:11">
      <c r="A2531" s="14">
        <f t="shared" si="117"/>
        <v>2530</v>
      </c>
      <c r="B2531" s="11" t="s">
        <v>1297</v>
      </c>
      <c r="C2531" s="14" t="str">
        <f>IFERROR(INDEX(面试清单!D:D,MATCH(2530,面试清单!P:P,0)),"")</f>
        <v/>
      </c>
      <c r="D2531" s="11" t="s">
        <v>43</v>
      </c>
      <c r="E2531" s="11" t="s">
        <v>62</v>
      </c>
      <c r="F2531" s="11" t="s">
        <v>233</v>
      </c>
      <c r="G2531" s="15">
        <v>46178</v>
      </c>
      <c r="H2531" s="14" t="str">
        <f>IFERROR(INDEX(面试清单!H:H,MATCH(2530,面试清单!P:P,0)),"")</f>
        <v/>
      </c>
      <c r="I2531" s="13" t="s">
        <v>29</v>
      </c>
      <c r="J2531" s="14">
        <f ca="1" t="shared" si="118"/>
        <v>11</v>
      </c>
      <c r="K2531" s="14">
        <f ca="1" t="shared" si="119"/>
        <v>12</v>
      </c>
    </row>
    <row r="2532" ht="18" spans="1:11">
      <c r="A2532" s="10">
        <f t="shared" si="117"/>
        <v>2531</v>
      </c>
      <c r="B2532" s="11" t="s">
        <v>1242</v>
      </c>
      <c r="C2532" s="10" t="str">
        <f>IFERROR(INDEX(面试清单!D:D,MATCH(2531,面试清单!P:P,0)),"")</f>
        <v/>
      </c>
      <c r="D2532" s="11" t="s">
        <v>42</v>
      </c>
      <c r="E2532" s="11" t="s">
        <v>62</v>
      </c>
      <c r="F2532" s="11" t="s">
        <v>124</v>
      </c>
      <c r="G2532" s="15">
        <v>46178</v>
      </c>
      <c r="H2532" s="10" t="str">
        <f>IFERROR(INDEX(面试清单!H:H,MATCH(2531,面试清单!P:P,0)),"")</f>
        <v/>
      </c>
      <c r="I2532" s="13" t="s">
        <v>29</v>
      </c>
      <c r="J2532" s="10">
        <f ca="1" t="shared" si="118"/>
        <v>11</v>
      </c>
      <c r="K2532" s="10">
        <f ca="1" t="shared" si="119"/>
        <v>12</v>
      </c>
    </row>
    <row r="2533" ht="18" spans="1:11">
      <c r="A2533" s="14">
        <f t="shared" si="117"/>
        <v>2532</v>
      </c>
      <c r="B2533" s="11" t="s">
        <v>6273</v>
      </c>
      <c r="C2533" s="14" t="str">
        <f>IFERROR(INDEX(面试清单!D:D,MATCH(2532,面试清单!P:P,0)),"")</f>
        <v/>
      </c>
      <c r="D2533" s="11" t="s">
        <v>42</v>
      </c>
      <c r="E2533" s="11" t="s">
        <v>62</v>
      </c>
      <c r="F2533" s="11" t="s">
        <v>103</v>
      </c>
      <c r="G2533" s="15">
        <v>46178</v>
      </c>
      <c r="H2533" s="14" t="str">
        <f>IFERROR(INDEX(面试清单!H:H,MATCH(2532,面试清单!P:P,0)),"")</f>
        <v/>
      </c>
      <c r="I2533" s="13" t="s">
        <v>29</v>
      </c>
      <c r="J2533" s="14">
        <f ca="1" t="shared" si="118"/>
        <v>11</v>
      </c>
      <c r="K2533" s="14">
        <f ca="1" t="shared" si="119"/>
        <v>12</v>
      </c>
    </row>
    <row r="2534" ht="18" spans="1:11">
      <c r="A2534" s="10">
        <f t="shared" si="117"/>
        <v>2533</v>
      </c>
      <c r="B2534" s="11" t="s">
        <v>6274</v>
      </c>
      <c r="C2534" s="10" t="str">
        <f>IFERROR(INDEX(面试清单!D:D,MATCH(2533,面试清单!P:P,0)),"")</f>
        <v/>
      </c>
      <c r="D2534" s="11" t="s">
        <v>42</v>
      </c>
      <c r="E2534" s="11" t="s">
        <v>62</v>
      </c>
      <c r="F2534" s="11" t="s">
        <v>103</v>
      </c>
      <c r="G2534" s="15">
        <v>46178</v>
      </c>
      <c r="H2534" s="10" t="str">
        <f>IFERROR(INDEX(面试清单!H:H,MATCH(2533,面试清单!P:P,0)),"")</f>
        <v/>
      </c>
      <c r="I2534" s="13" t="s">
        <v>29</v>
      </c>
      <c r="J2534" s="10">
        <f ca="1" t="shared" si="118"/>
        <v>11</v>
      </c>
      <c r="K2534" s="10">
        <f ca="1" t="shared" si="119"/>
        <v>12</v>
      </c>
    </row>
    <row r="2535" ht="18" spans="1:11">
      <c r="A2535" s="14">
        <f t="shared" si="117"/>
        <v>2534</v>
      </c>
      <c r="B2535" s="11" t="s">
        <v>6275</v>
      </c>
      <c r="C2535" s="14" t="str">
        <f>IFERROR(INDEX(面试清单!D:D,MATCH(2534,面试清单!P:P,0)),"")</f>
        <v/>
      </c>
      <c r="D2535" s="11" t="s">
        <v>42</v>
      </c>
      <c r="E2535" s="11" t="s">
        <v>62</v>
      </c>
      <c r="F2535" s="11" t="s">
        <v>103</v>
      </c>
      <c r="G2535" s="15">
        <v>46178</v>
      </c>
      <c r="H2535" s="14" t="str">
        <f>IFERROR(INDEX(面试清单!H:H,MATCH(2534,面试清单!P:P,0)),"")</f>
        <v/>
      </c>
      <c r="I2535" s="13" t="s">
        <v>29</v>
      </c>
      <c r="J2535" s="14">
        <f ca="1" t="shared" si="118"/>
        <v>11</v>
      </c>
      <c r="K2535" s="14">
        <f ca="1" t="shared" si="119"/>
        <v>12</v>
      </c>
    </row>
    <row r="2536" ht="18" spans="1:11">
      <c r="A2536" s="10">
        <f t="shared" si="117"/>
        <v>2535</v>
      </c>
      <c r="B2536" s="11" t="s">
        <v>3153</v>
      </c>
      <c r="C2536" s="10" t="str">
        <f>IFERROR(INDEX(面试清单!D:D,MATCH(2535,面试清单!P:P,0)),"")</f>
        <v/>
      </c>
      <c r="D2536" s="11" t="s">
        <v>43</v>
      </c>
      <c r="E2536" s="11" t="s">
        <v>62</v>
      </c>
      <c r="F2536" s="11" t="s">
        <v>103</v>
      </c>
      <c r="G2536" s="15">
        <v>46178</v>
      </c>
      <c r="H2536" s="10" t="str">
        <f>IFERROR(INDEX(面试清单!H:H,MATCH(2535,面试清单!P:P,0)),"")</f>
        <v/>
      </c>
      <c r="I2536" s="13" t="s">
        <v>29</v>
      </c>
      <c r="J2536" s="10">
        <f ca="1" t="shared" si="118"/>
        <v>11</v>
      </c>
      <c r="K2536" s="10">
        <f ca="1" t="shared" si="119"/>
        <v>12</v>
      </c>
    </row>
    <row r="2537" ht="18" spans="1:11">
      <c r="A2537" s="14">
        <f t="shared" si="117"/>
        <v>2536</v>
      </c>
      <c r="B2537" s="11" t="s">
        <v>1150</v>
      </c>
      <c r="C2537" s="14" t="str">
        <f>IFERROR(INDEX(面试清单!D:D,MATCH(2536,面试清单!P:P,0)),"")</f>
        <v/>
      </c>
      <c r="D2537" s="11" t="s">
        <v>42</v>
      </c>
      <c r="E2537" s="11" t="s">
        <v>63</v>
      </c>
      <c r="F2537" s="11" t="s">
        <v>578</v>
      </c>
      <c r="G2537" s="15">
        <v>46178</v>
      </c>
      <c r="H2537" s="14" t="str">
        <f>IFERROR(INDEX(面试清单!H:H,MATCH(2536,面试清单!P:P,0)),"")</f>
        <v/>
      </c>
      <c r="I2537" s="13" t="s">
        <v>29</v>
      </c>
      <c r="J2537" s="14">
        <f ca="1" t="shared" si="118"/>
        <v>11</v>
      </c>
      <c r="K2537" s="14">
        <f ca="1" t="shared" si="119"/>
        <v>12</v>
      </c>
    </row>
    <row r="2538" ht="18" spans="1:11">
      <c r="A2538" s="10">
        <f t="shared" si="117"/>
        <v>2537</v>
      </c>
      <c r="B2538" s="11" t="s">
        <v>1260</v>
      </c>
      <c r="C2538" s="10" t="str">
        <f>IFERROR(INDEX(面试清单!D:D,MATCH(2537,面试清单!P:P,0)),"")</f>
        <v/>
      </c>
      <c r="D2538" s="11" t="s">
        <v>42</v>
      </c>
      <c r="E2538" s="11" t="s">
        <v>63</v>
      </c>
      <c r="F2538" s="11" t="s">
        <v>578</v>
      </c>
      <c r="G2538" s="15">
        <v>46178</v>
      </c>
      <c r="H2538" s="10" t="str">
        <f>IFERROR(INDEX(面试清单!H:H,MATCH(2537,面试清单!P:P,0)),"")</f>
        <v/>
      </c>
      <c r="I2538" s="13" t="s">
        <v>29</v>
      </c>
      <c r="J2538" s="10">
        <f ca="1" t="shared" si="118"/>
        <v>11</v>
      </c>
      <c r="K2538" s="10">
        <f ca="1" t="shared" si="119"/>
        <v>12</v>
      </c>
    </row>
    <row r="2539" ht="18" spans="1:11">
      <c r="A2539" s="14">
        <f t="shared" si="117"/>
        <v>2538</v>
      </c>
      <c r="B2539" s="11" t="s">
        <v>1261</v>
      </c>
      <c r="C2539" s="14" t="str">
        <f>IFERROR(INDEX(面试清单!D:D,MATCH(2538,面试清单!P:P,0)),"")</f>
        <v/>
      </c>
      <c r="D2539" s="11" t="s">
        <v>42</v>
      </c>
      <c r="E2539" s="11" t="s">
        <v>63</v>
      </c>
      <c r="F2539" s="11" t="s">
        <v>578</v>
      </c>
      <c r="G2539" s="15">
        <v>46178</v>
      </c>
      <c r="H2539" s="14" t="str">
        <f>IFERROR(INDEX(面试清单!H:H,MATCH(2538,面试清单!P:P,0)),"")</f>
        <v/>
      </c>
      <c r="I2539" s="13" t="s">
        <v>29</v>
      </c>
      <c r="J2539" s="14">
        <f ca="1" t="shared" si="118"/>
        <v>11</v>
      </c>
      <c r="K2539" s="14">
        <f ca="1" t="shared" si="119"/>
        <v>12</v>
      </c>
    </row>
    <row r="2540" ht="18" spans="1:11">
      <c r="A2540" s="10">
        <f t="shared" si="117"/>
        <v>2539</v>
      </c>
      <c r="B2540" s="11" t="s">
        <v>1262</v>
      </c>
      <c r="C2540" s="10" t="str">
        <f>IFERROR(INDEX(面试清单!D:D,MATCH(2539,面试清单!P:P,0)),"")</f>
        <v/>
      </c>
      <c r="D2540" s="11" t="s">
        <v>42</v>
      </c>
      <c r="E2540" s="11" t="s">
        <v>63</v>
      </c>
      <c r="F2540" s="11" t="s">
        <v>578</v>
      </c>
      <c r="G2540" s="15">
        <v>46178</v>
      </c>
      <c r="H2540" s="10" t="str">
        <f>IFERROR(INDEX(面试清单!H:H,MATCH(2539,面试清单!P:P,0)),"")</f>
        <v/>
      </c>
      <c r="I2540" s="13" t="s">
        <v>29</v>
      </c>
      <c r="J2540" s="10">
        <f ca="1" t="shared" si="118"/>
        <v>11</v>
      </c>
      <c r="K2540" s="10">
        <f ca="1" t="shared" si="119"/>
        <v>12</v>
      </c>
    </row>
    <row r="2541" ht="18" spans="1:11">
      <c r="A2541" s="14">
        <f t="shared" si="117"/>
        <v>2540</v>
      </c>
      <c r="B2541" s="11" t="s">
        <v>1348</v>
      </c>
      <c r="C2541" s="14" t="str">
        <f>IFERROR(INDEX(面试清单!D:D,MATCH(2540,面试清单!P:P,0)),"")</f>
        <v/>
      </c>
      <c r="D2541" s="11" t="s">
        <v>42</v>
      </c>
      <c r="E2541" s="11" t="s">
        <v>63</v>
      </c>
      <c r="F2541" s="11" t="s">
        <v>578</v>
      </c>
      <c r="G2541" s="15">
        <v>46178</v>
      </c>
      <c r="H2541" s="14" t="str">
        <f>IFERROR(INDEX(面试清单!H:H,MATCH(2540,面试清单!P:P,0)),"")</f>
        <v/>
      </c>
      <c r="I2541" s="13" t="s">
        <v>29</v>
      </c>
      <c r="J2541" s="14">
        <f ca="1" t="shared" si="118"/>
        <v>11</v>
      </c>
      <c r="K2541" s="14">
        <f ca="1" t="shared" si="119"/>
        <v>12</v>
      </c>
    </row>
    <row r="2542" ht="18" spans="1:11">
      <c r="A2542" s="10">
        <f t="shared" si="117"/>
        <v>2541</v>
      </c>
      <c r="B2542" s="11" t="s">
        <v>1346</v>
      </c>
      <c r="C2542" s="10" t="str">
        <f>IFERROR(INDEX(面试清单!D:D,MATCH(2541,面试清单!P:P,0)),"")</f>
        <v/>
      </c>
      <c r="D2542" s="11" t="s">
        <v>42</v>
      </c>
      <c r="E2542" s="11" t="s">
        <v>63</v>
      </c>
      <c r="F2542" s="11" t="s">
        <v>578</v>
      </c>
      <c r="G2542" s="15">
        <v>46178</v>
      </c>
      <c r="H2542" s="10" t="str">
        <f>IFERROR(INDEX(面试清单!H:H,MATCH(2541,面试清单!P:P,0)),"")</f>
        <v/>
      </c>
      <c r="I2542" s="13" t="s">
        <v>29</v>
      </c>
      <c r="J2542" s="10">
        <f ca="1" t="shared" si="118"/>
        <v>11</v>
      </c>
      <c r="K2542" s="10">
        <f ca="1" t="shared" si="119"/>
        <v>12</v>
      </c>
    </row>
    <row r="2543" ht="18" spans="1:11">
      <c r="A2543" s="14">
        <f t="shared" si="117"/>
        <v>2542</v>
      </c>
      <c r="B2543" s="11" t="s">
        <v>1345</v>
      </c>
      <c r="C2543" s="14" t="str">
        <f>IFERROR(INDEX(面试清单!D:D,MATCH(2542,面试清单!P:P,0)),"")</f>
        <v/>
      </c>
      <c r="D2543" s="11" t="s">
        <v>42</v>
      </c>
      <c r="E2543" s="11" t="s">
        <v>63</v>
      </c>
      <c r="F2543" s="11" t="s">
        <v>578</v>
      </c>
      <c r="G2543" s="15">
        <v>46178</v>
      </c>
      <c r="H2543" s="14" t="str">
        <f>IFERROR(INDEX(面试清单!H:H,MATCH(2542,面试清单!P:P,0)),"")</f>
        <v/>
      </c>
      <c r="I2543" s="13" t="s">
        <v>29</v>
      </c>
      <c r="J2543" s="14">
        <f ca="1" t="shared" si="118"/>
        <v>11</v>
      </c>
      <c r="K2543" s="14">
        <f ca="1" t="shared" si="119"/>
        <v>12</v>
      </c>
    </row>
    <row r="2544" ht="18" spans="1:11">
      <c r="A2544" s="10">
        <f t="shared" si="117"/>
        <v>2543</v>
      </c>
      <c r="B2544" s="11" t="s">
        <v>1347</v>
      </c>
      <c r="C2544" s="10" t="str">
        <f>IFERROR(INDEX(面试清单!D:D,MATCH(2543,面试清单!P:P,0)),"")</f>
        <v/>
      </c>
      <c r="D2544" s="11" t="s">
        <v>42</v>
      </c>
      <c r="E2544" s="11" t="s">
        <v>62</v>
      </c>
      <c r="F2544" s="11" t="s">
        <v>578</v>
      </c>
      <c r="G2544" s="15">
        <v>46178</v>
      </c>
      <c r="H2544" s="10" t="str">
        <f>IFERROR(INDEX(面试清单!H:H,MATCH(2543,面试清单!P:P,0)),"")</f>
        <v/>
      </c>
      <c r="I2544" s="13" t="s">
        <v>29</v>
      </c>
      <c r="J2544" s="10">
        <f ca="1" t="shared" si="118"/>
        <v>11</v>
      </c>
      <c r="K2544" s="10">
        <f ca="1" t="shared" si="119"/>
        <v>12</v>
      </c>
    </row>
    <row r="2545" ht="18" spans="1:11">
      <c r="A2545" s="14">
        <f t="shared" si="117"/>
        <v>2544</v>
      </c>
      <c r="B2545" s="11" t="s">
        <v>1310</v>
      </c>
      <c r="C2545" s="14" t="str">
        <f>IFERROR(INDEX(面试清单!D:D,MATCH(2544,面试清单!P:P,0)),"")</f>
        <v/>
      </c>
      <c r="D2545" s="11" t="s">
        <v>42</v>
      </c>
      <c r="E2545" s="11" t="s">
        <v>62</v>
      </c>
      <c r="F2545" s="11" t="s">
        <v>631</v>
      </c>
      <c r="G2545" s="15">
        <v>46178</v>
      </c>
      <c r="H2545" s="14" t="str">
        <f>IFERROR(INDEX(面试清单!H:H,MATCH(2544,面试清单!P:P,0)),"")</f>
        <v/>
      </c>
      <c r="I2545" s="13" t="s">
        <v>29</v>
      </c>
      <c r="J2545" s="14">
        <f ca="1" t="shared" si="118"/>
        <v>11</v>
      </c>
      <c r="K2545" s="14">
        <f ca="1" t="shared" si="119"/>
        <v>12</v>
      </c>
    </row>
    <row r="2546" ht="18" spans="1:11">
      <c r="A2546" s="10">
        <f t="shared" si="117"/>
        <v>2545</v>
      </c>
      <c r="B2546" s="11" t="s">
        <v>1282</v>
      </c>
      <c r="C2546" s="10" t="str">
        <f>IFERROR(INDEX(面试清单!D:D,MATCH(2545,面试清单!P:P,0)),"")</f>
        <v/>
      </c>
      <c r="D2546" s="11" t="s">
        <v>43</v>
      </c>
      <c r="E2546" s="11" t="s">
        <v>62</v>
      </c>
      <c r="F2546" s="11" t="s">
        <v>132</v>
      </c>
      <c r="G2546" s="15">
        <v>46178</v>
      </c>
      <c r="H2546" s="10" t="str">
        <f>IFERROR(INDEX(面试清单!H:H,MATCH(2545,面试清单!P:P,0)),"")</f>
        <v/>
      </c>
      <c r="I2546" s="13" t="s">
        <v>29</v>
      </c>
      <c r="J2546" s="10">
        <f ca="1" t="shared" si="118"/>
        <v>11</v>
      </c>
      <c r="K2546" s="10">
        <f ca="1" t="shared" si="119"/>
        <v>12</v>
      </c>
    </row>
    <row r="2547" ht="18" spans="1:11">
      <c r="A2547" s="14">
        <f t="shared" si="117"/>
        <v>2546</v>
      </c>
      <c r="B2547" s="11" t="s">
        <v>1283</v>
      </c>
      <c r="C2547" s="14" t="str">
        <f>IFERROR(INDEX(面试清单!D:D,MATCH(2546,面试清单!P:P,0)),"")</f>
        <v/>
      </c>
      <c r="D2547" s="11" t="s">
        <v>43</v>
      </c>
      <c r="E2547" s="11" t="s">
        <v>62</v>
      </c>
      <c r="F2547" s="11" t="s">
        <v>132</v>
      </c>
      <c r="G2547" s="15">
        <v>46178</v>
      </c>
      <c r="H2547" s="14" t="str">
        <f>IFERROR(INDEX(面试清单!H:H,MATCH(2546,面试清单!P:P,0)),"")</f>
        <v/>
      </c>
      <c r="I2547" s="13" t="s">
        <v>29</v>
      </c>
      <c r="J2547" s="14">
        <f ca="1" t="shared" si="118"/>
        <v>11</v>
      </c>
      <c r="K2547" s="14">
        <f ca="1" t="shared" si="119"/>
        <v>12</v>
      </c>
    </row>
    <row r="2548" ht="18" spans="1:11">
      <c r="A2548" s="10">
        <f t="shared" si="117"/>
        <v>2547</v>
      </c>
      <c r="B2548" s="11" t="s">
        <v>6276</v>
      </c>
      <c r="C2548" s="10" t="str">
        <f>IFERROR(INDEX(面试清单!D:D,MATCH(2547,面试清单!P:P,0)),"")</f>
        <v/>
      </c>
      <c r="D2548" s="11" t="s">
        <v>42</v>
      </c>
      <c r="E2548" s="11" t="s">
        <v>64</v>
      </c>
      <c r="F2548" s="11" t="s">
        <v>148</v>
      </c>
      <c r="G2548" s="15">
        <v>46178</v>
      </c>
      <c r="H2548" s="10" t="str">
        <f>IFERROR(INDEX(面试清单!H:H,MATCH(2547,面试清单!P:P,0)),"")</f>
        <v/>
      </c>
      <c r="I2548" s="13" t="s">
        <v>29</v>
      </c>
      <c r="J2548" s="10">
        <f ca="1" t="shared" si="118"/>
        <v>11</v>
      </c>
      <c r="K2548" s="10">
        <f ca="1" t="shared" si="119"/>
        <v>12</v>
      </c>
    </row>
    <row r="2549" ht="18" spans="1:11">
      <c r="A2549" s="14">
        <f t="shared" si="117"/>
        <v>2548</v>
      </c>
      <c r="B2549" s="11" t="s">
        <v>1352</v>
      </c>
      <c r="C2549" s="14" t="str">
        <f>IFERROR(INDEX(面试清单!D:D,MATCH(2548,面试清单!P:P,0)),"")</f>
        <v/>
      </c>
      <c r="D2549" s="11" t="s">
        <v>42</v>
      </c>
      <c r="E2549" s="11" t="s">
        <v>63</v>
      </c>
      <c r="F2549" s="11" t="s">
        <v>307</v>
      </c>
      <c r="G2549" s="15">
        <v>46178</v>
      </c>
      <c r="H2549" s="14" t="str">
        <f>IFERROR(INDEX(面试清单!H:H,MATCH(2548,面试清单!P:P,0)),"")</f>
        <v/>
      </c>
      <c r="I2549" s="13" t="s">
        <v>29</v>
      </c>
      <c r="J2549" s="14">
        <f ca="1" t="shared" si="118"/>
        <v>11</v>
      </c>
      <c r="K2549" s="14">
        <f ca="1" t="shared" si="119"/>
        <v>12</v>
      </c>
    </row>
    <row r="2550" ht="18" spans="1:11">
      <c r="A2550" s="10">
        <f t="shared" si="117"/>
        <v>2549</v>
      </c>
      <c r="B2550" s="11" t="s">
        <v>1350</v>
      </c>
      <c r="C2550" s="10" t="str">
        <f>IFERROR(INDEX(面试清单!D:D,MATCH(2549,面试清单!P:P,0)),"")</f>
        <v/>
      </c>
      <c r="D2550" s="11" t="s">
        <v>42</v>
      </c>
      <c r="E2550" s="11" t="s">
        <v>63</v>
      </c>
      <c r="F2550" s="11" t="s">
        <v>307</v>
      </c>
      <c r="G2550" s="15">
        <v>46178</v>
      </c>
      <c r="H2550" s="10" t="str">
        <f>IFERROR(INDEX(面试清单!H:H,MATCH(2549,面试清单!P:P,0)),"")</f>
        <v/>
      </c>
      <c r="I2550" s="13" t="s">
        <v>29</v>
      </c>
      <c r="J2550" s="10">
        <f ca="1" t="shared" si="118"/>
        <v>11</v>
      </c>
      <c r="K2550" s="10">
        <f ca="1" t="shared" si="119"/>
        <v>12</v>
      </c>
    </row>
    <row r="2551" ht="18" spans="1:11">
      <c r="A2551" s="14">
        <f t="shared" si="117"/>
        <v>2550</v>
      </c>
      <c r="B2551" s="11" t="s">
        <v>1351</v>
      </c>
      <c r="C2551" s="14" t="str">
        <f>IFERROR(INDEX(面试清单!D:D,MATCH(2550,面试清单!P:P,0)),"")</f>
        <v/>
      </c>
      <c r="D2551" s="11" t="s">
        <v>42</v>
      </c>
      <c r="E2551" s="11" t="s">
        <v>63</v>
      </c>
      <c r="F2551" s="11" t="s">
        <v>307</v>
      </c>
      <c r="G2551" s="15">
        <v>46178</v>
      </c>
      <c r="H2551" s="14" t="str">
        <f>IFERROR(INDEX(面试清单!H:H,MATCH(2550,面试清单!P:P,0)),"")</f>
        <v/>
      </c>
      <c r="I2551" s="13" t="s">
        <v>29</v>
      </c>
      <c r="J2551" s="14">
        <f ca="1" t="shared" si="118"/>
        <v>11</v>
      </c>
      <c r="K2551" s="14">
        <f ca="1" t="shared" si="119"/>
        <v>12</v>
      </c>
    </row>
    <row r="2552" ht="18" spans="1:11">
      <c r="A2552" s="10">
        <f t="shared" si="117"/>
        <v>2551</v>
      </c>
      <c r="B2552" s="11" t="s">
        <v>1155</v>
      </c>
      <c r="C2552" s="10" t="str">
        <f>IFERROR(INDEX(面试清单!D:D,MATCH(2551,面试清单!P:P,0)),"")</f>
        <v/>
      </c>
      <c r="D2552" s="11" t="s">
        <v>42</v>
      </c>
      <c r="E2552" s="11" t="s">
        <v>62</v>
      </c>
      <c r="F2552" s="11" t="s">
        <v>307</v>
      </c>
      <c r="G2552" s="15">
        <v>46178</v>
      </c>
      <c r="H2552" s="10" t="str">
        <f>IFERROR(INDEX(面试清单!H:H,MATCH(2551,面试清单!P:P,0)),"")</f>
        <v/>
      </c>
      <c r="I2552" s="13" t="s">
        <v>29</v>
      </c>
      <c r="J2552" s="10">
        <f ca="1" t="shared" si="118"/>
        <v>11</v>
      </c>
      <c r="K2552" s="10">
        <f ca="1" t="shared" si="119"/>
        <v>12</v>
      </c>
    </row>
    <row r="2553" ht="18" spans="1:11">
      <c r="A2553" s="14">
        <f t="shared" si="117"/>
        <v>2552</v>
      </c>
      <c r="B2553" s="11" t="s">
        <v>1295</v>
      </c>
      <c r="C2553" s="14" t="str">
        <f>IFERROR(INDEX(面试清单!D:D,MATCH(2552,面试清单!P:P,0)),"")</f>
        <v/>
      </c>
      <c r="D2553" s="11" t="s">
        <v>43</v>
      </c>
      <c r="E2553" s="11" t="s">
        <v>63</v>
      </c>
      <c r="F2553" s="11" t="s">
        <v>135</v>
      </c>
      <c r="G2553" s="15">
        <v>46178</v>
      </c>
      <c r="H2553" s="14" t="str">
        <f>IFERROR(INDEX(面试清单!H:H,MATCH(2552,面试清单!P:P,0)),"")</f>
        <v/>
      </c>
      <c r="I2553" s="13" t="s">
        <v>29</v>
      </c>
      <c r="J2553" s="14">
        <f ca="1" t="shared" si="118"/>
        <v>11</v>
      </c>
      <c r="K2553" s="14">
        <f ca="1" t="shared" si="119"/>
        <v>12</v>
      </c>
    </row>
    <row r="2554" ht="18" spans="1:11">
      <c r="A2554" s="10">
        <f t="shared" si="117"/>
        <v>2553</v>
      </c>
      <c r="B2554" s="11" t="s">
        <v>6277</v>
      </c>
      <c r="C2554" s="10" t="str">
        <f>IFERROR(INDEX(面试清单!D:D,MATCH(2553,面试清单!P:P,0)),"")</f>
        <v/>
      </c>
      <c r="D2554" s="11" t="s">
        <v>42</v>
      </c>
      <c r="E2554" s="11" t="s">
        <v>62</v>
      </c>
      <c r="F2554" s="11" t="s">
        <v>124</v>
      </c>
      <c r="G2554" s="15">
        <v>46178</v>
      </c>
      <c r="H2554" s="10" t="str">
        <f>IFERROR(INDEX(面试清单!H:H,MATCH(2553,面试清单!P:P,0)),"")</f>
        <v/>
      </c>
      <c r="I2554" s="13" t="s">
        <v>29</v>
      </c>
      <c r="J2554" s="10">
        <f ca="1" t="shared" si="118"/>
        <v>11</v>
      </c>
      <c r="K2554" s="10">
        <f ca="1" t="shared" si="119"/>
        <v>12</v>
      </c>
    </row>
    <row r="2555" ht="18" spans="1:11">
      <c r="A2555" s="14">
        <f t="shared" si="117"/>
        <v>2554</v>
      </c>
      <c r="B2555" s="11" t="s">
        <v>6278</v>
      </c>
      <c r="C2555" s="14" t="str">
        <f>IFERROR(INDEX(面试清单!D:D,MATCH(2554,面试清单!P:P,0)),"")</f>
        <v/>
      </c>
      <c r="D2555" s="11" t="s">
        <v>43</v>
      </c>
      <c r="E2555" s="11" t="s">
        <v>63</v>
      </c>
      <c r="F2555" s="11" t="s">
        <v>173</v>
      </c>
      <c r="G2555" s="15">
        <v>46178</v>
      </c>
      <c r="H2555" s="14" t="str">
        <f>IFERROR(INDEX(面试清单!H:H,MATCH(2554,面试清单!P:P,0)),"")</f>
        <v/>
      </c>
      <c r="I2555" s="13" t="s">
        <v>29</v>
      </c>
      <c r="J2555" s="14">
        <f ca="1" t="shared" si="118"/>
        <v>11</v>
      </c>
      <c r="K2555" s="14">
        <f ca="1" t="shared" si="119"/>
        <v>12</v>
      </c>
    </row>
    <row r="2556" ht="18" spans="1:11">
      <c r="A2556" s="10">
        <f t="shared" si="117"/>
        <v>2555</v>
      </c>
      <c r="B2556" s="11" t="s">
        <v>6279</v>
      </c>
      <c r="C2556" s="10" t="str">
        <f>IFERROR(INDEX(面试清单!D:D,MATCH(2555,面试清单!P:P,0)),"")</f>
        <v/>
      </c>
      <c r="D2556" s="11" t="s">
        <v>43</v>
      </c>
      <c r="E2556" s="11" t="s">
        <v>63</v>
      </c>
      <c r="F2556" s="11" t="s">
        <v>173</v>
      </c>
      <c r="G2556" s="15">
        <v>46178</v>
      </c>
      <c r="H2556" s="10" t="str">
        <f>IFERROR(INDEX(面试清单!H:H,MATCH(2555,面试清单!P:P,0)),"")</f>
        <v/>
      </c>
      <c r="I2556" s="13" t="s">
        <v>29</v>
      </c>
      <c r="J2556" s="10">
        <f ca="1" t="shared" si="118"/>
        <v>11</v>
      </c>
      <c r="K2556" s="10">
        <f ca="1" t="shared" si="119"/>
        <v>12</v>
      </c>
    </row>
    <row r="2557" ht="18" spans="1:11">
      <c r="A2557" s="14">
        <f t="shared" si="117"/>
        <v>2556</v>
      </c>
      <c r="B2557" s="11" t="s">
        <v>6280</v>
      </c>
      <c r="C2557" s="14" t="str">
        <f>IFERROR(INDEX(面试清单!D:D,MATCH(2556,面试清单!P:P,0)),"")</f>
        <v/>
      </c>
      <c r="D2557" s="11" t="s">
        <v>42</v>
      </c>
      <c r="E2557" s="11" t="s">
        <v>63</v>
      </c>
      <c r="F2557" s="11" t="s">
        <v>173</v>
      </c>
      <c r="G2557" s="15">
        <v>46178</v>
      </c>
      <c r="H2557" s="14" t="str">
        <f>IFERROR(INDEX(面试清单!H:H,MATCH(2556,面试清单!P:P,0)),"")</f>
        <v/>
      </c>
      <c r="I2557" s="13" t="s">
        <v>29</v>
      </c>
      <c r="J2557" s="14">
        <f ca="1" t="shared" si="118"/>
        <v>11</v>
      </c>
      <c r="K2557" s="14">
        <f ca="1" t="shared" si="119"/>
        <v>12</v>
      </c>
    </row>
    <row r="2558" ht="18" spans="1:11">
      <c r="A2558" s="10">
        <f t="shared" si="117"/>
        <v>2557</v>
      </c>
      <c r="B2558" s="11" t="s">
        <v>6281</v>
      </c>
      <c r="C2558" s="10" t="str">
        <f>IFERROR(INDEX(面试清单!D:D,MATCH(2557,面试清单!P:P,0)),"")</f>
        <v/>
      </c>
      <c r="D2558" s="11" t="s">
        <v>42</v>
      </c>
      <c r="E2558" s="11" t="s">
        <v>63</v>
      </c>
      <c r="F2558" s="11" t="s">
        <v>173</v>
      </c>
      <c r="G2558" s="15">
        <v>46178</v>
      </c>
      <c r="H2558" s="10" t="str">
        <f>IFERROR(INDEX(面试清单!H:H,MATCH(2557,面试清单!P:P,0)),"")</f>
        <v/>
      </c>
      <c r="I2558" s="13" t="s">
        <v>29</v>
      </c>
      <c r="J2558" s="10">
        <f ca="1" t="shared" si="118"/>
        <v>11</v>
      </c>
      <c r="K2558" s="10">
        <f ca="1" t="shared" si="119"/>
        <v>12</v>
      </c>
    </row>
    <row r="2559" ht="18" spans="1:11">
      <c r="A2559" s="14">
        <f t="shared" si="117"/>
        <v>2558</v>
      </c>
      <c r="B2559" s="11" t="s">
        <v>6282</v>
      </c>
      <c r="C2559" s="14" t="str">
        <f>IFERROR(INDEX(面试清单!D:D,MATCH(2558,面试清单!P:P,0)),"")</f>
        <v/>
      </c>
      <c r="D2559" s="11" t="s">
        <v>42</v>
      </c>
      <c r="E2559" s="11" t="s">
        <v>63</v>
      </c>
      <c r="F2559" s="11" t="s">
        <v>173</v>
      </c>
      <c r="G2559" s="15">
        <v>46178</v>
      </c>
      <c r="H2559" s="14" t="str">
        <f>IFERROR(INDEX(面试清单!H:H,MATCH(2558,面试清单!P:P,0)),"")</f>
        <v/>
      </c>
      <c r="I2559" s="13" t="s">
        <v>29</v>
      </c>
      <c r="J2559" s="14">
        <f ca="1" t="shared" si="118"/>
        <v>11</v>
      </c>
      <c r="K2559" s="14">
        <f ca="1" t="shared" si="119"/>
        <v>12</v>
      </c>
    </row>
    <row r="2560" ht="18" spans="1:11">
      <c r="A2560" s="10">
        <f t="shared" si="117"/>
        <v>2559</v>
      </c>
      <c r="B2560" s="11" t="s">
        <v>6283</v>
      </c>
      <c r="C2560" s="10" t="str">
        <f>IFERROR(INDEX(面试清单!D:D,MATCH(2559,面试清单!P:P,0)),"")</f>
        <v/>
      </c>
      <c r="D2560" s="11" t="s">
        <v>42</v>
      </c>
      <c r="E2560" s="11" t="s">
        <v>63</v>
      </c>
      <c r="F2560" s="11" t="s">
        <v>173</v>
      </c>
      <c r="G2560" s="15">
        <v>46178</v>
      </c>
      <c r="H2560" s="10" t="str">
        <f>IFERROR(INDEX(面试清单!H:H,MATCH(2559,面试清单!P:P,0)),"")</f>
        <v/>
      </c>
      <c r="I2560" s="13" t="s">
        <v>29</v>
      </c>
      <c r="J2560" s="10">
        <f ca="1" t="shared" si="118"/>
        <v>11</v>
      </c>
      <c r="K2560" s="10">
        <f ca="1" t="shared" si="119"/>
        <v>12</v>
      </c>
    </row>
    <row r="2561" ht="18" spans="1:11">
      <c r="A2561" s="14">
        <f t="shared" si="117"/>
        <v>2560</v>
      </c>
      <c r="B2561" s="11" t="s">
        <v>6284</v>
      </c>
      <c r="C2561" s="14" t="str">
        <f>IFERROR(INDEX(面试清单!D:D,MATCH(2560,面试清单!P:P,0)),"")</f>
        <v/>
      </c>
      <c r="D2561" s="11" t="s">
        <v>42</v>
      </c>
      <c r="E2561" s="11" t="s">
        <v>62</v>
      </c>
      <c r="F2561" s="11" t="s">
        <v>173</v>
      </c>
      <c r="G2561" s="15">
        <v>46178</v>
      </c>
      <c r="H2561" s="14" t="str">
        <f>IFERROR(INDEX(面试清单!H:H,MATCH(2560,面试清单!P:P,0)),"")</f>
        <v/>
      </c>
      <c r="I2561" s="13" t="s">
        <v>29</v>
      </c>
      <c r="J2561" s="14">
        <f ca="1" t="shared" si="118"/>
        <v>11</v>
      </c>
      <c r="K2561" s="14">
        <f ca="1" t="shared" si="119"/>
        <v>12</v>
      </c>
    </row>
    <row r="2562" ht="18" spans="1:11">
      <c r="A2562" s="10">
        <f t="shared" ref="A2562:A2625" si="120">IF(B2562&lt;&gt;"",ROW()-1,"")</f>
        <v>2561</v>
      </c>
      <c r="B2562" s="11" t="s">
        <v>6285</v>
      </c>
      <c r="C2562" s="10" t="str">
        <f>IFERROR(INDEX(面试清单!D:D,MATCH(2561,面试清单!P:P,0)),"")</f>
        <v/>
      </c>
      <c r="D2562" s="11" t="s">
        <v>43</v>
      </c>
      <c r="E2562" s="11" t="s">
        <v>62</v>
      </c>
      <c r="F2562" s="11" t="s">
        <v>132</v>
      </c>
      <c r="G2562" s="15">
        <v>46178</v>
      </c>
      <c r="H2562" s="10" t="str">
        <f>IFERROR(INDEX(面试清单!H:H,MATCH(2561,面试清单!P:P,0)),"")</f>
        <v/>
      </c>
      <c r="I2562" s="13" t="s">
        <v>29</v>
      </c>
      <c r="J2562" s="10">
        <f ca="1" t="shared" ref="J2562:J2625" si="121">IF(G2562&lt;&gt;"",TODAY()-G2562,"")</f>
        <v>11</v>
      </c>
      <c r="K2562" s="10">
        <f ca="1" t="shared" ref="K2562:K2625" si="122">IF(G2562&lt;&gt;"",MAX(0,MIN(TODAY(),EOMONTH(TODAY(),0))-MAX(G2562,EOMONTH(TODAY(),-1)+1)+1),"")</f>
        <v>12</v>
      </c>
    </row>
    <row r="2563" ht="18" spans="1:11">
      <c r="A2563" s="14">
        <f t="shared" si="120"/>
        <v>2562</v>
      </c>
      <c r="B2563" s="11" t="s">
        <v>1216</v>
      </c>
      <c r="C2563" s="14" t="str">
        <f>IFERROR(INDEX(面试清单!D:D,MATCH(2562,面试清单!P:P,0)),"")</f>
        <v/>
      </c>
      <c r="D2563" s="11" t="s">
        <v>43</v>
      </c>
      <c r="E2563" s="11" t="s">
        <v>62</v>
      </c>
      <c r="F2563" s="11" t="s">
        <v>103</v>
      </c>
      <c r="G2563" s="15">
        <v>46178</v>
      </c>
      <c r="H2563" s="14" t="str">
        <f>IFERROR(INDEX(面试清单!H:H,MATCH(2562,面试清单!P:P,0)),"")</f>
        <v/>
      </c>
      <c r="I2563" s="13" t="s">
        <v>29</v>
      </c>
      <c r="J2563" s="14">
        <f ca="1" t="shared" si="121"/>
        <v>11</v>
      </c>
      <c r="K2563" s="14">
        <f ca="1" t="shared" si="122"/>
        <v>12</v>
      </c>
    </row>
    <row r="2564" ht="18" spans="1:11">
      <c r="A2564" s="10">
        <f t="shared" si="120"/>
        <v>2563</v>
      </c>
      <c r="B2564" s="11" t="s">
        <v>6286</v>
      </c>
      <c r="C2564" s="10" t="str">
        <f>IFERROR(INDEX(面试清单!D:D,MATCH(2563,面试清单!P:P,0)),"")</f>
        <v/>
      </c>
      <c r="D2564" s="11" t="s">
        <v>42</v>
      </c>
      <c r="E2564" s="11" t="s">
        <v>62</v>
      </c>
      <c r="F2564" s="11" t="s">
        <v>246</v>
      </c>
      <c r="G2564" s="15">
        <v>46178</v>
      </c>
      <c r="H2564" s="10" t="str">
        <f>IFERROR(INDEX(面试清单!H:H,MATCH(2563,面试清单!P:P,0)),"")</f>
        <v/>
      </c>
      <c r="I2564" s="13" t="s">
        <v>29</v>
      </c>
      <c r="J2564" s="10">
        <f ca="1" t="shared" si="121"/>
        <v>11</v>
      </c>
      <c r="K2564" s="10">
        <f ca="1" t="shared" si="122"/>
        <v>12</v>
      </c>
    </row>
    <row r="2565" ht="18" spans="1:11">
      <c r="A2565" s="14">
        <f t="shared" si="120"/>
        <v>2564</v>
      </c>
      <c r="B2565" s="11" t="s">
        <v>1304</v>
      </c>
      <c r="C2565" s="14" t="str">
        <f>IFERROR(INDEX(面试清单!D:D,MATCH(2564,面试清单!P:P,0)),"")</f>
        <v/>
      </c>
      <c r="D2565" s="11" t="s">
        <v>43</v>
      </c>
      <c r="E2565" s="11" t="s">
        <v>62</v>
      </c>
      <c r="F2565" s="11" t="s">
        <v>246</v>
      </c>
      <c r="G2565" s="15">
        <v>46178</v>
      </c>
      <c r="H2565" s="14" t="str">
        <f>IFERROR(INDEX(面试清单!H:H,MATCH(2564,面试清单!P:P,0)),"")</f>
        <v/>
      </c>
      <c r="I2565" s="13" t="s">
        <v>29</v>
      </c>
      <c r="J2565" s="14">
        <f ca="1" t="shared" si="121"/>
        <v>11</v>
      </c>
      <c r="K2565" s="14">
        <f ca="1" t="shared" si="122"/>
        <v>12</v>
      </c>
    </row>
    <row r="2566" ht="36" spans="1:11">
      <c r="A2566" s="10">
        <f t="shared" si="120"/>
        <v>2565</v>
      </c>
      <c r="B2566" s="11" t="s">
        <v>6287</v>
      </c>
      <c r="C2566" s="10" t="str">
        <f>IFERROR(INDEX(面试清单!D:D,MATCH(2565,面试清单!P:P,0)),"")</f>
        <v/>
      </c>
      <c r="D2566" s="11" t="s">
        <v>43</v>
      </c>
      <c r="E2566" s="11" t="s">
        <v>62</v>
      </c>
      <c r="F2566" s="11" t="s">
        <v>173</v>
      </c>
      <c r="G2566" s="15">
        <v>46178</v>
      </c>
      <c r="H2566" s="10" t="str">
        <f>IFERROR(INDEX(面试清单!H:H,MATCH(2565,面试清单!P:P,0)),"")</f>
        <v/>
      </c>
      <c r="I2566" s="13" t="s">
        <v>29</v>
      </c>
      <c r="J2566" s="10">
        <f ca="1" t="shared" si="121"/>
        <v>11</v>
      </c>
      <c r="K2566" s="10">
        <f ca="1" t="shared" si="122"/>
        <v>12</v>
      </c>
    </row>
    <row r="2567" ht="18" spans="1:11">
      <c r="A2567" s="14">
        <f t="shared" si="120"/>
        <v>2566</v>
      </c>
      <c r="B2567" s="11" t="s">
        <v>6288</v>
      </c>
      <c r="C2567" s="14" t="str">
        <f>IFERROR(INDEX(面试清单!D:D,MATCH(2566,面试清单!P:P,0)),"")</f>
        <v/>
      </c>
      <c r="D2567" s="11" t="s">
        <v>42</v>
      </c>
      <c r="E2567" s="11" t="s">
        <v>62</v>
      </c>
      <c r="F2567" s="11" t="s">
        <v>124</v>
      </c>
      <c r="G2567" s="15">
        <v>46178</v>
      </c>
      <c r="H2567" s="14" t="str">
        <f>IFERROR(INDEX(面试清单!H:H,MATCH(2566,面试清单!P:P,0)),"")</f>
        <v/>
      </c>
      <c r="I2567" s="13" t="s">
        <v>29</v>
      </c>
      <c r="J2567" s="14">
        <f ca="1" t="shared" si="121"/>
        <v>11</v>
      </c>
      <c r="K2567" s="14">
        <f ca="1" t="shared" si="122"/>
        <v>12</v>
      </c>
    </row>
    <row r="2568" ht="18" spans="1:11">
      <c r="A2568" s="10">
        <f t="shared" si="120"/>
        <v>2567</v>
      </c>
      <c r="B2568" s="11" t="s">
        <v>549</v>
      </c>
      <c r="C2568" s="10" t="str">
        <f>IFERROR(INDEX(面试清单!D:D,MATCH(2567,面试清单!P:P,0)),"")</f>
        <v/>
      </c>
      <c r="D2568" s="11" t="s">
        <v>73</v>
      </c>
      <c r="E2568" s="11" t="s">
        <v>63</v>
      </c>
      <c r="F2568" s="11" t="s">
        <v>129</v>
      </c>
      <c r="G2568" s="15">
        <v>46178</v>
      </c>
      <c r="H2568" s="10" t="str">
        <f>IFERROR(INDEX(面试清单!H:H,MATCH(2567,面试清单!P:P,0)),"")</f>
        <v/>
      </c>
      <c r="I2568" s="13" t="s">
        <v>29</v>
      </c>
      <c r="J2568" s="10">
        <f ca="1" t="shared" si="121"/>
        <v>11</v>
      </c>
      <c r="K2568" s="10">
        <f ca="1" t="shared" si="122"/>
        <v>12</v>
      </c>
    </row>
    <row r="2569" ht="18" spans="1:11">
      <c r="A2569" s="14">
        <f t="shared" si="120"/>
        <v>2568</v>
      </c>
      <c r="B2569" s="11" t="s">
        <v>550</v>
      </c>
      <c r="C2569" s="14" t="str">
        <f>IFERROR(INDEX(面试清单!D:D,MATCH(2568,面试清单!P:P,0)),"")</f>
        <v/>
      </c>
      <c r="D2569" s="11" t="s">
        <v>73</v>
      </c>
      <c r="E2569" s="11" t="s">
        <v>63</v>
      </c>
      <c r="F2569" s="11" t="s">
        <v>129</v>
      </c>
      <c r="G2569" s="15">
        <v>46178</v>
      </c>
      <c r="H2569" s="14" t="str">
        <f>IFERROR(INDEX(面试清单!H:H,MATCH(2568,面试清单!P:P,0)),"")</f>
        <v/>
      </c>
      <c r="I2569" s="13" t="s">
        <v>29</v>
      </c>
      <c r="J2569" s="14">
        <f ca="1" t="shared" si="121"/>
        <v>11</v>
      </c>
      <c r="K2569" s="14">
        <f ca="1" t="shared" si="122"/>
        <v>12</v>
      </c>
    </row>
    <row r="2570" ht="18" spans="1:11">
      <c r="A2570" s="10">
        <f t="shared" si="120"/>
        <v>2569</v>
      </c>
      <c r="B2570" s="11" t="s">
        <v>551</v>
      </c>
      <c r="C2570" s="10" t="str">
        <f>IFERROR(INDEX(面试清单!D:D,MATCH(2569,面试清单!P:P,0)),"")</f>
        <v/>
      </c>
      <c r="D2570" s="11" t="s">
        <v>73</v>
      </c>
      <c r="E2570" s="11" t="s">
        <v>63</v>
      </c>
      <c r="F2570" s="11" t="s">
        <v>129</v>
      </c>
      <c r="G2570" s="15">
        <v>46178</v>
      </c>
      <c r="H2570" s="10" t="str">
        <f>IFERROR(INDEX(面试清单!H:H,MATCH(2569,面试清单!P:P,0)),"")</f>
        <v/>
      </c>
      <c r="I2570" s="13" t="s">
        <v>29</v>
      </c>
      <c r="J2570" s="10">
        <f ca="1" t="shared" si="121"/>
        <v>11</v>
      </c>
      <c r="K2570" s="10">
        <f ca="1" t="shared" si="122"/>
        <v>12</v>
      </c>
    </row>
    <row r="2571" ht="18" spans="1:11">
      <c r="A2571" s="14">
        <f t="shared" si="120"/>
        <v>2570</v>
      </c>
      <c r="B2571" s="11" t="s">
        <v>1314</v>
      </c>
      <c r="C2571" s="14" t="str">
        <f>IFERROR(INDEX(面试清单!D:D,MATCH(2570,面试清单!P:P,0)),"")</f>
        <v/>
      </c>
      <c r="D2571" s="11" t="s">
        <v>42</v>
      </c>
      <c r="E2571" s="11" t="s">
        <v>63</v>
      </c>
      <c r="F2571" s="11" t="s">
        <v>468</v>
      </c>
      <c r="G2571" s="15">
        <v>46178</v>
      </c>
      <c r="H2571" s="14" t="str">
        <f>IFERROR(INDEX(面试清单!H:H,MATCH(2570,面试清单!P:P,0)),"")</f>
        <v/>
      </c>
      <c r="I2571" s="13" t="s">
        <v>29</v>
      </c>
      <c r="J2571" s="14">
        <f ca="1" t="shared" si="121"/>
        <v>11</v>
      </c>
      <c r="K2571" s="14">
        <f ca="1" t="shared" si="122"/>
        <v>12</v>
      </c>
    </row>
    <row r="2572" ht="18" spans="1:11">
      <c r="A2572" s="10">
        <f t="shared" si="120"/>
        <v>2571</v>
      </c>
      <c r="B2572" s="11" t="s">
        <v>1313</v>
      </c>
      <c r="C2572" s="10" t="str">
        <f>IFERROR(INDEX(面试清单!D:D,MATCH(2571,面试清单!P:P,0)),"")</f>
        <v/>
      </c>
      <c r="D2572" s="11" t="s">
        <v>42</v>
      </c>
      <c r="E2572" s="11" t="s">
        <v>63</v>
      </c>
      <c r="F2572" s="11" t="s">
        <v>468</v>
      </c>
      <c r="G2572" s="15">
        <v>46178</v>
      </c>
      <c r="H2572" s="10" t="str">
        <f>IFERROR(INDEX(面试清单!H:H,MATCH(2571,面试清单!P:P,0)),"")</f>
        <v/>
      </c>
      <c r="I2572" s="13" t="s">
        <v>29</v>
      </c>
      <c r="J2572" s="10">
        <f ca="1" t="shared" si="121"/>
        <v>11</v>
      </c>
      <c r="K2572" s="10">
        <f ca="1" t="shared" si="122"/>
        <v>12</v>
      </c>
    </row>
    <row r="2573" ht="18" spans="1:11">
      <c r="A2573" s="14">
        <f t="shared" si="120"/>
        <v>2572</v>
      </c>
      <c r="B2573" s="11" t="s">
        <v>552</v>
      </c>
      <c r="C2573" s="14" t="str">
        <f>IFERROR(INDEX(面试清单!D:D,MATCH(2572,面试清单!P:P,0)),"")</f>
        <v/>
      </c>
      <c r="D2573" s="11" t="s">
        <v>42</v>
      </c>
      <c r="E2573" s="11" t="s">
        <v>64</v>
      </c>
      <c r="F2573" s="11" t="s">
        <v>148</v>
      </c>
      <c r="G2573" s="15">
        <v>46179</v>
      </c>
      <c r="H2573" s="14" t="str">
        <f>IFERROR(INDEX(面试清单!H:H,MATCH(2572,面试清单!P:P,0)),"")</f>
        <v/>
      </c>
      <c r="I2573" s="13" t="s">
        <v>29</v>
      </c>
      <c r="J2573" s="14">
        <f ca="1" t="shared" si="121"/>
        <v>10</v>
      </c>
      <c r="K2573" s="14">
        <f ca="1" t="shared" si="122"/>
        <v>11</v>
      </c>
    </row>
    <row r="2574" ht="18" spans="1:11">
      <c r="A2574" s="10">
        <f t="shared" si="120"/>
        <v>2573</v>
      </c>
      <c r="B2574" s="11" t="s">
        <v>553</v>
      </c>
      <c r="C2574" s="10" t="str">
        <f>IFERROR(INDEX(面试清单!D:D,MATCH(2573,面试清单!P:P,0)),"")</f>
        <v/>
      </c>
      <c r="D2574" s="11" t="s">
        <v>43</v>
      </c>
      <c r="E2574" s="11" t="s">
        <v>64</v>
      </c>
      <c r="F2574" s="11" t="s">
        <v>148</v>
      </c>
      <c r="G2574" s="15">
        <v>46178</v>
      </c>
      <c r="H2574" s="10" t="str">
        <f>IFERROR(INDEX(面试清单!H:H,MATCH(2573,面试清单!P:P,0)),"")</f>
        <v/>
      </c>
      <c r="I2574" s="13" t="s">
        <v>29</v>
      </c>
      <c r="J2574" s="10">
        <f ca="1" t="shared" si="121"/>
        <v>11</v>
      </c>
      <c r="K2574" s="10">
        <f ca="1" t="shared" si="122"/>
        <v>12</v>
      </c>
    </row>
    <row r="2575" ht="18" spans="1:11">
      <c r="A2575" s="14">
        <f t="shared" si="120"/>
        <v>2574</v>
      </c>
      <c r="B2575" s="11" t="s">
        <v>556</v>
      </c>
      <c r="C2575" s="14" t="str">
        <f>IFERROR(INDEX(面试清单!D:D,MATCH(2574,面试清单!P:P,0)),"")</f>
        <v/>
      </c>
      <c r="D2575" s="11" t="s">
        <v>42</v>
      </c>
      <c r="E2575" s="11" t="s">
        <v>64</v>
      </c>
      <c r="F2575" s="11" t="s">
        <v>148</v>
      </c>
      <c r="G2575" s="15">
        <v>46178</v>
      </c>
      <c r="H2575" s="14" t="str">
        <f>IFERROR(INDEX(面试清单!H:H,MATCH(2574,面试清单!P:P,0)),"")</f>
        <v/>
      </c>
      <c r="I2575" s="13" t="s">
        <v>29</v>
      </c>
      <c r="J2575" s="14">
        <f ca="1" t="shared" si="121"/>
        <v>11</v>
      </c>
      <c r="K2575" s="14">
        <f ca="1" t="shared" si="122"/>
        <v>12</v>
      </c>
    </row>
    <row r="2576" ht="18" spans="1:11">
      <c r="A2576" s="10">
        <f t="shared" si="120"/>
        <v>2575</v>
      </c>
      <c r="B2576" s="11" t="s">
        <v>6289</v>
      </c>
      <c r="C2576" s="10" t="str">
        <f>IFERROR(INDEX(面试清单!D:D,MATCH(2575,面试清单!P:P,0)),"")</f>
        <v/>
      </c>
      <c r="D2576" s="11" t="s">
        <v>42</v>
      </c>
      <c r="E2576" s="11" t="s">
        <v>63</v>
      </c>
      <c r="F2576" s="11" t="s">
        <v>744</v>
      </c>
      <c r="G2576" s="15">
        <v>46178</v>
      </c>
      <c r="H2576" s="10" t="str">
        <f>IFERROR(INDEX(面试清单!H:H,MATCH(2575,面试清单!P:P,0)),"")</f>
        <v/>
      </c>
      <c r="I2576" s="13" t="s">
        <v>29</v>
      </c>
      <c r="J2576" s="10">
        <f ca="1" t="shared" si="121"/>
        <v>11</v>
      </c>
      <c r="K2576" s="10">
        <f ca="1" t="shared" si="122"/>
        <v>12</v>
      </c>
    </row>
    <row r="2577" ht="18" spans="1:11">
      <c r="A2577" s="14">
        <f t="shared" si="120"/>
        <v>2576</v>
      </c>
      <c r="B2577" s="11" t="s">
        <v>6290</v>
      </c>
      <c r="C2577" s="14" t="str">
        <f>IFERROR(INDEX(面试清单!D:D,MATCH(2576,面试清单!P:P,0)),"")</f>
        <v/>
      </c>
      <c r="D2577" s="11" t="s">
        <v>42</v>
      </c>
      <c r="E2577" s="11" t="s">
        <v>63</v>
      </c>
      <c r="F2577" s="11" t="s">
        <v>744</v>
      </c>
      <c r="G2577" s="15">
        <v>46178</v>
      </c>
      <c r="H2577" s="14" t="str">
        <f>IFERROR(INDEX(面试清单!H:H,MATCH(2576,面试清单!P:P,0)),"")</f>
        <v/>
      </c>
      <c r="I2577" s="13" t="s">
        <v>29</v>
      </c>
      <c r="J2577" s="14">
        <f ca="1" t="shared" si="121"/>
        <v>11</v>
      </c>
      <c r="K2577" s="14">
        <f ca="1" t="shared" si="122"/>
        <v>12</v>
      </c>
    </row>
    <row r="2578" ht="18" spans="1:11">
      <c r="A2578" s="10">
        <f t="shared" si="120"/>
        <v>2577</v>
      </c>
      <c r="B2578" s="11" t="s">
        <v>6291</v>
      </c>
      <c r="C2578" s="10" t="str">
        <f>IFERROR(INDEX(面试清单!D:D,MATCH(2577,面试清单!P:P,0)),"")</f>
        <v/>
      </c>
      <c r="D2578" s="11" t="s">
        <v>42</v>
      </c>
      <c r="E2578" s="11" t="s">
        <v>63</v>
      </c>
      <c r="F2578" s="11" t="s">
        <v>744</v>
      </c>
      <c r="G2578" s="15">
        <v>46178</v>
      </c>
      <c r="H2578" s="10" t="str">
        <f>IFERROR(INDEX(面试清单!H:H,MATCH(2577,面试清单!P:P,0)),"")</f>
        <v/>
      </c>
      <c r="I2578" s="13" t="s">
        <v>29</v>
      </c>
      <c r="J2578" s="10">
        <f ca="1" t="shared" si="121"/>
        <v>11</v>
      </c>
      <c r="K2578" s="10">
        <f ca="1" t="shared" si="122"/>
        <v>12</v>
      </c>
    </row>
    <row r="2579" ht="18" spans="1:11">
      <c r="A2579" s="14">
        <f t="shared" si="120"/>
        <v>2578</v>
      </c>
      <c r="B2579" s="11" t="s">
        <v>6292</v>
      </c>
      <c r="C2579" s="14" t="str">
        <f>IFERROR(INDEX(面试清单!D:D,MATCH(2578,面试清单!P:P,0)),"")</f>
        <v/>
      </c>
      <c r="D2579" s="11" t="s">
        <v>42</v>
      </c>
      <c r="E2579" s="11" t="s">
        <v>63</v>
      </c>
      <c r="F2579" s="11" t="s">
        <v>744</v>
      </c>
      <c r="G2579" s="15">
        <v>46178</v>
      </c>
      <c r="H2579" s="14" t="str">
        <f>IFERROR(INDEX(面试清单!H:H,MATCH(2578,面试清单!P:P,0)),"")</f>
        <v/>
      </c>
      <c r="I2579" s="13" t="s">
        <v>29</v>
      </c>
      <c r="J2579" s="14">
        <f ca="1" t="shared" si="121"/>
        <v>11</v>
      </c>
      <c r="K2579" s="14">
        <f ca="1" t="shared" si="122"/>
        <v>12</v>
      </c>
    </row>
    <row r="2580" ht="18" spans="1:11">
      <c r="A2580" s="10">
        <f t="shared" si="120"/>
        <v>2579</v>
      </c>
      <c r="B2580" s="11" t="s">
        <v>6293</v>
      </c>
      <c r="C2580" s="10" t="str">
        <f>IFERROR(INDEX(面试清单!D:D,MATCH(2579,面试清单!P:P,0)),"")</f>
        <v/>
      </c>
      <c r="D2580" s="11" t="s">
        <v>42</v>
      </c>
      <c r="E2580" s="11" t="s">
        <v>63</v>
      </c>
      <c r="F2580" s="11" t="s">
        <v>744</v>
      </c>
      <c r="G2580" s="15">
        <v>46178</v>
      </c>
      <c r="H2580" s="10" t="str">
        <f>IFERROR(INDEX(面试清单!H:H,MATCH(2579,面试清单!P:P,0)),"")</f>
        <v/>
      </c>
      <c r="I2580" s="13" t="s">
        <v>29</v>
      </c>
      <c r="J2580" s="10">
        <f ca="1" t="shared" si="121"/>
        <v>11</v>
      </c>
      <c r="K2580" s="10">
        <f ca="1" t="shared" si="122"/>
        <v>12</v>
      </c>
    </row>
    <row r="2581" ht="18" spans="1:11">
      <c r="A2581" s="14">
        <f t="shared" si="120"/>
        <v>2580</v>
      </c>
      <c r="B2581" s="11" t="s">
        <v>6294</v>
      </c>
      <c r="C2581" s="14" t="str">
        <f>IFERROR(INDEX(面试清单!D:D,MATCH(2580,面试清单!P:P,0)),"")</f>
        <v/>
      </c>
      <c r="D2581" s="11" t="s">
        <v>42</v>
      </c>
      <c r="E2581" s="11" t="s">
        <v>64</v>
      </c>
      <c r="F2581" s="11" t="s">
        <v>744</v>
      </c>
      <c r="G2581" s="15">
        <v>46178</v>
      </c>
      <c r="H2581" s="14" t="str">
        <f>IFERROR(INDEX(面试清单!H:H,MATCH(2580,面试清单!P:P,0)),"")</f>
        <v/>
      </c>
      <c r="I2581" s="13" t="s">
        <v>29</v>
      </c>
      <c r="J2581" s="14">
        <f ca="1" t="shared" si="121"/>
        <v>11</v>
      </c>
      <c r="K2581" s="14">
        <f ca="1" t="shared" si="122"/>
        <v>12</v>
      </c>
    </row>
    <row r="2582" ht="18" spans="1:11">
      <c r="A2582" s="10">
        <f t="shared" si="120"/>
        <v>2581</v>
      </c>
      <c r="B2582" s="11" t="s">
        <v>6295</v>
      </c>
      <c r="C2582" s="10" t="str">
        <f>IFERROR(INDEX(面试清单!D:D,MATCH(2581,面试清单!P:P,0)),"")</f>
        <v/>
      </c>
      <c r="D2582" s="11" t="s">
        <v>42</v>
      </c>
      <c r="E2582" s="11" t="s">
        <v>64</v>
      </c>
      <c r="F2582" s="11" t="s">
        <v>744</v>
      </c>
      <c r="G2582" s="15">
        <v>46178</v>
      </c>
      <c r="H2582" s="10" t="str">
        <f>IFERROR(INDEX(面试清单!H:H,MATCH(2581,面试清单!P:P,0)),"")</f>
        <v/>
      </c>
      <c r="I2582" s="13" t="s">
        <v>29</v>
      </c>
      <c r="J2582" s="10">
        <f ca="1" t="shared" si="121"/>
        <v>11</v>
      </c>
      <c r="K2582" s="10">
        <f ca="1" t="shared" si="122"/>
        <v>12</v>
      </c>
    </row>
    <row r="2583" ht="18" spans="1:11">
      <c r="A2583" s="14">
        <f t="shared" si="120"/>
        <v>2582</v>
      </c>
      <c r="B2583" s="11" t="s">
        <v>6296</v>
      </c>
      <c r="C2583" s="14" t="str">
        <f>IFERROR(INDEX(面试清单!D:D,MATCH(2582,面试清单!P:P,0)),"")</f>
        <v/>
      </c>
      <c r="D2583" s="11" t="s">
        <v>42</v>
      </c>
      <c r="E2583" s="11" t="s">
        <v>64</v>
      </c>
      <c r="F2583" s="11" t="s">
        <v>744</v>
      </c>
      <c r="G2583" s="15">
        <v>46178</v>
      </c>
      <c r="H2583" s="14" t="str">
        <f>IFERROR(INDEX(面试清单!H:H,MATCH(2582,面试清单!P:P,0)),"")</f>
        <v/>
      </c>
      <c r="I2583" s="13" t="s">
        <v>29</v>
      </c>
      <c r="J2583" s="14">
        <f ca="1" t="shared" si="121"/>
        <v>11</v>
      </c>
      <c r="K2583" s="14">
        <f ca="1" t="shared" si="122"/>
        <v>12</v>
      </c>
    </row>
    <row r="2584" ht="18" spans="1:11">
      <c r="A2584" s="10">
        <f t="shared" si="120"/>
        <v>2583</v>
      </c>
      <c r="B2584" s="11" t="s">
        <v>1291</v>
      </c>
      <c r="C2584" s="10" t="str">
        <f>IFERROR(INDEX(面试清单!D:D,MATCH(2583,面试清单!P:P,0)),"")</f>
        <v/>
      </c>
      <c r="D2584" s="11" t="s">
        <v>43</v>
      </c>
      <c r="E2584" s="11" t="s">
        <v>62</v>
      </c>
      <c r="F2584" s="11" t="s">
        <v>1166</v>
      </c>
      <c r="G2584" s="15">
        <v>46178</v>
      </c>
      <c r="H2584" s="10" t="str">
        <f>IFERROR(INDEX(面试清单!H:H,MATCH(2583,面试清单!P:P,0)),"")</f>
        <v/>
      </c>
      <c r="I2584" s="13" t="s">
        <v>29</v>
      </c>
      <c r="J2584" s="10">
        <f ca="1" t="shared" si="121"/>
        <v>11</v>
      </c>
      <c r="K2584" s="10">
        <f ca="1" t="shared" si="122"/>
        <v>12</v>
      </c>
    </row>
    <row r="2585" ht="18" spans="1:11">
      <c r="A2585" s="14">
        <f t="shared" si="120"/>
        <v>2584</v>
      </c>
      <c r="B2585" s="11" t="s">
        <v>557</v>
      </c>
      <c r="C2585" s="14" t="str">
        <f>IFERROR(INDEX(面试清单!D:D,MATCH(2584,面试清单!P:P,0)),"")</f>
        <v/>
      </c>
      <c r="D2585" s="11" t="s">
        <v>43</v>
      </c>
      <c r="E2585" s="11" t="s">
        <v>62</v>
      </c>
      <c r="F2585" s="11" t="s">
        <v>103</v>
      </c>
      <c r="G2585" s="15">
        <v>46178</v>
      </c>
      <c r="H2585" s="14" t="str">
        <f>IFERROR(INDEX(面试清单!H:H,MATCH(2584,面试清单!P:P,0)),"")</f>
        <v/>
      </c>
      <c r="I2585" s="13" t="s">
        <v>29</v>
      </c>
      <c r="J2585" s="14">
        <f ca="1" t="shared" si="121"/>
        <v>11</v>
      </c>
      <c r="K2585" s="14">
        <f ca="1" t="shared" si="122"/>
        <v>12</v>
      </c>
    </row>
    <row r="2586" ht="18" spans="1:11">
      <c r="A2586" s="10">
        <f t="shared" si="120"/>
        <v>2585</v>
      </c>
      <c r="B2586" s="11" t="s">
        <v>558</v>
      </c>
      <c r="C2586" s="10" t="str">
        <f>IFERROR(INDEX(面试清单!D:D,MATCH(2585,面试清单!P:P,0)),"")</f>
        <v/>
      </c>
      <c r="D2586" s="11" t="s">
        <v>43</v>
      </c>
      <c r="E2586" s="11" t="s">
        <v>62</v>
      </c>
      <c r="F2586" s="11" t="s">
        <v>103</v>
      </c>
      <c r="G2586" s="15">
        <v>46178</v>
      </c>
      <c r="H2586" s="10" t="str">
        <f>IFERROR(INDEX(面试清单!H:H,MATCH(2585,面试清单!P:P,0)),"")</f>
        <v/>
      </c>
      <c r="I2586" s="13" t="s">
        <v>29</v>
      </c>
      <c r="J2586" s="10">
        <f ca="1" t="shared" si="121"/>
        <v>11</v>
      </c>
      <c r="K2586" s="10">
        <f ca="1" t="shared" si="122"/>
        <v>12</v>
      </c>
    </row>
    <row r="2587" ht="18" spans="1:11">
      <c r="A2587" s="14">
        <f t="shared" si="120"/>
        <v>2586</v>
      </c>
      <c r="B2587" s="11" t="s">
        <v>559</v>
      </c>
      <c r="C2587" s="14" t="str">
        <f>IFERROR(INDEX(面试清单!D:D,MATCH(2586,面试清单!P:P,0)),"")</f>
        <v/>
      </c>
      <c r="D2587" s="11" t="s">
        <v>42</v>
      </c>
      <c r="E2587" s="11" t="s">
        <v>63</v>
      </c>
      <c r="F2587" s="11" t="s">
        <v>103</v>
      </c>
      <c r="G2587" s="15">
        <v>46178</v>
      </c>
      <c r="H2587" s="14" t="str">
        <f>IFERROR(INDEX(面试清单!H:H,MATCH(2586,面试清单!P:P,0)),"")</f>
        <v/>
      </c>
      <c r="I2587" s="13" t="s">
        <v>29</v>
      </c>
      <c r="J2587" s="14">
        <f ca="1" t="shared" si="121"/>
        <v>11</v>
      </c>
      <c r="K2587" s="14">
        <f ca="1" t="shared" si="122"/>
        <v>12</v>
      </c>
    </row>
    <row r="2588" ht="18" spans="1:11">
      <c r="A2588" s="10">
        <f t="shared" si="120"/>
        <v>2587</v>
      </c>
      <c r="B2588" s="11" t="s">
        <v>561</v>
      </c>
      <c r="C2588" s="10" t="str">
        <f>IFERROR(INDEX(面试清单!D:D,MATCH(2587,面试清单!P:P,0)),"")</f>
        <v/>
      </c>
      <c r="D2588" s="11" t="s">
        <v>42</v>
      </c>
      <c r="E2588" s="11" t="s">
        <v>64</v>
      </c>
      <c r="F2588" s="11" t="s">
        <v>117</v>
      </c>
      <c r="G2588" s="15">
        <v>46178</v>
      </c>
      <c r="H2588" s="10" t="str">
        <f>IFERROR(INDEX(面试清单!H:H,MATCH(2587,面试清单!P:P,0)),"")</f>
        <v/>
      </c>
      <c r="I2588" s="13" t="s">
        <v>29</v>
      </c>
      <c r="J2588" s="10">
        <f ca="1" t="shared" si="121"/>
        <v>11</v>
      </c>
      <c r="K2588" s="10">
        <f ca="1" t="shared" si="122"/>
        <v>12</v>
      </c>
    </row>
    <row r="2589" ht="18" spans="1:11">
      <c r="A2589" s="14">
        <f t="shared" si="120"/>
        <v>2588</v>
      </c>
      <c r="B2589" s="11" t="s">
        <v>567</v>
      </c>
      <c r="C2589" s="14" t="str">
        <f>IFERROR(INDEX(面试清单!D:D,MATCH(2588,面试清单!P:P,0)),"")</f>
        <v/>
      </c>
      <c r="D2589" s="11" t="s">
        <v>42</v>
      </c>
      <c r="E2589" s="11" t="s">
        <v>64</v>
      </c>
      <c r="F2589" s="11" t="s">
        <v>148</v>
      </c>
      <c r="G2589" s="15">
        <v>46178</v>
      </c>
      <c r="H2589" s="14" t="str">
        <f>IFERROR(INDEX(面试清单!H:H,MATCH(2588,面试清单!P:P,0)),"")</f>
        <v/>
      </c>
      <c r="I2589" s="13" t="s">
        <v>29</v>
      </c>
      <c r="J2589" s="14">
        <f ca="1" t="shared" si="121"/>
        <v>11</v>
      </c>
      <c r="K2589" s="14">
        <f ca="1" t="shared" si="122"/>
        <v>12</v>
      </c>
    </row>
    <row r="2590" ht="18" spans="1:11">
      <c r="A2590" s="10">
        <f t="shared" si="120"/>
        <v>2589</v>
      </c>
      <c r="B2590" s="11" t="s">
        <v>571</v>
      </c>
      <c r="C2590" s="10" t="str">
        <f>IFERROR(INDEX(面试清单!D:D,MATCH(2589,面试清单!P:P,0)),"")</f>
        <v/>
      </c>
      <c r="D2590" s="11" t="s">
        <v>42</v>
      </c>
      <c r="E2590" s="11" t="s">
        <v>64</v>
      </c>
      <c r="F2590" s="11" t="s">
        <v>426</v>
      </c>
      <c r="G2590" s="15">
        <v>46178</v>
      </c>
      <c r="H2590" s="10" t="str">
        <f>IFERROR(INDEX(面试清单!H:H,MATCH(2589,面试清单!P:P,0)),"")</f>
        <v/>
      </c>
      <c r="I2590" s="13" t="s">
        <v>29</v>
      </c>
      <c r="J2590" s="10">
        <f ca="1" t="shared" si="121"/>
        <v>11</v>
      </c>
      <c r="K2590" s="10">
        <f ca="1" t="shared" si="122"/>
        <v>12</v>
      </c>
    </row>
    <row r="2591" ht="18" spans="1:11">
      <c r="A2591" s="14">
        <f t="shared" si="120"/>
        <v>2590</v>
      </c>
      <c r="B2591" s="11" t="s">
        <v>572</v>
      </c>
      <c r="C2591" s="14" t="str">
        <f>IFERROR(INDEX(面试清单!D:D,MATCH(2590,面试清单!P:P,0)),"")</f>
        <v/>
      </c>
      <c r="D2591" s="11" t="s">
        <v>42</v>
      </c>
      <c r="E2591" s="11" t="s">
        <v>64</v>
      </c>
      <c r="F2591" s="11" t="s">
        <v>332</v>
      </c>
      <c r="G2591" s="15">
        <v>46178</v>
      </c>
      <c r="H2591" s="14" t="str">
        <f>IFERROR(INDEX(面试清单!H:H,MATCH(2590,面试清单!P:P,0)),"")</f>
        <v/>
      </c>
      <c r="I2591" s="13" t="s">
        <v>29</v>
      </c>
      <c r="J2591" s="14">
        <f ca="1" t="shared" si="121"/>
        <v>11</v>
      </c>
      <c r="K2591" s="14">
        <f ca="1" t="shared" si="122"/>
        <v>12</v>
      </c>
    </row>
    <row r="2592" ht="18" spans="1:11">
      <c r="A2592" s="10">
        <f t="shared" si="120"/>
        <v>2591</v>
      </c>
      <c r="B2592" s="11" t="s">
        <v>573</v>
      </c>
      <c r="C2592" s="10" t="str">
        <f>IFERROR(INDEX(面试清单!D:D,MATCH(2591,面试清单!P:P,0)),"")</f>
        <v/>
      </c>
      <c r="D2592" s="11" t="s">
        <v>42</v>
      </c>
      <c r="E2592" s="11" t="s">
        <v>64</v>
      </c>
      <c r="F2592" s="11" t="s">
        <v>332</v>
      </c>
      <c r="G2592" s="15">
        <v>46178</v>
      </c>
      <c r="H2592" s="10" t="str">
        <f>IFERROR(INDEX(面试清单!H:H,MATCH(2591,面试清单!P:P,0)),"")</f>
        <v/>
      </c>
      <c r="I2592" s="13" t="s">
        <v>29</v>
      </c>
      <c r="J2592" s="10">
        <f ca="1" t="shared" si="121"/>
        <v>11</v>
      </c>
      <c r="K2592" s="10">
        <f ca="1" t="shared" si="122"/>
        <v>12</v>
      </c>
    </row>
    <row r="2593" ht="18" spans="1:11">
      <c r="A2593" s="14">
        <f t="shared" si="120"/>
        <v>2592</v>
      </c>
      <c r="B2593" s="11" t="s">
        <v>576</v>
      </c>
      <c r="C2593" s="14" t="str">
        <f>IFERROR(INDEX(面试清单!D:D,MATCH(2592,面试清单!P:P,0)),"")</f>
        <v/>
      </c>
      <c r="D2593" s="11" t="s">
        <v>42</v>
      </c>
      <c r="E2593" s="11" t="s">
        <v>64</v>
      </c>
      <c r="F2593" s="11" t="s">
        <v>512</v>
      </c>
      <c r="G2593" s="15">
        <v>46178</v>
      </c>
      <c r="H2593" s="14" t="str">
        <f>IFERROR(INDEX(面试清单!H:H,MATCH(2592,面试清单!P:P,0)),"")</f>
        <v/>
      </c>
      <c r="I2593" s="13" t="s">
        <v>29</v>
      </c>
      <c r="J2593" s="14">
        <f ca="1" t="shared" si="121"/>
        <v>11</v>
      </c>
      <c r="K2593" s="14">
        <f ca="1" t="shared" si="122"/>
        <v>12</v>
      </c>
    </row>
    <row r="2594" ht="18" spans="1:11">
      <c r="A2594" s="10">
        <f t="shared" si="120"/>
        <v>2593</v>
      </c>
      <c r="B2594" s="11" t="s">
        <v>577</v>
      </c>
      <c r="C2594" s="10" t="str">
        <f>IFERROR(INDEX(面试清单!D:D,MATCH(2593,面试清单!P:P,0)),"")</f>
        <v/>
      </c>
      <c r="D2594" s="11" t="s">
        <v>42</v>
      </c>
      <c r="E2594" s="11" t="s">
        <v>64</v>
      </c>
      <c r="F2594" s="11" t="s">
        <v>578</v>
      </c>
      <c r="G2594" s="15">
        <v>46178</v>
      </c>
      <c r="H2594" s="10" t="str">
        <f>IFERROR(INDEX(面试清单!H:H,MATCH(2593,面试清单!P:P,0)),"")</f>
        <v/>
      </c>
      <c r="I2594" s="13" t="s">
        <v>29</v>
      </c>
      <c r="J2594" s="10">
        <f ca="1" t="shared" si="121"/>
        <v>11</v>
      </c>
      <c r="K2594" s="10">
        <f ca="1" t="shared" si="122"/>
        <v>12</v>
      </c>
    </row>
    <row r="2595" ht="18" spans="1:11">
      <c r="A2595" s="14">
        <f t="shared" si="120"/>
        <v>2594</v>
      </c>
      <c r="B2595" s="11" t="s">
        <v>580</v>
      </c>
      <c r="C2595" s="14" t="str">
        <f>IFERROR(INDEX(面试清单!D:D,MATCH(2594,面试清单!P:P,0)),"")</f>
        <v/>
      </c>
      <c r="D2595" s="11" t="s">
        <v>42</v>
      </c>
      <c r="E2595" s="11" t="s">
        <v>64</v>
      </c>
      <c r="F2595" s="11" t="s">
        <v>578</v>
      </c>
      <c r="G2595" s="15">
        <v>46178</v>
      </c>
      <c r="H2595" s="14" t="str">
        <f>IFERROR(INDEX(面试清单!H:H,MATCH(2594,面试清单!P:P,0)),"")</f>
        <v/>
      </c>
      <c r="I2595" s="13" t="s">
        <v>29</v>
      </c>
      <c r="J2595" s="14">
        <f ca="1" t="shared" si="121"/>
        <v>11</v>
      </c>
      <c r="K2595" s="14">
        <f ca="1" t="shared" si="122"/>
        <v>12</v>
      </c>
    </row>
    <row r="2596" ht="18" spans="1:11">
      <c r="A2596" s="10">
        <f t="shared" si="120"/>
        <v>2595</v>
      </c>
      <c r="B2596" s="11" t="s">
        <v>6297</v>
      </c>
      <c r="C2596" s="10" t="str">
        <f>IFERROR(INDEX(面试清单!D:D,MATCH(2595,面试清单!P:P,0)),"")</f>
        <v/>
      </c>
      <c r="D2596" s="11" t="s">
        <v>42</v>
      </c>
      <c r="E2596" s="11" t="s">
        <v>64</v>
      </c>
      <c r="F2596" s="11" t="s">
        <v>578</v>
      </c>
      <c r="G2596" s="15">
        <v>46178</v>
      </c>
      <c r="H2596" s="10" t="str">
        <f>IFERROR(INDEX(面试清单!H:H,MATCH(2595,面试清单!P:P,0)),"")</f>
        <v/>
      </c>
      <c r="I2596" s="13" t="s">
        <v>29</v>
      </c>
      <c r="J2596" s="10">
        <f ca="1" t="shared" si="121"/>
        <v>11</v>
      </c>
      <c r="K2596" s="10">
        <f ca="1" t="shared" si="122"/>
        <v>12</v>
      </c>
    </row>
    <row r="2597" ht="18" spans="1:11">
      <c r="A2597" s="14">
        <f t="shared" si="120"/>
        <v>2596</v>
      </c>
      <c r="B2597" s="11" t="s">
        <v>583</v>
      </c>
      <c r="C2597" s="14" t="str">
        <f>IFERROR(INDEX(面试清单!D:D,MATCH(2596,面试清单!P:P,0)),"")</f>
        <v/>
      </c>
      <c r="D2597" s="11" t="s">
        <v>42</v>
      </c>
      <c r="E2597" s="11" t="s">
        <v>64</v>
      </c>
      <c r="F2597" s="11" t="s">
        <v>578</v>
      </c>
      <c r="G2597" s="15">
        <v>46178</v>
      </c>
      <c r="H2597" s="14" t="str">
        <f>IFERROR(INDEX(面试清单!H:H,MATCH(2596,面试清单!P:P,0)),"")</f>
        <v/>
      </c>
      <c r="I2597" s="13" t="s">
        <v>29</v>
      </c>
      <c r="J2597" s="14">
        <f ca="1" t="shared" si="121"/>
        <v>11</v>
      </c>
      <c r="K2597" s="14">
        <f ca="1" t="shared" si="122"/>
        <v>12</v>
      </c>
    </row>
    <row r="2598" ht="18" spans="1:11">
      <c r="A2598" s="10">
        <f t="shared" si="120"/>
        <v>2597</v>
      </c>
      <c r="B2598" s="11" t="s">
        <v>585</v>
      </c>
      <c r="C2598" s="10" t="str">
        <f>IFERROR(INDEX(面试清单!D:D,MATCH(2597,面试清单!P:P,0)),"")</f>
        <v/>
      </c>
      <c r="D2598" s="11" t="s">
        <v>42</v>
      </c>
      <c r="E2598" s="11" t="s">
        <v>64</v>
      </c>
      <c r="F2598" s="11" t="s">
        <v>578</v>
      </c>
      <c r="G2598" s="15">
        <v>46178</v>
      </c>
      <c r="H2598" s="10" t="str">
        <f>IFERROR(INDEX(面试清单!H:H,MATCH(2597,面试清单!P:P,0)),"")</f>
        <v/>
      </c>
      <c r="I2598" s="13" t="s">
        <v>29</v>
      </c>
      <c r="J2598" s="10">
        <f ca="1" t="shared" si="121"/>
        <v>11</v>
      </c>
      <c r="K2598" s="10">
        <f ca="1" t="shared" si="122"/>
        <v>12</v>
      </c>
    </row>
    <row r="2599" ht="18" spans="1:11">
      <c r="A2599" s="14">
        <f t="shared" si="120"/>
        <v>2598</v>
      </c>
      <c r="B2599" s="11" t="s">
        <v>587</v>
      </c>
      <c r="C2599" s="14" t="str">
        <f>IFERROR(INDEX(面试清单!D:D,MATCH(2598,面试清单!P:P,0)),"")</f>
        <v/>
      </c>
      <c r="D2599" s="11" t="s">
        <v>42</v>
      </c>
      <c r="E2599" s="11" t="s">
        <v>64</v>
      </c>
      <c r="F2599" s="11" t="s">
        <v>578</v>
      </c>
      <c r="G2599" s="15">
        <v>46178</v>
      </c>
      <c r="H2599" s="14" t="str">
        <f>IFERROR(INDEX(面试清单!H:H,MATCH(2598,面试清单!P:P,0)),"")</f>
        <v/>
      </c>
      <c r="I2599" s="13" t="s">
        <v>29</v>
      </c>
      <c r="J2599" s="14">
        <f ca="1" t="shared" si="121"/>
        <v>11</v>
      </c>
      <c r="K2599" s="14">
        <f ca="1" t="shared" si="122"/>
        <v>12</v>
      </c>
    </row>
    <row r="2600" ht="18" spans="1:11">
      <c r="A2600" s="10">
        <f t="shared" si="120"/>
        <v>2599</v>
      </c>
      <c r="B2600" s="11" t="s">
        <v>588</v>
      </c>
      <c r="C2600" s="10" t="str">
        <f>IFERROR(INDEX(面试清单!D:D,MATCH(2599,面试清单!P:P,0)),"")</f>
        <v/>
      </c>
      <c r="D2600" s="11" t="s">
        <v>42</v>
      </c>
      <c r="E2600" s="11" t="s">
        <v>64</v>
      </c>
      <c r="F2600" s="11" t="s">
        <v>578</v>
      </c>
      <c r="G2600" s="15">
        <v>46178</v>
      </c>
      <c r="H2600" s="10" t="str">
        <f>IFERROR(INDEX(面试清单!H:H,MATCH(2599,面试清单!P:P,0)),"")</f>
        <v/>
      </c>
      <c r="I2600" s="13" t="s">
        <v>29</v>
      </c>
      <c r="J2600" s="10">
        <f ca="1" t="shared" si="121"/>
        <v>11</v>
      </c>
      <c r="K2600" s="10">
        <f ca="1" t="shared" si="122"/>
        <v>12</v>
      </c>
    </row>
    <row r="2601" ht="18" spans="1:11">
      <c r="A2601" s="14">
        <f t="shared" si="120"/>
        <v>2600</v>
      </c>
      <c r="B2601" s="11" t="s">
        <v>590</v>
      </c>
      <c r="C2601" s="14" t="str">
        <f>IFERROR(INDEX(面试清单!D:D,MATCH(2600,面试清单!P:P,0)),"")</f>
        <v/>
      </c>
      <c r="D2601" s="11" t="s">
        <v>42</v>
      </c>
      <c r="E2601" s="11" t="s">
        <v>64</v>
      </c>
      <c r="F2601" s="11" t="s">
        <v>578</v>
      </c>
      <c r="G2601" s="15">
        <v>46178</v>
      </c>
      <c r="H2601" s="14" t="str">
        <f>IFERROR(INDEX(面试清单!H:H,MATCH(2600,面试清单!P:P,0)),"")</f>
        <v/>
      </c>
      <c r="I2601" s="13" t="s">
        <v>29</v>
      </c>
      <c r="J2601" s="14">
        <f ca="1" t="shared" si="121"/>
        <v>11</v>
      </c>
      <c r="K2601" s="14">
        <f ca="1" t="shared" si="122"/>
        <v>12</v>
      </c>
    </row>
    <row r="2602" ht="18" spans="1:11">
      <c r="A2602" s="10">
        <f t="shared" si="120"/>
        <v>2601</v>
      </c>
      <c r="B2602" s="11" t="s">
        <v>6298</v>
      </c>
      <c r="C2602" s="10" t="str">
        <f>IFERROR(INDEX(面试清单!D:D,MATCH(2601,面试清单!P:P,0)),"")</f>
        <v/>
      </c>
      <c r="D2602" s="11" t="s">
        <v>42</v>
      </c>
      <c r="E2602" s="11" t="s">
        <v>64</v>
      </c>
      <c r="F2602" s="11" t="s">
        <v>578</v>
      </c>
      <c r="G2602" s="15">
        <v>46178</v>
      </c>
      <c r="H2602" s="10" t="str">
        <f>IFERROR(INDEX(面试清单!H:H,MATCH(2601,面试清单!P:P,0)),"")</f>
        <v/>
      </c>
      <c r="I2602" s="13" t="s">
        <v>29</v>
      </c>
      <c r="J2602" s="10">
        <f ca="1" t="shared" si="121"/>
        <v>11</v>
      </c>
      <c r="K2602" s="10">
        <f ca="1" t="shared" si="122"/>
        <v>12</v>
      </c>
    </row>
    <row r="2603" ht="18" spans="1:11">
      <c r="A2603" s="14">
        <f t="shared" si="120"/>
        <v>2602</v>
      </c>
      <c r="B2603" s="11" t="s">
        <v>597</v>
      </c>
      <c r="C2603" s="14" t="str">
        <f>IFERROR(INDEX(面试清单!D:D,MATCH(2602,面试清单!P:P,0)),"")</f>
        <v/>
      </c>
      <c r="D2603" s="11" t="s">
        <v>43</v>
      </c>
      <c r="E2603" s="11" t="s">
        <v>64</v>
      </c>
      <c r="F2603" s="11" t="s">
        <v>785</v>
      </c>
      <c r="G2603" s="15">
        <v>46178</v>
      </c>
      <c r="H2603" s="14" t="str">
        <f>IFERROR(INDEX(面试清单!H:H,MATCH(2602,面试清单!P:P,0)),"")</f>
        <v/>
      </c>
      <c r="I2603" s="13" t="s">
        <v>29</v>
      </c>
      <c r="J2603" s="14">
        <f ca="1" t="shared" si="121"/>
        <v>11</v>
      </c>
      <c r="K2603" s="14">
        <f ca="1" t="shared" si="122"/>
        <v>12</v>
      </c>
    </row>
    <row r="2604" ht="18" spans="1:11">
      <c r="A2604" s="10">
        <f t="shared" si="120"/>
        <v>2603</v>
      </c>
      <c r="B2604" s="11" t="s">
        <v>536</v>
      </c>
      <c r="C2604" s="10" t="str">
        <f>IFERROR(INDEX(面试清单!D:D,MATCH(2603,面试清单!P:P,0)),"")</f>
        <v/>
      </c>
      <c r="D2604" s="11" t="s">
        <v>42</v>
      </c>
      <c r="E2604" s="11" t="s">
        <v>64</v>
      </c>
      <c r="F2604" s="11" t="s">
        <v>179</v>
      </c>
      <c r="G2604" s="15">
        <v>46178</v>
      </c>
      <c r="H2604" s="10" t="str">
        <f>IFERROR(INDEX(面试清单!H:H,MATCH(2603,面试清单!P:P,0)),"")</f>
        <v/>
      </c>
      <c r="I2604" s="13" t="s">
        <v>29</v>
      </c>
      <c r="J2604" s="10">
        <f ca="1" t="shared" si="121"/>
        <v>11</v>
      </c>
      <c r="K2604" s="10">
        <f ca="1" t="shared" si="122"/>
        <v>12</v>
      </c>
    </row>
    <row r="2605" ht="18" spans="1:11">
      <c r="A2605" s="14">
        <f t="shared" si="120"/>
        <v>2604</v>
      </c>
      <c r="B2605" s="11" t="s">
        <v>598</v>
      </c>
      <c r="C2605" s="14" t="str">
        <f>IFERROR(INDEX(面试清单!D:D,MATCH(2604,面试清单!P:P,0)),"")</f>
        <v/>
      </c>
      <c r="D2605" s="11" t="s">
        <v>43</v>
      </c>
      <c r="E2605" s="11" t="s">
        <v>64</v>
      </c>
      <c r="F2605" s="11" t="s">
        <v>179</v>
      </c>
      <c r="G2605" s="15">
        <v>46178</v>
      </c>
      <c r="H2605" s="14" t="str">
        <f>IFERROR(INDEX(面试清单!H:H,MATCH(2604,面试清单!P:P,0)),"")</f>
        <v/>
      </c>
      <c r="I2605" s="13" t="s">
        <v>29</v>
      </c>
      <c r="J2605" s="14">
        <f ca="1" t="shared" si="121"/>
        <v>11</v>
      </c>
      <c r="K2605" s="14">
        <f ca="1" t="shared" si="122"/>
        <v>12</v>
      </c>
    </row>
    <row r="2606" ht="18" spans="1:11">
      <c r="A2606" s="10">
        <f t="shared" si="120"/>
        <v>2605</v>
      </c>
      <c r="B2606" s="11" t="s">
        <v>603</v>
      </c>
      <c r="C2606" s="10" t="str">
        <f>IFERROR(INDEX(面试清单!D:D,MATCH(2605,面试清单!P:P,0)),"")</f>
        <v/>
      </c>
      <c r="D2606" s="11" t="s">
        <v>74</v>
      </c>
      <c r="E2606" s="11" t="s">
        <v>64</v>
      </c>
      <c r="F2606" s="11" t="s">
        <v>117</v>
      </c>
      <c r="G2606" s="15">
        <v>46178</v>
      </c>
      <c r="H2606" s="10" t="str">
        <f>IFERROR(INDEX(面试清单!H:H,MATCH(2605,面试清单!P:P,0)),"")</f>
        <v/>
      </c>
      <c r="I2606" s="13" t="s">
        <v>29</v>
      </c>
      <c r="J2606" s="10">
        <f ca="1" t="shared" si="121"/>
        <v>11</v>
      </c>
      <c r="K2606" s="10">
        <f ca="1" t="shared" si="122"/>
        <v>12</v>
      </c>
    </row>
    <row r="2607" ht="18" spans="1:11">
      <c r="A2607" s="14">
        <f t="shared" si="120"/>
        <v>2606</v>
      </c>
      <c r="B2607" s="11" t="s">
        <v>279</v>
      </c>
      <c r="C2607" s="14" t="str">
        <f>IFERROR(INDEX(面试清单!D:D,MATCH(2606,面试清单!P:P,0)),"")</f>
        <v/>
      </c>
      <c r="D2607" s="11" t="s">
        <v>74</v>
      </c>
      <c r="E2607" s="11" t="s">
        <v>64</v>
      </c>
      <c r="F2607" s="11" t="s">
        <v>246</v>
      </c>
      <c r="G2607" s="15">
        <v>46178</v>
      </c>
      <c r="H2607" s="14" t="str">
        <f>IFERROR(INDEX(面试清单!H:H,MATCH(2606,面试清单!P:P,0)),"")</f>
        <v/>
      </c>
      <c r="I2607" s="13" t="s">
        <v>29</v>
      </c>
      <c r="J2607" s="14">
        <f ca="1" t="shared" si="121"/>
        <v>11</v>
      </c>
      <c r="K2607" s="14">
        <f ca="1" t="shared" si="122"/>
        <v>12</v>
      </c>
    </row>
    <row r="2608" ht="18" spans="1:11">
      <c r="A2608" s="10">
        <f t="shared" si="120"/>
        <v>2607</v>
      </c>
      <c r="B2608" s="11" t="s">
        <v>283</v>
      </c>
      <c r="C2608" s="10" t="str">
        <f>IFERROR(INDEX(面试清单!D:D,MATCH(2607,面试清单!P:P,0)),"")</f>
        <v/>
      </c>
      <c r="D2608" s="11" t="s">
        <v>74</v>
      </c>
      <c r="E2608" s="11" t="s">
        <v>64</v>
      </c>
      <c r="F2608" s="11" t="s">
        <v>246</v>
      </c>
      <c r="G2608" s="15">
        <v>46178</v>
      </c>
      <c r="H2608" s="10" t="str">
        <f>IFERROR(INDEX(面试清单!H:H,MATCH(2607,面试清单!P:P,0)),"")</f>
        <v/>
      </c>
      <c r="I2608" s="13" t="s">
        <v>29</v>
      </c>
      <c r="J2608" s="10">
        <f ca="1" t="shared" si="121"/>
        <v>11</v>
      </c>
      <c r="K2608" s="10">
        <f ca="1" t="shared" si="122"/>
        <v>12</v>
      </c>
    </row>
    <row r="2609" ht="18" spans="1:11">
      <c r="A2609" s="14">
        <f t="shared" si="120"/>
        <v>2608</v>
      </c>
      <c r="B2609" s="11" t="s">
        <v>604</v>
      </c>
      <c r="C2609" s="14" t="str">
        <f>IFERROR(INDEX(面试清单!D:D,MATCH(2608,面试清单!P:P,0)),"")</f>
        <v/>
      </c>
      <c r="D2609" s="11" t="s">
        <v>43</v>
      </c>
      <c r="E2609" s="11" t="s">
        <v>64</v>
      </c>
      <c r="F2609" s="11" t="s">
        <v>117</v>
      </c>
      <c r="G2609" s="15">
        <v>46178</v>
      </c>
      <c r="H2609" s="14" t="str">
        <f>IFERROR(INDEX(面试清单!H:H,MATCH(2608,面试清单!P:P,0)),"")</f>
        <v/>
      </c>
      <c r="I2609" s="13" t="s">
        <v>29</v>
      </c>
      <c r="J2609" s="14">
        <f ca="1" t="shared" si="121"/>
        <v>11</v>
      </c>
      <c r="K2609" s="14">
        <f ca="1" t="shared" si="122"/>
        <v>12</v>
      </c>
    </row>
    <row r="2610" ht="18" spans="1:11">
      <c r="A2610" s="10">
        <f t="shared" si="120"/>
        <v>2609</v>
      </c>
      <c r="B2610" s="11" t="s">
        <v>607</v>
      </c>
      <c r="C2610" s="10" t="str">
        <f>IFERROR(INDEX(面试清单!D:D,MATCH(2609,面试清单!P:P,0)),"")</f>
        <v/>
      </c>
      <c r="D2610" s="11" t="s">
        <v>42</v>
      </c>
      <c r="E2610" s="11" t="s">
        <v>64</v>
      </c>
      <c r="F2610" s="11" t="s">
        <v>129</v>
      </c>
      <c r="G2610" s="15">
        <v>46178</v>
      </c>
      <c r="H2610" s="10" t="str">
        <f>IFERROR(INDEX(面试清单!H:H,MATCH(2609,面试清单!P:P,0)),"")</f>
        <v/>
      </c>
      <c r="I2610" s="13" t="s">
        <v>29</v>
      </c>
      <c r="J2610" s="10">
        <f ca="1" t="shared" si="121"/>
        <v>11</v>
      </c>
      <c r="K2610" s="10">
        <f ca="1" t="shared" si="122"/>
        <v>12</v>
      </c>
    </row>
    <row r="2611" ht="18" spans="1:11">
      <c r="A2611" s="14">
        <f t="shared" si="120"/>
        <v>2610</v>
      </c>
      <c r="B2611" s="11" t="s">
        <v>608</v>
      </c>
      <c r="C2611" s="14" t="str">
        <f>IFERROR(INDEX(面试清单!D:D,MATCH(2610,面试清单!P:P,0)),"")</f>
        <v/>
      </c>
      <c r="D2611" s="11" t="s">
        <v>74</v>
      </c>
      <c r="E2611" s="11" t="s">
        <v>190</v>
      </c>
      <c r="F2611" s="11" t="s">
        <v>148</v>
      </c>
      <c r="G2611" s="15">
        <v>46178</v>
      </c>
      <c r="H2611" s="14" t="str">
        <f>IFERROR(INDEX(面试清单!H:H,MATCH(2610,面试清单!P:P,0)),"")</f>
        <v/>
      </c>
      <c r="I2611" s="13" t="s">
        <v>29</v>
      </c>
      <c r="J2611" s="14">
        <f ca="1" t="shared" si="121"/>
        <v>11</v>
      </c>
      <c r="K2611" s="14">
        <f ca="1" t="shared" si="122"/>
        <v>12</v>
      </c>
    </row>
    <row r="2612" ht="18" spans="1:11">
      <c r="A2612" s="10">
        <f t="shared" si="120"/>
        <v>2611</v>
      </c>
      <c r="B2612" s="11" t="s">
        <v>609</v>
      </c>
      <c r="C2612" s="10" t="str">
        <f>IFERROR(INDEX(面试清单!D:D,MATCH(2611,面试清单!P:P,0)),"")</f>
        <v/>
      </c>
      <c r="D2612" s="11" t="s">
        <v>43</v>
      </c>
      <c r="E2612" s="11" t="s">
        <v>64</v>
      </c>
      <c r="F2612" s="11" t="s">
        <v>179</v>
      </c>
      <c r="G2612" s="15">
        <v>46178</v>
      </c>
      <c r="H2612" s="10" t="str">
        <f>IFERROR(INDEX(面试清单!H:H,MATCH(2611,面试清单!P:P,0)),"")</f>
        <v/>
      </c>
      <c r="I2612" s="13" t="s">
        <v>29</v>
      </c>
      <c r="J2612" s="10">
        <f ca="1" t="shared" si="121"/>
        <v>11</v>
      </c>
      <c r="K2612" s="10">
        <f ca="1" t="shared" si="122"/>
        <v>12</v>
      </c>
    </row>
    <row r="2613" ht="18" spans="1:11">
      <c r="A2613" s="14">
        <f t="shared" si="120"/>
        <v>2612</v>
      </c>
      <c r="B2613" s="11" t="s">
        <v>610</v>
      </c>
      <c r="C2613" s="14" t="str">
        <f>IFERROR(INDEX(面试清单!D:D,MATCH(2612,面试清单!P:P,0)),"")</f>
        <v/>
      </c>
      <c r="D2613" s="11" t="s">
        <v>43</v>
      </c>
      <c r="E2613" s="11" t="s">
        <v>64</v>
      </c>
      <c r="F2613" s="11" t="s">
        <v>179</v>
      </c>
      <c r="G2613" s="15">
        <v>46178</v>
      </c>
      <c r="H2613" s="14" t="str">
        <f>IFERROR(INDEX(面试清单!H:H,MATCH(2612,面试清单!P:P,0)),"")</f>
        <v/>
      </c>
      <c r="I2613" s="13" t="s">
        <v>29</v>
      </c>
      <c r="J2613" s="14">
        <f ca="1" t="shared" si="121"/>
        <v>11</v>
      </c>
      <c r="K2613" s="14">
        <f ca="1" t="shared" si="122"/>
        <v>12</v>
      </c>
    </row>
    <row r="2614" ht="18" spans="1:11">
      <c r="A2614" s="10">
        <f t="shared" si="120"/>
        <v>2613</v>
      </c>
      <c r="B2614" s="11" t="s">
        <v>611</v>
      </c>
      <c r="C2614" s="10" t="str">
        <f>IFERROR(INDEX(面试清单!D:D,MATCH(2613,面试清单!P:P,0)),"")</f>
        <v/>
      </c>
      <c r="D2614" s="11" t="s">
        <v>43</v>
      </c>
      <c r="E2614" s="11" t="s">
        <v>64</v>
      </c>
      <c r="F2614" s="11" t="s">
        <v>179</v>
      </c>
      <c r="G2614" s="15">
        <v>46178</v>
      </c>
      <c r="H2614" s="10" t="str">
        <f>IFERROR(INDEX(面试清单!H:H,MATCH(2613,面试清单!P:P,0)),"")</f>
        <v/>
      </c>
      <c r="I2614" s="13" t="s">
        <v>29</v>
      </c>
      <c r="J2614" s="10">
        <f ca="1" t="shared" si="121"/>
        <v>11</v>
      </c>
      <c r="K2614" s="10">
        <f ca="1" t="shared" si="122"/>
        <v>12</v>
      </c>
    </row>
    <row r="2615" ht="18" spans="1:11">
      <c r="A2615" s="14">
        <f t="shared" si="120"/>
        <v>2614</v>
      </c>
      <c r="B2615" s="11" t="s">
        <v>612</v>
      </c>
      <c r="C2615" s="14" t="str">
        <f>IFERROR(INDEX(面试清单!D:D,MATCH(2614,面试清单!P:P,0)),"")</f>
        <v/>
      </c>
      <c r="D2615" s="11" t="s">
        <v>43</v>
      </c>
      <c r="E2615" s="11" t="s">
        <v>64</v>
      </c>
      <c r="F2615" s="11" t="s">
        <v>135</v>
      </c>
      <c r="G2615" s="15">
        <v>46178</v>
      </c>
      <c r="H2615" s="14" t="str">
        <f>IFERROR(INDEX(面试清单!H:H,MATCH(2614,面试清单!P:P,0)),"")</f>
        <v/>
      </c>
      <c r="I2615" s="13" t="s">
        <v>29</v>
      </c>
      <c r="J2615" s="14">
        <f ca="1" t="shared" si="121"/>
        <v>11</v>
      </c>
      <c r="K2615" s="14">
        <f ca="1" t="shared" si="122"/>
        <v>12</v>
      </c>
    </row>
    <row r="2616" ht="18" spans="1:11">
      <c r="A2616" s="10">
        <f t="shared" si="120"/>
        <v>2615</v>
      </c>
      <c r="B2616" s="11" t="s">
        <v>613</v>
      </c>
      <c r="C2616" s="10" t="str">
        <f>IFERROR(INDEX(面试清单!D:D,MATCH(2615,面试清单!P:P,0)),"")</f>
        <v/>
      </c>
      <c r="D2616" s="11" t="s">
        <v>74</v>
      </c>
      <c r="E2616" s="11" t="s">
        <v>64</v>
      </c>
      <c r="F2616" s="11" t="s">
        <v>179</v>
      </c>
      <c r="G2616" s="15">
        <v>46178</v>
      </c>
      <c r="H2616" s="10" t="str">
        <f>IFERROR(INDEX(面试清单!H:H,MATCH(2615,面试清单!P:P,0)),"")</f>
        <v/>
      </c>
      <c r="I2616" s="13" t="s">
        <v>29</v>
      </c>
      <c r="J2616" s="10">
        <f ca="1" t="shared" si="121"/>
        <v>11</v>
      </c>
      <c r="K2616" s="10">
        <f ca="1" t="shared" si="122"/>
        <v>12</v>
      </c>
    </row>
    <row r="2617" ht="18" spans="1:11">
      <c r="A2617" s="14">
        <f t="shared" si="120"/>
        <v>2616</v>
      </c>
      <c r="B2617" s="11" t="s">
        <v>614</v>
      </c>
      <c r="C2617" s="14" t="str">
        <f>IFERROR(INDEX(面试清单!D:D,MATCH(2616,面试清单!P:P,0)),"")</f>
        <v/>
      </c>
      <c r="D2617" s="11" t="s">
        <v>74</v>
      </c>
      <c r="E2617" s="11" t="s">
        <v>64</v>
      </c>
      <c r="F2617" s="11" t="s">
        <v>179</v>
      </c>
      <c r="G2617" s="15">
        <v>46178</v>
      </c>
      <c r="H2617" s="14" t="str">
        <f>IFERROR(INDEX(面试清单!H:H,MATCH(2616,面试清单!P:P,0)),"")</f>
        <v/>
      </c>
      <c r="I2617" s="13" t="s">
        <v>29</v>
      </c>
      <c r="J2617" s="14">
        <f ca="1" t="shared" si="121"/>
        <v>11</v>
      </c>
      <c r="K2617" s="14">
        <f ca="1" t="shared" si="122"/>
        <v>12</v>
      </c>
    </row>
    <row r="2618" ht="18" spans="1:11">
      <c r="A2618" s="10">
        <f t="shared" si="120"/>
        <v>2617</v>
      </c>
      <c r="B2618" s="11" t="s">
        <v>616</v>
      </c>
      <c r="C2618" s="10" t="str">
        <f>IFERROR(INDEX(面试清单!D:D,MATCH(2617,面试清单!P:P,0)),"")</f>
        <v/>
      </c>
      <c r="D2618" s="11" t="s">
        <v>43</v>
      </c>
      <c r="E2618" s="11" t="s">
        <v>64</v>
      </c>
      <c r="F2618" s="11" t="s">
        <v>179</v>
      </c>
      <c r="G2618" s="15">
        <v>46178</v>
      </c>
      <c r="H2618" s="10" t="str">
        <f>IFERROR(INDEX(面试清单!H:H,MATCH(2617,面试清单!P:P,0)),"")</f>
        <v/>
      </c>
      <c r="I2618" s="13" t="s">
        <v>29</v>
      </c>
      <c r="J2618" s="10">
        <f ca="1" t="shared" si="121"/>
        <v>11</v>
      </c>
      <c r="K2618" s="10">
        <f ca="1" t="shared" si="122"/>
        <v>12</v>
      </c>
    </row>
    <row r="2619" ht="18" spans="1:11">
      <c r="A2619" s="14">
        <f t="shared" si="120"/>
        <v>2618</v>
      </c>
      <c r="B2619" s="11" t="s">
        <v>6299</v>
      </c>
      <c r="C2619" s="14" t="str">
        <f>IFERROR(INDEX(面试清单!D:D,MATCH(2618,面试清单!P:P,0)),"")</f>
        <v/>
      </c>
      <c r="D2619" s="11" t="s">
        <v>42</v>
      </c>
      <c r="E2619" s="11" t="s">
        <v>64</v>
      </c>
      <c r="F2619" s="11" t="s">
        <v>173</v>
      </c>
      <c r="G2619" s="15">
        <v>46178</v>
      </c>
      <c r="H2619" s="14" t="str">
        <f>IFERROR(INDEX(面试清单!H:H,MATCH(2618,面试清单!P:P,0)),"")</f>
        <v/>
      </c>
      <c r="I2619" s="13" t="s">
        <v>29</v>
      </c>
      <c r="J2619" s="14">
        <f ca="1" t="shared" si="121"/>
        <v>11</v>
      </c>
      <c r="K2619" s="14">
        <f ca="1" t="shared" si="122"/>
        <v>12</v>
      </c>
    </row>
    <row r="2620" ht="18" spans="1:11">
      <c r="A2620" s="10">
        <f t="shared" si="120"/>
        <v>2619</v>
      </c>
      <c r="B2620" s="11" t="s">
        <v>560</v>
      </c>
      <c r="C2620" s="10" t="str">
        <f>IFERROR(INDEX(面试清单!D:D,MATCH(2619,面试清单!P:P,0)),"")</f>
        <v/>
      </c>
      <c r="D2620" s="11" t="s">
        <v>43</v>
      </c>
      <c r="E2620" s="11" t="s">
        <v>64</v>
      </c>
      <c r="F2620" s="11" t="s">
        <v>103</v>
      </c>
      <c r="G2620" s="15">
        <v>46178</v>
      </c>
      <c r="H2620" s="10" t="str">
        <f>IFERROR(INDEX(面试清单!H:H,MATCH(2619,面试清单!P:P,0)),"")</f>
        <v/>
      </c>
      <c r="I2620" s="13" t="s">
        <v>29</v>
      </c>
      <c r="J2620" s="10">
        <f ca="1" t="shared" si="121"/>
        <v>11</v>
      </c>
      <c r="K2620" s="10">
        <f ca="1" t="shared" si="122"/>
        <v>12</v>
      </c>
    </row>
    <row r="2621" ht="18" spans="1:11">
      <c r="A2621" s="14">
        <f t="shared" si="120"/>
        <v>2620</v>
      </c>
      <c r="B2621" s="11" t="s">
        <v>615</v>
      </c>
      <c r="C2621" s="14" t="str">
        <f>IFERROR(INDEX(面试清单!D:D,MATCH(2620,面试清单!P:P,0)),"")</f>
        <v/>
      </c>
      <c r="D2621" s="11" t="s">
        <v>74</v>
      </c>
      <c r="E2621" s="11" t="s">
        <v>190</v>
      </c>
      <c r="F2621" s="11" t="s">
        <v>179</v>
      </c>
      <c r="G2621" s="15">
        <v>46179</v>
      </c>
      <c r="H2621" s="14" t="str">
        <f>IFERROR(INDEX(面试清单!H:H,MATCH(2620,面试清单!P:P,0)),"")</f>
        <v/>
      </c>
      <c r="I2621" s="13" t="s">
        <v>29</v>
      </c>
      <c r="J2621" s="14">
        <f ca="1" t="shared" si="121"/>
        <v>10</v>
      </c>
      <c r="K2621" s="14">
        <f ca="1" t="shared" si="122"/>
        <v>11</v>
      </c>
    </row>
    <row r="2622" ht="18" spans="1:11">
      <c r="A2622" s="10">
        <f t="shared" si="120"/>
        <v>2621</v>
      </c>
      <c r="B2622" s="11" t="s">
        <v>600</v>
      </c>
      <c r="C2622" s="10" t="str">
        <f>IFERROR(INDEX(面试清单!D:D,MATCH(2621,面试清单!P:P,0)),"")</f>
        <v/>
      </c>
      <c r="D2622" s="11" t="s">
        <v>74</v>
      </c>
      <c r="E2622" s="11" t="s">
        <v>190</v>
      </c>
      <c r="F2622" s="11" t="s">
        <v>179</v>
      </c>
      <c r="G2622" s="15">
        <v>46178</v>
      </c>
      <c r="H2622" s="10" t="str">
        <f>IFERROR(INDEX(面试清单!H:H,MATCH(2621,面试清单!P:P,0)),"")</f>
        <v/>
      </c>
      <c r="I2622" s="13" t="s">
        <v>29</v>
      </c>
      <c r="J2622" s="10">
        <f ca="1" t="shared" si="121"/>
        <v>11</v>
      </c>
      <c r="K2622" s="10">
        <f ca="1" t="shared" si="122"/>
        <v>12</v>
      </c>
    </row>
    <row r="2623" ht="18" spans="1:11">
      <c r="A2623" s="14">
        <f t="shared" si="120"/>
        <v>2622</v>
      </c>
      <c r="B2623" s="11" t="s">
        <v>6300</v>
      </c>
      <c r="C2623" s="14" t="str">
        <f>IFERROR(INDEX(面试清单!D:D,MATCH(2622,面试清单!P:P,0)),"")</f>
        <v/>
      </c>
      <c r="D2623" s="11" t="s">
        <v>42</v>
      </c>
      <c r="E2623" s="11" t="s">
        <v>63</v>
      </c>
      <c r="F2623" s="11" t="s">
        <v>332</v>
      </c>
      <c r="G2623" s="15">
        <v>46178</v>
      </c>
      <c r="H2623" s="14" t="str">
        <f>IFERROR(INDEX(面试清单!H:H,MATCH(2622,面试清单!P:P,0)),"")</f>
        <v/>
      </c>
      <c r="I2623" s="13" t="s">
        <v>29</v>
      </c>
      <c r="J2623" s="14">
        <f ca="1" t="shared" si="121"/>
        <v>11</v>
      </c>
      <c r="K2623" s="14">
        <f ca="1" t="shared" si="122"/>
        <v>12</v>
      </c>
    </row>
    <row r="2624" ht="18" spans="1:11">
      <c r="A2624" s="10">
        <f t="shared" si="120"/>
        <v>2623</v>
      </c>
      <c r="B2624" s="11" t="s">
        <v>1359</v>
      </c>
      <c r="C2624" s="10" t="str">
        <f>IFERROR(INDEX(面试清单!D:D,MATCH(2623,面试清单!P:P,0)),"")</f>
        <v/>
      </c>
      <c r="D2624" s="11" t="s">
        <v>42</v>
      </c>
      <c r="E2624" s="11" t="s">
        <v>63</v>
      </c>
      <c r="F2624" s="11" t="s">
        <v>332</v>
      </c>
      <c r="G2624" s="15">
        <v>46178</v>
      </c>
      <c r="H2624" s="10" t="str">
        <f>IFERROR(INDEX(面试清单!H:H,MATCH(2623,面试清单!P:P,0)),"")</f>
        <v/>
      </c>
      <c r="I2624" s="13" t="s">
        <v>29</v>
      </c>
      <c r="J2624" s="10">
        <f ca="1" t="shared" si="121"/>
        <v>11</v>
      </c>
      <c r="K2624" s="10">
        <f ca="1" t="shared" si="122"/>
        <v>12</v>
      </c>
    </row>
    <row r="2625" ht="18" spans="1:11">
      <c r="A2625" s="14">
        <f t="shared" si="120"/>
        <v>2624</v>
      </c>
      <c r="B2625" s="11" t="s">
        <v>1360</v>
      </c>
      <c r="C2625" s="14" t="str">
        <f>IFERROR(INDEX(面试清单!D:D,MATCH(2624,面试清单!P:P,0)),"")</f>
        <v/>
      </c>
      <c r="D2625" s="11" t="s">
        <v>42</v>
      </c>
      <c r="E2625" s="11" t="s">
        <v>62</v>
      </c>
      <c r="F2625" s="11" t="s">
        <v>176</v>
      </c>
      <c r="G2625" s="15">
        <v>46179</v>
      </c>
      <c r="H2625" s="14" t="str">
        <f>IFERROR(INDEX(面试清单!H:H,MATCH(2624,面试清单!P:P,0)),"")</f>
        <v/>
      </c>
      <c r="I2625" s="13" t="s">
        <v>29</v>
      </c>
      <c r="J2625" s="14">
        <f ca="1" t="shared" si="121"/>
        <v>10</v>
      </c>
      <c r="K2625" s="14">
        <f ca="1" t="shared" si="122"/>
        <v>11</v>
      </c>
    </row>
    <row r="2626" ht="18" spans="1:11">
      <c r="A2626" s="10">
        <f t="shared" ref="A2626:A2689" si="123">IF(B2626&lt;&gt;"",ROW()-1,"")</f>
        <v>2625</v>
      </c>
      <c r="B2626" s="11" t="s">
        <v>1412</v>
      </c>
      <c r="C2626" s="10" t="str">
        <f>IFERROR(INDEX(面试清单!D:D,MATCH(2625,面试清单!P:P,0)),"")</f>
        <v/>
      </c>
      <c r="D2626" s="11" t="s">
        <v>43</v>
      </c>
      <c r="E2626" s="11" t="s">
        <v>62</v>
      </c>
      <c r="F2626" s="11" t="s">
        <v>468</v>
      </c>
      <c r="G2626" s="15">
        <v>46179</v>
      </c>
      <c r="H2626" s="10" t="str">
        <f>IFERROR(INDEX(面试清单!H:H,MATCH(2625,面试清单!P:P,0)),"")</f>
        <v/>
      </c>
      <c r="I2626" s="13" t="s">
        <v>29</v>
      </c>
      <c r="J2626" s="10">
        <f ca="1" t="shared" ref="J2626:J2689" si="124">IF(G2626&lt;&gt;"",TODAY()-G2626,"")</f>
        <v>10</v>
      </c>
      <c r="K2626" s="10">
        <f ca="1" t="shared" ref="K2626:K2689" si="125">IF(G2626&lt;&gt;"",MAX(0,MIN(TODAY(),EOMONTH(TODAY(),0))-MAX(G2626,EOMONTH(TODAY(),-1)+1)+1),"")</f>
        <v>11</v>
      </c>
    </row>
    <row r="2627" ht="18" spans="1:11">
      <c r="A2627" s="14">
        <f t="shared" si="123"/>
        <v>2626</v>
      </c>
      <c r="B2627" s="11" t="s">
        <v>1296</v>
      </c>
      <c r="C2627" s="14" t="str">
        <f>IFERROR(INDEX(面试清单!D:D,MATCH(2626,面试清单!P:P,0)),"")</f>
        <v/>
      </c>
      <c r="D2627" s="11" t="s">
        <v>43</v>
      </c>
      <c r="E2627" s="11" t="s">
        <v>62</v>
      </c>
      <c r="F2627" s="11" t="s">
        <v>796</v>
      </c>
      <c r="G2627" s="15">
        <v>46179</v>
      </c>
      <c r="H2627" s="14" t="str">
        <f>IFERROR(INDEX(面试清单!H:H,MATCH(2626,面试清单!P:P,0)),"")</f>
        <v/>
      </c>
      <c r="I2627" s="13" t="s">
        <v>29</v>
      </c>
      <c r="J2627" s="14">
        <f ca="1" t="shared" si="124"/>
        <v>10</v>
      </c>
      <c r="K2627" s="14">
        <f ca="1" t="shared" si="125"/>
        <v>11</v>
      </c>
    </row>
    <row r="2628" ht="18" spans="1:11">
      <c r="A2628" s="10">
        <f t="shared" si="123"/>
        <v>2627</v>
      </c>
      <c r="B2628" s="11" t="s">
        <v>1417</v>
      </c>
      <c r="C2628" s="10" t="str">
        <f>IFERROR(INDEX(面试清单!D:D,MATCH(2627,面试清单!P:P,0)),"")</f>
        <v/>
      </c>
      <c r="D2628" s="11" t="s">
        <v>43</v>
      </c>
      <c r="E2628" s="11" t="s">
        <v>62</v>
      </c>
      <c r="F2628" s="11" t="s">
        <v>148</v>
      </c>
      <c r="G2628" s="15">
        <v>46179</v>
      </c>
      <c r="H2628" s="10" t="str">
        <f>IFERROR(INDEX(面试清单!H:H,MATCH(2627,面试清单!P:P,0)),"")</f>
        <v/>
      </c>
      <c r="I2628" s="13" t="s">
        <v>29</v>
      </c>
      <c r="J2628" s="10">
        <f ca="1" t="shared" si="124"/>
        <v>10</v>
      </c>
      <c r="K2628" s="10">
        <f ca="1" t="shared" si="125"/>
        <v>11</v>
      </c>
    </row>
    <row r="2629" ht="18" spans="1:11">
      <c r="A2629" s="14">
        <f t="shared" si="123"/>
        <v>2628</v>
      </c>
      <c r="B2629" s="11" t="s">
        <v>1431</v>
      </c>
      <c r="C2629" s="14" t="str">
        <f>IFERROR(INDEX(面试清单!D:D,MATCH(2628,面试清单!P:P,0)),"")</f>
        <v/>
      </c>
      <c r="D2629" s="11" t="s">
        <v>43</v>
      </c>
      <c r="E2629" s="11" t="s">
        <v>63</v>
      </c>
      <c r="F2629" s="11" t="s">
        <v>124</v>
      </c>
      <c r="G2629" s="15">
        <v>46179</v>
      </c>
      <c r="H2629" s="14" t="str">
        <f>IFERROR(INDEX(面试清单!H:H,MATCH(2628,面试清单!P:P,0)),"")</f>
        <v/>
      </c>
      <c r="I2629" s="13" t="s">
        <v>29</v>
      </c>
      <c r="J2629" s="14">
        <f ca="1" t="shared" si="124"/>
        <v>10</v>
      </c>
      <c r="K2629" s="14">
        <f ca="1" t="shared" si="125"/>
        <v>11</v>
      </c>
    </row>
    <row r="2630" ht="18" spans="1:11">
      <c r="A2630" s="10">
        <f t="shared" si="123"/>
        <v>2629</v>
      </c>
      <c r="B2630" s="11" t="s">
        <v>1387</v>
      </c>
      <c r="C2630" s="10" t="str">
        <f>IFERROR(INDEX(面试清单!D:D,MATCH(2629,面试清单!P:P,0)),"")</f>
        <v/>
      </c>
      <c r="D2630" s="11" t="s">
        <v>42</v>
      </c>
      <c r="E2630" s="11" t="s">
        <v>63</v>
      </c>
      <c r="F2630" s="11" t="s">
        <v>103</v>
      </c>
      <c r="G2630" s="15">
        <v>46179</v>
      </c>
      <c r="H2630" s="10" t="str">
        <f>IFERROR(INDEX(面试清单!H:H,MATCH(2629,面试清单!P:P,0)),"")</f>
        <v/>
      </c>
      <c r="I2630" s="13" t="s">
        <v>29</v>
      </c>
      <c r="J2630" s="10">
        <f ca="1" t="shared" si="124"/>
        <v>10</v>
      </c>
      <c r="K2630" s="10">
        <f ca="1" t="shared" si="125"/>
        <v>11</v>
      </c>
    </row>
    <row r="2631" ht="18" spans="1:11">
      <c r="A2631" s="14">
        <f t="shared" si="123"/>
        <v>2630</v>
      </c>
      <c r="B2631" s="11" t="s">
        <v>6301</v>
      </c>
      <c r="C2631" s="14" t="str">
        <f>IFERROR(INDEX(面试清单!D:D,MATCH(2630,面试清单!P:P,0)),"")</f>
        <v/>
      </c>
      <c r="D2631" s="11" t="s">
        <v>43</v>
      </c>
      <c r="E2631" s="11" t="s">
        <v>62</v>
      </c>
      <c r="F2631" s="11" t="s">
        <v>233</v>
      </c>
      <c r="G2631" s="15">
        <v>46179</v>
      </c>
      <c r="H2631" s="14" t="str">
        <f>IFERROR(INDEX(面试清单!H:H,MATCH(2630,面试清单!P:P,0)),"")</f>
        <v/>
      </c>
      <c r="I2631" s="13" t="s">
        <v>29</v>
      </c>
      <c r="J2631" s="14">
        <f ca="1" t="shared" si="124"/>
        <v>10</v>
      </c>
      <c r="K2631" s="14">
        <f ca="1" t="shared" si="125"/>
        <v>11</v>
      </c>
    </row>
    <row r="2632" ht="18" spans="1:11">
      <c r="A2632" s="10">
        <f t="shared" si="123"/>
        <v>2631</v>
      </c>
      <c r="B2632" s="11" t="s">
        <v>1141</v>
      </c>
      <c r="C2632" s="10" t="str">
        <f>IFERROR(INDEX(面试清单!D:D,MATCH(2631,面试清单!P:P,0)),"")</f>
        <v/>
      </c>
      <c r="D2632" s="11" t="s">
        <v>42</v>
      </c>
      <c r="E2632" s="11" t="s">
        <v>62</v>
      </c>
      <c r="F2632" s="11" t="s">
        <v>233</v>
      </c>
      <c r="G2632" s="15">
        <v>46179</v>
      </c>
      <c r="H2632" s="10" t="str">
        <f>IFERROR(INDEX(面试清单!H:H,MATCH(2631,面试清单!P:P,0)),"")</f>
        <v/>
      </c>
      <c r="I2632" s="13" t="s">
        <v>29</v>
      </c>
      <c r="J2632" s="10">
        <f ca="1" t="shared" si="124"/>
        <v>10</v>
      </c>
      <c r="K2632" s="10">
        <f ca="1" t="shared" si="125"/>
        <v>11</v>
      </c>
    </row>
    <row r="2633" ht="18" spans="1:11">
      <c r="A2633" s="14">
        <f t="shared" si="123"/>
        <v>2632</v>
      </c>
      <c r="B2633" s="11" t="s">
        <v>6302</v>
      </c>
      <c r="C2633" s="14" t="str">
        <f>IFERROR(INDEX(面试清单!D:D,MATCH(2632,面试清单!P:P,0)),"")</f>
        <v/>
      </c>
      <c r="D2633" s="11" t="s">
        <v>42</v>
      </c>
      <c r="E2633" s="11" t="s">
        <v>62</v>
      </c>
      <c r="F2633" s="11" t="s">
        <v>307</v>
      </c>
      <c r="G2633" s="15">
        <v>46179</v>
      </c>
      <c r="H2633" s="14" t="str">
        <f>IFERROR(INDEX(面试清单!H:H,MATCH(2632,面试清单!P:P,0)),"")</f>
        <v/>
      </c>
      <c r="I2633" s="13" t="s">
        <v>29</v>
      </c>
      <c r="J2633" s="14">
        <f ca="1" t="shared" si="124"/>
        <v>10</v>
      </c>
      <c r="K2633" s="14">
        <f ca="1" t="shared" si="125"/>
        <v>11</v>
      </c>
    </row>
    <row r="2634" ht="18" spans="1:11">
      <c r="A2634" s="10">
        <f t="shared" si="123"/>
        <v>2633</v>
      </c>
      <c r="B2634" s="11" t="s">
        <v>1390</v>
      </c>
      <c r="C2634" s="10" t="str">
        <f>IFERROR(INDEX(面试清单!D:D,MATCH(2633,面试清单!P:P,0)),"")</f>
        <v/>
      </c>
      <c r="D2634" s="11" t="s">
        <v>42</v>
      </c>
      <c r="E2634" s="11" t="s">
        <v>63</v>
      </c>
      <c r="F2634" s="11" t="s">
        <v>307</v>
      </c>
      <c r="G2634" s="15">
        <v>46179</v>
      </c>
      <c r="H2634" s="10" t="str">
        <f>IFERROR(INDEX(面试清单!H:H,MATCH(2633,面试清单!P:P,0)),"")</f>
        <v/>
      </c>
      <c r="I2634" s="13" t="s">
        <v>29</v>
      </c>
      <c r="J2634" s="10">
        <f ca="1" t="shared" si="124"/>
        <v>10</v>
      </c>
      <c r="K2634" s="10">
        <f ca="1" t="shared" si="125"/>
        <v>11</v>
      </c>
    </row>
    <row r="2635" ht="18" spans="1:11">
      <c r="A2635" s="14">
        <f t="shared" si="123"/>
        <v>2634</v>
      </c>
      <c r="B2635" s="11" t="s">
        <v>1264</v>
      </c>
      <c r="C2635" s="14" t="str">
        <f>IFERROR(INDEX(面试清单!D:D,MATCH(2634,面试清单!P:P,0)),"")</f>
        <v/>
      </c>
      <c r="D2635" s="11" t="s">
        <v>43</v>
      </c>
      <c r="E2635" s="11" t="s">
        <v>62</v>
      </c>
      <c r="F2635" s="11" t="s">
        <v>426</v>
      </c>
      <c r="G2635" s="15">
        <v>46179</v>
      </c>
      <c r="H2635" s="14" t="str">
        <f>IFERROR(INDEX(面试清单!H:H,MATCH(2634,面试清单!P:P,0)),"")</f>
        <v/>
      </c>
      <c r="I2635" s="13" t="s">
        <v>29</v>
      </c>
      <c r="J2635" s="14">
        <f ca="1" t="shared" si="124"/>
        <v>10</v>
      </c>
      <c r="K2635" s="14">
        <f ca="1" t="shared" si="125"/>
        <v>11</v>
      </c>
    </row>
    <row r="2636" ht="18" spans="1:11">
      <c r="A2636" s="10">
        <f t="shared" si="123"/>
        <v>2635</v>
      </c>
      <c r="B2636" s="11" t="s">
        <v>1357</v>
      </c>
      <c r="C2636" s="10" t="str">
        <f>IFERROR(INDEX(面试清单!D:D,MATCH(2635,面试清单!P:P,0)),"")</f>
        <v/>
      </c>
      <c r="D2636" s="11" t="s">
        <v>42</v>
      </c>
      <c r="E2636" s="11" t="s">
        <v>62</v>
      </c>
      <c r="F2636" s="11" t="s">
        <v>246</v>
      </c>
      <c r="G2636" s="15">
        <v>46179</v>
      </c>
      <c r="H2636" s="10" t="str">
        <f>IFERROR(INDEX(面试清单!H:H,MATCH(2635,面试清单!P:P,0)),"")</f>
        <v/>
      </c>
      <c r="I2636" s="13" t="s">
        <v>29</v>
      </c>
      <c r="J2636" s="10">
        <f ca="1" t="shared" si="124"/>
        <v>10</v>
      </c>
      <c r="K2636" s="10">
        <f ca="1" t="shared" si="125"/>
        <v>11</v>
      </c>
    </row>
    <row r="2637" ht="18" spans="1:11">
      <c r="A2637" s="14">
        <f t="shared" si="123"/>
        <v>2636</v>
      </c>
      <c r="B2637" s="11" t="s">
        <v>6303</v>
      </c>
      <c r="C2637" s="14" t="str">
        <f>IFERROR(INDEX(面试清单!D:D,MATCH(2636,面试清单!P:P,0)),"")</f>
        <v/>
      </c>
      <c r="D2637" s="11" t="s">
        <v>43</v>
      </c>
      <c r="E2637" s="11" t="s">
        <v>62</v>
      </c>
      <c r="F2637" s="11" t="s">
        <v>246</v>
      </c>
      <c r="G2637" s="15">
        <v>46179</v>
      </c>
      <c r="H2637" s="14" t="str">
        <f>IFERROR(INDEX(面试清单!H:H,MATCH(2636,面试清单!P:P,0)),"")</f>
        <v/>
      </c>
      <c r="I2637" s="13" t="s">
        <v>29</v>
      </c>
      <c r="J2637" s="14">
        <f ca="1" t="shared" si="124"/>
        <v>10</v>
      </c>
      <c r="K2637" s="14">
        <f ca="1" t="shared" si="125"/>
        <v>11</v>
      </c>
    </row>
    <row r="2638" ht="18" spans="1:11">
      <c r="A2638" s="10">
        <f t="shared" si="123"/>
        <v>2637</v>
      </c>
      <c r="B2638" s="11" t="s">
        <v>1259</v>
      </c>
      <c r="C2638" s="10" t="str">
        <f>IFERROR(INDEX(面试清单!D:D,MATCH(2637,面试清单!P:P,0)),"")</f>
        <v/>
      </c>
      <c r="D2638" s="11" t="s">
        <v>42</v>
      </c>
      <c r="E2638" s="11" t="s">
        <v>63</v>
      </c>
      <c r="F2638" s="11" t="s">
        <v>578</v>
      </c>
      <c r="G2638" s="15">
        <v>46179</v>
      </c>
      <c r="H2638" s="10" t="str">
        <f>IFERROR(INDEX(面试清单!H:H,MATCH(2637,面试清单!P:P,0)),"")</f>
        <v/>
      </c>
      <c r="I2638" s="13" t="s">
        <v>29</v>
      </c>
      <c r="J2638" s="10">
        <f ca="1" t="shared" si="124"/>
        <v>10</v>
      </c>
      <c r="K2638" s="10">
        <f ca="1" t="shared" si="125"/>
        <v>11</v>
      </c>
    </row>
    <row r="2639" ht="18" spans="1:11">
      <c r="A2639" s="14">
        <f t="shared" si="123"/>
        <v>2638</v>
      </c>
      <c r="B2639" s="11" t="s">
        <v>1342</v>
      </c>
      <c r="C2639" s="14" t="str">
        <f>IFERROR(INDEX(面试清单!D:D,MATCH(2638,面试清单!P:P,0)),"")</f>
        <v/>
      </c>
      <c r="D2639" s="11" t="s">
        <v>42</v>
      </c>
      <c r="E2639" s="11" t="s">
        <v>63</v>
      </c>
      <c r="F2639" s="11" t="s">
        <v>578</v>
      </c>
      <c r="G2639" s="15">
        <v>46179</v>
      </c>
      <c r="H2639" s="14" t="str">
        <f>IFERROR(INDEX(面试清单!H:H,MATCH(2638,面试清单!P:P,0)),"")</f>
        <v/>
      </c>
      <c r="I2639" s="13" t="s">
        <v>29</v>
      </c>
      <c r="J2639" s="14">
        <f ca="1" t="shared" si="124"/>
        <v>10</v>
      </c>
      <c r="K2639" s="14">
        <f ca="1" t="shared" si="125"/>
        <v>11</v>
      </c>
    </row>
    <row r="2640" ht="18" spans="1:11">
      <c r="A2640" s="10">
        <f t="shared" si="123"/>
        <v>2639</v>
      </c>
      <c r="B2640" s="11" t="s">
        <v>1343</v>
      </c>
      <c r="C2640" s="10" t="str">
        <f>IFERROR(INDEX(面试清单!D:D,MATCH(2639,面试清单!P:P,0)),"")</f>
        <v/>
      </c>
      <c r="D2640" s="11" t="s">
        <v>42</v>
      </c>
      <c r="E2640" s="11" t="s">
        <v>63</v>
      </c>
      <c r="F2640" s="11" t="s">
        <v>578</v>
      </c>
      <c r="G2640" s="15">
        <v>46179</v>
      </c>
      <c r="H2640" s="10" t="str">
        <f>IFERROR(INDEX(面试清单!H:H,MATCH(2639,面试清单!P:P,0)),"")</f>
        <v/>
      </c>
      <c r="I2640" s="13" t="s">
        <v>29</v>
      </c>
      <c r="J2640" s="10">
        <f ca="1" t="shared" si="124"/>
        <v>10</v>
      </c>
      <c r="K2640" s="10">
        <f ca="1" t="shared" si="125"/>
        <v>11</v>
      </c>
    </row>
    <row r="2641" ht="18" spans="1:11">
      <c r="A2641" s="14">
        <f t="shared" si="123"/>
        <v>2640</v>
      </c>
      <c r="B2641" s="11" t="s">
        <v>1344</v>
      </c>
      <c r="C2641" s="14" t="str">
        <f>IFERROR(INDEX(面试清单!D:D,MATCH(2640,面试清单!P:P,0)),"")</f>
        <v/>
      </c>
      <c r="D2641" s="11" t="s">
        <v>42</v>
      </c>
      <c r="E2641" s="11" t="s">
        <v>63</v>
      </c>
      <c r="F2641" s="11" t="s">
        <v>578</v>
      </c>
      <c r="G2641" s="15">
        <v>46179</v>
      </c>
      <c r="H2641" s="14" t="str">
        <f>IFERROR(INDEX(面试清单!H:H,MATCH(2640,面试清单!P:P,0)),"")</f>
        <v/>
      </c>
      <c r="I2641" s="13" t="s">
        <v>29</v>
      </c>
      <c r="J2641" s="14">
        <f ca="1" t="shared" si="124"/>
        <v>10</v>
      </c>
      <c r="K2641" s="14">
        <f ca="1" t="shared" si="125"/>
        <v>11</v>
      </c>
    </row>
    <row r="2642" ht="18" spans="1:11">
      <c r="A2642" s="10">
        <f t="shared" si="123"/>
        <v>2641</v>
      </c>
      <c r="B2642" s="11" t="s">
        <v>1349</v>
      </c>
      <c r="C2642" s="10" t="str">
        <f>IFERROR(INDEX(面试清单!D:D,MATCH(2641,面试清单!P:P,0)),"")</f>
        <v/>
      </c>
      <c r="D2642" s="11" t="s">
        <v>42</v>
      </c>
      <c r="E2642" s="11" t="s">
        <v>63</v>
      </c>
      <c r="F2642" s="11" t="s">
        <v>578</v>
      </c>
      <c r="G2642" s="15">
        <v>46179</v>
      </c>
      <c r="H2642" s="10" t="str">
        <f>IFERROR(INDEX(面试清单!H:H,MATCH(2641,面试清单!P:P,0)),"")</f>
        <v/>
      </c>
      <c r="I2642" s="13" t="s">
        <v>29</v>
      </c>
      <c r="J2642" s="10">
        <f ca="1" t="shared" si="124"/>
        <v>10</v>
      </c>
      <c r="K2642" s="10">
        <f ca="1" t="shared" si="125"/>
        <v>11</v>
      </c>
    </row>
    <row r="2643" ht="18" spans="1:11">
      <c r="A2643" s="14">
        <f t="shared" si="123"/>
        <v>2642</v>
      </c>
      <c r="B2643" s="11" t="s">
        <v>1398</v>
      </c>
      <c r="C2643" s="14" t="str">
        <f>IFERROR(INDEX(面试清单!D:D,MATCH(2642,面试清单!P:P,0)),"")</f>
        <v/>
      </c>
      <c r="D2643" s="11" t="s">
        <v>42</v>
      </c>
      <c r="E2643" s="11" t="s">
        <v>63</v>
      </c>
      <c r="F2643" s="11" t="s">
        <v>578</v>
      </c>
      <c r="G2643" s="15">
        <v>46179</v>
      </c>
      <c r="H2643" s="14" t="str">
        <f>IFERROR(INDEX(面试清单!H:H,MATCH(2642,面试清单!P:P,0)),"")</f>
        <v/>
      </c>
      <c r="I2643" s="13" t="s">
        <v>29</v>
      </c>
      <c r="J2643" s="14">
        <f ca="1" t="shared" si="124"/>
        <v>10</v>
      </c>
      <c r="K2643" s="14">
        <f ca="1" t="shared" si="125"/>
        <v>11</v>
      </c>
    </row>
    <row r="2644" ht="18" spans="1:11">
      <c r="A2644" s="10">
        <f t="shared" si="123"/>
        <v>2643</v>
      </c>
      <c r="B2644" s="11" t="s">
        <v>1401</v>
      </c>
      <c r="C2644" s="10" t="str">
        <f>IFERROR(INDEX(面试清单!D:D,MATCH(2643,面试清单!P:P,0)),"")</f>
        <v/>
      </c>
      <c r="D2644" s="11" t="s">
        <v>42</v>
      </c>
      <c r="E2644" s="11" t="s">
        <v>63</v>
      </c>
      <c r="F2644" s="11" t="s">
        <v>578</v>
      </c>
      <c r="G2644" s="15">
        <v>46179</v>
      </c>
      <c r="H2644" s="10" t="str">
        <f>IFERROR(INDEX(面试清单!H:H,MATCH(2643,面试清单!P:P,0)),"")</f>
        <v/>
      </c>
      <c r="I2644" s="13" t="s">
        <v>29</v>
      </c>
      <c r="J2644" s="10">
        <f ca="1" t="shared" si="124"/>
        <v>10</v>
      </c>
      <c r="K2644" s="10">
        <f ca="1" t="shared" si="125"/>
        <v>11</v>
      </c>
    </row>
    <row r="2645" ht="18" spans="1:11">
      <c r="A2645" s="14">
        <f t="shared" si="123"/>
        <v>2644</v>
      </c>
      <c r="B2645" s="11" t="s">
        <v>1388</v>
      </c>
      <c r="C2645" s="14" t="str">
        <f>IFERROR(INDEX(面试清单!D:D,MATCH(2644,面试清单!P:P,0)),"")</f>
        <v/>
      </c>
      <c r="D2645" s="11" t="s">
        <v>42</v>
      </c>
      <c r="E2645" s="11" t="s">
        <v>62</v>
      </c>
      <c r="F2645" s="11" t="s">
        <v>117</v>
      </c>
      <c r="G2645" s="15">
        <v>46179</v>
      </c>
      <c r="H2645" s="14" t="str">
        <f>IFERROR(INDEX(面试清单!H:H,MATCH(2644,面试清单!P:P,0)),"")</f>
        <v/>
      </c>
      <c r="I2645" s="13" t="s">
        <v>29</v>
      </c>
      <c r="J2645" s="14">
        <f ca="1" t="shared" si="124"/>
        <v>10</v>
      </c>
      <c r="K2645" s="14">
        <f ca="1" t="shared" si="125"/>
        <v>11</v>
      </c>
    </row>
    <row r="2646" ht="18" spans="1:11">
      <c r="A2646" s="10">
        <f t="shared" si="123"/>
        <v>2645</v>
      </c>
      <c r="B2646" s="11" t="s">
        <v>1243</v>
      </c>
      <c r="C2646" s="10" t="str">
        <f>IFERROR(INDEX(面试清单!D:D,MATCH(2645,面试清单!P:P,0)),"")</f>
        <v/>
      </c>
      <c r="D2646" s="11" t="s">
        <v>42</v>
      </c>
      <c r="E2646" s="11" t="s">
        <v>62</v>
      </c>
      <c r="F2646" s="11" t="s">
        <v>173</v>
      </c>
      <c r="G2646" s="15">
        <v>46179</v>
      </c>
      <c r="H2646" s="10" t="str">
        <f>IFERROR(INDEX(面试清单!H:H,MATCH(2645,面试清单!P:P,0)),"")</f>
        <v/>
      </c>
      <c r="I2646" s="13" t="s">
        <v>29</v>
      </c>
      <c r="J2646" s="10">
        <f ca="1" t="shared" si="124"/>
        <v>10</v>
      </c>
      <c r="K2646" s="10">
        <f ca="1" t="shared" si="125"/>
        <v>11</v>
      </c>
    </row>
    <row r="2647" ht="18" spans="1:11">
      <c r="A2647" s="14">
        <f t="shared" si="123"/>
        <v>2646</v>
      </c>
      <c r="B2647" s="11" t="s">
        <v>1418</v>
      </c>
      <c r="C2647" s="124" t="str">
        <f>IFERROR(INDEX(面试清单!D:D,MATCH(2646,面试清单!P:P,0)),"")</f>
        <v>0220</v>
      </c>
      <c r="D2647" s="11" t="s">
        <v>43</v>
      </c>
      <c r="E2647" s="11" t="s">
        <v>63</v>
      </c>
      <c r="F2647" s="11" t="s">
        <v>173</v>
      </c>
      <c r="G2647" s="15">
        <v>46179</v>
      </c>
      <c r="H2647" s="14" t="str">
        <f>IFERROR(INDEX(面试清单!H:H,MATCH(2646,面试清单!P:P,0)),"")</f>
        <v>线上</v>
      </c>
      <c r="I2647" s="13" t="s">
        <v>29</v>
      </c>
      <c r="J2647" s="14">
        <f ca="1" t="shared" si="124"/>
        <v>10</v>
      </c>
      <c r="K2647" s="14">
        <f ca="1" t="shared" si="125"/>
        <v>11</v>
      </c>
    </row>
    <row r="2648" ht="18" spans="1:11">
      <c r="A2648" s="10">
        <f t="shared" si="123"/>
        <v>2647</v>
      </c>
      <c r="B2648" s="11" t="s">
        <v>1419</v>
      </c>
      <c r="C2648" s="10" t="str">
        <f>IFERROR(INDEX(面试清单!D:D,MATCH(2647,面试清单!P:P,0)),"")</f>
        <v/>
      </c>
      <c r="D2648" s="11" t="s">
        <v>43</v>
      </c>
      <c r="E2648" s="11" t="s">
        <v>63</v>
      </c>
      <c r="F2648" s="11" t="s">
        <v>173</v>
      </c>
      <c r="G2648" s="15">
        <v>46179</v>
      </c>
      <c r="H2648" s="10" t="str">
        <f>IFERROR(INDEX(面试清单!H:H,MATCH(2647,面试清单!P:P,0)),"")</f>
        <v/>
      </c>
      <c r="I2648" s="13" t="s">
        <v>29</v>
      </c>
      <c r="J2648" s="10">
        <f ca="1" t="shared" si="124"/>
        <v>10</v>
      </c>
      <c r="K2648" s="10">
        <f ca="1" t="shared" si="125"/>
        <v>11</v>
      </c>
    </row>
    <row r="2649" ht="18" spans="1:11">
      <c r="A2649" s="14">
        <f t="shared" si="123"/>
        <v>2648</v>
      </c>
      <c r="B2649" s="11" t="s">
        <v>6304</v>
      </c>
      <c r="C2649" s="14" t="str">
        <f>IFERROR(INDEX(面试清单!D:D,MATCH(2648,面试清单!P:P,0)),"")</f>
        <v/>
      </c>
      <c r="D2649" s="11" t="s">
        <v>42</v>
      </c>
      <c r="E2649" s="11" t="s">
        <v>63</v>
      </c>
      <c r="F2649" s="11" t="s">
        <v>690</v>
      </c>
      <c r="G2649" s="15">
        <v>46179</v>
      </c>
      <c r="H2649" s="14" t="str">
        <f>IFERROR(INDEX(面试清单!H:H,MATCH(2648,面试清单!P:P,0)),"")</f>
        <v/>
      </c>
      <c r="I2649" s="13" t="s">
        <v>29</v>
      </c>
      <c r="J2649" s="14">
        <f ca="1" t="shared" si="124"/>
        <v>10</v>
      </c>
      <c r="K2649" s="14">
        <f ca="1" t="shared" si="125"/>
        <v>11</v>
      </c>
    </row>
    <row r="2650" ht="18" spans="1:11">
      <c r="A2650" s="10">
        <f t="shared" si="123"/>
        <v>2649</v>
      </c>
      <c r="B2650" s="11" t="s">
        <v>6305</v>
      </c>
      <c r="C2650" s="10" t="str">
        <f>IFERROR(INDEX(面试清单!D:D,MATCH(2649,面试清单!P:P,0)),"")</f>
        <v/>
      </c>
      <c r="D2650" s="11" t="s">
        <v>42</v>
      </c>
      <c r="E2650" s="11" t="s">
        <v>63</v>
      </c>
      <c r="F2650" s="11" t="s">
        <v>690</v>
      </c>
      <c r="G2650" s="15">
        <v>46179</v>
      </c>
      <c r="H2650" s="10" t="str">
        <f>IFERROR(INDEX(面试清单!H:H,MATCH(2649,面试清单!P:P,0)),"")</f>
        <v/>
      </c>
      <c r="I2650" s="13" t="s">
        <v>29</v>
      </c>
      <c r="J2650" s="10">
        <f ca="1" t="shared" si="124"/>
        <v>10</v>
      </c>
      <c r="K2650" s="10">
        <f ca="1" t="shared" si="125"/>
        <v>11</v>
      </c>
    </row>
    <row r="2651" ht="18" spans="1:11">
      <c r="A2651" s="14">
        <f t="shared" si="123"/>
        <v>2650</v>
      </c>
      <c r="B2651" s="11" t="s">
        <v>6306</v>
      </c>
      <c r="C2651" s="14" t="str">
        <f>IFERROR(INDEX(面试清单!D:D,MATCH(2650,面试清单!P:P,0)),"")</f>
        <v/>
      </c>
      <c r="D2651" s="11" t="s">
        <v>42</v>
      </c>
      <c r="E2651" s="11" t="s">
        <v>63</v>
      </c>
      <c r="F2651" s="11" t="s">
        <v>690</v>
      </c>
      <c r="G2651" s="15">
        <v>46179</v>
      </c>
      <c r="H2651" s="14" t="str">
        <f>IFERROR(INDEX(面试清单!H:H,MATCH(2650,面试清单!P:P,0)),"")</f>
        <v/>
      </c>
      <c r="I2651" s="13" t="s">
        <v>29</v>
      </c>
      <c r="J2651" s="14">
        <f ca="1" t="shared" si="124"/>
        <v>10</v>
      </c>
      <c r="K2651" s="14">
        <f ca="1" t="shared" si="125"/>
        <v>11</v>
      </c>
    </row>
    <row r="2652" ht="18" spans="1:11">
      <c r="A2652" s="10">
        <f t="shared" si="123"/>
        <v>2651</v>
      </c>
      <c r="B2652" s="11" t="s">
        <v>6307</v>
      </c>
      <c r="C2652" s="125" t="str">
        <f>IFERROR(INDEX(面试清单!D:D,MATCH(2651,面试清单!P:P,0)),"")</f>
        <v>0209</v>
      </c>
      <c r="D2652" s="11" t="s">
        <v>42</v>
      </c>
      <c r="E2652" s="11" t="s">
        <v>63</v>
      </c>
      <c r="F2652" s="11" t="s">
        <v>690</v>
      </c>
      <c r="G2652" s="15">
        <v>46179</v>
      </c>
      <c r="H2652" s="10" t="str">
        <f>IFERROR(INDEX(面试清单!H:H,MATCH(2651,面试清单!P:P,0)),"")</f>
        <v>线上</v>
      </c>
      <c r="I2652" s="13" t="s">
        <v>29</v>
      </c>
      <c r="J2652" s="10">
        <f ca="1" t="shared" si="124"/>
        <v>10</v>
      </c>
      <c r="K2652" s="10">
        <f ca="1" t="shared" si="125"/>
        <v>11</v>
      </c>
    </row>
    <row r="2653" ht="18" spans="1:11">
      <c r="A2653" s="14">
        <f t="shared" si="123"/>
        <v>2652</v>
      </c>
      <c r="B2653" s="11" t="s">
        <v>6308</v>
      </c>
      <c r="C2653" s="14" t="str">
        <f>IFERROR(INDEX(面试清单!D:D,MATCH(2652,面试清单!P:P,0)),"")</f>
        <v/>
      </c>
      <c r="D2653" s="11" t="s">
        <v>42</v>
      </c>
      <c r="E2653" s="11" t="s">
        <v>63</v>
      </c>
      <c r="F2653" s="11" t="s">
        <v>690</v>
      </c>
      <c r="G2653" s="15">
        <v>46179</v>
      </c>
      <c r="H2653" s="14" t="str">
        <f>IFERROR(INDEX(面试清单!H:H,MATCH(2652,面试清单!P:P,0)),"")</f>
        <v/>
      </c>
      <c r="I2653" s="13" t="s">
        <v>29</v>
      </c>
      <c r="J2653" s="14">
        <f ca="1" t="shared" si="124"/>
        <v>10</v>
      </c>
      <c r="K2653" s="14">
        <f ca="1" t="shared" si="125"/>
        <v>11</v>
      </c>
    </row>
    <row r="2654" ht="18" spans="1:11">
      <c r="A2654" s="10">
        <f t="shared" si="123"/>
        <v>2653</v>
      </c>
      <c r="B2654" s="11" t="s">
        <v>6309</v>
      </c>
      <c r="C2654" s="10" t="str">
        <f>IFERROR(INDEX(面试清单!D:D,MATCH(2653,面试清单!P:P,0)),"")</f>
        <v/>
      </c>
      <c r="D2654" s="11" t="s">
        <v>42</v>
      </c>
      <c r="E2654" s="11" t="s">
        <v>63</v>
      </c>
      <c r="F2654" s="11" t="s">
        <v>690</v>
      </c>
      <c r="G2654" s="15">
        <v>46179</v>
      </c>
      <c r="H2654" s="10" t="str">
        <f>IFERROR(INDEX(面试清单!H:H,MATCH(2653,面试清单!P:P,0)),"")</f>
        <v/>
      </c>
      <c r="I2654" s="13" t="s">
        <v>29</v>
      </c>
      <c r="J2654" s="10">
        <f ca="1" t="shared" si="124"/>
        <v>10</v>
      </c>
      <c r="K2654" s="10">
        <f ca="1" t="shared" si="125"/>
        <v>11</v>
      </c>
    </row>
    <row r="2655" ht="18" spans="1:11">
      <c r="A2655" s="14">
        <f t="shared" si="123"/>
        <v>2654</v>
      </c>
      <c r="B2655" s="11" t="s">
        <v>6310</v>
      </c>
      <c r="C2655" s="124" t="str">
        <f>IFERROR(INDEX(面试清单!D:D,MATCH(2654,面试清单!P:P,0)),"")</f>
        <v>0217</v>
      </c>
      <c r="D2655" s="11" t="s">
        <v>42</v>
      </c>
      <c r="E2655" s="11" t="s">
        <v>63</v>
      </c>
      <c r="F2655" s="11" t="s">
        <v>690</v>
      </c>
      <c r="G2655" s="15">
        <v>46179</v>
      </c>
      <c r="H2655" s="14" t="str">
        <f>IFERROR(INDEX(面试清单!H:H,MATCH(2654,面试清单!P:P,0)),"")</f>
        <v>线上</v>
      </c>
      <c r="I2655" s="13" t="s">
        <v>29</v>
      </c>
      <c r="J2655" s="14">
        <f ca="1" t="shared" si="124"/>
        <v>10</v>
      </c>
      <c r="K2655" s="14">
        <f ca="1" t="shared" si="125"/>
        <v>11</v>
      </c>
    </row>
    <row r="2656" ht="18" spans="1:11">
      <c r="A2656" s="10">
        <f t="shared" si="123"/>
        <v>2655</v>
      </c>
      <c r="B2656" s="11" t="s">
        <v>6311</v>
      </c>
      <c r="C2656" s="10" t="str">
        <f>IFERROR(INDEX(面试清单!D:D,MATCH(2655,面试清单!P:P,0)),"")</f>
        <v/>
      </c>
      <c r="D2656" s="11" t="s">
        <v>42</v>
      </c>
      <c r="E2656" s="11" t="s">
        <v>63</v>
      </c>
      <c r="F2656" s="11" t="s">
        <v>690</v>
      </c>
      <c r="G2656" s="15">
        <v>46179</v>
      </c>
      <c r="H2656" s="10" t="str">
        <f>IFERROR(INDEX(面试清单!H:H,MATCH(2655,面试清单!P:P,0)),"")</f>
        <v/>
      </c>
      <c r="I2656" s="13" t="s">
        <v>29</v>
      </c>
      <c r="J2656" s="10">
        <f ca="1" t="shared" si="124"/>
        <v>10</v>
      </c>
      <c r="K2656" s="10">
        <f ca="1" t="shared" si="125"/>
        <v>11</v>
      </c>
    </row>
    <row r="2657" ht="18" spans="1:11">
      <c r="A2657" s="14">
        <f t="shared" si="123"/>
        <v>2656</v>
      </c>
      <c r="B2657" s="11" t="s">
        <v>6312</v>
      </c>
      <c r="C2657" s="14" t="str">
        <f>IFERROR(INDEX(面试清单!D:D,MATCH(2656,面试清单!P:P,0)),"")</f>
        <v/>
      </c>
      <c r="D2657" s="11" t="s">
        <v>42</v>
      </c>
      <c r="E2657" s="11" t="s">
        <v>63</v>
      </c>
      <c r="F2657" s="11" t="s">
        <v>690</v>
      </c>
      <c r="G2657" s="15">
        <v>46179</v>
      </c>
      <c r="H2657" s="14" t="str">
        <f>IFERROR(INDEX(面试清单!H:H,MATCH(2656,面试清单!P:P,0)),"")</f>
        <v/>
      </c>
      <c r="I2657" s="13" t="s">
        <v>29</v>
      </c>
      <c r="J2657" s="14">
        <f ca="1" t="shared" si="124"/>
        <v>10</v>
      </c>
      <c r="K2657" s="14">
        <f ca="1" t="shared" si="125"/>
        <v>11</v>
      </c>
    </row>
    <row r="2658" ht="18" spans="1:11">
      <c r="A2658" s="10">
        <f t="shared" si="123"/>
        <v>2657</v>
      </c>
      <c r="B2658" s="11" t="s">
        <v>6313</v>
      </c>
      <c r="C2658" s="125" t="str">
        <f>IFERROR(INDEX(面试清单!D:D,MATCH(2657,面试清单!P:P,0)),"")</f>
        <v>0221</v>
      </c>
      <c r="D2658" s="11" t="s">
        <v>42</v>
      </c>
      <c r="E2658" s="11" t="s">
        <v>63</v>
      </c>
      <c r="F2658" s="11" t="s">
        <v>690</v>
      </c>
      <c r="G2658" s="15">
        <v>46179</v>
      </c>
      <c r="H2658" s="10" t="str">
        <f>IFERROR(INDEX(面试清单!H:H,MATCH(2657,面试清单!P:P,0)),"")</f>
        <v>线上</v>
      </c>
      <c r="I2658" s="13" t="s">
        <v>29</v>
      </c>
      <c r="J2658" s="10">
        <f ca="1" t="shared" si="124"/>
        <v>10</v>
      </c>
      <c r="K2658" s="10">
        <f ca="1" t="shared" si="125"/>
        <v>11</v>
      </c>
    </row>
    <row r="2659" ht="18" spans="1:11">
      <c r="A2659" s="14">
        <f t="shared" si="123"/>
        <v>2658</v>
      </c>
      <c r="B2659" s="11" t="s">
        <v>6314</v>
      </c>
      <c r="C2659" s="14" t="str">
        <f>IFERROR(INDEX(面试清单!D:D,MATCH(2658,面试清单!P:P,0)),"")</f>
        <v/>
      </c>
      <c r="D2659" s="11" t="s">
        <v>42</v>
      </c>
      <c r="E2659" s="11" t="s">
        <v>63</v>
      </c>
      <c r="F2659" s="11" t="s">
        <v>690</v>
      </c>
      <c r="G2659" s="15">
        <v>46179</v>
      </c>
      <c r="H2659" s="14" t="str">
        <f>IFERROR(INDEX(面试清单!H:H,MATCH(2658,面试清单!P:P,0)),"")</f>
        <v/>
      </c>
      <c r="I2659" s="13" t="s">
        <v>29</v>
      </c>
      <c r="J2659" s="14">
        <f ca="1" t="shared" si="124"/>
        <v>10</v>
      </c>
      <c r="K2659" s="14">
        <f ca="1" t="shared" si="125"/>
        <v>11</v>
      </c>
    </row>
    <row r="2660" ht="18" spans="1:11">
      <c r="A2660" s="10">
        <f t="shared" si="123"/>
        <v>2659</v>
      </c>
      <c r="B2660" s="11" t="s">
        <v>6315</v>
      </c>
      <c r="C2660" s="10" t="str">
        <f>IFERROR(INDEX(面试清单!D:D,MATCH(2659,面试清单!P:P,0)),"")</f>
        <v/>
      </c>
      <c r="D2660" s="11" t="s">
        <v>42</v>
      </c>
      <c r="E2660" s="11" t="s">
        <v>63</v>
      </c>
      <c r="F2660" s="11" t="s">
        <v>690</v>
      </c>
      <c r="G2660" s="15">
        <v>46179</v>
      </c>
      <c r="H2660" s="10" t="str">
        <f>IFERROR(INDEX(面试清单!H:H,MATCH(2659,面试清单!P:P,0)),"")</f>
        <v/>
      </c>
      <c r="I2660" s="13" t="s">
        <v>29</v>
      </c>
      <c r="J2660" s="10">
        <f ca="1" t="shared" si="124"/>
        <v>10</v>
      </c>
      <c r="K2660" s="10">
        <f ca="1" t="shared" si="125"/>
        <v>11</v>
      </c>
    </row>
    <row r="2661" ht="18" spans="1:11">
      <c r="A2661" s="14">
        <f t="shared" si="123"/>
        <v>2660</v>
      </c>
      <c r="B2661" s="11" t="s">
        <v>6316</v>
      </c>
      <c r="C2661" s="14" t="str">
        <f>IFERROR(INDEX(面试清单!D:D,MATCH(2660,面试清单!P:P,0)),"")</f>
        <v/>
      </c>
      <c r="D2661" s="11" t="s">
        <v>42</v>
      </c>
      <c r="E2661" s="11" t="s">
        <v>63</v>
      </c>
      <c r="F2661" s="11" t="s">
        <v>690</v>
      </c>
      <c r="G2661" s="15">
        <v>46179</v>
      </c>
      <c r="H2661" s="14" t="str">
        <f>IFERROR(INDEX(面试清单!H:H,MATCH(2660,面试清单!P:P,0)),"")</f>
        <v/>
      </c>
      <c r="I2661" s="13" t="s">
        <v>29</v>
      </c>
      <c r="J2661" s="14">
        <f ca="1" t="shared" si="124"/>
        <v>10</v>
      </c>
      <c r="K2661" s="14">
        <f ca="1" t="shared" si="125"/>
        <v>11</v>
      </c>
    </row>
    <row r="2662" ht="18" spans="1:11">
      <c r="A2662" s="10">
        <f t="shared" si="123"/>
        <v>2661</v>
      </c>
      <c r="B2662" s="11" t="s">
        <v>6317</v>
      </c>
      <c r="C2662" s="10" t="str">
        <f>IFERROR(INDEX(面试清单!D:D,MATCH(2661,面试清单!P:P,0)),"")</f>
        <v/>
      </c>
      <c r="D2662" s="11" t="s">
        <v>42</v>
      </c>
      <c r="E2662" s="11" t="s">
        <v>63</v>
      </c>
      <c r="F2662" s="11" t="s">
        <v>690</v>
      </c>
      <c r="G2662" s="15">
        <v>46179</v>
      </c>
      <c r="H2662" s="10" t="str">
        <f>IFERROR(INDEX(面试清单!H:H,MATCH(2661,面试清单!P:P,0)),"")</f>
        <v/>
      </c>
      <c r="I2662" s="13" t="s">
        <v>29</v>
      </c>
      <c r="J2662" s="10">
        <f ca="1" t="shared" si="124"/>
        <v>10</v>
      </c>
      <c r="K2662" s="10">
        <f ca="1" t="shared" si="125"/>
        <v>11</v>
      </c>
    </row>
    <row r="2663" ht="18" spans="1:11">
      <c r="A2663" s="14">
        <f t="shared" si="123"/>
        <v>2662</v>
      </c>
      <c r="B2663" s="11" t="s">
        <v>6318</v>
      </c>
      <c r="C2663" s="14" t="str">
        <f>IFERROR(INDEX(面试清单!D:D,MATCH(2662,面试清单!P:P,0)),"")</f>
        <v/>
      </c>
      <c r="D2663" s="11" t="s">
        <v>42</v>
      </c>
      <c r="E2663" s="11" t="s">
        <v>63</v>
      </c>
      <c r="F2663" s="11" t="s">
        <v>690</v>
      </c>
      <c r="G2663" s="15">
        <v>46179</v>
      </c>
      <c r="H2663" s="14" t="str">
        <f>IFERROR(INDEX(面试清单!H:H,MATCH(2662,面试清单!P:P,0)),"")</f>
        <v/>
      </c>
      <c r="I2663" s="13" t="s">
        <v>29</v>
      </c>
      <c r="J2663" s="14">
        <f ca="1" t="shared" si="124"/>
        <v>10</v>
      </c>
      <c r="K2663" s="14">
        <f ca="1" t="shared" si="125"/>
        <v>11</v>
      </c>
    </row>
    <row r="2664" ht="18" spans="1:11">
      <c r="A2664" s="10">
        <f t="shared" si="123"/>
        <v>2663</v>
      </c>
      <c r="B2664" s="11" t="s">
        <v>6319</v>
      </c>
      <c r="C2664" s="10" t="str">
        <f>IFERROR(INDEX(面试清单!D:D,MATCH(2663,面试清单!P:P,0)),"")</f>
        <v/>
      </c>
      <c r="D2664" s="11" t="s">
        <v>42</v>
      </c>
      <c r="E2664" s="11" t="s">
        <v>63</v>
      </c>
      <c r="F2664" s="11" t="s">
        <v>690</v>
      </c>
      <c r="G2664" s="15">
        <v>46179</v>
      </c>
      <c r="H2664" s="10" t="str">
        <f>IFERROR(INDEX(面试清单!H:H,MATCH(2663,面试清单!P:P,0)),"")</f>
        <v/>
      </c>
      <c r="I2664" s="13" t="s">
        <v>29</v>
      </c>
      <c r="J2664" s="10">
        <f ca="1" t="shared" si="124"/>
        <v>10</v>
      </c>
      <c r="K2664" s="10">
        <f ca="1" t="shared" si="125"/>
        <v>11</v>
      </c>
    </row>
    <row r="2665" ht="18" spans="1:11">
      <c r="A2665" s="14">
        <f t="shared" si="123"/>
        <v>2664</v>
      </c>
      <c r="B2665" s="11" t="s">
        <v>6320</v>
      </c>
      <c r="C2665" s="14" t="str">
        <f>IFERROR(INDEX(面试清单!D:D,MATCH(2664,面试清单!P:P,0)),"")</f>
        <v/>
      </c>
      <c r="D2665" s="11" t="s">
        <v>42</v>
      </c>
      <c r="E2665" s="11" t="s">
        <v>63</v>
      </c>
      <c r="F2665" s="11" t="s">
        <v>690</v>
      </c>
      <c r="G2665" s="15">
        <v>46179</v>
      </c>
      <c r="H2665" s="14" t="str">
        <f>IFERROR(INDEX(面试清单!H:H,MATCH(2664,面试清单!P:P,0)),"")</f>
        <v/>
      </c>
      <c r="I2665" s="13" t="s">
        <v>29</v>
      </c>
      <c r="J2665" s="14">
        <f ca="1" t="shared" si="124"/>
        <v>10</v>
      </c>
      <c r="K2665" s="14">
        <f ca="1" t="shared" si="125"/>
        <v>11</v>
      </c>
    </row>
    <row r="2666" ht="18" spans="1:11">
      <c r="A2666" s="10">
        <f t="shared" si="123"/>
        <v>2665</v>
      </c>
      <c r="B2666" s="11" t="s">
        <v>6321</v>
      </c>
      <c r="C2666" s="10" t="str">
        <f>IFERROR(INDEX(面试清单!D:D,MATCH(2665,面试清单!P:P,0)),"")</f>
        <v/>
      </c>
      <c r="D2666" s="11" t="s">
        <v>42</v>
      </c>
      <c r="E2666" s="11" t="s">
        <v>64</v>
      </c>
      <c r="F2666" s="11" t="s">
        <v>690</v>
      </c>
      <c r="G2666" s="15">
        <v>46179</v>
      </c>
      <c r="H2666" s="10" t="str">
        <f>IFERROR(INDEX(面试清单!H:H,MATCH(2665,面试清单!P:P,0)),"")</f>
        <v/>
      </c>
      <c r="I2666" s="13" t="s">
        <v>29</v>
      </c>
      <c r="J2666" s="10">
        <f ca="1" t="shared" si="124"/>
        <v>10</v>
      </c>
      <c r="K2666" s="10">
        <f ca="1" t="shared" si="125"/>
        <v>11</v>
      </c>
    </row>
    <row r="2667" ht="18" spans="1:11">
      <c r="A2667" s="14">
        <f t="shared" si="123"/>
        <v>2666</v>
      </c>
      <c r="B2667" s="11" t="s">
        <v>6322</v>
      </c>
      <c r="C2667" s="124" t="str">
        <f>IFERROR(INDEX(面试清单!D:D,MATCH(2666,面试清单!P:P,0)),"")</f>
        <v>0221</v>
      </c>
      <c r="D2667" s="11" t="s">
        <v>42</v>
      </c>
      <c r="E2667" s="11" t="s">
        <v>64</v>
      </c>
      <c r="F2667" s="11" t="s">
        <v>690</v>
      </c>
      <c r="G2667" s="15">
        <v>46179</v>
      </c>
      <c r="H2667" s="14" t="str">
        <f>IFERROR(INDEX(面试清单!H:H,MATCH(2666,面试清单!P:P,0)),"")</f>
        <v>线下</v>
      </c>
      <c r="I2667" s="13" t="s">
        <v>29</v>
      </c>
      <c r="J2667" s="14">
        <f ca="1" t="shared" si="124"/>
        <v>10</v>
      </c>
      <c r="K2667" s="14">
        <f ca="1" t="shared" si="125"/>
        <v>11</v>
      </c>
    </row>
    <row r="2668" ht="18" spans="1:11">
      <c r="A2668" s="10">
        <f t="shared" si="123"/>
        <v>2667</v>
      </c>
      <c r="B2668" s="11" t="s">
        <v>6323</v>
      </c>
      <c r="C2668" s="125" t="str">
        <f>IFERROR(INDEX(面试清单!D:D,MATCH(2667,面试清单!P:P,0)),"")</f>
        <v>0222</v>
      </c>
      <c r="D2668" s="11" t="s">
        <v>42</v>
      </c>
      <c r="E2668" s="11" t="s">
        <v>64</v>
      </c>
      <c r="F2668" s="11" t="s">
        <v>690</v>
      </c>
      <c r="G2668" s="15">
        <v>46179</v>
      </c>
      <c r="H2668" s="10" t="str">
        <f>IFERROR(INDEX(面试清单!H:H,MATCH(2667,面试清单!P:P,0)),"")</f>
        <v>线下</v>
      </c>
      <c r="I2668" s="13" t="s">
        <v>29</v>
      </c>
      <c r="J2668" s="10">
        <f ca="1" t="shared" si="124"/>
        <v>10</v>
      </c>
      <c r="K2668" s="10">
        <f ca="1" t="shared" si="125"/>
        <v>11</v>
      </c>
    </row>
    <row r="2669" ht="18" spans="1:11">
      <c r="A2669" s="14">
        <f t="shared" si="123"/>
        <v>2668</v>
      </c>
      <c r="B2669" s="11" t="s">
        <v>6324</v>
      </c>
      <c r="C2669" s="124" t="str">
        <f>IFERROR(INDEX(面试清单!D:D,MATCH(2668,面试清单!P:P,0)),"")</f>
        <v>0208</v>
      </c>
      <c r="D2669" s="11" t="s">
        <v>42</v>
      </c>
      <c r="E2669" s="11" t="s">
        <v>64</v>
      </c>
      <c r="F2669" s="11" t="s">
        <v>690</v>
      </c>
      <c r="G2669" s="15">
        <v>46179</v>
      </c>
      <c r="H2669" s="14" t="str">
        <f>IFERROR(INDEX(面试清单!H:H,MATCH(2668,面试清单!P:P,0)),"")</f>
        <v>线下</v>
      </c>
      <c r="I2669" s="13" t="s">
        <v>29</v>
      </c>
      <c r="J2669" s="14">
        <f ca="1" t="shared" si="124"/>
        <v>10</v>
      </c>
      <c r="K2669" s="14">
        <f ca="1" t="shared" si="125"/>
        <v>11</v>
      </c>
    </row>
    <row r="2670" ht="18" spans="1:11">
      <c r="A2670" s="10">
        <f t="shared" si="123"/>
        <v>2669</v>
      </c>
      <c r="B2670" s="11" t="s">
        <v>6325</v>
      </c>
      <c r="C2670" s="10" t="str">
        <f>IFERROR(INDEX(面试清单!D:D,MATCH(2669,面试清单!P:P,0)),"")</f>
        <v/>
      </c>
      <c r="D2670" s="11" t="s">
        <v>42</v>
      </c>
      <c r="E2670" s="11" t="s">
        <v>64</v>
      </c>
      <c r="F2670" s="11" t="s">
        <v>690</v>
      </c>
      <c r="G2670" s="15">
        <v>46179</v>
      </c>
      <c r="H2670" s="10" t="str">
        <f>IFERROR(INDEX(面试清单!H:H,MATCH(2669,面试清单!P:P,0)),"")</f>
        <v/>
      </c>
      <c r="I2670" s="13" t="s">
        <v>29</v>
      </c>
      <c r="J2670" s="10">
        <f ca="1" t="shared" si="124"/>
        <v>10</v>
      </c>
      <c r="K2670" s="10">
        <f ca="1" t="shared" si="125"/>
        <v>11</v>
      </c>
    </row>
    <row r="2671" ht="18" spans="1:11">
      <c r="A2671" s="14">
        <f t="shared" si="123"/>
        <v>2670</v>
      </c>
      <c r="B2671" s="11" t="s">
        <v>6326</v>
      </c>
      <c r="C2671" s="14" t="str">
        <f>IFERROR(INDEX(面试清单!D:D,MATCH(2670,面试清单!P:P,0)),"")</f>
        <v/>
      </c>
      <c r="D2671" s="11" t="s">
        <v>42</v>
      </c>
      <c r="E2671" s="11" t="s">
        <v>64</v>
      </c>
      <c r="F2671" s="11" t="s">
        <v>690</v>
      </c>
      <c r="G2671" s="15">
        <v>46179</v>
      </c>
      <c r="H2671" s="14" t="str">
        <f>IFERROR(INDEX(面试清单!H:H,MATCH(2670,面试清单!P:P,0)),"")</f>
        <v/>
      </c>
      <c r="I2671" s="13" t="s">
        <v>29</v>
      </c>
      <c r="J2671" s="14">
        <f ca="1" t="shared" si="124"/>
        <v>10</v>
      </c>
      <c r="K2671" s="14">
        <f ca="1" t="shared" si="125"/>
        <v>11</v>
      </c>
    </row>
    <row r="2672" ht="18" spans="1:11">
      <c r="A2672" s="10">
        <f t="shared" si="123"/>
        <v>2671</v>
      </c>
      <c r="B2672" s="11" t="s">
        <v>6327</v>
      </c>
      <c r="C2672" s="10" t="str">
        <f>IFERROR(INDEX(面试清单!D:D,MATCH(2671,面试清单!P:P,0)),"")</f>
        <v/>
      </c>
      <c r="D2672" s="11" t="s">
        <v>42</v>
      </c>
      <c r="E2672" s="11" t="s">
        <v>63</v>
      </c>
      <c r="F2672" s="11" t="s">
        <v>690</v>
      </c>
      <c r="G2672" s="15">
        <v>46179</v>
      </c>
      <c r="H2672" s="10" t="str">
        <f>IFERROR(INDEX(面试清单!H:H,MATCH(2671,面试清单!P:P,0)),"")</f>
        <v/>
      </c>
      <c r="I2672" s="13" t="s">
        <v>29</v>
      </c>
      <c r="J2672" s="10">
        <f ca="1" t="shared" si="124"/>
        <v>10</v>
      </c>
      <c r="K2672" s="10">
        <f ca="1" t="shared" si="125"/>
        <v>11</v>
      </c>
    </row>
    <row r="2673" ht="18" spans="1:11">
      <c r="A2673" s="14">
        <f t="shared" si="123"/>
        <v>2672</v>
      </c>
      <c r="B2673" s="11" t="s">
        <v>6328</v>
      </c>
      <c r="C2673" s="14" t="str">
        <f>IFERROR(INDEX(面试清单!D:D,MATCH(2672,面试清单!P:P,0)),"")</f>
        <v/>
      </c>
      <c r="D2673" s="11" t="s">
        <v>42</v>
      </c>
      <c r="E2673" s="11" t="s">
        <v>64</v>
      </c>
      <c r="F2673" s="11" t="s">
        <v>690</v>
      </c>
      <c r="G2673" s="15">
        <v>46179</v>
      </c>
      <c r="H2673" s="14" t="str">
        <f>IFERROR(INDEX(面试清单!H:H,MATCH(2672,面试清单!P:P,0)),"")</f>
        <v/>
      </c>
      <c r="I2673" s="13" t="s">
        <v>29</v>
      </c>
      <c r="J2673" s="14">
        <f ca="1" t="shared" si="124"/>
        <v>10</v>
      </c>
      <c r="K2673" s="14">
        <f ca="1" t="shared" si="125"/>
        <v>11</v>
      </c>
    </row>
    <row r="2674" ht="18" spans="1:11">
      <c r="A2674" s="10">
        <f t="shared" si="123"/>
        <v>2673</v>
      </c>
      <c r="B2674" s="11" t="s">
        <v>6329</v>
      </c>
      <c r="C2674" s="10" t="str">
        <f>IFERROR(INDEX(面试清单!D:D,MATCH(2673,面试清单!P:P,0)),"")</f>
        <v/>
      </c>
      <c r="D2674" s="11" t="s">
        <v>42</v>
      </c>
      <c r="E2674" s="11" t="s">
        <v>64</v>
      </c>
      <c r="F2674" s="11" t="s">
        <v>690</v>
      </c>
      <c r="G2674" s="15">
        <v>46179</v>
      </c>
      <c r="H2674" s="10" t="str">
        <f>IFERROR(INDEX(面试清单!H:H,MATCH(2673,面试清单!P:P,0)),"")</f>
        <v/>
      </c>
      <c r="I2674" s="13" t="s">
        <v>29</v>
      </c>
      <c r="J2674" s="10">
        <f ca="1" t="shared" si="124"/>
        <v>10</v>
      </c>
      <c r="K2674" s="10">
        <f ca="1" t="shared" si="125"/>
        <v>11</v>
      </c>
    </row>
    <row r="2675" ht="18" spans="1:11">
      <c r="A2675" s="14">
        <f t="shared" si="123"/>
        <v>2674</v>
      </c>
      <c r="B2675" s="11" t="s">
        <v>1422</v>
      </c>
      <c r="C2675" s="14" t="str">
        <f>IFERROR(INDEX(面试清单!D:D,MATCH(2674,面试清单!P:P,0)),"")</f>
        <v/>
      </c>
      <c r="D2675" s="11" t="s">
        <v>43</v>
      </c>
      <c r="E2675" s="11" t="s">
        <v>62</v>
      </c>
      <c r="F2675" s="11" t="s">
        <v>733</v>
      </c>
      <c r="G2675" s="15">
        <v>46179</v>
      </c>
      <c r="H2675" s="14" t="str">
        <f>IFERROR(INDEX(面试清单!H:H,MATCH(2674,面试清单!P:P,0)),"")</f>
        <v/>
      </c>
      <c r="I2675" s="13" t="s">
        <v>29</v>
      </c>
      <c r="J2675" s="14">
        <f ca="1" t="shared" si="124"/>
        <v>10</v>
      </c>
      <c r="K2675" s="14">
        <f ca="1" t="shared" si="125"/>
        <v>11</v>
      </c>
    </row>
    <row r="2676" ht="18" spans="1:11">
      <c r="A2676" s="10">
        <f t="shared" si="123"/>
        <v>2675</v>
      </c>
      <c r="B2676" s="11" t="s">
        <v>1423</v>
      </c>
      <c r="C2676" s="10" t="str">
        <f>IFERROR(INDEX(面试清单!D:D,MATCH(2675,面试清单!P:P,0)),"")</f>
        <v/>
      </c>
      <c r="D2676" s="11" t="s">
        <v>43</v>
      </c>
      <c r="E2676" s="11" t="s">
        <v>63</v>
      </c>
      <c r="F2676" s="11" t="s">
        <v>733</v>
      </c>
      <c r="G2676" s="15">
        <v>46179</v>
      </c>
      <c r="H2676" s="10" t="str">
        <f>IFERROR(INDEX(面试清单!H:H,MATCH(2675,面试清单!P:P,0)),"")</f>
        <v/>
      </c>
      <c r="I2676" s="13" t="s">
        <v>29</v>
      </c>
      <c r="J2676" s="10">
        <f ca="1" t="shared" si="124"/>
        <v>10</v>
      </c>
      <c r="K2676" s="10">
        <f ca="1" t="shared" si="125"/>
        <v>11</v>
      </c>
    </row>
    <row r="2677" ht="18" spans="1:11">
      <c r="A2677" s="14">
        <f t="shared" si="123"/>
        <v>2676</v>
      </c>
      <c r="B2677" s="11" t="s">
        <v>1424</v>
      </c>
      <c r="C2677" s="14" t="str">
        <f>IFERROR(INDEX(面试清单!D:D,MATCH(2676,面试清单!P:P,0)),"")</f>
        <v/>
      </c>
      <c r="D2677" s="11" t="s">
        <v>43</v>
      </c>
      <c r="E2677" s="11" t="s">
        <v>63</v>
      </c>
      <c r="F2677" s="11" t="s">
        <v>733</v>
      </c>
      <c r="G2677" s="15">
        <v>46179</v>
      </c>
      <c r="H2677" s="14" t="str">
        <f>IFERROR(INDEX(面试清单!H:H,MATCH(2676,面试清单!P:P,0)),"")</f>
        <v/>
      </c>
      <c r="I2677" s="13" t="s">
        <v>29</v>
      </c>
      <c r="J2677" s="14">
        <f ca="1" t="shared" si="124"/>
        <v>10</v>
      </c>
      <c r="K2677" s="14">
        <f ca="1" t="shared" si="125"/>
        <v>11</v>
      </c>
    </row>
    <row r="2678" ht="18" spans="1:11">
      <c r="A2678" s="10">
        <f t="shared" si="123"/>
        <v>2677</v>
      </c>
      <c r="B2678" s="11" t="s">
        <v>6330</v>
      </c>
      <c r="C2678" s="10" t="str">
        <f>IFERROR(INDEX(面试清单!D:D,MATCH(2677,面试清单!P:P,0)),"")</f>
        <v/>
      </c>
      <c r="D2678" s="11" t="s">
        <v>43</v>
      </c>
      <c r="E2678" s="11" t="s">
        <v>64</v>
      </c>
      <c r="F2678" s="11" t="s">
        <v>173</v>
      </c>
      <c r="G2678" s="15">
        <v>46179</v>
      </c>
      <c r="H2678" s="10" t="str">
        <f>IFERROR(INDEX(面试清单!H:H,MATCH(2677,面试清单!P:P,0)),"")</f>
        <v/>
      </c>
      <c r="I2678" s="13" t="s">
        <v>29</v>
      </c>
      <c r="J2678" s="10">
        <f ca="1" t="shared" si="124"/>
        <v>10</v>
      </c>
      <c r="K2678" s="10">
        <f ca="1" t="shared" si="125"/>
        <v>11</v>
      </c>
    </row>
    <row r="2679" ht="18" spans="1:11">
      <c r="A2679" s="14">
        <f t="shared" si="123"/>
        <v>2678</v>
      </c>
      <c r="B2679" s="11" t="s">
        <v>6331</v>
      </c>
      <c r="C2679" s="14" t="str">
        <f>IFERROR(INDEX(面试清单!D:D,MATCH(2678,面试清单!P:P,0)),"")</f>
        <v/>
      </c>
      <c r="D2679" s="11" t="s">
        <v>43</v>
      </c>
      <c r="E2679" s="11" t="s">
        <v>64</v>
      </c>
      <c r="F2679" s="11" t="s">
        <v>173</v>
      </c>
      <c r="G2679" s="15">
        <v>46179</v>
      </c>
      <c r="H2679" s="14" t="str">
        <f>IFERROR(INDEX(面试清单!H:H,MATCH(2678,面试清单!P:P,0)),"")</f>
        <v/>
      </c>
      <c r="I2679" s="13" t="s">
        <v>29</v>
      </c>
      <c r="J2679" s="14">
        <f ca="1" t="shared" si="124"/>
        <v>10</v>
      </c>
      <c r="K2679" s="14">
        <f ca="1" t="shared" si="125"/>
        <v>11</v>
      </c>
    </row>
    <row r="2680" ht="18" spans="1:11">
      <c r="A2680" s="10">
        <f t="shared" si="123"/>
        <v>2679</v>
      </c>
      <c r="B2680" s="11" t="s">
        <v>6332</v>
      </c>
      <c r="C2680" s="10" t="str">
        <f>IFERROR(INDEX(面试清单!D:D,MATCH(2679,面试清单!P:P,0)),"")</f>
        <v/>
      </c>
      <c r="D2680" s="11" t="s">
        <v>43</v>
      </c>
      <c r="E2680" s="11" t="s">
        <v>64</v>
      </c>
      <c r="F2680" s="11" t="s">
        <v>173</v>
      </c>
      <c r="G2680" s="15">
        <v>46179</v>
      </c>
      <c r="H2680" s="10" t="str">
        <f>IFERROR(INDEX(面试清单!H:H,MATCH(2679,面试清单!P:P,0)),"")</f>
        <v/>
      </c>
      <c r="I2680" s="13" t="s">
        <v>29</v>
      </c>
      <c r="J2680" s="10">
        <f ca="1" t="shared" si="124"/>
        <v>10</v>
      </c>
      <c r="K2680" s="10">
        <f ca="1" t="shared" si="125"/>
        <v>11</v>
      </c>
    </row>
    <row r="2681" ht="18" spans="1:11">
      <c r="A2681" s="14">
        <f t="shared" si="123"/>
        <v>2680</v>
      </c>
      <c r="B2681" s="11" t="s">
        <v>6333</v>
      </c>
      <c r="C2681" s="124" t="str">
        <f>IFERROR(INDEX(面试清单!D:D,MATCH(2680,面试清单!P:P,0)),"")</f>
        <v>0214</v>
      </c>
      <c r="D2681" s="11" t="s">
        <v>43</v>
      </c>
      <c r="E2681" s="11" t="s">
        <v>64</v>
      </c>
      <c r="F2681" s="11" t="s">
        <v>173</v>
      </c>
      <c r="G2681" s="15">
        <v>46179</v>
      </c>
      <c r="H2681" s="14" t="str">
        <f>IFERROR(INDEX(面试清单!H:H,MATCH(2680,面试清单!P:P,0)),"")</f>
        <v>线上</v>
      </c>
      <c r="I2681" s="13" t="s">
        <v>29</v>
      </c>
      <c r="J2681" s="14">
        <f ca="1" t="shared" si="124"/>
        <v>10</v>
      </c>
      <c r="K2681" s="14">
        <f ca="1" t="shared" si="125"/>
        <v>11</v>
      </c>
    </row>
    <row r="2682" ht="18" spans="1:11">
      <c r="A2682" s="10">
        <f t="shared" si="123"/>
        <v>2681</v>
      </c>
      <c r="B2682" s="11" t="s">
        <v>6334</v>
      </c>
      <c r="C2682" s="125" t="str">
        <f>IFERROR(INDEX(面试清单!D:D,MATCH(2681,面试清单!P:P,0)),"")</f>
        <v>0217</v>
      </c>
      <c r="D2682" s="11" t="s">
        <v>43</v>
      </c>
      <c r="E2682" s="11" t="s">
        <v>64</v>
      </c>
      <c r="F2682" s="11" t="s">
        <v>173</v>
      </c>
      <c r="G2682" s="15">
        <v>46179</v>
      </c>
      <c r="H2682" s="10" t="str">
        <f>IFERROR(INDEX(面试清单!H:H,MATCH(2681,面试清单!P:P,0)),"")</f>
        <v>线上</v>
      </c>
      <c r="I2682" s="13" t="s">
        <v>29</v>
      </c>
      <c r="J2682" s="10">
        <f ca="1" t="shared" si="124"/>
        <v>10</v>
      </c>
      <c r="K2682" s="10">
        <f ca="1" t="shared" si="125"/>
        <v>11</v>
      </c>
    </row>
    <row r="2683" ht="18" spans="1:11">
      <c r="A2683" s="14">
        <f t="shared" si="123"/>
        <v>2682</v>
      </c>
      <c r="B2683" s="11" t="s">
        <v>6335</v>
      </c>
      <c r="C2683" s="14" t="str">
        <f>IFERROR(INDEX(面试清单!D:D,MATCH(2682,面试清单!P:P,0)),"")</f>
        <v/>
      </c>
      <c r="D2683" s="11" t="s">
        <v>43</v>
      </c>
      <c r="E2683" s="11" t="s">
        <v>64</v>
      </c>
      <c r="F2683" s="11" t="s">
        <v>173</v>
      </c>
      <c r="G2683" s="15">
        <v>46179</v>
      </c>
      <c r="H2683" s="14" t="str">
        <f>IFERROR(INDEX(面试清单!H:H,MATCH(2682,面试清单!P:P,0)),"")</f>
        <v/>
      </c>
      <c r="I2683" s="13" t="s">
        <v>29</v>
      </c>
      <c r="J2683" s="14">
        <f ca="1" t="shared" si="124"/>
        <v>10</v>
      </c>
      <c r="K2683" s="14">
        <f ca="1" t="shared" si="125"/>
        <v>11</v>
      </c>
    </row>
    <row r="2684" ht="18" spans="1:11">
      <c r="A2684" s="10">
        <f t="shared" si="123"/>
        <v>2683</v>
      </c>
      <c r="B2684" s="11" t="s">
        <v>6336</v>
      </c>
      <c r="C2684" s="10" t="str">
        <f>IFERROR(INDEX(面试清单!D:D,MATCH(2683,面试清单!P:P,0)),"")</f>
        <v/>
      </c>
      <c r="D2684" s="11" t="s">
        <v>43</v>
      </c>
      <c r="E2684" s="11" t="s">
        <v>64</v>
      </c>
      <c r="F2684" s="11" t="s">
        <v>173</v>
      </c>
      <c r="G2684" s="15">
        <v>46179</v>
      </c>
      <c r="H2684" s="10" t="str">
        <f>IFERROR(INDEX(面试清单!H:H,MATCH(2683,面试清单!P:P,0)),"")</f>
        <v/>
      </c>
      <c r="I2684" s="13" t="s">
        <v>29</v>
      </c>
      <c r="J2684" s="10">
        <f ca="1" t="shared" si="124"/>
        <v>10</v>
      </c>
      <c r="K2684" s="10">
        <f ca="1" t="shared" si="125"/>
        <v>11</v>
      </c>
    </row>
    <row r="2685" ht="18" spans="1:11">
      <c r="A2685" s="14">
        <f t="shared" si="123"/>
        <v>2684</v>
      </c>
      <c r="B2685" s="11" t="s">
        <v>6337</v>
      </c>
      <c r="C2685" s="14" t="str">
        <f>IFERROR(INDEX(面试清单!D:D,MATCH(2684,面试清单!P:P,0)),"")</f>
        <v/>
      </c>
      <c r="D2685" s="11" t="s">
        <v>43</v>
      </c>
      <c r="E2685" s="11" t="s">
        <v>64</v>
      </c>
      <c r="F2685" s="11" t="s">
        <v>173</v>
      </c>
      <c r="G2685" s="15">
        <v>46179</v>
      </c>
      <c r="H2685" s="14" t="str">
        <f>IFERROR(INDEX(面试清单!H:H,MATCH(2684,面试清单!P:P,0)),"")</f>
        <v/>
      </c>
      <c r="I2685" s="13" t="s">
        <v>29</v>
      </c>
      <c r="J2685" s="14">
        <f ca="1" t="shared" si="124"/>
        <v>10</v>
      </c>
      <c r="K2685" s="14">
        <f ca="1" t="shared" si="125"/>
        <v>11</v>
      </c>
    </row>
    <row r="2686" ht="18" spans="1:11">
      <c r="A2686" s="10">
        <f t="shared" si="123"/>
        <v>2685</v>
      </c>
      <c r="B2686" s="11" t="s">
        <v>6338</v>
      </c>
      <c r="C2686" s="10" t="str">
        <f>IFERROR(INDEX(面试清单!D:D,MATCH(2685,面试清单!P:P,0)),"")</f>
        <v/>
      </c>
      <c r="D2686" s="11" t="s">
        <v>43</v>
      </c>
      <c r="E2686" s="11" t="s">
        <v>64</v>
      </c>
      <c r="F2686" s="11" t="s">
        <v>173</v>
      </c>
      <c r="G2686" s="15">
        <v>46179</v>
      </c>
      <c r="H2686" s="10" t="str">
        <f>IFERROR(INDEX(面试清单!H:H,MATCH(2685,面试清单!P:P,0)),"")</f>
        <v/>
      </c>
      <c r="I2686" s="13" t="s">
        <v>29</v>
      </c>
      <c r="J2686" s="10">
        <f ca="1" t="shared" si="124"/>
        <v>10</v>
      </c>
      <c r="K2686" s="10">
        <f ca="1" t="shared" si="125"/>
        <v>11</v>
      </c>
    </row>
    <row r="2687" ht="18" spans="1:11">
      <c r="A2687" s="14">
        <f t="shared" si="123"/>
        <v>2686</v>
      </c>
      <c r="B2687" s="11" t="s">
        <v>6339</v>
      </c>
      <c r="C2687" s="14" t="str">
        <f>IFERROR(INDEX(面试清单!D:D,MATCH(2686,面试清单!P:P,0)),"")</f>
        <v/>
      </c>
      <c r="D2687" s="11" t="s">
        <v>43</v>
      </c>
      <c r="E2687" s="11" t="s">
        <v>64</v>
      </c>
      <c r="F2687" s="11" t="s">
        <v>173</v>
      </c>
      <c r="G2687" s="15">
        <v>46179</v>
      </c>
      <c r="H2687" s="14" t="str">
        <f>IFERROR(INDEX(面试清单!H:H,MATCH(2686,面试清单!P:P,0)),"")</f>
        <v/>
      </c>
      <c r="I2687" s="13" t="s">
        <v>29</v>
      </c>
      <c r="J2687" s="14">
        <f ca="1" t="shared" si="124"/>
        <v>10</v>
      </c>
      <c r="K2687" s="14">
        <f ca="1" t="shared" si="125"/>
        <v>11</v>
      </c>
    </row>
    <row r="2688" ht="18" spans="1:11">
      <c r="A2688" s="10">
        <f t="shared" si="123"/>
        <v>2687</v>
      </c>
      <c r="B2688" s="11" t="s">
        <v>6340</v>
      </c>
      <c r="C2688" s="10" t="str">
        <f>IFERROR(INDEX(面试清单!D:D,MATCH(2687,面试清单!P:P,0)),"")</f>
        <v/>
      </c>
      <c r="D2688" s="11" t="s">
        <v>43</v>
      </c>
      <c r="E2688" s="11" t="s">
        <v>64</v>
      </c>
      <c r="F2688" s="11" t="s">
        <v>173</v>
      </c>
      <c r="G2688" s="15">
        <v>46179</v>
      </c>
      <c r="H2688" s="10" t="str">
        <f>IFERROR(INDEX(面试清单!H:H,MATCH(2687,面试清单!P:P,0)),"")</f>
        <v/>
      </c>
      <c r="I2688" s="13" t="s">
        <v>29</v>
      </c>
      <c r="J2688" s="10">
        <f ca="1" t="shared" si="124"/>
        <v>10</v>
      </c>
      <c r="K2688" s="10">
        <f ca="1" t="shared" si="125"/>
        <v>11</v>
      </c>
    </row>
    <row r="2689" ht="18" spans="1:11">
      <c r="A2689" s="14">
        <f t="shared" si="123"/>
        <v>2688</v>
      </c>
      <c r="B2689" s="11" t="s">
        <v>6341</v>
      </c>
      <c r="C2689" s="14" t="str">
        <f>IFERROR(INDEX(面试清单!D:D,MATCH(2688,面试清单!P:P,0)),"")</f>
        <v/>
      </c>
      <c r="D2689" s="11" t="s">
        <v>42</v>
      </c>
      <c r="E2689" s="11" t="s">
        <v>64</v>
      </c>
      <c r="F2689" s="11" t="s">
        <v>173</v>
      </c>
      <c r="G2689" s="15">
        <v>46179</v>
      </c>
      <c r="H2689" s="14" t="str">
        <f>IFERROR(INDEX(面试清单!H:H,MATCH(2688,面试清单!P:P,0)),"")</f>
        <v/>
      </c>
      <c r="I2689" s="13" t="s">
        <v>29</v>
      </c>
      <c r="J2689" s="14">
        <f ca="1" t="shared" si="124"/>
        <v>10</v>
      </c>
      <c r="K2689" s="14">
        <f ca="1" t="shared" si="125"/>
        <v>11</v>
      </c>
    </row>
    <row r="2690" ht="18" spans="1:11">
      <c r="A2690" s="10">
        <f t="shared" ref="A2690:A2753" si="126">IF(B2690&lt;&gt;"",ROW()-1,"")</f>
        <v>2689</v>
      </c>
      <c r="B2690" s="11" t="s">
        <v>6342</v>
      </c>
      <c r="C2690" s="10" t="str">
        <f>IFERROR(INDEX(面试清单!D:D,MATCH(2689,面试清单!P:P,0)),"")</f>
        <v/>
      </c>
      <c r="D2690" s="11" t="s">
        <v>42</v>
      </c>
      <c r="E2690" s="11" t="s">
        <v>63</v>
      </c>
      <c r="F2690" s="11" t="s">
        <v>173</v>
      </c>
      <c r="G2690" s="15">
        <v>46179</v>
      </c>
      <c r="H2690" s="10" t="str">
        <f>IFERROR(INDEX(面试清单!H:H,MATCH(2689,面试清单!P:P,0)),"")</f>
        <v/>
      </c>
      <c r="I2690" s="13" t="s">
        <v>29</v>
      </c>
      <c r="J2690" s="10">
        <f ca="1" t="shared" ref="J2690:J2753" si="127">IF(G2690&lt;&gt;"",TODAY()-G2690,"")</f>
        <v>10</v>
      </c>
      <c r="K2690" s="10">
        <f ca="1" t="shared" ref="K2690:K2753" si="128">IF(G2690&lt;&gt;"",MAX(0,MIN(TODAY(),EOMONTH(TODAY(),0))-MAX(G2690,EOMONTH(TODAY(),-1)+1)+1),"")</f>
        <v>11</v>
      </c>
    </row>
    <row r="2691" ht="18" spans="1:11">
      <c r="A2691" s="14">
        <f t="shared" si="126"/>
        <v>2690</v>
      </c>
      <c r="B2691" s="11" t="s">
        <v>6343</v>
      </c>
      <c r="C2691" s="14" t="str">
        <f>IFERROR(INDEX(面试清单!D:D,MATCH(2690,面试清单!P:P,0)),"")</f>
        <v/>
      </c>
      <c r="D2691" s="11" t="s">
        <v>42</v>
      </c>
      <c r="E2691" s="11" t="s">
        <v>63</v>
      </c>
      <c r="F2691" s="11" t="s">
        <v>173</v>
      </c>
      <c r="G2691" s="15">
        <v>46179</v>
      </c>
      <c r="H2691" s="14" t="str">
        <f>IFERROR(INDEX(面试清单!H:H,MATCH(2690,面试清单!P:P,0)),"")</f>
        <v/>
      </c>
      <c r="I2691" s="13" t="s">
        <v>29</v>
      </c>
      <c r="J2691" s="14">
        <f ca="1" t="shared" si="127"/>
        <v>10</v>
      </c>
      <c r="K2691" s="14">
        <f ca="1" t="shared" si="128"/>
        <v>11</v>
      </c>
    </row>
    <row r="2692" ht="18" spans="1:11">
      <c r="A2692" s="10">
        <f t="shared" si="126"/>
        <v>2691</v>
      </c>
      <c r="B2692" s="11" t="s">
        <v>617</v>
      </c>
      <c r="C2692" s="10" t="str">
        <f>IFERROR(INDEX(面试清单!D:D,MATCH(2691,面试清单!P:P,0)),"")</f>
        <v/>
      </c>
      <c r="D2692" s="11" t="s">
        <v>42</v>
      </c>
      <c r="E2692" s="11" t="s">
        <v>64</v>
      </c>
      <c r="F2692" s="11" t="s">
        <v>129</v>
      </c>
      <c r="G2692" s="15">
        <v>46179</v>
      </c>
      <c r="H2692" s="10" t="str">
        <f>IFERROR(INDEX(面试清单!H:H,MATCH(2691,面试清单!P:P,0)),"")</f>
        <v/>
      </c>
      <c r="I2692" s="13" t="s">
        <v>29</v>
      </c>
      <c r="J2692" s="10">
        <f ca="1" t="shared" si="127"/>
        <v>10</v>
      </c>
      <c r="K2692" s="10">
        <f ca="1" t="shared" si="128"/>
        <v>11</v>
      </c>
    </row>
    <row r="2693" ht="18" spans="1:11">
      <c r="A2693" s="14">
        <f t="shared" si="126"/>
        <v>2692</v>
      </c>
      <c r="B2693" s="11" t="s">
        <v>6344</v>
      </c>
      <c r="C2693" s="14" t="str">
        <f>IFERROR(INDEX(面试清单!D:D,MATCH(2692,面试清单!P:P,0)),"")</f>
        <v/>
      </c>
      <c r="D2693" s="11" t="s">
        <v>42</v>
      </c>
      <c r="E2693" s="11" t="s">
        <v>63</v>
      </c>
      <c r="F2693" s="11" t="s">
        <v>744</v>
      </c>
      <c r="G2693" s="15">
        <v>46179</v>
      </c>
      <c r="H2693" s="14" t="str">
        <f>IFERROR(INDEX(面试清单!H:H,MATCH(2692,面试清单!P:P,0)),"")</f>
        <v/>
      </c>
      <c r="I2693" s="13" t="s">
        <v>29</v>
      </c>
      <c r="J2693" s="14">
        <f ca="1" t="shared" si="127"/>
        <v>10</v>
      </c>
      <c r="K2693" s="14">
        <f ca="1" t="shared" si="128"/>
        <v>11</v>
      </c>
    </row>
    <row r="2694" ht="18" spans="1:11">
      <c r="A2694" s="10">
        <f t="shared" si="126"/>
        <v>2693</v>
      </c>
      <c r="B2694" s="11" t="s">
        <v>6345</v>
      </c>
      <c r="C2694" s="10" t="str">
        <f>IFERROR(INDEX(面试清单!D:D,MATCH(2693,面试清单!P:P,0)),"")</f>
        <v/>
      </c>
      <c r="D2694" s="11" t="s">
        <v>42</v>
      </c>
      <c r="E2694" s="11" t="s">
        <v>63</v>
      </c>
      <c r="F2694" s="11" t="s">
        <v>744</v>
      </c>
      <c r="G2694" s="15">
        <v>46179</v>
      </c>
      <c r="H2694" s="10" t="str">
        <f>IFERROR(INDEX(面试清单!H:H,MATCH(2693,面试清单!P:P,0)),"")</f>
        <v/>
      </c>
      <c r="I2694" s="13" t="s">
        <v>29</v>
      </c>
      <c r="J2694" s="10">
        <f ca="1" t="shared" si="127"/>
        <v>10</v>
      </c>
      <c r="K2694" s="10">
        <f ca="1" t="shared" si="128"/>
        <v>11</v>
      </c>
    </row>
    <row r="2695" ht="18" spans="1:11">
      <c r="A2695" s="14">
        <f t="shared" si="126"/>
        <v>2694</v>
      </c>
      <c r="B2695" s="11" t="s">
        <v>6346</v>
      </c>
      <c r="C2695" s="14" t="str">
        <f>IFERROR(INDEX(面试清单!D:D,MATCH(2694,面试清单!P:P,0)),"")</f>
        <v/>
      </c>
      <c r="D2695" s="11" t="s">
        <v>42</v>
      </c>
      <c r="E2695" s="11" t="s">
        <v>63</v>
      </c>
      <c r="F2695" s="11" t="s">
        <v>744</v>
      </c>
      <c r="G2695" s="15">
        <v>46179</v>
      </c>
      <c r="H2695" s="14" t="str">
        <f>IFERROR(INDEX(面试清单!H:H,MATCH(2694,面试清单!P:P,0)),"")</f>
        <v/>
      </c>
      <c r="I2695" s="13" t="s">
        <v>29</v>
      </c>
      <c r="J2695" s="14">
        <f ca="1" t="shared" si="127"/>
        <v>10</v>
      </c>
      <c r="K2695" s="14">
        <f ca="1" t="shared" si="128"/>
        <v>11</v>
      </c>
    </row>
    <row r="2696" ht="18" spans="1:11">
      <c r="A2696" s="10">
        <f t="shared" si="126"/>
        <v>2695</v>
      </c>
      <c r="B2696" s="11" t="s">
        <v>620</v>
      </c>
      <c r="C2696" s="10" t="str">
        <f>IFERROR(INDEX(面试清单!D:D,MATCH(2695,面试清单!P:P,0)),"")</f>
        <v/>
      </c>
      <c r="D2696" s="11" t="s">
        <v>42</v>
      </c>
      <c r="E2696" s="11" t="s">
        <v>64</v>
      </c>
      <c r="F2696" s="11" t="s">
        <v>124</v>
      </c>
      <c r="G2696" s="15">
        <v>46179</v>
      </c>
      <c r="H2696" s="10" t="str">
        <f>IFERROR(INDEX(面试清单!H:H,MATCH(2695,面试清单!P:P,0)),"")</f>
        <v/>
      </c>
      <c r="I2696" s="13" t="s">
        <v>29</v>
      </c>
      <c r="J2696" s="10">
        <f ca="1" t="shared" si="127"/>
        <v>10</v>
      </c>
      <c r="K2696" s="10">
        <f ca="1" t="shared" si="128"/>
        <v>11</v>
      </c>
    </row>
    <row r="2697" ht="18" spans="1:11">
      <c r="A2697" s="14">
        <f t="shared" si="126"/>
        <v>2696</v>
      </c>
      <c r="B2697" s="11" t="s">
        <v>621</v>
      </c>
      <c r="C2697" s="124" t="str">
        <f>IFERROR(INDEX(面试清单!D:D,MATCH(2696,面试清单!P:P,0)),"")</f>
        <v>0209</v>
      </c>
      <c r="D2697" s="11" t="s">
        <v>43</v>
      </c>
      <c r="E2697" s="11" t="s">
        <v>62</v>
      </c>
      <c r="F2697" s="11" t="s">
        <v>233</v>
      </c>
      <c r="G2697" s="15">
        <v>46179</v>
      </c>
      <c r="H2697" s="14" t="str">
        <f>IFERROR(INDEX(面试清单!H:H,MATCH(2696,面试清单!P:P,0)),"")</f>
        <v>线上</v>
      </c>
      <c r="I2697" s="13" t="s">
        <v>29</v>
      </c>
      <c r="J2697" s="14">
        <f ca="1" t="shared" si="127"/>
        <v>10</v>
      </c>
      <c r="K2697" s="14">
        <f ca="1" t="shared" si="128"/>
        <v>11</v>
      </c>
    </row>
    <row r="2698" ht="18" spans="1:11">
      <c r="A2698" s="10">
        <f t="shared" si="126"/>
        <v>2697</v>
      </c>
      <c r="B2698" s="11" t="s">
        <v>622</v>
      </c>
      <c r="C2698" s="10" t="str">
        <f>IFERROR(INDEX(面试清单!D:D,MATCH(2697,面试清单!P:P,0)),"")</f>
        <v/>
      </c>
      <c r="D2698" s="11" t="s">
        <v>42</v>
      </c>
      <c r="E2698" s="11" t="s">
        <v>64</v>
      </c>
      <c r="F2698" s="11" t="s">
        <v>173</v>
      </c>
      <c r="G2698" s="15">
        <v>46179</v>
      </c>
      <c r="H2698" s="10" t="str">
        <f>IFERROR(INDEX(面试清单!H:H,MATCH(2697,面试清单!P:P,0)),"")</f>
        <v/>
      </c>
      <c r="I2698" s="13" t="s">
        <v>29</v>
      </c>
      <c r="J2698" s="10">
        <f ca="1" t="shared" si="127"/>
        <v>10</v>
      </c>
      <c r="K2698" s="10">
        <f ca="1" t="shared" si="128"/>
        <v>11</v>
      </c>
    </row>
    <row r="2699" ht="18" spans="1:11">
      <c r="A2699" s="14">
        <f t="shared" si="126"/>
        <v>2698</v>
      </c>
      <c r="B2699" s="11" t="s">
        <v>623</v>
      </c>
      <c r="C2699" s="14" t="str">
        <f>IFERROR(INDEX(面试清单!D:D,MATCH(2698,面试清单!P:P,0)),"")</f>
        <v/>
      </c>
      <c r="D2699" s="11" t="s">
        <v>42</v>
      </c>
      <c r="E2699" s="11" t="s">
        <v>64</v>
      </c>
      <c r="F2699" s="11" t="s">
        <v>173</v>
      </c>
      <c r="G2699" s="15">
        <v>46179</v>
      </c>
      <c r="H2699" s="14" t="str">
        <f>IFERROR(INDEX(面试清单!H:H,MATCH(2698,面试清单!P:P,0)),"")</f>
        <v/>
      </c>
      <c r="I2699" s="13" t="s">
        <v>29</v>
      </c>
      <c r="J2699" s="14">
        <f ca="1" t="shared" si="127"/>
        <v>10</v>
      </c>
      <c r="K2699" s="14">
        <f ca="1" t="shared" si="128"/>
        <v>11</v>
      </c>
    </row>
    <row r="2700" ht="18" spans="1:11">
      <c r="A2700" s="10">
        <f t="shared" si="126"/>
        <v>2699</v>
      </c>
      <c r="B2700" s="11" t="s">
        <v>6347</v>
      </c>
      <c r="C2700" s="10" t="str">
        <f>IFERROR(INDEX(面试清单!D:D,MATCH(2699,面试清单!P:P,0)),"")</f>
        <v/>
      </c>
      <c r="D2700" s="11" t="s">
        <v>43</v>
      </c>
      <c r="E2700" s="11" t="s">
        <v>62</v>
      </c>
      <c r="F2700" s="11" t="s">
        <v>173</v>
      </c>
      <c r="G2700" s="15">
        <v>46179</v>
      </c>
      <c r="H2700" s="10" t="str">
        <f>IFERROR(INDEX(面试清单!H:H,MATCH(2699,面试清单!P:P,0)),"")</f>
        <v/>
      </c>
      <c r="I2700" s="13" t="s">
        <v>29</v>
      </c>
      <c r="J2700" s="10">
        <f ca="1" t="shared" si="127"/>
        <v>10</v>
      </c>
      <c r="K2700" s="10">
        <f ca="1" t="shared" si="128"/>
        <v>11</v>
      </c>
    </row>
    <row r="2701" ht="18" spans="1:11">
      <c r="A2701" s="14">
        <f t="shared" si="126"/>
        <v>2700</v>
      </c>
      <c r="B2701" s="11" t="s">
        <v>626</v>
      </c>
      <c r="C2701" s="14" t="str">
        <f>IFERROR(INDEX(面试清单!D:D,MATCH(2700,面试清单!P:P,0)),"")</f>
        <v/>
      </c>
      <c r="D2701" s="11" t="s">
        <v>42</v>
      </c>
      <c r="E2701" s="11" t="s">
        <v>63</v>
      </c>
      <c r="F2701" s="11" t="s">
        <v>173</v>
      </c>
      <c r="G2701" s="15">
        <v>46179</v>
      </c>
      <c r="H2701" s="14" t="str">
        <f>IFERROR(INDEX(面试清单!H:H,MATCH(2700,面试清单!P:P,0)),"")</f>
        <v/>
      </c>
      <c r="I2701" s="13" t="s">
        <v>29</v>
      </c>
      <c r="J2701" s="14">
        <f ca="1" t="shared" si="127"/>
        <v>10</v>
      </c>
      <c r="K2701" s="14">
        <f ca="1" t="shared" si="128"/>
        <v>11</v>
      </c>
    </row>
    <row r="2702" ht="18" spans="1:11">
      <c r="A2702" s="10">
        <f t="shared" si="126"/>
        <v>2701</v>
      </c>
      <c r="B2702" s="11" t="s">
        <v>627</v>
      </c>
      <c r="C2702" s="10" t="str">
        <f>IFERROR(INDEX(面试清单!D:D,MATCH(2701,面试清单!P:P,0)),"")</f>
        <v/>
      </c>
      <c r="D2702" s="11" t="s">
        <v>42</v>
      </c>
      <c r="E2702" s="11" t="s">
        <v>63</v>
      </c>
      <c r="F2702" s="11" t="s">
        <v>173</v>
      </c>
      <c r="G2702" s="15">
        <v>46179</v>
      </c>
      <c r="H2702" s="10" t="str">
        <f>IFERROR(INDEX(面试清单!H:H,MATCH(2701,面试清单!P:P,0)),"")</f>
        <v/>
      </c>
      <c r="I2702" s="13" t="s">
        <v>29</v>
      </c>
      <c r="J2702" s="10">
        <f ca="1" t="shared" si="127"/>
        <v>10</v>
      </c>
      <c r="K2702" s="10">
        <f ca="1" t="shared" si="128"/>
        <v>11</v>
      </c>
    </row>
    <row r="2703" ht="18" spans="1:11">
      <c r="A2703" s="14">
        <f t="shared" si="126"/>
        <v>2702</v>
      </c>
      <c r="B2703" s="11" t="s">
        <v>629</v>
      </c>
      <c r="C2703" s="14" t="str">
        <f>IFERROR(INDEX(面试清单!D:D,MATCH(2702,面试清单!P:P,0)),"")</f>
        <v/>
      </c>
      <c r="D2703" s="11" t="s">
        <v>42</v>
      </c>
      <c r="E2703" s="11" t="s">
        <v>64</v>
      </c>
      <c r="F2703" s="11" t="s">
        <v>173</v>
      </c>
      <c r="G2703" s="15">
        <v>46179</v>
      </c>
      <c r="H2703" s="14" t="str">
        <f>IFERROR(INDEX(面试清单!H:H,MATCH(2702,面试清单!P:P,0)),"")</f>
        <v/>
      </c>
      <c r="I2703" s="13" t="s">
        <v>29</v>
      </c>
      <c r="J2703" s="14">
        <f ca="1" t="shared" si="127"/>
        <v>10</v>
      </c>
      <c r="K2703" s="14">
        <f ca="1" t="shared" si="128"/>
        <v>11</v>
      </c>
    </row>
    <row r="2704" ht="18" spans="1:11">
      <c r="A2704" s="10">
        <f t="shared" si="126"/>
        <v>2703</v>
      </c>
      <c r="B2704" s="11" t="s">
        <v>630</v>
      </c>
      <c r="C2704" s="10" t="str">
        <f>IFERROR(INDEX(面试清单!D:D,MATCH(2703,面试清单!P:P,0)),"")</f>
        <v/>
      </c>
      <c r="D2704" s="11" t="s">
        <v>42</v>
      </c>
      <c r="E2704" s="11" t="s">
        <v>64</v>
      </c>
      <c r="F2704" s="11" t="s">
        <v>631</v>
      </c>
      <c r="G2704" s="15">
        <v>46179</v>
      </c>
      <c r="H2704" s="10" t="str">
        <f>IFERROR(INDEX(面试清单!H:H,MATCH(2703,面试清单!P:P,0)),"")</f>
        <v/>
      </c>
      <c r="I2704" s="13" t="s">
        <v>29</v>
      </c>
      <c r="J2704" s="10">
        <f ca="1" t="shared" si="127"/>
        <v>10</v>
      </c>
      <c r="K2704" s="10">
        <f ca="1" t="shared" si="128"/>
        <v>11</v>
      </c>
    </row>
    <row r="2705" ht="18" spans="1:11">
      <c r="A2705" s="14">
        <f t="shared" si="126"/>
        <v>2704</v>
      </c>
      <c r="B2705" s="11" t="s">
        <v>575</v>
      </c>
      <c r="C2705" s="124" t="str">
        <f>IFERROR(INDEX(面试清单!D:D,MATCH(2704,面试清单!P:P,0)),"")</f>
        <v>0208</v>
      </c>
      <c r="D2705" s="11" t="s">
        <v>42</v>
      </c>
      <c r="E2705" s="11" t="s">
        <v>64</v>
      </c>
      <c r="F2705" s="11" t="s">
        <v>135</v>
      </c>
      <c r="G2705" s="15">
        <v>46179</v>
      </c>
      <c r="H2705" s="14" t="str">
        <f>IFERROR(INDEX(面试清单!H:H,MATCH(2704,面试清单!P:P,0)),"")</f>
        <v>线上</v>
      </c>
      <c r="I2705" s="13" t="s">
        <v>29</v>
      </c>
      <c r="J2705" s="14">
        <f ca="1" t="shared" si="127"/>
        <v>10</v>
      </c>
      <c r="K2705" s="14">
        <f ca="1" t="shared" si="128"/>
        <v>11</v>
      </c>
    </row>
    <row r="2706" ht="18" spans="1:11">
      <c r="A2706" s="10">
        <f t="shared" si="126"/>
        <v>2705</v>
      </c>
      <c r="B2706" s="11" t="s">
        <v>635</v>
      </c>
      <c r="C2706" s="125" t="str">
        <f>IFERROR(INDEX(面试清单!D:D,MATCH(2705,面试清单!P:P,0)),"")</f>
        <v>0208</v>
      </c>
      <c r="D2706" s="11" t="s">
        <v>42</v>
      </c>
      <c r="E2706" s="11" t="s">
        <v>64</v>
      </c>
      <c r="F2706" s="11" t="s">
        <v>509</v>
      </c>
      <c r="G2706" s="15">
        <v>46179</v>
      </c>
      <c r="H2706" s="10" t="str">
        <f>IFERROR(INDEX(面试清单!H:H,MATCH(2705,面试清单!P:P,0)),"")</f>
        <v>线上</v>
      </c>
      <c r="I2706" s="13" t="s">
        <v>29</v>
      </c>
      <c r="J2706" s="10">
        <f ca="1" t="shared" si="127"/>
        <v>10</v>
      </c>
      <c r="K2706" s="10">
        <f ca="1" t="shared" si="128"/>
        <v>11</v>
      </c>
    </row>
    <row r="2707" ht="18" spans="1:11">
      <c r="A2707" s="14">
        <f t="shared" si="126"/>
        <v>2706</v>
      </c>
      <c r="B2707" s="11" t="s">
        <v>636</v>
      </c>
      <c r="C2707" s="14" t="str">
        <f>IFERROR(INDEX(面试清单!D:D,MATCH(2706,面试清单!P:P,0)),"")</f>
        <v/>
      </c>
      <c r="D2707" s="11" t="s">
        <v>43</v>
      </c>
      <c r="E2707" s="11" t="s">
        <v>63</v>
      </c>
      <c r="F2707" s="11" t="s">
        <v>332</v>
      </c>
      <c r="G2707" s="15">
        <v>46179</v>
      </c>
      <c r="H2707" s="14" t="str">
        <f>IFERROR(INDEX(面试清单!H:H,MATCH(2706,面试清单!P:P,0)),"")</f>
        <v/>
      </c>
      <c r="I2707" s="13" t="s">
        <v>29</v>
      </c>
      <c r="J2707" s="14">
        <f ca="1" t="shared" si="127"/>
        <v>10</v>
      </c>
      <c r="K2707" s="14">
        <f ca="1" t="shared" si="128"/>
        <v>11</v>
      </c>
    </row>
    <row r="2708" ht="18" spans="1:11">
      <c r="A2708" s="10">
        <f t="shared" si="126"/>
        <v>2707</v>
      </c>
      <c r="B2708" s="11" t="s">
        <v>638</v>
      </c>
      <c r="C2708" s="10" t="str">
        <f>IFERROR(INDEX(面试清单!D:D,MATCH(2707,面试清单!P:P,0)),"")</f>
        <v/>
      </c>
      <c r="D2708" s="11" t="s">
        <v>42</v>
      </c>
      <c r="E2708" s="11" t="s">
        <v>64</v>
      </c>
      <c r="F2708" s="11" t="s">
        <v>179</v>
      </c>
      <c r="G2708" s="15">
        <v>46179</v>
      </c>
      <c r="H2708" s="10" t="str">
        <f>IFERROR(INDEX(面试清单!H:H,MATCH(2707,面试清单!P:P,0)),"")</f>
        <v/>
      </c>
      <c r="I2708" s="13" t="s">
        <v>29</v>
      </c>
      <c r="J2708" s="10">
        <f ca="1" t="shared" si="127"/>
        <v>10</v>
      </c>
      <c r="K2708" s="10">
        <f ca="1" t="shared" si="128"/>
        <v>11</v>
      </c>
    </row>
    <row r="2709" ht="18" spans="1:11">
      <c r="A2709" s="14">
        <f t="shared" si="126"/>
        <v>2708</v>
      </c>
      <c r="B2709" s="11" t="s">
        <v>639</v>
      </c>
      <c r="C2709" s="14" t="str">
        <f>IFERROR(INDEX(面试清单!D:D,MATCH(2708,面试清单!P:P,0)),"")</f>
        <v/>
      </c>
      <c r="D2709" s="11" t="s">
        <v>42</v>
      </c>
      <c r="E2709" s="11" t="s">
        <v>64</v>
      </c>
      <c r="F2709" s="11" t="s">
        <v>179</v>
      </c>
      <c r="G2709" s="15">
        <v>46179</v>
      </c>
      <c r="H2709" s="14" t="str">
        <f>IFERROR(INDEX(面试清单!H:H,MATCH(2708,面试清单!P:P,0)),"")</f>
        <v/>
      </c>
      <c r="I2709" s="13" t="s">
        <v>29</v>
      </c>
      <c r="J2709" s="14">
        <f ca="1" t="shared" si="127"/>
        <v>10</v>
      </c>
      <c r="K2709" s="14">
        <f ca="1" t="shared" si="128"/>
        <v>11</v>
      </c>
    </row>
    <row r="2710" ht="18" spans="1:11">
      <c r="A2710" s="10">
        <f t="shared" si="126"/>
        <v>2709</v>
      </c>
      <c r="B2710" s="11" t="s">
        <v>640</v>
      </c>
      <c r="C2710" s="10" t="str">
        <f>IFERROR(INDEX(面试清单!D:D,MATCH(2709,面试清单!P:P,0)),"")</f>
        <v/>
      </c>
      <c r="D2710" s="11" t="s">
        <v>43</v>
      </c>
      <c r="E2710" s="11" t="s">
        <v>64</v>
      </c>
      <c r="F2710" s="11" t="s">
        <v>179</v>
      </c>
      <c r="G2710" s="15">
        <v>46179</v>
      </c>
      <c r="H2710" s="10" t="str">
        <f>IFERROR(INDEX(面试清单!H:H,MATCH(2709,面试清单!P:P,0)),"")</f>
        <v/>
      </c>
      <c r="I2710" s="13" t="s">
        <v>29</v>
      </c>
      <c r="J2710" s="10">
        <f ca="1" t="shared" si="127"/>
        <v>10</v>
      </c>
      <c r="K2710" s="10">
        <f ca="1" t="shared" si="128"/>
        <v>11</v>
      </c>
    </row>
    <row r="2711" ht="18" spans="1:11">
      <c r="A2711" s="14">
        <f t="shared" si="126"/>
        <v>2710</v>
      </c>
      <c r="B2711" s="11" t="s">
        <v>642</v>
      </c>
      <c r="C2711" s="14" t="str">
        <f>IFERROR(INDEX(面试清单!D:D,MATCH(2710,面试清单!P:P,0)),"")</f>
        <v/>
      </c>
      <c r="D2711" s="11" t="s">
        <v>43</v>
      </c>
      <c r="E2711" s="11" t="s">
        <v>64</v>
      </c>
      <c r="F2711" s="11" t="s">
        <v>179</v>
      </c>
      <c r="G2711" s="15">
        <v>46179</v>
      </c>
      <c r="H2711" s="14" t="str">
        <f>IFERROR(INDEX(面试清单!H:H,MATCH(2710,面试清单!P:P,0)),"")</f>
        <v/>
      </c>
      <c r="I2711" s="13" t="s">
        <v>29</v>
      </c>
      <c r="J2711" s="14">
        <f ca="1" t="shared" si="127"/>
        <v>10</v>
      </c>
      <c r="K2711" s="14">
        <f ca="1" t="shared" si="128"/>
        <v>11</v>
      </c>
    </row>
    <row r="2712" ht="18" spans="1:11">
      <c r="A2712" s="10">
        <f t="shared" si="126"/>
        <v>2711</v>
      </c>
      <c r="B2712" s="11" t="s">
        <v>643</v>
      </c>
      <c r="C2712" s="10" t="str">
        <f>IFERROR(INDEX(面试清单!D:D,MATCH(2711,面试清单!P:P,0)),"")</f>
        <v/>
      </c>
      <c r="D2712" s="11" t="s">
        <v>42</v>
      </c>
      <c r="E2712" s="11" t="s">
        <v>64</v>
      </c>
      <c r="F2712" s="11" t="s">
        <v>179</v>
      </c>
      <c r="G2712" s="15">
        <v>46179</v>
      </c>
      <c r="H2712" s="10" t="str">
        <f>IFERROR(INDEX(面试清单!H:H,MATCH(2711,面试清单!P:P,0)),"")</f>
        <v/>
      </c>
      <c r="I2712" s="13" t="s">
        <v>29</v>
      </c>
      <c r="J2712" s="10">
        <f ca="1" t="shared" si="127"/>
        <v>10</v>
      </c>
      <c r="K2712" s="10">
        <f ca="1" t="shared" si="128"/>
        <v>11</v>
      </c>
    </row>
    <row r="2713" ht="18" spans="1:11">
      <c r="A2713" s="14">
        <f t="shared" si="126"/>
        <v>2712</v>
      </c>
      <c r="B2713" s="11" t="s">
        <v>644</v>
      </c>
      <c r="C2713" s="14" t="str">
        <f>IFERROR(INDEX(面试清单!D:D,MATCH(2712,面试清单!P:P,0)),"")</f>
        <v/>
      </c>
      <c r="D2713" s="11" t="s">
        <v>42</v>
      </c>
      <c r="E2713" s="11" t="s">
        <v>64</v>
      </c>
      <c r="F2713" s="11" t="s">
        <v>179</v>
      </c>
      <c r="G2713" s="15">
        <v>46179</v>
      </c>
      <c r="H2713" s="14" t="str">
        <f>IFERROR(INDEX(面试清单!H:H,MATCH(2712,面试清单!P:P,0)),"")</f>
        <v/>
      </c>
      <c r="I2713" s="13" t="s">
        <v>29</v>
      </c>
      <c r="J2713" s="14">
        <f ca="1" t="shared" si="127"/>
        <v>10</v>
      </c>
      <c r="K2713" s="14">
        <f ca="1" t="shared" si="128"/>
        <v>11</v>
      </c>
    </row>
    <row r="2714" ht="18" spans="1:11">
      <c r="A2714" s="10">
        <f t="shared" si="126"/>
        <v>2713</v>
      </c>
      <c r="B2714" s="11" t="s">
        <v>645</v>
      </c>
      <c r="C2714" s="10" t="str">
        <f>IFERROR(INDEX(面试清单!D:D,MATCH(2713,面试清单!P:P,0)),"")</f>
        <v/>
      </c>
      <c r="D2714" s="11" t="s">
        <v>74</v>
      </c>
      <c r="E2714" s="11" t="s">
        <v>190</v>
      </c>
      <c r="F2714" s="11" t="s">
        <v>179</v>
      </c>
      <c r="G2714" s="15">
        <v>46179</v>
      </c>
      <c r="H2714" s="10" t="str">
        <f>IFERROR(INDEX(面试清单!H:H,MATCH(2713,面试清单!P:P,0)),"")</f>
        <v/>
      </c>
      <c r="I2714" s="13" t="s">
        <v>29</v>
      </c>
      <c r="J2714" s="10">
        <f ca="1" t="shared" si="127"/>
        <v>10</v>
      </c>
      <c r="K2714" s="10">
        <f ca="1" t="shared" si="128"/>
        <v>11</v>
      </c>
    </row>
    <row r="2715" ht="36" spans="1:11">
      <c r="A2715" s="14">
        <f t="shared" si="126"/>
        <v>2714</v>
      </c>
      <c r="B2715" s="11" t="s">
        <v>651</v>
      </c>
      <c r="C2715" s="14" t="str">
        <f>IFERROR(INDEX(面试清单!D:D,MATCH(2714,面试清单!P:P,0)),"")</f>
        <v/>
      </c>
      <c r="D2715" s="11" t="s">
        <v>43</v>
      </c>
      <c r="E2715" s="11" t="s">
        <v>63</v>
      </c>
      <c r="F2715" s="11" t="s">
        <v>246</v>
      </c>
      <c r="G2715" s="15">
        <v>46179</v>
      </c>
      <c r="H2715" s="14" t="str">
        <f>IFERROR(INDEX(面试清单!H:H,MATCH(2714,面试清单!P:P,0)),"")</f>
        <v/>
      </c>
      <c r="I2715" s="13" t="s">
        <v>29</v>
      </c>
      <c r="J2715" s="14">
        <f ca="1" t="shared" si="127"/>
        <v>10</v>
      </c>
      <c r="K2715" s="14">
        <f ca="1" t="shared" si="128"/>
        <v>11</v>
      </c>
    </row>
    <row r="2716" ht="18" spans="1:11">
      <c r="A2716" s="10">
        <f t="shared" si="126"/>
        <v>2715</v>
      </c>
      <c r="B2716" s="11" t="s">
        <v>652</v>
      </c>
      <c r="C2716" s="10" t="str">
        <f>IFERROR(INDEX(面试清单!D:D,MATCH(2715,面试清单!P:P,0)),"")</f>
        <v/>
      </c>
      <c r="D2716" s="11" t="s">
        <v>43</v>
      </c>
      <c r="E2716" s="11" t="s">
        <v>63</v>
      </c>
      <c r="F2716" s="11" t="s">
        <v>246</v>
      </c>
      <c r="G2716" s="15">
        <v>46179</v>
      </c>
      <c r="H2716" s="10" t="str">
        <f>IFERROR(INDEX(面试清单!H:H,MATCH(2715,面试清单!P:P,0)),"")</f>
        <v/>
      </c>
      <c r="I2716" s="13" t="s">
        <v>29</v>
      </c>
      <c r="J2716" s="10">
        <f ca="1" t="shared" si="127"/>
        <v>10</v>
      </c>
      <c r="K2716" s="10">
        <f ca="1" t="shared" si="128"/>
        <v>11</v>
      </c>
    </row>
    <row r="2717" ht="18" spans="1:11">
      <c r="A2717" s="14">
        <f t="shared" si="126"/>
        <v>2716</v>
      </c>
      <c r="B2717" s="11" t="s">
        <v>653</v>
      </c>
      <c r="C2717" s="14" t="str">
        <f>IFERROR(INDEX(面试清单!D:D,MATCH(2716,面试清单!P:P,0)),"")</f>
        <v/>
      </c>
      <c r="D2717" s="11" t="s">
        <v>43</v>
      </c>
      <c r="E2717" s="11" t="s">
        <v>63</v>
      </c>
      <c r="F2717" s="11" t="s">
        <v>246</v>
      </c>
      <c r="G2717" s="15">
        <v>46179</v>
      </c>
      <c r="H2717" s="14" t="str">
        <f>IFERROR(INDEX(面试清单!H:H,MATCH(2716,面试清单!P:P,0)),"")</f>
        <v/>
      </c>
      <c r="I2717" s="13" t="s">
        <v>29</v>
      </c>
      <c r="J2717" s="14">
        <f ca="1" t="shared" si="127"/>
        <v>10</v>
      </c>
      <c r="K2717" s="14">
        <f ca="1" t="shared" si="128"/>
        <v>11</v>
      </c>
    </row>
    <row r="2718" ht="18" spans="1:11">
      <c r="A2718" s="10">
        <f t="shared" si="126"/>
        <v>2717</v>
      </c>
      <c r="B2718" s="11" t="s">
        <v>593</v>
      </c>
      <c r="C2718" s="10" t="str">
        <f>IFERROR(INDEX(面试清单!D:D,MATCH(2717,面试清单!P:P,0)),"")</f>
        <v/>
      </c>
      <c r="D2718" s="11" t="s">
        <v>43</v>
      </c>
      <c r="E2718" s="11" t="s">
        <v>64</v>
      </c>
      <c r="F2718" s="11" t="s">
        <v>578</v>
      </c>
      <c r="G2718" s="15">
        <v>46179</v>
      </c>
      <c r="H2718" s="10" t="str">
        <f>IFERROR(INDEX(面试清单!H:H,MATCH(2717,面试清单!P:P,0)),"")</f>
        <v/>
      </c>
      <c r="I2718" s="13" t="s">
        <v>29</v>
      </c>
      <c r="J2718" s="10">
        <f ca="1" t="shared" si="127"/>
        <v>10</v>
      </c>
      <c r="K2718" s="10">
        <f ca="1" t="shared" si="128"/>
        <v>11</v>
      </c>
    </row>
    <row r="2719" ht="18" spans="1:11">
      <c r="A2719" s="14">
        <f t="shared" si="126"/>
        <v>2718</v>
      </c>
      <c r="B2719" s="11" t="s">
        <v>661</v>
      </c>
      <c r="C2719" s="14" t="str">
        <f>IFERROR(INDEX(面试清单!D:D,MATCH(2718,面试清单!P:P,0)),"")</f>
        <v/>
      </c>
      <c r="D2719" s="11" t="s">
        <v>74</v>
      </c>
      <c r="E2719" s="11" t="s">
        <v>190</v>
      </c>
      <c r="F2719" s="11" t="s">
        <v>179</v>
      </c>
      <c r="G2719" s="15">
        <v>46179</v>
      </c>
      <c r="H2719" s="14" t="str">
        <f>IFERROR(INDEX(面试清单!H:H,MATCH(2718,面试清单!P:P,0)),"")</f>
        <v/>
      </c>
      <c r="I2719" s="13" t="s">
        <v>29</v>
      </c>
      <c r="J2719" s="14">
        <f ca="1" t="shared" si="127"/>
        <v>10</v>
      </c>
      <c r="K2719" s="14">
        <f ca="1" t="shared" si="128"/>
        <v>11</v>
      </c>
    </row>
    <row r="2720" ht="18" spans="1:11">
      <c r="A2720" s="10">
        <f t="shared" si="126"/>
        <v>2719</v>
      </c>
      <c r="B2720" s="11" t="s">
        <v>6348</v>
      </c>
      <c r="C2720" s="10" t="str">
        <f>IFERROR(INDEX(面试清单!D:D,MATCH(2719,面试清单!P:P,0)),"")</f>
        <v/>
      </c>
      <c r="D2720" s="11" t="s">
        <v>42</v>
      </c>
      <c r="E2720" s="11" t="s">
        <v>63</v>
      </c>
      <c r="F2720" s="11" t="s">
        <v>690</v>
      </c>
      <c r="G2720" s="15">
        <v>46179</v>
      </c>
      <c r="H2720" s="10" t="str">
        <f>IFERROR(INDEX(面试清单!H:H,MATCH(2719,面试清单!P:P,0)),"")</f>
        <v/>
      </c>
      <c r="I2720" s="13" t="s">
        <v>29</v>
      </c>
      <c r="J2720" s="10">
        <f ca="1" t="shared" si="127"/>
        <v>10</v>
      </c>
      <c r="K2720" s="10">
        <f ca="1" t="shared" si="128"/>
        <v>11</v>
      </c>
    </row>
    <row r="2721" ht="18" spans="1:11">
      <c r="A2721" s="14">
        <f t="shared" si="126"/>
        <v>2720</v>
      </c>
      <c r="B2721" s="11" t="s">
        <v>6349</v>
      </c>
      <c r="C2721" s="124" t="str">
        <f>IFERROR(INDEX(面试清单!D:D,MATCH(2720,面试清单!P:P,0)),"")</f>
        <v>0220</v>
      </c>
      <c r="D2721" s="11" t="s">
        <v>42</v>
      </c>
      <c r="E2721" s="11" t="s">
        <v>63</v>
      </c>
      <c r="F2721" s="11" t="s">
        <v>690</v>
      </c>
      <c r="G2721" s="15">
        <v>46179</v>
      </c>
      <c r="H2721" s="14" t="str">
        <f>IFERROR(INDEX(面试清单!H:H,MATCH(2720,面试清单!P:P,0)),"")</f>
        <v>线上</v>
      </c>
      <c r="I2721" s="13" t="s">
        <v>29</v>
      </c>
      <c r="J2721" s="14">
        <f ca="1" t="shared" si="127"/>
        <v>10</v>
      </c>
      <c r="K2721" s="14">
        <f ca="1" t="shared" si="128"/>
        <v>11</v>
      </c>
    </row>
    <row r="2722" ht="18" spans="1:11">
      <c r="A2722" s="10">
        <f t="shared" si="126"/>
        <v>2721</v>
      </c>
      <c r="B2722" s="11" t="s">
        <v>6350</v>
      </c>
      <c r="C2722" s="10" t="str">
        <f>IFERROR(INDEX(面试清单!D:D,MATCH(2721,面试清单!P:P,0)),"")</f>
        <v/>
      </c>
      <c r="D2722" s="11" t="s">
        <v>42</v>
      </c>
      <c r="E2722" s="11" t="s">
        <v>63</v>
      </c>
      <c r="F2722" s="11" t="s">
        <v>690</v>
      </c>
      <c r="G2722" s="15">
        <v>46179</v>
      </c>
      <c r="H2722" s="10" t="str">
        <f>IFERROR(INDEX(面试清单!H:H,MATCH(2721,面试清单!P:P,0)),"")</f>
        <v/>
      </c>
      <c r="I2722" s="13" t="s">
        <v>29</v>
      </c>
      <c r="J2722" s="10">
        <f ca="1" t="shared" si="127"/>
        <v>10</v>
      </c>
      <c r="K2722" s="10">
        <f ca="1" t="shared" si="128"/>
        <v>11</v>
      </c>
    </row>
    <row r="2723" ht="18" spans="1:11">
      <c r="A2723" s="14">
        <f t="shared" si="126"/>
        <v>2722</v>
      </c>
      <c r="B2723" s="11" t="s">
        <v>663</v>
      </c>
      <c r="C2723" s="14" t="str">
        <f>IFERROR(INDEX(面试清单!D:D,MATCH(2722,面试清单!P:P,0)),"")</f>
        <v/>
      </c>
      <c r="D2723" s="11" t="s">
        <v>74</v>
      </c>
      <c r="E2723" s="11" t="s">
        <v>64</v>
      </c>
      <c r="F2723" s="11" t="s">
        <v>179</v>
      </c>
      <c r="G2723" s="15">
        <v>46179</v>
      </c>
      <c r="H2723" s="14" t="str">
        <f>IFERROR(INDEX(面试清单!H:H,MATCH(2722,面试清单!P:P,0)),"")</f>
        <v/>
      </c>
      <c r="I2723" s="13" t="s">
        <v>29</v>
      </c>
      <c r="J2723" s="14">
        <f ca="1" t="shared" si="127"/>
        <v>10</v>
      </c>
      <c r="K2723" s="14">
        <f ca="1" t="shared" si="128"/>
        <v>11</v>
      </c>
    </row>
    <row r="2724" ht="18" spans="1:11">
      <c r="A2724" s="10">
        <f t="shared" si="126"/>
        <v>2723</v>
      </c>
      <c r="B2724" s="11" t="s">
        <v>665</v>
      </c>
      <c r="C2724" s="10" t="str">
        <f>IFERROR(INDEX(面试清单!D:D,MATCH(2723,面试清单!P:P,0)),"")</f>
        <v/>
      </c>
      <c r="D2724" s="11" t="s">
        <v>43</v>
      </c>
      <c r="E2724" s="11" t="s">
        <v>62</v>
      </c>
      <c r="F2724" s="11" t="s">
        <v>233</v>
      </c>
      <c r="G2724" s="15">
        <v>46179</v>
      </c>
      <c r="H2724" s="10" t="str">
        <f>IFERROR(INDEX(面试清单!H:H,MATCH(2723,面试清单!P:P,0)),"")</f>
        <v/>
      </c>
      <c r="I2724" s="13" t="s">
        <v>29</v>
      </c>
      <c r="J2724" s="10">
        <f ca="1" t="shared" si="127"/>
        <v>10</v>
      </c>
      <c r="K2724" s="10">
        <f ca="1" t="shared" si="128"/>
        <v>11</v>
      </c>
    </row>
    <row r="2725" ht="18" spans="1:11">
      <c r="A2725" s="14">
        <f t="shared" si="126"/>
        <v>2724</v>
      </c>
      <c r="B2725" s="11" t="s">
        <v>149</v>
      </c>
      <c r="C2725" s="14" t="str">
        <f>IFERROR(INDEX(面试清单!D:D,MATCH(2724,面试清单!P:P,0)),"")</f>
        <v/>
      </c>
      <c r="D2725" s="11" t="s">
        <v>42</v>
      </c>
      <c r="E2725" s="11" t="s">
        <v>64</v>
      </c>
      <c r="F2725" s="11" t="s">
        <v>148</v>
      </c>
      <c r="G2725" s="15">
        <v>46179</v>
      </c>
      <c r="H2725" s="14" t="str">
        <f>IFERROR(INDEX(面试清单!H:H,MATCH(2724,面试清单!P:P,0)),"")</f>
        <v/>
      </c>
      <c r="I2725" s="13" t="s">
        <v>29</v>
      </c>
      <c r="J2725" s="14">
        <f ca="1" t="shared" si="127"/>
        <v>10</v>
      </c>
      <c r="K2725" s="14">
        <f ca="1" t="shared" si="128"/>
        <v>11</v>
      </c>
    </row>
    <row r="2726" ht="18" spans="1:11">
      <c r="A2726" s="10">
        <f t="shared" si="126"/>
        <v>2725</v>
      </c>
      <c r="B2726" s="11" t="s">
        <v>671</v>
      </c>
      <c r="C2726" s="125" t="str">
        <f>IFERROR(INDEX(面试清单!D:D,MATCH(2725,面试清单!P:P,0)),"")</f>
        <v>0212</v>
      </c>
      <c r="D2726" s="11" t="s">
        <v>43</v>
      </c>
      <c r="E2726" s="11" t="s">
        <v>63</v>
      </c>
      <c r="F2726" s="11" t="s">
        <v>426</v>
      </c>
      <c r="G2726" s="15">
        <v>46179</v>
      </c>
      <c r="H2726" s="10" t="str">
        <f>IFERROR(INDEX(面试清单!H:H,MATCH(2725,面试清单!P:P,0)),"")</f>
        <v>线上</v>
      </c>
      <c r="I2726" s="13" t="s">
        <v>29</v>
      </c>
      <c r="J2726" s="10">
        <f ca="1" t="shared" si="127"/>
        <v>10</v>
      </c>
      <c r="K2726" s="10">
        <f ca="1" t="shared" si="128"/>
        <v>11</v>
      </c>
    </row>
    <row r="2727" ht="18" spans="1:11">
      <c r="A2727" s="14">
        <f t="shared" si="126"/>
        <v>2726</v>
      </c>
      <c r="B2727" s="11" t="s">
        <v>672</v>
      </c>
      <c r="C2727" s="14" t="str">
        <f>IFERROR(INDEX(面试清单!D:D,MATCH(2726,面试清单!P:P,0)),"")</f>
        <v/>
      </c>
      <c r="D2727" s="11" t="s">
        <v>43</v>
      </c>
      <c r="E2727" s="11" t="s">
        <v>64</v>
      </c>
      <c r="F2727" s="11" t="s">
        <v>179</v>
      </c>
      <c r="G2727" s="15">
        <v>46179</v>
      </c>
      <c r="H2727" s="14" t="str">
        <f>IFERROR(INDEX(面试清单!H:H,MATCH(2726,面试清单!P:P,0)),"")</f>
        <v/>
      </c>
      <c r="I2727" s="13" t="s">
        <v>29</v>
      </c>
      <c r="J2727" s="14">
        <f ca="1" t="shared" si="127"/>
        <v>10</v>
      </c>
      <c r="K2727" s="14">
        <f ca="1" t="shared" si="128"/>
        <v>11</v>
      </c>
    </row>
    <row r="2728" ht="18" spans="1:11">
      <c r="A2728" s="10">
        <f t="shared" si="126"/>
        <v>2727</v>
      </c>
      <c r="B2728" s="11" t="s">
        <v>677</v>
      </c>
      <c r="C2728" s="125" t="str">
        <f>IFERROR(INDEX(面试清单!D:D,MATCH(2727,面试清单!P:P,0)),"")</f>
        <v>0217</v>
      </c>
      <c r="D2728" s="11" t="s">
        <v>42</v>
      </c>
      <c r="E2728" s="11" t="s">
        <v>64</v>
      </c>
      <c r="F2728" s="11" t="s">
        <v>148</v>
      </c>
      <c r="G2728" s="15">
        <v>46179</v>
      </c>
      <c r="H2728" s="10" t="str">
        <f>IFERROR(INDEX(面试清单!H:H,MATCH(2727,面试清单!P:P,0)),"")</f>
        <v>线上</v>
      </c>
      <c r="I2728" s="13" t="s">
        <v>29</v>
      </c>
      <c r="J2728" s="10">
        <f ca="1" t="shared" si="127"/>
        <v>10</v>
      </c>
      <c r="K2728" s="10">
        <f ca="1" t="shared" si="128"/>
        <v>11</v>
      </c>
    </row>
    <row r="2729" ht="18" spans="1:11">
      <c r="A2729" s="14">
        <f t="shared" si="126"/>
        <v>2728</v>
      </c>
      <c r="B2729" s="11" t="s">
        <v>1456</v>
      </c>
      <c r="C2729" s="14" t="str">
        <f>IFERROR(INDEX(面试清单!D:D,MATCH(2728,面试清单!P:P,0)),"")</f>
        <v/>
      </c>
      <c r="D2729" s="11" t="s">
        <v>43</v>
      </c>
      <c r="E2729" s="11" t="s">
        <v>62</v>
      </c>
      <c r="F2729" s="11" t="s">
        <v>530</v>
      </c>
      <c r="G2729" s="15">
        <v>46180</v>
      </c>
      <c r="H2729" s="14" t="str">
        <f>IFERROR(INDEX(面试清单!H:H,MATCH(2728,面试清单!P:P,0)),"")</f>
        <v/>
      </c>
      <c r="I2729" s="13" t="s">
        <v>29</v>
      </c>
      <c r="J2729" s="14">
        <f ca="1" t="shared" si="127"/>
        <v>9</v>
      </c>
      <c r="K2729" s="14">
        <f ca="1" t="shared" si="128"/>
        <v>10</v>
      </c>
    </row>
    <row r="2730" ht="18" spans="1:11">
      <c r="A2730" s="10">
        <f t="shared" si="126"/>
        <v>2729</v>
      </c>
      <c r="B2730" s="11" t="s">
        <v>1411</v>
      </c>
      <c r="C2730" s="125" t="str">
        <f>IFERROR(INDEX(面试清单!D:D,MATCH(2729,面试清单!P:P,0)),"")</f>
        <v>0220</v>
      </c>
      <c r="D2730" s="11" t="s">
        <v>43</v>
      </c>
      <c r="E2730" s="11" t="s">
        <v>63</v>
      </c>
      <c r="F2730" s="11" t="s">
        <v>176</v>
      </c>
      <c r="G2730" s="15">
        <v>46180</v>
      </c>
      <c r="H2730" s="10" t="str">
        <f>IFERROR(INDEX(面试清单!H:H,MATCH(2729,面试清单!P:P,0)),"")</f>
        <v>线上</v>
      </c>
      <c r="I2730" s="13" t="s">
        <v>29</v>
      </c>
      <c r="J2730" s="10">
        <f ca="1" t="shared" si="127"/>
        <v>9</v>
      </c>
      <c r="K2730" s="10">
        <f ca="1" t="shared" si="128"/>
        <v>10</v>
      </c>
    </row>
    <row r="2731" ht="18" spans="1:11">
      <c r="A2731" s="14">
        <f t="shared" si="126"/>
        <v>2730</v>
      </c>
      <c r="B2731" s="11" t="s">
        <v>1375</v>
      </c>
      <c r="C2731" s="124" t="str">
        <f>IFERROR(INDEX(面试清单!D:D,MATCH(2730,面试清单!P:P,0)),"")</f>
        <v>0221</v>
      </c>
      <c r="D2731" s="11" t="s">
        <v>42</v>
      </c>
      <c r="E2731" s="11" t="s">
        <v>63</v>
      </c>
      <c r="F2731" s="11" t="s">
        <v>176</v>
      </c>
      <c r="G2731" s="15">
        <v>46180</v>
      </c>
      <c r="H2731" s="14" t="str">
        <f>IFERROR(INDEX(面试清单!H:H,MATCH(2730,面试清单!P:P,0)),"")</f>
        <v>线上</v>
      </c>
      <c r="I2731" s="13" t="s">
        <v>29</v>
      </c>
      <c r="J2731" s="14">
        <f ca="1" t="shared" si="127"/>
        <v>9</v>
      </c>
      <c r="K2731" s="14">
        <f ca="1" t="shared" si="128"/>
        <v>10</v>
      </c>
    </row>
    <row r="2732" ht="18" spans="1:11">
      <c r="A2732" s="10">
        <f t="shared" si="126"/>
        <v>2731</v>
      </c>
      <c r="B2732" s="11" t="s">
        <v>1376</v>
      </c>
      <c r="C2732" s="10" t="str">
        <f>IFERROR(INDEX(面试清单!D:D,MATCH(2731,面试清单!P:P,0)),"")</f>
        <v/>
      </c>
      <c r="D2732" s="11" t="s">
        <v>42</v>
      </c>
      <c r="E2732" s="11" t="s">
        <v>63</v>
      </c>
      <c r="F2732" s="11" t="s">
        <v>176</v>
      </c>
      <c r="G2732" s="15">
        <v>46180</v>
      </c>
      <c r="H2732" s="10" t="str">
        <f>IFERROR(INDEX(面试清单!H:H,MATCH(2731,面试清单!P:P,0)),"")</f>
        <v/>
      </c>
      <c r="I2732" s="13" t="s">
        <v>29</v>
      </c>
      <c r="J2732" s="10">
        <f ca="1" t="shared" si="127"/>
        <v>9</v>
      </c>
      <c r="K2732" s="10">
        <f ca="1" t="shared" si="128"/>
        <v>10</v>
      </c>
    </row>
    <row r="2733" ht="18" spans="1:11">
      <c r="A2733" s="14">
        <f t="shared" si="126"/>
        <v>2732</v>
      </c>
      <c r="B2733" s="11" t="s">
        <v>1377</v>
      </c>
      <c r="C2733" s="124" t="str">
        <f>IFERROR(INDEX(面试清单!D:D,MATCH(2732,面试清单!P:P,0)),"")</f>
        <v>0208</v>
      </c>
      <c r="D2733" s="11" t="s">
        <v>42</v>
      </c>
      <c r="E2733" s="11" t="s">
        <v>63</v>
      </c>
      <c r="F2733" s="11" t="s">
        <v>176</v>
      </c>
      <c r="G2733" s="15">
        <v>46180</v>
      </c>
      <c r="H2733" s="14" t="str">
        <f>IFERROR(INDEX(面试清单!H:H,MATCH(2732,面试清单!P:P,0)),"")</f>
        <v>线上</v>
      </c>
      <c r="I2733" s="13" t="s">
        <v>29</v>
      </c>
      <c r="J2733" s="14">
        <f ca="1" t="shared" si="127"/>
        <v>9</v>
      </c>
      <c r="K2733" s="14">
        <f ca="1" t="shared" si="128"/>
        <v>10</v>
      </c>
    </row>
    <row r="2734" ht="18" spans="1:11">
      <c r="A2734" s="10">
        <f t="shared" si="126"/>
        <v>2733</v>
      </c>
      <c r="B2734" s="11" t="s">
        <v>1460</v>
      </c>
      <c r="C2734" s="10" t="str">
        <f>IFERROR(INDEX(面试清单!D:D,MATCH(2733,面试清单!P:P,0)),"")</f>
        <v/>
      </c>
      <c r="D2734" s="11" t="s">
        <v>43</v>
      </c>
      <c r="E2734" s="11" t="s">
        <v>63</v>
      </c>
      <c r="F2734" s="11" t="s">
        <v>148</v>
      </c>
      <c r="G2734" s="15">
        <v>46180</v>
      </c>
      <c r="H2734" s="10" t="str">
        <f>IFERROR(INDEX(面试清单!H:H,MATCH(2733,面试清单!P:P,0)),"")</f>
        <v/>
      </c>
      <c r="I2734" s="13" t="s">
        <v>29</v>
      </c>
      <c r="J2734" s="10">
        <f ca="1" t="shared" si="127"/>
        <v>9</v>
      </c>
      <c r="K2734" s="10">
        <f ca="1" t="shared" si="128"/>
        <v>10</v>
      </c>
    </row>
    <row r="2735" ht="18" spans="1:11">
      <c r="A2735" s="14">
        <f t="shared" si="126"/>
        <v>2734</v>
      </c>
      <c r="B2735" s="11" t="s">
        <v>1434</v>
      </c>
      <c r="C2735" s="124" t="str">
        <f>IFERROR(INDEX(面试清单!D:D,MATCH(2734,面试清单!P:P,0)),"")</f>
        <v>0212</v>
      </c>
      <c r="D2735" s="11" t="s">
        <v>43</v>
      </c>
      <c r="E2735" s="11" t="s">
        <v>63</v>
      </c>
      <c r="F2735" s="11" t="s">
        <v>148</v>
      </c>
      <c r="G2735" s="15">
        <v>46180</v>
      </c>
      <c r="H2735" s="14" t="str">
        <f>IFERROR(INDEX(面试清单!H:H,MATCH(2734,面试清单!P:P,0)),"")</f>
        <v>线上</v>
      </c>
      <c r="I2735" s="13" t="s">
        <v>29</v>
      </c>
      <c r="J2735" s="14">
        <f ca="1" t="shared" si="127"/>
        <v>9</v>
      </c>
      <c r="K2735" s="14">
        <f ca="1" t="shared" si="128"/>
        <v>10</v>
      </c>
    </row>
    <row r="2736" ht="36" spans="1:11">
      <c r="A2736" s="10">
        <f t="shared" si="126"/>
        <v>2735</v>
      </c>
      <c r="B2736" s="11" t="s">
        <v>1442</v>
      </c>
      <c r="C2736" s="10" t="str">
        <f>IFERROR(INDEX(面试清单!D:D,MATCH(2735,面试清单!P:P,0)),"")</f>
        <v/>
      </c>
      <c r="D2736" s="11" t="s">
        <v>43</v>
      </c>
      <c r="E2736" s="11" t="s">
        <v>62</v>
      </c>
      <c r="F2736" s="11" t="s">
        <v>796</v>
      </c>
      <c r="G2736" s="15">
        <v>46180</v>
      </c>
      <c r="H2736" s="10" t="str">
        <f>IFERROR(INDEX(面试清单!H:H,MATCH(2735,面试清单!P:P,0)),"")</f>
        <v/>
      </c>
      <c r="I2736" s="13" t="s">
        <v>29</v>
      </c>
      <c r="J2736" s="10">
        <f ca="1" t="shared" si="127"/>
        <v>9</v>
      </c>
      <c r="K2736" s="10">
        <f ca="1" t="shared" si="128"/>
        <v>10</v>
      </c>
    </row>
    <row r="2737" ht="18" spans="1:11">
      <c r="A2737" s="14">
        <f t="shared" si="126"/>
        <v>2736</v>
      </c>
      <c r="B2737" s="11" t="s">
        <v>1443</v>
      </c>
      <c r="C2737" s="124" t="str">
        <f>IFERROR(INDEX(面试清单!D:D,MATCH(2736,面试清单!P:P,0)),"")</f>
        <v>0217</v>
      </c>
      <c r="D2737" s="11" t="s">
        <v>43</v>
      </c>
      <c r="E2737" s="11" t="s">
        <v>62</v>
      </c>
      <c r="F2737" s="11" t="s">
        <v>796</v>
      </c>
      <c r="G2737" s="15">
        <v>46180</v>
      </c>
      <c r="H2737" s="14" t="str">
        <f>IFERROR(INDEX(面试清单!H:H,MATCH(2736,面试清单!P:P,0)),"")</f>
        <v>线上</v>
      </c>
      <c r="I2737" s="13" t="s">
        <v>29</v>
      </c>
      <c r="J2737" s="14">
        <f ca="1" t="shared" si="127"/>
        <v>9</v>
      </c>
      <c r="K2737" s="14">
        <f ca="1" t="shared" si="128"/>
        <v>10</v>
      </c>
    </row>
    <row r="2738" ht="18" spans="1:11">
      <c r="A2738" s="10">
        <f t="shared" si="126"/>
        <v>2737</v>
      </c>
      <c r="B2738" s="11" t="s">
        <v>1475</v>
      </c>
      <c r="C2738" s="10" t="str">
        <f>IFERROR(INDEX(面试清单!D:D,MATCH(2737,面试清单!P:P,0)),"")</f>
        <v/>
      </c>
      <c r="D2738" s="11" t="s">
        <v>42</v>
      </c>
      <c r="E2738" s="11" t="s">
        <v>63</v>
      </c>
      <c r="F2738" s="11" t="s">
        <v>505</v>
      </c>
      <c r="G2738" s="15">
        <v>46180</v>
      </c>
      <c r="H2738" s="10" t="str">
        <f>IFERROR(INDEX(面试清单!H:H,MATCH(2737,面试清单!P:P,0)),"")</f>
        <v/>
      </c>
      <c r="I2738" s="13" t="s">
        <v>29</v>
      </c>
      <c r="J2738" s="10">
        <f ca="1" t="shared" si="127"/>
        <v>9</v>
      </c>
      <c r="K2738" s="10">
        <f ca="1" t="shared" si="128"/>
        <v>10</v>
      </c>
    </row>
    <row r="2739" ht="18" spans="1:11">
      <c r="A2739" s="14">
        <f t="shared" si="126"/>
        <v>2738</v>
      </c>
      <c r="B2739" s="11" t="s">
        <v>1457</v>
      </c>
      <c r="C2739" s="124" t="str">
        <f>IFERROR(INDEX(面试清单!D:D,MATCH(2738,面试清单!P:P,0)),"")</f>
        <v>0220</v>
      </c>
      <c r="D2739" s="11" t="s">
        <v>43</v>
      </c>
      <c r="E2739" s="11" t="s">
        <v>63</v>
      </c>
      <c r="F2739" s="11" t="s">
        <v>117</v>
      </c>
      <c r="G2739" s="15">
        <v>46180</v>
      </c>
      <c r="H2739" s="14" t="str">
        <f>IFERROR(INDEX(面试清单!H:H,MATCH(2738,面试清单!P:P,0)),"")</f>
        <v>线上</v>
      </c>
      <c r="I2739" s="13" t="s">
        <v>29</v>
      </c>
      <c r="J2739" s="14">
        <f ca="1" t="shared" si="127"/>
        <v>9</v>
      </c>
      <c r="K2739" s="14">
        <f ca="1" t="shared" si="128"/>
        <v>10</v>
      </c>
    </row>
    <row r="2740" ht="18" spans="1:11">
      <c r="A2740" s="10">
        <f t="shared" si="126"/>
        <v>2739</v>
      </c>
      <c r="B2740" s="11" t="s">
        <v>1491</v>
      </c>
      <c r="C2740" s="10" t="str">
        <f>IFERROR(INDEX(面试清单!D:D,MATCH(2739,面试清单!P:P,0)),"")</f>
        <v/>
      </c>
      <c r="D2740" s="11" t="s">
        <v>42</v>
      </c>
      <c r="E2740" s="11" t="s">
        <v>62</v>
      </c>
      <c r="F2740" s="11" t="s">
        <v>233</v>
      </c>
      <c r="G2740" s="15">
        <v>46180</v>
      </c>
      <c r="H2740" s="10" t="str">
        <f>IFERROR(INDEX(面试清单!H:H,MATCH(2739,面试清单!P:P,0)),"")</f>
        <v/>
      </c>
      <c r="I2740" s="13" t="s">
        <v>29</v>
      </c>
      <c r="J2740" s="10">
        <f ca="1" t="shared" si="127"/>
        <v>9</v>
      </c>
      <c r="K2740" s="10">
        <f ca="1" t="shared" si="128"/>
        <v>10</v>
      </c>
    </row>
    <row r="2741" ht="18" spans="1:11">
      <c r="A2741" s="14">
        <f t="shared" si="126"/>
        <v>2740</v>
      </c>
      <c r="B2741" s="11" t="s">
        <v>6351</v>
      </c>
      <c r="C2741" s="14" t="str">
        <f>IFERROR(INDEX(面试清单!D:D,MATCH(2740,面试清单!P:P,0)),"")</f>
        <v/>
      </c>
      <c r="D2741" s="11" t="s">
        <v>42</v>
      </c>
      <c r="E2741" s="11" t="s">
        <v>63</v>
      </c>
      <c r="F2741" s="11" t="s">
        <v>246</v>
      </c>
      <c r="G2741" s="15">
        <v>46180</v>
      </c>
      <c r="H2741" s="14" t="str">
        <f>IFERROR(INDEX(面试清单!H:H,MATCH(2740,面试清单!P:P,0)),"")</f>
        <v/>
      </c>
      <c r="I2741" s="13" t="s">
        <v>29</v>
      </c>
      <c r="J2741" s="14">
        <f ca="1" t="shared" si="127"/>
        <v>9</v>
      </c>
      <c r="K2741" s="14">
        <f ca="1" t="shared" si="128"/>
        <v>10</v>
      </c>
    </row>
    <row r="2742" ht="18" spans="1:11">
      <c r="A2742" s="10">
        <f t="shared" si="126"/>
        <v>2741</v>
      </c>
      <c r="B2742" s="11" t="s">
        <v>1493</v>
      </c>
      <c r="C2742" s="10" t="str">
        <f>IFERROR(INDEX(面试清单!D:D,MATCH(2741,面试清单!P:P,0)),"")</f>
        <v/>
      </c>
      <c r="D2742" s="11" t="s">
        <v>42</v>
      </c>
      <c r="E2742" s="11" t="s">
        <v>62</v>
      </c>
      <c r="F2742" s="11" t="s">
        <v>307</v>
      </c>
      <c r="G2742" s="15">
        <v>46180</v>
      </c>
      <c r="H2742" s="10" t="str">
        <f>IFERROR(INDEX(面试清单!H:H,MATCH(2741,面试清单!P:P,0)),"")</f>
        <v/>
      </c>
      <c r="I2742" s="13" t="s">
        <v>29</v>
      </c>
      <c r="J2742" s="10">
        <f ca="1" t="shared" si="127"/>
        <v>9</v>
      </c>
      <c r="K2742" s="10">
        <f ca="1" t="shared" si="128"/>
        <v>10</v>
      </c>
    </row>
    <row r="2743" ht="18" spans="1:11">
      <c r="A2743" s="14">
        <f t="shared" si="126"/>
        <v>2742</v>
      </c>
      <c r="B2743" s="11" t="s">
        <v>6352</v>
      </c>
      <c r="C2743" s="14" t="str">
        <f>IFERROR(INDEX(面试清单!D:D,MATCH(2742,面试清单!P:P,0)),"")</f>
        <v/>
      </c>
      <c r="D2743" s="11" t="s">
        <v>42</v>
      </c>
      <c r="E2743" s="11" t="s">
        <v>62</v>
      </c>
      <c r="F2743" s="11" t="s">
        <v>690</v>
      </c>
      <c r="G2743" s="15">
        <v>46180</v>
      </c>
      <c r="H2743" s="14" t="str">
        <f>IFERROR(INDEX(面试清单!H:H,MATCH(2742,面试清单!P:P,0)),"")</f>
        <v/>
      </c>
      <c r="I2743" s="13" t="s">
        <v>29</v>
      </c>
      <c r="J2743" s="14">
        <f ca="1" t="shared" si="127"/>
        <v>9</v>
      </c>
      <c r="K2743" s="14">
        <f ca="1" t="shared" si="128"/>
        <v>10</v>
      </c>
    </row>
    <row r="2744" ht="18" spans="1:11">
      <c r="A2744" s="10">
        <f t="shared" si="126"/>
        <v>2743</v>
      </c>
      <c r="B2744" s="11" t="s">
        <v>6353</v>
      </c>
      <c r="C2744" s="10" t="str">
        <f>IFERROR(INDEX(面试清单!D:D,MATCH(2743,面试清单!P:P,0)),"")</f>
        <v/>
      </c>
      <c r="D2744" s="11" t="s">
        <v>43</v>
      </c>
      <c r="E2744" s="11" t="s">
        <v>62</v>
      </c>
      <c r="F2744" s="11" t="s">
        <v>124</v>
      </c>
      <c r="G2744" s="15">
        <v>46180</v>
      </c>
      <c r="H2744" s="10" t="str">
        <f>IFERROR(INDEX(面试清单!H:H,MATCH(2743,面试清单!P:P,0)),"")</f>
        <v/>
      </c>
      <c r="I2744" s="13" t="s">
        <v>29</v>
      </c>
      <c r="J2744" s="10">
        <f ca="1" t="shared" si="127"/>
        <v>9</v>
      </c>
      <c r="K2744" s="10">
        <f ca="1" t="shared" si="128"/>
        <v>10</v>
      </c>
    </row>
    <row r="2745" ht="18" spans="1:11">
      <c r="A2745" s="14">
        <f t="shared" si="126"/>
        <v>2744</v>
      </c>
      <c r="B2745" s="11" t="s">
        <v>1430</v>
      </c>
      <c r="C2745" s="14" t="str">
        <f>IFERROR(INDEX(面试清单!D:D,MATCH(2744,面试清单!P:P,0)),"")</f>
        <v/>
      </c>
      <c r="D2745" s="11" t="s">
        <v>43</v>
      </c>
      <c r="E2745" s="11" t="s">
        <v>63</v>
      </c>
      <c r="F2745" s="11" t="s">
        <v>124</v>
      </c>
      <c r="G2745" s="15">
        <v>46180</v>
      </c>
      <c r="H2745" s="14" t="str">
        <f>IFERROR(INDEX(面试清单!H:H,MATCH(2744,面试清单!P:P,0)),"")</f>
        <v/>
      </c>
      <c r="I2745" s="13" t="s">
        <v>29</v>
      </c>
      <c r="J2745" s="14">
        <f ca="1" t="shared" si="127"/>
        <v>9</v>
      </c>
      <c r="K2745" s="14">
        <f ca="1" t="shared" si="128"/>
        <v>10</v>
      </c>
    </row>
    <row r="2746" ht="18" spans="1:11">
      <c r="A2746" s="10">
        <f t="shared" si="126"/>
        <v>2745</v>
      </c>
      <c r="B2746" s="11" t="s">
        <v>1429</v>
      </c>
      <c r="C2746" s="10" t="str">
        <f>IFERROR(INDEX(面试清单!D:D,MATCH(2745,面试清单!P:P,0)),"")</f>
        <v/>
      </c>
      <c r="D2746" s="11" t="s">
        <v>43</v>
      </c>
      <c r="E2746" s="11" t="s">
        <v>62</v>
      </c>
      <c r="F2746" s="11" t="s">
        <v>124</v>
      </c>
      <c r="G2746" s="15">
        <v>46180</v>
      </c>
      <c r="H2746" s="10" t="str">
        <f>IFERROR(INDEX(面试清单!H:H,MATCH(2745,面试清单!P:P,0)),"")</f>
        <v/>
      </c>
      <c r="I2746" s="13" t="s">
        <v>29</v>
      </c>
      <c r="J2746" s="10">
        <f ca="1" t="shared" si="127"/>
        <v>9</v>
      </c>
      <c r="K2746" s="10">
        <f ca="1" t="shared" si="128"/>
        <v>10</v>
      </c>
    </row>
    <row r="2747" ht="18" spans="1:11">
      <c r="A2747" s="14">
        <f t="shared" si="126"/>
        <v>2746</v>
      </c>
      <c r="B2747" s="11" t="s">
        <v>1165</v>
      </c>
      <c r="C2747" s="14" t="str">
        <f>IFERROR(INDEX(面试清单!D:D,MATCH(2746,面试清单!P:P,0)),"")</f>
        <v/>
      </c>
      <c r="D2747" s="11" t="s">
        <v>42</v>
      </c>
      <c r="E2747" s="11" t="s">
        <v>63</v>
      </c>
      <c r="F2747" s="11" t="s">
        <v>1166</v>
      </c>
      <c r="G2747" s="15">
        <v>46180</v>
      </c>
      <c r="H2747" s="14" t="str">
        <f>IFERROR(INDEX(面试清单!H:H,MATCH(2746,面试清单!P:P,0)),"")</f>
        <v/>
      </c>
      <c r="I2747" s="13" t="s">
        <v>29</v>
      </c>
      <c r="J2747" s="14">
        <f ca="1" t="shared" si="127"/>
        <v>9</v>
      </c>
      <c r="K2747" s="14">
        <f ca="1" t="shared" si="128"/>
        <v>10</v>
      </c>
    </row>
    <row r="2748" ht="18" spans="1:11">
      <c r="A2748" s="10">
        <f t="shared" si="126"/>
        <v>2747</v>
      </c>
      <c r="B2748" s="11" t="s">
        <v>1468</v>
      </c>
      <c r="C2748" s="10" t="str">
        <f>IFERROR(INDEX(面试清单!D:D,MATCH(2747,面试清单!P:P,0)),"")</f>
        <v/>
      </c>
      <c r="D2748" s="11" t="s">
        <v>42</v>
      </c>
      <c r="E2748" s="11" t="s">
        <v>62</v>
      </c>
      <c r="F2748" s="11" t="s">
        <v>132</v>
      </c>
      <c r="G2748" s="15">
        <v>46180</v>
      </c>
      <c r="H2748" s="10" t="str">
        <f>IFERROR(INDEX(面试清单!H:H,MATCH(2747,面试清单!P:P,0)),"")</f>
        <v/>
      </c>
      <c r="I2748" s="13" t="s">
        <v>29</v>
      </c>
      <c r="J2748" s="10">
        <f ca="1" t="shared" si="127"/>
        <v>9</v>
      </c>
      <c r="K2748" s="10">
        <f ca="1" t="shared" si="128"/>
        <v>10</v>
      </c>
    </row>
    <row r="2749" ht="18" spans="1:11">
      <c r="A2749" s="14">
        <f t="shared" si="126"/>
        <v>2748</v>
      </c>
      <c r="B2749" s="11" t="s">
        <v>1356</v>
      </c>
      <c r="C2749" s="14" t="str">
        <f>IFERROR(INDEX(面试清单!D:D,MATCH(2748,面试清单!P:P,0)),"")</f>
        <v/>
      </c>
      <c r="D2749" s="11" t="s">
        <v>42</v>
      </c>
      <c r="E2749" s="11" t="s">
        <v>63</v>
      </c>
      <c r="F2749" s="11" t="s">
        <v>129</v>
      </c>
      <c r="G2749" s="15">
        <v>46180</v>
      </c>
      <c r="H2749" s="14" t="str">
        <f>IFERROR(INDEX(面试清单!H:H,MATCH(2748,面试清单!P:P,0)),"")</f>
        <v/>
      </c>
      <c r="I2749" s="13" t="s">
        <v>29</v>
      </c>
      <c r="J2749" s="14">
        <f ca="1" t="shared" si="127"/>
        <v>9</v>
      </c>
      <c r="K2749" s="14">
        <f ca="1" t="shared" si="128"/>
        <v>10</v>
      </c>
    </row>
    <row r="2750" ht="18" spans="1:11">
      <c r="A2750" s="10">
        <f t="shared" si="126"/>
        <v>2749</v>
      </c>
      <c r="B2750" s="11" t="s">
        <v>6354</v>
      </c>
      <c r="C2750" s="10" t="str">
        <f>IFERROR(INDEX(面试清单!D:D,MATCH(2749,面试清单!P:P,0)),"")</f>
        <v/>
      </c>
      <c r="D2750" s="11" t="s">
        <v>42</v>
      </c>
      <c r="E2750" s="11" t="s">
        <v>63</v>
      </c>
      <c r="F2750" s="11" t="s">
        <v>129</v>
      </c>
      <c r="G2750" s="15">
        <v>46180</v>
      </c>
      <c r="H2750" s="10" t="str">
        <f>IFERROR(INDEX(面试清单!H:H,MATCH(2749,面试清单!P:P,0)),"")</f>
        <v/>
      </c>
      <c r="I2750" s="13" t="s">
        <v>29</v>
      </c>
      <c r="J2750" s="10">
        <f ca="1" t="shared" si="127"/>
        <v>9</v>
      </c>
      <c r="K2750" s="10">
        <f ca="1" t="shared" si="128"/>
        <v>10</v>
      </c>
    </row>
    <row r="2751" ht="18" spans="1:11">
      <c r="A2751" s="14">
        <f t="shared" si="126"/>
        <v>2750</v>
      </c>
      <c r="B2751" s="11" t="s">
        <v>6355</v>
      </c>
      <c r="C2751" s="124" t="str">
        <f>IFERROR(INDEX(面试清单!D:D,MATCH(2750,面试清单!P:P,0)),"")</f>
        <v>0208</v>
      </c>
      <c r="D2751" s="11" t="s">
        <v>42</v>
      </c>
      <c r="E2751" s="11" t="s">
        <v>63</v>
      </c>
      <c r="F2751" s="11" t="s">
        <v>103</v>
      </c>
      <c r="G2751" s="15">
        <v>46180</v>
      </c>
      <c r="H2751" s="14" t="str">
        <f>IFERROR(INDEX(面试清单!H:H,MATCH(2750,面试清单!P:P,0)),"")</f>
        <v>线上</v>
      </c>
      <c r="I2751" s="13" t="s">
        <v>29</v>
      </c>
      <c r="J2751" s="14">
        <f ca="1" t="shared" si="127"/>
        <v>9</v>
      </c>
      <c r="K2751" s="14">
        <f ca="1" t="shared" si="128"/>
        <v>10</v>
      </c>
    </row>
    <row r="2752" ht="18" spans="1:11">
      <c r="A2752" s="10">
        <f t="shared" si="126"/>
        <v>2751</v>
      </c>
      <c r="B2752" s="11" t="s">
        <v>1272</v>
      </c>
      <c r="C2752" s="10" t="str">
        <f>IFERROR(INDEX(面试清单!D:D,MATCH(2751,面试清单!P:P,0)),"")</f>
        <v/>
      </c>
      <c r="D2752" s="11" t="s">
        <v>43</v>
      </c>
      <c r="E2752" s="11" t="s">
        <v>63</v>
      </c>
      <c r="F2752" s="11" t="s">
        <v>426</v>
      </c>
      <c r="G2752" s="15">
        <v>46180</v>
      </c>
      <c r="H2752" s="10" t="str">
        <f>IFERROR(INDEX(面试清单!H:H,MATCH(2751,面试清单!P:P,0)),"")</f>
        <v/>
      </c>
      <c r="I2752" s="13" t="s">
        <v>29</v>
      </c>
      <c r="J2752" s="10">
        <f ca="1" t="shared" si="127"/>
        <v>9</v>
      </c>
      <c r="K2752" s="10">
        <f ca="1" t="shared" si="128"/>
        <v>10</v>
      </c>
    </row>
    <row r="2753" ht="18" spans="1:11">
      <c r="A2753" s="14">
        <f t="shared" si="126"/>
        <v>2752</v>
      </c>
      <c r="B2753" s="11" t="s">
        <v>2184</v>
      </c>
      <c r="C2753" s="14" t="str">
        <f>IFERROR(INDEX(面试清单!D:D,MATCH(2752,面试清单!P:P,0)),"")</f>
        <v/>
      </c>
      <c r="D2753" s="11" t="s">
        <v>43</v>
      </c>
      <c r="E2753" s="11" t="s">
        <v>62</v>
      </c>
      <c r="F2753" s="11" t="s">
        <v>129</v>
      </c>
      <c r="G2753" s="15">
        <v>46180</v>
      </c>
      <c r="H2753" s="14" t="str">
        <f>IFERROR(INDEX(面试清单!H:H,MATCH(2752,面试清单!P:P,0)),"")</f>
        <v/>
      </c>
      <c r="I2753" s="13" t="s">
        <v>29</v>
      </c>
      <c r="J2753" s="14">
        <f ca="1" t="shared" si="127"/>
        <v>9</v>
      </c>
      <c r="K2753" s="14">
        <f ca="1" t="shared" si="128"/>
        <v>10</v>
      </c>
    </row>
    <row r="2754" ht="18" spans="1:11">
      <c r="A2754" s="10">
        <f t="shared" ref="A2754:A2817" si="129">IF(B2754&lt;&gt;"",ROW()-1,"")</f>
        <v>2753</v>
      </c>
      <c r="B2754" s="11" t="s">
        <v>6356</v>
      </c>
      <c r="C2754" s="10" t="str">
        <f>IFERROR(INDEX(面试清单!D:D,MATCH(2753,面试清单!P:P,0)),"")</f>
        <v/>
      </c>
      <c r="D2754" s="11" t="s">
        <v>42</v>
      </c>
      <c r="E2754" s="11" t="s">
        <v>62</v>
      </c>
      <c r="F2754" s="11" t="s">
        <v>173</v>
      </c>
      <c r="G2754" s="15">
        <v>46180</v>
      </c>
      <c r="H2754" s="10" t="str">
        <f>IFERROR(INDEX(面试清单!H:H,MATCH(2753,面试清单!P:P,0)),"")</f>
        <v/>
      </c>
      <c r="I2754" s="13" t="s">
        <v>29</v>
      </c>
      <c r="J2754" s="10">
        <f ca="1" t="shared" ref="J2754:J2817" si="130">IF(G2754&lt;&gt;"",TODAY()-G2754,"")</f>
        <v>9</v>
      </c>
      <c r="K2754" s="10">
        <f ca="1" t="shared" ref="K2754:K2817" si="131">IF(G2754&lt;&gt;"",MAX(0,MIN(TODAY(),EOMONTH(TODAY(),0))-MAX(G2754,EOMONTH(TODAY(),-1)+1)+1),"")</f>
        <v>10</v>
      </c>
    </row>
    <row r="2755" ht="18" spans="1:11">
      <c r="A2755" s="14">
        <f t="shared" si="129"/>
        <v>2754</v>
      </c>
      <c r="B2755" s="11" t="s">
        <v>720</v>
      </c>
      <c r="C2755" s="14" t="str">
        <f>IFERROR(INDEX(面试清单!D:D,MATCH(2754,面试清单!P:P,0)),"")</f>
        <v/>
      </c>
      <c r="D2755" s="11" t="s">
        <v>43</v>
      </c>
      <c r="E2755" s="11" t="s">
        <v>64</v>
      </c>
      <c r="F2755" s="11" t="s">
        <v>179</v>
      </c>
      <c r="G2755" s="15">
        <v>46180</v>
      </c>
      <c r="H2755" s="14" t="str">
        <f>IFERROR(INDEX(面试清单!H:H,MATCH(2754,面试清单!P:P,0)),"")</f>
        <v/>
      </c>
      <c r="I2755" s="13" t="s">
        <v>29</v>
      </c>
      <c r="J2755" s="14">
        <f ca="1" t="shared" si="130"/>
        <v>9</v>
      </c>
      <c r="K2755" s="14">
        <f ca="1" t="shared" si="131"/>
        <v>10</v>
      </c>
    </row>
    <row r="2756" ht="18" spans="1:11">
      <c r="A2756" s="10">
        <f t="shared" si="129"/>
        <v>2755</v>
      </c>
      <c r="B2756" s="11" t="s">
        <v>721</v>
      </c>
      <c r="C2756" s="10" t="str">
        <f>IFERROR(INDEX(面试清单!D:D,MATCH(2755,面试清单!P:P,0)),"")</f>
        <v/>
      </c>
      <c r="D2756" s="11" t="s">
        <v>43</v>
      </c>
      <c r="E2756" s="11" t="s">
        <v>64</v>
      </c>
      <c r="F2756" s="11" t="s">
        <v>179</v>
      </c>
      <c r="G2756" s="15">
        <v>46180</v>
      </c>
      <c r="H2756" s="10" t="str">
        <f>IFERROR(INDEX(面试清单!H:H,MATCH(2755,面试清单!P:P,0)),"")</f>
        <v/>
      </c>
      <c r="I2756" s="13" t="s">
        <v>29</v>
      </c>
      <c r="J2756" s="10">
        <f ca="1" t="shared" si="130"/>
        <v>9</v>
      </c>
      <c r="K2756" s="10">
        <f ca="1" t="shared" si="131"/>
        <v>10</v>
      </c>
    </row>
    <row r="2757" ht="18" spans="1:11">
      <c r="A2757" s="14">
        <f t="shared" si="129"/>
        <v>2756</v>
      </c>
      <c r="B2757" s="11" t="s">
        <v>718</v>
      </c>
      <c r="C2757" s="124" t="str">
        <f>IFERROR(INDEX(面试清单!D:D,MATCH(2756,面试清单!P:P,0)),"")</f>
        <v>0220</v>
      </c>
      <c r="D2757" s="11" t="s">
        <v>74</v>
      </c>
      <c r="E2757" s="11" t="s">
        <v>190</v>
      </c>
      <c r="F2757" s="11" t="s">
        <v>179</v>
      </c>
      <c r="G2757" s="15">
        <v>46180</v>
      </c>
      <c r="H2757" s="14" t="str">
        <f>IFERROR(INDEX(面试清单!H:H,MATCH(2756,面试清单!P:P,0)),"")</f>
        <v>线上</v>
      </c>
      <c r="I2757" s="13" t="s">
        <v>29</v>
      </c>
      <c r="J2757" s="14">
        <f ca="1" t="shared" si="130"/>
        <v>9</v>
      </c>
      <c r="K2757" s="14">
        <f ca="1" t="shared" si="131"/>
        <v>10</v>
      </c>
    </row>
    <row r="2758" ht="18" spans="1:11">
      <c r="A2758" s="10">
        <f t="shared" si="129"/>
        <v>2757</v>
      </c>
      <c r="B2758" s="11" t="s">
        <v>719</v>
      </c>
      <c r="C2758" s="10" t="str">
        <f>IFERROR(INDEX(面试清单!D:D,MATCH(2757,面试清单!P:P,0)),"")</f>
        <v/>
      </c>
      <c r="D2758" s="11" t="s">
        <v>74</v>
      </c>
      <c r="E2758" s="11" t="s">
        <v>190</v>
      </c>
      <c r="F2758" s="11" t="s">
        <v>179</v>
      </c>
      <c r="G2758" s="15">
        <v>46180</v>
      </c>
      <c r="H2758" s="10" t="str">
        <f>IFERROR(INDEX(面试清单!H:H,MATCH(2757,面试清单!P:P,0)),"")</f>
        <v/>
      </c>
      <c r="I2758" s="13" t="s">
        <v>29</v>
      </c>
      <c r="J2758" s="10">
        <f ca="1" t="shared" si="130"/>
        <v>9</v>
      </c>
      <c r="K2758" s="10">
        <f ca="1" t="shared" si="131"/>
        <v>10</v>
      </c>
    </row>
    <row r="2759" ht="18" spans="1:11">
      <c r="A2759" s="14">
        <f t="shared" si="129"/>
        <v>2758</v>
      </c>
      <c r="B2759" s="11" t="s">
        <v>692</v>
      </c>
      <c r="C2759" s="14" t="str">
        <f>IFERROR(INDEX(面试清单!D:D,MATCH(2758,面试清单!P:P,0)),"")</f>
        <v/>
      </c>
      <c r="D2759" s="11" t="s">
        <v>42</v>
      </c>
      <c r="E2759" s="11" t="s">
        <v>63</v>
      </c>
      <c r="F2759" s="11" t="s">
        <v>173</v>
      </c>
      <c r="G2759" s="15">
        <v>46180</v>
      </c>
      <c r="H2759" s="14" t="str">
        <f>IFERROR(INDEX(面试清单!H:H,MATCH(2758,面试清单!P:P,0)),"")</f>
        <v/>
      </c>
      <c r="I2759" s="13" t="s">
        <v>29</v>
      </c>
      <c r="J2759" s="14">
        <f ca="1" t="shared" si="130"/>
        <v>9</v>
      </c>
      <c r="K2759" s="14">
        <f ca="1" t="shared" si="131"/>
        <v>10</v>
      </c>
    </row>
    <row r="2760" ht="18" spans="1:11">
      <c r="A2760" s="10">
        <f t="shared" si="129"/>
        <v>2759</v>
      </c>
      <c r="B2760" s="11" t="s">
        <v>693</v>
      </c>
      <c r="C2760" s="125" t="str">
        <f>IFERROR(INDEX(面试清单!D:D,MATCH(2759,面试清单!P:P,0)),"")</f>
        <v>0208</v>
      </c>
      <c r="D2760" s="11" t="s">
        <v>42</v>
      </c>
      <c r="E2760" s="11" t="s">
        <v>62</v>
      </c>
      <c r="F2760" s="11" t="s">
        <v>132</v>
      </c>
      <c r="G2760" s="15">
        <v>46180</v>
      </c>
      <c r="H2760" s="10" t="str">
        <f>IFERROR(INDEX(面试清单!H:H,MATCH(2759,面试清单!P:P,0)),"")</f>
        <v>线上</v>
      </c>
      <c r="I2760" s="13" t="s">
        <v>29</v>
      </c>
      <c r="J2760" s="10">
        <f ca="1" t="shared" si="130"/>
        <v>9</v>
      </c>
      <c r="K2760" s="10">
        <f ca="1" t="shared" si="131"/>
        <v>10</v>
      </c>
    </row>
    <row r="2761" ht="18" spans="1:11">
      <c r="A2761" s="14">
        <f t="shared" si="129"/>
        <v>2760</v>
      </c>
      <c r="B2761" s="11" t="s">
        <v>1425</v>
      </c>
      <c r="C2761" s="14" t="str">
        <f>IFERROR(INDEX(面试清单!D:D,MATCH(2760,面试清单!P:P,0)),"")</f>
        <v/>
      </c>
      <c r="D2761" s="11" t="s">
        <v>43</v>
      </c>
      <c r="E2761" s="11" t="s">
        <v>62</v>
      </c>
      <c r="F2761" s="11" t="s">
        <v>1426</v>
      </c>
      <c r="G2761" s="15">
        <v>46180</v>
      </c>
      <c r="H2761" s="14" t="str">
        <f>IFERROR(INDEX(面试清单!H:H,MATCH(2760,面试清单!P:P,0)),"")</f>
        <v/>
      </c>
      <c r="I2761" s="13" t="s">
        <v>29</v>
      </c>
      <c r="J2761" s="14">
        <f ca="1" t="shared" si="130"/>
        <v>9</v>
      </c>
      <c r="K2761" s="14">
        <f ca="1" t="shared" si="131"/>
        <v>10</v>
      </c>
    </row>
    <row r="2762" ht="18" spans="1:11">
      <c r="A2762" s="10">
        <f t="shared" si="129"/>
        <v>2761</v>
      </c>
      <c r="B2762" s="11" t="s">
        <v>685</v>
      </c>
      <c r="C2762" s="10" t="str">
        <f>IFERROR(INDEX(面试清单!D:D,MATCH(2761,面试清单!P:P,0)),"")</f>
        <v/>
      </c>
      <c r="D2762" s="11" t="s">
        <v>74</v>
      </c>
      <c r="E2762" s="11" t="s">
        <v>190</v>
      </c>
      <c r="F2762" s="11" t="s">
        <v>124</v>
      </c>
      <c r="G2762" s="15">
        <v>46180</v>
      </c>
      <c r="H2762" s="10" t="str">
        <f>IFERROR(INDEX(面试清单!H:H,MATCH(2761,面试清单!P:P,0)),"")</f>
        <v/>
      </c>
      <c r="I2762" s="13" t="s">
        <v>29</v>
      </c>
      <c r="J2762" s="10">
        <f ca="1" t="shared" si="130"/>
        <v>9</v>
      </c>
      <c r="K2762" s="10">
        <f ca="1" t="shared" si="131"/>
        <v>10</v>
      </c>
    </row>
    <row r="2763" ht="18" spans="1:11">
      <c r="A2763" s="14">
        <f t="shared" si="129"/>
        <v>2762</v>
      </c>
      <c r="B2763" s="11" t="s">
        <v>667</v>
      </c>
      <c r="C2763" s="14" t="str">
        <f>IFERROR(INDEX(面试清单!D:D,MATCH(2762,面试清单!P:P,0)),"")</f>
        <v/>
      </c>
      <c r="D2763" s="11" t="s">
        <v>42</v>
      </c>
      <c r="E2763" s="11" t="s">
        <v>64</v>
      </c>
      <c r="F2763" s="11" t="s">
        <v>148</v>
      </c>
      <c r="G2763" s="15">
        <v>46180</v>
      </c>
      <c r="H2763" s="14" t="str">
        <f>IFERROR(INDEX(面试清单!H:H,MATCH(2762,面试清单!P:P,0)),"")</f>
        <v/>
      </c>
      <c r="I2763" s="13" t="s">
        <v>29</v>
      </c>
      <c r="J2763" s="14">
        <f ca="1" t="shared" si="130"/>
        <v>9</v>
      </c>
      <c r="K2763" s="14">
        <f ca="1" t="shared" si="131"/>
        <v>10</v>
      </c>
    </row>
    <row r="2764" ht="18" spans="1:11">
      <c r="A2764" s="10">
        <f t="shared" si="129"/>
        <v>2763</v>
      </c>
      <c r="B2764" s="11" t="s">
        <v>676</v>
      </c>
      <c r="C2764" s="10" t="str">
        <f>IFERROR(INDEX(面试清单!D:D,MATCH(2763,面试清单!P:P,0)),"")</f>
        <v/>
      </c>
      <c r="D2764" s="11" t="s">
        <v>42</v>
      </c>
      <c r="E2764" s="11" t="s">
        <v>64</v>
      </c>
      <c r="F2764" s="11" t="s">
        <v>117</v>
      </c>
      <c r="G2764" s="15">
        <v>46180</v>
      </c>
      <c r="H2764" s="10" t="str">
        <f>IFERROR(INDEX(面试清单!H:H,MATCH(2763,面试清单!P:P,0)),"")</f>
        <v/>
      </c>
      <c r="I2764" s="13" t="s">
        <v>29</v>
      </c>
      <c r="J2764" s="10">
        <f ca="1" t="shared" si="130"/>
        <v>9</v>
      </c>
      <c r="K2764" s="10">
        <f ca="1" t="shared" si="131"/>
        <v>10</v>
      </c>
    </row>
    <row r="2765" ht="18" spans="1:11">
      <c r="A2765" s="14">
        <f t="shared" si="129"/>
        <v>2764</v>
      </c>
      <c r="B2765" s="11" t="s">
        <v>689</v>
      </c>
      <c r="C2765" s="14" t="str">
        <f>IFERROR(INDEX(面试清单!D:D,MATCH(2764,面试清单!P:P,0)),"")</f>
        <v/>
      </c>
      <c r="D2765" s="11" t="s">
        <v>42</v>
      </c>
      <c r="E2765" s="11" t="s">
        <v>64</v>
      </c>
      <c r="F2765" s="11" t="s">
        <v>690</v>
      </c>
      <c r="G2765" s="15">
        <v>46180</v>
      </c>
      <c r="H2765" s="14" t="str">
        <f>IFERROR(INDEX(面试清单!H:H,MATCH(2764,面试清单!P:P,0)),"")</f>
        <v/>
      </c>
      <c r="I2765" s="13" t="s">
        <v>29</v>
      </c>
      <c r="J2765" s="14">
        <f ca="1" t="shared" si="130"/>
        <v>9</v>
      </c>
      <c r="K2765" s="14">
        <f ca="1" t="shared" si="131"/>
        <v>10</v>
      </c>
    </row>
    <row r="2766" ht="18" spans="1:11">
      <c r="A2766" s="10">
        <f t="shared" si="129"/>
        <v>2765</v>
      </c>
      <c r="B2766" s="11" t="s">
        <v>353</v>
      </c>
      <c r="C2766" s="10" t="str">
        <f>IFERROR(INDEX(面试清单!D:D,MATCH(2765,面试清单!P:P,0)),"")</f>
        <v/>
      </c>
      <c r="D2766" s="11" t="s">
        <v>42</v>
      </c>
      <c r="E2766" s="11" t="s">
        <v>64</v>
      </c>
      <c r="F2766" s="11" t="s">
        <v>148</v>
      </c>
      <c r="G2766" s="15">
        <v>46180</v>
      </c>
      <c r="H2766" s="10" t="str">
        <f>IFERROR(INDEX(面试清单!H:H,MATCH(2765,面试清单!P:P,0)),"")</f>
        <v/>
      </c>
      <c r="I2766" s="13" t="s">
        <v>29</v>
      </c>
      <c r="J2766" s="10">
        <f ca="1" t="shared" si="130"/>
        <v>9</v>
      </c>
      <c r="K2766" s="10">
        <f ca="1" t="shared" si="131"/>
        <v>10</v>
      </c>
    </row>
    <row r="2767" ht="18" spans="1:11">
      <c r="A2767" s="14">
        <f t="shared" si="129"/>
        <v>2766</v>
      </c>
      <c r="B2767" s="11" t="s">
        <v>707</v>
      </c>
      <c r="C2767" s="14" t="str">
        <f>IFERROR(INDEX(面试清单!D:D,MATCH(2766,面试清单!P:P,0)),"")</f>
        <v/>
      </c>
      <c r="D2767" s="11" t="s">
        <v>42</v>
      </c>
      <c r="E2767" s="11" t="s">
        <v>64</v>
      </c>
      <c r="F2767" s="11" t="s">
        <v>179</v>
      </c>
      <c r="G2767" s="15">
        <v>46180</v>
      </c>
      <c r="H2767" s="14" t="str">
        <f>IFERROR(INDEX(面试清单!H:H,MATCH(2766,面试清单!P:P,0)),"")</f>
        <v/>
      </c>
      <c r="I2767" s="13" t="s">
        <v>29</v>
      </c>
      <c r="J2767" s="14">
        <f ca="1" t="shared" si="130"/>
        <v>9</v>
      </c>
      <c r="K2767" s="14">
        <f ca="1" t="shared" si="131"/>
        <v>10</v>
      </c>
    </row>
    <row r="2768" ht="18" spans="1:11">
      <c r="A2768" s="10">
        <f t="shared" si="129"/>
        <v>2767</v>
      </c>
      <c r="B2768" s="11" t="s">
        <v>686</v>
      </c>
      <c r="C2768" s="10" t="str">
        <f>IFERROR(INDEX(面试清单!D:D,MATCH(2767,面试清单!P:P,0)),"")</f>
        <v/>
      </c>
      <c r="D2768" s="11" t="s">
        <v>74</v>
      </c>
      <c r="E2768" s="11" t="s">
        <v>64</v>
      </c>
      <c r="F2768" s="11" t="s">
        <v>135</v>
      </c>
      <c r="G2768" s="15">
        <v>46180</v>
      </c>
      <c r="H2768" s="10" t="str">
        <f>IFERROR(INDEX(面试清单!H:H,MATCH(2767,面试清单!P:P,0)),"")</f>
        <v/>
      </c>
      <c r="I2768" s="13" t="s">
        <v>29</v>
      </c>
      <c r="J2768" s="10">
        <f ca="1" t="shared" si="130"/>
        <v>9</v>
      </c>
      <c r="K2768" s="10">
        <f ca="1" t="shared" si="131"/>
        <v>10</v>
      </c>
    </row>
    <row r="2769" ht="18" spans="1:11">
      <c r="A2769" s="14">
        <f t="shared" si="129"/>
        <v>2768</v>
      </c>
      <c r="B2769" s="11" t="s">
        <v>711</v>
      </c>
      <c r="C2769" s="14" t="str">
        <f>IFERROR(INDEX(面试清单!D:D,MATCH(2768,面试清单!P:P,0)),"")</f>
        <v/>
      </c>
      <c r="D2769" s="11" t="s">
        <v>74</v>
      </c>
      <c r="E2769" s="11" t="s">
        <v>64</v>
      </c>
      <c r="F2769" s="11" t="s">
        <v>179</v>
      </c>
      <c r="G2769" s="15">
        <v>46180</v>
      </c>
      <c r="H2769" s="14" t="str">
        <f>IFERROR(INDEX(面试清单!H:H,MATCH(2768,面试清单!P:P,0)),"")</f>
        <v/>
      </c>
      <c r="I2769" s="13" t="s">
        <v>29</v>
      </c>
      <c r="J2769" s="14">
        <f ca="1" t="shared" si="130"/>
        <v>9</v>
      </c>
      <c r="K2769" s="14">
        <f ca="1" t="shared" si="131"/>
        <v>10</v>
      </c>
    </row>
    <row r="2770" ht="18" spans="1:11">
      <c r="A2770" s="10">
        <f t="shared" si="129"/>
        <v>2769</v>
      </c>
      <c r="B2770" s="11" t="s">
        <v>712</v>
      </c>
      <c r="C2770" s="10" t="str">
        <f>IFERROR(INDEX(面试清单!D:D,MATCH(2769,面试清单!P:P,0)),"")</f>
        <v/>
      </c>
      <c r="D2770" s="11" t="s">
        <v>74</v>
      </c>
      <c r="E2770" s="11" t="s">
        <v>64</v>
      </c>
      <c r="F2770" s="11" t="s">
        <v>179</v>
      </c>
      <c r="G2770" s="15">
        <v>46180</v>
      </c>
      <c r="H2770" s="10" t="str">
        <f>IFERROR(INDEX(面试清单!H:H,MATCH(2769,面试清单!P:P,0)),"")</f>
        <v/>
      </c>
      <c r="I2770" s="13" t="s">
        <v>29</v>
      </c>
      <c r="J2770" s="10">
        <f ca="1" t="shared" si="130"/>
        <v>9</v>
      </c>
      <c r="K2770" s="10">
        <f ca="1" t="shared" si="131"/>
        <v>10</v>
      </c>
    </row>
    <row r="2771" ht="18" spans="1:11">
      <c r="A2771" s="14">
        <f t="shared" si="129"/>
        <v>2770</v>
      </c>
      <c r="B2771" s="11" t="s">
        <v>725</v>
      </c>
      <c r="C2771" s="14" t="str">
        <f>IFERROR(INDEX(面试清单!D:D,MATCH(2770,面试清单!P:P,0)),"")</f>
        <v/>
      </c>
      <c r="D2771" s="11" t="s">
        <v>74</v>
      </c>
      <c r="E2771" s="11" t="s">
        <v>64</v>
      </c>
      <c r="F2771" s="11" t="s">
        <v>135</v>
      </c>
      <c r="G2771" s="15">
        <v>46180</v>
      </c>
      <c r="H2771" s="14" t="str">
        <f>IFERROR(INDEX(面试清单!H:H,MATCH(2770,面试清单!P:P,0)),"")</f>
        <v/>
      </c>
      <c r="I2771" s="13" t="s">
        <v>29</v>
      </c>
      <c r="J2771" s="14">
        <f ca="1" t="shared" si="130"/>
        <v>9</v>
      </c>
      <c r="K2771" s="14">
        <f ca="1" t="shared" si="131"/>
        <v>10</v>
      </c>
    </row>
    <row r="2772" ht="18" spans="1:11">
      <c r="A2772" s="10">
        <f t="shared" si="129"/>
        <v>2771</v>
      </c>
      <c r="B2772" s="11" t="s">
        <v>726</v>
      </c>
      <c r="C2772" s="125" t="str">
        <f>IFERROR(INDEX(面试清单!D:D,MATCH(2771,面试清单!P:P,0)),"")</f>
        <v>0212</v>
      </c>
      <c r="D2772" s="11" t="s">
        <v>74</v>
      </c>
      <c r="E2772" s="11" t="s">
        <v>64</v>
      </c>
      <c r="F2772" s="11" t="s">
        <v>135</v>
      </c>
      <c r="G2772" s="15">
        <v>46180</v>
      </c>
      <c r="H2772" s="10" t="str">
        <f>IFERROR(INDEX(面试清单!H:H,MATCH(2771,面试清单!P:P,0)),"")</f>
        <v>线上</v>
      </c>
      <c r="I2772" s="13" t="s">
        <v>29</v>
      </c>
      <c r="J2772" s="10">
        <f ca="1" t="shared" si="130"/>
        <v>9</v>
      </c>
      <c r="K2772" s="10">
        <f ca="1" t="shared" si="131"/>
        <v>10</v>
      </c>
    </row>
    <row r="2773" ht="18" spans="1:11">
      <c r="A2773" s="14">
        <f t="shared" si="129"/>
        <v>2772</v>
      </c>
      <c r="B2773" s="11" t="s">
        <v>6357</v>
      </c>
      <c r="C2773" s="14" t="str">
        <f>IFERROR(INDEX(面试清单!D:D,MATCH(2772,面试清单!P:P,0)),"")</f>
        <v/>
      </c>
      <c r="D2773" s="11" t="s">
        <v>42</v>
      </c>
      <c r="E2773" s="11" t="s">
        <v>62</v>
      </c>
      <c r="F2773" s="11" t="s">
        <v>124</v>
      </c>
      <c r="G2773" s="15">
        <v>46180</v>
      </c>
      <c r="H2773" s="14" t="str">
        <f>IFERROR(INDEX(面试清单!H:H,MATCH(2772,面试清单!P:P,0)),"")</f>
        <v/>
      </c>
      <c r="I2773" s="13" t="s">
        <v>29</v>
      </c>
      <c r="J2773" s="14">
        <f ca="1" t="shared" si="130"/>
        <v>9</v>
      </c>
      <c r="K2773" s="14">
        <f ca="1" t="shared" si="131"/>
        <v>10</v>
      </c>
    </row>
    <row r="2774" ht="18" spans="1:11">
      <c r="A2774" s="10">
        <f t="shared" si="129"/>
        <v>2773</v>
      </c>
      <c r="B2774" s="11" t="s">
        <v>1483</v>
      </c>
      <c r="C2774" s="125" t="str">
        <f>IFERROR(INDEX(面试清单!D:D,MATCH(2773,面试清单!P:P,0)),"")</f>
        <v>0217</v>
      </c>
      <c r="D2774" s="11" t="s">
        <v>42</v>
      </c>
      <c r="E2774" s="11" t="s">
        <v>62</v>
      </c>
      <c r="F2774" s="11" t="s">
        <v>681</v>
      </c>
      <c r="G2774" s="15">
        <v>46180</v>
      </c>
      <c r="H2774" s="10" t="str">
        <f>IFERROR(INDEX(面试清单!H:H,MATCH(2773,面试清单!P:P,0)),"")</f>
        <v>线上</v>
      </c>
      <c r="I2774" s="13" t="s">
        <v>29</v>
      </c>
      <c r="J2774" s="10">
        <f ca="1" t="shared" si="130"/>
        <v>9</v>
      </c>
      <c r="K2774" s="10">
        <f ca="1" t="shared" si="131"/>
        <v>10</v>
      </c>
    </row>
    <row r="2775" ht="18" spans="1:11">
      <c r="A2775" s="14">
        <f t="shared" si="129"/>
        <v>2774</v>
      </c>
      <c r="B2775" s="11" t="s">
        <v>710</v>
      </c>
      <c r="C2775" s="14" t="str">
        <f>IFERROR(INDEX(面试清单!D:D,MATCH(2774,面试清单!P:P,0)),"")</f>
        <v/>
      </c>
      <c r="D2775" s="11" t="s">
        <v>74</v>
      </c>
      <c r="E2775" s="11" t="s">
        <v>190</v>
      </c>
      <c r="F2775" s="11" t="s">
        <v>179</v>
      </c>
      <c r="G2775" s="15">
        <v>46180</v>
      </c>
      <c r="H2775" s="14" t="str">
        <f>IFERROR(INDEX(面试清单!H:H,MATCH(2774,面试清单!P:P,0)),"")</f>
        <v/>
      </c>
      <c r="I2775" s="13" t="s">
        <v>29</v>
      </c>
      <c r="J2775" s="14">
        <f ca="1" t="shared" si="130"/>
        <v>9</v>
      </c>
      <c r="K2775" s="14">
        <f ca="1" t="shared" si="131"/>
        <v>10</v>
      </c>
    </row>
    <row r="2776" ht="18" spans="1:11">
      <c r="A2776" s="10">
        <f t="shared" si="129"/>
        <v>2775</v>
      </c>
      <c r="B2776" s="11" t="s">
        <v>729</v>
      </c>
      <c r="C2776" s="10" t="str">
        <f>IFERROR(INDEX(面试清单!D:D,MATCH(2775,面试清单!P:P,0)),"")</f>
        <v/>
      </c>
      <c r="D2776" s="11" t="s">
        <v>74</v>
      </c>
      <c r="E2776" s="11" t="s">
        <v>190</v>
      </c>
      <c r="F2776" s="11" t="s">
        <v>179</v>
      </c>
      <c r="G2776" s="15">
        <v>46180</v>
      </c>
      <c r="H2776" s="10" t="str">
        <f>IFERROR(INDEX(面试清单!H:H,MATCH(2775,面试清单!P:P,0)),"")</f>
        <v/>
      </c>
      <c r="I2776" s="13" t="s">
        <v>29</v>
      </c>
      <c r="J2776" s="10">
        <f ca="1" t="shared" si="130"/>
        <v>9</v>
      </c>
      <c r="K2776" s="10">
        <f ca="1" t="shared" si="131"/>
        <v>10</v>
      </c>
    </row>
    <row r="2777" ht="18" spans="1:11">
      <c r="A2777" s="14">
        <f t="shared" si="129"/>
        <v>2776</v>
      </c>
      <c r="B2777" s="11" t="s">
        <v>730</v>
      </c>
      <c r="C2777" s="14" t="str">
        <f>IFERROR(INDEX(面试清单!D:D,MATCH(2776,面试清单!P:P,0)),"")</f>
        <v/>
      </c>
      <c r="D2777" s="11" t="s">
        <v>74</v>
      </c>
      <c r="E2777" s="11" t="s">
        <v>64</v>
      </c>
      <c r="F2777" s="11" t="s">
        <v>135</v>
      </c>
      <c r="G2777" s="15">
        <v>46181</v>
      </c>
      <c r="H2777" s="14" t="str">
        <f>IFERROR(INDEX(面试清单!H:H,MATCH(2776,面试清单!P:P,0)),"")</f>
        <v/>
      </c>
      <c r="I2777" s="13" t="s">
        <v>29</v>
      </c>
      <c r="J2777" s="14">
        <f ca="1" t="shared" si="130"/>
        <v>8</v>
      </c>
      <c r="K2777" s="14">
        <f ca="1" t="shared" si="131"/>
        <v>9</v>
      </c>
    </row>
    <row r="2778" ht="18" spans="1:11">
      <c r="A2778" s="10">
        <f t="shared" si="129"/>
        <v>2777</v>
      </c>
      <c r="B2778" s="11" t="s">
        <v>731</v>
      </c>
      <c r="C2778" s="125" t="str">
        <f>IFERROR(INDEX(面试清单!D:D,MATCH(2777,面试清单!P:P,0)),"")</f>
        <v>0222</v>
      </c>
      <c r="D2778" s="11" t="s">
        <v>43</v>
      </c>
      <c r="E2778" s="11" t="s">
        <v>62</v>
      </c>
      <c r="F2778" s="11" t="s">
        <v>307</v>
      </c>
      <c r="G2778" s="15">
        <v>46181</v>
      </c>
      <c r="H2778" s="10" t="str">
        <f>IFERROR(INDEX(面试清单!H:H,MATCH(2777,面试清单!P:P,0)),"")</f>
        <v>线上</v>
      </c>
      <c r="I2778" s="13" t="s">
        <v>29</v>
      </c>
      <c r="J2778" s="10">
        <f ca="1" t="shared" si="130"/>
        <v>8</v>
      </c>
      <c r="K2778" s="10">
        <f ca="1" t="shared" si="131"/>
        <v>9</v>
      </c>
    </row>
    <row r="2779" ht="18" spans="1:11">
      <c r="A2779" s="14">
        <f t="shared" si="129"/>
        <v>2778</v>
      </c>
      <c r="B2779" s="11" t="s">
        <v>1626</v>
      </c>
      <c r="C2779" s="14" t="str">
        <f>IFERROR(INDEX(面试清单!D:D,MATCH(2778,面试清单!P:P,0)),"")</f>
        <v/>
      </c>
      <c r="D2779" s="11" t="s">
        <v>43</v>
      </c>
      <c r="E2779" s="11" t="s">
        <v>62</v>
      </c>
      <c r="F2779" s="11" t="s">
        <v>129</v>
      </c>
      <c r="G2779" s="15">
        <v>46181</v>
      </c>
      <c r="H2779" s="14" t="str">
        <f>IFERROR(INDEX(面试清单!H:H,MATCH(2778,面试清单!P:P,0)),"")</f>
        <v/>
      </c>
      <c r="I2779" s="13" t="s">
        <v>29</v>
      </c>
      <c r="J2779" s="14">
        <f ca="1" t="shared" si="130"/>
        <v>8</v>
      </c>
      <c r="K2779" s="14">
        <f ca="1" t="shared" si="131"/>
        <v>9</v>
      </c>
    </row>
    <row r="2780" ht="18" spans="1:11">
      <c r="A2780" s="10">
        <f t="shared" si="129"/>
        <v>2779</v>
      </c>
      <c r="B2780" s="11" t="s">
        <v>1627</v>
      </c>
      <c r="C2780" s="10" t="str">
        <f>IFERROR(INDEX(面试清单!D:D,MATCH(2779,面试清单!P:P,0)),"")</f>
        <v/>
      </c>
      <c r="D2780" s="11" t="s">
        <v>43</v>
      </c>
      <c r="E2780" s="11" t="s">
        <v>62</v>
      </c>
      <c r="F2780" s="11" t="s">
        <v>129</v>
      </c>
      <c r="G2780" s="15">
        <v>46181</v>
      </c>
      <c r="H2780" s="10" t="str">
        <f>IFERROR(INDEX(面试清单!H:H,MATCH(2779,面试清单!P:P,0)),"")</f>
        <v/>
      </c>
      <c r="I2780" s="13" t="s">
        <v>29</v>
      </c>
      <c r="J2780" s="10">
        <f ca="1" t="shared" si="130"/>
        <v>8</v>
      </c>
      <c r="K2780" s="10">
        <f ca="1" t="shared" si="131"/>
        <v>9</v>
      </c>
    </row>
    <row r="2781" ht="18" spans="1:11">
      <c r="A2781" s="14">
        <f t="shared" si="129"/>
        <v>2780</v>
      </c>
      <c r="B2781" s="11" t="s">
        <v>1278</v>
      </c>
      <c r="C2781" s="14" t="str">
        <f>IFERROR(INDEX(面试清单!D:D,MATCH(2780,面试清单!P:P,0)),"")</f>
        <v/>
      </c>
      <c r="D2781" s="11" t="s">
        <v>43</v>
      </c>
      <c r="E2781" s="11" t="s">
        <v>63</v>
      </c>
      <c r="F2781" s="11" t="s">
        <v>129</v>
      </c>
      <c r="G2781" s="15">
        <v>46181</v>
      </c>
      <c r="H2781" s="14" t="str">
        <f>IFERROR(INDEX(面试清单!H:H,MATCH(2780,面试清单!P:P,0)),"")</f>
        <v/>
      </c>
      <c r="I2781" s="13" t="s">
        <v>29</v>
      </c>
      <c r="J2781" s="14">
        <f ca="1" t="shared" si="130"/>
        <v>8</v>
      </c>
      <c r="K2781" s="14">
        <f ca="1" t="shared" si="131"/>
        <v>9</v>
      </c>
    </row>
    <row r="2782" ht="18" spans="1:11">
      <c r="A2782" s="10">
        <f t="shared" si="129"/>
        <v>2781</v>
      </c>
      <c r="B2782" s="11" t="s">
        <v>1469</v>
      </c>
      <c r="C2782" s="10" t="str">
        <f>IFERROR(INDEX(面试清单!D:D,MATCH(2781,面试清单!P:P,0)),"")</f>
        <v/>
      </c>
      <c r="D2782" s="11" t="s">
        <v>42</v>
      </c>
      <c r="E2782" s="11" t="s">
        <v>63</v>
      </c>
      <c r="F2782" s="11" t="s">
        <v>129</v>
      </c>
      <c r="G2782" s="15">
        <v>46181</v>
      </c>
      <c r="H2782" s="10" t="str">
        <f>IFERROR(INDEX(面试清单!H:H,MATCH(2781,面试清单!P:P,0)),"")</f>
        <v/>
      </c>
      <c r="I2782" s="13" t="s">
        <v>29</v>
      </c>
      <c r="J2782" s="10">
        <f ca="1" t="shared" si="130"/>
        <v>8</v>
      </c>
      <c r="K2782" s="10">
        <f ca="1" t="shared" si="131"/>
        <v>9</v>
      </c>
    </row>
    <row r="2783" ht="18" spans="1:11">
      <c r="A2783" s="14">
        <f t="shared" si="129"/>
        <v>2782</v>
      </c>
      <c r="B2783" s="11" t="s">
        <v>6358</v>
      </c>
      <c r="C2783" s="14" t="str">
        <f>IFERROR(INDEX(面试清单!D:D,MATCH(2782,面试清单!P:P,0)),"")</f>
        <v/>
      </c>
      <c r="D2783" s="11" t="s">
        <v>42</v>
      </c>
      <c r="E2783" s="11" t="s">
        <v>63</v>
      </c>
      <c r="F2783" s="11" t="s">
        <v>129</v>
      </c>
      <c r="G2783" s="15">
        <v>46181</v>
      </c>
      <c r="H2783" s="14" t="str">
        <f>IFERROR(INDEX(面试清单!H:H,MATCH(2782,面试清单!P:P,0)),"")</f>
        <v/>
      </c>
      <c r="I2783" s="13" t="s">
        <v>29</v>
      </c>
      <c r="J2783" s="14">
        <f ca="1" t="shared" si="130"/>
        <v>8</v>
      </c>
      <c r="K2783" s="14">
        <f ca="1" t="shared" si="131"/>
        <v>9</v>
      </c>
    </row>
    <row r="2784" ht="18" spans="1:11">
      <c r="A2784" s="10">
        <f t="shared" si="129"/>
        <v>2783</v>
      </c>
      <c r="B2784" s="11" t="s">
        <v>1307</v>
      </c>
      <c r="C2784" s="10" t="str">
        <f>IFERROR(INDEX(面试清单!D:D,MATCH(2783,面试清单!P:P,0)),"")</f>
        <v/>
      </c>
      <c r="D2784" s="11" t="s">
        <v>42</v>
      </c>
      <c r="E2784" s="11" t="s">
        <v>63</v>
      </c>
      <c r="F2784" s="11" t="s">
        <v>129</v>
      </c>
      <c r="G2784" s="15">
        <v>46181</v>
      </c>
      <c r="H2784" s="10" t="str">
        <f>IFERROR(INDEX(面试清单!H:H,MATCH(2783,面试清单!P:P,0)),"")</f>
        <v/>
      </c>
      <c r="I2784" s="13" t="s">
        <v>29</v>
      </c>
      <c r="J2784" s="10">
        <f ca="1" t="shared" si="130"/>
        <v>8</v>
      </c>
      <c r="K2784" s="10">
        <f ca="1" t="shared" si="131"/>
        <v>9</v>
      </c>
    </row>
    <row r="2785" ht="18" spans="1:11">
      <c r="A2785" s="14">
        <f t="shared" si="129"/>
        <v>2784</v>
      </c>
      <c r="B2785" s="11" t="s">
        <v>1315</v>
      </c>
      <c r="C2785" s="14" t="str">
        <f>IFERROR(INDEX(面试清单!D:D,MATCH(2784,面试清单!P:P,0)),"")</f>
        <v/>
      </c>
      <c r="D2785" s="11" t="s">
        <v>42</v>
      </c>
      <c r="E2785" s="11" t="s">
        <v>63</v>
      </c>
      <c r="F2785" s="11" t="s">
        <v>176</v>
      </c>
      <c r="G2785" s="15">
        <v>46181</v>
      </c>
      <c r="H2785" s="14" t="str">
        <f>IFERROR(INDEX(面试清单!H:H,MATCH(2784,面试清单!P:P,0)),"")</f>
        <v/>
      </c>
      <c r="I2785" s="13" t="s">
        <v>29</v>
      </c>
      <c r="J2785" s="14">
        <f ca="1" t="shared" si="130"/>
        <v>8</v>
      </c>
      <c r="K2785" s="14">
        <f ca="1" t="shared" si="131"/>
        <v>9</v>
      </c>
    </row>
    <row r="2786" ht="18" spans="1:11">
      <c r="A2786" s="10">
        <f t="shared" si="129"/>
        <v>2785</v>
      </c>
      <c r="B2786" s="11" t="s">
        <v>1438</v>
      </c>
      <c r="C2786" s="10" t="str">
        <f>IFERROR(INDEX(面试清单!D:D,MATCH(2785,面试清单!P:P,0)),"")</f>
        <v/>
      </c>
      <c r="D2786" s="11" t="s">
        <v>43</v>
      </c>
      <c r="E2786" s="11" t="s">
        <v>63</v>
      </c>
      <c r="F2786" s="11" t="s">
        <v>176</v>
      </c>
      <c r="G2786" s="15">
        <v>46181</v>
      </c>
      <c r="H2786" s="10" t="str">
        <f>IFERROR(INDEX(面试清单!H:H,MATCH(2785,面试清单!P:P,0)),"")</f>
        <v/>
      </c>
      <c r="I2786" s="13" t="s">
        <v>29</v>
      </c>
      <c r="J2786" s="10">
        <f ca="1" t="shared" si="130"/>
        <v>8</v>
      </c>
      <c r="K2786" s="10">
        <f ca="1" t="shared" si="131"/>
        <v>9</v>
      </c>
    </row>
    <row r="2787" ht="18" spans="1:11">
      <c r="A2787" s="14">
        <f t="shared" si="129"/>
        <v>2786</v>
      </c>
      <c r="B2787" s="11" t="s">
        <v>1268</v>
      </c>
      <c r="C2787" s="14" t="str">
        <f>IFERROR(INDEX(面试清单!D:D,MATCH(2786,面试清单!P:P,0)),"")</f>
        <v/>
      </c>
      <c r="D2787" s="11" t="s">
        <v>43</v>
      </c>
      <c r="E2787" s="11" t="s">
        <v>62</v>
      </c>
      <c r="F2787" s="11" t="s">
        <v>468</v>
      </c>
      <c r="G2787" s="15">
        <v>46181</v>
      </c>
      <c r="H2787" s="14" t="str">
        <f>IFERROR(INDEX(面试清单!H:H,MATCH(2786,面试清单!P:P,0)),"")</f>
        <v/>
      </c>
      <c r="I2787" s="13" t="s">
        <v>29</v>
      </c>
      <c r="J2787" s="14">
        <f ca="1" t="shared" si="130"/>
        <v>8</v>
      </c>
      <c r="K2787" s="14">
        <f ca="1" t="shared" si="131"/>
        <v>9</v>
      </c>
    </row>
    <row r="2788" ht="18" spans="1:11">
      <c r="A2788" s="10">
        <f t="shared" si="129"/>
        <v>2787</v>
      </c>
      <c r="B2788" s="11" t="s">
        <v>6359</v>
      </c>
      <c r="C2788" s="10" t="str">
        <f>IFERROR(INDEX(面试清单!D:D,MATCH(2787,面试清单!P:P,0)),"")</f>
        <v/>
      </c>
      <c r="D2788" s="11" t="s">
        <v>42</v>
      </c>
      <c r="E2788" s="11" t="s">
        <v>62</v>
      </c>
      <c r="F2788" s="11" t="s">
        <v>468</v>
      </c>
      <c r="G2788" s="15">
        <v>46181</v>
      </c>
      <c r="H2788" s="10" t="str">
        <f>IFERROR(INDEX(面试清单!H:H,MATCH(2787,面试清单!P:P,0)),"")</f>
        <v/>
      </c>
      <c r="I2788" s="13" t="s">
        <v>29</v>
      </c>
      <c r="J2788" s="10">
        <f ca="1" t="shared" si="130"/>
        <v>8</v>
      </c>
      <c r="K2788" s="10">
        <f ca="1" t="shared" si="131"/>
        <v>9</v>
      </c>
    </row>
    <row r="2789" ht="18" spans="1:11">
      <c r="A2789" s="14">
        <f t="shared" si="129"/>
        <v>2788</v>
      </c>
      <c r="B2789" s="11" t="s">
        <v>1543</v>
      </c>
      <c r="C2789" s="14" t="str">
        <f>IFERROR(INDEX(面试清单!D:D,MATCH(2788,面试清单!P:P,0)),"")</f>
        <v/>
      </c>
      <c r="D2789" s="11" t="s">
        <v>43</v>
      </c>
      <c r="E2789" s="11" t="s">
        <v>63</v>
      </c>
      <c r="F2789" s="11" t="s">
        <v>733</v>
      </c>
      <c r="G2789" s="15">
        <v>46181</v>
      </c>
      <c r="H2789" s="14" t="str">
        <f>IFERROR(INDEX(面试清单!H:H,MATCH(2788,面试清单!P:P,0)),"")</f>
        <v/>
      </c>
      <c r="I2789" s="13" t="s">
        <v>29</v>
      </c>
      <c r="J2789" s="14">
        <f ca="1" t="shared" si="130"/>
        <v>8</v>
      </c>
      <c r="K2789" s="14">
        <f ca="1" t="shared" si="131"/>
        <v>9</v>
      </c>
    </row>
    <row r="2790" ht="18" spans="1:11">
      <c r="A2790" s="10">
        <f t="shared" si="129"/>
        <v>2789</v>
      </c>
      <c r="B2790" s="11" t="s">
        <v>6360</v>
      </c>
      <c r="C2790" s="10" t="str">
        <f>IFERROR(INDEX(面试清单!D:D,MATCH(2789,面试清单!P:P,0)),"")</f>
        <v/>
      </c>
      <c r="D2790" s="11" t="s">
        <v>42</v>
      </c>
      <c r="E2790" s="11" t="s">
        <v>62</v>
      </c>
      <c r="F2790" s="11" t="s">
        <v>103</v>
      </c>
      <c r="G2790" s="15">
        <v>46181</v>
      </c>
      <c r="H2790" s="10" t="str">
        <f>IFERROR(INDEX(面试清单!H:H,MATCH(2789,面试清单!P:P,0)),"")</f>
        <v/>
      </c>
      <c r="I2790" s="13" t="s">
        <v>29</v>
      </c>
      <c r="J2790" s="10">
        <f ca="1" t="shared" si="130"/>
        <v>8</v>
      </c>
      <c r="K2790" s="10">
        <f ca="1" t="shared" si="131"/>
        <v>9</v>
      </c>
    </row>
    <row r="2791" ht="18" spans="1:11">
      <c r="A2791" s="14">
        <f t="shared" si="129"/>
        <v>2790</v>
      </c>
      <c r="B2791" s="11" t="s">
        <v>1381</v>
      </c>
      <c r="C2791" s="14" t="str">
        <f>IFERROR(INDEX(面试清单!D:D,MATCH(2790,面试清单!P:P,0)),"")</f>
        <v/>
      </c>
      <c r="D2791" s="11" t="s">
        <v>42</v>
      </c>
      <c r="E2791" s="11" t="s">
        <v>63</v>
      </c>
      <c r="F2791" s="11" t="s">
        <v>148</v>
      </c>
      <c r="G2791" s="15">
        <v>46181</v>
      </c>
      <c r="H2791" s="14" t="str">
        <f>IFERROR(INDEX(面试清单!H:H,MATCH(2790,面试清单!P:P,0)),"")</f>
        <v/>
      </c>
      <c r="I2791" s="13" t="s">
        <v>29</v>
      </c>
      <c r="J2791" s="14">
        <f ca="1" t="shared" si="130"/>
        <v>8</v>
      </c>
      <c r="K2791" s="14">
        <f ca="1" t="shared" si="131"/>
        <v>9</v>
      </c>
    </row>
    <row r="2792" ht="18" spans="1:11">
      <c r="A2792" s="10">
        <f t="shared" si="129"/>
        <v>2791</v>
      </c>
      <c r="B2792" s="11" t="s">
        <v>1354</v>
      </c>
      <c r="C2792" s="10" t="str">
        <f>IFERROR(INDEX(面试清单!D:D,MATCH(2791,面试清单!P:P,0)),"")</f>
        <v/>
      </c>
      <c r="D2792" s="11" t="s">
        <v>42</v>
      </c>
      <c r="E2792" s="11" t="s">
        <v>63</v>
      </c>
      <c r="F2792" s="11" t="s">
        <v>148</v>
      </c>
      <c r="G2792" s="15">
        <v>46181</v>
      </c>
      <c r="H2792" s="10" t="str">
        <f>IFERROR(INDEX(面试清单!H:H,MATCH(2791,面试清单!P:P,0)),"")</f>
        <v/>
      </c>
      <c r="I2792" s="13" t="s">
        <v>29</v>
      </c>
      <c r="J2792" s="10">
        <f ca="1" t="shared" si="130"/>
        <v>8</v>
      </c>
      <c r="K2792" s="10">
        <f ca="1" t="shared" si="131"/>
        <v>9</v>
      </c>
    </row>
    <row r="2793" ht="18" spans="1:11">
      <c r="A2793" s="14">
        <f t="shared" si="129"/>
        <v>2792</v>
      </c>
      <c r="B2793" s="11" t="s">
        <v>1552</v>
      </c>
      <c r="C2793" s="14" t="str">
        <f>IFERROR(INDEX(面试清单!D:D,MATCH(2792,面试清单!P:P,0)),"")</f>
        <v/>
      </c>
      <c r="D2793" s="11" t="s">
        <v>43</v>
      </c>
      <c r="E2793" s="11" t="s">
        <v>63</v>
      </c>
      <c r="F2793" s="11" t="s">
        <v>148</v>
      </c>
      <c r="G2793" s="15">
        <v>46181</v>
      </c>
      <c r="H2793" s="14" t="str">
        <f>IFERROR(INDEX(面试清单!H:H,MATCH(2792,面试清单!P:P,0)),"")</f>
        <v/>
      </c>
      <c r="I2793" s="13" t="s">
        <v>29</v>
      </c>
      <c r="J2793" s="14">
        <f ca="1" t="shared" si="130"/>
        <v>8</v>
      </c>
      <c r="K2793" s="14">
        <f ca="1" t="shared" si="131"/>
        <v>9</v>
      </c>
    </row>
    <row r="2794" ht="18" spans="1:11">
      <c r="A2794" s="10">
        <f t="shared" si="129"/>
        <v>2793</v>
      </c>
      <c r="B2794" s="11" t="s">
        <v>1553</v>
      </c>
      <c r="C2794" s="10" t="str">
        <f>IFERROR(INDEX(面试清单!D:D,MATCH(2793,面试清单!P:P,0)),"")</f>
        <v/>
      </c>
      <c r="D2794" s="11" t="s">
        <v>43</v>
      </c>
      <c r="E2794" s="11" t="s">
        <v>63</v>
      </c>
      <c r="F2794" s="11" t="s">
        <v>148</v>
      </c>
      <c r="G2794" s="15">
        <v>46181</v>
      </c>
      <c r="H2794" s="10" t="str">
        <f>IFERROR(INDEX(面试清单!H:H,MATCH(2793,面试清单!P:P,0)),"")</f>
        <v/>
      </c>
      <c r="I2794" s="13" t="s">
        <v>29</v>
      </c>
      <c r="J2794" s="10">
        <f ca="1" t="shared" si="130"/>
        <v>8</v>
      </c>
      <c r="K2794" s="10">
        <f ca="1" t="shared" si="131"/>
        <v>9</v>
      </c>
    </row>
    <row r="2795" ht="18" spans="1:11">
      <c r="A2795" s="14">
        <f t="shared" si="129"/>
        <v>2794</v>
      </c>
      <c r="B2795" s="11" t="s">
        <v>1494</v>
      </c>
      <c r="C2795" s="14" t="str">
        <f>IFERROR(INDEX(面试清单!D:D,MATCH(2794,面试清单!P:P,0)),"")</f>
        <v/>
      </c>
      <c r="D2795" s="11" t="s">
        <v>42</v>
      </c>
      <c r="E2795" s="11" t="s">
        <v>63</v>
      </c>
      <c r="F2795" s="11" t="s">
        <v>307</v>
      </c>
      <c r="G2795" s="15">
        <v>46181</v>
      </c>
      <c r="H2795" s="14" t="str">
        <f>IFERROR(INDEX(面试清单!H:H,MATCH(2794,面试清单!P:P,0)),"")</f>
        <v/>
      </c>
      <c r="I2795" s="13" t="s">
        <v>29</v>
      </c>
      <c r="J2795" s="14">
        <f ca="1" t="shared" si="130"/>
        <v>8</v>
      </c>
      <c r="K2795" s="14">
        <f ca="1" t="shared" si="131"/>
        <v>9</v>
      </c>
    </row>
    <row r="2796" ht="18" spans="1:11">
      <c r="A2796" s="10">
        <f t="shared" si="129"/>
        <v>2795</v>
      </c>
      <c r="B2796" s="11" t="s">
        <v>1557</v>
      </c>
      <c r="C2796" s="125" t="str">
        <f>IFERROR(INDEX(面试清单!D:D,MATCH(2795,面试清单!P:P,0)),"")</f>
        <v>0222</v>
      </c>
      <c r="D2796" s="11" t="s">
        <v>43</v>
      </c>
      <c r="E2796" s="11" t="s">
        <v>63</v>
      </c>
      <c r="F2796" s="11" t="s">
        <v>307</v>
      </c>
      <c r="G2796" s="15">
        <v>46181</v>
      </c>
      <c r="H2796" s="10" t="str">
        <f>IFERROR(INDEX(面试清单!H:H,MATCH(2795,面试清单!P:P,0)),"")</f>
        <v>线上</v>
      </c>
      <c r="I2796" s="13" t="s">
        <v>29</v>
      </c>
      <c r="J2796" s="10">
        <f ca="1" t="shared" si="130"/>
        <v>8</v>
      </c>
      <c r="K2796" s="10">
        <f ca="1" t="shared" si="131"/>
        <v>9</v>
      </c>
    </row>
    <row r="2797" ht="18" spans="1:11">
      <c r="A2797" s="14">
        <f t="shared" si="129"/>
        <v>2796</v>
      </c>
      <c r="B2797" s="11" t="s">
        <v>6361</v>
      </c>
      <c r="C2797" s="14" t="str">
        <f>IFERROR(INDEX(面试清单!D:D,MATCH(2796,面试清单!P:P,0)),"")</f>
        <v/>
      </c>
      <c r="D2797" s="11" t="s">
        <v>42</v>
      </c>
      <c r="E2797" s="11" t="s">
        <v>63</v>
      </c>
      <c r="F2797" s="11" t="s">
        <v>124</v>
      </c>
      <c r="G2797" s="15">
        <v>46181</v>
      </c>
      <c r="H2797" s="14" t="str">
        <f>IFERROR(INDEX(面试清单!H:H,MATCH(2796,面试清单!P:P,0)),"")</f>
        <v/>
      </c>
      <c r="I2797" s="13" t="s">
        <v>29</v>
      </c>
      <c r="J2797" s="14">
        <f ca="1" t="shared" si="130"/>
        <v>8</v>
      </c>
      <c r="K2797" s="14">
        <f ca="1" t="shared" si="131"/>
        <v>9</v>
      </c>
    </row>
    <row r="2798" ht="18" spans="1:11">
      <c r="A2798" s="10">
        <f t="shared" si="129"/>
        <v>2797</v>
      </c>
      <c r="B2798" s="11" t="s">
        <v>1306</v>
      </c>
      <c r="C2798" s="125" t="str">
        <f>IFERROR(INDEX(面试清单!D:D,MATCH(2797,面试清单!P:P,0)),"")</f>
        <v>0209</v>
      </c>
      <c r="D2798" s="11" t="s">
        <v>43</v>
      </c>
      <c r="E2798" s="11" t="s">
        <v>63</v>
      </c>
      <c r="F2798" s="11" t="s">
        <v>124</v>
      </c>
      <c r="G2798" s="15">
        <v>46181</v>
      </c>
      <c r="H2798" s="10" t="str">
        <f>IFERROR(INDEX(面试清单!H:H,MATCH(2797,面试清单!P:P,0)),"")</f>
        <v>线上</v>
      </c>
      <c r="I2798" s="13" t="s">
        <v>29</v>
      </c>
      <c r="J2798" s="10">
        <f ca="1" t="shared" si="130"/>
        <v>8</v>
      </c>
      <c r="K2798" s="10">
        <f ca="1" t="shared" si="131"/>
        <v>9</v>
      </c>
    </row>
    <row r="2799" ht="18" spans="1:11">
      <c r="A2799" s="14">
        <f t="shared" si="129"/>
        <v>2798</v>
      </c>
      <c r="B2799" s="11" t="s">
        <v>1447</v>
      </c>
      <c r="C2799" s="14" t="str">
        <f>IFERROR(INDEX(面试清单!D:D,MATCH(2798,面试清单!P:P,0)),"")</f>
        <v/>
      </c>
      <c r="D2799" s="11" t="s">
        <v>43</v>
      </c>
      <c r="E2799" s="11" t="s">
        <v>63</v>
      </c>
      <c r="F2799" s="11" t="s">
        <v>124</v>
      </c>
      <c r="G2799" s="15">
        <v>46181</v>
      </c>
      <c r="H2799" s="14" t="str">
        <f>IFERROR(INDEX(面试清单!H:H,MATCH(2798,面试清单!P:P,0)),"")</f>
        <v/>
      </c>
      <c r="I2799" s="13" t="s">
        <v>29</v>
      </c>
      <c r="J2799" s="14">
        <f ca="1" t="shared" si="130"/>
        <v>8</v>
      </c>
      <c r="K2799" s="14">
        <f ca="1" t="shared" si="131"/>
        <v>9</v>
      </c>
    </row>
    <row r="2800" ht="18" spans="1:11">
      <c r="A2800" s="10">
        <f t="shared" si="129"/>
        <v>2799</v>
      </c>
      <c r="B2800" s="11" t="s">
        <v>1485</v>
      </c>
      <c r="C2800" s="10" t="str">
        <f>IFERROR(INDEX(面试清单!D:D,MATCH(2799,面试清单!P:P,0)),"")</f>
        <v/>
      </c>
      <c r="D2800" s="11" t="s">
        <v>42</v>
      </c>
      <c r="E2800" s="11" t="s">
        <v>63</v>
      </c>
      <c r="F2800" s="11" t="s">
        <v>744</v>
      </c>
      <c r="G2800" s="15">
        <v>46181</v>
      </c>
      <c r="H2800" s="10" t="str">
        <f>IFERROR(INDEX(面试清单!H:H,MATCH(2799,面试清单!P:P,0)),"")</f>
        <v/>
      </c>
      <c r="I2800" s="13" t="s">
        <v>29</v>
      </c>
      <c r="J2800" s="10">
        <f ca="1" t="shared" si="130"/>
        <v>8</v>
      </c>
      <c r="K2800" s="10">
        <f ca="1" t="shared" si="131"/>
        <v>9</v>
      </c>
    </row>
    <row r="2801" ht="18" spans="1:11">
      <c r="A2801" s="14">
        <f t="shared" si="129"/>
        <v>2800</v>
      </c>
      <c r="B2801" s="11" t="s">
        <v>1486</v>
      </c>
      <c r="C2801" s="14" t="str">
        <f>IFERROR(INDEX(面试清单!D:D,MATCH(2800,面试清单!P:P,0)),"")</f>
        <v/>
      </c>
      <c r="D2801" s="11" t="s">
        <v>42</v>
      </c>
      <c r="E2801" s="11" t="s">
        <v>63</v>
      </c>
      <c r="F2801" s="11" t="s">
        <v>744</v>
      </c>
      <c r="G2801" s="15">
        <v>46181</v>
      </c>
      <c r="H2801" s="14" t="str">
        <f>IFERROR(INDEX(面试清单!H:H,MATCH(2800,面试清单!P:P,0)),"")</f>
        <v/>
      </c>
      <c r="I2801" s="13" t="s">
        <v>29</v>
      </c>
      <c r="J2801" s="14">
        <f ca="1" t="shared" si="130"/>
        <v>8</v>
      </c>
      <c r="K2801" s="14">
        <f ca="1" t="shared" si="131"/>
        <v>9</v>
      </c>
    </row>
    <row r="2802" ht="18" spans="1:11">
      <c r="A2802" s="10">
        <f t="shared" si="129"/>
        <v>2801</v>
      </c>
      <c r="B2802" s="11" t="s">
        <v>1487</v>
      </c>
      <c r="C2802" s="10" t="str">
        <f>IFERROR(INDEX(面试清单!D:D,MATCH(2801,面试清单!P:P,0)),"")</f>
        <v/>
      </c>
      <c r="D2802" s="11" t="s">
        <v>42</v>
      </c>
      <c r="E2802" s="11" t="s">
        <v>63</v>
      </c>
      <c r="F2802" s="11" t="s">
        <v>744</v>
      </c>
      <c r="G2802" s="15">
        <v>46181</v>
      </c>
      <c r="H2802" s="10" t="str">
        <f>IFERROR(INDEX(面试清单!H:H,MATCH(2801,面试清单!P:P,0)),"")</f>
        <v/>
      </c>
      <c r="I2802" s="13" t="s">
        <v>29</v>
      </c>
      <c r="J2802" s="10">
        <f ca="1" t="shared" si="130"/>
        <v>8</v>
      </c>
      <c r="K2802" s="10">
        <f ca="1" t="shared" si="131"/>
        <v>9</v>
      </c>
    </row>
    <row r="2803" ht="18" spans="1:11">
      <c r="A2803" s="14">
        <f t="shared" si="129"/>
        <v>2802</v>
      </c>
      <c r="B2803" s="11" t="s">
        <v>6362</v>
      </c>
      <c r="C2803" s="14" t="str">
        <f>IFERROR(INDEX(面试清单!D:D,MATCH(2802,面试清单!P:P,0)),"")</f>
        <v/>
      </c>
      <c r="D2803" s="11" t="s">
        <v>42</v>
      </c>
      <c r="E2803" s="11" t="s">
        <v>62</v>
      </c>
      <c r="F2803" s="11" t="s">
        <v>233</v>
      </c>
      <c r="G2803" s="15">
        <v>46181</v>
      </c>
      <c r="H2803" s="14" t="str">
        <f>IFERROR(INDEX(面试清单!H:H,MATCH(2802,面试清单!P:P,0)),"")</f>
        <v/>
      </c>
      <c r="I2803" s="13" t="s">
        <v>29</v>
      </c>
      <c r="J2803" s="14">
        <f ca="1" t="shared" si="130"/>
        <v>8</v>
      </c>
      <c r="K2803" s="14">
        <f ca="1" t="shared" si="131"/>
        <v>9</v>
      </c>
    </row>
    <row r="2804" ht="18" spans="1:11">
      <c r="A2804" s="10">
        <f t="shared" si="129"/>
        <v>2803</v>
      </c>
      <c r="B2804" s="11" t="s">
        <v>6363</v>
      </c>
      <c r="C2804" s="125" t="str">
        <f>IFERROR(INDEX(面试清单!D:D,MATCH(2803,面试清单!P:P,0)),"")</f>
        <v>0221</v>
      </c>
      <c r="D2804" s="11" t="s">
        <v>42</v>
      </c>
      <c r="E2804" s="11" t="s">
        <v>62</v>
      </c>
      <c r="F2804" s="11" t="s">
        <v>233</v>
      </c>
      <c r="G2804" s="15">
        <v>46181</v>
      </c>
      <c r="H2804" s="10" t="str">
        <f>IFERROR(INDEX(面试清单!H:H,MATCH(2803,面试清单!P:P,0)),"")</f>
        <v>线上</v>
      </c>
      <c r="I2804" s="13" t="s">
        <v>29</v>
      </c>
      <c r="J2804" s="10">
        <f ca="1" t="shared" si="130"/>
        <v>8</v>
      </c>
      <c r="K2804" s="10">
        <f ca="1" t="shared" si="131"/>
        <v>9</v>
      </c>
    </row>
    <row r="2805" ht="18" spans="1:11">
      <c r="A2805" s="14">
        <f t="shared" si="129"/>
        <v>2804</v>
      </c>
      <c r="B2805" s="11" t="s">
        <v>1436</v>
      </c>
      <c r="C2805" s="14" t="str">
        <f>IFERROR(INDEX(面试清单!D:D,MATCH(2804,面试清单!P:P,0)),"")</f>
        <v/>
      </c>
      <c r="D2805" s="11" t="s">
        <v>43</v>
      </c>
      <c r="E2805" s="11" t="s">
        <v>63</v>
      </c>
      <c r="F2805" s="11" t="s">
        <v>135</v>
      </c>
      <c r="G2805" s="15">
        <v>46181</v>
      </c>
      <c r="H2805" s="14" t="str">
        <f>IFERROR(INDEX(面试清单!H:H,MATCH(2804,面试清单!P:P,0)),"")</f>
        <v/>
      </c>
      <c r="I2805" s="13" t="s">
        <v>29</v>
      </c>
      <c r="J2805" s="14">
        <f ca="1" t="shared" si="130"/>
        <v>8</v>
      </c>
      <c r="K2805" s="14">
        <f ca="1" t="shared" si="131"/>
        <v>9</v>
      </c>
    </row>
    <row r="2806" ht="18" spans="1:11">
      <c r="A2806" s="10">
        <f t="shared" si="129"/>
        <v>2805</v>
      </c>
      <c r="B2806" s="11" t="s">
        <v>1526</v>
      </c>
      <c r="C2806" s="125" t="str">
        <f>IFERROR(INDEX(面试清单!D:D,MATCH(2805,面试清单!P:P,0)),"")</f>
        <v>0208</v>
      </c>
      <c r="D2806" s="11" t="s">
        <v>42</v>
      </c>
      <c r="E2806" s="11" t="s">
        <v>63</v>
      </c>
      <c r="F2806" s="11" t="s">
        <v>117</v>
      </c>
      <c r="G2806" s="15">
        <v>46181</v>
      </c>
      <c r="H2806" s="10" t="str">
        <f>IFERROR(INDEX(面试清单!H:H,MATCH(2805,面试清单!P:P,0)),"")</f>
        <v>线上</v>
      </c>
      <c r="I2806" s="13" t="s">
        <v>29</v>
      </c>
      <c r="J2806" s="10">
        <f ca="1" t="shared" si="130"/>
        <v>8</v>
      </c>
      <c r="K2806" s="10">
        <f ca="1" t="shared" si="131"/>
        <v>9</v>
      </c>
    </row>
    <row r="2807" ht="18" spans="1:11">
      <c r="A2807" s="14">
        <f t="shared" si="129"/>
        <v>2806</v>
      </c>
      <c r="B2807" s="11" t="s">
        <v>1527</v>
      </c>
      <c r="C2807" s="124" t="str">
        <f>IFERROR(INDEX(面试清单!D:D,MATCH(2806,面试清单!P:P,0)),"")</f>
        <v>0209</v>
      </c>
      <c r="D2807" s="11" t="s">
        <v>42</v>
      </c>
      <c r="E2807" s="11" t="s">
        <v>63</v>
      </c>
      <c r="F2807" s="11" t="s">
        <v>117</v>
      </c>
      <c r="G2807" s="15">
        <v>46181</v>
      </c>
      <c r="H2807" s="14" t="str">
        <f>IFERROR(INDEX(面试清单!H:H,MATCH(2806,面试清单!P:P,0)),"")</f>
        <v>线上</v>
      </c>
      <c r="I2807" s="13" t="s">
        <v>29</v>
      </c>
      <c r="J2807" s="14">
        <f ca="1" t="shared" si="130"/>
        <v>8</v>
      </c>
      <c r="K2807" s="14">
        <f ca="1" t="shared" si="131"/>
        <v>9</v>
      </c>
    </row>
    <row r="2808" ht="18" spans="1:11">
      <c r="A2808" s="10">
        <f t="shared" si="129"/>
        <v>2807</v>
      </c>
      <c r="B2808" s="11" t="s">
        <v>1481</v>
      </c>
      <c r="C2808" s="10" t="str">
        <f>IFERROR(INDEX(面试清单!D:D,MATCH(2807,面试清单!P:P,0)),"")</f>
        <v/>
      </c>
      <c r="D2808" s="11" t="s">
        <v>42</v>
      </c>
      <c r="E2808" s="11" t="s">
        <v>62</v>
      </c>
      <c r="F2808" s="11" t="s">
        <v>173</v>
      </c>
      <c r="G2808" s="15">
        <v>46181</v>
      </c>
      <c r="H2808" s="10" t="str">
        <f>IFERROR(INDEX(面试清单!H:H,MATCH(2807,面试清单!P:P,0)),"")</f>
        <v/>
      </c>
      <c r="I2808" s="13" t="s">
        <v>29</v>
      </c>
      <c r="J2808" s="10">
        <f ca="1" t="shared" si="130"/>
        <v>8</v>
      </c>
      <c r="K2808" s="10">
        <f ca="1" t="shared" si="131"/>
        <v>9</v>
      </c>
    </row>
    <row r="2809" ht="18" spans="1:11">
      <c r="A2809" s="14">
        <f t="shared" si="129"/>
        <v>2808</v>
      </c>
      <c r="B2809" s="11" t="s">
        <v>6364</v>
      </c>
      <c r="C2809" s="14" t="str">
        <f>IFERROR(INDEX(面试清单!D:D,MATCH(2808,面试清单!P:P,0)),"")</f>
        <v/>
      </c>
      <c r="D2809" s="11" t="s">
        <v>43</v>
      </c>
      <c r="E2809" s="11" t="s">
        <v>64</v>
      </c>
      <c r="F2809" s="11" t="s">
        <v>179</v>
      </c>
      <c r="G2809" s="15">
        <v>46181</v>
      </c>
      <c r="H2809" s="14" t="str">
        <f>IFERROR(INDEX(面试清单!H:H,MATCH(2808,面试清单!P:P,0)),"")</f>
        <v/>
      </c>
      <c r="I2809" s="13" t="s">
        <v>29</v>
      </c>
      <c r="J2809" s="14">
        <f ca="1" t="shared" si="130"/>
        <v>8</v>
      </c>
      <c r="K2809" s="14">
        <f ca="1" t="shared" si="131"/>
        <v>9</v>
      </c>
    </row>
    <row r="2810" ht="18" spans="1:11">
      <c r="A2810" s="10">
        <f t="shared" si="129"/>
        <v>2809</v>
      </c>
      <c r="B2810" s="11" t="s">
        <v>1300</v>
      </c>
      <c r="C2810" s="10" t="str">
        <f>IFERROR(INDEX(面试清单!D:D,MATCH(2809,面试清单!P:P,0)),"")</f>
        <v/>
      </c>
      <c r="D2810" s="11" t="s">
        <v>43</v>
      </c>
      <c r="E2810" s="11" t="s">
        <v>63</v>
      </c>
      <c r="F2810" s="11" t="s">
        <v>173</v>
      </c>
      <c r="G2810" s="15">
        <v>46181</v>
      </c>
      <c r="H2810" s="10" t="str">
        <f>IFERROR(INDEX(面试清单!H:H,MATCH(2809,面试清单!P:P,0)),"")</f>
        <v/>
      </c>
      <c r="I2810" s="13" t="s">
        <v>29</v>
      </c>
      <c r="J2810" s="10">
        <f ca="1" t="shared" si="130"/>
        <v>8</v>
      </c>
      <c r="K2810" s="10">
        <f ca="1" t="shared" si="131"/>
        <v>9</v>
      </c>
    </row>
    <row r="2811" ht="18" spans="1:11">
      <c r="A2811" s="14">
        <f t="shared" si="129"/>
        <v>2810</v>
      </c>
      <c r="B2811" s="11" t="s">
        <v>1299</v>
      </c>
      <c r="C2811" s="14" t="str">
        <f>IFERROR(INDEX(面试清单!D:D,MATCH(2810,面试清单!P:P,0)),"")</f>
        <v/>
      </c>
      <c r="D2811" s="11" t="s">
        <v>43</v>
      </c>
      <c r="E2811" s="11" t="s">
        <v>62</v>
      </c>
      <c r="F2811" s="11" t="s">
        <v>173</v>
      </c>
      <c r="G2811" s="15">
        <v>46181</v>
      </c>
      <c r="H2811" s="14" t="str">
        <f>IFERROR(INDEX(面试清单!H:H,MATCH(2810,面试清单!P:P,0)),"")</f>
        <v/>
      </c>
      <c r="I2811" s="13" t="s">
        <v>29</v>
      </c>
      <c r="J2811" s="14">
        <f ca="1" t="shared" si="130"/>
        <v>8</v>
      </c>
      <c r="K2811" s="14">
        <f ca="1" t="shared" si="131"/>
        <v>9</v>
      </c>
    </row>
    <row r="2812" ht="18" spans="1:11">
      <c r="A2812" s="10">
        <f t="shared" si="129"/>
        <v>2811</v>
      </c>
      <c r="B2812" s="11" t="s">
        <v>1378</v>
      </c>
      <c r="C2812" s="10" t="str">
        <f>IFERROR(INDEX(面试清单!D:D,MATCH(2811,面试清单!P:P,0)),"")</f>
        <v/>
      </c>
      <c r="D2812" s="11" t="s">
        <v>42</v>
      </c>
      <c r="E2812" s="11" t="s">
        <v>63</v>
      </c>
      <c r="F2812" s="11" t="s">
        <v>148</v>
      </c>
      <c r="G2812" s="15">
        <v>46181</v>
      </c>
      <c r="H2812" s="10" t="str">
        <f>IFERROR(INDEX(面试清单!H:H,MATCH(2811,面试清单!P:P,0)),"")</f>
        <v/>
      </c>
      <c r="I2812" s="13" t="s">
        <v>29</v>
      </c>
      <c r="J2812" s="10">
        <f ca="1" t="shared" si="130"/>
        <v>8</v>
      </c>
      <c r="K2812" s="10">
        <f ca="1" t="shared" si="131"/>
        <v>9</v>
      </c>
    </row>
    <row r="2813" ht="18" spans="1:11">
      <c r="A2813" s="14">
        <f t="shared" si="129"/>
        <v>2812</v>
      </c>
      <c r="B2813" s="11" t="s">
        <v>1544</v>
      </c>
      <c r="C2813" s="14" t="str">
        <f>IFERROR(INDEX(面试清单!D:D,MATCH(2812,面试清单!P:P,0)),"")</f>
        <v/>
      </c>
      <c r="D2813" s="11" t="s">
        <v>43</v>
      </c>
      <c r="E2813" s="11" t="s">
        <v>63</v>
      </c>
      <c r="F2813" s="11" t="s">
        <v>530</v>
      </c>
      <c r="G2813" s="15">
        <v>46181</v>
      </c>
      <c r="H2813" s="14" t="str">
        <f>IFERROR(INDEX(面试清单!H:H,MATCH(2812,面试清单!P:P,0)),"")</f>
        <v/>
      </c>
      <c r="I2813" s="13" t="s">
        <v>29</v>
      </c>
      <c r="J2813" s="14">
        <f ca="1" t="shared" si="130"/>
        <v>8</v>
      </c>
      <c r="K2813" s="14">
        <f ca="1" t="shared" si="131"/>
        <v>9</v>
      </c>
    </row>
    <row r="2814" ht="18" spans="1:11">
      <c r="A2814" s="10">
        <f t="shared" si="129"/>
        <v>2813</v>
      </c>
      <c r="B2814" s="11" t="s">
        <v>732</v>
      </c>
      <c r="C2814" s="10" t="str">
        <f>IFERROR(INDEX(面试清单!D:D,MATCH(2813,面试清单!P:P,0)),"")</f>
        <v/>
      </c>
      <c r="D2814" s="11" t="s">
        <v>42</v>
      </c>
      <c r="E2814" s="11" t="s">
        <v>62</v>
      </c>
      <c r="F2814" s="11" t="s">
        <v>733</v>
      </c>
      <c r="G2814" s="15">
        <v>46181</v>
      </c>
      <c r="H2814" s="10" t="str">
        <f>IFERROR(INDEX(面试清单!H:H,MATCH(2813,面试清单!P:P,0)),"")</f>
        <v/>
      </c>
      <c r="I2814" s="13" t="s">
        <v>29</v>
      </c>
      <c r="J2814" s="10">
        <f ca="1" t="shared" si="130"/>
        <v>8</v>
      </c>
      <c r="K2814" s="10">
        <f ca="1" t="shared" si="131"/>
        <v>9</v>
      </c>
    </row>
    <row r="2815" ht="18" spans="1:11">
      <c r="A2815" s="14">
        <f t="shared" si="129"/>
        <v>2814</v>
      </c>
      <c r="B2815" s="11" t="s">
        <v>735</v>
      </c>
      <c r="C2815" s="14" t="str">
        <f>IFERROR(INDEX(面试清单!D:D,MATCH(2814,面试清单!P:P,0)),"")</f>
        <v/>
      </c>
      <c r="D2815" s="11" t="s">
        <v>42</v>
      </c>
      <c r="E2815" s="11" t="s">
        <v>63</v>
      </c>
      <c r="F2815" s="11" t="s">
        <v>103</v>
      </c>
      <c r="G2815" s="15">
        <v>46181</v>
      </c>
      <c r="H2815" s="14" t="str">
        <f>IFERROR(INDEX(面试清单!H:H,MATCH(2814,面试清单!P:P,0)),"")</f>
        <v/>
      </c>
      <c r="I2815" s="13" t="s">
        <v>29</v>
      </c>
      <c r="J2815" s="14">
        <f ca="1" t="shared" si="130"/>
        <v>8</v>
      </c>
      <c r="K2815" s="14">
        <f ca="1" t="shared" si="131"/>
        <v>9</v>
      </c>
    </row>
    <row r="2816" ht="18" spans="1:11">
      <c r="A2816" s="10">
        <f t="shared" si="129"/>
        <v>2815</v>
      </c>
      <c r="B2816" s="11" t="s">
        <v>738</v>
      </c>
      <c r="C2816" s="10" t="str">
        <f>IFERROR(INDEX(面试清单!D:D,MATCH(2815,面试清单!P:P,0)),"")</f>
        <v/>
      </c>
      <c r="D2816" s="11" t="s">
        <v>42</v>
      </c>
      <c r="E2816" s="11" t="s">
        <v>64</v>
      </c>
      <c r="F2816" s="11" t="s">
        <v>148</v>
      </c>
      <c r="G2816" s="15">
        <v>46181</v>
      </c>
      <c r="H2816" s="10" t="str">
        <f>IFERROR(INDEX(面试清单!H:H,MATCH(2815,面试清单!P:P,0)),"")</f>
        <v/>
      </c>
      <c r="I2816" s="13" t="s">
        <v>29</v>
      </c>
      <c r="J2816" s="10">
        <f ca="1" t="shared" si="130"/>
        <v>8</v>
      </c>
      <c r="K2816" s="10">
        <f ca="1" t="shared" si="131"/>
        <v>9</v>
      </c>
    </row>
    <row r="2817" ht="18" spans="1:11">
      <c r="A2817" s="14">
        <f t="shared" si="129"/>
        <v>2816</v>
      </c>
      <c r="B2817" s="11" t="s">
        <v>6365</v>
      </c>
      <c r="C2817" s="14" t="str">
        <f>IFERROR(INDEX(面试清单!D:D,MATCH(2816,面试清单!P:P,0)),"")</f>
        <v/>
      </c>
      <c r="D2817" s="11" t="s">
        <v>42</v>
      </c>
      <c r="E2817" s="11" t="s">
        <v>62</v>
      </c>
      <c r="F2817" s="11" t="s">
        <v>307</v>
      </c>
      <c r="G2817" s="15">
        <v>46181</v>
      </c>
      <c r="H2817" s="14" t="str">
        <f>IFERROR(INDEX(面试清单!H:H,MATCH(2816,面试清单!P:P,0)),"")</f>
        <v/>
      </c>
      <c r="I2817" s="13" t="s">
        <v>29</v>
      </c>
      <c r="J2817" s="14">
        <f ca="1" t="shared" si="130"/>
        <v>8</v>
      </c>
      <c r="K2817" s="14">
        <f ca="1" t="shared" si="131"/>
        <v>9</v>
      </c>
    </row>
    <row r="2818" ht="18" spans="1:11">
      <c r="A2818" s="10">
        <f t="shared" ref="A2818:A2881" si="132">IF(B2818&lt;&gt;"",ROW()-1,"")</f>
        <v>2817</v>
      </c>
      <c r="B2818" s="11" t="s">
        <v>743</v>
      </c>
      <c r="C2818" s="10" t="str">
        <f>IFERROR(INDEX(面试清单!D:D,MATCH(2817,面试清单!P:P,0)),"")</f>
        <v/>
      </c>
      <c r="D2818" s="11" t="s">
        <v>42</v>
      </c>
      <c r="E2818" s="11" t="s">
        <v>64</v>
      </c>
      <c r="F2818" s="11" t="s">
        <v>744</v>
      </c>
      <c r="G2818" s="15">
        <v>46181</v>
      </c>
      <c r="H2818" s="10" t="str">
        <f>IFERROR(INDEX(面试清单!H:H,MATCH(2817,面试清单!P:P,0)),"")</f>
        <v/>
      </c>
      <c r="I2818" s="13" t="s">
        <v>29</v>
      </c>
      <c r="J2818" s="10">
        <f ca="1" t="shared" ref="J2818:J2881" si="133">IF(G2818&lt;&gt;"",TODAY()-G2818,"")</f>
        <v>8</v>
      </c>
      <c r="K2818" s="10">
        <f ca="1" t="shared" ref="K2818:K2881" si="134">IF(G2818&lt;&gt;"",MAX(0,MIN(TODAY(),EOMONTH(TODAY(),0))-MAX(G2818,EOMONTH(TODAY(),-1)+1)+1),"")</f>
        <v>9</v>
      </c>
    </row>
    <row r="2819" ht="18" spans="1:11">
      <c r="A2819" s="14">
        <f t="shared" si="132"/>
        <v>2818</v>
      </c>
      <c r="B2819" s="11" t="s">
        <v>748</v>
      </c>
      <c r="C2819" s="14" t="str">
        <f>IFERROR(INDEX(面试清单!D:D,MATCH(2818,面试清单!P:P,0)),"")</f>
        <v/>
      </c>
      <c r="D2819" s="11" t="s">
        <v>42</v>
      </c>
      <c r="E2819" s="11" t="s">
        <v>62</v>
      </c>
      <c r="F2819" s="11" t="s">
        <v>233</v>
      </c>
      <c r="G2819" s="15">
        <v>46181</v>
      </c>
      <c r="H2819" s="14" t="str">
        <f>IFERROR(INDEX(面试清单!H:H,MATCH(2818,面试清单!P:P,0)),"")</f>
        <v/>
      </c>
      <c r="I2819" s="13" t="s">
        <v>29</v>
      </c>
      <c r="J2819" s="14">
        <f ca="1" t="shared" si="133"/>
        <v>8</v>
      </c>
      <c r="K2819" s="14">
        <f ca="1" t="shared" si="134"/>
        <v>9</v>
      </c>
    </row>
    <row r="2820" ht="18" spans="1:11">
      <c r="A2820" s="10">
        <f t="shared" si="132"/>
        <v>2819</v>
      </c>
      <c r="B2820" s="11" t="s">
        <v>750</v>
      </c>
      <c r="C2820" s="10" t="str">
        <f>IFERROR(INDEX(面试清单!D:D,MATCH(2819,面试清单!P:P,0)),"")</f>
        <v/>
      </c>
      <c r="D2820" s="11" t="s">
        <v>74</v>
      </c>
      <c r="E2820" s="11" t="s">
        <v>64</v>
      </c>
      <c r="F2820" s="11" t="s">
        <v>135</v>
      </c>
      <c r="G2820" s="15">
        <v>46181</v>
      </c>
      <c r="H2820" s="10" t="str">
        <f>IFERROR(INDEX(面试清单!H:H,MATCH(2819,面试清单!P:P,0)),"")</f>
        <v/>
      </c>
      <c r="I2820" s="13" t="s">
        <v>29</v>
      </c>
      <c r="J2820" s="10">
        <f ca="1" t="shared" si="133"/>
        <v>8</v>
      </c>
      <c r="K2820" s="10">
        <f ca="1" t="shared" si="134"/>
        <v>9</v>
      </c>
    </row>
    <row r="2821" ht="18" spans="1:11">
      <c r="A2821" s="14">
        <f t="shared" si="132"/>
        <v>2820</v>
      </c>
      <c r="B2821" s="11" t="s">
        <v>755</v>
      </c>
      <c r="C2821" s="14" t="str">
        <f>IFERROR(INDEX(面试清单!D:D,MATCH(2820,面试清单!P:P,0)),"")</f>
        <v/>
      </c>
      <c r="D2821" s="11" t="s">
        <v>42</v>
      </c>
      <c r="E2821" s="11" t="s">
        <v>64</v>
      </c>
      <c r="F2821" s="11" t="s">
        <v>117</v>
      </c>
      <c r="G2821" s="15">
        <v>46181</v>
      </c>
      <c r="H2821" s="14" t="str">
        <f>IFERROR(INDEX(面试清单!H:H,MATCH(2820,面试清单!P:P,0)),"")</f>
        <v/>
      </c>
      <c r="I2821" s="13" t="s">
        <v>29</v>
      </c>
      <c r="J2821" s="14">
        <f ca="1" t="shared" si="133"/>
        <v>8</v>
      </c>
      <c r="K2821" s="14">
        <f ca="1" t="shared" si="134"/>
        <v>9</v>
      </c>
    </row>
    <row r="2822" ht="18" spans="1:11">
      <c r="A2822" s="10">
        <f t="shared" si="132"/>
        <v>2821</v>
      </c>
      <c r="B2822" s="11" t="s">
        <v>757</v>
      </c>
      <c r="C2822" s="10" t="str">
        <f>IFERROR(INDEX(面试清单!D:D,MATCH(2821,面试清单!P:P,0)),"")</f>
        <v/>
      </c>
      <c r="D2822" s="11" t="s">
        <v>42</v>
      </c>
      <c r="E2822" s="11" t="s">
        <v>63</v>
      </c>
      <c r="F2822" s="11" t="s">
        <v>173</v>
      </c>
      <c r="G2822" s="15">
        <v>46181</v>
      </c>
      <c r="H2822" s="10" t="str">
        <f>IFERROR(INDEX(面试清单!H:H,MATCH(2821,面试清单!P:P,0)),"")</f>
        <v/>
      </c>
      <c r="I2822" s="13" t="s">
        <v>29</v>
      </c>
      <c r="J2822" s="10">
        <f ca="1" t="shared" si="133"/>
        <v>8</v>
      </c>
      <c r="K2822" s="10">
        <f ca="1" t="shared" si="134"/>
        <v>9</v>
      </c>
    </row>
    <row r="2823" ht="18" spans="1:11">
      <c r="A2823" s="14">
        <f t="shared" si="132"/>
        <v>2822</v>
      </c>
      <c r="B2823" s="11" t="s">
        <v>758</v>
      </c>
      <c r="C2823" s="14" t="str">
        <f>IFERROR(INDEX(面试清单!D:D,MATCH(2822,面试清单!P:P,0)),"")</f>
        <v/>
      </c>
      <c r="D2823" s="11" t="s">
        <v>42</v>
      </c>
      <c r="E2823" s="11" t="s">
        <v>63</v>
      </c>
      <c r="F2823" s="11" t="s">
        <v>173</v>
      </c>
      <c r="G2823" s="15">
        <v>46181</v>
      </c>
      <c r="H2823" s="14" t="str">
        <f>IFERROR(INDEX(面试清单!H:H,MATCH(2822,面试清单!P:P,0)),"")</f>
        <v/>
      </c>
      <c r="I2823" s="13" t="s">
        <v>29</v>
      </c>
      <c r="J2823" s="14">
        <f ca="1" t="shared" si="133"/>
        <v>8</v>
      </c>
      <c r="K2823" s="14">
        <f ca="1" t="shared" si="134"/>
        <v>9</v>
      </c>
    </row>
    <row r="2824" ht="18" spans="1:11">
      <c r="A2824" s="10">
        <f t="shared" si="132"/>
        <v>2823</v>
      </c>
      <c r="B2824" s="11" t="s">
        <v>759</v>
      </c>
      <c r="C2824" s="10" t="str">
        <f>IFERROR(INDEX(面试清单!D:D,MATCH(2823,面试清单!P:P,0)),"")</f>
        <v/>
      </c>
      <c r="D2824" s="11" t="s">
        <v>42</v>
      </c>
      <c r="E2824" s="11" t="s">
        <v>63</v>
      </c>
      <c r="F2824" s="11" t="s">
        <v>173</v>
      </c>
      <c r="G2824" s="15">
        <v>46181</v>
      </c>
      <c r="H2824" s="10" t="str">
        <f>IFERROR(INDEX(面试清单!H:H,MATCH(2823,面试清单!P:P,0)),"")</f>
        <v/>
      </c>
      <c r="I2824" s="13" t="s">
        <v>29</v>
      </c>
      <c r="J2824" s="10">
        <f ca="1" t="shared" si="133"/>
        <v>8</v>
      </c>
      <c r="K2824" s="10">
        <f ca="1" t="shared" si="134"/>
        <v>9</v>
      </c>
    </row>
    <row r="2825" ht="18" spans="1:11">
      <c r="A2825" s="14">
        <f t="shared" si="132"/>
        <v>2824</v>
      </c>
      <c r="B2825" s="11" t="s">
        <v>760</v>
      </c>
      <c r="C2825" s="124" t="str">
        <f>IFERROR(INDEX(面试清单!D:D,MATCH(2824,面试清单!P:P,0)),"")</f>
        <v>0208</v>
      </c>
      <c r="D2825" s="11" t="s">
        <v>42</v>
      </c>
      <c r="E2825" s="11" t="s">
        <v>63</v>
      </c>
      <c r="F2825" s="11" t="s">
        <v>173</v>
      </c>
      <c r="G2825" s="15">
        <v>46181</v>
      </c>
      <c r="H2825" s="14" t="str">
        <f>IFERROR(INDEX(面试清单!H:H,MATCH(2824,面试清单!P:P,0)),"")</f>
        <v>线上</v>
      </c>
      <c r="I2825" s="13" t="s">
        <v>29</v>
      </c>
      <c r="J2825" s="14">
        <f ca="1" t="shared" si="133"/>
        <v>8</v>
      </c>
      <c r="K2825" s="14">
        <f ca="1" t="shared" si="134"/>
        <v>9</v>
      </c>
    </row>
    <row r="2826" ht="18" spans="1:11">
      <c r="A2826" s="10">
        <f t="shared" si="132"/>
        <v>2825</v>
      </c>
      <c r="B2826" s="11" t="s">
        <v>761</v>
      </c>
      <c r="C2826" s="10" t="str">
        <f>IFERROR(INDEX(面试清单!D:D,MATCH(2825,面试清单!P:P,0)),"")</f>
        <v/>
      </c>
      <c r="D2826" s="11" t="s">
        <v>42</v>
      </c>
      <c r="E2826" s="11" t="s">
        <v>63</v>
      </c>
      <c r="F2826" s="11" t="s">
        <v>173</v>
      </c>
      <c r="G2826" s="15">
        <v>46181</v>
      </c>
      <c r="H2826" s="10" t="str">
        <f>IFERROR(INDEX(面试清单!H:H,MATCH(2825,面试清单!P:P,0)),"")</f>
        <v/>
      </c>
      <c r="I2826" s="13" t="s">
        <v>29</v>
      </c>
      <c r="J2826" s="10">
        <f ca="1" t="shared" si="133"/>
        <v>8</v>
      </c>
      <c r="K2826" s="10">
        <f ca="1" t="shared" si="134"/>
        <v>9</v>
      </c>
    </row>
    <row r="2827" ht="18" spans="1:11">
      <c r="A2827" s="14">
        <f t="shared" si="132"/>
        <v>2826</v>
      </c>
      <c r="B2827" s="11" t="s">
        <v>182</v>
      </c>
      <c r="C2827" s="14" t="str">
        <f>IFERROR(INDEX(面试清单!D:D,MATCH(2826,面试清单!P:P,0)),"")</f>
        <v/>
      </c>
      <c r="D2827" s="11" t="s">
        <v>74</v>
      </c>
      <c r="E2827" s="11" t="s">
        <v>64</v>
      </c>
      <c r="F2827" s="11" t="s">
        <v>179</v>
      </c>
      <c r="G2827" s="15">
        <v>46181</v>
      </c>
      <c r="H2827" s="14" t="str">
        <f>IFERROR(INDEX(面试清单!H:H,MATCH(2826,面试清单!P:P,0)),"")</f>
        <v/>
      </c>
      <c r="I2827" s="13" t="s">
        <v>29</v>
      </c>
      <c r="J2827" s="14">
        <f ca="1" t="shared" si="133"/>
        <v>8</v>
      </c>
      <c r="K2827" s="14">
        <f ca="1" t="shared" si="134"/>
        <v>9</v>
      </c>
    </row>
    <row r="2828" ht="18" spans="1:11">
      <c r="A2828" s="10">
        <f t="shared" si="132"/>
        <v>2827</v>
      </c>
      <c r="B2828" s="11" t="s">
        <v>767</v>
      </c>
      <c r="C2828" s="125" t="str">
        <f>IFERROR(INDEX(面试清单!D:D,MATCH(2827,面试清单!P:P,0)),"")</f>
        <v>0214</v>
      </c>
      <c r="D2828" s="11" t="s">
        <v>74</v>
      </c>
      <c r="E2828" s="11" t="s">
        <v>64</v>
      </c>
      <c r="F2828" s="11" t="s">
        <v>179</v>
      </c>
      <c r="G2828" s="15">
        <v>46181</v>
      </c>
      <c r="H2828" s="10" t="str">
        <f>IFERROR(INDEX(面试清单!H:H,MATCH(2827,面试清单!P:P,0)),"")</f>
        <v>线上</v>
      </c>
      <c r="I2828" s="13" t="s">
        <v>29</v>
      </c>
      <c r="J2828" s="10">
        <f ca="1" t="shared" si="133"/>
        <v>8</v>
      </c>
      <c r="K2828" s="10">
        <f ca="1" t="shared" si="134"/>
        <v>9</v>
      </c>
    </row>
    <row r="2829" ht="18" spans="1:11">
      <c r="A2829" s="14">
        <f t="shared" si="132"/>
        <v>2828</v>
      </c>
      <c r="B2829" s="11" t="s">
        <v>709</v>
      </c>
      <c r="C2829" s="14" t="str">
        <f>IFERROR(INDEX(面试清单!D:D,MATCH(2828,面试清单!P:P,0)),"")</f>
        <v/>
      </c>
      <c r="D2829" s="11" t="s">
        <v>42</v>
      </c>
      <c r="E2829" s="11" t="s">
        <v>64</v>
      </c>
      <c r="F2829" s="11" t="s">
        <v>179</v>
      </c>
      <c r="G2829" s="15">
        <v>46181</v>
      </c>
      <c r="H2829" s="14" t="str">
        <f>IFERROR(INDEX(面试清单!H:H,MATCH(2828,面试清单!P:P,0)),"")</f>
        <v/>
      </c>
      <c r="I2829" s="13" t="s">
        <v>29</v>
      </c>
      <c r="J2829" s="14">
        <f ca="1" t="shared" si="133"/>
        <v>8</v>
      </c>
      <c r="K2829" s="14">
        <f ca="1" t="shared" si="134"/>
        <v>9</v>
      </c>
    </row>
    <row r="2830" ht="18" spans="1:11">
      <c r="A2830" s="10">
        <f t="shared" si="132"/>
        <v>2829</v>
      </c>
      <c r="B2830" s="11" t="s">
        <v>708</v>
      </c>
      <c r="C2830" s="10" t="str">
        <f>IFERROR(INDEX(面试清单!D:D,MATCH(2829,面试清单!P:P,0)),"")</f>
        <v/>
      </c>
      <c r="D2830" s="11" t="s">
        <v>42</v>
      </c>
      <c r="E2830" s="11" t="s">
        <v>64</v>
      </c>
      <c r="F2830" s="11" t="s">
        <v>179</v>
      </c>
      <c r="G2830" s="15">
        <v>46181</v>
      </c>
      <c r="H2830" s="10" t="str">
        <f>IFERROR(INDEX(面试清单!H:H,MATCH(2829,面试清单!P:P,0)),"")</f>
        <v/>
      </c>
      <c r="I2830" s="13" t="s">
        <v>29</v>
      </c>
      <c r="J2830" s="10">
        <f ca="1" t="shared" si="133"/>
        <v>8</v>
      </c>
      <c r="K2830" s="10">
        <f ca="1" t="shared" si="134"/>
        <v>9</v>
      </c>
    </row>
    <row r="2831" ht="18" spans="1:11">
      <c r="A2831" s="14">
        <f t="shared" si="132"/>
        <v>2830</v>
      </c>
      <c r="B2831" s="11" t="s">
        <v>771</v>
      </c>
      <c r="C2831" s="14" t="str">
        <f>IFERROR(INDEX(面试清单!D:D,MATCH(2830,面试清单!P:P,0)),"")</f>
        <v/>
      </c>
      <c r="D2831" s="11" t="s">
        <v>74</v>
      </c>
      <c r="E2831" s="11" t="s">
        <v>64</v>
      </c>
      <c r="F2831" s="11" t="s">
        <v>179</v>
      </c>
      <c r="G2831" s="15">
        <v>46181</v>
      </c>
      <c r="H2831" s="14" t="str">
        <f>IFERROR(INDEX(面试清单!H:H,MATCH(2830,面试清单!P:P,0)),"")</f>
        <v/>
      </c>
      <c r="I2831" s="13" t="s">
        <v>29</v>
      </c>
      <c r="J2831" s="14">
        <f ca="1" t="shared" si="133"/>
        <v>8</v>
      </c>
      <c r="K2831" s="14">
        <f ca="1" t="shared" si="134"/>
        <v>9</v>
      </c>
    </row>
    <row r="2832" ht="18" spans="1:11">
      <c r="A2832" s="10">
        <f t="shared" si="132"/>
        <v>2831</v>
      </c>
      <c r="B2832" s="11" t="s">
        <v>772</v>
      </c>
      <c r="C2832" s="10" t="str">
        <f>IFERROR(INDEX(面试清单!D:D,MATCH(2831,面试清单!P:P,0)),"")</f>
        <v/>
      </c>
      <c r="D2832" s="11" t="s">
        <v>74</v>
      </c>
      <c r="E2832" s="11" t="s">
        <v>64</v>
      </c>
      <c r="F2832" s="11" t="s">
        <v>179</v>
      </c>
      <c r="G2832" s="15">
        <v>46181</v>
      </c>
      <c r="H2832" s="10" t="str">
        <f>IFERROR(INDEX(面试清单!H:H,MATCH(2831,面试清单!P:P,0)),"")</f>
        <v/>
      </c>
      <c r="I2832" s="13" t="s">
        <v>29</v>
      </c>
      <c r="J2832" s="10">
        <f ca="1" t="shared" si="133"/>
        <v>8</v>
      </c>
      <c r="K2832" s="10">
        <f ca="1" t="shared" si="134"/>
        <v>9</v>
      </c>
    </row>
    <row r="2833" ht="18" spans="1:11">
      <c r="A2833" s="14">
        <f t="shared" si="132"/>
        <v>2832</v>
      </c>
      <c r="B2833" s="11" t="s">
        <v>773</v>
      </c>
      <c r="C2833" s="14" t="str">
        <f>IFERROR(INDEX(面试清单!D:D,MATCH(2832,面试清单!P:P,0)),"")</f>
        <v/>
      </c>
      <c r="D2833" s="11" t="s">
        <v>42</v>
      </c>
      <c r="E2833" s="11" t="s">
        <v>64</v>
      </c>
      <c r="F2833" s="11" t="s">
        <v>179</v>
      </c>
      <c r="G2833" s="15">
        <v>46181</v>
      </c>
      <c r="H2833" s="14" t="str">
        <f>IFERROR(INDEX(面试清单!H:H,MATCH(2832,面试清单!P:P,0)),"")</f>
        <v/>
      </c>
      <c r="I2833" s="13" t="s">
        <v>29</v>
      </c>
      <c r="J2833" s="14">
        <f ca="1" t="shared" si="133"/>
        <v>8</v>
      </c>
      <c r="K2833" s="14">
        <f ca="1" t="shared" si="134"/>
        <v>9</v>
      </c>
    </row>
    <row r="2834" ht="18" spans="1:11">
      <c r="A2834" s="10">
        <f t="shared" si="132"/>
        <v>2833</v>
      </c>
      <c r="B2834" s="11" t="s">
        <v>774</v>
      </c>
      <c r="C2834" s="10" t="str">
        <f>IFERROR(INDEX(面试清单!D:D,MATCH(2833,面试清单!P:P,0)),"")</f>
        <v/>
      </c>
      <c r="D2834" s="11" t="s">
        <v>42</v>
      </c>
      <c r="E2834" s="11" t="s">
        <v>64</v>
      </c>
      <c r="F2834" s="11" t="s">
        <v>179</v>
      </c>
      <c r="G2834" s="15">
        <v>46181</v>
      </c>
      <c r="H2834" s="10" t="str">
        <f>IFERROR(INDEX(面试清单!H:H,MATCH(2833,面试清单!P:P,0)),"")</f>
        <v/>
      </c>
      <c r="I2834" s="13" t="s">
        <v>29</v>
      </c>
      <c r="J2834" s="10">
        <f ca="1" t="shared" si="133"/>
        <v>8</v>
      </c>
      <c r="K2834" s="10">
        <f ca="1" t="shared" si="134"/>
        <v>9</v>
      </c>
    </row>
    <row r="2835" ht="18" spans="1:11">
      <c r="A2835" s="14">
        <f t="shared" si="132"/>
        <v>2834</v>
      </c>
      <c r="B2835" s="11" t="s">
        <v>775</v>
      </c>
      <c r="C2835" s="14" t="str">
        <f>IFERROR(INDEX(面试清单!D:D,MATCH(2834,面试清单!P:P,0)),"")</f>
        <v/>
      </c>
      <c r="D2835" s="11" t="s">
        <v>74</v>
      </c>
      <c r="E2835" s="11" t="s">
        <v>190</v>
      </c>
      <c r="F2835" s="11" t="s">
        <v>179</v>
      </c>
      <c r="G2835" s="15">
        <v>46181</v>
      </c>
      <c r="H2835" s="14" t="str">
        <f>IFERROR(INDEX(面试清单!H:H,MATCH(2834,面试清单!P:P,0)),"")</f>
        <v/>
      </c>
      <c r="I2835" s="13" t="s">
        <v>29</v>
      </c>
      <c r="J2835" s="14">
        <f ca="1" t="shared" si="133"/>
        <v>8</v>
      </c>
      <c r="K2835" s="14">
        <f ca="1" t="shared" si="134"/>
        <v>9</v>
      </c>
    </row>
    <row r="2836" ht="18" spans="1:11">
      <c r="A2836" s="10">
        <f t="shared" si="132"/>
        <v>2835</v>
      </c>
      <c r="B2836" s="11" t="s">
        <v>679</v>
      </c>
      <c r="C2836" s="10" t="str">
        <f>IFERROR(INDEX(面试清单!D:D,MATCH(2835,面试清单!P:P,0)),"")</f>
        <v/>
      </c>
      <c r="D2836" s="11" t="s">
        <v>74</v>
      </c>
      <c r="E2836" s="11" t="s">
        <v>64</v>
      </c>
      <c r="F2836" s="11" t="s">
        <v>176</v>
      </c>
      <c r="G2836" s="15">
        <v>46181</v>
      </c>
      <c r="H2836" s="10" t="str">
        <f>IFERROR(INDEX(面试清单!H:H,MATCH(2835,面试清单!P:P,0)),"")</f>
        <v/>
      </c>
      <c r="I2836" s="13" t="s">
        <v>29</v>
      </c>
      <c r="J2836" s="10">
        <f ca="1" t="shared" si="133"/>
        <v>8</v>
      </c>
      <c r="K2836" s="10">
        <f ca="1" t="shared" si="134"/>
        <v>9</v>
      </c>
    </row>
    <row r="2837" ht="18" spans="1:11">
      <c r="A2837" s="14">
        <f t="shared" si="132"/>
        <v>2836</v>
      </c>
      <c r="B2837" s="11" t="s">
        <v>781</v>
      </c>
      <c r="C2837" s="14" t="str">
        <f>IFERROR(INDEX(面试清单!D:D,MATCH(2836,面试清单!P:P,0)),"")</f>
        <v/>
      </c>
      <c r="D2837" s="11" t="s">
        <v>74</v>
      </c>
      <c r="E2837" s="11" t="s">
        <v>64</v>
      </c>
      <c r="F2837" s="11" t="s">
        <v>179</v>
      </c>
      <c r="G2837" s="15">
        <v>46181</v>
      </c>
      <c r="H2837" s="14" t="str">
        <f>IFERROR(INDEX(面试清单!H:H,MATCH(2836,面试清单!P:P,0)),"")</f>
        <v/>
      </c>
      <c r="I2837" s="13" t="s">
        <v>29</v>
      </c>
      <c r="J2837" s="14">
        <f ca="1" t="shared" si="133"/>
        <v>8</v>
      </c>
      <c r="K2837" s="14">
        <f ca="1" t="shared" si="134"/>
        <v>9</v>
      </c>
    </row>
    <row r="2838" ht="18" spans="1:11">
      <c r="A2838" s="10">
        <f t="shared" si="132"/>
        <v>2837</v>
      </c>
      <c r="B2838" s="11" t="s">
        <v>769</v>
      </c>
      <c r="C2838" s="10" t="str">
        <f>IFERROR(INDEX(面试清单!D:D,MATCH(2837,面试清单!P:P,0)),"")</f>
        <v/>
      </c>
      <c r="D2838" s="11" t="s">
        <v>74</v>
      </c>
      <c r="E2838" s="11" t="s">
        <v>64</v>
      </c>
      <c r="F2838" s="11" t="s">
        <v>179</v>
      </c>
      <c r="G2838" s="15">
        <v>46181</v>
      </c>
      <c r="H2838" s="10" t="str">
        <f>IFERROR(INDEX(面试清单!H:H,MATCH(2837,面试清单!P:P,0)),"")</f>
        <v/>
      </c>
      <c r="I2838" s="13" t="s">
        <v>29</v>
      </c>
      <c r="J2838" s="10">
        <f ca="1" t="shared" si="133"/>
        <v>8</v>
      </c>
      <c r="K2838" s="10">
        <f ca="1" t="shared" si="134"/>
        <v>9</v>
      </c>
    </row>
    <row r="2839" ht="18" spans="1:11">
      <c r="A2839" s="14">
        <f t="shared" si="132"/>
        <v>2838</v>
      </c>
      <c r="B2839" s="11" t="s">
        <v>782</v>
      </c>
      <c r="C2839" s="14" t="str">
        <f>IFERROR(INDEX(面试清单!D:D,MATCH(2838,面试清单!P:P,0)),"")</f>
        <v/>
      </c>
      <c r="D2839" s="11" t="s">
        <v>74</v>
      </c>
      <c r="E2839" s="11" t="s">
        <v>64</v>
      </c>
      <c r="F2839" s="11" t="s">
        <v>179</v>
      </c>
      <c r="G2839" s="15">
        <v>46181</v>
      </c>
      <c r="H2839" s="14" t="str">
        <f>IFERROR(INDEX(面试清单!H:H,MATCH(2838,面试清单!P:P,0)),"")</f>
        <v/>
      </c>
      <c r="I2839" s="13" t="s">
        <v>29</v>
      </c>
      <c r="J2839" s="14">
        <f ca="1" t="shared" si="133"/>
        <v>8</v>
      </c>
      <c r="K2839" s="14">
        <f ca="1" t="shared" si="134"/>
        <v>9</v>
      </c>
    </row>
    <row r="2840" ht="18" spans="1:11">
      <c r="A2840" s="10">
        <f t="shared" si="132"/>
        <v>2839</v>
      </c>
      <c r="B2840" s="11" t="s">
        <v>783</v>
      </c>
      <c r="C2840" s="10" t="str">
        <f>IFERROR(INDEX(面试清单!D:D,MATCH(2839,面试清单!P:P,0)),"")</f>
        <v/>
      </c>
      <c r="D2840" s="11" t="s">
        <v>74</v>
      </c>
      <c r="E2840" s="11" t="s">
        <v>64</v>
      </c>
      <c r="F2840" s="11" t="s">
        <v>179</v>
      </c>
      <c r="G2840" s="15">
        <v>46181</v>
      </c>
      <c r="H2840" s="10" t="str">
        <f>IFERROR(INDEX(面试清单!H:H,MATCH(2839,面试清单!P:P,0)),"")</f>
        <v/>
      </c>
      <c r="I2840" s="13" t="s">
        <v>29</v>
      </c>
      <c r="J2840" s="10">
        <f ca="1" t="shared" si="133"/>
        <v>8</v>
      </c>
      <c r="K2840" s="10">
        <f ca="1" t="shared" si="134"/>
        <v>9</v>
      </c>
    </row>
    <row r="2841" ht="18" spans="1:11">
      <c r="A2841" s="14">
        <f t="shared" si="132"/>
        <v>2840</v>
      </c>
      <c r="B2841" s="11" t="s">
        <v>786</v>
      </c>
      <c r="C2841" s="14" t="str">
        <f>IFERROR(INDEX(面试清单!D:D,MATCH(2840,面试清单!P:P,0)),"")</f>
        <v/>
      </c>
      <c r="D2841" s="11" t="s">
        <v>43</v>
      </c>
      <c r="E2841" s="11" t="s">
        <v>64</v>
      </c>
      <c r="F2841" s="11" t="s">
        <v>179</v>
      </c>
      <c r="G2841" s="15">
        <v>46181</v>
      </c>
      <c r="H2841" s="14" t="str">
        <f>IFERROR(INDEX(面试清单!H:H,MATCH(2840,面试清单!P:P,0)),"")</f>
        <v/>
      </c>
      <c r="I2841" s="13" t="s">
        <v>29</v>
      </c>
      <c r="J2841" s="14">
        <f ca="1" t="shared" si="133"/>
        <v>8</v>
      </c>
      <c r="K2841" s="14">
        <f ca="1" t="shared" si="134"/>
        <v>9</v>
      </c>
    </row>
    <row r="2842" ht="18" spans="1:11">
      <c r="A2842" s="10">
        <f t="shared" si="132"/>
        <v>2841</v>
      </c>
      <c r="B2842" s="11" t="s">
        <v>1294</v>
      </c>
      <c r="C2842" s="125" t="str">
        <f>IFERROR(INDEX(面试清单!D:D,MATCH(2841,面试清单!P:P,0)),"")</f>
        <v>0222</v>
      </c>
      <c r="D2842" s="11" t="s">
        <v>43</v>
      </c>
      <c r="E2842" s="11" t="s">
        <v>62</v>
      </c>
      <c r="F2842" s="11" t="s">
        <v>176</v>
      </c>
      <c r="G2842" s="15">
        <v>46182</v>
      </c>
      <c r="H2842" s="10" t="str">
        <f>IFERROR(INDEX(面试清单!H:H,MATCH(2841,面试清单!P:P,0)),"")</f>
        <v>线上</v>
      </c>
      <c r="I2842" s="13" t="s">
        <v>29</v>
      </c>
      <c r="J2842" s="10">
        <f ca="1" t="shared" si="133"/>
        <v>7</v>
      </c>
      <c r="K2842" s="10">
        <f ca="1" t="shared" si="134"/>
        <v>8</v>
      </c>
    </row>
    <row r="2843" ht="18" spans="1:11">
      <c r="A2843" s="14">
        <f t="shared" si="132"/>
        <v>2842</v>
      </c>
      <c r="B2843" s="11" t="s">
        <v>1569</v>
      </c>
      <c r="C2843" s="14" t="str">
        <f>IFERROR(INDEX(面试清单!D:D,MATCH(2842,面试清单!P:P,0)),"")</f>
        <v/>
      </c>
      <c r="D2843" s="11" t="s">
        <v>42</v>
      </c>
      <c r="E2843" s="11" t="s">
        <v>63</v>
      </c>
      <c r="F2843" s="11" t="s">
        <v>176</v>
      </c>
      <c r="G2843" s="15">
        <v>46182</v>
      </c>
      <c r="H2843" s="14" t="str">
        <f>IFERROR(INDEX(面试清单!H:H,MATCH(2842,面试清单!P:P,0)),"")</f>
        <v/>
      </c>
      <c r="I2843" s="13" t="s">
        <v>29</v>
      </c>
      <c r="J2843" s="14">
        <f ca="1" t="shared" si="133"/>
        <v>7</v>
      </c>
      <c r="K2843" s="14">
        <f ca="1" t="shared" si="134"/>
        <v>8</v>
      </c>
    </row>
    <row r="2844" ht="18" spans="1:11">
      <c r="A2844" s="10">
        <f t="shared" si="132"/>
        <v>2843</v>
      </c>
      <c r="B2844" s="11" t="s">
        <v>1413</v>
      </c>
      <c r="C2844" s="125" t="str">
        <f>IFERROR(INDEX(面试清单!D:D,MATCH(2843,面试清单!P:P,0)),"")</f>
        <v>0209</v>
      </c>
      <c r="D2844" s="11" t="s">
        <v>43</v>
      </c>
      <c r="E2844" s="11" t="s">
        <v>62</v>
      </c>
      <c r="F2844" s="11" t="s">
        <v>148</v>
      </c>
      <c r="G2844" s="15">
        <v>46182</v>
      </c>
      <c r="H2844" s="10" t="str">
        <f>IFERROR(INDEX(面试清单!H:H,MATCH(2843,面试清单!P:P,0)),"")</f>
        <v>线上</v>
      </c>
      <c r="I2844" s="13" t="s">
        <v>29</v>
      </c>
      <c r="J2844" s="10">
        <f ca="1" t="shared" si="133"/>
        <v>7</v>
      </c>
      <c r="K2844" s="10">
        <f ca="1" t="shared" si="134"/>
        <v>8</v>
      </c>
    </row>
    <row r="2845" ht="18" spans="1:11">
      <c r="A2845" s="14">
        <f t="shared" si="132"/>
        <v>2844</v>
      </c>
      <c r="B2845" s="11" t="s">
        <v>1414</v>
      </c>
      <c r="C2845" s="14" t="str">
        <f>IFERROR(INDEX(面试清单!D:D,MATCH(2844,面试清单!P:P,0)),"")</f>
        <v/>
      </c>
      <c r="D2845" s="11" t="s">
        <v>43</v>
      </c>
      <c r="E2845" s="11" t="s">
        <v>62</v>
      </c>
      <c r="F2845" s="11" t="s">
        <v>148</v>
      </c>
      <c r="G2845" s="15">
        <v>46182</v>
      </c>
      <c r="H2845" s="14" t="str">
        <f>IFERROR(INDEX(面试清单!H:H,MATCH(2844,面试清单!P:P,0)),"")</f>
        <v/>
      </c>
      <c r="I2845" s="13" t="s">
        <v>29</v>
      </c>
      <c r="J2845" s="14">
        <f ca="1" t="shared" si="133"/>
        <v>7</v>
      </c>
      <c r="K2845" s="14">
        <f ca="1" t="shared" si="134"/>
        <v>8</v>
      </c>
    </row>
    <row r="2846" ht="18" spans="1:11">
      <c r="A2846" s="10">
        <f t="shared" si="132"/>
        <v>2845</v>
      </c>
      <c r="B2846" s="11" t="s">
        <v>1415</v>
      </c>
      <c r="C2846" s="10" t="str">
        <f>IFERROR(INDEX(面试清单!D:D,MATCH(2845,面试清单!P:P,0)),"")</f>
        <v/>
      </c>
      <c r="D2846" s="11" t="s">
        <v>43</v>
      </c>
      <c r="E2846" s="11" t="s">
        <v>62</v>
      </c>
      <c r="F2846" s="11" t="s">
        <v>148</v>
      </c>
      <c r="G2846" s="15">
        <v>46182</v>
      </c>
      <c r="H2846" s="10" t="str">
        <f>IFERROR(INDEX(面试清单!H:H,MATCH(2845,面试清单!P:P,0)),"")</f>
        <v/>
      </c>
      <c r="I2846" s="13" t="s">
        <v>29</v>
      </c>
      <c r="J2846" s="10">
        <f ca="1" t="shared" si="133"/>
        <v>7</v>
      </c>
      <c r="K2846" s="10">
        <f ca="1" t="shared" si="134"/>
        <v>8</v>
      </c>
    </row>
    <row r="2847" ht="18" spans="1:11">
      <c r="A2847" s="14">
        <f t="shared" si="132"/>
        <v>2846</v>
      </c>
      <c r="B2847" s="11" t="s">
        <v>1435</v>
      </c>
      <c r="C2847" s="14" t="str">
        <f>IFERROR(INDEX(面试清单!D:D,MATCH(2846,面试清单!P:P,0)),"")</f>
        <v/>
      </c>
      <c r="D2847" s="11" t="s">
        <v>43</v>
      </c>
      <c r="E2847" s="11" t="s">
        <v>63</v>
      </c>
      <c r="F2847" s="11" t="s">
        <v>148</v>
      </c>
      <c r="G2847" s="15">
        <v>46182</v>
      </c>
      <c r="H2847" s="14" t="str">
        <f>IFERROR(INDEX(面试清单!H:H,MATCH(2846,面试清单!P:P,0)),"")</f>
        <v/>
      </c>
      <c r="I2847" s="13" t="s">
        <v>29</v>
      </c>
      <c r="J2847" s="14">
        <f ca="1" t="shared" si="133"/>
        <v>7</v>
      </c>
      <c r="K2847" s="14">
        <f ca="1" t="shared" si="134"/>
        <v>8</v>
      </c>
    </row>
    <row r="2848" ht="18" spans="1:11">
      <c r="A2848" s="10">
        <f t="shared" si="132"/>
        <v>2847</v>
      </c>
      <c r="B2848" s="11" t="s">
        <v>6366</v>
      </c>
      <c r="C2848" s="125" t="str">
        <f>IFERROR(INDEX(面试清单!D:D,MATCH(2847,面试清单!P:P,0)),"")</f>
        <v>0218</v>
      </c>
      <c r="D2848" s="11" t="s">
        <v>42</v>
      </c>
      <c r="E2848" s="11" t="s">
        <v>63</v>
      </c>
      <c r="F2848" s="11" t="s">
        <v>148</v>
      </c>
      <c r="G2848" s="15">
        <v>46182</v>
      </c>
      <c r="H2848" s="10" t="str">
        <f>IFERROR(INDEX(面试清单!H:H,MATCH(2847,面试清单!P:P,0)),"")</f>
        <v>线上</v>
      </c>
      <c r="I2848" s="13" t="s">
        <v>29</v>
      </c>
      <c r="J2848" s="10">
        <f ca="1" t="shared" si="133"/>
        <v>7</v>
      </c>
      <c r="K2848" s="10">
        <f ca="1" t="shared" si="134"/>
        <v>8</v>
      </c>
    </row>
    <row r="2849" ht="18" spans="1:11">
      <c r="A2849" s="14">
        <f t="shared" si="132"/>
        <v>2848</v>
      </c>
      <c r="B2849" s="11" t="s">
        <v>1579</v>
      </c>
      <c r="C2849" s="14" t="str">
        <f>IFERROR(INDEX(面试清单!D:D,MATCH(2848,面试清单!P:P,0)),"")</f>
        <v/>
      </c>
      <c r="D2849" s="11" t="s">
        <v>42</v>
      </c>
      <c r="E2849" s="11" t="s">
        <v>62</v>
      </c>
      <c r="F2849" s="11" t="s">
        <v>148</v>
      </c>
      <c r="G2849" s="15">
        <v>46182</v>
      </c>
      <c r="H2849" s="14" t="str">
        <f>IFERROR(INDEX(面试清单!H:H,MATCH(2848,面试清单!P:P,0)),"")</f>
        <v/>
      </c>
      <c r="I2849" s="13" t="s">
        <v>29</v>
      </c>
      <c r="J2849" s="14">
        <f ca="1" t="shared" si="133"/>
        <v>7</v>
      </c>
      <c r="K2849" s="14">
        <f ca="1" t="shared" si="134"/>
        <v>8</v>
      </c>
    </row>
    <row r="2850" ht="18" spans="1:11">
      <c r="A2850" s="10">
        <f t="shared" si="132"/>
        <v>2849</v>
      </c>
      <c r="B2850" s="11" t="s">
        <v>1539</v>
      </c>
      <c r="C2850" s="10" t="str">
        <f>IFERROR(INDEX(面试清单!D:D,MATCH(2849,面试清单!P:P,0)),"")</f>
        <v/>
      </c>
      <c r="D2850" s="11" t="s">
        <v>42</v>
      </c>
      <c r="E2850" s="11" t="s">
        <v>62</v>
      </c>
      <c r="F2850" s="11" t="s">
        <v>148</v>
      </c>
      <c r="G2850" s="15">
        <v>46182</v>
      </c>
      <c r="H2850" s="10" t="str">
        <f>IFERROR(INDEX(面试清单!H:H,MATCH(2849,面试清单!P:P,0)),"")</f>
        <v/>
      </c>
      <c r="I2850" s="13" t="s">
        <v>29</v>
      </c>
      <c r="J2850" s="10">
        <f ca="1" t="shared" si="133"/>
        <v>7</v>
      </c>
      <c r="K2850" s="10">
        <f ca="1" t="shared" si="134"/>
        <v>8</v>
      </c>
    </row>
    <row r="2851" ht="18" spans="1:11">
      <c r="A2851" s="14">
        <f t="shared" si="132"/>
        <v>2850</v>
      </c>
      <c r="B2851" s="11" t="s">
        <v>1549</v>
      </c>
      <c r="C2851" s="14" t="str">
        <f>IFERROR(INDEX(面试清单!D:D,MATCH(2850,面试清单!P:P,0)),"")</f>
        <v/>
      </c>
      <c r="D2851" s="11" t="s">
        <v>43</v>
      </c>
      <c r="E2851" s="11" t="s">
        <v>63</v>
      </c>
      <c r="F2851" s="11" t="s">
        <v>1056</v>
      </c>
      <c r="G2851" s="15">
        <v>46182</v>
      </c>
      <c r="H2851" s="14" t="str">
        <f>IFERROR(INDEX(面试清单!H:H,MATCH(2850,面试清单!P:P,0)),"")</f>
        <v/>
      </c>
      <c r="I2851" s="13" t="s">
        <v>29</v>
      </c>
      <c r="J2851" s="14">
        <f ca="1" t="shared" si="133"/>
        <v>7</v>
      </c>
      <c r="K2851" s="14">
        <f ca="1" t="shared" si="134"/>
        <v>8</v>
      </c>
    </row>
    <row r="2852" ht="18" spans="1:11">
      <c r="A2852" s="10">
        <f t="shared" si="132"/>
        <v>2851</v>
      </c>
      <c r="B2852" s="11" t="s">
        <v>6367</v>
      </c>
      <c r="C2852" s="10" t="str">
        <f>IFERROR(INDEX(面试清单!D:D,MATCH(2851,面试清单!P:P,0)),"")</f>
        <v/>
      </c>
      <c r="D2852" s="11" t="s">
        <v>42</v>
      </c>
      <c r="E2852" s="11" t="s">
        <v>62</v>
      </c>
      <c r="F2852" s="11" t="s">
        <v>233</v>
      </c>
      <c r="G2852" s="15">
        <v>46182</v>
      </c>
      <c r="H2852" s="10" t="str">
        <f>IFERROR(INDEX(面试清单!H:H,MATCH(2851,面试清单!P:P,0)),"")</f>
        <v/>
      </c>
      <c r="I2852" s="13" t="s">
        <v>29</v>
      </c>
      <c r="J2852" s="10">
        <f ca="1" t="shared" si="133"/>
        <v>7</v>
      </c>
      <c r="K2852" s="10">
        <f ca="1" t="shared" si="134"/>
        <v>8</v>
      </c>
    </row>
    <row r="2853" ht="18" spans="1:11">
      <c r="A2853" s="14">
        <f t="shared" si="132"/>
        <v>2852</v>
      </c>
      <c r="B2853" s="11" t="s">
        <v>1528</v>
      </c>
      <c r="C2853" s="14" t="str">
        <f>IFERROR(INDEX(面试清单!D:D,MATCH(2852,面试清单!P:P,0)),"")</f>
        <v/>
      </c>
      <c r="D2853" s="11" t="s">
        <v>42</v>
      </c>
      <c r="E2853" s="11" t="s">
        <v>62</v>
      </c>
      <c r="F2853" s="11" t="s">
        <v>233</v>
      </c>
      <c r="G2853" s="15">
        <v>46182</v>
      </c>
      <c r="H2853" s="14" t="str">
        <f>IFERROR(INDEX(面试清单!H:H,MATCH(2852,面试清单!P:P,0)),"")</f>
        <v/>
      </c>
      <c r="I2853" s="13" t="s">
        <v>29</v>
      </c>
      <c r="J2853" s="14">
        <f ca="1" t="shared" si="133"/>
        <v>7</v>
      </c>
      <c r="K2853" s="14">
        <f ca="1" t="shared" si="134"/>
        <v>8</v>
      </c>
    </row>
    <row r="2854" ht="18" spans="1:11">
      <c r="A2854" s="10">
        <f t="shared" si="132"/>
        <v>2853</v>
      </c>
      <c r="B2854" s="11" t="s">
        <v>1608</v>
      </c>
      <c r="C2854" s="10" t="str">
        <f>IFERROR(INDEX(面试清单!D:D,MATCH(2853,面试清单!P:P,0)),"")</f>
        <v/>
      </c>
      <c r="D2854" s="11" t="s">
        <v>43</v>
      </c>
      <c r="E2854" s="11" t="s">
        <v>63</v>
      </c>
      <c r="F2854" s="11" t="s">
        <v>103</v>
      </c>
      <c r="G2854" s="15">
        <v>46182</v>
      </c>
      <c r="H2854" s="10" t="str">
        <f>IFERROR(INDEX(面试清单!H:H,MATCH(2853,面试清单!P:P,0)),"")</f>
        <v/>
      </c>
      <c r="I2854" s="13" t="s">
        <v>29</v>
      </c>
      <c r="J2854" s="10">
        <f ca="1" t="shared" si="133"/>
        <v>7</v>
      </c>
      <c r="K2854" s="10">
        <f ca="1" t="shared" si="134"/>
        <v>8</v>
      </c>
    </row>
    <row r="2855" ht="18" spans="1:11">
      <c r="A2855" s="14">
        <f t="shared" si="132"/>
        <v>2854</v>
      </c>
      <c r="B2855" s="11" t="s">
        <v>1525</v>
      </c>
      <c r="C2855" s="14" t="str">
        <f>IFERROR(INDEX(面试清单!D:D,MATCH(2854,面试清单!P:P,0)),"")</f>
        <v/>
      </c>
      <c r="D2855" s="11" t="s">
        <v>42</v>
      </c>
      <c r="E2855" s="11" t="s">
        <v>63</v>
      </c>
      <c r="F2855" s="11" t="s">
        <v>117</v>
      </c>
      <c r="G2855" s="15">
        <v>46182</v>
      </c>
      <c r="H2855" s="14" t="str">
        <f>IFERROR(INDEX(面试清单!H:H,MATCH(2854,面试清单!P:P,0)),"")</f>
        <v/>
      </c>
      <c r="I2855" s="13" t="s">
        <v>29</v>
      </c>
      <c r="J2855" s="14">
        <f ca="1" t="shared" si="133"/>
        <v>7</v>
      </c>
      <c r="K2855" s="14">
        <f ca="1" t="shared" si="134"/>
        <v>8</v>
      </c>
    </row>
    <row r="2856" ht="18" spans="1:11">
      <c r="A2856" s="10">
        <f t="shared" si="132"/>
        <v>2855</v>
      </c>
      <c r="B2856" s="11" t="s">
        <v>1555</v>
      </c>
      <c r="C2856" s="10" t="str">
        <f>IFERROR(INDEX(面试清单!D:D,MATCH(2855,面试清单!P:P,0)),"")</f>
        <v/>
      </c>
      <c r="D2856" s="11" t="s">
        <v>43</v>
      </c>
      <c r="E2856" s="11" t="s">
        <v>62</v>
      </c>
      <c r="F2856" s="11" t="s">
        <v>117</v>
      </c>
      <c r="G2856" s="15">
        <v>46182</v>
      </c>
      <c r="H2856" s="10" t="str">
        <f>IFERROR(INDEX(面试清单!H:H,MATCH(2855,面试清单!P:P,0)),"")</f>
        <v/>
      </c>
      <c r="I2856" s="13" t="s">
        <v>29</v>
      </c>
      <c r="J2856" s="10">
        <f ca="1" t="shared" si="133"/>
        <v>7</v>
      </c>
      <c r="K2856" s="10">
        <f ca="1" t="shared" si="134"/>
        <v>8</v>
      </c>
    </row>
    <row r="2857" ht="18" spans="1:11">
      <c r="A2857" s="14">
        <f t="shared" si="132"/>
        <v>2856</v>
      </c>
      <c r="B2857" s="11" t="s">
        <v>1589</v>
      </c>
      <c r="C2857" s="14" t="str">
        <f>IFERROR(INDEX(面试清单!D:D,MATCH(2856,面试清单!P:P,0)),"")</f>
        <v/>
      </c>
      <c r="D2857" s="11" t="s">
        <v>42</v>
      </c>
      <c r="E2857" s="11" t="s">
        <v>63</v>
      </c>
      <c r="F2857" s="11" t="s">
        <v>307</v>
      </c>
      <c r="G2857" s="15">
        <v>46182</v>
      </c>
      <c r="H2857" s="14" t="str">
        <f>IFERROR(INDEX(面试清单!H:H,MATCH(2856,面试清单!P:P,0)),"")</f>
        <v/>
      </c>
      <c r="I2857" s="13" t="s">
        <v>29</v>
      </c>
      <c r="J2857" s="14">
        <f ca="1" t="shared" si="133"/>
        <v>7</v>
      </c>
      <c r="K2857" s="14">
        <f ca="1" t="shared" si="134"/>
        <v>8</v>
      </c>
    </row>
    <row r="2858" ht="18" spans="1:11">
      <c r="A2858" s="10">
        <f t="shared" si="132"/>
        <v>2857</v>
      </c>
      <c r="B2858" s="11" t="s">
        <v>1535</v>
      </c>
      <c r="C2858" s="10" t="str">
        <f>IFERROR(INDEX(面试清单!D:D,MATCH(2857,面试清单!P:P,0)),"")</f>
        <v/>
      </c>
      <c r="D2858" s="11" t="s">
        <v>42</v>
      </c>
      <c r="E2858" s="11" t="s">
        <v>64</v>
      </c>
      <c r="F2858" s="11" t="s">
        <v>135</v>
      </c>
      <c r="G2858" s="15">
        <v>46182</v>
      </c>
      <c r="H2858" s="10" t="str">
        <f>IFERROR(INDEX(面试清单!H:H,MATCH(2857,面试清单!P:P,0)),"")</f>
        <v/>
      </c>
      <c r="I2858" s="13" t="s">
        <v>29</v>
      </c>
      <c r="J2858" s="10">
        <f ca="1" t="shared" si="133"/>
        <v>7</v>
      </c>
      <c r="K2858" s="10">
        <f ca="1" t="shared" si="134"/>
        <v>8</v>
      </c>
    </row>
    <row r="2859" ht="18" spans="1:11">
      <c r="A2859" s="14">
        <f t="shared" si="132"/>
        <v>2858</v>
      </c>
      <c r="B2859" s="11" t="s">
        <v>1621</v>
      </c>
      <c r="C2859" s="14" t="str">
        <f>IFERROR(INDEX(面试清单!D:D,MATCH(2858,面试清单!P:P,0)),"")</f>
        <v/>
      </c>
      <c r="D2859" s="11" t="s">
        <v>43</v>
      </c>
      <c r="E2859" s="11" t="s">
        <v>63</v>
      </c>
      <c r="F2859" s="11" t="s">
        <v>129</v>
      </c>
      <c r="G2859" s="15">
        <v>46182</v>
      </c>
      <c r="H2859" s="14" t="str">
        <f>IFERROR(INDEX(面试清单!H:H,MATCH(2858,面试清单!P:P,0)),"")</f>
        <v/>
      </c>
      <c r="I2859" s="13" t="s">
        <v>29</v>
      </c>
      <c r="J2859" s="14">
        <f ca="1" t="shared" si="133"/>
        <v>7</v>
      </c>
      <c r="K2859" s="14">
        <f ca="1" t="shared" si="134"/>
        <v>8</v>
      </c>
    </row>
    <row r="2860" ht="18" spans="1:11">
      <c r="A2860" s="10">
        <f t="shared" si="132"/>
        <v>2859</v>
      </c>
      <c r="B2860" s="11" t="s">
        <v>1449</v>
      </c>
      <c r="C2860" s="10" t="str">
        <f>IFERROR(INDEX(面试清单!D:D,MATCH(2859,面试清单!P:P,0)),"")</f>
        <v/>
      </c>
      <c r="D2860" s="11" t="s">
        <v>43</v>
      </c>
      <c r="E2860" s="11" t="s">
        <v>62</v>
      </c>
      <c r="F2860" s="11" t="s">
        <v>173</v>
      </c>
      <c r="G2860" s="15">
        <v>46182</v>
      </c>
      <c r="H2860" s="10" t="str">
        <f>IFERROR(INDEX(面试清单!H:H,MATCH(2859,面试清单!P:P,0)),"")</f>
        <v/>
      </c>
      <c r="I2860" s="13" t="s">
        <v>29</v>
      </c>
      <c r="J2860" s="10">
        <f ca="1" t="shared" si="133"/>
        <v>7</v>
      </c>
      <c r="K2860" s="10">
        <f ca="1" t="shared" si="134"/>
        <v>8</v>
      </c>
    </row>
    <row r="2861" ht="18" spans="1:11">
      <c r="A2861" s="14">
        <f t="shared" si="132"/>
        <v>2860</v>
      </c>
      <c r="B2861" s="11" t="s">
        <v>1453</v>
      </c>
      <c r="C2861" s="14" t="str">
        <f>IFERROR(INDEX(面试清单!D:D,MATCH(2860,面试清单!P:P,0)),"")</f>
        <v/>
      </c>
      <c r="D2861" s="11" t="s">
        <v>43</v>
      </c>
      <c r="E2861" s="11" t="s">
        <v>63</v>
      </c>
      <c r="F2861" s="11" t="s">
        <v>173</v>
      </c>
      <c r="G2861" s="15">
        <v>46182</v>
      </c>
      <c r="H2861" s="14" t="str">
        <f>IFERROR(INDEX(面试清单!H:H,MATCH(2860,面试清单!P:P,0)),"")</f>
        <v/>
      </c>
      <c r="I2861" s="13" t="s">
        <v>29</v>
      </c>
      <c r="J2861" s="14">
        <f ca="1" t="shared" si="133"/>
        <v>7</v>
      </c>
      <c r="K2861" s="14">
        <f ca="1" t="shared" si="134"/>
        <v>8</v>
      </c>
    </row>
    <row r="2862" ht="18" spans="1:11">
      <c r="A2862" s="10">
        <f t="shared" si="132"/>
        <v>2861</v>
      </c>
      <c r="B2862" s="11" t="s">
        <v>1531</v>
      </c>
      <c r="C2862" s="10" t="str">
        <f>IFERROR(INDEX(面试清单!D:D,MATCH(2861,面试清单!P:P,0)),"")</f>
        <v/>
      </c>
      <c r="D2862" s="11" t="s">
        <v>42</v>
      </c>
      <c r="E2862" s="11" t="s">
        <v>62</v>
      </c>
      <c r="F2862" s="11" t="s">
        <v>173</v>
      </c>
      <c r="G2862" s="15">
        <v>46182</v>
      </c>
      <c r="H2862" s="10" t="str">
        <f>IFERROR(INDEX(面试清单!H:H,MATCH(2861,面试清单!P:P,0)),"")</f>
        <v/>
      </c>
      <c r="I2862" s="13" t="s">
        <v>29</v>
      </c>
      <c r="J2862" s="10">
        <f ca="1" t="shared" si="133"/>
        <v>7</v>
      </c>
      <c r="K2862" s="10">
        <f ca="1" t="shared" si="134"/>
        <v>8</v>
      </c>
    </row>
    <row r="2863" ht="18" spans="1:11">
      <c r="A2863" s="14">
        <f t="shared" si="132"/>
        <v>2862</v>
      </c>
      <c r="B2863" s="11" t="s">
        <v>1612</v>
      </c>
      <c r="C2863" s="14" t="str">
        <f>IFERROR(INDEX(面试清单!D:D,MATCH(2862,面试清单!P:P,0)),"")</f>
        <v/>
      </c>
      <c r="D2863" s="11" t="s">
        <v>43</v>
      </c>
      <c r="E2863" s="11" t="s">
        <v>63</v>
      </c>
      <c r="F2863" s="11" t="s">
        <v>148</v>
      </c>
      <c r="G2863" s="15">
        <v>46182</v>
      </c>
      <c r="H2863" s="14" t="str">
        <f>IFERROR(INDEX(面试清单!H:H,MATCH(2862,面试清单!P:P,0)),"")</f>
        <v/>
      </c>
      <c r="I2863" s="13" t="s">
        <v>29</v>
      </c>
      <c r="J2863" s="14">
        <f ca="1" t="shared" si="133"/>
        <v>7</v>
      </c>
      <c r="K2863" s="14">
        <f ca="1" t="shared" si="134"/>
        <v>8</v>
      </c>
    </row>
    <row r="2864" ht="18" spans="1:11">
      <c r="A2864" s="10">
        <f t="shared" si="132"/>
        <v>2863</v>
      </c>
      <c r="B2864" s="11" t="s">
        <v>1613</v>
      </c>
      <c r="C2864" s="10" t="str">
        <f>IFERROR(INDEX(面试清单!D:D,MATCH(2863,面试清单!P:P,0)),"")</f>
        <v/>
      </c>
      <c r="D2864" s="11" t="s">
        <v>43</v>
      </c>
      <c r="E2864" s="11" t="s">
        <v>63</v>
      </c>
      <c r="F2864" s="11" t="s">
        <v>148</v>
      </c>
      <c r="G2864" s="15">
        <v>46182</v>
      </c>
      <c r="H2864" s="10" t="str">
        <f>IFERROR(INDEX(面试清单!H:H,MATCH(2863,面试清单!P:P,0)),"")</f>
        <v/>
      </c>
      <c r="I2864" s="13" t="s">
        <v>29</v>
      </c>
      <c r="J2864" s="10">
        <f ca="1" t="shared" si="133"/>
        <v>7</v>
      </c>
      <c r="K2864" s="10">
        <f ca="1" t="shared" si="134"/>
        <v>8</v>
      </c>
    </row>
    <row r="2865" ht="18" spans="1:11">
      <c r="A2865" s="14">
        <f t="shared" si="132"/>
        <v>2864</v>
      </c>
      <c r="B2865" s="11" t="s">
        <v>1614</v>
      </c>
      <c r="C2865" s="14" t="str">
        <f>IFERROR(INDEX(面试清单!D:D,MATCH(2864,面试清单!P:P,0)),"")</f>
        <v/>
      </c>
      <c r="D2865" s="11" t="s">
        <v>43</v>
      </c>
      <c r="E2865" s="11" t="s">
        <v>63</v>
      </c>
      <c r="F2865" s="11" t="s">
        <v>148</v>
      </c>
      <c r="G2865" s="15">
        <v>46182</v>
      </c>
      <c r="H2865" s="14" t="str">
        <f>IFERROR(INDEX(面试清单!H:H,MATCH(2864,面试清单!P:P,0)),"")</f>
        <v/>
      </c>
      <c r="I2865" s="13" t="s">
        <v>29</v>
      </c>
      <c r="J2865" s="14">
        <f ca="1" t="shared" si="133"/>
        <v>7</v>
      </c>
      <c r="K2865" s="14">
        <f ca="1" t="shared" si="134"/>
        <v>8</v>
      </c>
    </row>
    <row r="2866" ht="18" spans="1:11">
      <c r="A2866" s="10">
        <f t="shared" si="132"/>
        <v>2865</v>
      </c>
      <c r="B2866" s="11" t="s">
        <v>1615</v>
      </c>
      <c r="C2866" s="10" t="str">
        <f>IFERROR(INDEX(面试清单!D:D,MATCH(2865,面试清单!P:P,0)),"")</f>
        <v/>
      </c>
      <c r="D2866" s="11" t="s">
        <v>43</v>
      </c>
      <c r="E2866" s="11" t="s">
        <v>63</v>
      </c>
      <c r="F2866" s="11" t="s">
        <v>148</v>
      </c>
      <c r="G2866" s="15">
        <v>46182</v>
      </c>
      <c r="H2866" s="10" t="str">
        <f>IFERROR(INDEX(面试清单!H:H,MATCH(2865,面试清单!P:P,0)),"")</f>
        <v/>
      </c>
      <c r="I2866" s="13" t="s">
        <v>29</v>
      </c>
      <c r="J2866" s="10">
        <f ca="1" t="shared" si="133"/>
        <v>7</v>
      </c>
      <c r="K2866" s="10">
        <f ca="1" t="shared" si="134"/>
        <v>8</v>
      </c>
    </row>
    <row r="2867" ht="18" spans="1:11">
      <c r="A2867" s="14">
        <f t="shared" si="132"/>
        <v>2866</v>
      </c>
      <c r="B2867" s="11" t="s">
        <v>1455</v>
      </c>
      <c r="C2867" s="14" t="str">
        <f>IFERROR(INDEX(面试清单!D:D,MATCH(2866,面试清单!P:P,0)),"")</f>
        <v/>
      </c>
      <c r="D2867" s="11" t="s">
        <v>43</v>
      </c>
      <c r="E2867" s="11" t="s">
        <v>62</v>
      </c>
      <c r="F2867" s="11" t="s">
        <v>744</v>
      </c>
      <c r="G2867" s="15">
        <v>46182</v>
      </c>
      <c r="H2867" s="14" t="str">
        <f>IFERROR(INDEX(面试清单!H:H,MATCH(2866,面试清单!P:P,0)),"")</f>
        <v/>
      </c>
      <c r="I2867" s="13" t="s">
        <v>29</v>
      </c>
      <c r="J2867" s="14">
        <f ca="1" t="shared" si="133"/>
        <v>7</v>
      </c>
      <c r="K2867" s="14">
        <f ca="1" t="shared" si="134"/>
        <v>8</v>
      </c>
    </row>
    <row r="2868" ht="18" spans="1:11">
      <c r="A2868" s="10">
        <f t="shared" si="132"/>
        <v>2867</v>
      </c>
      <c r="B2868" s="11" t="s">
        <v>1576</v>
      </c>
      <c r="C2868" s="10" t="str">
        <f>IFERROR(INDEX(面试清单!D:D,MATCH(2867,面试清单!P:P,0)),"")</f>
        <v/>
      </c>
      <c r="D2868" s="11" t="s">
        <v>42</v>
      </c>
      <c r="E2868" s="11" t="s">
        <v>62</v>
      </c>
      <c r="F2868" s="11" t="s">
        <v>103</v>
      </c>
      <c r="G2868" s="15">
        <v>46182</v>
      </c>
      <c r="H2868" s="10" t="str">
        <f>IFERROR(INDEX(面试清单!H:H,MATCH(2867,面试清单!P:P,0)),"")</f>
        <v/>
      </c>
      <c r="I2868" s="13" t="s">
        <v>29</v>
      </c>
      <c r="J2868" s="10">
        <f ca="1" t="shared" si="133"/>
        <v>7</v>
      </c>
      <c r="K2868" s="10">
        <f ca="1" t="shared" si="134"/>
        <v>8</v>
      </c>
    </row>
    <row r="2869" ht="18" spans="1:11">
      <c r="A2869" s="14">
        <f t="shared" si="132"/>
        <v>2868</v>
      </c>
      <c r="B2869" s="11" t="s">
        <v>1459</v>
      </c>
      <c r="C2869" s="14" t="str">
        <f>IFERROR(INDEX(面试清单!D:D,MATCH(2868,面试清单!P:P,0)),"")</f>
        <v/>
      </c>
      <c r="D2869" s="11" t="s">
        <v>43</v>
      </c>
      <c r="E2869" s="11" t="s">
        <v>62</v>
      </c>
      <c r="F2869" s="11" t="s">
        <v>1426</v>
      </c>
      <c r="G2869" s="15">
        <v>46182</v>
      </c>
      <c r="H2869" s="14" t="str">
        <f>IFERROR(INDEX(面试清单!H:H,MATCH(2868,面试清单!P:P,0)),"")</f>
        <v/>
      </c>
      <c r="I2869" s="13" t="s">
        <v>29</v>
      </c>
      <c r="J2869" s="14">
        <f ca="1" t="shared" si="133"/>
        <v>7</v>
      </c>
      <c r="K2869" s="14">
        <f ca="1" t="shared" si="134"/>
        <v>8</v>
      </c>
    </row>
    <row r="2870" ht="18" spans="1:11">
      <c r="A2870" s="10">
        <f t="shared" si="132"/>
        <v>2869</v>
      </c>
      <c r="B2870" s="11" t="s">
        <v>1560</v>
      </c>
      <c r="C2870" s="10" t="str">
        <f>IFERROR(INDEX(面试清单!D:D,MATCH(2869,面试清单!P:P,0)),"")</f>
        <v/>
      </c>
      <c r="D2870" s="11" t="s">
        <v>43</v>
      </c>
      <c r="E2870" s="11" t="s">
        <v>63</v>
      </c>
      <c r="F2870" s="11" t="s">
        <v>173</v>
      </c>
      <c r="G2870" s="15">
        <v>46182</v>
      </c>
      <c r="H2870" s="10" t="str">
        <f>IFERROR(INDEX(面试清单!H:H,MATCH(2869,面试清单!P:P,0)),"")</f>
        <v/>
      </c>
      <c r="I2870" s="13" t="s">
        <v>29</v>
      </c>
      <c r="J2870" s="10">
        <f ca="1" t="shared" si="133"/>
        <v>7</v>
      </c>
      <c r="K2870" s="10">
        <f ca="1" t="shared" si="134"/>
        <v>8</v>
      </c>
    </row>
    <row r="2871" ht="18" spans="1:11">
      <c r="A2871" s="14">
        <f t="shared" si="132"/>
        <v>2870</v>
      </c>
      <c r="B2871" s="11" t="s">
        <v>6368</v>
      </c>
      <c r="C2871" s="14" t="str">
        <f>IFERROR(INDEX(面试清单!D:D,MATCH(2870,面试清单!P:P,0)),"")</f>
        <v/>
      </c>
      <c r="D2871" s="11" t="s">
        <v>43</v>
      </c>
      <c r="E2871" s="11" t="s">
        <v>63</v>
      </c>
      <c r="F2871" s="11" t="s">
        <v>124</v>
      </c>
      <c r="G2871" s="15">
        <v>46182</v>
      </c>
      <c r="H2871" s="14" t="str">
        <f>IFERROR(INDEX(面试清单!H:H,MATCH(2870,面试清单!P:P,0)),"")</f>
        <v/>
      </c>
      <c r="I2871" s="13" t="s">
        <v>29</v>
      </c>
      <c r="J2871" s="14">
        <f ca="1" t="shared" si="133"/>
        <v>7</v>
      </c>
      <c r="K2871" s="14">
        <f ca="1" t="shared" si="134"/>
        <v>8</v>
      </c>
    </row>
    <row r="2872" ht="18" spans="1:11">
      <c r="A2872" s="10">
        <f t="shared" si="132"/>
        <v>2871</v>
      </c>
      <c r="B2872" s="11" t="s">
        <v>1623</v>
      </c>
      <c r="C2872" s="10" t="str">
        <f>IFERROR(INDEX(面试清单!D:D,MATCH(2871,面试清单!P:P,0)),"")</f>
        <v/>
      </c>
      <c r="D2872" s="11" t="s">
        <v>43</v>
      </c>
      <c r="E2872" s="11" t="s">
        <v>62</v>
      </c>
      <c r="F2872" s="11" t="s">
        <v>173</v>
      </c>
      <c r="G2872" s="15">
        <v>46182</v>
      </c>
      <c r="H2872" s="10" t="str">
        <f>IFERROR(INDEX(面试清单!H:H,MATCH(2871,面试清单!P:P,0)),"")</f>
        <v/>
      </c>
      <c r="I2872" s="13" t="s">
        <v>29</v>
      </c>
      <c r="J2872" s="10">
        <f ca="1" t="shared" si="133"/>
        <v>7</v>
      </c>
      <c r="K2872" s="10">
        <f ca="1" t="shared" si="134"/>
        <v>8</v>
      </c>
    </row>
    <row r="2873" ht="18" spans="1:11">
      <c r="A2873" s="14">
        <f t="shared" si="132"/>
        <v>2872</v>
      </c>
      <c r="B2873" s="11" t="s">
        <v>1370</v>
      </c>
      <c r="C2873" s="14" t="str">
        <f>IFERROR(INDEX(面试清单!D:D,MATCH(2872,面试清单!P:P,0)),"")</f>
        <v/>
      </c>
      <c r="D2873" s="11" t="s">
        <v>42</v>
      </c>
      <c r="E2873" s="11" t="s">
        <v>62</v>
      </c>
      <c r="F2873" s="11" t="s">
        <v>129</v>
      </c>
      <c r="G2873" s="15">
        <v>46182</v>
      </c>
      <c r="H2873" s="14" t="str">
        <f>IFERROR(INDEX(面试清单!H:H,MATCH(2872,面试清单!P:P,0)),"")</f>
        <v/>
      </c>
      <c r="I2873" s="13" t="s">
        <v>29</v>
      </c>
      <c r="J2873" s="14">
        <f ca="1" t="shared" si="133"/>
        <v>7</v>
      </c>
      <c r="K2873" s="14">
        <f ca="1" t="shared" si="134"/>
        <v>8</v>
      </c>
    </row>
    <row r="2874" ht="18" spans="1:11">
      <c r="A2874" s="10">
        <f t="shared" si="132"/>
        <v>2873</v>
      </c>
      <c r="B2874" s="11" t="s">
        <v>6369</v>
      </c>
      <c r="C2874" s="10" t="str">
        <f>IFERROR(INDEX(面试清单!D:D,MATCH(2873,面试清单!P:P,0)),"")</f>
        <v/>
      </c>
      <c r="D2874" s="11" t="s">
        <v>42</v>
      </c>
      <c r="E2874" s="11" t="s">
        <v>62</v>
      </c>
      <c r="F2874" s="11" t="s">
        <v>233</v>
      </c>
      <c r="G2874" s="15">
        <v>46182</v>
      </c>
      <c r="H2874" s="10" t="str">
        <f>IFERROR(INDEX(面试清单!H:H,MATCH(2873,面试清单!P:P,0)),"")</f>
        <v/>
      </c>
      <c r="I2874" s="13" t="s">
        <v>29</v>
      </c>
      <c r="J2874" s="10">
        <f ca="1" t="shared" si="133"/>
        <v>7</v>
      </c>
      <c r="K2874" s="10">
        <f ca="1" t="shared" si="134"/>
        <v>8</v>
      </c>
    </row>
    <row r="2875" ht="18" spans="1:11">
      <c r="A2875" s="14">
        <f t="shared" si="132"/>
        <v>2874</v>
      </c>
      <c r="B2875" s="11" t="s">
        <v>1433</v>
      </c>
      <c r="C2875" s="14" t="str">
        <f>IFERROR(INDEX(面试清单!D:D,MATCH(2874,面试清单!P:P,0)),"")</f>
        <v/>
      </c>
      <c r="D2875" s="11" t="s">
        <v>43</v>
      </c>
      <c r="E2875" s="11" t="s">
        <v>63</v>
      </c>
      <c r="F2875" s="11" t="s">
        <v>173</v>
      </c>
      <c r="G2875" s="15">
        <v>46182</v>
      </c>
      <c r="H2875" s="14" t="str">
        <f>IFERROR(INDEX(面试清单!H:H,MATCH(2874,面试清单!P:P,0)),"")</f>
        <v/>
      </c>
      <c r="I2875" s="13" t="s">
        <v>29</v>
      </c>
      <c r="J2875" s="14">
        <f ca="1" t="shared" si="133"/>
        <v>7</v>
      </c>
      <c r="K2875" s="14">
        <f ca="1" t="shared" si="134"/>
        <v>8</v>
      </c>
    </row>
    <row r="2876" ht="18" spans="1:11">
      <c r="A2876" s="10">
        <f t="shared" si="132"/>
        <v>2875</v>
      </c>
      <c r="B2876" s="11" t="s">
        <v>6370</v>
      </c>
      <c r="C2876" s="10" t="str">
        <f>IFERROR(INDEX(面试清单!D:D,MATCH(2875,面试清单!P:P,0)),"")</f>
        <v/>
      </c>
      <c r="D2876" s="11" t="s">
        <v>43</v>
      </c>
      <c r="E2876" s="11" t="s">
        <v>62</v>
      </c>
      <c r="F2876" s="11" t="s">
        <v>233</v>
      </c>
      <c r="G2876" s="15">
        <v>46182</v>
      </c>
      <c r="H2876" s="10" t="str">
        <f>IFERROR(INDEX(面试清单!H:H,MATCH(2875,面试清单!P:P,0)),"")</f>
        <v/>
      </c>
      <c r="I2876" s="13" t="s">
        <v>29</v>
      </c>
      <c r="J2876" s="10">
        <f ca="1" t="shared" si="133"/>
        <v>7</v>
      </c>
      <c r="K2876" s="10">
        <f ca="1" t="shared" si="134"/>
        <v>8</v>
      </c>
    </row>
    <row r="2877" ht="18" spans="1:11">
      <c r="A2877" s="14">
        <f t="shared" si="132"/>
        <v>2876</v>
      </c>
      <c r="B2877" s="11" t="s">
        <v>6371</v>
      </c>
      <c r="C2877" s="14" t="str">
        <f>IFERROR(INDEX(面试清单!D:D,MATCH(2876,面试清单!P:P,0)),"")</f>
        <v/>
      </c>
      <c r="D2877" s="11" t="s">
        <v>42</v>
      </c>
      <c r="E2877" s="11" t="s">
        <v>62</v>
      </c>
      <c r="F2877" s="11" t="s">
        <v>179</v>
      </c>
      <c r="G2877" s="15">
        <v>46182</v>
      </c>
      <c r="H2877" s="14" t="str">
        <f>IFERROR(INDEX(面试清单!H:H,MATCH(2876,面试清单!P:P,0)),"")</f>
        <v/>
      </c>
      <c r="I2877" s="13" t="s">
        <v>29</v>
      </c>
      <c r="J2877" s="14">
        <f ca="1" t="shared" si="133"/>
        <v>7</v>
      </c>
      <c r="K2877" s="14">
        <f ca="1" t="shared" si="134"/>
        <v>8</v>
      </c>
    </row>
    <row r="2878" ht="18" spans="1:11">
      <c r="A2878" s="10">
        <f t="shared" si="132"/>
        <v>2877</v>
      </c>
      <c r="B2878" s="11" t="s">
        <v>6372</v>
      </c>
      <c r="C2878" s="10" t="str">
        <f>IFERROR(INDEX(面试清单!D:D,MATCH(2877,面试清单!P:P,0)),"")</f>
        <v/>
      </c>
      <c r="D2878" s="11" t="s">
        <v>43</v>
      </c>
      <c r="E2878" s="11" t="s">
        <v>63</v>
      </c>
      <c r="F2878" s="11" t="s">
        <v>179</v>
      </c>
      <c r="G2878" s="15">
        <v>46182</v>
      </c>
      <c r="H2878" s="10" t="str">
        <f>IFERROR(INDEX(面试清单!H:H,MATCH(2877,面试清单!P:P,0)),"")</f>
        <v/>
      </c>
      <c r="I2878" s="13" t="s">
        <v>29</v>
      </c>
      <c r="J2878" s="10">
        <f ca="1" t="shared" si="133"/>
        <v>7</v>
      </c>
      <c r="K2878" s="10">
        <f ca="1" t="shared" si="134"/>
        <v>8</v>
      </c>
    </row>
    <row r="2879" ht="18" spans="1:11">
      <c r="A2879" s="14">
        <f t="shared" si="132"/>
        <v>2878</v>
      </c>
      <c r="B2879" s="11" t="s">
        <v>668</v>
      </c>
      <c r="C2879" s="14" t="str">
        <f>IFERROR(INDEX(面试清单!D:D,MATCH(2878,面试清单!P:P,0)),"")</f>
        <v/>
      </c>
      <c r="D2879" s="11" t="s">
        <v>74</v>
      </c>
      <c r="E2879" s="11" t="s">
        <v>64</v>
      </c>
      <c r="F2879" s="11" t="s">
        <v>124</v>
      </c>
      <c r="G2879" s="15">
        <v>46182</v>
      </c>
      <c r="H2879" s="14" t="str">
        <f>IFERROR(INDEX(面试清单!H:H,MATCH(2878,面试清单!P:P,0)),"")</f>
        <v/>
      </c>
      <c r="I2879" s="13" t="s">
        <v>29</v>
      </c>
      <c r="J2879" s="14">
        <f ca="1" t="shared" si="133"/>
        <v>7</v>
      </c>
      <c r="K2879" s="14">
        <f ca="1" t="shared" si="134"/>
        <v>8</v>
      </c>
    </row>
    <row r="2880" ht="18" spans="1:11">
      <c r="A2880" s="10">
        <f t="shared" si="132"/>
        <v>2879</v>
      </c>
      <c r="B2880" s="11" t="s">
        <v>794</v>
      </c>
      <c r="C2880" s="10" t="str">
        <f>IFERROR(INDEX(面试清单!D:D,MATCH(2879,面试清单!P:P,0)),"")</f>
        <v/>
      </c>
      <c r="D2880" s="11" t="s">
        <v>74</v>
      </c>
      <c r="E2880" s="11" t="s">
        <v>64</v>
      </c>
      <c r="F2880" s="11" t="s">
        <v>124</v>
      </c>
      <c r="G2880" s="15">
        <v>46182</v>
      </c>
      <c r="H2880" s="10" t="str">
        <f>IFERROR(INDEX(面试清单!H:H,MATCH(2879,面试清单!P:P,0)),"")</f>
        <v/>
      </c>
      <c r="I2880" s="13" t="s">
        <v>29</v>
      </c>
      <c r="J2880" s="10">
        <f ca="1" t="shared" si="133"/>
        <v>7</v>
      </c>
      <c r="K2880" s="10">
        <f ca="1" t="shared" si="134"/>
        <v>8</v>
      </c>
    </row>
    <row r="2881" ht="18" spans="1:11">
      <c r="A2881" s="14">
        <f t="shared" si="132"/>
        <v>2880</v>
      </c>
      <c r="B2881" s="11" t="s">
        <v>798</v>
      </c>
      <c r="C2881" s="14" t="str">
        <f>IFERROR(INDEX(面试清单!D:D,MATCH(2880,面试清单!P:P,0)),"")</f>
        <v/>
      </c>
      <c r="D2881" s="11" t="s">
        <v>43</v>
      </c>
      <c r="E2881" s="11" t="s">
        <v>62</v>
      </c>
      <c r="F2881" s="11" t="s">
        <v>103</v>
      </c>
      <c r="G2881" s="15">
        <v>46182</v>
      </c>
      <c r="H2881" s="14" t="str">
        <f>IFERROR(INDEX(面试清单!H:H,MATCH(2880,面试清单!P:P,0)),"")</f>
        <v/>
      </c>
      <c r="I2881" s="13" t="s">
        <v>29</v>
      </c>
      <c r="J2881" s="14">
        <f ca="1" t="shared" si="133"/>
        <v>7</v>
      </c>
      <c r="K2881" s="14">
        <f ca="1" t="shared" si="134"/>
        <v>8</v>
      </c>
    </row>
    <row r="2882" ht="18" spans="1:11">
      <c r="A2882" s="10">
        <f t="shared" ref="A2882:A2945" si="135">IF(B2882&lt;&gt;"",ROW()-1,"")</f>
        <v>2881</v>
      </c>
      <c r="B2882" s="11" t="s">
        <v>799</v>
      </c>
      <c r="C2882" s="10" t="str">
        <f>IFERROR(INDEX(面试清单!D:D,MATCH(2881,面试清单!P:P,0)),"")</f>
        <v/>
      </c>
      <c r="D2882" s="11" t="s">
        <v>43</v>
      </c>
      <c r="E2882" s="11" t="s">
        <v>62</v>
      </c>
      <c r="F2882" s="11" t="s">
        <v>103</v>
      </c>
      <c r="G2882" s="15">
        <v>46182</v>
      </c>
      <c r="H2882" s="10" t="str">
        <f>IFERROR(INDEX(面试清单!H:H,MATCH(2881,面试清单!P:P,0)),"")</f>
        <v/>
      </c>
      <c r="I2882" s="13" t="s">
        <v>29</v>
      </c>
      <c r="J2882" s="10">
        <f ca="1" t="shared" ref="J2882:J2945" si="136">IF(G2882&lt;&gt;"",TODAY()-G2882,"")</f>
        <v>7</v>
      </c>
      <c r="K2882" s="10">
        <f ca="1" t="shared" ref="K2882:K2945" si="137">IF(G2882&lt;&gt;"",MAX(0,MIN(TODAY(),EOMONTH(TODAY(),0))-MAX(G2882,EOMONTH(TODAY(),-1)+1)+1),"")</f>
        <v>8</v>
      </c>
    </row>
    <row r="2883" ht="18" spans="1:11">
      <c r="A2883" s="14">
        <f t="shared" si="135"/>
        <v>2882</v>
      </c>
      <c r="B2883" s="11" t="s">
        <v>800</v>
      </c>
      <c r="C2883" s="14" t="str">
        <f>IFERROR(INDEX(面试清单!D:D,MATCH(2882,面试清单!P:P,0)),"")</f>
        <v/>
      </c>
      <c r="D2883" s="11" t="s">
        <v>43</v>
      </c>
      <c r="E2883" s="11" t="s">
        <v>62</v>
      </c>
      <c r="F2883" s="11" t="s">
        <v>103</v>
      </c>
      <c r="G2883" s="15">
        <v>46182</v>
      </c>
      <c r="H2883" s="14" t="str">
        <f>IFERROR(INDEX(面试清单!H:H,MATCH(2882,面试清单!P:P,0)),"")</f>
        <v/>
      </c>
      <c r="I2883" s="13" t="s">
        <v>29</v>
      </c>
      <c r="J2883" s="14">
        <f ca="1" t="shared" si="136"/>
        <v>7</v>
      </c>
      <c r="K2883" s="14">
        <f ca="1" t="shared" si="137"/>
        <v>8</v>
      </c>
    </row>
    <row r="2884" ht="18" spans="1:11">
      <c r="A2884" s="10">
        <f t="shared" si="135"/>
        <v>2883</v>
      </c>
      <c r="B2884" s="11" t="s">
        <v>801</v>
      </c>
      <c r="C2884" s="125" t="str">
        <f>IFERROR(INDEX(面试清单!D:D,MATCH(2883,面试清单!P:P,0)),"")</f>
        <v>0217</v>
      </c>
      <c r="D2884" s="11" t="s">
        <v>74</v>
      </c>
      <c r="E2884" s="11" t="s">
        <v>190</v>
      </c>
      <c r="F2884" s="11" t="s">
        <v>117</v>
      </c>
      <c r="G2884" s="15">
        <v>46182</v>
      </c>
      <c r="H2884" s="10" t="str">
        <f>IFERROR(INDEX(面试清单!H:H,MATCH(2883,面试清单!P:P,0)),"")</f>
        <v>线上</v>
      </c>
      <c r="I2884" s="13" t="s">
        <v>29</v>
      </c>
      <c r="J2884" s="10">
        <f ca="1" t="shared" si="136"/>
        <v>7</v>
      </c>
      <c r="K2884" s="10">
        <f ca="1" t="shared" si="137"/>
        <v>8</v>
      </c>
    </row>
    <row r="2885" ht="18" spans="1:11">
      <c r="A2885" s="14">
        <f t="shared" si="135"/>
        <v>2884</v>
      </c>
      <c r="B2885" s="11" t="s">
        <v>803</v>
      </c>
      <c r="C2885" s="14" t="str">
        <f>IFERROR(INDEX(面试清单!D:D,MATCH(2884,面试清单!P:P,0)),"")</f>
        <v/>
      </c>
      <c r="D2885" s="11" t="s">
        <v>74</v>
      </c>
      <c r="E2885" s="11" t="s">
        <v>190</v>
      </c>
      <c r="F2885" s="11" t="s">
        <v>117</v>
      </c>
      <c r="G2885" s="15">
        <v>46182</v>
      </c>
      <c r="H2885" s="14" t="str">
        <f>IFERROR(INDEX(面试清单!H:H,MATCH(2884,面试清单!P:P,0)),"")</f>
        <v/>
      </c>
      <c r="I2885" s="13" t="s">
        <v>29</v>
      </c>
      <c r="J2885" s="14">
        <f ca="1" t="shared" si="136"/>
        <v>7</v>
      </c>
      <c r="K2885" s="14">
        <f ca="1" t="shared" si="137"/>
        <v>8</v>
      </c>
    </row>
    <row r="2886" ht="18" spans="1:11">
      <c r="A2886" s="10">
        <f t="shared" si="135"/>
        <v>2885</v>
      </c>
      <c r="B2886" s="11" t="s">
        <v>1587</v>
      </c>
      <c r="C2886" s="10" t="str">
        <f>IFERROR(INDEX(面试清单!D:D,MATCH(2885,面试清单!P:P,0)),"")</f>
        <v/>
      </c>
      <c r="D2886" s="11" t="s">
        <v>42</v>
      </c>
      <c r="E2886" s="11" t="s">
        <v>62</v>
      </c>
      <c r="F2886" s="11" t="s">
        <v>307</v>
      </c>
      <c r="G2886" s="15">
        <v>46182</v>
      </c>
      <c r="H2886" s="10" t="str">
        <f>IFERROR(INDEX(面试清单!H:H,MATCH(2885,面试清单!P:P,0)),"")</f>
        <v/>
      </c>
      <c r="I2886" s="13" t="s">
        <v>29</v>
      </c>
      <c r="J2886" s="10">
        <f ca="1" t="shared" si="136"/>
        <v>7</v>
      </c>
      <c r="K2886" s="10">
        <f ca="1" t="shared" si="137"/>
        <v>8</v>
      </c>
    </row>
    <row r="2887" ht="18" spans="1:11">
      <c r="A2887" s="14">
        <f t="shared" si="135"/>
        <v>2886</v>
      </c>
      <c r="B2887" s="11" t="s">
        <v>815</v>
      </c>
      <c r="C2887" s="14" t="str">
        <f>IFERROR(INDEX(面试清单!D:D,MATCH(2886,面试清单!P:P,0)),"")</f>
        <v/>
      </c>
      <c r="D2887" s="11" t="s">
        <v>43</v>
      </c>
      <c r="E2887" s="11" t="s">
        <v>62</v>
      </c>
      <c r="F2887" s="11" t="s">
        <v>129</v>
      </c>
      <c r="G2887" s="15">
        <v>46182</v>
      </c>
      <c r="H2887" s="14" t="str">
        <f>IFERROR(INDEX(面试清单!H:H,MATCH(2886,面试清单!P:P,0)),"")</f>
        <v/>
      </c>
      <c r="I2887" s="13" t="s">
        <v>29</v>
      </c>
      <c r="J2887" s="14">
        <f ca="1" t="shared" si="136"/>
        <v>7</v>
      </c>
      <c r="K2887" s="14">
        <f ca="1" t="shared" si="137"/>
        <v>8</v>
      </c>
    </row>
    <row r="2888" ht="18" spans="1:11">
      <c r="A2888" s="10">
        <f t="shared" si="135"/>
        <v>2887</v>
      </c>
      <c r="B2888" s="11" t="s">
        <v>1603</v>
      </c>
      <c r="C2888" s="10" t="str">
        <f>IFERROR(INDEX(面试清单!D:D,MATCH(2887,面试清单!P:P,0)),"")</f>
        <v/>
      </c>
      <c r="D2888" s="11" t="s">
        <v>42</v>
      </c>
      <c r="E2888" s="11" t="s">
        <v>62</v>
      </c>
      <c r="F2888" s="11" t="s">
        <v>173</v>
      </c>
      <c r="G2888" s="15">
        <v>46182</v>
      </c>
      <c r="H2888" s="10" t="str">
        <f>IFERROR(INDEX(面试清单!H:H,MATCH(2887,面试清单!P:P,0)),"")</f>
        <v/>
      </c>
      <c r="I2888" s="13" t="s">
        <v>29</v>
      </c>
      <c r="J2888" s="10">
        <f ca="1" t="shared" si="136"/>
        <v>7</v>
      </c>
      <c r="K2888" s="10">
        <f ca="1" t="shared" si="137"/>
        <v>8</v>
      </c>
    </row>
    <row r="2889" ht="18" spans="1:11">
      <c r="A2889" s="14">
        <f t="shared" si="135"/>
        <v>2888</v>
      </c>
      <c r="B2889" s="11" t="s">
        <v>818</v>
      </c>
      <c r="C2889" s="14" t="str">
        <f>IFERROR(INDEX(面试清单!D:D,MATCH(2888,面试清单!P:P,0)),"")</f>
        <v/>
      </c>
      <c r="D2889" s="11" t="s">
        <v>42</v>
      </c>
      <c r="E2889" s="11" t="s">
        <v>62</v>
      </c>
      <c r="F2889" s="11" t="s">
        <v>103</v>
      </c>
      <c r="G2889" s="15">
        <v>46182</v>
      </c>
      <c r="H2889" s="14" t="str">
        <f>IFERROR(INDEX(面试清单!H:H,MATCH(2888,面试清单!P:P,0)),"")</f>
        <v/>
      </c>
      <c r="I2889" s="13" t="s">
        <v>29</v>
      </c>
      <c r="J2889" s="14">
        <f ca="1" t="shared" si="136"/>
        <v>7</v>
      </c>
      <c r="K2889" s="14">
        <f ca="1" t="shared" si="137"/>
        <v>8</v>
      </c>
    </row>
    <row r="2890" ht="18" spans="1:11">
      <c r="A2890" s="10">
        <f t="shared" si="135"/>
        <v>2889</v>
      </c>
      <c r="B2890" s="11" t="s">
        <v>1541</v>
      </c>
      <c r="C2890" s="10" t="str">
        <f>IFERROR(INDEX(面试清单!D:D,MATCH(2889,面试清单!P:P,0)),"")</f>
        <v/>
      </c>
      <c r="D2890" s="11" t="s">
        <v>43</v>
      </c>
      <c r="E2890" s="11" t="s">
        <v>62</v>
      </c>
      <c r="F2890" s="11" t="s">
        <v>1542</v>
      </c>
      <c r="G2890" s="15">
        <v>46182</v>
      </c>
      <c r="H2890" s="10" t="str">
        <f>IFERROR(INDEX(面试清单!H:H,MATCH(2889,面试清单!P:P,0)),"")</f>
        <v/>
      </c>
      <c r="I2890" s="13" t="s">
        <v>29</v>
      </c>
      <c r="J2890" s="10">
        <f ca="1" t="shared" si="136"/>
        <v>7</v>
      </c>
      <c r="K2890" s="10">
        <f ca="1" t="shared" si="137"/>
        <v>8</v>
      </c>
    </row>
    <row r="2891" ht="18" spans="1:11">
      <c r="A2891" s="14">
        <f t="shared" si="135"/>
        <v>2890</v>
      </c>
      <c r="B2891" s="11" t="s">
        <v>819</v>
      </c>
      <c r="C2891" s="14" t="str">
        <f>IFERROR(INDEX(面试清单!D:D,MATCH(2890,面试清单!P:P,0)),"")</f>
        <v/>
      </c>
      <c r="D2891" s="11" t="s">
        <v>74</v>
      </c>
      <c r="E2891" s="11" t="s">
        <v>64</v>
      </c>
      <c r="F2891" s="11" t="s">
        <v>426</v>
      </c>
      <c r="G2891" s="15">
        <v>46182</v>
      </c>
      <c r="H2891" s="14" t="str">
        <f>IFERROR(INDEX(面试清单!H:H,MATCH(2890,面试清单!P:P,0)),"")</f>
        <v/>
      </c>
      <c r="I2891" s="13" t="s">
        <v>29</v>
      </c>
      <c r="J2891" s="14">
        <f ca="1" t="shared" si="136"/>
        <v>7</v>
      </c>
      <c r="K2891" s="14">
        <f ca="1" t="shared" si="137"/>
        <v>8</v>
      </c>
    </row>
    <row r="2892" ht="18" spans="1:11">
      <c r="A2892" s="10">
        <f t="shared" si="135"/>
        <v>2891</v>
      </c>
      <c r="B2892" s="11" t="s">
        <v>820</v>
      </c>
      <c r="C2892" s="10" t="str">
        <f>IFERROR(INDEX(面试清单!D:D,MATCH(2891,面试清单!P:P,0)),"")</f>
        <v/>
      </c>
      <c r="D2892" s="11" t="s">
        <v>74</v>
      </c>
      <c r="E2892" s="11" t="s">
        <v>64</v>
      </c>
      <c r="F2892" s="11" t="s">
        <v>426</v>
      </c>
      <c r="G2892" s="15">
        <v>46182</v>
      </c>
      <c r="H2892" s="10" t="str">
        <f>IFERROR(INDEX(面试清单!H:H,MATCH(2891,面试清单!P:P,0)),"")</f>
        <v/>
      </c>
      <c r="I2892" s="13" t="s">
        <v>29</v>
      </c>
      <c r="J2892" s="10">
        <f ca="1" t="shared" si="136"/>
        <v>7</v>
      </c>
      <c r="K2892" s="10">
        <f ca="1" t="shared" si="137"/>
        <v>8</v>
      </c>
    </row>
    <row r="2893" ht="18" spans="1:11">
      <c r="A2893" s="14">
        <f t="shared" si="135"/>
        <v>2892</v>
      </c>
      <c r="B2893" s="11" t="s">
        <v>821</v>
      </c>
      <c r="C2893" s="124" t="str">
        <f>IFERROR(INDEX(面试清单!D:D,MATCH(2892,面试清单!P:P,0)),"")</f>
        <v>0217</v>
      </c>
      <c r="D2893" s="11" t="s">
        <v>74</v>
      </c>
      <c r="E2893" s="11" t="s">
        <v>64</v>
      </c>
      <c r="F2893" s="11" t="s">
        <v>426</v>
      </c>
      <c r="G2893" s="15">
        <v>46182</v>
      </c>
      <c r="H2893" s="14" t="str">
        <f>IFERROR(INDEX(面试清单!H:H,MATCH(2892,面试清单!P:P,0)),"")</f>
        <v>线上</v>
      </c>
      <c r="I2893" s="13" t="s">
        <v>29</v>
      </c>
      <c r="J2893" s="14">
        <f ca="1" t="shared" si="136"/>
        <v>7</v>
      </c>
      <c r="K2893" s="14">
        <f ca="1" t="shared" si="137"/>
        <v>8</v>
      </c>
    </row>
    <row r="2894" ht="18" spans="1:11">
      <c r="A2894" s="10">
        <f t="shared" si="135"/>
        <v>2893</v>
      </c>
      <c r="B2894" s="11" t="s">
        <v>823</v>
      </c>
      <c r="C2894" s="10" t="str">
        <f>IFERROR(INDEX(面试清单!D:D,MATCH(2893,面试清单!P:P,0)),"")</f>
        <v/>
      </c>
      <c r="D2894" s="11" t="s">
        <v>74</v>
      </c>
      <c r="E2894" s="11" t="s">
        <v>64</v>
      </c>
      <c r="F2894" s="11" t="s">
        <v>246</v>
      </c>
      <c r="G2894" s="15">
        <v>46182</v>
      </c>
      <c r="H2894" s="10" t="str">
        <f>IFERROR(INDEX(面试清单!H:H,MATCH(2893,面试清单!P:P,0)),"")</f>
        <v/>
      </c>
      <c r="I2894" s="13" t="s">
        <v>29</v>
      </c>
      <c r="J2894" s="10">
        <f ca="1" t="shared" si="136"/>
        <v>7</v>
      </c>
      <c r="K2894" s="10">
        <f ca="1" t="shared" si="137"/>
        <v>8</v>
      </c>
    </row>
    <row r="2895" ht="18" spans="1:11">
      <c r="A2895" s="14">
        <f t="shared" si="135"/>
        <v>2894</v>
      </c>
      <c r="B2895" s="11" t="s">
        <v>827</v>
      </c>
      <c r="C2895" s="14" t="str">
        <f>IFERROR(INDEX(面试清单!D:D,MATCH(2894,面试清单!P:P,0)),"")</f>
        <v/>
      </c>
      <c r="D2895" s="11" t="s">
        <v>74</v>
      </c>
      <c r="E2895" s="11" t="s">
        <v>64</v>
      </c>
      <c r="F2895" s="11" t="s">
        <v>179</v>
      </c>
      <c r="G2895" s="15">
        <v>46182</v>
      </c>
      <c r="H2895" s="14" t="str">
        <f>IFERROR(INDEX(面试清单!H:H,MATCH(2894,面试清单!P:P,0)),"")</f>
        <v/>
      </c>
      <c r="I2895" s="13" t="s">
        <v>29</v>
      </c>
      <c r="J2895" s="14">
        <f ca="1" t="shared" si="136"/>
        <v>7</v>
      </c>
      <c r="K2895" s="14">
        <f ca="1" t="shared" si="137"/>
        <v>8</v>
      </c>
    </row>
    <row r="2896" ht="18" spans="1:11">
      <c r="A2896" s="10">
        <f t="shared" si="135"/>
        <v>2895</v>
      </c>
      <c r="B2896" s="11" t="s">
        <v>832</v>
      </c>
      <c r="C2896" s="10" t="str">
        <f>IFERROR(INDEX(面试清单!D:D,MATCH(2895,面试清单!P:P,0)),"")</f>
        <v/>
      </c>
      <c r="D2896" s="11" t="s">
        <v>74</v>
      </c>
      <c r="E2896" s="11" t="s">
        <v>64</v>
      </c>
      <c r="F2896" s="11" t="s">
        <v>179</v>
      </c>
      <c r="G2896" s="15">
        <v>46182</v>
      </c>
      <c r="H2896" s="10" t="str">
        <f>IFERROR(INDEX(面试清单!H:H,MATCH(2895,面试清单!P:P,0)),"")</f>
        <v/>
      </c>
      <c r="I2896" s="13" t="s">
        <v>29</v>
      </c>
      <c r="J2896" s="10">
        <f ca="1" t="shared" si="136"/>
        <v>7</v>
      </c>
      <c r="K2896" s="10">
        <f ca="1" t="shared" si="137"/>
        <v>8</v>
      </c>
    </row>
    <row r="2897" ht="18" spans="1:11">
      <c r="A2897" s="14">
        <f t="shared" si="135"/>
        <v>2896</v>
      </c>
      <c r="B2897" s="11" t="s">
        <v>836</v>
      </c>
      <c r="C2897" s="124" t="str">
        <f>IFERROR(INDEX(面试清单!D:D,MATCH(2896,面试清单!P:P,0)),"")</f>
        <v>0222</v>
      </c>
      <c r="D2897" s="11" t="s">
        <v>74</v>
      </c>
      <c r="E2897" s="11" t="s">
        <v>64</v>
      </c>
      <c r="F2897" s="11" t="s">
        <v>179</v>
      </c>
      <c r="G2897" s="15">
        <v>46182</v>
      </c>
      <c r="H2897" s="14" t="str">
        <f>IFERROR(INDEX(面试清单!H:H,MATCH(2896,面试清单!P:P,0)),"")</f>
        <v>线上</v>
      </c>
      <c r="I2897" s="13" t="s">
        <v>29</v>
      </c>
      <c r="J2897" s="14">
        <f ca="1" t="shared" si="136"/>
        <v>7</v>
      </c>
      <c r="K2897" s="14">
        <f ca="1" t="shared" si="137"/>
        <v>8</v>
      </c>
    </row>
    <row r="2898" ht="18" spans="1:11">
      <c r="A2898" s="10">
        <f t="shared" si="135"/>
        <v>2897</v>
      </c>
      <c r="B2898" s="11" t="s">
        <v>840</v>
      </c>
      <c r="C2898" s="125" t="str">
        <f>IFERROR(INDEX(面试清单!D:D,MATCH(2897,面试清单!P:P,0)),"")</f>
        <v>0208</v>
      </c>
      <c r="D2898" s="11" t="s">
        <v>74</v>
      </c>
      <c r="E2898" s="11" t="s">
        <v>64</v>
      </c>
      <c r="F2898" s="11" t="s">
        <v>246</v>
      </c>
      <c r="G2898" s="15">
        <v>46182</v>
      </c>
      <c r="H2898" s="10" t="str">
        <f>IFERROR(INDEX(面试清单!H:H,MATCH(2897,面试清单!P:P,0)),"")</f>
        <v>线上</v>
      </c>
      <c r="I2898" s="13" t="s">
        <v>29</v>
      </c>
      <c r="J2898" s="10">
        <f ca="1" t="shared" si="136"/>
        <v>7</v>
      </c>
      <c r="K2898" s="10">
        <f ca="1" t="shared" si="137"/>
        <v>8</v>
      </c>
    </row>
    <row r="2899" ht="18" spans="1:11">
      <c r="A2899" s="14">
        <f t="shared" si="135"/>
        <v>2898</v>
      </c>
      <c r="B2899" s="11" t="s">
        <v>841</v>
      </c>
      <c r="C2899" s="14" t="str">
        <f>IFERROR(INDEX(面试清单!D:D,MATCH(2898,面试清单!P:P,0)),"")</f>
        <v/>
      </c>
      <c r="D2899" s="11" t="s">
        <v>74</v>
      </c>
      <c r="E2899" s="11" t="s">
        <v>64</v>
      </c>
      <c r="F2899" s="11" t="s">
        <v>246</v>
      </c>
      <c r="G2899" s="15">
        <v>46182</v>
      </c>
      <c r="H2899" s="14" t="str">
        <f>IFERROR(INDEX(面试清单!H:H,MATCH(2898,面试清单!P:P,0)),"")</f>
        <v/>
      </c>
      <c r="I2899" s="13" t="s">
        <v>29</v>
      </c>
      <c r="J2899" s="14">
        <f ca="1" t="shared" si="136"/>
        <v>7</v>
      </c>
      <c r="K2899" s="14">
        <f ca="1" t="shared" si="137"/>
        <v>8</v>
      </c>
    </row>
    <row r="2900" ht="18" spans="1:11">
      <c r="A2900" s="10">
        <f t="shared" si="135"/>
        <v>2899</v>
      </c>
      <c r="B2900" s="11" t="s">
        <v>842</v>
      </c>
      <c r="C2900" s="10" t="str">
        <f>IFERROR(INDEX(面试清单!D:D,MATCH(2899,面试清单!P:P,0)),"")</f>
        <v/>
      </c>
      <c r="D2900" s="11" t="s">
        <v>74</v>
      </c>
      <c r="E2900" s="11" t="s">
        <v>64</v>
      </c>
      <c r="F2900" s="11" t="s">
        <v>179</v>
      </c>
      <c r="G2900" s="15">
        <v>46182</v>
      </c>
      <c r="H2900" s="10" t="str">
        <f>IFERROR(INDEX(面试清单!H:H,MATCH(2899,面试清单!P:P,0)),"")</f>
        <v/>
      </c>
      <c r="I2900" s="13" t="s">
        <v>29</v>
      </c>
      <c r="J2900" s="10">
        <f ca="1" t="shared" si="136"/>
        <v>7</v>
      </c>
      <c r="K2900" s="10">
        <f ca="1" t="shared" si="137"/>
        <v>8</v>
      </c>
    </row>
    <row r="2901" ht="18" spans="1:11">
      <c r="A2901" s="14">
        <f t="shared" si="135"/>
        <v>2900</v>
      </c>
      <c r="B2901" s="11" t="s">
        <v>494</v>
      </c>
      <c r="C2901" s="14" t="str">
        <f>IFERROR(INDEX(面试清单!D:D,MATCH(2900,面试清单!P:P,0)),"")</f>
        <v/>
      </c>
      <c r="D2901" s="11" t="s">
        <v>74</v>
      </c>
      <c r="E2901" s="11" t="s">
        <v>64</v>
      </c>
      <c r="F2901" s="11" t="s">
        <v>179</v>
      </c>
      <c r="G2901" s="15">
        <v>46182</v>
      </c>
      <c r="H2901" s="14" t="str">
        <f>IFERROR(INDEX(面试清单!H:H,MATCH(2900,面试清单!P:P,0)),"")</f>
        <v/>
      </c>
      <c r="I2901" s="13" t="s">
        <v>29</v>
      </c>
      <c r="J2901" s="14">
        <f ca="1" t="shared" si="136"/>
        <v>7</v>
      </c>
      <c r="K2901" s="14">
        <f ca="1" t="shared" si="137"/>
        <v>8</v>
      </c>
    </row>
    <row r="2902" ht="18" spans="1:11">
      <c r="A2902" s="10">
        <f t="shared" si="135"/>
        <v>2901</v>
      </c>
      <c r="B2902" s="11" t="s">
        <v>844</v>
      </c>
      <c r="C2902" s="10" t="str">
        <f>IFERROR(INDEX(面试清单!D:D,MATCH(2901,面试清单!P:P,0)),"")</f>
        <v/>
      </c>
      <c r="D2902" s="11" t="s">
        <v>43</v>
      </c>
      <c r="E2902" s="11" t="s">
        <v>64</v>
      </c>
      <c r="F2902" s="11" t="s">
        <v>179</v>
      </c>
      <c r="G2902" s="15">
        <v>46182</v>
      </c>
      <c r="H2902" s="10" t="str">
        <f>IFERROR(INDEX(面试清单!H:H,MATCH(2901,面试清单!P:P,0)),"")</f>
        <v/>
      </c>
      <c r="I2902" s="13" t="s">
        <v>29</v>
      </c>
      <c r="J2902" s="10">
        <f ca="1" t="shared" si="136"/>
        <v>7</v>
      </c>
      <c r="K2902" s="10">
        <f ca="1" t="shared" si="137"/>
        <v>8</v>
      </c>
    </row>
    <row r="2903" ht="18" spans="1:11">
      <c r="A2903" s="14">
        <f t="shared" si="135"/>
        <v>2902</v>
      </c>
      <c r="B2903" s="11" t="s">
        <v>846</v>
      </c>
      <c r="C2903" s="124" t="str">
        <f>IFERROR(INDEX(面试清单!D:D,MATCH(2902,面试清单!P:P,0)),"")</f>
        <v>0218</v>
      </c>
      <c r="D2903" s="11" t="s">
        <v>74</v>
      </c>
      <c r="E2903" s="11" t="s">
        <v>190</v>
      </c>
      <c r="F2903" s="11" t="s">
        <v>179</v>
      </c>
      <c r="G2903" s="15">
        <v>46182</v>
      </c>
      <c r="H2903" s="14" t="str">
        <f>IFERROR(INDEX(面试清单!H:H,MATCH(2902,面试清单!P:P,0)),"")</f>
        <v>线上</v>
      </c>
      <c r="I2903" s="13" t="s">
        <v>29</v>
      </c>
      <c r="J2903" s="14">
        <f ca="1" t="shared" si="136"/>
        <v>7</v>
      </c>
      <c r="K2903" s="14">
        <f ca="1" t="shared" si="137"/>
        <v>8</v>
      </c>
    </row>
    <row r="2904" ht="18" spans="1:11">
      <c r="A2904" s="10">
        <f t="shared" si="135"/>
        <v>2903</v>
      </c>
      <c r="B2904" s="11" t="s">
        <v>849</v>
      </c>
      <c r="C2904" s="10" t="str">
        <f>IFERROR(INDEX(面试清单!D:D,MATCH(2903,面试清单!P:P,0)),"")</f>
        <v/>
      </c>
      <c r="D2904" s="11" t="s">
        <v>74</v>
      </c>
      <c r="E2904" s="11" t="s">
        <v>64</v>
      </c>
      <c r="F2904" s="11" t="s">
        <v>179</v>
      </c>
      <c r="G2904" s="15">
        <v>46182</v>
      </c>
      <c r="H2904" s="10" t="str">
        <f>IFERROR(INDEX(面试清单!H:H,MATCH(2903,面试清单!P:P,0)),"")</f>
        <v/>
      </c>
      <c r="I2904" s="13" t="s">
        <v>29</v>
      </c>
      <c r="J2904" s="10">
        <f ca="1" t="shared" si="136"/>
        <v>7</v>
      </c>
      <c r="K2904" s="10">
        <f ca="1" t="shared" si="137"/>
        <v>8</v>
      </c>
    </row>
    <row r="2905" ht="18" spans="1:11">
      <c r="A2905" s="14">
        <f t="shared" si="135"/>
        <v>2904</v>
      </c>
      <c r="B2905" s="11" t="s">
        <v>850</v>
      </c>
      <c r="C2905" s="14" t="str">
        <f>IFERROR(INDEX(面试清单!D:D,MATCH(2904,面试清单!P:P,0)),"")</f>
        <v/>
      </c>
      <c r="D2905" s="11" t="s">
        <v>42</v>
      </c>
      <c r="E2905" s="11" t="s">
        <v>62</v>
      </c>
      <c r="F2905" s="11" t="s">
        <v>173</v>
      </c>
      <c r="G2905" s="15">
        <v>46182</v>
      </c>
      <c r="H2905" s="14" t="str">
        <f>IFERROR(INDEX(面试清单!H:H,MATCH(2904,面试清单!P:P,0)),"")</f>
        <v/>
      </c>
      <c r="I2905" s="13" t="s">
        <v>29</v>
      </c>
      <c r="J2905" s="14">
        <f ca="1" t="shared" si="136"/>
        <v>7</v>
      </c>
      <c r="K2905" s="14">
        <f ca="1" t="shared" si="137"/>
        <v>8</v>
      </c>
    </row>
    <row r="2906" ht="18" spans="1:11">
      <c r="A2906" s="10">
        <f t="shared" si="135"/>
        <v>2905</v>
      </c>
      <c r="B2906" s="11" t="s">
        <v>851</v>
      </c>
      <c r="C2906" s="10" t="str">
        <f>IFERROR(INDEX(面试清单!D:D,MATCH(2905,面试清单!P:P,0)),"")</f>
        <v/>
      </c>
      <c r="D2906" s="11" t="s">
        <v>43</v>
      </c>
      <c r="E2906" s="11" t="s">
        <v>62</v>
      </c>
      <c r="F2906" s="11" t="s">
        <v>233</v>
      </c>
      <c r="G2906" s="15">
        <v>46182</v>
      </c>
      <c r="H2906" s="10" t="str">
        <f>IFERROR(INDEX(面试清单!H:H,MATCH(2905,面试清单!P:P,0)),"")</f>
        <v/>
      </c>
      <c r="I2906" s="13" t="s">
        <v>29</v>
      </c>
      <c r="J2906" s="10">
        <f ca="1" t="shared" si="136"/>
        <v>7</v>
      </c>
      <c r="K2906" s="10">
        <f ca="1" t="shared" si="137"/>
        <v>8</v>
      </c>
    </row>
    <row r="2907" ht="18" spans="1:11">
      <c r="A2907" s="14">
        <f t="shared" si="135"/>
        <v>2906</v>
      </c>
      <c r="B2907" s="11" t="s">
        <v>853</v>
      </c>
      <c r="C2907" s="14" t="str">
        <f>IFERROR(INDEX(面试清单!D:D,MATCH(2906,面试清单!P:P,0)),"")</f>
        <v/>
      </c>
      <c r="D2907" s="11" t="s">
        <v>43</v>
      </c>
      <c r="E2907" s="11" t="s">
        <v>64</v>
      </c>
      <c r="F2907" s="11" t="s">
        <v>179</v>
      </c>
      <c r="G2907" s="15">
        <v>46182</v>
      </c>
      <c r="H2907" s="14" t="str">
        <f>IFERROR(INDEX(面试清单!H:H,MATCH(2906,面试清单!P:P,0)),"")</f>
        <v/>
      </c>
      <c r="I2907" s="13" t="s">
        <v>29</v>
      </c>
      <c r="J2907" s="14">
        <f ca="1" t="shared" si="136"/>
        <v>7</v>
      </c>
      <c r="K2907" s="14">
        <f ca="1" t="shared" si="137"/>
        <v>8</v>
      </c>
    </row>
    <row r="2908" ht="18" spans="1:11">
      <c r="A2908" s="10">
        <f t="shared" si="135"/>
        <v>2907</v>
      </c>
      <c r="B2908" s="11" t="s">
        <v>828</v>
      </c>
      <c r="C2908" s="10" t="str">
        <f>IFERROR(INDEX(面试清单!D:D,MATCH(2907,面试清单!P:P,0)),"")</f>
        <v/>
      </c>
      <c r="D2908" s="11" t="s">
        <v>42</v>
      </c>
      <c r="E2908" s="11" t="s">
        <v>64</v>
      </c>
      <c r="F2908" s="11" t="s">
        <v>179</v>
      </c>
      <c r="G2908" s="15">
        <v>46182</v>
      </c>
      <c r="H2908" s="10" t="str">
        <f>IFERROR(INDEX(面试清单!H:H,MATCH(2907,面试清单!P:P,0)),"")</f>
        <v/>
      </c>
      <c r="I2908" s="13" t="s">
        <v>29</v>
      </c>
      <c r="J2908" s="10">
        <f ca="1" t="shared" si="136"/>
        <v>7</v>
      </c>
      <c r="K2908" s="10">
        <f ca="1" t="shared" si="137"/>
        <v>8</v>
      </c>
    </row>
    <row r="2909" ht="18" spans="1:11">
      <c r="A2909" s="14">
        <f t="shared" si="135"/>
        <v>2908</v>
      </c>
      <c r="B2909" s="11" t="s">
        <v>833</v>
      </c>
      <c r="C2909" s="14" t="str">
        <f>IFERROR(INDEX(面试清单!D:D,MATCH(2908,面试清单!P:P,0)),"")</f>
        <v/>
      </c>
      <c r="D2909" s="11" t="s">
        <v>42</v>
      </c>
      <c r="E2909" s="11" t="s">
        <v>64</v>
      </c>
      <c r="F2909" s="11" t="s">
        <v>179</v>
      </c>
      <c r="G2909" s="15">
        <v>46182</v>
      </c>
      <c r="H2909" s="14" t="str">
        <f>IFERROR(INDEX(面试清单!H:H,MATCH(2908,面试清单!P:P,0)),"")</f>
        <v/>
      </c>
      <c r="I2909" s="13" t="s">
        <v>29</v>
      </c>
      <c r="J2909" s="14">
        <f ca="1" t="shared" si="136"/>
        <v>7</v>
      </c>
      <c r="K2909" s="14">
        <f ca="1" t="shared" si="137"/>
        <v>8</v>
      </c>
    </row>
    <row r="2910" ht="18" spans="1:11">
      <c r="A2910" s="10">
        <f t="shared" si="135"/>
        <v>2909</v>
      </c>
      <c r="B2910" s="11" t="s">
        <v>1629</v>
      </c>
      <c r="C2910" s="10" t="str">
        <f>IFERROR(INDEX(面试清单!D:D,MATCH(2909,面试清单!P:P,0)),"")</f>
        <v/>
      </c>
      <c r="D2910" s="11" t="s">
        <v>43</v>
      </c>
      <c r="E2910" s="11" t="s">
        <v>62</v>
      </c>
      <c r="F2910" s="11" t="s">
        <v>129</v>
      </c>
      <c r="G2910" s="15">
        <v>46182</v>
      </c>
      <c r="H2910" s="10" t="str">
        <f>IFERROR(INDEX(面试清单!H:H,MATCH(2909,面试清单!P:P,0)),"")</f>
        <v/>
      </c>
      <c r="I2910" s="13" t="s">
        <v>29</v>
      </c>
      <c r="J2910" s="10">
        <f ca="1" t="shared" si="136"/>
        <v>7</v>
      </c>
      <c r="K2910" s="10">
        <f ca="1" t="shared" si="137"/>
        <v>8</v>
      </c>
    </row>
    <row r="2911" ht="18" spans="1:11">
      <c r="A2911" s="14">
        <f t="shared" si="135"/>
        <v>2910</v>
      </c>
      <c r="B2911" s="11" t="s">
        <v>1630</v>
      </c>
      <c r="C2911" s="124" t="str">
        <f>IFERROR(INDEX(面试清单!D:D,MATCH(2910,面试清单!P:P,0)),"")</f>
        <v>0217</v>
      </c>
      <c r="D2911" s="11" t="s">
        <v>43</v>
      </c>
      <c r="E2911" s="11" t="s">
        <v>63</v>
      </c>
      <c r="F2911" s="11" t="s">
        <v>129</v>
      </c>
      <c r="G2911" s="15">
        <v>46182</v>
      </c>
      <c r="H2911" s="14" t="str">
        <f>IFERROR(INDEX(面试清单!H:H,MATCH(2910,面试清单!P:P,0)),"")</f>
        <v>线上</v>
      </c>
      <c r="I2911" s="13" t="s">
        <v>29</v>
      </c>
      <c r="J2911" s="14">
        <f ca="1" t="shared" si="136"/>
        <v>7</v>
      </c>
      <c r="K2911" s="14">
        <f ca="1" t="shared" si="137"/>
        <v>8</v>
      </c>
    </row>
    <row r="2912" ht="18" spans="1:11">
      <c r="A2912" s="10">
        <f t="shared" si="135"/>
        <v>2911</v>
      </c>
      <c r="B2912" s="11" t="s">
        <v>1631</v>
      </c>
      <c r="C2912" s="10" t="str">
        <f>IFERROR(INDEX(面试清单!D:D,MATCH(2911,面试清单!P:P,0)),"")</f>
        <v/>
      </c>
      <c r="D2912" s="11" t="s">
        <v>42</v>
      </c>
      <c r="E2912" s="11" t="s">
        <v>63</v>
      </c>
      <c r="F2912" s="11" t="s">
        <v>129</v>
      </c>
      <c r="G2912" s="15">
        <v>46182</v>
      </c>
      <c r="H2912" s="10" t="str">
        <f>IFERROR(INDEX(面试清单!H:H,MATCH(2911,面试清单!P:P,0)),"")</f>
        <v/>
      </c>
      <c r="I2912" s="13" t="s">
        <v>29</v>
      </c>
      <c r="J2912" s="10">
        <f ca="1" t="shared" si="136"/>
        <v>7</v>
      </c>
      <c r="K2912" s="10">
        <f ca="1" t="shared" si="137"/>
        <v>8</v>
      </c>
    </row>
    <row r="2913" ht="18" spans="1:11">
      <c r="A2913" s="14">
        <f t="shared" si="135"/>
        <v>2912</v>
      </c>
      <c r="B2913" s="11" t="s">
        <v>1632</v>
      </c>
      <c r="C2913" s="14" t="str">
        <f>IFERROR(INDEX(面试清单!D:D,MATCH(2912,面试清单!P:P,0)),"")</f>
        <v/>
      </c>
      <c r="D2913" s="11" t="s">
        <v>43</v>
      </c>
      <c r="E2913" s="11" t="s">
        <v>62</v>
      </c>
      <c r="F2913" s="11" t="s">
        <v>129</v>
      </c>
      <c r="G2913" s="15">
        <v>46182</v>
      </c>
      <c r="H2913" s="14" t="str">
        <f>IFERROR(INDEX(面试清单!H:H,MATCH(2912,面试清单!P:P,0)),"")</f>
        <v/>
      </c>
      <c r="I2913" s="13" t="s">
        <v>29</v>
      </c>
      <c r="J2913" s="14">
        <f ca="1" t="shared" si="136"/>
        <v>7</v>
      </c>
      <c r="K2913" s="14">
        <f ca="1" t="shared" si="137"/>
        <v>8</v>
      </c>
    </row>
    <row r="2914" ht="18" spans="1:11">
      <c r="A2914" s="10">
        <f t="shared" si="135"/>
        <v>2913</v>
      </c>
      <c r="B2914" s="11" t="s">
        <v>1633</v>
      </c>
      <c r="C2914" s="10" t="str">
        <f>IFERROR(INDEX(面试清单!D:D,MATCH(2913,面试清单!P:P,0)),"")</f>
        <v/>
      </c>
      <c r="D2914" s="11" t="s">
        <v>43</v>
      </c>
      <c r="E2914" s="11" t="s">
        <v>63</v>
      </c>
      <c r="F2914" s="11" t="s">
        <v>129</v>
      </c>
      <c r="G2914" s="15">
        <v>46182</v>
      </c>
      <c r="H2914" s="10" t="str">
        <f>IFERROR(INDEX(面试清单!H:H,MATCH(2913,面试清单!P:P,0)),"")</f>
        <v/>
      </c>
      <c r="I2914" s="13" t="s">
        <v>29</v>
      </c>
      <c r="J2914" s="10">
        <f ca="1" t="shared" si="136"/>
        <v>7</v>
      </c>
      <c r="K2914" s="10">
        <f ca="1" t="shared" si="137"/>
        <v>8</v>
      </c>
    </row>
    <row r="2915" ht="18" spans="1:11">
      <c r="A2915" s="14">
        <f t="shared" si="135"/>
        <v>2914</v>
      </c>
      <c r="B2915" s="11" t="s">
        <v>1634</v>
      </c>
      <c r="C2915" s="124" t="str">
        <f>IFERROR(INDEX(面试清单!D:D,MATCH(2914,面试清单!P:P,0)),"")</f>
        <v>0222</v>
      </c>
      <c r="D2915" s="11" t="s">
        <v>42</v>
      </c>
      <c r="E2915" s="11" t="s">
        <v>62</v>
      </c>
      <c r="F2915" s="11" t="s">
        <v>246</v>
      </c>
      <c r="G2915" s="15">
        <v>46182</v>
      </c>
      <c r="H2915" s="14" t="str">
        <f>IFERROR(INDEX(面试清单!H:H,MATCH(2914,面试清单!P:P,0)),"")</f>
        <v>线上</v>
      </c>
      <c r="I2915" s="13" t="s">
        <v>29</v>
      </c>
      <c r="J2915" s="14">
        <f ca="1" t="shared" si="136"/>
        <v>7</v>
      </c>
      <c r="K2915" s="14">
        <f ca="1" t="shared" si="137"/>
        <v>8</v>
      </c>
    </row>
    <row r="2916" ht="18" spans="1:11">
      <c r="A2916" s="10">
        <f t="shared" si="135"/>
        <v>2915</v>
      </c>
      <c r="B2916" s="11" t="s">
        <v>1635</v>
      </c>
      <c r="C2916" s="10" t="str">
        <f>IFERROR(INDEX(面试清单!D:D,MATCH(2915,面试清单!P:P,0)),"")</f>
        <v/>
      </c>
      <c r="D2916" s="11" t="s">
        <v>42</v>
      </c>
      <c r="E2916" s="11" t="s">
        <v>62</v>
      </c>
      <c r="F2916" s="11" t="s">
        <v>129</v>
      </c>
      <c r="G2916" s="15">
        <v>46182</v>
      </c>
      <c r="H2916" s="10" t="str">
        <f>IFERROR(INDEX(面试清单!H:H,MATCH(2915,面试清单!P:P,0)),"")</f>
        <v/>
      </c>
      <c r="I2916" s="13" t="s">
        <v>29</v>
      </c>
      <c r="J2916" s="10">
        <f ca="1" t="shared" si="136"/>
        <v>7</v>
      </c>
      <c r="K2916" s="10">
        <f ca="1" t="shared" si="137"/>
        <v>8</v>
      </c>
    </row>
    <row r="2917" ht="18" spans="1:11">
      <c r="A2917" s="14">
        <f t="shared" si="135"/>
        <v>2916</v>
      </c>
      <c r="B2917" s="11" t="s">
        <v>1636</v>
      </c>
      <c r="C2917" s="14" t="str">
        <f>IFERROR(INDEX(面试清单!D:D,MATCH(2916,面试清单!P:P,0)),"")</f>
        <v/>
      </c>
      <c r="D2917" s="11" t="s">
        <v>42</v>
      </c>
      <c r="E2917" s="11" t="s">
        <v>62</v>
      </c>
      <c r="F2917" s="11" t="s">
        <v>129</v>
      </c>
      <c r="G2917" s="15">
        <v>46182</v>
      </c>
      <c r="H2917" s="14" t="str">
        <f>IFERROR(INDEX(面试清单!H:H,MATCH(2916,面试清单!P:P,0)),"")</f>
        <v/>
      </c>
      <c r="I2917" s="13" t="s">
        <v>29</v>
      </c>
      <c r="J2917" s="14">
        <f ca="1" t="shared" si="136"/>
        <v>7</v>
      </c>
      <c r="K2917" s="14">
        <f ca="1" t="shared" si="137"/>
        <v>8</v>
      </c>
    </row>
    <row r="2918" ht="18" spans="1:11">
      <c r="A2918" s="10">
        <f t="shared" si="135"/>
        <v>2917</v>
      </c>
      <c r="B2918" s="11" t="s">
        <v>464</v>
      </c>
      <c r="C2918" s="10" t="str">
        <f>IFERROR(INDEX(面试清单!D:D,MATCH(2917,面试清单!P:P,0)),"")</f>
        <v/>
      </c>
      <c r="D2918" s="11" t="s">
        <v>74</v>
      </c>
      <c r="E2918" s="11" t="s">
        <v>190</v>
      </c>
      <c r="F2918" s="11" t="s">
        <v>135</v>
      </c>
      <c r="G2918" s="15">
        <v>46182</v>
      </c>
      <c r="H2918" s="10" t="str">
        <f>IFERROR(INDEX(面试清单!H:H,MATCH(2917,面试清单!P:P,0)),"")</f>
        <v/>
      </c>
      <c r="I2918" s="13" t="s">
        <v>29</v>
      </c>
      <c r="J2918" s="10">
        <f ca="1" t="shared" si="136"/>
        <v>7</v>
      </c>
      <c r="K2918" s="10">
        <f ca="1" t="shared" si="137"/>
        <v>8</v>
      </c>
    </row>
    <row r="2919" ht="18" spans="1:11">
      <c r="A2919" s="14">
        <f t="shared" si="135"/>
        <v>2918</v>
      </c>
      <c r="B2919" s="11" t="s">
        <v>6373</v>
      </c>
      <c r="C2919" s="124" t="str">
        <f>IFERROR(INDEX(面试清单!D:D,MATCH(2918,面试清单!P:P,0)),"")</f>
        <v>0214</v>
      </c>
      <c r="D2919" s="11" t="s">
        <v>74</v>
      </c>
      <c r="E2919" s="11" t="s">
        <v>64</v>
      </c>
      <c r="F2919" s="11" t="s">
        <v>179</v>
      </c>
      <c r="G2919" s="15">
        <v>46164</v>
      </c>
      <c r="H2919" s="14" t="str">
        <f>IFERROR(INDEX(面试清单!H:H,MATCH(2918,面试清单!P:P,0)),"")</f>
        <v>线上</v>
      </c>
      <c r="I2919" s="13" t="s">
        <v>29</v>
      </c>
      <c r="J2919" s="14">
        <f ca="1" t="shared" si="136"/>
        <v>25</v>
      </c>
      <c r="K2919" s="14">
        <f ca="1" t="shared" si="137"/>
        <v>16</v>
      </c>
    </row>
    <row r="2920" ht="18" spans="1:11">
      <c r="A2920" s="10">
        <f t="shared" si="135"/>
        <v>2919</v>
      </c>
      <c r="B2920" s="11" t="s">
        <v>1506</v>
      </c>
      <c r="C2920" s="10" t="str">
        <f>IFERROR(INDEX(面试清单!D:D,MATCH(2919,面试清单!P:P,0)),"")</f>
        <v/>
      </c>
      <c r="D2920" s="11" t="s">
        <v>42</v>
      </c>
      <c r="E2920" s="11" t="s">
        <v>63</v>
      </c>
      <c r="F2920" s="11" t="s">
        <v>631</v>
      </c>
      <c r="G2920" s="15">
        <v>46183</v>
      </c>
      <c r="H2920" s="10" t="str">
        <f>IFERROR(INDEX(面试清单!H:H,MATCH(2919,面试清单!P:P,0)),"")</f>
        <v/>
      </c>
      <c r="I2920" s="13" t="s">
        <v>29</v>
      </c>
      <c r="J2920" s="10">
        <f ca="1" t="shared" si="136"/>
        <v>6</v>
      </c>
      <c r="K2920" s="10">
        <f ca="1" t="shared" si="137"/>
        <v>7</v>
      </c>
    </row>
    <row r="2921" ht="18" spans="1:11">
      <c r="A2921" s="14">
        <f t="shared" si="135"/>
        <v>2920</v>
      </c>
      <c r="B2921" s="11" t="s">
        <v>1668</v>
      </c>
      <c r="C2921" s="14" t="str">
        <f>IFERROR(INDEX(面试清单!D:D,MATCH(2920,面试清单!P:P,0)),"")</f>
        <v/>
      </c>
      <c r="D2921" s="11" t="s">
        <v>42</v>
      </c>
      <c r="E2921" s="11" t="s">
        <v>63</v>
      </c>
      <c r="F2921" s="11" t="s">
        <v>129</v>
      </c>
      <c r="G2921" s="15">
        <v>46183</v>
      </c>
      <c r="H2921" s="14" t="str">
        <f>IFERROR(INDEX(面试清单!H:H,MATCH(2920,面试清单!P:P,0)),"")</f>
        <v/>
      </c>
      <c r="I2921" s="13" t="s">
        <v>29</v>
      </c>
      <c r="J2921" s="14">
        <f ca="1" t="shared" si="136"/>
        <v>6</v>
      </c>
      <c r="K2921" s="14">
        <f ca="1" t="shared" si="137"/>
        <v>7</v>
      </c>
    </row>
    <row r="2922" ht="18" spans="1:11">
      <c r="A2922" s="10">
        <f t="shared" si="135"/>
        <v>2921</v>
      </c>
      <c r="B2922" s="11" t="s">
        <v>1407</v>
      </c>
      <c r="C2922" s="10" t="str">
        <f>IFERROR(INDEX(面试清单!D:D,MATCH(2921,面试清单!P:P,0)),"")</f>
        <v/>
      </c>
      <c r="D2922" s="11" t="s">
        <v>42</v>
      </c>
      <c r="E2922" s="11" t="s">
        <v>63</v>
      </c>
      <c r="F2922" s="11" t="s">
        <v>135</v>
      </c>
      <c r="G2922" s="15">
        <v>46183</v>
      </c>
      <c r="H2922" s="10" t="str">
        <f>IFERROR(INDEX(面试清单!H:H,MATCH(2921,面试清单!P:P,0)),"")</f>
        <v/>
      </c>
      <c r="I2922" s="13" t="s">
        <v>29</v>
      </c>
      <c r="J2922" s="10">
        <f ca="1" t="shared" si="136"/>
        <v>6</v>
      </c>
      <c r="K2922" s="10">
        <f ca="1" t="shared" si="137"/>
        <v>7</v>
      </c>
    </row>
    <row r="2923" ht="18" spans="1:11">
      <c r="A2923" s="14">
        <f t="shared" si="135"/>
        <v>2922</v>
      </c>
      <c r="B2923" s="11" t="s">
        <v>1408</v>
      </c>
      <c r="C2923" s="14" t="str">
        <f>IFERROR(INDEX(面试清单!D:D,MATCH(2922,面试清单!P:P,0)),"")</f>
        <v/>
      </c>
      <c r="D2923" s="11" t="s">
        <v>42</v>
      </c>
      <c r="E2923" s="11" t="s">
        <v>63</v>
      </c>
      <c r="F2923" s="11" t="s">
        <v>135</v>
      </c>
      <c r="G2923" s="15">
        <v>46183</v>
      </c>
      <c r="H2923" s="14" t="str">
        <f>IFERROR(INDEX(面试清单!H:H,MATCH(2922,面试清单!P:P,0)),"")</f>
        <v/>
      </c>
      <c r="I2923" s="13" t="s">
        <v>29</v>
      </c>
      <c r="J2923" s="14">
        <f ca="1" t="shared" si="136"/>
        <v>6</v>
      </c>
      <c r="K2923" s="14">
        <f ca="1" t="shared" si="137"/>
        <v>7</v>
      </c>
    </row>
    <row r="2924" ht="18" spans="1:11">
      <c r="A2924" s="10">
        <f t="shared" si="135"/>
        <v>2923</v>
      </c>
      <c r="B2924" s="11" t="s">
        <v>1720</v>
      </c>
      <c r="C2924" s="10" t="str">
        <f>IFERROR(INDEX(面试清单!D:D,MATCH(2923,面试清单!P:P,0)),"")</f>
        <v/>
      </c>
      <c r="D2924" s="11" t="s">
        <v>42</v>
      </c>
      <c r="E2924" s="11" t="s">
        <v>63</v>
      </c>
      <c r="F2924" s="11" t="s">
        <v>681</v>
      </c>
      <c r="G2924" s="15">
        <v>46183</v>
      </c>
      <c r="H2924" s="10" t="str">
        <f>IFERROR(INDEX(面试清单!H:H,MATCH(2923,面试清单!P:P,0)),"")</f>
        <v/>
      </c>
      <c r="I2924" s="13" t="s">
        <v>29</v>
      </c>
      <c r="J2924" s="10">
        <f ca="1" t="shared" si="136"/>
        <v>6</v>
      </c>
      <c r="K2924" s="10">
        <f ca="1" t="shared" si="137"/>
        <v>7</v>
      </c>
    </row>
    <row r="2925" ht="18" spans="1:11">
      <c r="A2925" s="14">
        <f t="shared" si="135"/>
        <v>2924</v>
      </c>
      <c r="B2925" s="11" t="s">
        <v>1317</v>
      </c>
      <c r="C2925" s="14" t="str">
        <f>IFERROR(INDEX(面试清单!D:D,MATCH(2924,面试清单!P:P,0)),"")</f>
        <v/>
      </c>
      <c r="D2925" s="11" t="s">
        <v>42</v>
      </c>
      <c r="E2925" s="11" t="s">
        <v>62</v>
      </c>
      <c r="F2925" s="11" t="s">
        <v>148</v>
      </c>
      <c r="G2925" s="15">
        <v>46183</v>
      </c>
      <c r="H2925" s="14" t="str">
        <f>IFERROR(INDEX(面试清单!H:H,MATCH(2924,面试清单!P:P,0)),"")</f>
        <v/>
      </c>
      <c r="I2925" s="13" t="s">
        <v>29</v>
      </c>
      <c r="J2925" s="14">
        <f ca="1" t="shared" si="136"/>
        <v>6</v>
      </c>
      <c r="K2925" s="14">
        <f ca="1" t="shared" si="137"/>
        <v>7</v>
      </c>
    </row>
    <row r="2926" ht="18" spans="1:11">
      <c r="A2926" s="10">
        <f t="shared" si="135"/>
        <v>2925</v>
      </c>
      <c r="B2926" s="11" t="s">
        <v>1685</v>
      </c>
      <c r="C2926" s="10" t="str">
        <f>IFERROR(INDEX(面试清单!D:D,MATCH(2925,面试清单!P:P,0)),"")</f>
        <v/>
      </c>
      <c r="D2926" s="11" t="s">
        <v>42</v>
      </c>
      <c r="E2926" s="11" t="s">
        <v>62</v>
      </c>
      <c r="F2926" s="11" t="s">
        <v>148</v>
      </c>
      <c r="G2926" s="15">
        <v>46183</v>
      </c>
      <c r="H2926" s="10" t="str">
        <f>IFERROR(INDEX(面试清单!H:H,MATCH(2925,面试清单!P:P,0)),"")</f>
        <v/>
      </c>
      <c r="I2926" s="13" t="s">
        <v>29</v>
      </c>
      <c r="J2926" s="10">
        <f ca="1" t="shared" si="136"/>
        <v>6</v>
      </c>
      <c r="K2926" s="10">
        <f ca="1" t="shared" si="137"/>
        <v>7</v>
      </c>
    </row>
    <row r="2927" ht="18" spans="1:11">
      <c r="A2927" s="14">
        <f t="shared" si="135"/>
        <v>2926</v>
      </c>
      <c r="B2927" s="11" t="s">
        <v>1200</v>
      </c>
      <c r="C2927" s="14" t="str">
        <f>IFERROR(INDEX(面试清单!D:D,MATCH(2926,面试清单!P:P,0)),"")</f>
        <v/>
      </c>
      <c r="D2927" s="11" t="s">
        <v>43</v>
      </c>
      <c r="E2927" s="11" t="s">
        <v>63</v>
      </c>
      <c r="F2927" s="11" t="s">
        <v>148</v>
      </c>
      <c r="G2927" s="15">
        <v>46183</v>
      </c>
      <c r="H2927" s="14" t="str">
        <f>IFERROR(INDEX(面试清单!H:H,MATCH(2926,面试清单!P:P,0)),"")</f>
        <v/>
      </c>
      <c r="I2927" s="13" t="s">
        <v>29</v>
      </c>
      <c r="J2927" s="14">
        <f ca="1" t="shared" si="136"/>
        <v>6</v>
      </c>
      <c r="K2927" s="14">
        <f ca="1" t="shared" si="137"/>
        <v>7</v>
      </c>
    </row>
    <row r="2928" ht="18" spans="1:11">
      <c r="A2928" s="10">
        <f t="shared" si="135"/>
        <v>2927</v>
      </c>
      <c r="B2928" s="11" t="s">
        <v>1181</v>
      </c>
      <c r="C2928" s="10" t="str">
        <f>IFERROR(INDEX(面试清单!D:D,MATCH(2927,面试清单!P:P,0)),"")</f>
        <v/>
      </c>
      <c r="D2928" s="11" t="s">
        <v>42</v>
      </c>
      <c r="E2928" s="11" t="s">
        <v>63</v>
      </c>
      <c r="F2928" s="11" t="s">
        <v>148</v>
      </c>
      <c r="G2928" s="15">
        <v>46183</v>
      </c>
      <c r="H2928" s="10" t="str">
        <f>IFERROR(INDEX(面试清单!H:H,MATCH(2927,面试清单!P:P,0)),"")</f>
        <v/>
      </c>
      <c r="I2928" s="13" t="s">
        <v>29</v>
      </c>
      <c r="J2928" s="10">
        <f ca="1" t="shared" si="136"/>
        <v>6</v>
      </c>
      <c r="K2928" s="10">
        <f ca="1" t="shared" si="137"/>
        <v>7</v>
      </c>
    </row>
    <row r="2929" ht="18" spans="1:11">
      <c r="A2929" s="14">
        <f t="shared" si="135"/>
        <v>2928</v>
      </c>
      <c r="B2929" s="11" t="s">
        <v>1728</v>
      </c>
      <c r="C2929" s="14" t="str">
        <f>IFERROR(INDEX(面试清单!D:D,MATCH(2928,面试清单!P:P,0)),"")</f>
        <v/>
      </c>
      <c r="D2929" s="11" t="s">
        <v>42</v>
      </c>
      <c r="E2929" s="11" t="s">
        <v>63</v>
      </c>
      <c r="F2929" s="11" t="s">
        <v>148</v>
      </c>
      <c r="G2929" s="15">
        <v>46183</v>
      </c>
      <c r="H2929" s="14" t="str">
        <f>IFERROR(INDEX(面试清单!H:H,MATCH(2928,面试清单!P:P,0)),"")</f>
        <v/>
      </c>
      <c r="I2929" s="13" t="s">
        <v>29</v>
      </c>
      <c r="J2929" s="14">
        <f ca="1" t="shared" si="136"/>
        <v>6</v>
      </c>
      <c r="K2929" s="14">
        <f ca="1" t="shared" si="137"/>
        <v>7</v>
      </c>
    </row>
    <row r="2930" ht="18" spans="1:11">
      <c r="A2930" s="10">
        <f t="shared" si="135"/>
        <v>2929</v>
      </c>
      <c r="B2930" s="11" t="s">
        <v>1688</v>
      </c>
      <c r="C2930" s="10" t="str">
        <f>IFERROR(INDEX(面试清单!D:D,MATCH(2929,面试清单!P:P,0)),"")</f>
        <v/>
      </c>
      <c r="D2930" s="11" t="s">
        <v>42</v>
      </c>
      <c r="E2930" s="11" t="s">
        <v>63</v>
      </c>
      <c r="F2930" s="11" t="s">
        <v>124</v>
      </c>
      <c r="G2930" s="15">
        <v>46183</v>
      </c>
      <c r="H2930" s="10" t="str">
        <f>IFERROR(INDEX(面试清单!H:H,MATCH(2929,面试清单!P:P,0)),"")</f>
        <v/>
      </c>
      <c r="I2930" s="13" t="s">
        <v>29</v>
      </c>
      <c r="J2930" s="10">
        <f ca="1" t="shared" si="136"/>
        <v>6</v>
      </c>
      <c r="K2930" s="10">
        <f ca="1" t="shared" si="137"/>
        <v>7</v>
      </c>
    </row>
    <row r="2931" ht="18" spans="1:11">
      <c r="A2931" s="14">
        <f t="shared" si="135"/>
        <v>2930</v>
      </c>
      <c r="B2931" s="11" t="s">
        <v>1515</v>
      </c>
      <c r="C2931" s="14" t="str">
        <f>IFERROR(INDEX(面试清单!D:D,MATCH(2930,面试清单!P:P,0)),"")</f>
        <v/>
      </c>
      <c r="D2931" s="11" t="s">
        <v>42</v>
      </c>
      <c r="E2931" s="11" t="s">
        <v>62</v>
      </c>
      <c r="F2931" s="11" t="s">
        <v>733</v>
      </c>
      <c r="G2931" s="15">
        <v>46183</v>
      </c>
      <c r="H2931" s="14" t="str">
        <f>IFERROR(INDEX(面试清单!H:H,MATCH(2930,面试清单!P:P,0)),"")</f>
        <v/>
      </c>
      <c r="I2931" s="13" t="s">
        <v>29</v>
      </c>
      <c r="J2931" s="14">
        <f ca="1" t="shared" si="136"/>
        <v>6</v>
      </c>
      <c r="K2931" s="14">
        <f ca="1" t="shared" si="137"/>
        <v>7</v>
      </c>
    </row>
    <row r="2932" ht="18" spans="1:11">
      <c r="A2932" s="10">
        <f t="shared" si="135"/>
        <v>2931</v>
      </c>
      <c r="B2932" s="11" t="s">
        <v>1691</v>
      </c>
      <c r="C2932" s="10" t="str">
        <f>IFERROR(INDEX(面试清单!D:D,MATCH(2931,面试清单!P:P,0)),"")</f>
        <v/>
      </c>
      <c r="D2932" s="11" t="s">
        <v>42</v>
      </c>
      <c r="E2932" s="11" t="s">
        <v>62</v>
      </c>
      <c r="F2932" s="11" t="s">
        <v>233</v>
      </c>
      <c r="G2932" s="15">
        <v>46183</v>
      </c>
      <c r="H2932" s="10" t="str">
        <f>IFERROR(INDEX(面试清单!H:H,MATCH(2931,面试清单!P:P,0)),"")</f>
        <v/>
      </c>
      <c r="I2932" s="13" t="s">
        <v>29</v>
      </c>
      <c r="J2932" s="10">
        <f ca="1" t="shared" si="136"/>
        <v>6</v>
      </c>
      <c r="K2932" s="10">
        <f ca="1" t="shared" si="137"/>
        <v>7</v>
      </c>
    </row>
    <row r="2933" ht="18" spans="1:11">
      <c r="A2933" s="14">
        <f t="shared" si="135"/>
        <v>2932</v>
      </c>
      <c r="B2933" s="11" t="s">
        <v>1653</v>
      </c>
      <c r="C2933" s="14" t="str">
        <f>IFERROR(INDEX(面试清单!D:D,MATCH(2932,面试清单!P:P,0)),"")</f>
        <v/>
      </c>
      <c r="D2933" s="11" t="s">
        <v>43</v>
      </c>
      <c r="E2933" s="11" t="s">
        <v>62</v>
      </c>
      <c r="F2933" s="11" t="s">
        <v>233</v>
      </c>
      <c r="G2933" s="15">
        <v>46183</v>
      </c>
      <c r="H2933" s="14" t="str">
        <f>IFERROR(INDEX(面试清单!H:H,MATCH(2932,面试清单!P:P,0)),"")</f>
        <v/>
      </c>
      <c r="I2933" s="13" t="s">
        <v>29</v>
      </c>
      <c r="J2933" s="14">
        <f ca="1" t="shared" si="136"/>
        <v>6</v>
      </c>
      <c r="K2933" s="14">
        <f ca="1" t="shared" si="137"/>
        <v>7</v>
      </c>
    </row>
    <row r="2934" ht="18" spans="1:11">
      <c r="A2934" s="10">
        <f t="shared" si="135"/>
        <v>2933</v>
      </c>
      <c r="B2934" s="11" t="s">
        <v>6374</v>
      </c>
      <c r="C2934" s="10" t="str">
        <f>IFERROR(INDEX(面试清单!D:D,MATCH(2933,面试清单!P:P,0)),"")</f>
        <v/>
      </c>
      <c r="D2934" s="11" t="s">
        <v>43</v>
      </c>
      <c r="E2934" s="11" t="s">
        <v>62</v>
      </c>
      <c r="F2934" s="11" t="s">
        <v>233</v>
      </c>
      <c r="G2934" s="15">
        <v>46183</v>
      </c>
      <c r="H2934" s="10" t="str">
        <f>IFERROR(INDEX(面试清单!H:H,MATCH(2933,面试清单!P:P,0)),"")</f>
        <v/>
      </c>
      <c r="I2934" s="13" t="s">
        <v>29</v>
      </c>
      <c r="J2934" s="10">
        <f ca="1" t="shared" si="136"/>
        <v>6</v>
      </c>
      <c r="K2934" s="10">
        <f ca="1" t="shared" si="137"/>
        <v>7</v>
      </c>
    </row>
    <row r="2935" ht="18" spans="1:11">
      <c r="A2935" s="14">
        <f t="shared" si="135"/>
        <v>2934</v>
      </c>
      <c r="B2935" s="11" t="s">
        <v>6375</v>
      </c>
      <c r="C2935" s="14" t="str">
        <f>IFERROR(INDEX(面试清单!D:D,MATCH(2934,面试清单!P:P,0)),"")</f>
        <v/>
      </c>
      <c r="D2935" s="11" t="s">
        <v>43</v>
      </c>
      <c r="E2935" s="11" t="s">
        <v>63</v>
      </c>
      <c r="F2935" s="11" t="s">
        <v>332</v>
      </c>
      <c r="G2935" s="15">
        <v>46183</v>
      </c>
      <c r="H2935" s="14" t="str">
        <f>IFERROR(INDEX(面试清单!H:H,MATCH(2934,面试清单!P:P,0)),"")</f>
        <v/>
      </c>
      <c r="I2935" s="13" t="s">
        <v>29</v>
      </c>
      <c r="J2935" s="14">
        <f ca="1" t="shared" si="136"/>
        <v>6</v>
      </c>
      <c r="K2935" s="14">
        <f ca="1" t="shared" si="137"/>
        <v>7</v>
      </c>
    </row>
    <row r="2936" ht="18" spans="1:11">
      <c r="A2936" s="10">
        <f t="shared" si="135"/>
        <v>2935</v>
      </c>
      <c r="B2936" s="11" t="s">
        <v>1495</v>
      </c>
      <c r="C2936" s="10" t="str">
        <f>IFERROR(INDEX(面试清单!D:D,MATCH(2935,面试清单!P:P,0)),"")</f>
        <v/>
      </c>
      <c r="D2936" s="11" t="s">
        <v>42</v>
      </c>
      <c r="E2936" s="11" t="s">
        <v>63</v>
      </c>
      <c r="F2936" s="11" t="s">
        <v>307</v>
      </c>
      <c r="G2936" s="15">
        <v>46183</v>
      </c>
      <c r="H2936" s="10" t="str">
        <f>IFERROR(INDEX(面试清单!H:H,MATCH(2935,面试清单!P:P,0)),"")</f>
        <v/>
      </c>
      <c r="I2936" s="13" t="s">
        <v>29</v>
      </c>
      <c r="J2936" s="10">
        <f ca="1" t="shared" si="136"/>
        <v>6</v>
      </c>
      <c r="K2936" s="10">
        <f ca="1" t="shared" si="137"/>
        <v>7</v>
      </c>
    </row>
    <row r="2937" ht="18" spans="1:11">
      <c r="A2937" s="14">
        <f t="shared" si="135"/>
        <v>2936</v>
      </c>
      <c r="B2937" s="11" t="s">
        <v>1711</v>
      </c>
      <c r="C2937" s="14" t="str">
        <f>IFERROR(INDEX(面试清单!D:D,MATCH(2936,面试清单!P:P,0)),"")</f>
        <v/>
      </c>
      <c r="D2937" s="11" t="s">
        <v>42</v>
      </c>
      <c r="E2937" s="11" t="s">
        <v>63</v>
      </c>
      <c r="F2937" s="11" t="s">
        <v>307</v>
      </c>
      <c r="G2937" s="15">
        <v>46183</v>
      </c>
      <c r="H2937" s="14" t="str">
        <f>IFERROR(INDEX(面试清单!H:H,MATCH(2936,面试清单!P:P,0)),"")</f>
        <v/>
      </c>
      <c r="I2937" s="13" t="s">
        <v>29</v>
      </c>
      <c r="J2937" s="14">
        <f ca="1" t="shared" si="136"/>
        <v>6</v>
      </c>
      <c r="K2937" s="14">
        <f ca="1" t="shared" si="137"/>
        <v>7</v>
      </c>
    </row>
    <row r="2938" ht="18" spans="1:11">
      <c r="A2938" s="10">
        <f t="shared" si="135"/>
        <v>2937</v>
      </c>
      <c r="B2938" s="11" t="s">
        <v>1696</v>
      </c>
      <c r="C2938" s="10" t="str">
        <f>IFERROR(INDEX(面试清单!D:D,MATCH(2937,面试清单!P:P,0)),"")</f>
        <v/>
      </c>
      <c r="D2938" s="11" t="s">
        <v>42</v>
      </c>
      <c r="E2938" s="11" t="s">
        <v>63</v>
      </c>
      <c r="F2938" s="11" t="s">
        <v>117</v>
      </c>
      <c r="G2938" s="15">
        <v>46183</v>
      </c>
      <c r="H2938" s="10" t="str">
        <f>IFERROR(INDEX(面试清单!H:H,MATCH(2937,面试清单!P:P,0)),"")</f>
        <v/>
      </c>
      <c r="I2938" s="13" t="s">
        <v>29</v>
      </c>
      <c r="J2938" s="10">
        <f ca="1" t="shared" si="136"/>
        <v>6</v>
      </c>
      <c r="K2938" s="10">
        <f ca="1" t="shared" si="137"/>
        <v>7</v>
      </c>
    </row>
    <row r="2939" ht="18" spans="1:11">
      <c r="A2939" s="14">
        <f t="shared" si="135"/>
        <v>2938</v>
      </c>
      <c r="B2939" s="11" t="s">
        <v>1699</v>
      </c>
      <c r="C2939" s="14" t="str">
        <f>IFERROR(INDEX(面试清单!D:D,MATCH(2938,面试清单!P:P,0)),"")</f>
        <v/>
      </c>
      <c r="D2939" s="11" t="s">
        <v>42</v>
      </c>
      <c r="E2939" s="11" t="s">
        <v>63</v>
      </c>
      <c r="F2939" s="11" t="s">
        <v>117</v>
      </c>
      <c r="G2939" s="15">
        <v>46183</v>
      </c>
      <c r="H2939" s="14" t="str">
        <f>IFERROR(INDEX(面试清单!H:H,MATCH(2938,面试清单!P:P,0)),"")</f>
        <v/>
      </c>
      <c r="I2939" s="13" t="s">
        <v>29</v>
      </c>
      <c r="J2939" s="14">
        <f ca="1" t="shared" si="136"/>
        <v>6</v>
      </c>
      <c r="K2939" s="14">
        <f ca="1" t="shared" si="137"/>
        <v>7</v>
      </c>
    </row>
    <row r="2940" ht="18" spans="1:11">
      <c r="A2940" s="10">
        <f t="shared" si="135"/>
        <v>2939</v>
      </c>
      <c r="B2940" s="11" t="s">
        <v>1700</v>
      </c>
      <c r="C2940" s="125" t="str">
        <f>IFERROR(INDEX(面试清单!D:D,MATCH(2939,面试清单!P:P,0)),"")</f>
        <v>0218</v>
      </c>
      <c r="D2940" s="11" t="s">
        <v>42</v>
      </c>
      <c r="E2940" s="11" t="s">
        <v>63</v>
      </c>
      <c r="F2940" s="11" t="s">
        <v>117</v>
      </c>
      <c r="G2940" s="15">
        <v>46183</v>
      </c>
      <c r="H2940" s="10" t="str">
        <f>IFERROR(INDEX(面试清单!H:H,MATCH(2939,面试清单!P:P,0)),"")</f>
        <v>线上</v>
      </c>
      <c r="I2940" s="13" t="s">
        <v>29</v>
      </c>
      <c r="J2940" s="10">
        <f ca="1" t="shared" si="136"/>
        <v>6</v>
      </c>
      <c r="K2940" s="10">
        <f ca="1" t="shared" si="137"/>
        <v>7</v>
      </c>
    </row>
    <row r="2941" ht="18" spans="1:11">
      <c r="A2941" s="14">
        <f t="shared" si="135"/>
        <v>2940</v>
      </c>
      <c r="B2941" s="11" t="s">
        <v>1701</v>
      </c>
      <c r="C2941" s="14" t="str">
        <f>IFERROR(INDEX(面试清单!D:D,MATCH(2940,面试清单!P:P,0)),"")</f>
        <v/>
      </c>
      <c r="D2941" s="11" t="s">
        <v>42</v>
      </c>
      <c r="E2941" s="11" t="s">
        <v>63</v>
      </c>
      <c r="F2941" s="11" t="s">
        <v>117</v>
      </c>
      <c r="G2941" s="15">
        <v>46183</v>
      </c>
      <c r="H2941" s="14" t="str">
        <f>IFERROR(INDEX(面试清单!H:H,MATCH(2940,面试清单!P:P,0)),"")</f>
        <v/>
      </c>
      <c r="I2941" s="13" t="s">
        <v>29</v>
      </c>
      <c r="J2941" s="14">
        <f ca="1" t="shared" si="136"/>
        <v>6</v>
      </c>
      <c r="K2941" s="14">
        <f ca="1" t="shared" si="137"/>
        <v>7</v>
      </c>
    </row>
    <row r="2942" ht="18" spans="1:11">
      <c r="A2942" s="10">
        <f t="shared" si="135"/>
        <v>2941</v>
      </c>
      <c r="B2942" s="11" t="s">
        <v>1702</v>
      </c>
      <c r="C2942" s="10" t="str">
        <f>IFERROR(INDEX(面试清单!D:D,MATCH(2941,面试清单!P:P,0)),"")</f>
        <v/>
      </c>
      <c r="D2942" s="11" t="s">
        <v>42</v>
      </c>
      <c r="E2942" s="11" t="s">
        <v>63</v>
      </c>
      <c r="F2942" s="11" t="s">
        <v>117</v>
      </c>
      <c r="G2942" s="15">
        <v>46183</v>
      </c>
      <c r="H2942" s="10" t="str">
        <f>IFERROR(INDEX(面试清单!H:H,MATCH(2941,面试清单!P:P,0)),"")</f>
        <v/>
      </c>
      <c r="I2942" s="13" t="s">
        <v>29</v>
      </c>
      <c r="J2942" s="10">
        <f ca="1" t="shared" si="136"/>
        <v>6</v>
      </c>
      <c r="K2942" s="10">
        <f ca="1" t="shared" si="137"/>
        <v>7</v>
      </c>
    </row>
    <row r="2943" ht="18" spans="1:11">
      <c r="A2943" s="14">
        <f t="shared" si="135"/>
        <v>2942</v>
      </c>
      <c r="B2943" s="11" t="s">
        <v>1703</v>
      </c>
      <c r="C2943" s="124" t="str">
        <f>IFERROR(INDEX(面试清单!D:D,MATCH(2942,面试清单!P:P,0)),"")</f>
        <v>0222</v>
      </c>
      <c r="D2943" s="11" t="s">
        <v>42</v>
      </c>
      <c r="E2943" s="11" t="s">
        <v>63</v>
      </c>
      <c r="F2943" s="11" t="s">
        <v>117</v>
      </c>
      <c r="G2943" s="15">
        <v>46183</v>
      </c>
      <c r="H2943" s="14" t="str">
        <f>IFERROR(INDEX(面试清单!H:H,MATCH(2942,面试清单!P:P,0)),"")</f>
        <v>线上</v>
      </c>
      <c r="I2943" s="13" t="s">
        <v>29</v>
      </c>
      <c r="J2943" s="14">
        <f ca="1" t="shared" si="136"/>
        <v>6</v>
      </c>
      <c r="K2943" s="14">
        <f ca="1" t="shared" si="137"/>
        <v>7</v>
      </c>
    </row>
    <row r="2944" ht="18" spans="1:11">
      <c r="A2944" s="10">
        <f t="shared" si="135"/>
        <v>2943</v>
      </c>
      <c r="B2944" s="11" t="s">
        <v>1707</v>
      </c>
      <c r="C2944" s="10" t="str">
        <f>IFERROR(INDEX(面试清单!D:D,MATCH(2943,面试清单!P:P,0)),"")</f>
        <v/>
      </c>
      <c r="D2944" s="11" t="s">
        <v>42</v>
      </c>
      <c r="E2944" s="11" t="s">
        <v>63</v>
      </c>
      <c r="F2944" s="11" t="s">
        <v>117</v>
      </c>
      <c r="G2944" s="15">
        <v>46183</v>
      </c>
      <c r="H2944" s="10" t="str">
        <f>IFERROR(INDEX(面试清单!H:H,MATCH(2943,面试清单!P:P,0)),"")</f>
        <v/>
      </c>
      <c r="I2944" s="13" t="s">
        <v>29</v>
      </c>
      <c r="J2944" s="10">
        <f ca="1" t="shared" si="136"/>
        <v>6</v>
      </c>
      <c r="K2944" s="10">
        <f ca="1" t="shared" si="137"/>
        <v>7</v>
      </c>
    </row>
    <row r="2945" ht="18" spans="1:11">
      <c r="A2945" s="14">
        <f t="shared" si="135"/>
        <v>2944</v>
      </c>
      <c r="B2945" s="11" t="s">
        <v>1708</v>
      </c>
      <c r="C2945" s="14" t="str">
        <f>IFERROR(INDEX(面试清单!D:D,MATCH(2944,面试清单!P:P,0)),"")</f>
        <v/>
      </c>
      <c r="D2945" s="11" t="s">
        <v>42</v>
      </c>
      <c r="E2945" s="11" t="s">
        <v>63</v>
      </c>
      <c r="F2945" s="11" t="s">
        <v>117</v>
      </c>
      <c r="G2945" s="15">
        <v>46183</v>
      </c>
      <c r="H2945" s="14" t="str">
        <f>IFERROR(INDEX(面试清单!H:H,MATCH(2944,面试清单!P:P,0)),"")</f>
        <v/>
      </c>
      <c r="I2945" s="13" t="s">
        <v>29</v>
      </c>
      <c r="J2945" s="14">
        <f ca="1" t="shared" si="136"/>
        <v>6</v>
      </c>
      <c r="K2945" s="14">
        <f ca="1" t="shared" si="137"/>
        <v>7</v>
      </c>
    </row>
    <row r="2946" ht="18" spans="1:11">
      <c r="A2946" s="10">
        <f t="shared" ref="A2946:A3009" si="138">IF(B2946&lt;&gt;"",ROW()-1,"")</f>
        <v>2945</v>
      </c>
      <c r="B2946" s="11" t="s">
        <v>6376</v>
      </c>
      <c r="C2946" s="125" t="str">
        <f>IFERROR(INDEX(面试清单!D:D,MATCH(2945,面试清单!P:P,0)),"")</f>
        <v>0212</v>
      </c>
      <c r="D2946" s="11" t="s">
        <v>42</v>
      </c>
      <c r="E2946" s="11" t="s">
        <v>62</v>
      </c>
      <c r="F2946" s="11" t="s">
        <v>103</v>
      </c>
      <c r="G2946" s="15">
        <v>46183</v>
      </c>
      <c r="H2946" s="10" t="str">
        <f>IFERROR(INDEX(面试清单!H:H,MATCH(2945,面试清单!P:P,0)),"")</f>
        <v>线上</v>
      </c>
      <c r="I2946" s="13" t="s">
        <v>29</v>
      </c>
      <c r="J2946" s="10">
        <f ca="1" t="shared" ref="J2946:J3009" si="139">IF(G2946&lt;&gt;"",TODAY()-G2946,"")</f>
        <v>6</v>
      </c>
      <c r="K2946" s="10">
        <f ca="1" t="shared" ref="K2946:K3009" si="140">IF(G2946&lt;&gt;"",MAX(0,MIN(TODAY(),EOMONTH(TODAY(),0))-MAX(G2946,EOMONTH(TODAY(),-1)+1)+1),"")</f>
        <v>7</v>
      </c>
    </row>
    <row r="2947" ht="18" spans="1:11">
      <c r="A2947" s="14">
        <f t="shared" si="138"/>
        <v>2946</v>
      </c>
      <c r="B2947" s="11" t="s">
        <v>6377</v>
      </c>
      <c r="C2947" s="14" t="str">
        <f>IFERROR(INDEX(面试清单!D:D,MATCH(2946,面试清单!P:P,0)),"")</f>
        <v/>
      </c>
      <c r="D2947" s="11" t="s">
        <v>43</v>
      </c>
      <c r="E2947" s="11" t="s">
        <v>63</v>
      </c>
      <c r="F2947" s="11" t="s">
        <v>103</v>
      </c>
      <c r="G2947" s="15">
        <v>46183</v>
      </c>
      <c r="H2947" s="14" t="str">
        <f>IFERROR(INDEX(面试清单!H:H,MATCH(2946,面试清单!P:P,0)),"")</f>
        <v/>
      </c>
      <c r="I2947" s="13" t="s">
        <v>29</v>
      </c>
      <c r="J2947" s="14">
        <f ca="1" t="shared" si="139"/>
        <v>6</v>
      </c>
      <c r="K2947" s="14">
        <f ca="1" t="shared" si="140"/>
        <v>7</v>
      </c>
    </row>
    <row r="2948" ht="18" spans="1:11">
      <c r="A2948" s="10">
        <f t="shared" si="138"/>
        <v>2947</v>
      </c>
      <c r="B2948" s="11" t="s">
        <v>1693</v>
      </c>
      <c r="C2948" s="10" t="str">
        <f>IFERROR(INDEX(面试清单!D:D,MATCH(2947,面试清单!P:P,0)),"")</f>
        <v/>
      </c>
      <c r="D2948" s="11" t="s">
        <v>42</v>
      </c>
      <c r="E2948" s="11" t="s">
        <v>63</v>
      </c>
      <c r="F2948" s="11" t="s">
        <v>103</v>
      </c>
      <c r="G2948" s="15">
        <v>46183</v>
      </c>
      <c r="H2948" s="10" t="str">
        <f>IFERROR(INDEX(面试清单!H:H,MATCH(2947,面试清单!P:P,0)),"")</f>
        <v/>
      </c>
      <c r="I2948" s="13" t="s">
        <v>29</v>
      </c>
      <c r="J2948" s="10">
        <f ca="1" t="shared" si="139"/>
        <v>6</v>
      </c>
      <c r="K2948" s="10">
        <f ca="1" t="shared" si="140"/>
        <v>7</v>
      </c>
    </row>
    <row r="2949" ht="18" spans="1:11">
      <c r="A2949" s="14">
        <f t="shared" si="138"/>
        <v>2948</v>
      </c>
      <c r="B2949" s="11" t="s">
        <v>1554</v>
      </c>
      <c r="C2949" s="14" t="str">
        <f>IFERROR(INDEX(面试清单!D:D,MATCH(2948,面试清单!P:P,0)),"")</f>
        <v/>
      </c>
      <c r="D2949" s="11" t="s">
        <v>43</v>
      </c>
      <c r="E2949" s="11" t="s">
        <v>62</v>
      </c>
      <c r="F2949" s="11" t="s">
        <v>1426</v>
      </c>
      <c r="G2949" s="15">
        <v>46183</v>
      </c>
      <c r="H2949" s="14" t="str">
        <f>IFERROR(INDEX(面试清单!H:H,MATCH(2948,面试清单!P:P,0)),"")</f>
        <v/>
      </c>
      <c r="I2949" s="13" t="s">
        <v>29</v>
      </c>
      <c r="J2949" s="14">
        <f ca="1" t="shared" si="139"/>
        <v>6</v>
      </c>
      <c r="K2949" s="14">
        <f ca="1" t="shared" si="140"/>
        <v>7</v>
      </c>
    </row>
    <row r="2950" ht="18" spans="1:11">
      <c r="A2950" s="10">
        <f t="shared" si="138"/>
        <v>2949</v>
      </c>
      <c r="B2950" s="11" t="s">
        <v>1559</v>
      </c>
      <c r="C2950" s="10" t="str">
        <f>IFERROR(INDEX(面试清单!D:D,MATCH(2949,面试清单!P:P,0)),"")</f>
        <v/>
      </c>
      <c r="D2950" s="11" t="s">
        <v>43</v>
      </c>
      <c r="E2950" s="11" t="s">
        <v>62</v>
      </c>
      <c r="F2950" s="11" t="s">
        <v>509</v>
      </c>
      <c r="G2950" s="15">
        <v>46183</v>
      </c>
      <c r="H2950" s="10" t="str">
        <f>IFERROR(INDEX(面试清单!H:H,MATCH(2949,面试清单!P:P,0)),"")</f>
        <v/>
      </c>
      <c r="I2950" s="13" t="s">
        <v>29</v>
      </c>
      <c r="J2950" s="10">
        <f ca="1" t="shared" si="139"/>
        <v>6</v>
      </c>
      <c r="K2950" s="10">
        <f ca="1" t="shared" si="140"/>
        <v>7</v>
      </c>
    </row>
    <row r="2951" ht="18" spans="1:11">
      <c r="A2951" s="14">
        <f t="shared" si="138"/>
        <v>2950</v>
      </c>
      <c r="B2951" s="11" t="s">
        <v>1606</v>
      </c>
      <c r="C2951" s="14" t="str">
        <f>IFERROR(INDEX(面试清单!D:D,MATCH(2950,面试清单!P:P,0)),"")</f>
        <v/>
      </c>
      <c r="D2951" s="11" t="s">
        <v>43</v>
      </c>
      <c r="E2951" s="11" t="s">
        <v>62</v>
      </c>
      <c r="F2951" s="11" t="s">
        <v>509</v>
      </c>
      <c r="G2951" s="15">
        <v>46183</v>
      </c>
      <c r="H2951" s="14" t="str">
        <f>IFERROR(INDEX(面试清单!H:H,MATCH(2950,面试清单!P:P,0)),"")</f>
        <v/>
      </c>
      <c r="I2951" s="13" t="s">
        <v>29</v>
      </c>
      <c r="J2951" s="14">
        <f ca="1" t="shared" si="139"/>
        <v>6</v>
      </c>
      <c r="K2951" s="14">
        <f ca="1" t="shared" si="140"/>
        <v>7</v>
      </c>
    </row>
    <row r="2952" ht="18" spans="1:11">
      <c r="A2952" s="10">
        <f t="shared" si="138"/>
        <v>2951</v>
      </c>
      <c r="B2952" s="11" t="s">
        <v>1574</v>
      </c>
      <c r="C2952" s="10" t="str">
        <f>IFERROR(INDEX(面试清单!D:D,MATCH(2951,面试清单!P:P,0)),"")</f>
        <v/>
      </c>
      <c r="D2952" s="11" t="s">
        <v>42</v>
      </c>
      <c r="E2952" s="11" t="s">
        <v>62</v>
      </c>
      <c r="F2952" s="11" t="s">
        <v>509</v>
      </c>
      <c r="G2952" s="15">
        <v>46183</v>
      </c>
      <c r="H2952" s="10" t="str">
        <f>IFERROR(INDEX(面试清单!H:H,MATCH(2951,面试清单!P:P,0)),"")</f>
        <v/>
      </c>
      <c r="I2952" s="13" t="s">
        <v>29</v>
      </c>
      <c r="J2952" s="10">
        <f ca="1" t="shared" si="139"/>
        <v>6</v>
      </c>
      <c r="K2952" s="10">
        <f ca="1" t="shared" si="140"/>
        <v>7</v>
      </c>
    </row>
    <row r="2953" ht="18" spans="1:11">
      <c r="A2953" s="14">
        <f t="shared" si="138"/>
        <v>2952</v>
      </c>
      <c r="B2953" s="11" t="s">
        <v>1677</v>
      </c>
      <c r="C2953" s="14" t="str">
        <f>IFERROR(INDEX(面试清单!D:D,MATCH(2952,面试清单!P:P,0)),"")</f>
        <v/>
      </c>
      <c r="D2953" s="11" t="s">
        <v>42</v>
      </c>
      <c r="E2953" s="11" t="s">
        <v>63</v>
      </c>
      <c r="F2953" s="11" t="s">
        <v>509</v>
      </c>
      <c r="G2953" s="15">
        <v>46183</v>
      </c>
      <c r="H2953" s="14" t="str">
        <f>IFERROR(INDEX(面试清单!H:H,MATCH(2952,面试清单!P:P,0)),"")</f>
        <v/>
      </c>
      <c r="I2953" s="13" t="s">
        <v>29</v>
      </c>
      <c r="J2953" s="14">
        <f ca="1" t="shared" si="139"/>
        <v>6</v>
      </c>
      <c r="K2953" s="14">
        <f ca="1" t="shared" si="140"/>
        <v>7</v>
      </c>
    </row>
    <row r="2954" ht="18" spans="1:11">
      <c r="A2954" s="10">
        <f t="shared" si="138"/>
        <v>2953</v>
      </c>
      <c r="B2954" s="11" t="s">
        <v>1658</v>
      </c>
      <c r="C2954" s="125" t="str">
        <f>IFERROR(INDEX(面试清单!D:D,MATCH(2953,面试清单!P:P,0)),"")</f>
        <v>0209</v>
      </c>
      <c r="D2954" s="11" t="s">
        <v>1659</v>
      </c>
      <c r="E2954" s="11" t="s">
        <v>62</v>
      </c>
      <c r="F2954" s="11" t="s">
        <v>148</v>
      </c>
      <c r="G2954" s="15">
        <v>46183</v>
      </c>
      <c r="H2954" s="10" t="str">
        <f>IFERROR(INDEX(面试清单!H:H,MATCH(2953,面试清单!P:P,0)),"")</f>
        <v>线上</v>
      </c>
      <c r="I2954" s="13" t="s">
        <v>29</v>
      </c>
      <c r="J2954" s="10">
        <f ca="1" t="shared" si="139"/>
        <v>6</v>
      </c>
      <c r="K2954" s="10">
        <f ca="1" t="shared" si="140"/>
        <v>7</v>
      </c>
    </row>
    <row r="2955" ht="18" spans="1:11">
      <c r="A2955" s="14">
        <f t="shared" si="138"/>
        <v>2954</v>
      </c>
      <c r="B2955" s="11" t="s">
        <v>6378</v>
      </c>
      <c r="C2955" s="14" t="str">
        <f>IFERROR(INDEX(面试清单!D:D,MATCH(2954,面试清单!P:P,0)),"")</f>
        <v/>
      </c>
      <c r="D2955" s="11" t="s">
        <v>42</v>
      </c>
      <c r="E2955" s="11" t="s">
        <v>64</v>
      </c>
      <c r="F2955" s="11" t="s">
        <v>173</v>
      </c>
      <c r="G2955" s="15">
        <v>46183</v>
      </c>
      <c r="H2955" s="14" t="str">
        <f>IFERROR(INDEX(面试清单!H:H,MATCH(2954,面试清单!P:P,0)),"")</f>
        <v/>
      </c>
      <c r="I2955" s="13" t="s">
        <v>29</v>
      </c>
      <c r="J2955" s="14">
        <f ca="1" t="shared" si="139"/>
        <v>6</v>
      </c>
      <c r="K2955" s="14">
        <f ca="1" t="shared" si="140"/>
        <v>7</v>
      </c>
    </row>
    <row r="2956" ht="18" spans="1:11">
      <c r="A2956" s="10">
        <f t="shared" si="138"/>
        <v>2955</v>
      </c>
      <c r="B2956" s="11" t="s">
        <v>1332</v>
      </c>
      <c r="C2956" s="10" t="str">
        <f>IFERROR(INDEX(面试清单!D:D,MATCH(2955,面试清单!P:P,0)),"")</f>
        <v/>
      </c>
      <c r="D2956" s="11" t="s">
        <v>42</v>
      </c>
      <c r="E2956" s="11" t="s">
        <v>63</v>
      </c>
      <c r="F2956" s="11" t="s">
        <v>173</v>
      </c>
      <c r="G2956" s="15">
        <v>46183</v>
      </c>
      <c r="H2956" s="10" t="str">
        <f>IFERROR(INDEX(面试清单!H:H,MATCH(2955,面试清单!P:P,0)),"")</f>
        <v/>
      </c>
      <c r="I2956" s="13" t="s">
        <v>29</v>
      </c>
      <c r="J2956" s="10">
        <f ca="1" t="shared" si="139"/>
        <v>6</v>
      </c>
      <c r="K2956" s="10">
        <f ca="1" t="shared" si="140"/>
        <v>7</v>
      </c>
    </row>
    <row r="2957" ht="18" spans="1:11">
      <c r="A2957" s="14">
        <f t="shared" si="138"/>
        <v>2956</v>
      </c>
      <c r="B2957" s="11" t="s">
        <v>6379</v>
      </c>
      <c r="C2957" s="14" t="str">
        <f>IFERROR(INDEX(面试清单!D:D,MATCH(2956,面试清单!P:P,0)),"")</f>
        <v/>
      </c>
      <c r="D2957" s="11" t="s">
        <v>42</v>
      </c>
      <c r="E2957" s="11" t="s">
        <v>64</v>
      </c>
      <c r="F2957" s="11" t="s">
        <v>173</v>
      </c>
      <c r="G2957" s="15">
        <v>46183</v>
      </c>
      <c r="H2957" s="14" t="str">
        <f>IFERROR(INDEX(面试清单!H:H,MATCH(2956,面试清单!P:P,0)),"")</f>
        <v/>
      </c>
      <c r="I2957" s="13" t="s">
        <v>29</v>
      </c>
      <c r="J2957" s="14">
        <f ca="1" t="shared" si="139"/>
        <v>6</v>
      </c>
      <c r="K2957" s="14">
        <f ca="1" t="shared" si="140"/>
        <v>7</v>
      </c>
    </row>
    <row r="2958" ht="18" spans="1:11">
      <c r="A2958" s="10">
        <f t="shared" si="138"/>
        <v>2957</v>
      </c>
      <c r="B2958" s="11" t="s">
        <v>6380</v>
      </c>
      <c r="C2958" s="10" t="str">
        <f>IFERROR(INDEX(面试清单!D:D,MATCH(2957,面试清单!P:P,0)),"")</f>
        <v/>
      </c>
      <c r="D2958" s="11" t="s">
        <v>42</v>
      </c>
      <c r="E2958" s="11" t="s">
        <v>64</v>
      </c>
      <c r="F2958" s="11" t="s">
        <v>173</v>
      </c>
      <c r="G2958" s="15">
        <v>46183</v>
      </c>
      <c r="H2958" s="10" t="str">
        <f>IFERROR(INDEX(面试清单!H:H,MATCH(2957,面试清单!P:P,0)),"")</f>
        <v/>
      </c>
      <c r="I2958" s="13" t="s">
        <v>29</v>
      </c>
      <c r="J2958" s="10">
        <f ca="1" t="shared" si="139"/>
        <v>6</v>
      </c>
      <c r="K2958" s="10">
        <f ca="1" t="shared" si="140"/>
        <v>7</v>
      </c>
    </row>
    <row r="2959" ht="18" spans="1:11">
      <c r="A2959" s="14">
        <f t="shared" si="138"/>
        <v>2958</v>
      </c>
      <c r="B2959" s="11" t="s">
        <v>6381</v>
      </c>
      <c r="C2959" s="14" t="str">
        <f>IFERROR(INDEX(面试清单!D:D,MATCH(2958,面试清单!P:P,0)),"")</f>
        <v/>
      </c>
      <c r="D2959" s="11" t="s">
        <v>42</v>
      </c>
      <c r="E2959" s="11" t="s">
        <v>63</v>
      </c>
      <c r="F2959" s="11" t="s">
        <v>173</v>
      </c>
      <c r="G2959" s="15">
        <v>46183</v>
      </c>
      <c r="H2959" s="14" t="str">
        <f>IFERROR(INDEX(面试清单!H:H,MATCH(2958,面试清单!P:P,0)),"")</f>
        <v/>
      </c>
      <c r="I2959" s="13" t="s">
        <v>29</v>
      </c>
      <c r="J2959" s="14">
        <f ca="1" t="shared" si="139"/>
        <v>6</v>
      </c>
      <c r="K2959" s="14">
        <f ca="1" t="shared" si="140"/>
        <v>7</v>
      </c>
    </row>
    <row r="2960" ht="18" spans="1:11">
      <c r="A2960" s="10">
        <f t="shared" si="138"/>
        <v>2959</v>
      </c>
      <c r="B2960" s="11" t="s">
        <v>6382</v>
      </c>
      <c r="C2960" s="10" t="str">
        <f>IFERROR(INDEX(面试清单!D:D,MATCH(2959,面试清单!P:P,0)),"")</f>
        <v/>
      </c>
      <c r="D2960" s="11" t="s">
        <v>42</v>
      </c>
      <c r="E2960" s="11" t="s">
        <v>63</v>
      </c>
      <c r="F2960" s="11" t="s">
        <v>173</v>
      </c>
      <c r="G2960" s="15">
        <v>46183</v>
      </c>
      <c r="H2960" s="10" t="str">
        <f>IFERROR(INDEX(面试清单!H:H,MATCH(2959,面试清单!P:P,0)),"")</f>
        <v/>
      </c>
      <c r="I2960" s="13" t="s">
        <v>29</v>
      </c>
      <c r="J2960" s="10">
        <f ca="1" t="shared" si="139"/>
        <v>6</v>
      </c>
      <c r="K2960" s="10">
        <f ca="1" t="shared" si="140"/>
        <v>7</v>
      </c>
    </row>
    <row r="2961" ht="18" spans="1:11">
      <c r="A2961" s="14">
        <f t="shared" si="138"/>
        <v>2960</v>
      </c>
      <c r="B2961" s="11" t="s">
        <v>6383</v>
      </c>
      <c r="C2961" s="14" t="str">
        <f>IFERROR(INDEX(面试清单!D:D,MATCH(2960,面试清单!P:P,0)),"")</f>
        <v/>
      </c>
      <c r="D2961" s="11" t="s">
        <v>42</v>
      </c>
      <c r="E2961" s="11" t="s">
        <v>63</v>
      </c>
      <c r="F2961" s="11" t="s">
        <v>173</v>
      </c>
      <c r="G2961" s="15">
        <v>46183</v>
      </c>
      <c r="H2961" s="14" t="str">
        <f>IFERROR(INDEX(面试清单!H:H,MATCH(2960,面试清单!P:P,0)),"")</f>
        <v/>
      </c>
      <c r="I2961" s="13" t="s">
        <v>29</v>
      </c>
      <c r="J2961" s="14">
        <f ca="1" t="shared" si="139"/>
        <v>6</v>
      </c>
      <c r="K2961" s="14">
        <f ca="1" t="shared" si="140"/>
        <v>7</v>
      </c>
    </row>
    <row r="2962" ht="36" spans="1:11">
      <c r="A2962" s="10">
        <f t="shared" si="138"/>
        <v>2961</v>
      </c>
      <c r="B2962" s="11" t="s">
        <v>6384</v>
      </c>
      <c r="C2962" s="10" t="str">
        <f>IFERROR(INDEX(面试清单!D:D,MATCH(2961,面试清单!P:P,0)),"")</f>
        <v/>
      </c>
      <c r="D2962" s="11" t="s">
        <v>42</v>
      </c>
      <c r="E2962" s="11" t="s">
        <v>63</v>
      </c>
      <c r="F2962" s="11" t="s">
        <v>173</v>
      </c>
      <c r="G2962" s="15">
        <v>46183</v>
      </c>
      <c r="H2962" s="10" t="str">
        <f>IFERROR(INDEX(面试清单!H:H,MATCH(2961,面试清单!P:P,0)),"")</f>
        <v/>
      </c>
      <c r="I2962" s="13" t="s">
        <v>29</v>
      </c>
      <c r="J2962" s="10">
        <f ca="1" t="shared" si="139"/>
        <v>6</v>
      </c>
      <c r="K2962" s="10">
        <f ca="1" t="shared" si="140"/>
        <v>7</v>
      </c>
    </row>
    <row r="2963" ht="18" spans="1:11">
      <c r="A2963" s="14">
        <f t="shared" si="138"/>
        <v>2962</v>
      </c>
      <c r="B2963" s="11" t="s">
        <v>6385</v>
      </c>
      <c r="C2963" s="14" t="str">
        <f>IFERROR(INDEX(面试清单!D:D,MATCH(2962,面试清单!P:P,0)),"")</f>
        <v/>
      </c>
      <c r="D2963" s="11" t="s">
        <v>42</v>
      </c>
      <c r="E2963" s="11" t="s">
        <v>63</v>
      </c>
      <c r="F2963" s="11" t="s">
        <v>173</v>
      </c>
      <c r="G2963" s="15">
        <v>46183</v>
      </c>
      <c r="H2963" s="14" t="str">
        <f>IFERROR(INDEX(面试清单!H:H,MATCH(2962,面试清单!P:P,0)),"")</f>
        <v/>
      </c>
      <c r="I2963" s="13" t="s">
        <v>29</v>
      </c>
      <c r="J2963" s="14">
        <f ca="1" t="shared" si="139"/>
        <v>6</v>
      </c>
      <c r="K2963" s="14">
        <f ca="1" t="shared" si="140"/>
        <v>7</v>
      </c>
    </row>
    <row r="2964" ht="18" spans="1:11">
      <c r="A2964" s="10">
        <f t="shared" si="138"/>
        <v>2963</v>
      </c>
      <c r="B2964" s="11" t="s">
        <v>6386</v>
      </c>
      <c r="C2964" s="10" t="str">
        <f>IFERROR(INDEX(面试清单!D:D,MATCH(2963,面试清单!P:P,0)),"")</f>
        <v/>
      </c>
      <c r="D2964" s="11" t="s">
        <v>42</v>
      </c>
      <c r="E2964" s="11" t="s">
        <v>63</v>
      </c>
      <c r="F2964" s="11" t="s">
        <v>173</v>
      </c>
      <c r="G2964" s="15">
        <v>46183</v>
      </c>
      <c r="H2964" s="10" t="str">
        <f>IFERROR(INDEX(面试清单!H:H,MATCH(2963,面试清单!P:P,0)),"")</f>
        <v/>
      </c>
      <c r="I2964" s="13" t="s">
        <v>29</v>
      </c>
      <c r="J2964" s="10">
        <f ca="1" t="shared" si="139"/>
        <v>6</v>
      </c>
      <c r="K2964" s="10">
        <f ca="1" t="shared" si="140"/>
        <v>7</v>
      </c>
    </row>
    <row r="2965" ht="18" spans="1:11">
      <c r="A2965" s="14">
        <f t="shared" si="138"/>
        <v>2964</v>
      </c>
      <c r="B2965" s="11" t="s">
        <v>6387</v>
      </c>
      <c r="C2965" s="14" t="str">
        <f>IFERROR(INDEX(面试清单!D:D,MATCH(2964,面试清单!P:P,0)),"")</f>
        <v/>
      </c>
      <c r="D2965" s="11" t="s">
        <v>42</v>
      </c>
      <c r="E2965" s="11" t="s">
        <v>63</v>
      </c>
      <c r="F2965" s="11" t="s">
        <v>173</v>
      </c>
      <c r="G2965" s="15">
        <v>46183</v>
      </c>
      <c r="H2965" s="14" t="str">
        <f>IFERROR(INDEX(面试清单!H:H,MATCH(2964,面试清单!P:P,0)),"")</f>
        <v/>
      </c>
      <c r="I2965" s="13" t="s">
        <v>29</v>
      </c>
      <c r="J2965" s="14">
        <f ca="1" t="shared" si="139"/>
        <v>6</v>
      </c>
      <c r="K2965" s="14">
        <f ca="1" t="shared" si="140"/>
        <v>7</v>
      </c>
    </row>
    <row r="2966" ht="18" spans="1:11">
      <c r="A2966" s="10">
        <f t="shared" si="138"/>
        <v>2965</v>
      </c>
      <c r="B2966" s="11" t="s">
        <v>6388</v>
      </c>
      <c r="C2966" s="10" t="str">
        <f>IFERROR(INDEX(面试清单!D:D,MATCH(2965,面试清单!P:P,0)),"")</f>
        <v/>
      </c>
      <c r="D2966" s="11" t="s">
        <v>42</v>
      </c>
      <c r="E2966" s="11" t="s">
        <v>63</v>
      </c>
      <c r="F2966" s="11" t="s">
        <v>173</v>
      </c>
      <c r="G2966" s="15">
        <v>46183</v>
      </c>
      <c r="H2966" s="10" t="str">
        <f>IFERROR(INDEX(面试清单!H:H,MATCH(2965,面试清单!P:P,0)),"")</f>
        <v/>
      </c>
      <c r="I2966" s="13" t="s">
        <v>29</v>
      </c>
      <c r="J2966" s="10">
        <f ca="1" t="shared" si="139"/>
        <v>6</v>
      </c>
      <c r="K2966" s="10">
        <f ca="1" t="shared" si="140"/>
        <v>7</v>
      </c>
    </row>
    <row r="2967" ht="18" spans="1:11">
      <c r="A2967" s="14">
        <f t="shared" si="138"/>
        <v>2966</v>
      </c>
      <c r="B2967" s="11" t="s">
        <v>6389</v>
      </c>
      <c r="C2967" s="14" t="str">
        <f>IFERROR(INDEX(面试清单!D:D,MATCH(2966,面试清单!P:P,0)),"")</f>
        <v/>
      </c>
      <c r="D2967" s="11" t="s">
        <v>42</v>
      </c>
      <c r="E2967" s="11" t="s">
        <v>63</v>
      </c>
      <c r="F2967" s="11" t="s">
        <v>173</v>
      </c>
      <c r="G2967" s="15">
        <v>46183</v>
      </c>
      <c r="H2967" s="14" t="str">
        <f>IFERROR(INDEX(面试清单!H:H,MATCH(2966,面试清单!P:P,0)),"")</f>
        <v/>
      </c>
      <c r="I2967" s="13" t="s">
        <v>29</v>
      </c>
      <c r="J2967" s="14">
        <f ca="1" t="shared" si="139"/>
        <v>6</v>
      </c>
      <c r="K2967" s="14">
        <f ca="1" t="shared" si="140"/>
        <v>7</v>
      </c>
    </row>
    <row r="2968" ht="18" spans="1:11">
      <c r="A2968" s="10">
        <f t="shared" si="138"/>
        <v>2967</v>
      </c>
      <c r="B2968" s="11" t="s">
        <v>6390</v>
      </c>
      <c r="C2968" s="10" t="str">
        <f>IFERROR(INDEX(面试清单!D:D,MATCH(2967,面试清单!P:P,0)),"")</f>
        <v/>
      </c>
      <c r="D2968" s="11" t="s">
        <v>42</v>
      </c>
      <c r="E2968" s="11" t="s">
        <v>64</v>
      </c>
      <c r="F2968" s="11" t="s">
        <v>173</v>
      </c>
      <c r="G2968" s="15">
        <v>46183</v>
      </c>
      <c r="H2968" s="10" t="str">
        <f>IFERROR(INDEX(面试清单!H:H,MATCH(2967,面试清单!P:P,0)),"")</f>
        <v/>
      </c>
      <c r="I2968" s="13" t="s">
        <v>29</v>
      </c>
      <c r="J2968" s="10">
        <f ca="1" t="shared" si="139"/>
        <v>6</v>
      </c>
      <c r="K2968" s="10">
        <f ca="1" t="shared" si="140"/>
        <v>7</v>
      </c>
    </row>
    <row r="2969" ht="18" spans="1:11">
      <c r="A2969" s="14">
        <f t="shared" si="138"/>
        <v>2968</v>
      </c>
      <c r="B2969" s="11" t="s">
        <v>6391</v>
      </c>
      <c r="C2969" s="14" t="str">
        <f>IFERROR(INDEX(面试清单!D:D,MATCH(2968,面试清单!P:P,0)),"")</f>
        <v/>
      </c>
      <c r="D2969" s="11" t="s">
        <v>42</v>
      </c>
      <c r="E2969" s="11" t="s">
        <v>63</v>
      </c>
      <c r="F2969" s="11" t="s">
        <v>173</v>
      </c>
      <c r="G2969" s="15">
        <v>46183</v>
      </c>
      <c r="H2969" s="14" t="str">
        <f>IFERROR(INDEX(面试清单!H:H,MATCH(2968,面试清单!P:P,0)),"")</f>
        <v/>
      </c>
      <c r="I2969" s="13" t="s">
        <v>29</v>
      </c>
      <c r="J2969" s="14">
        <f ca="1" t="shared" si="139"/>
        <v>6</v>
      </c>
      <c r="K2969" s="14">
        <f ca="1" t="shared" si="140"/>
        <v>7</v>
      </c>
    </row>
    <row r="2970" ht="18" spans="1:11">
      <c r="A2970" s="10">
        <f t="shared" si="138"/>
        <v>2969</v>
      </c>
      <c r="B2970" s="11" t="s">
        <v>6392</v>
      </c>
      <c r="C2970" s="10" t="str">
        <f>IFERROR(INDEX(面试清单!D:D,MATCH(2969,面试清单!P:P,0)),"")</f>
        <v/>
      </c>
      <c r="D2970" s="11" t="s">
        <v>42</v>
      </c>
      <c r="E2970" s="11" t="s">
        <v>63</v>
      </c>
      <c r="F2970" s="11" t="s">
        <v>173</v>
      </c>
      <c r="G2970" s="15">
        <v>46183</v>
      </c>
      <c r="H2970" s="10" t="str">
        <f>IFERROR(INDEX(面试清单!H:H,MATCH(2969,面试清单!P:P,0)),"")</f>
        <v/>
      </c>
      <c r="I2970" s="13" t="s">
        <v>29</v>
      </c>
      <c r="J2970" s="10">
        <f ca="1" t="shared" si="139"/>
        <v>6</v>
      </c>
      <c r="K2970" s="10">
        <f ca="1" t="shared" si="140"/>
        <v>7</v>
      </c>
    </row>
    <row r="2971" ht="18" spans="1:11">
      <c r="A2971" s="14">
        <f t="shared" si="138"/>
        <v>2970</v>
      </c>
      <c r="B2971" s="11" t="s">
        <v>6393</v>
      </c>
      <c r="C2971" s="14" t="str">
        <f>IFERROR(INDEX(面试清单!D:D,MATCH(2970,面试清单!P:P,0)),"")</f>
        <v/>
      </c>
      <c r="D2971" s="11" t="s">
        <v>42</v>
      </c>
      <c r="E2971" s="11" t="s">
        <v>63</v>
      </c>
      <c r="F2971" s="11" t="s">
        <v>173</v>
      </c>
      <c r="G2971" s="15">
        <v>46183</v>
      </c>
      <c r="H2971" s="14" t="str">
        <f>IFERROR(INDEX(面试清单!H:H,MATCH(2970,面试清单!P:P,0)),"")</f>
        <v/>
      </c>
      <c r="I2971" s="13" t="s">
        <v>29</v>
      </c>
      <c r="J2971" s="14">
        <f ca="1" t="shared" si="139"/>
        <v>6</v>
      </c>
      <c r="K2971" s="14">
        <f ca="1" t="shared" si="140"/>
        <v>7</v>
      </c>
    </row>
    <row r="2972" ht="18" spans="1:11">
      <c r="A2972" s="10">
        <f t="shared" si="138"/>
        <v>2971</v>
      </c>
      <c r="B2972" s="11" t="s">
        <v>6394</v>
      </c>
      <c r="C2972" s="10" t="str">
        <f>IFERROR(INDEX(面试清单!D:D,MATCH(2971,面试清单!P:P,0)),"")</f>
        <v/>
      </c>
      <c r="D2972" s="11" t="s">
        <v>42</v>
      </c>
      <c r="E2972" s="11" t="s">
        <v>63</v>
      </c>
      <c r="F2972" s="11" t="s">
        <v>173</v>
      </c>
      <c r="G2972" s="15">
        <v>46183</v>
      </c>
      <c r="H2972" s="10" t="str">
        <f>IFERROR(INDEX(面试清单!H:H,MATCH(2971,面试清单!P:P,0)),"")</f>
        <v/>
      </c>
      <c r="I2972" s="13" t="s">
        <v>29</v>
      </c>
      <c r="J2972" s="10">
        <f ca="1" t="shared" si="139"/>
        <v>6</v>
      </c>
      <c r="K2972" s="10">
        <f ca="1" t="shared" si="140"/>
        <v>7</v>
      </c>
    </row>
    <row r="2973" ht="18" spans="1:11">
      <c r="A2973" s="14">
        <f t="shared" si="138"/>
        <v>2972</v>
      </c>
      <c r="B2973" s="11" t="s">
        <v>6395</v>
      </c>
      <c r="C2973" s="14" t="str">
        <f>IFERROR(INDEX(面试清单!D:D,MATCH(2972,面试清单!P:P,0)),"")</f>
        <v/>
      </c>
      <c r="D2973" s="11" t="s">
        <v>42</v>
      </c>
      <c r="E2973" s="11" t="s">
        <v>64</v>
      </c>
      <c r="F2973" s="11" t="s">
        <v>173</v>
      </c>
      <c r="G2973" s="15">
        <v>46183</v>
      </c>
      <c r="H2973" s="14" t="str">
        <f>IFERROR(INDEX(面试清单!H:H,MATCH(2972,面试清单!P:P,0)),"")</f>
        <v/>
      </c>
      <c r="I2973" s="13" t="s">
        <v>29</v>
      </c>
      <c r="J2973" s="14">
        <f ca="1" t="shared" si="139"/>
        <v>6</v>
      </c>
      <c r="K2973" s="14">
        <f ca="1" t="shared" si="140"/>
        <v>7</v>
      </c>
    </row>
    <row r="2974" ht="18" spans="1:11">
      <c r="A2974" s="10">
        <f t="shared" si="138"/>
        <v>2973</v>
      </c>
      <c r="B2974" s="11" t="s">
        <v>1716</v>
      </c>
      <c r="C2974" s="10" t="str">
        <f>IFERROR(INDEX(面试清单!D:D,MATCH(2973,面试清单!P:P,0)),"")</f>
        <v/>
      </c>
      <c r="D2974" s="11" t="s">
        <v>42</v>
      </c>
      <c r="E2974" s="11" t="s">
        <v>64</v>
      </c>
      <c r="F2974" s="11" t="s">
        <v>173</v>
      </c>
      <c r="G2974" s="15">
        <v>46183</v>
      </c>
      <c r="H2974" s="10" t="str">
        <f>IFERROR(INDEX(面试清单!H:H,MATCH(2973,面试清单!P:P,0)),"")</f>
        <v/>
      </c>
      <c r="I2974" s="13" t="s">
        <v>29</v>
      </c>
      <c r="J2974" s="10">
        <f ca="1" t="shared" si="139"/>
        <v>6</v>
      </c>
      <c r="K2974" s="10">
        <f ca="1" t="shared" si="140"/>
        <v>7</v>
      </c>
    </row>
    <row r="2975" ht="18" spans="1:11">
      <c r="A2975" s="14">
        <f t="shared" si="138"/>
        <v>2974</v>
      </c>
      <c r="B2975" s="11" t="s">
        <v>1672</v>
      </c>
      <c r="C2975" s="124" t="str">
        <f>IFERROR(INDEX(面试清单!D:D,MATCH(2974,面试清单!P:P,0)),"")</f>
        <v>0217</v>
      </c>
      <c r="D2975" s="11" t="s">
        <v>42</v>
      </c>
      <c r="E2975" s="11" t="s">
        <v>63</v>
      </c>
      <c r="F2975" s="11" t="s">
        <v>176</v>
      </c>
      <c r="G2975" s="15">
        <v>46183</v>
      </c>
      <c r="H2975" s="14" t="str">
        <f>IFERROR(INDEX(面试清单!H:H,MATCH(2974,面试清单!P:P,0)),"")</f>
        <v>线上</v>
      </c>
      <c r="I2975" s="13" t="s">
        <v>29</v>
      </c>
      <c r="J2975" s="14">
        <f ca="1" t="shared" si="139"/>
        <v>6</v>
      </c>
      <c r="K2975" s="14">
        <f ca="1" t="shared" si="140"/>
        <v>7</v>
      </c>
    </row>
    <row r="2976" ht="18" spans="1:11">
      <c r="A2976" s="10">
        <f t="shared" si="138"/>
        <v>2975</v>
      </c>
      <c r="B2976" s="11" t="s">
        <v>6396</v>
      </c>
      <c r="C2976" s="10" t="str">
        <f>IFERROR(INDEX(面试清单!D:D,MATCH(2975,面试清单!P:P,0)),"")</f>
        <v/>
      </c>
      <c r="D2976" s="11" t="s">
        <v>42</v>
      </c>
      <c r="E2976" s="11" t="s">
        <v>63</v>
      </c>
      <c r="F2976" s="11" t="s">
        <v>176</v>
      </c>
      <c r="G2976" s="15">
        <v>46183</v>
      </c>
      <c r="H2976" s="10" t="str">
        <f>IFERROR(INDEX(面试清单!H:H,MATCH(2975,面试清单!P:P,0)),"")</f>
        <v/>
      </c>
      <c r="I2976" s="13" t="s">
        <v>29</v>
      </c>
      <c r="J2976" s="10">
        <f ca="1" t="shared" si="139"/>
        <v>6</v>
      </c>
      <c r="K2976" s="10">
        <f ca="1" t="shared" si="140"/>
        <v>7</v>
      </c>
    </row>
    <row r="2977" ht="18" spans="1:11">
      <c r="A2977" s="14">
        <f t="shared" si="138"/>
        <v>2976</v>
      </c>
      <c r="B2977" s="11" t="s">
        <v>1663</v>
      </c>
      <c r="C2977" s="124" t="str">
        <f>IFERROR(INDEX(面试清单!D:D,MATCH(2976,面试清单!P:P,0)),"")</f>
        <v>0220</v>
      </c>
      <c r="D2977" s="11" t="s">
        <v>43</v>
      </c>
      <c r="E2977" s="11" t="s">
        <v>63</v>
      </c>
      <c r="F2977" s="11" t="s">
        <v>148</v>
      </c>
      <c r="G2977" s="15">
        <v>46183</v>
      </c>
      <c r="H2977" s="14" t="str">
        <f>IFERROR(INDEX(面试清单!H:H,MATCH(2976,面试清单!P:P,0)),"")</f>
        <v>线上</v>
      </c>
      <c r="I2977" s="13" t="s">
        <v>29</v>
      </c>
      <c r="J2977" s="14">
        <f ca="1" t="shared" si="139"/>
        <v>6</v>
      </c>
      <c r="K2977" s="14">
        <f ca="1" t="shared" si="140"/>
        <v>7</v>
      </c>
    </row>
    <row r="2978" ht="18" spans="1:11">
      <c r="A2978" s="10">
        <f t="shared" si="138"/>
        <v>2977</v>
      </c>
      <c r="B2978" s="11" t="s">
        <v>6397</v>
      </c>
      <c r="C2978" s="10" t="str">
        <f>IFERROR(INDEX(面试清单!D:D,MATCH(2977,面试清单!P:P,0)),"")</f>
        <v/>
      </c>
      <c r="D2978" s="11" t="s">
        <v>42</v>
      </c>
      <c r="E2978" s="11" t="s">
        <v>64</v>
      </c>
      <c r="F2978" s="11" t="s">
        <v>173</v>
      </c>
      <c r="G2978" s="15">
        <v>46183</v>
      </c>
      <c r="H2978" s="10" t="str">
        <f>IFERROR(INDEX(面试清单!H:H,MATCH(2977,面试清单!P:P,0)),"")</f>
        <v/>
      </c>
      <c r="I2978" s="13" t="s">
        <v>29</v>
      </c>
      <c r="J2978" s="10">
        <f ca="1" t="shared" si="139"/>
        <v>6</v>
      </c>
      <c r="K2978" s="10">
        <f ca="1" t="shared" si="140"/>
        <v>7</v>
      </c>
    </row>
    <row r="2979" ht="18" spans="1:11">
      <c r="A2979" s="14">
        <f t="shared" si="138"/>
        <v>2978</v>
      </c>
      <c r="B2979" s="11" t="s">
        <v>6398</v>
      </c>
      <c r="C2979" s="124" t="str">
        <f>IFERROR(INDEX(面试清单!D:D,MATCH(2978,面试清单!P:P,0)),"")</f>
        <v>0222</v>
      </c>
      <c r="D2979" s="11" t="s">
        <v>42</v>
      </c>
      <c r="E2979" s="11" t="s">
        <v>63</v>
      </c>
      <c r="F2979" s="11" t="s">
        <v>173</v>
      </c>
      <c r="G2979" s="15">
        <v>46183</v>
      </c>
      <c r="H2979" s="14" t="str">
        <f>IFERROR(INDEX(面试清单!H:H,MATCH(2978,面试清单!P:P,0)),"")</f>
        <v>线上</v>
      </c>
      <c r="I2979" s="13" t="s">
        <v>29</v>
      </c>
      <c r="J2979" s="14">
        <f ca="1" t="shared" si="139"/>
        <v>6</v>
      </c>
      <c r="K2979" s="14">
        <f ca="1" t="shared" si="140"/>
        <v>7</v>
      </c>
    </row>
    <row r="2980" ht="18" spans="1:11">
      <c r="A2980" s="10">
        <f t="shared" si="138"/>
        <v>2979</v>
      </c>
      <c r="B2980" s="11" t="s">
        <v>860</v>
      </c>
      <c r="C2980" s="125" t="str">
        <f>IFERROR(INDEX(面试清单!D:D,MATCH(2979,面试清单!P:P,0)),"")</f>
        <v>0208</v>
      </c>
      <c r="D2980" s="11" t="s">
        <v>42</v>
      </c>
      <c r="E2980" s="11" t="s">
        <v>64</v>
      </c>
      <c r="F2980" s="11" t="s">
        <v>148</v>
      </c>
      <c r="G2980" s="15">
        <v>46183</v>
      </c>
      <c r="H2980" s="10" t="str">
        <f>IFERROR(INDEX(面试清单!H:H,MATCH(2979,面试清单!P:P,0)),"")</f>
        <v>线上</v>
      </c>
      <c r="I2980" s="13" t="s">
        <v>29</v>
      </c>
      <c r="J2980" s="10">
        <f ca="1" t="shared" si="139"/>
        <v>6</v>
      </c>
      <c r="K2980" s="10">
        <f ca="1" t="shared" si="140"/>
        <v>7</v>
      </c>
    </row>
    <row r="2981" ht="18" spans="1:11">
      <c r="A2981" s="14">
        <f t="shared" si="138"/>
        <v>2980</v>
      </c>
      <c r="B2981" s="11" t="s">
        <v>861</v>
      </c>
      <c r="C2981" s="14" t="str">
        <f>IFERROR(INDEX(面试清单!D:D,MATCH(2980,面试清单!P:P,0)),"")</f>
        <v/>
      </c>
      <c r="D2981" s="11" t="s">
        <v>42</v>
      </c>
      <c r="E2981" s="11" t="s">
        <v>64</v>
      </c>
      <c r="F2981" s="11" t="s">
        <v>148</v>
      </c>
      <c r="G2981" s="15">
        <v>46183</v>
      </c>
      <c r="H2981" s="14" t="str">
        <f>IFERROR(INDEX(面试清单!H:H,MATCH(2980,面试清单!P:P,0)),"")</f>
        <v/>
      </c>
      <c r="I2981" s="13" t="s">
        <v>29</v>
      </c>
      <c r="J2981" s="14">
        <f ca="1" t="shared" si="139"/>
        <v>6</v>
      </c>
      <c r="K2981" s="14">
        <f ca="1" t="shared" si="140"/>
        <v>7</v>
      </c>
    </row>
    <row r="2982" ht="18" spans="1:11">
      <c r="A2982" s="10">
        <f t="shared" si="138"/>
        <v>2981</v>
      </c>
      <c r="B2982" s="11" t="s">
        <v>790</v>
      </c>
      <c r="C2982" s="10" t="str">
        <f>IFERROR(INDEX(面试清单!D:D,MATCH(2981,面试清单!P:P,0)),"")</f>
        <v/>
      </c>
      <c r="D2982" s="11" t="s">
        <v>42</v>
      </c>
      <c r="E2982" s="11" t="s">
        <v>64</v>
      </c>
      <c r="F2982" s="11" t="s">
        <v>148</v>
      </c>
      <c r="G2982" s="15">
        <v>46183</v>
      </c>
      <c r="H2982" s="10" t="str">
        <f>IFERROR(INDEX(面试清单!H:H,MATCH(2981,面试清单!P:P,0)),"")</f>
        <v/>
      </c>
      <c r="I2982" s="13" t="s">
        <v>29</v>
      </c>
      <c r="J2982" s="10">
        <f ca="1" t="shared" si="139"/>
        <v>6</v>
      </c>
      <c r="K2982" s="10">
        <f ca="1" t="shared" si="140"/>
        <v>7</v>
      </c>
    </row>
    <row r="2983" ht="18" spans="1:11">
      <c r="A2983" s="14">
        <f t="shared" si="138"/>
        <v>2982</v>
      </c>
      <c r="B2983" s="11" t="s">
        <v>1639</v>
      </c>
      <c r="C2983" s="14" t="str">
        <f>IFERROR(INDEX(面试清单!D:D,MATCH(2982,面试清单!P:P,0)),"")</f>
        <v/>
      </c>
      <c r="D2983" s="11" t="s">
        <v>43</v>
      </c>
      <c r="E2983" s="11" t="s">
        <v>63</v>
      </c>
      <c r="F2983" s="11" t="s">
        <v>954</v>
      </c>
      <c r="G2983" s="15">
        <v>46183</v>
      </c>
      <c r="H2983" s="14" t="str">
        <f>IFERROR(INDEX(面试清单!H:H,MATCH(2982,面试清单!P:P,0)),"")</f>
        <v/>
      </c>
      <c r="I2983" s="13" t="s">
        <v>29</v>
      </c>
      <c r="J2983" s="14">
        <f ca="1" t="shared" si="139"/>
        <v>6</v>
      </c>
      <c r="K2983" s="14">
        <f ca="1" t="shared" si="140"/>
        <v>7</v>
      </c>
    </row>
    <row r="2984" ht="18" spans="1:11">
      <c r="A2984" s="10">
        <f t="shared" si="138"/>
        <v>2983</v>
      </c>
      <c r="B2984" s="11" t="s">
        <v>807</v>
      </c>
      <c r="C2984" s="10" t="str">
        <f>IFERROR(INDEX(面试清单!D:D,MATCH(2983,面试清单!P:P,0)),"")</f>
        <v/>
      </c>
      <c r="D2984" s="11" t="s">
        <v>42</v>
      </c>
      <c r="E2984" s="11" t="s">
        <v>64</v>
      </c>
      <c r="F2984" s="11" t="s">
        <v>307</v>
      </c>
      <c r="G2984" s="15">
        <v>46183</v>
      </c>
      <c r="H2984" s="10" t="str">
        <f>IFERROR(INDEX(面试清单!H:H,MATCH(2983,面试清单!P:P,0)),"")</f>
        <v/>
      </c>
      <c r="I2984" s="13" t="s">
        <v>29</v>
      </c>
      <c r="J2984" s="10">
        <f ca="1" t="shared" si="139"/>
        <v>6</v>
      </c>
      <c r="K2984" s="10">
        <f ca="1" t="shared" si="140"/>
        <v>7</v>
      </c>
    </row>
    <row r="2985" ht="18" spans="1:11">
      <c r="A2985" s="14">
        <f t="shared" si="138"/>
        <v>2984</v>
      </c>
      <c r="B2985" s="11" t="s">
        <v>873</v>
      </c>
      <c r="C2985" s="14" t="str">
        <f>IFERROR(INDEX(面试清单!D:D,MATCH(2984,面试清单!P:P,0)),"")</f>
        <v/>
      </c>
      <c r="D2985" s="11" t="s">
        <v>43</v>
      </c>
      <c r="E2985" s="11" t="s">
        <v>63</v>
      </c>
      <c r="F2985" s="11" t="s">
        <v>117</v>
      </c>
      <c r="G2985" s="15">
        <v>46183</v>
      </c>
      <c r="H2985" s="14" t="str">
        <f>IFERROR(INDEX(面试清单!H:H,MATCH(2984,面试清单!P:P,0)),"")</f>
        <v/>
      </c>
      <c r="I2985" s="13" t="s">
        <v>29</v>
      </c>
      <c r="J2985" s="14">
        <f ca="1" t="shared" si="139"/>
        <v>6</v>
      </c>
      <c r="K2985" s="14">
        <f ca="1" t="shared" si="140"/>
        <v>7</v>
      </c>
    </row>
    <row r="2986" ht="18" spans="1:11">
      <c r="A2986" s="10">
        <f t="shared" si="138"/>
        <v>2985</v>
      </c>
      <c r="B2986" s="11" t="s">
        <v>875</v>
      </c>
      <c r="C2986" s="10" t="str">
        <f>IFERROR(INDEX(面试清单!D:D,MATCH(2985,面试清单!P:P,0)),"")</f>
        <v/>
      </c>
      <c r="D2986" s="11" t="s">
        <v>74</v>
      </c>
      <c r="E2986" s="11" t="s">
        <v>64</v>
      </c>
      <c r="F2986" s="11" t="s">
        <v>103</v>
      </c>
      <c r="G2986" s="15">
        <v>46183</v>
      </c>
      <c r="H2986" s="10" t="str">
        <f>IFERROR(INDEX(面试清单!H:H,MATCH(2985,面试清单!P:P,0)),"")</f>
        <v/>
      </c>
      <c r="I2986" s="13" t="s">
        <v>29</v>
      </c>
      <c r="J2986" s="10">
        <f ca="1" t="shared" si="139"/>
        <v>6</v>
      </c>
      <c r="K2986" s="10">
        <f ca="1" t="shared" si="140"/>
        <v>7</v>
      </c>
    </row>
    <row r="2987" ht="18" spans="1:11">
      <c r="A2987" s="14">
        <f t="shared" si="138"/>
        <v>2986</v>
      </c>
      <c r="B2987" s="11" t="s">
        <v>812</v>
      </c>
      <c r="C2987" s="124" t="str">
        <f>IFERROR(INDEX(面试清单!D:D,MATCH(2986,面试清单!P:P,0)),"")</f>
        <v>0220</v>
      </c>
      <c r="D2987" s="11" t="s">
        <v>42</v>
      </c>
      <c r="E2987" s="11" t="s">
        <v>64</v>
      </c>
      <c r="F2987" s="11" t="s">
        <v>512</v>
      </c>
      <c r="G2987" s="15">
        <v>46183</v>
      </c>
      <c r="H2987" s="14" t="str">
        <f>IFERROR(INDEX(面试清单!H:H,MATCH(2986,面试清单!P:P,0)),"")</f>
        <v>线上</v>
      </c>
      <c r="I2987" s="13" t="s">
        <v>29</v>
      </c>
      <c r="J2987" s="14">
        <f ca="1" t="shared" si="139"/>
        <v>6</v>
      </c>
      <c r="K2987" s="14">
        <f ca="1" t="shared" si="140"/>
        <v>7</v>
      </c>
    </row>
    <row r="2988" ht="18" spans="1:11">
      <c r="A2988" s="10">
        <f t="shared" si="138"/>
        <v>2987</v>
      </c>
      <c r="B2988" s="11" t="s">
        <v>877</v>
      </c>
      <c r="C2988" s="125" t="str">
        <f>IFERROR(INDEX(面试清单!D:D,MATCH(2987,面试清单!P:P,0)),"")</f>
        <v>0221</v>
      </c>
      <c r="D2988" s="11" t="s">
        <v>42</v>
      </c>
      <c r="E2988" s="11" t="s">
        <v>64</v>
      </c>
      <c r="F2988" s="11" t="s">
        <v>631</v>
      </c>
      <c r="G2988" s="15">
        <v>46183</v>
      </c>
      <c r="H2988" s="10" t="str">
        <f>IFERROR(INDEX(面试清单!H:H,MATCH(2987,面试清单!P:P,0)),"")</f>
        <v>线上</v>
      </c>
      <c r="I2988" s="13" t="s">
        <v>29</v>
      </c>
      <c r="J2988" s="10">
        <f ca="1" t="shared" si="139"/>
        <v>6</v>
      </c>
      <c r="K2988" s="10">
        <f ca="1" t="shared" si="140"/>
        <v>7</v>
      </c>
    </row>
    <row r="2989" ht="18" spans="1:11">
      <c r="A2989" s="14">
        <f t="shared" si="138"/>
        <v>2988</v>
      </c>
      <c r="B2989" s="11" t="s">
        <v>881</v>
      </c>
      <c r="C2989" s="14" t="str">
        <f>IFERROR(INDEX(面试清单!D:D,MATCH(2988,面试清单!P:P,0)),"")</f>
        <v/>
      </c>
      <c r="D2989" s="11" t="s">
        <v>42</v>
      </c>
      <c r="E2989" s="11" t="s">
        <v>64</v>
      </c>
      <c r="F2989" s="11" t="s">
        <v>148</v>
      </c>
      <c r="G2989" s="15">
        <v>46183</v>
      </c>
      <c r="H2989" s="14" t="str">
        <f>IFERROR(INDEX(面试清单!H:H,MATCH(2988,面试清单!P:P,0)),"")</f>
        <v/>
      </c>
      <c r="I2989" s="13" t="s">
        <v>29</v>
      </c>
      <c r="J2989" s="14">
        <f ca="1" t="shared" si="139"/>
        <v>6</v>
      </c>
      <c r="K2989" s="14">
        <f ca="1" t="shared" si="140"/>
        <v>7</v>
      </c>
    </row>
    <row r="2990" ht="18" spans="1:11">
      <c r="A2990" s="10">
        <f t="shared" si="138"/>
        <v>2989</v>
      </c>
      <c r="B2990" s="11" t="s">
        <v>890</v>
      </c>
      <c r="C2990" s="10" t="str">
        <f>IFERROR(INDEX(面试清单!D:D,MATCH(2989,面试清单!P:P,0)),"")</f>
        <v/>
      </c>
      <c r="D2990" s="11" t="s">
        <v>42</v>
      </c>
      <c r="E2990" s="11" t="s">
        <v>64</v>
      </c>
      <c r="F2990" s="11" t="s">
        <v>179</v>
      </c>
      <c r="G2990" s="15">
        <v>46183</v>
      </c>
      <c r="H2990" s="10" t="str">
        <f>IFERROR(INDEX(面试清单!H:H,MATCH(2989,面试清单!P:P,0)),"")</f>
        <v/>
      </c>
      <c r="I2990" s="13" t="s">
        <v>29</v>
      </c>
      <c r="J2990" s="10">
        <f ca="1" t="shared" si="139"/>
        <v>6</v>
      </c>
      <c r="K2990" s="10">
        <f ca="1" t="shared" si="140"/>
        <v>7</v>
      </c>
    </row>
    <row r="2991" ht="18" spans="1:11">
      <c r="A2991" s="14">
        <f t="shared" si="138"/>
        <v>2990</v>
      </c>
      <c r="B2991" s="11" t="s">
        <v>891</v>
      </c>
      <c r="C2991" s="14" t="str">
        <f>IFERROR(INDEX(面试清单!D:D,MATCH(2990,面试清单!P:P,0)),"")</f>
        <v/>
      </c>
      <c r="D2991" s="11" t="s">
        <v>42</v>
      </c>
      <c r="E2991" s="11" t="s">
        <v>64</v>
      </c>
      <c r="F2991" s="11" t="s">
        <v>179</v>
      </c>
      <c r="G2991" s="15">
        <v>46183</v>
      </c>
      <c r="H2991" s="14" t="str">
        <f>IFERROR(INDEX(面试清单!H:H,MATCH(2990,面试清单!P:P,0)),"")</f>
        <v/>
      </c>
      <c r="I2991" s="13" t="s">
        <v>29</v>
      </c>
      <c r="J2991" s="14">
        <f ca="1" t="shared" si="139"/>
        <v>6</v>
      </c>
      <c r="K2991" s="14">
        <f ca="1" t="shared" si="140"/>
        <v>7</v>
      </c>
    </row>
    <row r="2992" ht="18" spans="1:11">
      <c r="A2992" s="10">
        <f t="shared" si="138"/>
        <v>2991</v>
      </c>
      <c r="B2992" s="11" t="s">
        <v>897</v>
      </c>
      <c r="C2992" s="10" t="str">
        <f>IFERROR(INDEX(面试清单!D:D,MATCH(2991,面试清单!P:P,0)),"")</f>
        <v/>
      </c>
      <c r="D2992" s="11" t="s">
        <v>42</v>
      </c>
      <c r="E2992" s="11" t="s">
        <v>64</v>
      </c>
      <c r="F2992" s="11" t="s">
        <v>179</v>
      </c>
      <c r="G2992" s="15">
        <v>46183</v>
      </c>
      <c r="H2992" s="10" t="str">
        <f>IFERROR(INDEX(面试清单!H:H,MATCH(2991,面试清单!P:P,0)),"")</f>
        <v/>
      </c>
      <c r="I2992" s="13" t="s">
        <v>29</v>
      </c>
      <c r="J2992" s="10">
        <f ca="1" t="shared" si="139"/>
        <v>6</v>
      </c>
      <c r="K2992" s="10">
        <f ca="1" t="shared" si="140"/>
        <v>7</v>
      </c>
    </row>
    <row r="2993" ht="18" spans="1:11">
      <c r="A2993" s="14">
        <f t="shared" si="138"/>
        <v>2992</v>
      </c>
      <c r="B2993" s="11" t="s">
        <v>6399</v>
      </c>
      <c r="C2993" s="124" t="str">
        <f>IFERROR(INDEX(面试清单!D:D,MATCH(2992,面试清单!P:P,0)),"")</f>
        <v>0214</v>
      </c>
      <c r="D2993" s="11" t="s">
        <v>43</v>
      </c>
      <c r="E2993" s="11" t="s">
        <v>64</v>
      </c>
      <c r="F2993" s="11" t="s">
        <v>179</v>
      </c>
      <c r="G2993" s="15">
        <v>46183</v>
      </c>
      <c r="H2993" s="14" t="str">
        <f>IFERROR(INDEX(面试清单!H:H,MATCH(2992,面试清单!P:P,0)),"")</f>
        <v>线上</v>
      </c>
      <c r="I2993" s="13" t="s">
        <v>29</v>
      </c>
      <c r="J2993" s="14">
        <f ca="1" t="shared" si="139"/>
        <v>6</v>
      </c>
      <c r="K2993" s="14">
        <f ca="1" t="shared" si="140"/>
        <v>7</v>
      </c>
    </row>
    <row r="2994" ht="18" spans="1:11">
      <c r="A2994" s="10">
        <f t="shared" si="138"/>
        <v>2993</v>
      </c>
      <c r="B2994" s="11" t="s">
        <v>903</v>
      </c>
      <c r="C2994" s="10" t="str">
        <f>IFERROR(INDEX(面试清单!D:D,MATCH(2993,面试清单!P:P,0)),"")</f>
        <v/>
      </c>
      <c r="D2994" s="11" t="s">
        <v>43</v>
      </c>
      <c r="E2994" s="11" t="s">
        <v>62</v>
      </c>
      <c r="F2994" s="11" t="s">
        <v>233</v>
      </c>
      <c r="G2994" s="15">
        <v>46183</v>
      </c>
      <c r="H2994" s="10" t="str">
        <f>IFERROR(INDEX(面试清单!H:H,MATCH(2993,面试清单!P:P,0)),"")</f>
        <v/>
      </c>
      <c r="I2994" s="13" t="s">
        <v>29</v>
      </c>
      <c r="J2994" s="10">
        <f ca="1" t="shared" si="139"/>
        <v>6</v>
      </c>
      <c r="K2994" s="10">
        <f ca="1" t="shared" si="140"/>
        <v>7</v>
      </c>
    </row>
    <row r="2995" ht="18" spans="1:11">
      <c r="A2995" s="14">
        <f t="shared" si="138"/>
        <v>2994</v>
      </c>
      <c r="B2995" s="11" t="s">
        <v>904</v>
      </c>
      <c r="C2995" s="14" t="str">
        <f>IFERROR(INDEX(面试清单!D:D,MATCH(2994,面试清单!P:P,0)),"")</f>
        <v/>
      </c>
      <c r="D2995" s="11" t="s">
        <v>43</v>
      </c>
      <c r="E2995" s="11" t="s">
        <v>64</v>
      </c>
      <c r="F2995" s="11" t="s">
        <v>509</v>
      </c>
      <c r="G2995" s="15">
        <v>46183</v>
      </c>
      <c r="H2995" s="14" t="str">
        <f>IFERROR(INDEX(面试清单!H:H,MATCH(2994,面试清单!P:P,0)),"")</f>
        <v/>
      </c>
      <c r="I2995" s="13" t="s">
        <v>29</v>
      </c>
      <c r="J2995" s="14">
        <f ca="1" t="shared" si="139"/>
        <v>6</v>
      </c>
      <c r="K2995" s="14">
        <f ca="1" t="shared" si="140"/>
        <v>7</v>
      </c>
    </row>
    <row r="2996" ht="18" spans="1:11">
      <c r="A2996" s="10">
        <f t="shared" si="138"/>
        <v>2995</v>
      </c>
      <c r="B2996" s="11" t="s">
        <v>913</v>
      </c>
      <c r="C2996" s="10" t="str">
        <f>IFERROR(INDEX(面试清单!D:D,MATCH(2995,面试清单!P:P,0)),"")</f>
        <v/>
      </c>
      <c r="D2996" s="11" t="s">
        <v>74</v>
      </c>
      <c r="E2996" s="11" t="s">
        <v>190</v>
      </c>
      <c r="F2996" s="11" t="s">
        <v>135</v>
      </c>
      <c r="G2996" s="15">
        <v>46183</v>
      </c>
      <c r="H2996" s="10" t="str">
        <f>IFERROR(INDEX(面试清单!H:H,MATCH(2995,面试清单!P:P,0)),"")</f>
        <v/>
      </c>
      <c r="I2996" s="13" t="s">
        <v>29</v>
      </c>
      <c r="J2996" s="10">
        <f ca="1" t="shared" si="139"/>
        <v>6</v>
      </c>
      <c r="K2996" s="10">
        <f ca="1" t="shared" si="140"/>
        <v>7</v>
      </c>
    </row>
    <row r="2997" ht="18" spans="1:11">
      <c r="A2997" s="14">
        <f t="shared" si="138"/>
        <v>2996</v>
      </c>
      <c r="B2997" s="11" t="s">
        <v>915</v>
      </c>
      <c r="C2997" s="14" t="str">
        <f>IFERROR(INDEX(面试清单!D:D,MATCH(2996,面试清单!P:P,0)),"")</f>
        <v/>
      </c>
      <c r="D2997" s="11" t="s">
        <v>42</v>
      </c>
      <c r="E2997" s="11" t="s">
        <v>63</v>
      </c>
      <c r="F2997" s="11" t="s">
        <v>173</v>
      </c>
      <c r="G2997" s="15">
        <v>46183</v>
      </c>
      <c r="H2997" s="14" t="str">
        <f>IFERROR(INDEX(面试清单!H:H,MATCH(2996,面试清单!P:P,0)),"")</f>
        <v/>
      </c>
      <c r="I2997" s="13" t="s">
        <v>29</v>
      </c>
      <c r="J2997" s="14">
        <f ca="1" t="shared" si="139"/>
        <v>6</v>
      </c>
      <c r="K2997" s="14">
        <f ca="1" t="shared" si="140"/>
        <v>7</v>
      </c>
    </row>
    <row r="2998" ht="18" spans="1:11">
      <c r="A2998" s="10">
        <f t="shared" si="138"/>
        <v>2997</v>
      </c>
      <c r="B2998" s="11" t="s">
        <v>6400</v>
      </c>
      <c r="C2998" s="10" t="str">
        <f>IFERROR(INDEX(面试清单!D:D,MATCH(2997,面试清单!P:P,0)),"")</f>
        <v/>
      </c>
      <c r="D2998" s="11" t="s">
        <v>42</v>
      </c>
      <c r="E2998" s="11" t="s">
        <v>63</v>
      </c>
      <c r="F2998" s="11" t="s">
        <v>103</v>
      </c>
      <c r="G2998" s="15">
        <v>46183</v>
      </c>
      <c r="H2998" s="10" t="str">
        <f>IFERROR(INDEX(面试清单!H:H,MATCH(2997,面试清单!P:P,0)),"")</f>
        <v/>
      </c>
      <c r="I2998" s="13" t="s">
        <v>29</v>
      </c>
      <c r="J2998" s="10">
        <f ca="1" t="shared" si="139"/>
        <v>6</v>
      </c>
      <c r="K2998" s="10">
        <f ca="1" t="shared" si="140"/>
        <v>7</v>
      </c>
    </row>
    <row r="2999" ht="18" spans="1:11">
      <c r="A2999" s="14">
        <f t="shared" si="138"/>
        <v>2998</v>
      </c>
      <c r="B2999" s="11" t="s">
        <v>6401</v>
      </c>
      <c r="C2999" s="14" t="str">
        <f>IFERROR(INDEX(面试清单!D:D,MATCH(2998,面试清单!P:P,0)),"")</f>
        <v/>
      </c>
      <c r="D2999" s="11" t="s">
        <v>42</v>
      </c>
      <c r="E2999" s="11" t="s">
        <v>64</v>
      </c>
      <c r="F2999" s="11" t="s">
        <v>103</v>
      </c>
      <c r="G2999" s="15">
        <v>46183</v>
      </c>
      <c r="H2999" s="14" t="str">
        <f>IFERROR(INDEX(面试清单!H:H,MATCH(2998,面试清单!P:P,0)),"")</f>
        <v/>
      </c>
      <c r="I2999" s="13" t="s">
        <v>29</v>
      </c>
      <c r="J2999" s="14">
        <f ca="1" t="shared" si="139"/>
        <v>6</v>
      </c>
      <c r="K2999" s="14">
        <f ca="1" t="shared" si="140"/>
        <v>7</v>
      </c>
    </row>
    <row r="3000" ht="18" spans="1:11">
      <c r="A3000" s="10">
        <f t="shared" si="138"/>
        <v>2999</v>
      </c>
      <c r="B3000" s="11" t="s">
        <v>6402</v>
      </c>
      <c r="C3000" s="10" t="str">
        <f>IFERROR(INDEX(面试清单!D:D,MATCH(2999,面试清单!P:P,0)),"")</f>
        <v/>
      </c>
      <c r="D3000" s="11" t="s">
        <v>42</v>
      </c>
      <c r="E3000" s="11" t="s">
        <v>64</v>
      </c>
      <c r="F3000" s="11" t="s">
        <v>103</v>
      </c>
      <c r="G3000" s="15">
        <v>46183</v>
      </c>
      <c r="H3000" s="10" t="str">
        <f>IFERROR(INDEX(面试清单!H:H,MATCH(2999,面试清单!P:P,0)),"")</f>
        <v/>
      </c>
      <c r="I3000" s="13" t="s">
        <v>29</v>
      </c>
      <c r="J3000" s="10">
        <f ca="1" t="shared" si="139"/>
        <v>6</v>
      </c>
      <c r="K3000" s="10">
        <f ca="1" t="shared" si="140"/>
        <v>7</v>
      </c>
    </row>
    <row r="3001" ht="18" spans="1:11">
      <c r="A3001" s="14">
        <f t="shared" si="138"/>
        <v>3000</v>
      </c>
      <c r="B3001" s="11" t="s">
        <v>6403</v>
      </c>
      <c r="C3001" s="124" t="str">
        <f>IFERROR(INDEX(面试清单!D:D,MATCH(3000,面试清单!P:P,0)),"")</f>
        <v>0212</v>
      </c>
      <c r="D3001" s="11" t="s">
        <v>42</v>
      </c>
      <c r="E3001" s="11" t="s">
        <v>64</v>
      </c>
      <c r="F3001" s="11" t="s">
        <v>103</v>
      </c>
      <c r="G3001" s="15">
        <v>46183</v>
      </c>
      <c r="H3001" s="14" t="str">
        <f>IFERROR(INDEX(面试清单!H:H,MATCH(3000,面试清单!P:P,0)),"")</f>
        <v>线上</v>
      </c>
      <c r="I3001" s="13" t="s">
        <v>29</v>
      </c>
      <c r="J3001" s="14">
        <f ca="1" t="shared" si="139"/>
        <v>6</v>
      </c>
      <c r="K3001" s="14">
        <f ca="1" t="shared" si="140"/>
        <v>7</v>
      </c>
    </row>
    <row r="3002" ht="18" spans="1:11">
      <c r="A3002" s="10">
        <f t="shared" si="138"/>
        <v>3001</v>
      </c>
      <c r="B3002" s="11" t="s">
        <v>6404</v>
      </c>
      <c r="C3002" s="125" t="str">
        <f>IFERROR(INDEX(面试清单!D:D,MATCH(3001,面试清单!P:P,0)),"")</f>
        <v>0214</v>
      </c>
      <c r="D3002" s="11" t="s">
        <v>42</v>
      </c>
      <c r="E3002" s="11" t="s">
        <v>64</v>
      </c>
      <c r="F3002" s="11" t="s">
        <v>103</v>
      </c>
      <c r="G3002" s="15">
        <v>46183</v>
      </c>
      <c r="H3002" s="10" t="str">
        <f>IFERROR(INDEX(面试清单!H:H,MATCH(3001,面试清单!P:P,0)),"")</f>
        <v>线上</v>
      </c>
      <c r="I3002" s="13" t="s">
        <v>29</v>
      </c>
      <c r="J3002" s="10">
        <f ca="1" t="shared" si="139"/>
        <v>6</v>
      </c>
      <c r="K3002" s="10">
        <f ca="1" t="shared" si="140"/>
        <v>7</v>
      </c>
    </row>
    <row r="3003" ht="18" spans="1:11">
      <c r="A3003" s="14">
        <f t="shared" si="138"/>
        <v>3002</v>
      </c>
      <c r="B3003" s="11" t="s">
        <v>6405</v>
      </c>
      <c r="C3003" s="14" t="str">
        <f>IFERROR(INDEX(面试清单!D:D,MATCH(3002,面试清单!P:P,0)),"")</f>
        <v/>
      </c>
      <c r="D3003" s="11" t="s">
        <v>42</v>
      </c>
      <c r="E3003" s="11" t="s">
        <v>64</v>
      </c>
      <c r="F3003" s="11" t="s">
        <v>103</v>
      </c>
      <c r="G3003" s="15">
        <v>46183</v>
      </c>
      <c r="H3003" s="14" t="str">
        <f>IFERROR(INDEX(面试清单!H:H,MATCH(3002,面试清单!P:P,0)),"")</f>
        <v/>
      </c>
      <c r="I3003" s="13" t="s">
        <v>29</v>
      </c>
      <c r="J3003" s="14">
        <f ca="1" t="shared" si="139"/>
        <v>6</v>
      </c>
      <c r="K3003" s="14">
        <f ca="1" t="shared" si="140"/>
        <v>7</v>
      </c>
    </row>
    <row r="3004" ht="18" spans="1:11">
      <c r="A3004" s="10">
        <f t="shared" si="138"/>
        <v>3003</v>
      </c>
      <c r="B3004" s="11" t="s">
        <v>6406</v>
      </c>
      <c r="C3004" s="10" t="str">
        <f>IFERROR(INDEX(面试清单!D:D,MATCH(3003,面试清单!P:P,0)),"")</f>
        <v/>
      </c>
      <c r="D3004" s="11" t="s">
        <v>42</v>
      </c>
      <c r="E3004" s="11" t="s">
        <v>64</v>
      </c>
      <c r="F3004" s="11" t="s">
        <v>103</v>
      </c>
      <c r="G3004" s="15">
        <v>46183</v>
      </c>
      <c r="H3004" s="10" t="str">
        <f>IFERROR(INDEX(面试清单!H:H,MATCH(3003,面试清单!P:P,0)),"")</f>
        <v/>
      </c>
      <c r="I3004" s="13" t="s">
        <v>29</v>
      </c>
      <c r="J3004" s="10">
        <f ca="1" t="shared" si="139"/>
        <v>6</v>
      </c>
      <c r="K3004" s="10">
        <f ca="1" t="shared" si="140"/>
        <v>7</v>
      </c>
    </row>
    <row r="3005" ht="18" spans="1:11">
      <c r="A3005" s="14">
        <f t="shared" si="138"/>
        <v>3004</v>
      </c>
      <c r="B3005" s="11" t="s">
        <v>6407</v>
      </c>
      <c r="C3005" s="14" t="str">
        <f>IFERROR(INDEX(面试清单!D:D,MATCH(3004,面试清单!P:P,0)),"")</f>
        <v/>
      </c>
      <c r="D3005" s="11" t="s">
        <v>42</v>
      </c>
      <c r="E3005" s="11" t="s">
        <v>64</v>
      </c>
      <c r="F3005" s="11" t="s">
        <v>103</v>
      </c>
      <c r="G3005" s="15">
        <v>46183</v>
      </c>
      <c r="H3005" s="14" t="str">
        <f>IFERROR(INDEX(面试清单!H:H,MATCH(3004,面试清单!P:P,0)),"")</f>
        <v/>
      </c>
      <c r="I3005" s="13" t="s">
        <v>29</v>
      </c>
      <c r="J3005" s="14">
        <f ca="1" t="shared" si="139"/>
        <v>6</v>
      </c>
      <c r="K3005" s="14">
        <f ca="1" t="shared" si="140"/>
        <v>7</v>
      </c>
    </row>
    <row r="3006" ht="18" spans="1:11">
      <c r="A3006" s="10">
        <f t="shared" si="138"/>
        <v>3005</v>
      </c>
      <c r="B3006" s="11" t="s">
        <v>6408</v>
      </c>
      <c r="C3006" s="10" t="str">
        <f>IFERROR(INDEX(面试清单!D:D,MATCH(3005,面试清单!P:P,0)),"")</f>
        <v/>
      </c>
      <c r="D3006" s="11" t="s">
        <v>42</v>
      </c>
      <c r="E3006" s="11" t="s">
        <v>64</v>
      </c>
      <c r="F3006" s="11" t="s">
        <v>103</v>
      </c>
      <c r="G3006" s="15">
        <v>46183</v>
      </c>
      <c r="H3006" s="10" t="str">
        <f>IFERROR(INDEX(面试清单!H:H,MATCH(3005,面试清单!P:P,0)),"")</f>
        <v/>
      </c>
      <c r="I3006" s="13" t="s">
        <v>29</v>
      </c>
      <c r="J3006" s="10">
        <f ca="1" t="shared" si="139"/>
        <v>6</v>
      </c>
      <c r="K3006" s="10">
        <f ca="1" t="shared" si="140"/>
        <v>7</v>
      </c>
    </row>
    <row r="3007" ht="18" spans="1:11">
      <c r="A3007" s="14">
        <f t="shared" si="138"/>
        <v>3006</v>
      </c>
      <c r="B3007" s="11" t="s">
        <v>6409</v>
      </c>
      <c r="C3007" s="14" t="str">
        <f>IFERROR(INDEX(面试清单!D:D,MATCH(3006,面试清单!P:P,0)),"")</f>
        <v/>
      </c>
      <c r="D3007" s="11" t="s">
        <v>42</v>
      </c>
      <c r="E3007" s="11" t="s">
        <v>64</v>
      </c>
      <c r="F3007" s="11" t="s">
        <v>103</v>
      </c>
      <c r="G3007" s="15">
        <v>46183</v>
      </c>
      <c r="H3007" s="14" t="str">
        <f>IFERROR(INDEX(面试清单!H:H,MATCH(3006,面试清单!P:P,0)),"")</f>
        <v/>
      </c>
      <c r="I3007" s="13" t="s">
        <v>29</v>
      </c>
      <c r="J3007" s="14">
        <f ca="1" t="shared" si="139"/>
        <v>6</v>
      </c>
      <c r="K3007" s="14">
        <f ca="1" t="shared" si="140"/>
        <v>7</v>
      </c>
    </row>
    <row r="3008" ht="18" spans="1:11">
      <c r="A3008" s="10">
        <f t="shared" si="138"/>
        <v>3007</v>
      </c>
      <c r="B3008" s="11" t="s">
        <v>6410</v>
      </c>
      <c r="C3008" s="10" t="str">
        <f>IFERROR(INDEX(面试清单!D:D,MATCH(3007,面试清单!P:P,0)),"")</f>
        <v/>
      </c>
      <c r="D3008" s="11" t="s">
        <v>42</v>
      </c>
      <c r="E3008" s="11" t="s">
        <v>64</v>
      </c>
      <c r="F3008" s="11" t="s">
        <v>103</v>
      </c>
      <c r="G3008" s="15">
        <v>46183</v>
      </c>
      <c r="H3008" s="10" t="str">
        <f>IFERROR(INDEX(面试清单!H:H,MATCH(3007,面试清单!P:P,0)),"")</f>
        <v/>
      </c>
      <c r="I3008" s="13" t="s">
        <v>29</v>
      </c>
      <c r="J3008" s="10">
        <f ca="1" t="shared" si="139"/>
        <v>6</v>
      </c>
      <c r="K3008" s="10">
        <f ca="1" t="shared" si="140"/>
        <v>7</v>
      </c>
    </row>
    <row r="3009" ht="18" spans="1:11">
      <c r="A3009" s="14">
        <f t="shared" si="138"/>
        <v>3008</v>
      </c>
      <c r="B3009" s="11" t="s">
        <v>2263</v>
      </c>
      <c r="C3009" s="14" t="str">
        <f>IFERROR(INDEX(面试清单!D:D,MATCH(3008,面试清单!P:P,0)),"")</f>
        <v/>
      </c>
      <c r="D3009" s="11" t="s">
        <v>42</v>
      </c>
      <c r="E3009" s="11" t="s">
        <v>64</v>
      </c>
      <c r="F3009" s="11" t="s">
        <v>103</v>
      </c>
      <c r="G3009" s="15">
        <v>46183</v>
      </c>
      <c r="H3009" s="14" t="str">
        <f>IFERROR(INDEX(面试清单!H:H,MATCH(3008,面试清单!P:P,0)),"")</f>
        <v/>
      </c>
      <c r="I3009" s="13" t="s">
        <v>29</v>
      </c>
      <c r="J3009" s="14">
        <f ca="1" t="shared" si="139"/>
        <v>6</v>
      </c>
      <c r="K3009" s="14">
        <f ca="1" t="shared" si="140"/>
        <v>7</v>
      </c>
    </row>
    <row r="3010" ht="18" spans="1:11">
      <c r="A3010" s="10">
        <f t="shared" ref="A3010:A3073" si="141">IF(B3010&lt;&gt;"",ROW()-1,"")</f>
        <v>3009</v>
      </c>
      <c r="B3010" s="11" t="s">
        <v>6411</v>
      </c>
      <c r="C3010" s="10" t="str">
        <f>IFERROR(INDEX(面试清单!D:D,MATCH(3009,面试清单!P:P,0)),"")</f>
        <v/>
      </c>
      <c r="D3010" s="11" t="s">
        <v>42</v>
      </c>
      <c r="E3010" s="11" t="s">
        <v>64</v>
      </c>
      <c r="F3010" s="11" t="s">
        <v>103</v>
      </c>
      <c r="G3010" s="15">
        <v>46183</v>
      </c>
      <c r="H3010" s="10" t="str">
        <f>IFERROR(INDEX(面试清单!H:H,MATCH(3009,面试清单!P:P,0)),"")</f>
        <v/>
      </c>
      <c r="I3010" s="13" t="s">
        <v>29</v>
      </c>
      <c r="J3010" s="10">
        <f ca="1" t="shared" ref="J3010:J3073" si="142">IF(G3010&lt;&gt;"",TODAY()-G3010,"")</f>
        <v>6</v>
      </c>
      <c r="K3010" s="10">
        <f ca="1" t="shared" ref="K3010:K3073" si="143">IF(G3010&lt;&gt;"",MAX(0,MIN(TODAY(),EOMONTH(TODAY(),0))-MAX(G3010,EOMONTH(TODAY(),-1)+1)+1),"")</f>
        <v>7</v>
      </c>
    </row>
    <row r="3011" ht="18" spans="1:11">
      <c r="A3011" s="14">
        <f t="shared" si="141"/>
        <v>3010</v>
      </c>
      <c r="B3011" s="11" t="s">
        <v>6412</v>
      </c>
      <c r="C3011" s="14" t="str">
        <f>IFERROR(INDEX(面试清单!D:D,MATCH(3010,面试清单!P:P,0)),"")</f>
        <v/>
      </c>
      <c r="D3011" s="11" t="s">
        <v>42</v>
      </c>
      <c r="E3011" s="11" t="s">
        <v>64</v>
      </c>
      <c r="F3011" s="11" t="s">
        <v>103</v>
      </c>
      <c r="G3011" s="15">
        <v>46183</v>
      </c>
      <c r="H3011" s="14" t="str">
        <f>IFERROR(INDEX(面试清单!H:H,MATCH(3010,面试清单!P:P,0)),"")</f>
        <v/>
      </c>
      <c r="I3011" s="13" t="s">
        <v>29</v>
      </c>
      <c r="J3011" s="14">
        <f ca="1" t="shared" si="142"/>
        <v>6</v>
      </c>
      <c r="K3011" s="14">
        <f ca="1" t="shared" si="143"/>
        <v>7</v>
      </c>
    </row>
    <row r="3012" ht="18" spans="1:11">
      <c r="A3012" s="10">
        <f t="shared" si="141"/>
        <v>3011</v>
      </c>
      <c r="B3012" s="11" t="s">
        <v>6413</v>
      </c>
      <c r="C3012" s="10" t="str">
        <f>IFERROR(INDEX(面试清单!D:D,MATCH(3011,面试清单!P:P,0)),"")</f>
        <v/>
      </c>
      <c r="D3012" s="11" t="s">
        <v>42</v>
      </c>
      <c r="E3012" s="11" t="s">
        <v>64</v>
      </c>
      <c r="F3012" s="11" t="s">
        <v>103</v>
      </c>
      <c r="G3012" s="15">
        <v>46183</v>
      </c>
      <c r="H3012" s="10" t="str">
        <f>IFERROR(INDEX(面试清单!H:H,MATCH(3011,面试清单!P:P,0)),"")</f>
        <v/>
      </c>
      <c r="I3012" s="13" t="s">
        <v>29</v>
      </c>
      <c r="J3012" s="10">
        <f ca="1" t="shared" si="142"/>
        <v>6</v>
      </c>
      <c r="K3012" s="10">
        <f ca="1" t="shared" si="143"/>
        <v>7</v>
      </c>
    </row>
    <row r="3013" ht="18" spans="1:11">
      <c r="A3013" s="14">
        <f t="shared" si="141"/>
        <v>3012</v>
      </c>
      <c r="B3013" s="11" t="s">
        <v>6414</v>
      </c>
      <c r="C3013" s="14" t="str">
        <f>IFERROR(INDEX(面试清单!D:D,MATCH(3012,面试清单!P:P,0)),"")</f>
        <v/>
      </c>
      <c r="D3013" s="11" t="s">
        <v>42</v>
      </c>
      <c r="E3013" s="11" t="s">
        <v>64</v>
      </c>
      <c r="F3013" s="11" t="s">
        <v>103</v>
      </c>
      <c r="G3013" s="15">
        <v>46183</v>
      </c>
      <c r="H3013" s="14" t="str">
        <f>IFERROR(INDEX(面试清单!H:H,MATCH(3012,面试清单!P:P,0)),"")</f>
        <v/>
      </c>
      <c r="I3013" s="13" t="s">
        <v>29</v>
      </c>
      <c r="J3013" s="14">
        <f ca="1" t="shared" si="142"/>
        <v>6</v>
      </c>
      <c r="K3013" s="14">
        <f ca="1" t="shared" si="143"/>
        <v>7</v>
      </c>
    </row>
    <row r="3014" ht="18" spans="1:11">
      <c r="A3014" s="10">
        <f t="shared" si="141"/>
        <v>3013</v>
      </c>
      <c r="B3014" s="11" t="s">
        <v>6415</v>
      </c>
      <c r="C3014" s="10" t="str">
        <f>IFERROR(INDEX(面试清单!D:D,MATCH(3013,面试清单!P:P,0)),"")</f>
        <v/>
      </c>
      <c r="D3014" s="11" t="s">
        <v>42</v>
      </c>
      <c r="E3014" s="11" t="s">
        <v>64</v>
      </c>
      <c r="F3014" s="11" t="s">
        <v>103</v>
      </c>
      <c r="G3014" s="15">
        <v>46183</v>
      </c>
      <c r="H3014" s="10" t="str">
        <f>IFERROR(INDEX(面试清单!H:H,MATCH(3013,面试清单!P:P,0)),"")</f>
        <v/>
      </c>
      <c r="I3014" s="13" t="s">
        <v>29</v>
      </c>
      <c r="J3014" s="10">
        <f ca="1" t="shared" si="142"/>
        <v>6</v>
      </c>
      <c r="K3014" s="10">
        <f ca="1" t="shared" si="143"/>
        <v>7</v>
      </c>
    </row>
    <row r="3015" ht="18" spans="1:11">
      <c r="A3015" s="14">
        <f t="shared" si="141"/>
        <v>3014</v>
      </c>
      <c r="B3015" s="11" t="s">
        <v>874</v>
      </c>
      <c r="C3015" s="14" t="str">
        <f>IFERROR(INDEX(面试清单!D:D,MATCH(3014,面试清单!P:P,0)),"")</f>
        <v/>
      </c>
      <c r="D3015" s="11" t="s">
        <v>74</v>
      </c>
      <c r="E3015" s="11" t="s">
        <v>190</v>
      </c>
      <c r="F3015" s="11" t="s">
        <v>117</v>
      </c>
      <c r="G3015" s="15">
        <v>46183</v>
      </c>
      <c r="H3015" s="14" t="str">
        <f>IFERROR(INDEX(面试清单!H:H,MATCH(3014,面试清单!P:P,0)),"")</f>
        <v/>
      </c>
      <c r="I3015" s="13" t="s">
        <v>29</v>
      </c>
      <c r="J3015" s="14">
        <f ca="1" t="shared" si="142"/>
        <v>6</v>
      </c>
      <c r="K3015" s="14">
        <f ca="1" t="shared" si="143"/>
        <v>7</v>
      </c>
    </row>
    <row r="3016" ht="18" spans="1:11">
      <c r="A3016" s="10">
        <f t="shared" si="141"/>
        <v>3015</v>
      </c>
      <c r="B3016" s="11" t="s">
        <v>6416</v>
      </c>
      <c r="C3016" s="10" t="str">
        <f>IFERROR(INDEX(面试清单!D:D,MATCH(3015,面试清单!P:P,0)),"")</f>
        <v/>
      </c>
      <c r="D3016" s="11" t="s">
        <v>42</v>
      </c>
      <c r="E3016" s="11" t="s">
        <v>64</v>
      </c>
      <c r="F3016" s="11" t="s">
        <v>103</v>
      </c>
      <c r="G3016" s="15">
        <v>46183</v>
      </c>
      <c r="H3016" s="10" t="str">
        <f>IFERROR(INDEX(面试清单!H:H,MATCH(3015,面试清单!P:P,0)),"")</f>
        <v/>
      </c>
      <c r="I3016" s="13" t="s">
        <v>29</v>
      </c>
      <c r="J3016" s="10">
        <f ca="1" t="shared" si="142"/>
        <v>6</v>
      </c>
      <c r="K3016" s="10">
        <f ca="1" t="shared" si="143"/>
        <v>7</v>
      </c>
    </row>
    <row r="3017" ht="18" spans="1:11">
      <c r="A3017" s="14">
        <f t="shared" si="141"/>
        <v>3016</v>
      </c>
      <c r="B3017" s="11" t="s">
        <v>6417</v>
      </c>
      <c r="C3017" s="14" t="str">
        <f>IFERROR(INDEX(面试清单!D:D,MATCH(3016,面试清单!P:P,0)),"")</f>
        <v/>
      </c>
      <c r="D3017" s="11" t="s">
        <v>42</v>
      </c>
      <c r="E3017" s="11" t="s">
        <v>62</v>
      </c>
      <c r="F3017" s="11" t="s">
        <v>690</v>
      </c>
      <c r="G3017" s="15">
        <v>46184</v>
      </c>
      <c r="H3017" s="14" t="str">
        <f>IFERROR(INDEX(面试清单!H:H,MATCH(3016,面试清单!P:P,0)),"")</f>
        <v/>
      </c>
      <c r="I3017" s="13" t="s">
        <v>29</v>
      </c>
      <c r="J3017" s="14">
        <f ca="1" t="shared" si="142"/>
        <v>5</v>
      </c>
      <c r="K3017" s="14">
        <f ca="1" t="shared" si="143"/>
        <v>6</v>
      </c>
    </row>
    <row r="3018" ht="18" spans="1:11">
      <c r="A3018" s="10">
        <f t="shared" si="141"/>
        <v>3017</v>
      </c>
      <c r="B3018" s="11" t="s">
        <v>916</v>
      </c>
      <c r="C3018" s="10" t="str">
        <f>IFERROR(INDEX(面试清单!D:D,MATCH(3017,面试清单!P:P,0)),"")</f>
        <v/>
      </c>
      <c r="D3018" s="11" t="s">
        <v>73</v>
      </c>
      <c r="E3018" s="11" t="s">
        <v>63</v>
      </c>
      <c r="F3018" s="11" t="s">
        <v>129</v>
      </c>
      <c r="G3018" s="15">
        <v>46184</v>
      </c>
      <c r="H3018" s="10" t="str">
        <f>IFERROR(INDEX(面试清单!H:H,MATCH(3017,面试清单!P:P,0)),"")</f>
        <v/>
      </c>
      <c r="I3018" s="13" t="s">
        <v>29</v>
      </c>
      <c r="J3018" s="10">
        <f ca="1" t="shared" si="142"/>
        <v>5</v>
      </c>
      <c r="K3018" s="10">
        <f ca="1" t="shared" si="143"/>
        <v>6</v>
      </c>
    </row>
    <row r="3019" ht="18" spans="1:11">
      <c r="A3019" s="14">
        <f t="shared" si="141"/>
        <v>3018</v>
      </c>
      <c r="B3019" s="11" t="s">
        <v>1687</v>
      </c>
      <c r="C3019" s="14" t="str">
        <f>IFERROR(INDEX(面试清单!D:D,MATCH(3018,面试清单!P:P,0)),"")</f>
        <v/>
      </c>
      <c r="D3019" s="11" t="s">
        <v>42</v>
      </c>
      <c r="E3019" s="11" t="s">
        <v>62</v>
      </c>
      <c r="F3019" s="11" t="s">
        <v>148</v>
      </c>
      <c r="G3019" s="15">
        <v>46184</v>
      </c>
      <c r="H3019" s="14" t="str">
        <f>IFERROR(INDEX(面试清单!H:H,MATCH(3018,面试清单!P:P,0)),"")</f>
        <v/>
      </c>
      <c r="I3019" s="13" t="s">
        <v>29</v>
      </c>
      <c r="J3019" s="14">
        <f ca="1" t="shared" si="142"/>
        <v>5</v>
      </c>
      <c r="K3019" s="14">
        <f ca="1" t="shared" si="143"/>
        <v>6</v>
      </c>
    </row>
    <row r="3020" ht="18" spans="1:11">
      <c r="A3020" s="10">
        <f t="shared" si="141"/>
        <v>3019</v>
      </c>
      <c r="B3020" s="11" t="s">
        <v>6418</v>
      </c>
      <c r="C3020" s="10" t="str">
        <f>IFERROR(INDEX(面试清单!D:D,MATCH(3019,面试清单!P:P,0)),"")</f>
        <v/>
      </c>
      <c r="D3020" s="11" t="s">
        <v>42</v>
      </c>
      <c r="E3020" s="11" t="s">
        <v>63</v>
      </c>
      <c r="F3020" s="11" t="s">
        <v>148</v>
      </c>
      <c r="G3020" s="15">
        <v>46184</v>
      </c>
      <c r="H3020" s="10" t="str">
        <f>IFERROR(INDEX(面试清单!H:H,MATCH(3019,面试清单!P:P,0)),"")</f>
        <v/>
      </c>
      <c r="I3020" s="13" t="s">
        <v>29</v>
      </c>
      <c r="J3020" s="10">
        <f ca="1" t="shared" si="142"/>
        <v>5</v>
      </c>
      <c r="K3020" s="10">
        <f ca="1" t="shared" si="143"/>
        <v>6</v>
      </c>
    </row>
    <row r="3021" ht="18" spans="1:11">
      <c r="A3021" s="14">
        <f t="shared" si="141"/>
        <v>3020</v>
      </c>
      <c r="B3021" s="11" t="s">
        <v>1808</v>
      </c>
      <c r="C3021" s="14" t="str">
        <f>IFERROR(INDEX(面试清单!D:D,MATCH(3020,面试清单!P:P,0)),"")</f>
        <v/>
      </c>
      <c r="D3021" s="11" t="s">
        <v>42</v>
      </c>
      <c r="E3021" s="11" t="s">
        <v>62</v>
      </c>
      <c r="F3021" s="11" t="s">
        <v>148</v>
      </c>
      <c r="G3021" s="15">
        <v>46184</v>
      </c>
      <c r="H3021" s="14" t="str">
        <f>IFERROR(INDEX(面试清单!H:H,MATCH(3020,面试清单!P:P,0)),"")</f>
        <v/>
      </c>
      <c r="I3021" s="13" t="s">
        <v>29</v>
      </c>
      <c r="J3021" s="14">
        <f ca="1" t="shared" si="142"/>
        <v>5</v>
      </c>
      <c r="K3021" s="14">
        <f ca="1" t="shared" si="143"/>
        <v>6</v>
      </c>
    </row>
    <row r="3022" ht="18" spans="1:11">
      <c r="A3022" s="10">
        <f t="shared" si="141"/>
        <v>3021</v>
      </c>
      <c r="B3022" s="11" t="s">
        <v>1211</v>
      </c>
      <c r="C3022" s="10" t="str">
        <f>IFERROR(INDEX(面试清单!D:D,MATCH(3021,面试清单!P:P,0)),"")</f>
        <v/>
      </c>
      <c r="D3022" s="11" t="s">
        <v>43</v>
      </c>
      <c r="E3022" s="11" t="s">
        <v>62</v>
      </c>
      <c r="F3022" s="11" t="s">
        <v>148</v>
      </c>
      <c r="G3022" s="15">
        <v>46184</v>
      </c>
      <c r="H3022" s="10" t="str">
        <f>IFERROR(INDEX(面试清单!H:H,MATCH(3021,面试清单!P:P,0)),"")</f>
        <v/>
      </c>
      <c r="I3022" s="13" t="s">
        <v>29</v>
      </c>
      <c r="J3022" s="10">
        <f ca="1" t="shared" si="142"/>
        <v>5</v>
      </c>
      <c r="K3022" s="10">
        <f ca="1" t="shared" si="143"/>
        <v>6</v>
      </c>
    </row>
    <row r="3023" ht="18" spans="1:11">
      <c r="A3023" s="14">
        <f t="shared" si="141"/>
        <v>3022</v>
      </c>
      <c r="B3023" s="11" t="s">
        <v>1686</v>
      </c>
      <c r="C3023" s="14" t="str">
        <f>IFERROR(INDEX(面试清单!D:D,MATCH(3022,面试清单!P:P,0)),"")</f>
        <v/>
      </c>
      <c r="D3023" s="11" t="s">
        <v>42</v>
      </c>
      <c r="E3023" s="11" t="s">
        <v>62</v>
      </c>
      <c r="F3023" s="11" t="s">
        <v>148</v>
      </c>
      <c r="G3023" s="15">
        <v>46184</v>
      </c>
      <c r="H3023" s="14" t="str">
        <f>IFERROR(INDEX(面试清单!H:H,MATCH(3022,面试清单!P:P,0)),"")</f>
        <v/>
      </c>
      <c r="I3023" s="13" t="s">
        <v>29</v>
      </c>
      <c r="J3023" s="14">
        <f ca="1" t="shared" si="142"/>
        <v>5</v>
      </c>
      <c r="K3023" s="14">
        <f ca="1" t="shared" si="143"/>
        <v>6</v>
      </c>
    </row>
    <row r="3024" ht="18" spans="1:11">
      <c r="A3024" s="10">
        <f t="shared" si="141"/>
        <v>3023</v>
      </c>
      <c r="B3024" s="11" t="s">
        <v>1743</v>
      </c>
      <c r="C3024" s="125" t="str">
        <f>IFERROR(INDEX(面试清单!D:D,MATCH(3023,面试清单!P:P,0)),"")</f>
        <v>0221</v>
      </c>
      <c r="D3024" s="11" t="s">
        <v>43</v>
      </c>
      <c r="E3024" s="11" t="s">
        <v>62</v>
      </c>
      <c r="F3024" s="11" t="s">
        <v>148</v>
      </c>
      <c r="G3024" s="15">
        <v>46184</v>
      </c>
      <c r="H3024" s="10" t="str">
        <f>IFERROR(INDEX(面试清单!H:H,MATCH(3023,面试清单!P:P,0)),"")</f>
        <v>线上</v>
      </c>
      <c r="I3024" s="13" t="s">
        <v>29</v>
      </c>
      <c r="J3024" s="10">
        <f ca="1" t="shared" si="142"/>
        <v>5</v>
      </c>
      <c r="K3024" s="10">
        <f ca="1" t="shared" si="143"/>
        <v>6</v>
      </c>
    </row>
    <row r="3025" ht="18" spans="1:11">
      <c r="A3025" s="14">
        <f t="shared" si="141"/>
        <v>3024</v>
      </c>
      <c r="B3025" s="11" t="s">
        <v>1744</v>
      </c>
      <c r="C3025" s="124" t="str">
        <f>IFERROR(INDEX(面试清单!D:D,MATCH(3024,面试清单!P:P,0)),"")</f>
        <v>0222</v>
      </c>
      <c r="D3025" s="11" t="s">
        <v>43</v>
      </c>
      <c r="E3025" s="11" t="s">
        <v>62</v>
      </c>
      <c r="F3025" s="11" t="s">
        <v>148</v>
      </c>
      <c r="G3025" s="15">
        <v>46184</v>
      </c>
      <c r="H3025" s="14" t="str">
        <f>IFERROR(INDEX(面试清单!H:H,MATCH(3024,面试清单!P:P,0)),"")</f>
        <v>线上</v>
      </c>
      <c r="I3025" s="13" t="s">
        <v>29</v>
      </c>
      <c r="J3025" s="14">
        <f ca="1" t="shared" si="142"/>
        <v>5</v>
      </c>
      <c r="K3025" s="14">
        <f ca="1" t="shared" si="143"/>
        <v>6</v>
      </c>
    </row>
    <row r="3026" ht="18" spans="1:11">
      <c r="A3026" s="10">
        <f t="shared" si="141"/>
        <v>3025</v>
      </c>
      <c r="B3026" s="11" t="s">
        <v>6419</v>
      </c>
      <c r="C3026" s="125" t="str">
        <f>IFERROR(INDEX(面试清单!D:D,MATCH(3025,面试清单!P:P,0)),"")</f>
        <v>0208</v>
      </c>
      <c r="D3026" s="11" t="s">
        <v>43</v>
      </c>
      <c r="E3026" s="11" t="s">
        <v>63</v>
      </c>
      <c r="F3026" s="11" t="s">
        <v>148</v>
      </c>
      <c r="G3026" s="15">
        <v>46184</v>
      </c>
      <c r="H3026" s="10" t="str">
        <f>IFERROR(INDEX(面试清单!H:H,MATCH(3025,面试清单!P:P,0)),"")</f>
        <v>线上</v>
      </c>
      <c r="I3026" s="13" t="s">
        <v>29</v>
      </c>
      <c r="J3026" s="10">
        <f ca="1" t="shared" si="142"/>
        <v>5</v>
      </c>
      <c r="K3026" s="10">
        <f ca="1" t="shared" si="143"/>
        <v>6</v>
      </c>
    </row>
    <row r="3027" ht="18" spans="1:11">
      <c r="A3027" s="14">
        <f t="shared" si="141"/>
        <v>3026</v>
      </c>
      <c r="B3027" s="11" t="s">
        <v>1646</v>
      </c>
      <c r="C3027" s="124" t="str">
        <f>IFERROR(INDEX(面试清单!D:D,MATCH(3026,面试清单!P:P,0)),"")</f>
        <v>0209</v>
      </c>
      <c r="D3027" s="11" t="s">
        <v>43</v>
      </c>
      <c r="E3027" s="11" t="s">
        <v>63</v>
      </c>
      <c r="F3027" s="11" t="s">
        <v>148</v>
      </c>
      <c r="G3027" s="15">
        <v>46184</v>
      </c>
      <c r="H3027" s="14" t="str">
        <f>IFERROR(INDEX(面试清单!H:H,MATCH(3026,面试清单!P:P,0)),"")</f>
        <v>线上</v>
      </c>
      <c r="I3027" s="13" t="s">
        <v>29</v>
      </c>
      <c r="J3027" s="14">
        <f ca="1" t="shared" si="142"/>
        <v>5</v>
      </c>
      <c r="K3027" s="14">
        <f ca="1" t="shared" si="143"/>
        <v>6</v>
      </c>
    </row>
    <row r="3028" ht="18" spans="1:11">
      <c r="A3028" s="10">
        <f t="shared" si="141"/>
        <v>3027</v>
      </c>
      <c r="B3028" s="11" t="s">
        <v>1683</v>
      </c>
      <c r="C3028" s="10" t="str">
        <f>IFERROR(INDEX(面试清单!D:D,MATCH(3027,面试清单!P:P,0)),"")</f>
        <v/>
      </c>
      <c r="D3028" s="11" t="s">
        <v>42</v>
      </c>
      <c r="E3028" s="11" t="s">
        <v>63</v>
      </c>
      <c r="F3028" s="11" t="s">
        <v>148</v>
      </c>
      <c r="G3028" s="15">
        <v>46184</v>
      </c>
      <c r="H3028" s="10" t="str">
        <f>IFERROR(INDEX(面试清单!H:H,MATCH(3027,面试清单!P:P,0)),"")</f>
        <v/>
      </c>
      <c r="I3028" s="13" t="s">
        <v>29</v>
      </c>
      <c r="J3028" s="10">
        <f ca="1" t="shared" si="142"/>
        <v>5</v>
      </c>
      <c r="K3028" s="10">
        <f ca="1" t="shared" si="143"/>
        <v>6</v>
      </c>
    </row>
    <row r="3029" ht="18" spans="1:11">
      <c r="A3029" s="14">
        <f t="shared" si="141"/>
        <v>3028</v>
      </c>
      <c r="B3029" s="11" t="s">
        <v>1596</v>
      </c>
      <c r="C3029" s="14" t="str">
        <f>IFERROR(INDEX(面试清单!D:D,MATCH(3028,面试清单!P:P,0)),"")</f>
        <v/>
      </c>
      <c r="D3029" s="11" t="s">
        <v>42</v>
      </c>
      <c r="E3029" s="11" t="s">
        <v>62</v>
      </c>
      <c r="F3029" s="11" t="s">
        <v>117</v>
      </c>
      <c r="G3029" s="15">
        <v>46184</v>
      </c>
      <c r="H3029" s="14" t="str">
        <f>IFERROR(INDEX(面试清单!H:H,MATCH(3028,面试清单!P:P,0)),"")</f>
        <v/>
      </c>
      <c r="I3029" s="13" t="s">
        <v>29</v>
      </c>
      <c r="J3029" s="14">
        <f ca="1" t="shared" si="142"/>
        <v>5</v>
      </c>
      <c r="K3029" s="14">
        <f ca="1" t="shared" si="143"/>
        <v>6</v>
      </c>
    </row>
    <row r="3030" ht="18" spans="1:11">
      <c r="A3030" s="10">
        <f t="shared" si="141"/>
        <v>3029</v>
      </c>
      <c r="B3030" s="11" t="s">
        <v>6420</v>
      </c>
      <c r="C3030" s="10" t="str">
        <f>IFERROR(INDEX(面试清单!D:D,MATCH(3029,面试清单!P:P,0)),"")</f>
        <v/>
      </c>
      <c r="D3030" s="11" t="s">
        <v>43</v>
      </c>
      <c r="E3030" s="11" t="s">
        <v>62</v>
      </c>
      <c r="F3030" s="11" t="s">
        <v>117</v>
      </c>
      <c r="G3030" s="15">
        <v>46184</v>
      </c>
      <c r="H3030" s="10" t="str">
        <f>IFERROR(INDEX(面试清单!H:H,MATCH(3029,面试清单!P:P,0)),"")</f>
        <v/>
      </c>
      <c r="I3030" s="13" t="s">
        <v>29</v>
      </c>
      <c r="J3030" s="10">
        <f ca="1" t="shared" si="142"/>
        <v>5</v>
      </c>
      <c r="K3030" s="10">
        <f ca="1" t="shared" si="143"/>
        <v>6</v>
      </c>
    </row>
    <row r="3031" ht="18" spans="1:11">
      <c r="A3031" s="14">
        <f t="shared" si="141"/>
        <v>3030</v>
      </c>
      <c r="B3031" s="11" t="s">
        <v>1609</v>
      </c>
      <c r="C3031" s="14" t="str">
        <f>IFERROR(INDEX(面试清单!D:D,MATCH(3030,面试清单!P:P,0)),"")</f>
        <v/>
      </c>
      <c r="D3031" s="11" t="s">
        <v>43</v>
      </c>
      <c r="E3031" s="11" t="s">
        <v>63</v>
      </c>
      <c r="F3031" s="11" t="s">
        <v>1426</v>
      </c>
      <c r="G3031" s="15">
        <v>46184</v>
      </c>
      <c r="H3031" s="14" t="str">
        <f>IFERROR(INDEX(面试清单!H:H,MATCH(3030,面试清单!P:P,0)),"")</f>
        <v/>
      </c>
      <c r="I3031" s="13" t="s">
        <v>29</v>
      </c>
      <c r="J3031" s="14">
        <f ca="1" t="shared" si="142"/>
        <v>5</v>
      </c>
      <c r="K3031" s="14">
        <f ca="1" t="shared" si="143"/>
        <v>6</v>
      </c>
    </row>
    <row r="3032" ht="18" spans="1:11">
      <c r="A3032" s="10">
        <f t="shared" si="141"/>
        <v>3031</v>
      </c>
      <c r="B3032" s="11" t="s">
        <v>1776</v>
      </c>
      <c r="C3032" s="10" t="str">
        <f>IFERROR(INDEX(面试清单!D:D,MATCH(3031,面试清单!P:P,0)),"")</f>
        <v/>
      </c>
      <c r="D3032" s="11" t="s">
        <v>42</v>
      </c>
      <c r="E3032" s="11" t="s">
        <v>62</v>
      </c>
      <c r="F3032" s="11" t="s">
        <v>135</v>
      </c>
      <c r="G3032" s="15">
        <v>46184</v>
      </c>
      <c r="H3032" s="10" t="str">
        <f>IFERROR(INDEX(面试清单!H:H,MATCH(3031,面试清单!P:P,0)),"")</f>
        <v/>
      </c>
      <c r="I3032" s="13" t="s">
        <v>29</v>
      </c>
      <c r="J3032" s="10">
        <f ca="1" t="shared" si="142"/>
        <v>5</v>
      </c>
      <c r="K3032" s="10">
        <f ca="1" t="shared" si="143"/>
        <v>6</v>
      </c>
    </row>
    <row r="3033" ht="18" spans="1:11">
      <c r="A3033" s="14">
        <f t="shared" si="141"/>
        <v>3032</v>
      </c>
      <c r="B3033" s="11" t="s">
        <v>1747</v>
      </c>
      <c r="C3033" s="14" t="str">
        <f>IFERROR(INDEX(面试清单!D:D,MATCH(3032,面试清单!P:P,0)),"")</f>
        <v/>
      </c>
      <c r="D3033" s="11" t="s">
        <v>43</v>
      </c>
      <c r="E3033" s="11" t="s">
        <v>63</v>
      </c>
      <c r="F3033" s="11" t="s">
        <v>124</v>
      </c>
      <c r="G3033" s="15">
        <v>46184</v>
      </c>
      <c r="H3033" s="14" t="str">
        <f>IFERROR(INDEX(面试清单!H:H,MATCH(3032,面试清单!P:P,0)),"")</f>
        <v/>
      </c>
      <c r="I3033" s="13" t="s">
        <v>29</v>
      </c>
      <c r="J3033" s="14">
        <f ca="1" t="shared" si="142"/>
        <v>5</v>
      </c>
      <c r="K3033" s="14">
        <f ca="1" t="shared" si="143"/>
        <v>6</v>
      </c>
    </row>
    <row r="3034" ht="18" spans="1:11">
      <c r="A3034" s="10">
        <f t="shared" si="141"/>
        <v>3033</v>
      </c>
      <c r="B3034" s="11" t="s">
        <v>1649</v>
      </c>
      <c r="C3034" s="10" t="str">
        <f>IFERROR(INDEX(面试清单!D:D,MATCH(3033,面试清单!P:P,0)),"")</f>
        <v/>
      </c>
      <c r="D3034" s="11" t="s">
        <v>43</v>
      </c>
      <c r="E3034" s="11" t="s">
        <v>63</v>
      </c>
      <c r="F3034" s="11" t="s">
        <v>124</v>
      </c>
      <c r="G3034" s="15">
        <v>46184</v>
      </c>
      <c r="H3034" s="10" t="str">
        <f>IFERROR(INDEX(面试清单!H:H,MATCH(3033,面试清单!P:P,0)),"")</f>
        <v/>
      </c>
      <c r="I3034" s="13" t="s">
        <v>29</v>
      </c>
      <c r="J3034" s="10">
        <f ca="1" t="shared" si="142"/>
        <v>5</v>
      </c>
      <c r="K3034" s="10">
        <f ca="1" t="shared" si="143"/>
        <v>6</v>
      </c>
    </row>
    <row r="3035" ht="18" spans="1:11">
      <c r="A3035" s="14">
        <f t="shared" si="141"/>
        <v>3034</v>
      </c>
      <c r="B3035" s="11" t="s">
        <v>1750</v>
      </c>
      <c r="C3035" s="14" t="str">
        <f>IFERROR(INDEX(面试清单!D:D,MATCH(3034,面试清单!P:P,0)),"")</f>
        <v/>
      </c>
      <c r="D3035" s="11" t="s">
        <v>43</v>
      </c>
      <c r="E3035" s="11" t="s">
        <v>62</v>
      </c>
      <c r="F3035" s="11" t="s">
        <v>124</v>
      </c>
      <c r="G3035" s="15">
        <v>46184</v>
      </c>
      <c r="H3035" s="14" t="str">
        <f>IFERROR(INDEX(面试清单!H:H,MATCH(3034,面试清单!P:P,0)),"")</f>
        <v/>
      </c>
      <c r="I3035" s="13" t="s">
        <v>29</v>
      </c>
      <c r="J3035" s="14">
        <f ca="1" t="shared" si="142"/>
        <v>5</v>
      </c>
      <c r="K3035" s="14">
        <f ca="1" t="shared" si="143"/>
        <v>6</v>
      </c>
    </row>
    <row r="3036" ht="18" spans="1:11">
      <c r="A3036" s="10">
        <f t="shared" si="141"/>
        <v>3035</v>
      </c>
      <c r="B3036" s="11" t="s">
        <v>1648</v>
      </c>
      <c r="C3036" s="10" t="str">
        <f>IFERROR(INDEX(面试清单!D:D,MATCH(3035,面试清单!P:P,0)),"")</f>
        <v/>
      </c>
      <c r="D3036" s="11" t="s">
        <v>43</v>
      </c>
      <c r="E3036" s="11" t="s">
        <v>62</v>
      </c>
      <c r="F3036" s="11" t="s">
        <v>530</v>
      </c>
      <c r="G3036" s="15">
        <v>46184</v>
      </c>
      <c r="H3036" s="10" t="str">
        <f>IFERROR(INDEX(面试清单!H:H,MATCH(3035,面试清单!P:P,0)),"")</f>
        <v/>
      </c>
      <c r="I3036" s="13" t="s">
        <v>29</v>
      </c>
      <c r="J3036" s="10">
        <f ca="1" t="shared" si="142"/>
        <v>5</v>
      </c>
      <c r="K3036" s="10">
        <f ca="1" t="shared" si="143"/>
        <v>6</v>
      </c>
    </row>
    <row r="3037" ht="18" spans="1:11">
      <c r="A3037" s="14">
        <f t="shared" si="141"/>
        <v>3036</v>
      </c>
      <c r="B3037" s="11" t="s">
        <v>1563</v>
      </c>
      <c r="C3037" s="14" t="str">
        <f>IFERROR(INDEX(面试清单!D:D,MATCH(3036,面试清单!P:P,0)),"")</f>
        <v/>
      </c>
      <c r="D3037" s="11" t="s">
        <v>43</v>
      </c>
      <c r="E3037" s="11" t="s">
        <v>62</v>
      </c>
      <c r="F3037" s="11" t="s">
        <v>233</v>
      </c>
      <c r="G3037" s="15">
        <v>46184</v>
      </c>
      <c r="H3037" s="14" t="str">
        <f>IFERROR(INDEX(面试清单!H:H,MATCH(3036,面试清单!P:P,0)),"")</f>
        <v/>
      </c>
      <c r="I3037" s="13" t="s">
        <v>29</v>
      </c>
      <c r="J3037" s="14">
        <f ca="1" t="shared" si="142"/>
        <v>5</v>
      </c>
      <c r="K3037" s="14">
        <f ca="1" t="shared" si="143"/>
        <v>6</v>
      </c>
    </row>
    <row r="3038" ht="18" spans="1:11">
      <c r="A3038" s="10">
        <f t="shared" si="141"/>
        <v>3037</v>
      </c>
      <c r="B3038" s="11" t="s">
        <v>1666</v>
      </c>
      <c r="C3038" s="10" t="str">
        <f>IFERROR(INDEX(面试清单!D:D,MATCH(3037,面试清单!P:P,0)),"")</f>
        <v/>
      </c>
      <c r="D3038" s="11" t="s">
        <v>43</v>
      </c>
      <c r="E3038" s="11" t="s">
        <v>62</v>
      </c>
      <c r="F3038" s="11" t="s">
        <v>233</v>
      </c>
      <c r="G3038" s="15">
        <v>46184</v>
      </c>
      <c r="H3038" s="10" t="str">
        <f>IFERROR(INDEX(面试清单!H:H,MATCH(3037,面试清单!P:P,0)),"")</f>
        <v/>
      </c>
      <c r="I3038" s="13" t="s">
        <v>29</v>
      </c>
      <c r="J3038" s="10">
        <f ca="1" t="shared" si="142"/>
        <v>5</v>
      </c>
      <c r="K3038" s="10">
        <f ca="1" t="shared" si="143"/>
        <v>6</v>
      </c>
    </row>
    <row r="3039" ht="18" spans="1:11">
      <c r="A3039" s="14">
        <f t="shared" si="141"/>
        <v>3038</v>
      </c>
      <c r="B3039" s="11" t="s">
        <v>1509</v>
      </c>
      <c r="C3039" s="14" t="str">
        <f>IFERROR(INDEX(面试清单!D:D,MATCH(3038,面试清单!P:P,0)),"")</f>
        <v/>
      </c>
      <c r="D3039" s="11" t="s">
        <v>42</v>
      </c>
      <c r="E3039" s="11" t="s">
        <v>63</v>
      </c>
      <c r="F3039" s="11" t="s">
        <v>129</v>
      </c>
      <c r="G3039" s="15">
        <v>46184</v>
      </c>
      <c r="H3039" s="14" t="str">
        <f>IFERROR(INDEX(面试清单!H:H,MATCH(3038,面试清单!P:P,0)),"")</f>
        <v/>
      </c>
      <c r="I3039" s="13" t="s">
        <v>29</v>
      </c>
      <c r="J3039" s="14">
        <f ca="1" t="shared" si="142"/>
        <v>5</v>
      </c>
      <c r="K3039" s="14">
        <f ca="1" t="shared" si="143"/>
        <v>6</v>
      </c>
    </row>
    <row r="3040" ht="18" spans="1:11">
      <c r="A3040" s="10">
        <f t="shared" si="141"/>
        <v>3039</v>
      </c>
      <c r="B3040" s="11" t="s">
        <v>1670</v>
      </c>
      <c r="C3040" s="10" t="str">
        <f>IFERROR(INDEX(面试清单!D:D,MATCH(3039,面试清单!P:P,0)),"")</f>
        <v/>
      </c>
      <c r="D3040" s="11" t="s">
        <v>42</v>
      </c>
      <c r="E3040" s="11" t="s">
        <v>63</v>
      </c>
      <c r="F3040" s="11" t="s">
        <v>176</v>
      </c>
      <c r="G3040" s="15">
        <v>46184</v>
      </c>
      <c r="H3040" s="10" t="str">
        <f>IFERROR(INDEX(面试清单!H:H,MATCH(3039,面试清单!P:P,0)),"")</f>
        <v/>
      </c>
      <c r="I3040" s="13" t="s">
        <v>29</v>
      </c>
      <c r="J3040" s="10">
        <f ca="1" t="shared" si="142"/>
        <v>5</v>
      </c>
      <c r="K3040" s="10">
        <f ca="1" t="shared" si="143"/>
        <v>6</v>
      </c>
    </row>
    <row r="3041" ht="18" spans="1:11">
      <c r="A3041" s="14">
        <f t="shared" si="141"/>
        <v>3040</v>
      </c>
      <c r="B3041" s="11" t="s">
        <v>1642</v>
      </c>
      <c r="C3041" s="14" t="str">
        <f>IFERROR(INDEX(面试清单!D:D,MATCH(3040,面试清单!P:P,0)),"")</f>
        <v/>
      </c>
      <c r="D3041" s="11" t="s">
        <v>43</v>
      </c>
      <c r="E3041" s="11" t="s">
        <v>62</v>
      </c>
      <c r="F3041" s="11" t="s">
        <v>176</v>
      </c>
      <c r="G3041" s="15">
        <v>46184</v>
      </c>
      <c r="H3041" s="14" t="str">
        <f>IFERROR(INDEX(面试清单!H:H,MATCH(3040,面试清单!P:P,0)),"")</f>
        <v/>
      </c>
      <c r="I3041" s="13" t="s">
        <v>29</v>
      </c>
      <c r="J3041" s="14">
        <f ca="1" t="shared" si="142"/>
        <v>5</v>
      </c>
      <c r="K3041" s="14">
        <f ca="1" t="shared" si="143"/>
        <v>6</v>
      </c>
    </row>
    <row r="3042" ht="18" spans="1:11">
      <c r="A3042" s="10">
        <f t="shared" si="141"/>
        <v>3041</v>
      </c>
      <c r="B3042" s="11" t="s">
        <v>624</v>
      </c>
      <c r="C3042" s="10" t="str">
        <f>IFERROR(INDEX(面试清单!D:D,MATCH(3041,面试清单!P:P,0)),"")</f>
        <v/>
      </c>
      <c r="D3042" s="11" t="s">
        <v>43</v>
      </c>
      <c r="E3042" s="11" t="s">
        <v>62</v>
      </c>
      <c r="F3042" s="11" t="s">
        <v>176</v>
      </c>
      <c r="G3042" s="15">
        <v>46184</v>
      </c>
      <c r="H3042" s="10" t="str">
        <f>IFERROR(INDEX(面试清单!H:H,MATCH(3041,面试清单!P:P,0)),"")</f>
        <v/>
      </c>
      <c r="I3042" s="13" t="s">
        <v>29</v>
      </c>
      <c r="J3042" s="10">
        <f ca="1" t="shared" si="142"/>
        <v>5</v>
      </c>
      <c r="K3042" s="10">
        <f ca="1" t="shared" si="143"/>
        <v>6</v>
      </c>
    </row>
    <row r="3043" ht="18" spans="1:11">
      <c r="A3043" s="14">
        <f t="shared" si="141"/>
        <v>3042</v>
      </c>
      <c r="B3043" s="11" t="s">
        <v>6421</v>
      </c>
      <c r="C3043" s="14" t="str">
        <f>IFERROR(INDEX(面试清单!D:D,MATCH(3042,面试清单!P:P,0)),"")</f>
        <v/>
      </c>
      <c r="D3043" s="11" t="s">
        <v>42</v>
      </c>
      <c r="E3043" s="11" t="s">
        <v>62</v>
      </c>
      <c r="F3043" s="11" t="s">
        <v>176</v>
      </c>
      <c r="G3043" s="15">
        <v>46184</v>
      </c>
      <c r="H3043" s="14" t="str">
        <f>IFERROR(INDEX(面试清单!H:H,MATCH(3042,面试清单!P:P,0)),"")</f>
        <v/>
      </c>
      <c r="I3043" s="13" t="s">
        <v>29</v>
      </c>
      <c r="J3043" s="14">
        <f ca="1" t="shared" si="142"/>
        <v>5</v>
      </c>
      <c r="K3043" s="14">
        <f ca="1" t="shared" si="143"/>
        <v>6</v>
      </c>
    </row>
    <row r="3044" ht="18" spans="1:11">
      <c r="A3044" s="10">
        <f t="shared" si="141"/>
        <v>3043</v>
      </c>
      <c r="B3044" s="11" t="s">
        <v>1654</v>
      </c>
      <c r="C3044" s="10" t="str">
        <f>IFERROR(INDEX(面试清单!D:D,MATCH(3043,面试清单!P:P,0)),"")</f>
        <v/>
      </c>
      <c r="D3044" s="11" t="s">
        <v>43</v>
      </c>
      <c r="E3044" s="11" t="s">
        <v>63</v>
      </c>
      <c r="F3044" s="11" t="s">
        <v>103</v>
      </c>
      <c r="G3044" s="15">
        <v>46184</v>
      </c>
      <c r="H3044" s="10" t="str">
        <f>IFERROR(INDEX(面试清单!H:H,MATCH(3043,面试清单!P:P,0)),"")</f>
        <v/>
      </c>
      <c r="I3044" s="13" t="s">
        <v>29</v>
      </c>
      <c r="J3044" s="10">
        <f ca="1" t="shared" si="142"/>
        <v>5</v>
      </c>
      <c r="K3044" s="10">
        <f ca="1" t="shared" si="143"/>
        <v>6</v>
      </c>
    </row>
    <row r="3045" ht="18" spans="1:11">
      <c r="A3045" s="14">
        <f t="shared" si="141"/>
        <v>3044</v>
      </c>
      <c r="B3045" s="11" t="s">
        <v>1655</v>
      </c>
      <c r="C3045" s="14" t="str">
        <f>IFERROR(INDEX(面试清单!D:D,MATCH(3044,面试清单!P:P,0)),"")</f>
        <v/>
      </c>
      <c r="D3045" s="11" t="s">
        <v>43</v>
      </c>
      <c r="E3045" s="11" t="s">
        <v>63</v>
      </c>
      <c r="F3045" s="11" t="s">
        <v>103</v>
      </c>
      <c r="G3045" s="15">
        <v>46184</v>
      </c>
      <c r="H3045" s="14" t="str">
        <f>IFERROR(INDEX(面试清单!H:H,MATCH(3044,面试清单!P:P,0)),"")</f>
        <v/>
      </c>
      <c r="I3045" s="13" t="s">
        <v>29</v>
      </c>
      <c r="J3045" s="14">
        <f ca="1" t="shared" si="142"/>
        <v>5</v>
      </c>
      <c r="K3045" s="14">
        <f ca="1" t="shared" si="143"/>
        <v>6</v>
      </c>
    </row>
    <row r="3046" ht="18" spans="1:11">
      <c r="A3046" s="10">
        <f t="shared" si="141"/>
        <v>3045</v>
      </c>
      <c r="B3046" s="11" t="s">
        <v>1656</v>
      </c>
      <c r="C3046" s="10" t="str">
        <f>IFERROR(INDEX(面试清单!D:D,MATCH(3045,面试清单!P:P,0)),"")</f>
        <v/>
      </c>
      <c r="D3046" s="11" t="s">
        <v>43</v>
      </c>
      <c r="E3046" s="11" t="s">
        <v>63</v>
      </c>
      <c r="F3046" s="11" t="s">
        <v>103</v>
      </c>
      <c r="G3046" s="15">
        <v>46184</v>
      </c>
      <c r="H3046" s="10" t="str">
        <f>IFERROR(INDEX(面试清单!H:H,MATCH(3045,面试清单!P:P,0)),"")</f>
        <v/>
      </c>
      <c r="I3046" s="13" t="s">
        <v>29</v>
      </c>
      <c r="J3046" s="10">
        <f ca="1" t="shared" si="142"/>
        <v>5</v>
      </c>
      <c r="K3046" s="10">
        <f ca="1" t="shared" si="143"/>
        <v>6</v>
      </c>
    </row>
    <row r="3047" ht="18" spans="1:11">
      <c r="A3047" s="14">
        <f t="shared" si="141"/>
        <v>3046</v>
      </c>
      <c r="B3047" s="11" t="s">
        <v>6422</v>
      </c>
      <c r="C3047" s="14" t="str">
        <f>IFERROR(INDEX(面试清单!D:D,MATCH(3046,面试清单!P:P,0)),"")</f>
        <v/>
      </c>
      <c r="D3047" s="11" t="s">
        <v>42</v>
      </c>
      <c r="E3047" s="11" t="s">
        <v>64</v>
      </c>
      <c r="F3047" s="11" t="s">
        <v>103</v>
      </c>
      <c r="G3047" s="15">
        <v>46184</v>
      </c>
      <c r="H3047" s="14" t="str">
        <f>IFERROR(INDEX(面试清单!H:H,MATCH(3046,面试清单!P:P,0)),"")</f>
        <v/>
      </c>
      <c r="I3047" s="13" t="s">
        <v>29</v>
      </c>
      <c r="J3047" s="14">
        <f ca="1" t="shared" si="142"/>
        <v>5</v>
      </c>
      <c r="K3047" s="14">
        <f ca="1" t="shared" si="143"/>
        <v>6</v>
      </c>
    </row>
    <row r="3048" ht="18" spans="1:11">
      <c r="A3048" s="10">
        <f t="shared" si="141"/>
        <v>3047</v>
      </c>
      <c r="B3048" s="11" t="s">
        <v>1732</v>
      </c>
      <c r="C3048" s="10" t="str">
        <f>IFERROR(INDEX(面试清单!D:D,MATCH(3047,面试清单!P:P,0)),"")</f>
        <v/>
      </c>
      <c r="D3048" s="11" t="s">
        <v>43</v>
      </c>
      <c r="E3048" s="11" t="s">
        <v>63</v>
      </c>
      <c r="F3048" s="11" t="s">
        <v>631</v>
      </c>
      <c r="G3048" s="15">
        <v>46184</v>
      </c>
      <c r="H3048" s="10" t="str">
        <f>IFERROR(INDEX(面试清单!H:H,MATCH(3047,面试清单!P:P,0)),"")</f>
        <v/>
      </c>
      <c r="I3048" s="13" t="s">
        <v>29</v>
      </c>
      <c r="J3048" s="10">
        <f ca="1" t="shared" si="142"/>
        <v>5</v>
      </c>
      <c r="K3048" s="10">
        <f ca="1" t="shared" si="143"/>
        <v>6</v>
      </c>
    </row>
    <row r="3049" ht="18" spans="1:11">
      <c r="A3049" s="14">
        <f t="shared" si="141"/>
        <v>3048</v>
      </c>
      <c r="B3049" s="11" t="s">
        <v>1644</v>
      </c>
      <c r="C3049" s="14" t="str">
        <f>IFERROR(INDEX(面试清单!D:D,MATCH(3048,面试清单!P:P,0)),"")</f>
        <v/>
      </c>
      <c r="D3049" s="11" t="s">
        <v>43</v>
      </c>
      <c r="E3049" s="11" t="s">
        <v>62</v>
      </c>
      <c r="F3049" s="11" t="s">
        <v>132</v>
      </c>
      <c r="G3049" s="15">
        <v>46184</v>
      </c>
      <c r="H3049" s="14" t="str">
        <f>IFERROR(INDEX(面试清单!H:H,MATCH(3048,面试清单!P:P,0)),"")</f>
        <v/>
      </c>
      <c r="I3049" s="13" t="s">
        <v>29</v>
      </c>
      <c r="J3049" s="14">
        <f ca="1" t="shared" si="142"/>
        <v>5</v>
      </c>
      <c r="K3049" s="14">
        <f ca="1" t="shared" si="143"/>
        <v>6</v>
      </c>
    </row>
    <row r="3050" ht="18" spans="1:11">
      <c r="A3050" s="10">
        <f t="shared" si="141"/>
        <v>3049</v>
      </c>
      <c r="B3050" s="11" t="s">
        <v>1645</v>
      </c>
      <c r="C3050" s="10" t="str">
        <f>IFERROR(INDEX(面试清单!D:D,MATCH(3049,面试清单!P:P,0)),"")</f>
        <v/>
      </c>
      <c r="D3050" s="11" t="s">
        <v>43</v>
      </c>
      <c r="E3050" s="11" t="s">
        <v>62</v>
      </c>
      <c r="F3050" s="11" t="s">
        <v>132</v>
      </c>
      <c r="G3050" s="15">
        <v>46184</v>
      </c>
      <c r="H3050" s="10" t="str">
        <f>IFERROR(INDEX(面试清单!H:H,MATCH(3049,面试清单!P:P,0)),"")</f>
        <v/>
      </c>
      <c r="I3050" s="13" t="s">
        <v>29</v>
      </c>
      <c r="J3050" s="10">
        <f ca="1" t="shared" si="142"/>
        <v>5</v>
      </c>
      <c r="K3050" s="10">
        <f ca="1" t="shared" si="143"/>
        <v>6</v>
      </c>
    </row>
    <row r="3051" ht="18" spans="1:11">
      <c r="A3051" s="14">
        <f t="shared" si="141"/>
        <v>3050</v>
      </c>
      <c r="B3051" s="11" t="s">
        <v>1643</v>
      </c>
      <c r="C3051" s="14" t="str">
        <f>IFERROR(INDEX(面试清单!D:D,MATCH(3050,面试清单!P:P,0)),"")</f>
        <v/>
      </c>
      <c r="D3051" s="11" t="s">
        <v>43</v>
      </c>
      <c r="E3051" s="11" t="s">
        <v>63</v>
      </c>
      <c r="F3051" s="11" t="s">
        <v>509</v>
      </c>
      <c r="G3051" s="15">
        <v>46184</v>
      </c>
      <c r="H3051" s="14" t="str">
        <f>IFERROR(INDEX(面试清单!H:H,MATCH(3050,面试清单!P:P,0)),"")</f>
        <v/>
      </c>
      <c r="I3051" s="13" t="s">
        <v>29</v>
      </c>
      <c r="J3051" s="14">
        <f ca="1" t="shared" si="142"/>
        <v>5</v>
      </c>
      <c r="K3051" s="14">
        <f ca="1" t="shared" si="143"/>
        <v>6</v>
      </c>
    </row>
    <row r="3052" ht="18" spans="1:11">
      <c r="A3052" s="10">
        <f t="shared" si="141"/>
        <v>3051</v>
      </c>
      <c r="B3052" s="11" t="s">
        <v>1665</v>
      </c>
      <c r="C3052" s="10" t="str">
        <f>IFERROR(INDEX(面试清单!D:D,MATCH(3051,面试清单!P:P,0)),"")</f>
        <v/>
      </c>
      <c r="D3052" s="11" t="s">
        <v>43</v>
      </c>
      <c r="E3052" s="11" t="s">
        <v>62</v>
      </c>
      <c r="F3052" s="11" t="s">
        <v>148</v>
      </c>
      <c r="G3052" s="15">
        <v>46184</v>
      </c>
      <c r="H3052" s="10" t="str">
        <f>IFERROR(INDEX(面试清单!H:H,MATCH(3051,面试清单!P:P,0)),"")</f>
        <v/>
      </c>
      <c r="I3052" s="13" t="s">
        <v>29</v>
      </c>
      <c r="J3052" s="10">
        <f ca="1" t="shared" si="142"/>
        <v>5</v>
      </c>
      <c r="K3052" s="10">
        <f ca="1" t="shared" si="143"/>
        <v>6</v>
      </c>
    </row>
    <row r="3053" ht="18" spans="1:11">
      <c r="A3053" s="14">
        <f t="shared" si="141"/>
        <v>3052</v>
      </c>
      <c r="B3053" s="11" t="s">
        <v>1781</v>
      </c>
      <c r="C3053" s="14" t="str">
        <f>IFERROR(INDEX(面试清单!D:D,MATCH(3052,面试清单!P:P,0)),"")</f>
        <v/>
      </c>
      <c r="D3053" s="11" t="s">
        <v>42</v>
      </c>
      <c r="E3053" s="11" t="s">
        <v>62</v>
      </c>
      <c r="F3053" s="11" t="s">
        <v>173</v>
      </c>
      <c r="G3053" s="15">
        <v>46184</v>
      </c>
      <c r="H3053" s="14" t="str">
        <f>IFERROR(INDEX(面试清单!H:H,MATCH(3052,面试清单!P:P,0)),"")</f>
        <v/>
      </c>
      <c r="I3053" s="13" t="s">
        <v>29</v>
      </c>
      <c r="J3053" s="14">
        <f ca="1" t="shared" si="142"/>
        <v>5</v>
      </c>
      <c r="K3053" s="14">
        <f ca="1" t="shared" si="143"/>
        <v>6</v>
      </c>
    </row>
    <row r="3054" ht="18" spans="1:11">
      <c r="A3054" s="10">
        <f t="shared" si="141"/>
        <v>3053</v>
      </c>
      <c r="B3054" s="11" t="s">
        <v>1813</v>
      </c>
      <c r="C3054" s="10" t="str">
        <f>IFERROR(INDEX(面试清单!D:D,MATCH(3053,面试清单!P:P,0)),"")</f>
        <v/>
      </c>
      <c r="D3054" s="11" t="s">
        <v>42</v>
      </c>
      <c r="E3054" s="11" t="s">
        <v>62</v>
      </c>
      <c r="F3054" s="11" t="s">
        <v>173</v>
      </c>
      <c r="G3054" s="15">
        <v>46184</v>
      </c>
      <c r="H3054" s="10" t="str">
        <f>IFERROR(INDEX(面试清单!H:H,MATCH(3053,面试清单!P:P,0)),"")</f>
        <v/>
      </c>
      <c r="I3054" s="13" t="s">
        <v>29</v>
      </c>
      <c r="J3054" s="10">
        <f ca="1" t="shared" si="142"/>
        <v>5</v>
      </c>
      <c r="K3054" s="10">
        <f ca="1" t="shared" si="143"/>
        <v>6</v>
      </c>
    </row>
    <row r="3055" ht="18" spans="1:11">
      <c r="A3055" s="14">
        <f t="shared" si="141"/>
        <v>3054</v>
      </c>
      <c r="B3055" s="11" t="s">
        <v>1745</v>
      </c>
      <c r="C3055" s="14" t="str">
        <f>IFERROR(INDEX(面试清单!D:D,MATCH(3054,面试清单!P:P,0)),"")</f>
        <v/>
      </c>
      <c r="D3055" s="11" t="s">
        <v>43</v>
      </c>
      <c r="E3055" s="11" t="s">
        <v>62</v>
      </c>
      <c r="F3055" s="11" t="s">
        <v>173</v>
      </c>
      <c r="G3055" s="15">
        <v>46184</v>
      </c>
      <c r="H3055" s="14" t="str">
        <f>IFERROR(INDEX(面试清单!H:H,MATCH(3054,面试清单!P:P,0)),"")</f>
        <v/>
      </c>
      <c r="I3055" s="13" t="s">
        <v>29</v>
      </c>
      <c r="J3055" s="14">
        <f ca="1" t="shared" si="142"/>
        <v>5</v>
      </c>
      <c r="K3055" s="14">
        <f ca="1" t="shared" si="143"/>
        <v>6</v>
      </c>
    </row>
    <row r="3056" ht="18" spans="1:11">
      <c r="A3056" s="10">
        <f t="shared" si="141"/>
        <v>3055</v>
      </c>
      <c r="B3056" s="11" t="s">
        <v>1724</v>
      </c>
      <c r="C3056" s="10" t="str">
        <f>IFERROR(INDEX(面试清单!D:D,MATCH(3055,面试清单!P:P,0)),"")</f>
        <v/>
      </c>
      <c r="D3056" s="11" t="s">
        <v>42</v>
      </c>
      <c r="E3056" s="11" t="s">
        <v>63</v>
      </c>
      <c r="F3056" s="11" t="s">
        <v>173</v>
      </c>
      <c r="G3056" s="15">
        <v>46184</v>
      </c>
      <c r="H3056" s="10" t="str">
        <f>IFERROR(INDEX(面试清单!H:H,MATCH(3055,面试清单!P:P,0)),"")</f>
        <v/>
      </c>
      <c r="I3056" s="13" t="s">
        <v>29</v>
      </c>
      <c r="J3056" s="10">
        <f ca="1" t="shared" si="142"/>
        <v>5</v>
      </c>
      <c r="K3056" s="10">
        <f ca="1" t="shared" si="143"/>
        <v>6</v>
      </c>
    </row>
    <row r="3057" ht="18" spans="1:11">
      <c r="A3057" s="14">
        <f t="shared" si="141"/>
        <v>3056</v>
      </c>
      <c r="B3057" s="11" t="s">
        <v>1222</v>
      </c>
      <c r="C3057" s="14" t="str">
        <f>IFERROR(INDEX(面试清单!D:D,MATCH(3056,面试清单!P:P,0)),"")</f>
        <v/>
      </c>
      <c r="D3057" s="11" t="s">
        <v>43</v>
      </c>
      <c r="E3057" s="11" t="s">
        <v>62</v>
      </c>
      <c r="F3057" s="11" t="s">
        <v>246</v>
      </c>
      <c r="G3057" s="15">
        <v>46184</v>
      </c>
      <c r="H3057" s="14" t="str">
        <f>IFERROR(INDEX(面试清单!H:H,MATCH(3056,面试清单!P:P,0)),"")</f>
        <v/>
      </c>
      <c r="I3057" s="13" t="s">
        <v>29</v>
      </c>
      <c r="J3057" s="14">
        <f ca="1" t="shared" si="142"/>
        <v>5</v>
      </c>
      <c r="K3057" s="14">
        <f ca="1" t="shared" si="143"/>
        <v>6</v>
      </c>
    </row>
    <row r="3058" ht="18" spans="1:11">
      <c r="A3058" s="10">
        <f t="shared" si="141"/>
        <v>3057</v>
      </c>
      <c r="B3058" s="11" t="s">
        <v>3435</v>
      </c>
      <c r="C3058" s="10" t="str">
        <f>IFERROR(INDEX(面试清单!D:D,MATCH(3057,面试清单!P:P,0)),"")</f>
        <v/>
      </c>
      <c r="D3058" s="11" t="s">
        <v>43</v>
      </c>
      <c r="E3058" s="11" t="s">
        <v>63</v>
      </c>
      <c r="F3058" s="11" t="s">
        <v>103</v>
      </c>
      <c r="G3058" s="15">
        <v>46184</v>
      </c>
      <c r="H3058" s="10" t="str">
        <f>IFERROR(INDEX(面试清单!H:H,MATCH(3057,面试清单!P:P,0)),"")</f>
        <v/>
      </c>
      <c r="I3058" s="13" t="s">
        <v>29</v>
      </c>
      <c r="J3058" s="10">
        <f ca="1" t="shared" si="142"/>
        <v>5</v>
      </c>
      <c r="K3058" s="10">
        <f ca="1" t="shared" si="143"/>
        <v>6</v>
      </c>
    </row>
    <row r="3059" ht="18" spans="1:11">
      <c r="A3059" s="14">
        <f t="shared" si="141"/>
        <v>3058</v>
      </c>
      <c r="B3059" s="11" t="s">
        <v>1735</v>
      </c>
      <c r="C3059" s="14" t="str">
        <f>IFERROR(INDEX(面试清单!D:D,MATCH(3058,面试清单!P:P,0)),"")</f>
        <v/>
      </c>
      <c r="D3059" s="11" t="s">
        <v>43</v>
      </c>
      <c r="E3059" s="11" t="s">
        <v>63</v>
      </c>
      <c r="F3059" s="11" t="s">
        <v>176</v>
      </c>
      <c r="G3059" s="15">
        <v>46184</v>
      </c>
      <c r="H3059" s="14" t="str">
        <f>IFERROR(INDEX(面试清单!H:H,MATCH(3058,面试清单!P:P,0)),"")</f>
        <v/>
      </c>
      <c r="I3059" s="13" t="s">
        <v>29</v>
      </c>
      <c r="J3059" s="14">
        <f ca="1" t="shared" si="142"/>
        <v>5</v>
      </c>
      <c r="K3059" s="14">
        <f ca="1" t="shared" si="143"/>
        <v>6</v>
      </c>
    </row>
    <row r="3060" ht="18" spans="1:11">
      <c r="A3060" s="10">
        <f t="shared" si="141"/>
        <v>3059</v>
      </c>
      <c r="B3060" s="11" t="s">
        <v>6423</v>
      </c>
      <c r="C3060" s="10" t="str">
        <f>IFERROR(INDEX(面试清单!D:D,MATCH(3059,面试清单!P:P,0)),"")</f>
        <v/>
      </c>
      <c r="D3060" s="11" t="s">
        <v>42</v>
      </c>
      <c r="E3060" s="11" t="s">
        <v>62</v>
      </c>
      <c r="F3060" s="11" t="s">
        <v>179</v>
      </c>
      <c r="G3060" s="15">
        <v>46184</v>
      </c>
      <c r="H3060" s="10" t="str">
        <f>IFERROR(INDEX(面试清单!H:H,MATCH(3059,面试清单!P:P,0)),"")</f>
        <v/>
      </c>
      <c r="I3060" s="13" t="s">
        <v>29</v>
      </c>
      <c r="J3060" s="10">
        <f ca="1" t="shared" si="142"/>
        <v>5</v>
      </c>
      <c r="K3060" s="10">
        <f ca="1" t="shared" si="143"/>
        <v>6</v>
      </c>
    </row>
    <row r="3061" ht="18" spans="1:11">
      <c r="A3061" s="14">
        <f t="shared" si="141"/>
        <v>3060</v>
      </c>
      <c r="B3061" s="11" t="s">
        <v>1718</v>
      </c>
      <c r="C3061" s="14" t="str">
        <f>IFERROR(INDEX(面试清单!D:D,MATCH(3060,面试清单!P:P,0)),"")</f>
        <v/>
      </c>
      <c r="D3061" s="11" t="s">
        <v>42</v>
      </c>
      <c r="E3061" s="11" t="s">
        <v>63</v>
      </c>
      <c r="F3061" s="11" t="s">
        <v>578</v>
      </c>
      <c r="G3061" s="15">
        <v>46184</v>
      </c>
      <c r="H3061" s="14" t="str">
        <f>IFERROR(INDEX(面试清单!H:H,MATCH(3060,面试清单!P:P,0)),"")</f>
        <v/>
      </c>
      <c r="I3061" s="13" t="s">
        <v>29</v>
      </c>
      <c r="J3061" s="14">
        <f ca="1" t="shared" si="142"/>
        <v>5</v>
      </c>
      <c r="K3061" s="14">
        <f ca="1" t="shared" si="143"/>
        <v>6</v>
      </c>
    </row>
    <row r="3062" ht="18" spans="1:11">
      <c r="A3062" s="10">
        <f t="shared" si="141"/>
        <v>3061</v>
      </c>
      <c r="B3062" s="11" t="s">
        <v>1799</v>
      </c>
      <c r="C3062" s="10" t="str">
        <f>IFERROR(INDEX(面试清单!D:D,MATCH(3061,面试清单!P:P,0)),"")</f>
        <v/>
      </c>
      <c r="D3062" s="11" t="s">
        <v>42</v>
      </c>
      <c r="E3062" s="11" t="s">
        <v>63</v>
      </c>
      <c r="F3062" s="11" t="s">
        <v>578</v>
      </c>
      <c r="G3062" s="15">
        <v>46184</v>
      </c>
      <c r="H3062" s="10" t="str">
        <f>IFERROR(INDEX(面试清单!H:H,MATCH(3061,面试清单!P:P,0)),"")</f>
        <v/>
      </c>
      <c r="I3062" s="13" t="s">
        <v>29</v>
      </c>
      <c r="J3062" s="10">
        <f ca="1" t="shared" si="142"/>
        <v>5</v>
      </c>
      <c r="K3062" s="10">
        <f ca="1" t="shared" si="143"/>
        <v>6</v>
      </c>
    </row>
    <row r="3063" ht="18" spans="1:11">
      <c r="A3063" s="14">
        <f t="shared" si="141"/>
        <v>3062</v>
      </c>
      <c r="B3063" s="11" t="s">
        <v>1800</v>
      </c>
      <c r="C3063" s="14" t="str">
        <f>IFERROR(INDEX(面试清单!D:D,MATCH(3062,面试清单!P:P,0)),"")</f>
        <v/>
      </c>
      <c r="D3063" s="11" t="s">
        <v>42</v>
      </c>
      <c r="E3063" s="11" t="s">
        <v>63</v>
      </c>
      <c r="F3063" s="11" t="s">
        <v>578</v>
      </c>
      <c r="G3063" s="15">
        <v>46184</v>
      </c>
      <c r="H3063" s="14" t="str">
        <f>IFERROR(INDEX(面试清单!H:H,MATCH(3062,面试清单!P:P,0)),"")</f>
        <v/>
      </c>
      <c r="I3063" s="13" t="s">
        <v>29</v>
      </c>
      <c r="J3063" s="14">
        <f ca="1" t="shared" si="142"/>
        <v>5</v>
      </c>
      <c r="K3063" s="14">
        <f ca="1" t="shared" si="143"/>
        <v>6</v>
      </c>
    </row>
    <row r="3064" ht="18" spans="1:11">
      <c r="A3064" s="10">
        <f t="shared" si="141"/>
        <v>3063</v>
      </c>
      <c r="B3064" s="11" t="s">
        <v>1788</v>
      </c>
      <c r="C3064" s="10" t="str">
        <f>IFERROR(INDEX(面试清单!D:D,MATCH(3063,面试清单!P:P,0)),"")</f>
        <v/>
      </c>
      <c r="D3064" s="11" t="s">
        <v>42</v>
      </c>
      <c r="E3064" s="11" t="s">
        <v>62</v>
      </c>
      <c r="F3064" s="11" t="s">
        <v>233</v>
      </c>
      <c r="G3064" s="15">
        <v>46184</v>
      </c>
      <c r="H3064" s="10" t="str">
        <f>IFERROR(INDEX(面试清单!H:H,MATCH(3063,面试清单!P:P,0)),"")</f>
        <v/>
      </c>
      <c r="I3064" s="13" t="s">
        <v>29</v>
      </c>
      <c r="J3064" s="10">
        <f ca="1" t="shared" si="142"/>
        <v>5</v>
      </c>
      <c r="K3064" s="10">
        <f ca="1" t="shared" si="143"/>
        <v>6</v>
      </c>
    </row>
    <row r="3065" ht="18" spans="1:11">
      <c r="A3065" s="14">
        <f t="shared" si="141"/>
        <v>3064</v>
      </c>
      <c r="B3065" s="11" t="s">
        <v>1638</v>
      </c>
      <c r="C3065" s="124" t="str">
        <f>IFERROR(INDEX(面试清单!D:D,MATCH(3064,面试清单!P:P,0)),"")</f>
        <v>0212</v>
      </c>
      <c r="D3065" s="11" t="s">
        <v>43</v>
      </c>
      <c r="E3065" s="11" t="s">
        <v>63</v>
      </c>
      <c r="F3065" s="11" t="s">
        <v>1006</v>
      </c>
      <c r="G3065" s="15">
        <v>46184</v>
      </c>
      <c r="H3065" s="14" t="str">
        <f>IFERROR(INDEX(面试清单!H:H,MATCH(3064,面试清单!P:P,0)),"")</f>
        <v>线上</v>
      </c>
      <c r="I3065" s="13" t="s">
        <v>29</v>
      </c>
      <c r="J3065" s="14">
        <f ca="1" t="shared" si="142"/>
        <v>5</v>
      </c>
      <c r="K3065" s="14">
        <f ca="1" t="shared" si="143"/>
        <v>6</v>
      </c>
    </row>
    <row r="3066" ht="18" spans="1:11">
      <c r="A3066" s="10">
        <f t="shared" si="141"/>
        <v>3065</v>
      </c>
      <c r="B3066" s="11" t="s">
        <v>919</v>
      </c>
      <c r="C3066" s="125" t="str">
        <f>IFERROR(INDEX(面试清单!D:D,MATCH(3065,面试清单!P:P,0)),"")</f>
        <v>0214</v>
      </c>
      <c r="D3066" s="11" t="s">
        <v>43</v>
      </c>
      <c r="E3066" s="11" t="s">
        <v>64</v>
      </c>
      <c r="F3066" s="11" t="s">
        <v>148</v>
      </c>
      <c r="G3066" s="15">
        <v>46184</v>
      </c>
      <c r="H3066" s="10" t="str">
        <f>IFERROR(INDEX(面试清单!H:H,MATCH(3065,面试清单!P:P,0)),"")</f>
        <v>线上</v>
      </c>
      <c r="I3066" s="13" t="s">
        <v>29</v>
      </c>
      <c r="J3066" s="10">
        <f ca="1" t="shared" si="142"/>
        <v>5</v>
      </c>
      <c r="K3066" s="10">
        <f ca="1" t="shared" si="143"/>
        <v>6</v>
      </c>
    </row>
    <row r="3067" ht="18" spans="1:11">
      <c r="A3067" s="14">
        <f t="shared" si="141"/>
        <v>3066</v>
      </c>
      <c r="B3067" s="11" t="s">
        <v>863</v>
      </c>
      <c r="C3067" s="124" t="str">
        <f>IFERROR(INDEX(面试清单!D:D,MATCH(3066,面试清单!P:P,0)),"")</f>
        <v>0217</v>
      </c>
      <c r="D3067" s="11" t="s">
        <v>42</v>
      </c>
      <c r="E3067" s="11" t="s">
        <v>64</v>
      </c>
      <c r="F3067" s="11" t="s">
        <v>148</v>
      </c>
      <c r="G3067" s="15">
        <v>46184</v>
      </c>
      <c r="H3067" s="14" t="str">
        <f>IFERROR(INDEX(面试清单!H:H,MATCH(3066,面试清单!P:P,0)),"")</f>
        <v>线上</v>
      </c>
      <c r="I3067" s="13" t="s">
        <v>29</v>
      </c>
      <c r="J3067" s="14">
        <f ca="1" t="shared" si="142"/>
        <v>5</v>
      </c>
      <c r="K3067" s="14">
        <f ca="1" t="shared" si="143"/>
        <v>6</v>
      </c>
    </row>
    <row r="3068" ht="18" spans="1:11">
      <c r="A3068" s="10">
        <f t="shared" si="141"/>
        <v>3067</v>
      </c>
      <c r="B3068" s="11" t="s">
        <v>923</v>
      </c>
      <c r="C3068" s="10" t="str">
        <f>IFERROR(INDEX(面试清单!D:D,MATCH(3067,面试清单!P:P,0)),"")</f>
        <v/>
      </c>
      <c r="D3068" s="11" t="s">
        <v>43</v>
      </c>
      <c r="E3068" s="11" t="s">
        <v>64</v>
      </c>
      <c r="F3068" s="11" t="s">
        <v>233</v>
      </c>
      <c r="G3068" s="15">
        <v>46184</v>
      </c>
      <c r="H3068" s="10" t="str">
        <f>IFERROR(INDEX(面试清单!H:H,MATCH(3067,面试清单!P:P,0)),"")</f>
        <v/>
      </c>
      <c r="I3068" s="13" t="s">
        <v>29</v>
      </c>
      <c r="J3068" s="10">
        <f ca="1" t="shared" si="142"/>
        <v>5</v>
      </c>
      <c r="K3068" s="10">
        <f ca="1" t="shared" si="143"/>
        <v>6</v>
      </c>
    </row>
    <row r="3069" ht="18" spans="1:11">
      <c r="A3069" s="14">
        <f t="shared" si="141"/>
        <v>3068</v>
      </c>
      <c r="B3069" s="11" t="s">
        <v>1616</v>
      </c>
      <c r="C3069" s="124" t="str">
        <f>IFERROR(INDEX(面试清单!D:D,MATCH(3068,面试清单!P:P,0)),"")</f>
        <v>0220</v>
      </c>
      <c r="D3069" s="11" t="s">
        <v>43</v>
      </c>
      <c r="E3069" s="11" t="s">
        <v>63</v>
      </c>
      <c r="F3069" s="11" t="s">
        <v>233</v>
      </c>
      <c r="G3069" s="15">
        <v>46184</v>
      </c>
      <c r="H3069" s="14" t="str">
        <f>IFERROR(INDEX(面试清单!H:H,MATCH(3068,面试清单!P:P,0)),"")</f>
        <v>线上</v>
      </c>
      <c r="I3069" s="13" t="s">
        <v>29</v>
      </c>
      <c r="J3069" s="14">
        <f ca="1" t="shared" si="142"/>
        <v>5</v>
      </c>
      <c r="K3069" s="14">
        <f ca="1" t="shared" si="143"/>
        <v>6</v>
      </c>
    </row>
    <row r="3070" ht="18" spans="1:11">
      <c r="A3070" s="10">
        <f t="shared" si="141"/>
        <v>3069</v>
      </c>
      <c r="B3070" s="11" t="s">
        <v>926</v>
      </c>
      <c r="C3070" s="10" t="str">
        <f>IFERROR(INDEX(面试清单!D:D,MATCH(3069,面试清单!P:P,0)),"")</f>
        <v/>
      </c>
      <c r="D3070" s="11" t="s">
        <v>42</v>
      </c>
      <c r="E3070" s="11" t="s">
        <v>64</v>
      </c>
      <c r="F3070" s="11" t="s">
        <v>103</v>
      </c>
      <c r="G3070" s="15">
        <v>46184</v>
      </c>
      <c r="H3070" s="10" t="str">
        <f>IFERROR(INDEX(面试清单!H:H,MATCH(3069,面试清单!P:P,0)),"")</f>
        <v/>
      </c>
      <c r="I3070" s="13" t="s">
        <v>29</v>
      </c>
      <c r="J3070" s="10">
        <f ca="1" t="shared" si="142"/>
        <v>5</v>
      </c>
      <c r="K3070" s="10">
        <f ca="1" t="shared" si="143"/>
        <v>6</v>
      </c>
    </row>
    <row r="3071" ht="18" spans="1:11">
      <c r="A3071" s="14">
        <f t="shared" si="141"/>
        <v>3070</v>
      </c>
      <c r="B3071" s="11" t="s">
        <v>938</v>
      </c>
      <c r="C3071" s="124" t="str">
        <f>IFERROR(INDEX(面试清单!D:D,MATCH(3070,面试清单!P:P,0)),"")</f>
        <v>0222</v>
      </c>
      <c r="D3071" s="11" t="s">
        <v>42</v>
      </c>
      <c r="E3071" s="11" t="s">
        <v>64</v>
      </c>
      <c r="F3071" s="11" t="s">
        <v>512</v>
      </c>
      <c r="G3071" s="15">
        <v>46184</v>
      </c>
      <c r="H3071" s="14" t="str">
        <f>IFERROR(INDEX(面试清单!H:H,MATCH(3070,面试清单!P:P,0)),"")</f>
        <v>线上</v>
      </c>
      <c r="I3071" s="13" t="s">
        <v>29</v>
      </c>
      <c r="J3071" s="14">
        <f ca="1" t="shared" si="142"/>
        <v>5</v>
      </c>
      <c r="K3071" s="14">
        <f ca="1" t="shared" si="143"/>
        <v>6</v>
      </c>
    </row>
    <row r="3072" ht="18" spans="1:11">
      <c r="A3072" s="10">
        <f t="shared" si="141"/>
        <v>3071</v>
      </c>
      <c r="B3072" s="11" t="s">
        <v>940</v>
      </c>
      <c r="C3072" s="10" t="str">
        <f>IFERROR(INDEX(面试清单!D:D,MATCH(3071,面试清单!P:P,0)),"")</f>
        <v/>
      </c>
      <c r="D3072" s="11" t="s">
        <v>43</v>
      </c>
      <c r="E3072" s="11" t="s">
        <v>64</v>
      </c>
      <c r="F3072" s="11" t="s">
        <v>179</v>
      </c>
      <c r="G3072" s="15">
        <v>46184</v>
      </c>
      <c r="H3072" s="10" t="str">
        <f>IFERROR(INDEX(面试清单!H:H,MATCH(3071,面试清单!P:P,0)),"")</f>
        <v/>
      </c>
      <c r="I3072" s="13" t="s">
        <v>29</v>
      </c>
      <c r="J3072" s="10">
        <f ca="1" t="shared" si="142"/>
        <v>5</v>
      </c>
      <c r="K3072" s="10">
        <f ca="1" t="shared" si="143"/>
        <v>6</v>
      </c>
    </row>
    <row r="3073" ht="18" spans="1:11">
      <c r="A3073" s="14">
        <f t="shared" si="141"/>
        <v>3072</v>
      </c>
      <c r="B3073" s="11" t="s">
        <v>941</v>
      </c>
      <c r="C3073" s="14" t="str">
        <f>IFERROR(INDEX(面试清单!D:D,MATCH(3072,面试清单!P:P,0)),"")</f>
        <v/>
      </c>
      <c r="D3073" s="11" t="s">
        <v>74</v>
      </c>
      <c r="E3073" s="11" t="s">
        <v>190</v>
      </c>
      <c r="F3073" s="11" t="s">
        <v>179</v>
      </c>
      <c r="G3073" s="15">
        <v>46184</v>
      </c>
      <c r="H3073" s="14" t="str">
        <f>IFERROR(INDEX(面试清单!H:H,MATCH(3072,面试清单!P:P,0)),"")</f>
        <v/>
      </c>
      <c r="I3073" s="13" t="s">
        <v>29</v>
      </c>
      <c r="J3073" s="14">
        <f ca="1" t="shared" si="142"/>
        <v>5</v>
      </c>
      <c r="K3073" s="14">
        <f ca="1" t="shared" si="143"/>
        <v>6</v>
      </c>
    </row>
    <row r="3074" ht="18" spans="1:11">
      <c r="A3074" s="10">
        <f t="shared" ref="A3074:A3137" si="144">IF(B3074&lt;&gt;"",ROW()-1,"")</f>
        <v>3073</v>
      </c>
      <c r="B3074" s="11" t="s">
        <v>942</v>
      </c>
      <c r="C3074" s="10" t="str">
        <f>IFERROR(INDEX(面试清单!D:D,MATCH(3073,面试清单!P:P,0)),"")</f>
        <v/>
      </c>
      <c r="D3074" s="11" t="s">
        <v>42</v>
      </c>
      <c r="E3074" s="11" t="s">
        <v>64</v>
      </c>
      <c r="F3074" s="11" t="s">
        <v>179</v>
      </c>
      <c r="G3074" s="15">
        <v>46184</v>
      </c>
      <c r="H3074" s="10" t="str">
        <f>IFERROR(INDEX(面试清单!H:H,MATCH(3073,面试清单!P:P,0)),"")</f>
        <v/>
      </c>
      <c r="I3074" s="13" t="s">
        <v>29</v>
      </c>
      <c r="J3074" s="10">
        <f ca="1" t="shared" ref="J3074:J3137" si="145">IF(G3074&lt;&gt;"",TODAY()-G3074,"")</f>
        <v>5</v>
      </c>
      <c r="K3074" s="10">
        <f ca="1" t="shared" ref="K3074:K3137" si="146">IF(G3074&lt;&gt;"",MAX(0,MIN(TODAY(),EOMONTH(TODAY(),0))-MAX(G3074,EOMONTH(TODAY(),-1)+1)+1),"")</f>
        <v>6</v>
      </c>
    </row>
    <row r="3075" ht="18" spans="1:11">
      <c r="A3075" s="14">
        <f t="shared" si="144"/>
        <v>3074</v>
      </c>
      <c r="B3075" s="11" t="s">
        <v>768</v>
      </c>
      <c r="C3075" s="14" t="str">
        <f>IFERROR(INDEX(面试清单!D:D,MATCH(3074,面试清单!P:P,0)),"")</f>
        <v/>
      </c>
      <c r="D3075" s="11" t="s">
        <v>42</v>
      </c>
      <c r="E3075" s="11" t="s">
        <v>64</v>
      </c>
      <c r="F3075" s="11" t="s">
        <v>179</v>
      </c>
      <c r="G3075" s="15">
        <v>46184</v>
      </c>
      <c r="H3075" s="14" t="str">
        <f>IFERROR(INDEX(面试清单!H:H,MATCH(3074,面试清单!P:P,0)),"")</f>
        <v/>
      </c>
      <c r="I3075" s="13" t="s">
        <v>29</v>
      </c>
      <c r="J3075" s="14">
        <f ca="1" t="shared" si="145"/>
        <v>5</v>
      </c>
      <c r="K3075" s="14">
        <f ca="1" t="shared" si="146"/>
        <v>6</v>
      </c>
    </row>
    <row r="3076" ht="18" spans="1:11">
      <c r="A3076" s="10">
        <f t="shared" si="144"/>
        <v>3075</v>
      </c>
      <c r="B3076" s="11" t="s">
        <v>893</v>
      </c>
      <c r="C3076" s="10" t="str">
        <f>IFERROR(INDEX(面试清单!D:D,MATCH(3075,面试清单!P:P,0)),"")</f>
        <v/>
      </c>
      <c r="D3076" s="11" t="s">
        <v>42</v>
      </c>
      <c r="E3076" s="11" t="s">
        <v>64</v>
      </c>
      <c r="F3076" s="11" t="s">
        <v>179</v>
      </c>
      <c r="G3076" s="15">
        <v>46184</v>
      </c>
      <c r="H3076" s="10" t="str">
        <f>IFERROR(INDEX(面试清单!H:H,MATCH(3075,面试清单!P:P,0)),"")</f>
        <v/>
      </c>
      <c r="I3076" s="13" t="s">
        <v>29</v>
      </c>
      <c r="J3076" s="10">
        <f ca="1" t="shared" si="145"/>
        <v>5</v>
      </c>
      <c r="K3076" s="10">
        <f ca="1" t="shared" si="146"/>
        <v>6</v>
      </c>
    </row>
    <row r="3077" ht="18" spans="1:11">
      <c r="A3077" s="14">
        <f t="shared" si="144"/>
        <v>3076</v>
      </c>
      <c r="B3077" s="11" t="s">
        <v>945</v>
      </c>
      <c r="C3077" s="14" t="str">
        <f>IFERROR(INDEX(面试清单!D:D,MATCH(3076,面试清单!P:P,0)),"")</f>
        <v/>
      </c>
      <c r="D3077" s="11" t="s">
        <v>42</v>
      </c>
      <c r="E3077" s="11" t="s">
        <v>64</v>
      </c>
      <c r="F3077" s="11" t="s">
        <v>179</v>
      </c>
      <c r="G3077" s="15">
        <v>46184</v>
      </c>
      <c r="H3077" s="14" t="str">
        <f>IFERROR(INDEX(面试清单!H:H,MATCH(3076,面试清单!P:P,0)),"")</f>
        <v/>
      </c>
      <c r="I3077" s="13" t="s">
        <v>29</v>
      </c>
      <c r="J3077" s="14">
        <f ca="1" t="shared" si="145"/>
        <v>5</v>
      </c>
      <c r="K3077" s="14">
        <f ca="1" t="shared" si="146"/>
        <v>6</v>
      </c>
    </row>
    <row r="3078" ht="18" spans="1:11">
      <c r="A3078" s="10">
        <f t="shared" si="144"/>
        <v>3077</v>
      </c>
      <c r="B3078" s="11" t="s">
        <v>946</v>
      </c>
      <c r="C3078" s="10" t="str">
        <f>IFERROR(INDEX(面试清单!D:D,MATCH(3077,面试清单!P:P,0)),"")</f>
        <v/>
      </c>
      <c r="D3078" s="11" t="s">
        <v>42</v>
      </c>
      <c r="E3078" s="11" t="s">
        <v>64</v>
      </c>
      <c r="F3078" s="11" t="s">
        <v>179</v>
      </c>
      <c r="G3078" s="15">
        <v>46184</v>
      </c>
      <c r="H3078" s="10" t="str">
        <f>IFERROR(INDEX(面试清单!H:H,MATCH(3077,面试清单!P:P,0)),"")</f>
        <v/>
      </c>
      <c r="I3078" s="13" t="s">
        <v>29</v>
      </c>
      <c r="J3078" s="10">
        <f ca="1" t="shared" si="145"/>
        <v>5</v>
      </c>
      <c r="K3078" s="10">
        <f ca="1" t="shared" si="146"/>
        <v>6</v>
      </c>
    </row>
    <row r="3079" ht="18" spans="1:11">
      <c r="A3079" s="14">
        <f t="shared" si="144"/>
        <v>3078</v>
      </c>
      <c r="B3079" s="11" t="s">
        <v>947</v>
      </c>
      <c r="C3079" s="14" t="str">
        <f>IFERROR(INDEX(面试清单!D:D,MATCH(3078,面试清单!P:P,0)),"")</f>
        <v/>
      </c>
      <c r="D3079" s="11" t="s">
        <v>43</v>
      </c>
      <c r="E3079" s="11" t="s">
        <v>62</v>
      </c>
      <c r="F3079" s="11" t="s">
        <v>179</v>
      </c>
      <c r="G3079" s="15">
        <v>46184</v>
      </c>
      <c r="H3079" s="14" t="str">
        <f>IFERROR(INDEX(面试清单!H:H,MATCH(3078,面试清单!P:P,0)),"")</f>
        <v/>
      </c>
      <c r="I3079" s="13" t="s">
        <v>29</v>
      </c>
      <c r="J3079" s="14">
        <f ca="1" t="shared" si="145"/>
        <v>5</v>
      </c>
      <c r="K3079" s="14">
        <f ca="1" t="shared" si="146"/>
        <v>6</v>
      </c>
    </row>
    <row r="3080" ht="18" spans="1:11">
      <c r="A3080" s="10">
        <f t="shared" si="144"/>
        <v>3079</v>
      </c>
      <c r="B3080" s="11" t="s">
        <v>949</v>
      </c>
      <c r="C3080" s="10" t="str">
        <f>IFERROR(INDEX(面试清单!D:D,MATCH(3079,面试清单!P:P,0)),"")</f>
        <v/>
      </c>
      <c r="D3080" s="11" t="s">
        <v>43</v>
      </c>
      <c r="E3080" s="11" t="s">
        <v>64</v>
      </c>
      <c r="F3080" s="11" t="s">
        <v>179</v>
      </c>
      <c r="G3080" s="15">
        <v>46184</v>
      </c>
      <c r="H3080" s="10" t="str">
        <f>IFERROR(INDEX(面试清单!H:H,MATCH(3079,面试清单!P:P,0)),"")</f>
        <v/>
      </c>
      <c r="I3080" s="13" t="s">
        <v>29</v>
      </c>
      <c r="J3080" s="10">
        <f ca="1" t="shared" si="145"/>
        <v>5</v>
      </c>
      <c r="K3080" s="10">
        <f ca="1" t="shared" si="146"/>
        <v>6</v>
      </c>
    </row>
    <row r="3081" ht="18" spans="1:11">
      <c r="A3081" s="14">
        <f t="shared" si="144"/>
        <v>3080</v>
      </c>
      <c r="B3081" s="11" t="s">
        <v>951</v>
      </c>
      <c r="C3081" s="14" t="str">
        <f>IFERROR(INDEX(面试清单!D:D,MATCH(3080,面试清单!P:P,0)),"")</f>
        <v/>
      </c>
      <c r="D3081" s="11" t="s">
        <v>74</v>
      </c>
      <c r="E3081" s="11" t="s">
        <v>64</v>
      </c>
      <c r="F3081" s="11" t="s">
        <v>135</v>
      </c>
      <c r="G3081" s="15">
        <v>46184</v>
      </c>
      <c r="H3081" s="14" t="str">
        <f>IFERROR(INDEX(面试清单!H:H,MATCH(3080,面试清单!P:P,0)),"")</f>
        <v/>
      </c>
      <c r="I3081" s="13" t="s">
        <v>29</v>
      </c>
      <c r="J3081" s="14">
        <f ca="1" t="shared" si="145"/>
        <v>5</v>
      </c>
      <c r="K3081" s="14">
        <f ca="1" t="shared" si="146"/>
        <v>6</v>
      </c>
    </row>
    <row r="3082" ht="36" spans="1:11">
      <c r="A3082" s="10">
        <f t="shared" si="144"/>
        <v>3081</v>
      </c>
      <c r="B3082" s="11" t="s">
        <v>6424</v>
      </c>
      <c r="C3082" s="125" t="str">
        <f>IFERROR(INDEX(面试清单!D:D,MATCH(3081,面试清单!P:P,0)),"")</f>
        <v>0209</v>
      </c>
      <c r="D3082" s="11" t="s">
        <v>43</v>
      </c>
      <c r="E3082" s="11" t="s">
        <v>64</v>
      </c>
      <c r="F3082" s="11" t="s">
        <v>179</v>
      </c>
      <c r="G3082" s="15">
        <v>46184</v>
      </c>
      <c r="H3082" s="10" t="str">
        <f>IFERROR(INDEX(面试清单!H:H,MATCH(3081,面试清单!P:P,0)),"")</f>
        <v>线上</v>
      </c>
      <c r="I3082" s="13" t="s">
        <v>29</v>
      </c>
      <c r="J3082" s="10">
        <f ca="1" t="shared" si="145"/>
        <v>5</v>
      </c>
      <c r="K3082" s="10">
        <f ca="1" t="shared" si="146"/>
        <v>6</v>
      </c>
    </row>
    <row r="3083" ht="18" spans="1:11">
      <c r="A3083" s="14">
        <f t="shared" si="144"/>
        <v>3082</v>
      </c>
      <c r="B3083" s="11" t="s">
        <v>925</v>
      </c>
      <c r="C3083" s="14" t="str">
        <f>IFERROR(INDEX(面试清单!D:D,MATCH(3082,面试清单!P:P,0)),"")</f>
        <v/>
      </c>
      <c r="D3083" s="11" t="s">
        <v>43</v>
      </c>
      <c r="E3083" s="11" t="s">
        <v>63</v>
      </c>
      <c r="F3083" s="11" t="s">
        <v>179</v>
      </c>
      <c r="G3083" s="15">
        <v>46184</v>
      </c>
      <c r="H3083" s="14" t="str">
        <f>IFERROR(INDEX(面试清单!H:H,MATCH(3082,面试清单!P:P,0)),"")</f>
        <v/>
      </c>
      <c r="I3083" s="13" t="s">
        <v>29</v>
      </c>
      <c r="J3083" s="14">
        <f ca="1" t="shared" si="145"/>
        <v>5</v>
      </c>
      <c r="K3083" s="14">
        <f ca="1" t="shared" si="146"/>
        <v>6</v>
      </c>
    </row>
    <row r="3084" ht="18" spans="1:11">
      <c r="A3084" s="10">
        <f t="shared" si="144"/>
        <v>3083</v>
      </c>
      <c r="B3084" s="11" t="s">
        <v>905</v>
      </c>
      <c r="C3084" s="10" t="str">
        <f>IFERROR(INDEX(面试清单!D:D,MATCH(3083,面试清单!P:P,0)),"")</f>
        <v/>
      </c>
      <c r="D3084" s="11" t="s">
        <v>42</v>
      </c>
      <c r="E3084" s="11" t="s">
        <v>64</v>
      </c>
      <c r="F3084" s="11" t="s">
        <v>179</v>
      </c>
      <c r="G3084" s="15">
        <v>46184</v>
      </c>
      <c r="H3084" s="10" t="str">
        <f>IFERROR(INDEX(面试清单!H:H,MATCH(3083,面试清单!P:P,0)),"")</f>
        <v/>
      </c>
      <c r="I3084" s="13" t="s">
        <v>29</v>
      </c>
      <c r="J3084" s="10">
        <f ca="1" t="shared" si="145"/>
        <v>5</v>
      </c>
      <c r="K3084" s="10">
        <f ca="1" t="shared" si="146"/>
        <v>6</v>
      </c>
    </row>
    <row r="3085" ht="18" spans="1:11">
      <c r="A3085" s="14">
        <f t="shared" si="144"/>
        <v>3084</v>
      </c>
      <c r="B3085" s="11" t="s">
        <v>6425</v>
      </c>
      <c r="C3085" s="14" t="str">
        <f>IFERROR(INDEX(面试清单!D:D,MATCH(3084,面试清单!P:P,0)),"")</f>
        <v/>
      </c>
      <c r="D3085" s="11" t="s">
        <v>43</v>
      </c>
      <c r="E3085" s="11" t="s">
        <v>62</v>
      </c>
      <c r="F3085" s="11" t="s">
        <v>233</v>
      </c>
      <c r="G3085" s="15">
        <v>46184</v>
      </c>
      <c r="H3085" s="14" t="str">
        <f>IFERROR(INDEX(面试清单!H:H,MATCH(3084,面试清单!P:P,0)),"")</f>
        <v/>
      </c>
      <c r="I3085" s="13" t="s">
        <v>29</v>
      </c>
      <c r="J3085" s="14">
        <f ca="1" t="shared" si="145"/>
        <v>5</v>
      </c>
      <c r="K3085" s="14">
        <f ca="1" t="shared" si="146"/>
        <v>6</v>
      </c>
    </row>
    <row r="3086" ht="18" spans="1:11">
      <c r="A3086" s="10">
        <f t="shared" si="144"/>
        <v>3085</v>
      </c>
      <c r="B3086" s="11" t="s">
        <v>6426</v>
      </c>
      <c r="C3086" s="10" t="str">
        <f>IFERROR(INDEX(面试清单!D:D,MATCH(3085,面试清单!P:P,0)),"")</f>
        <v/>
      </c>
      <c r="D3086" s="11" t="s">
        <v>42</v>
      </c>
      <c r="E3086" s="11" t="s">
        <v>64</v>
      </c>
      <c r="F3086" s="11" t="s">
        <v>103</v>
      </c>
      <c r="G3086" s="15">
        <v>46184</v>
      </c>
      <c r="H3086" s="10" t="str">
        <f>IFERROR(INDEX(面试清单!H:H,MATCH(3085,面试清单!P:P,0)),"")</f>
        <v/>
      </c>
      <c r="I3086" s="13" t="s">
        <v>29</v>
      </c>
      <c r="J3086" s="10">
        <f ca="1" t="shared" si="145"/>
        <v>5</v>
      </c>
      <c r="K3086" s="10">
        <f ca="1" t="shared" si="146"/>
        <v>6</v>
      </c>
    </row>
    <row r="3087" ht="18" spans="1:11">
      <c r="A3087" s="14">
        <f t="shared" si="144"/>
        <v>3086</v>
      </c>
      <c r="B3087" s="11" t="s">
        <v>1734</v>
      </c>
      <c r="C3087" s="14" t="str">
        <f>IFERROR(INDEX(面试清单!D:D,MATCH(3086,面试清单!P:P,0)),"")</f>
        <v/>
      </c>
      <c r="D3087" s="11" t="s">
        <v>43</v>
      </c>
      <c r="E3087" s="11" t="s">
        <v>62</v>
      </c>
      <c r="F3087" s="11" t="s">
        <v>129</v>
      </c>
      <c r="G3087" s="15">
        <v>46185</v>
      </c>
      <c r="H3087" s="14" t="str">
        <f>IFERROR(INDEX(面试清单!H:H,MATCH(3086,面试清单!P:P,0)),"")</f>
        <v/>
      </c>
      <c r="I3087" s="13" t="s">
        <v>29</v>
      </c>
      <c r="J3087" s="14">
        <f ca="1" t="shared" si="145"/>
        <v>4</v>
      </c>
      <c r="K3087" s="14">
        <f ca="1" t="shared" si="146"/>
        <v>5</v>
      </c>
    </row>
    <row r="3088" ht="18" spans="1:11">
      <c r="A3088" s="10">
        <f t="shared" si="144"/>
        <v>3087</v>
      </c>
      <c r="B3088" s="11" t="s">
        <v>1767</v>
      </c>
      <c r="C3088" s="10" t="str">
        <f>IFERROR(INDEX(面试清单!D:D,MATCH(3087,面试清单!P:P,0)),"")</f>
        <v/>
      </c>
      <c r="D3088" s="11" t="s">
        <v>42</v>
      </c>
      <c r="E3088" s="11" t="s">
        <v>62</v>
      </c>
      <c r="F3088" s="11" t="s">
        <v>129</v>
      </c>
      <c r="G3088" s="15">
        <v>46185</v>
      </c>
      <c r="H3088" s="10" t="str">
        <f>IFERROR(INDEX(面试清单!H:H,MATCH(3087,面试清单!P:P,0)),"")</f>
        <v/>
      </c>
      <c r="I3088" s="13" t="s">
        <v>29</v>
      </c>
      <c r="J3088" s="10">
        <f ca="1" t="shared" si="145"/>
        <v>4</v>
      </c>
      <c r="K3088" s="10">
        <f ca="1" t="shared" si="146"/>
        <v>5</v>
      </c>
    </row>
    <row r="3089" ht="18" spans="1:11">
      <c r="A3089" s="14">
        <f t="shared" si="144"/>
        <v>3088</v>
      </c>
      <c r="B3089" s="11" t="s">
        <v>6427</v>
      </c>
      <c r="C3089" s="14" t="str">
        <f>IFERROR(INDEX(面试清单!D:D,MATCH(3088,面试清单!P:P,0)),"")</f>
        <v/>
      </c>
      <c r="D3089" s="11" t="s">
        <v>42</v>
      </c>
      <c r="E3089" s="11" t="s">
        <v>63</v>
      </c>
      <c r="F3089" s="11" t="s">
        <v>6428</v>
      </c>
      <c r="G3089" s="15">
        <v>46185</v>
      </c>
      <c r="H3089" s="14" t="str">
        <f>IFERROR(INDEX(面试清单!H:H,MATCH(3088,面试清单!P:P,0)),"")</f>
        <v/>
      </c>
      <c r="I3089" s="13" t="s">
        <v>29</v>
      </c>
      <c r="J3089" s="14">
        <f ca="1" t="shared" si="145"/>
        <v>4</v>
      </c>
      <c r="K3089" s="14">
        <f ca="1" t="shared" si="146"/>
        <v>5</v>
      </c>
    </row>
    <row r="3090" ht="18" spans="1:11">
      <c r="A3090" s="10">
        <f t="shared" si="144"/>
        <v>3089</v>
      </c>
      <c r="B3090" s="11" t="s">
        <v>6429</v>
      </c>
      <c r="C3090" s="10" t="str">
        <f>IFERROR(INDEX(面试清单!D:D,MATCH(3089,面试清单!P:P,0)),"")</f>
        <v/>
      </c>
      <c r="D3090" s="11" t="s">
        <v>42</v>
      </c>
      <c r="E3090" s="11" t="s">
        <v>63</v>
      </c>
      <c r="F3090" s="11" t="s">
        <v>6428</v>
      </c>
      <c r="G3090" s="15">
        <v>46185</v>
      </c>
      <c r="H3090" s="10" t="str">
        <f>IFERROR(INDEX(面试清单!H:H,MATCH(3089,面试清单!P:P,0)),"")</f>
        <v/>
      </c>
      <c r="I3090" s="13" t="s">
        <v>29</v>
      </c>
      <c r="J3090" s="10">
        <f ca="1" t="shared" si="145"/>
        <v>4</v>
      </c>
      <c r="K3090" s="10">
        <f ca="1" t="shared" si="146"/>
        <v>5</v>
      </c>
    </row>
    <row r="3091" ht="18" spans="1:11">
      <c r="A3091" s="14">
        <f t="shared" si="144"/>
        <v>3090</v>
      </c>
      <c r="B3091" s="11" t="s">
        <v>6430</v>
      </c>
      <c r="C3091" s="14" t="str">
        <f>IFERROR(INDEX(面试清单!D:D,MATCH(3090,面试清单!P:P,0)),"")</f>
        <v/>
      </c>
      <c r="D3091" s="11" t="s">
        <v>42</v>
      </c>
      <c r="E3091" s="11" t="s">
        <v>63</v>
      </c>
      <c r="F3091" s="11" t="s">
        <v>6428</v>
      </c>
      <c r="G3091" s="15">
        <v>46185</v>
      </c>
      <c r="H3091" s="14" t="str">
        <f>IFERROR(INDEX(面试清单!H:H,MATCH(3090,面试清单!P:P,0)),"")</f>
        <v/>
      </c>
      <c r="I3091" s="13" t="s">
        <v>29</v>
      </c>
      <c r="J3091" s="14">
        <f ca="1" t="shared" si="145"/>
        <v>4</v>
      </c>
      <c r="K3091" s="14">
        <f ca="1" t="shared" si="146"/>
        <v>5</v>
      </c>
    </row>
    <row r="3092" ht="18" spans="1:11">
      <c r="A3092" s="10">
        <f t="shared" si="144"/>
        <v>3091</v>
      </c>
      <c r="B3092" s="11" t="s">
        <v>6431</v>
      </c>
      <c r="C3092" s="10" t="str">
        <f>IFERROR(INDEX(面试清单!D:D,MATCH(3091,面试清单!P:P,0)),"")</f>
        <v/>
      </c>
      <c r="D3092" s="11" t="s">
        <v>42</v>
      </c>
      <c r="E3092" s="11" t="s">
        <v>63</v>
      </c>
      <c r="F3092" s="11" t="s">
        <v>6428</v>
      </c>
      <c r="G3092" s="15">
        <v>46185</v>
      </c>
      <c r="H3092" s="10" t="str">
        <f>IFERROR(INDEX(面试清单!H:H,MATCH(3091,面试清单!P:P,0)),"")</f>
        <v/>
      </c>
      <c r="I3092" s="13" t="s">
        <v>29</v>
      </c>
      <c r="J3092" s="10">
        <f ca="1" t="shared" si="145"/>
        <v>4</v>
      </c>
      <c r="K3092" s="10">
        <f ca="1" t="shared" si="146"/>
        <v>5</v>
      </c>
    </row>
    <row r="3093" ht="18" spans="1:11">
      <c r="A3093" s="14">
        <f t="shared" si="144"/>
        <v>3092</v>
      </c>
      <c r="B3093" s="11" t="s">
        <v>6432</v>
      </c>
      <c r="C3093" s="14" t="str">
        <f>IFERROR(INDEX(面试清单!D:D,MATCH(3092,面试清单!P:P,0)),"")</f>
        <v/>
      </c>
      <c r="D3093" s="11" t="s">
        <v>42</v>
      </c>
      <c r="E3093" s="11" t="s">
        <v>63</v>
      </c>
      <c r="F3093" s="11" t="s">
        <v>6428</v>
      </c>
      <c r="G3093" s="15">
        <v>46185</v>
      </c>
      <c r="H3093" s="14" t="str">
        <f>IFERROR(INDEX(面试清单!H:H,MATCH(3092,面试清单!P:P,0)),"")</f>
        <v/>
      </c>
      <c r="I3093" s="13" t="s">
        <v>29</v>
      </c>
      <c r="J3093" s="14">
        <f ca="1" t="shared" si="145"/>
        <v>4</v>
      </c>
      <c r="K3093" s="14">
        <f ca="1" t="shared" si="146"/>
        <v>5</v>
      </c>
    </row>
    <row r="3094" ht="18" spans="1:11">
      <c r="A3094" s="10">
        <f t="shared" si="144"/>
        <v>3093</v>
      </c>
      <c r="B3094" s="11" t="s">
        <v>6433</v>
      </c>
      <c r="C3094" s="10" t="str">
        <f>IFERROR(INDEX(面试清单!D:D,MATCH(3093,面试清单!P:P,0)),"")</f>
        <v/>
      </c>
      <c r="D3094" s="11" t="s">
        <v>42</v>
      </c>
      <c r="E3094" s="11" t="s">
        <v>63</v>
      </c>
      <c r="F3094" s="11" t="s">
        <v>6428</v>
      </c>
      <c r="G3094" s="15">
        <v>46185</v>
      </c>
      <c r="H3094" s="10" t="str">
        <f>IFERROR(INDEX(面试清单!H:H,MATCH(3093,面试清单!P:P,0)),"")</f>
        <v/>
      </c>
      <c r="I3094" s="13" t="s">
        <v>29</v>
      </c>
      <c r="J3094" s="10">
        <f ca="1" t="shared" si="145"/>
        <v>4</v>
      </c>
      <c r="K3094" s="10">
        <f ca="1" t="shared" si="146"/>
        <v>5</v>
      </c>
    </row>
    <row r="3095" ht="18" spans="1:11">
      <c r="A3095" s="14">
        <f t="shared" si="144"/>
        <v>3094</v>
      </c>
      <c r="B3095" s="11" t="s">
        <v>6434</v>
      </c>
      <c r="C3095" s="14" t="str">
        <f>IFERROR(INDEX(面试清单!D:D,MATCH(3094,面试清单!P:P,0)),"")</f>
        <v/>
      </c>
      <c r="D3095" s="11" t="s">
        <v>42</v>
      </c>
      <c r="E3095" s="11" t="s">
        <v>63</v>
      </c>
      <c r="F3095" s="11" t="s">
        <v>6428</v>
      </c>
      <c r="G3095" s="15">
        <v>46185</v>
      </c>
      <c r="H3095" s="14" t="str">
        <f>IFERROR(INDEX(面试清单!H:H,MATCH(3094,面试清单!P:P,0)),"")</f>
        <v/>
      </c>
      <c r="I3095" s="13" t="s">
        <v>29</v>
      </c>
      <c r="J3095" s="14">
        <f ca="1" t="shared" si="145"/>
        <v>4</v>
      </c>
      <c r="K3095" s="14">
        <f ca="1" t="shared" si="146"/>
        <v>5</v>
      </c>
    </row>
    <row r="3096" ht="18" spans="1:11">
      <c r="A3096" s="10">
        <f t="shared" si="144"/>
        <v>3095</v>
      </c>
      <c r="B3096" s="11" t="s">
        <v>6435</v>
      </c>
      <c r="C3096" s="10" t="str">
        <f>IFERROR(INDEX(面试清单!D:D,MATCH(3095,面试清单!P:P,0)),"")</f>
        <v/>
      </c>
      <c r="D3096" s="11" t="s">
        <v>42</v>
      </c>
      <c r="E3096" s="11" t="s">
        <v>63</v>
      </c>
      <c r="F3096" s="11" t="s">
        <v>6428</v>
      </c>
      <c r="G3096" s="15">
        <v>46185</v>
      </c>
      <c r="H3096" s="10" t="str">
        <f>IFERROR(INDEX(面试清单!H:H,MATCH(3095,面试清单!P:P,0)),"")</f>
        <v/>
      </c>
      <c r="I3096" s="13" t="s">
        <v>29</v>
      </c>
      <c r="J3096" s="10">
        <f ca="1" t="shared" si="145"/>
        <v>4</v>
      </c>
      <c r="K3096" s="10">
        <f ca="1" t="shared" si="146"/>
        <v>5</v>
      </c>
    </row>
    <row r="3097" ht="18" spans="1:11">
      <c r="A3097" s="14">
        <f t="shared" si="144"/>
        <v>3096</v>
      </c>
      <c r="B3097" s="11" t="s">
        <v>6436</v>
      </c>
      <c r="C3097" s="14" t="str">
        <f>IFERROR(INDEX(面试清单!D:D,MATCH(3096,面试清单!P:P,0)),"")</f>
        <v/>
      </c>
      <c r="D3097" s="11" t="s">
        <v>42</v>
      </c>
      <c r="E3097" s="11" t="s">
        <v>63</v>
      </c>
      <c r="F3097" s="11" t="s">
        <v>6428</v>
      </c>
      <c r="G3097" s="15">
        <v>46185</v>
      </c>
      <c r="H3097" s="14" t="str">
        <f>IFERROR(INDEX(面试清单!H:H,MATCH(3096,面试清单!P:P,0)),"")</f>
        <v/>
      </c>
      <c r="I3097" s="13" t="s">
        <v>29</v>
      </c>
      <c r="J3097" s="14">
        <f ca="1" t="shared" si="145"/>
        <v>4</v>
      </c>
      <c r="K3097" s="14">
        <f ca="1" t="shared" si="146"/>
        <v>5</v>
      </c>
    </row>
    <row r="3098" ht="18" spans="1:11">
      <c r="A3098" s="10">
        <f t="shared" si="144"/>
        <v>3097</v>
      </c>
      <c r="B3098" s="11" t="s">
        <v>3088</v>
      </c>
      <c r="C3098" s="10" t="str">
        <f>IFERROR(INDEX(面试清单!D:D,MATCH(3097,面试清单!P:P,0)),"")</f>
        <v/>
      </c>
      <c r="D3098" s="11" t="s">
        <v>42</v>
      </c>
      <c r="E3098" s="11" t="s">
        <v>63</v>
      </c>
      <c r="F3098" s="11" t="s">
        <v>6428</v>
      </c>
      <c r="G3098" s="15">
        <v>46185</v>
      </c>
      <c r="H3098" s="10" t="str">
        <f>IFERROR(INDEX(面试清单!H:H,MATCH(3097,面试清单!P:P,0)),"")</f>
        <v/>
      </c>
      <c r="I3098" s="13" t="s">
        <v>29</v>
      </c>
      <c r="J3098" s="10">
        <f ca="1" t="shared" si="145"/>
        <v>4</v>
      </c>
      <c r="K3098" s="10">
        <f ca="1" t="shared" si="146"/>
        <v>5</v>
      </c>
    </row>
    <row r="3099" ht="18" spans="1:11">
      <c r="A3099" s="14">
        <f t="shared" si="144"/>
        <v>3098</v>
      </c>
      <c r="B3099" s="11" t="s">
        <v>6437</v>
      </c>
      <c r="C3099" s="14" t="str">
        <f>IFERROR(INDEX(面试清单!D:D,MATCH(3098,面试清单!P:P,0)),"")</f>
        <v/>
      </c>
      <c r="D3099" s="11" t="s">
        <v>42</v>
      </c>
      <c r="E3099" s="11" t="s">
        <v>63</v>
      </c>
      <c r="F3099" s="11" t="s">
        <v>6428</v>
      </c>
      <c r="G3099" s="15">
        <v>46185</v>
      </c>
      <c r="H3099" s="14" t="str">
        <f>IFERROR(INDEX(面试清单!H:H,MATCH(3098,面试清单!P:P,0)),"")</f>
        <v/>
      </c>
      <c r="I3099" s="13" t="s">
        <v>29</v>
      </c>
      <c r="J3099" s="14">
        <f ca="1" t="shared" si="145"/>
        <v>4</v>
      </c>
      <c r="K3099" s="14">
        <f ca="1" t="shared" si="146"/>
        <v>5</v>
      </c>
    </row>
    <row r="3100" ht="18" spans="1:11">
      <c r="A3100" s="10">
        <f t="shared" si="144"/>
        <v>3099</v>
      </c>
      <c r="B3100" s="11" t="s">
        <v>6438</v>
      </c>
      <c r="C3100" s="10" t="str">
        <f>IFERROR(INDEX(面试清单!D:D,MATCH(3099,面试清单!P:P,0)),"")</f>
        <v/>
      </c>
      <c r="D3100" s="11" t="s">
        <v>42</v>
      </c>
      <c r="E3100" s="11" t="s">
        <v>63</v>
      </c>
      <c r="F3100" s="11" t="s">
        <v>6428</v>
      </c>
      <c r="G3100" s="15">
        <v>46185</v>
      </c>
      <c r="H3100" s="10" t="str">
        <f>IFERROR(INDEX(面试清单!H:H,MATCH(3099,面试清单!P:P,0)),"")</f>
        <v/>
      </c>
      <c r="I3100" s="13" t="s">
        <v>29</v>
      </c>
      <c r="J3100" s="10">
        <f ca="1" t="shared" si="145"/>
        <v>4</v>
      </c>
      <c r="K3100" s="10">
        <f ca="1" t="shared" si="146"/>
        <v>5</v>
      </c>
    </row>
    <row r="3101" ht="18" spans="1:11">
      <c r="A3101" s="14">
        <f t="shared" si="144"/>
        <v>3100</v>
      </c>
      <c r="B3101" s="11" t="s">
        <v>6439</v>
      </c>
      <c r="C3101" s="14" t="str">
        <f>IFERROR(INDEX(面试清单!D:D,MATCH(3100,面试清单!P:P,0)),"")</f>
        <v/>
      </c>
      <c r="D3101" s="11" t="s">
        <v>42</v>
      </c>
      <c r="E3101" s="11" t="s">
        <v>63</v>
      </c>
      <c r="F3101" s="11" t="s">
        <v>6428</v>
      </c>
      <c r="G3101" s="15">
        <v>46185</v>
      </c>
      <c r="H3101" s="14" t="str">
        <f>IFERROR(INDEX(面试清单!H:H,MATCH(3100,面试清单!P:P,0)),"")</f>
        <v/>
      </c>
      <c r="I3101" s="13" t="s">
        <v>29</v>
      </c>
      <c r="J3101" s="14">
        <f ca="1" t="shared" si="145"/>
        <v>4</v>
      </c>
      <c r="K3101" s="14">
        <f ca="1" t="shared" si="146"/>
        <v>5</v>
      </c>
    </row>
    <row r="3102" ht="18" spans="1:11">
      <c r="A3102" s="10">
        <f t="shared" si="144"/>
        <v>3101</v>
      </c>
      <c r="B3102" s="11" t="s">
        <v>6440</v>
      </c>
      <c r="C3102" s="10" t="str">
        <f>IFERROR(INDEX(面试清单!D:D,MATCH(3101,面试清单!P:P,0)),"")</f>
        <v/>
      </c>
      <c r="D3102" s="11" t="s">
        <v>42</v>
      </c>
      <c r="E3102" s="11" t="s">
        <v>63</v>
      </c>
      <c r="F3102" s="11" t="s">
        <v>6428</v>
      </c>
      <c r="G3102" s="15">
        <v>46185</v>
      </c>
      <c r="H3102" s="10" t="str">
        <f>IFERROR(INDEX(面试清单!H:H,MATCH(3101,面试清单!P:P,0)),"")</f>
        <v/>
      </c>
      <c r="I3102" s="13" t="s">
        <v>29</v>
      </c>
      <c r="J3102" s="10">
        <f ca="1" t="shared" si="145"/>
        <v>4</v>
      </c>
      <c r="K3102" s="10">
        <f ca="1" t="shared" si="146"/>
        <v>5</v>
      </c>
    </row>
    <row r="3103" ht="18" spans="1:11">
      <c r="A3103" s="14">
        <f t="shared" si="144"/>
        <v>3102</v>
      </c>
      <c r="B3103" s="11" t="s">
        <v>6441</v>
      </c>
      <c r="C3103" s="14" t="str">
        <f>IFERROR(INDEX(面试清单!D:D,MATCH(3102,面试清单!P:P,0)),"")</f>
        <v/>
      </c>
      <c r="D3103" s="11" t="s">
        <v>42</v>
      </c>
      <c r="E3103" s="11" t="s">
        <v>63</v>
      </c>
      <c r="F3103" s="11" t="s">
        <v>6428</v>
      </c>
      <c r="G3103" s="15">
        <v>46185</v>
      </c>
      <c r="H3103" s="14" t="str">
        <f>IFERROR(INDEX(面试清单!H:H,MATCH(3102,面试清单!P:P,0)),"")</f>
        <v/>
      </c>
      <c r="I3103" s="13" t="s">
        <v>29</v>
      </c>
      <c r="J3103" s="14">
        <f ca="1" t="shared" si="145"/>
        <v>4</v>
      </c>
      <c r="K3103" s="14">
        <f ca="1" t="shared" si="146"/>
        <v>5</v>
      </c>
    </row>
    <row r="3104" ht="18" spans="1:11">
      <c r="A3104" s="10">
        <f t="shared" si="144"/>
        <v>3103</v>
      </c>
      <c r="B3104" s="11" t="s">
        <v>6442</v>
      </c>
      <c r="C3104" s="10" t="str">
        <f>IFERROR(INDEX(面试清单!D:D,MATCH(3103,面试清单!P:P,0)),"")</f>
        <v/>
      </c>
      <c r="D3104" s="11" t="s">
        <v>42</v>
      </c>
      <c r="E3104" s="11" t="s">
        <v>63</v>
      </c>
      <c r="F3104" s="11" t="s">
        <v>6428</v>
      </c>
      <c r="G3104" s="15">
        <v>46185</v>
      </c>
      <c r="H3104" s="10" t="str">
        <f>IFERROR(INDEX(面试清单!H:H,MATCH(3103,面试清单!P:P,0)),"")</f>
        <v/>
      </c>
      <c r="I3104" s="13" t="s">
        <v>29</v>
      </c>
      <c r="J3104" s="10">
        <f ca="1" t="shared" si="145"/>
        <v>4</v>
      </c>
      <c r="K3104" s="10">
        <f ca="1" t="shared" si="146"/>
        <v>5</v>
      </c>
    </row>
    <row r="3105" ht="18" spans="1:11">
      <c r="A3105" s="14">
        <f t="shared" si="144"/>
        <v>3104</v>
      </c>
      <c r="B3105" s="11" t="s">
        <v>6443</v>
      </c>
      <c r="C3105" s="14" t="str">
        <f>IFERROR(INDEX(面试清单!D:D,MATCH(3104,面试清单!P:P,0)),"")</f>
        <v/>
      </c>
      <c r="D3105" s="11" t="s">
        <v>42</v>
      </c>
      <c r="E3105" s="11" t="s">
        <v>63</v>
      </c>
      <c r="F3105" s="11" t="s">
        <v>6428</v>
      </c>
      <c r="G3105" s="15">
        <v>46185</v>
      </c>
      <c r="H3105" s="14" t="str">
        <f>IFERROR(INDEX(面试清单!H:H,MATCH(3104,面试清单!P:P,0)),"")</f>
        <v/>
      </c>
      <c r="I3105" s="13" t="s">
        <v>29</v>
      </c>
      <c r="J3105" s="14">
        <f ca="1" t="shared" si="145"/>
        <v>4</v>
      </c>
      <c r="K3105" s="14">
        <f ca="1" t="shared" si="146"/>
        <v>5</v>
      </c>
    </row>
    <row r="3106" ht="18" spans="1:11">
      <c r="A3106" s="10">
        <f t="shared" si="144"/>
        <v>3105</v>
      </c>
      <c r="B3106" s="11" t="s">
        <v>6444</v>
      </c>
      <c r="C3106" s="10" t="str">
        <f>IFERROR(INDEX(面试清单!D:D,MATCH(3105,面试清单!P:P,0)),"")</f>
        <v/>
      </c>
      <c r="D3106" s="11" t="s">
        <v>42</v>
      </c>
      <c r="E3106" s="11" t="s">
        <v>63</v>
      </c>
      <c r="F3106" s="11" t="s">
        <v>6428</v>
      </c>
      <c r="G3106" s="15">
        <v>46185</v>
      </c>
      <c r="H3106" s="10" t="str">
        <f>IFERROR(INDEX(面试清单!H:H,MATCH(3105,面试清单!P:P,0)),"")</f>
        <v/>
      </c>
      <c r="I3106" s="13" t="s">
        <v>29</v>
      </c>
      <c r="J3106" s="10">
        <f ca="1" t="shared" si="145"/>
        <v>4</v>
      </c>
      <c r="K3106" s="10">
        <f ca="1" t="shared" si="146"/>
        <v>5</v>
      </c>
    </row>
    <row r="3107" ht="18" spans="1:11">
      <c r="A3107" s="14">
        <f t="shared" si="144"/>
        <v>3106</v>
      </c>
      <c r="B3107" s="11" t="s">
        <v>6445</v>
      </c>
      <c r="C3107" s="14" t="str">
        <f>IFERROR(INDEX(面试清单!D:D,MATCH(3106,面试清单!P:P,0)),"")</f>
        <v/>
      </c>
      <c r="D3107" s="11" t="s">
        <v>42</v>
      </c>
      <c r="E3107" s="11" t="s">
        <v>63</v>
      </c>
      <c r="F3107" s="11" t="s">
        <v>6428</v>
      </c>
      <c r="G3107" s="15">
        <v>46185</v>
      </c>
      <c r="H3107" s="14" t="str">
        <f>IFERROR(INDEX(面试清单!H:H,MATCH(3106,面试清单!P:P,0)),"")</f>
        <v/>
      </c>
      <c r="I3107" s="13" t="s">
        <v>29</v>
      </c>
      <c r="J3107" s="14">
        <f ca="1" t="shared" si="145"/>
        <v>4</v>
      </c>
      <c r="K3107" s="14">
        <f ca="1" t="shared" si="146"/>
        <v>5</v>
      </c>
    </row>
    <row r="3108" ht="18" spans="1:11">
      <c r="A3108" s="10">
        <f t="shared" si="144"/>
        <v>3107</v>
      </c>
      <c r="B3108" s="11" t="s">
        <v>6446</v>
      </c>
      <c r="C3108" s="10" t="str">
        <f>IFERROR(INDEX(面试清单!D:D,MATCH(3107,面试清单!P:P,0)),"")</f>
        <v/>
      </c>
      <c r="D3108" s="11" t="s">
        <v>42</v>
      </c>
      <c r="E3108" s="11" t="s">
        <v>63</v>
      </c>
      <c r="F3108" s="11" t="s">
        <v>6428</v>
      </c>
      <c r="G3108" s="15">
        <v>46185</v>
      </c>
      <c r="H3108" s="10" t="str">
        <f>IFERROR(INDEX(面试清单!H:H,MATCH(3107,面试清单!P:P,0)),"")</f>
        <v/>
      </c>
      <c r="I3108" s="13" t="s">
        <v>29</v>
      </c>
      <c r="J3108" s="10">
        <f ca="1" t="shared" si="145"/>
        <v>4</v>
      </c>
      <c r="K3108" s="10">
        <f ca="1" t="shared" si="146"/>
        <v>5</v>
      </c>
    </row>
    <row r="3109" ht="18" spans="1:11">
      <c r="A3109" s="14">
        <f t="shared" si="144"/>
        <v>3108</v>
      </c>
      <c r="B3109" s="11" t="s">
        <v>6447</v>
      </c>
      <c r="C3109" s="14" t="str">
        <f>IFERROR(INDEX(面试清单!D:D,MATCH(3108,面试清单!P:P,0)),"")</f>
        <v/>
      </c>
      <c r="D3109" s="11" t="s">
        <v>42</v>
      </c>
      <c r="E3109" s="11" t="s">
        <v>63</v>
      </c>
      <c r="F3109" s="11" t="s">
        <v>6428</v>
      </c>
      <c r="G3109" s="15">
        <v>46185</v>
      </c>
      <c r="H3109" s="14" t="str">
        <f>IFERROR(INDEX(面试清单!H:H,MATCH(3108,面试清单!P:P,0)),"")</f>
        <v/>
      </c>
      <c r="I3109" s="13" t="s">
        <v>29</v>
      </c>
      <c r="J3109" s="14">
        <f ca="1" t="shared" si="145"/>
        <v>4</v>
      </c>
      <c r="K3109" s="14">
        <f ca="1" t="shared" si="146"/>
        <v>5</v>
      </c>
    </row>
    <row r="3110" ht="18" spans="1:11">
      <c r="A3110" s="10">
        <f t="shared" si="144"/>
        <v>3109</v>
      </c>
      <c r="B3110" s="11" t="s">
        <v>6448</v>
      </c>
      <c r="C3110" s="10" t="str">
        <f>IFERROR(INDEX(面试清单!D:D,MATCH(3109,面试清单!P:P,0)),"")</f>
        <v/>
      </c>
      <c r="D3110" s="11" t="s">
        <v>42</v>
      </c>
      <c r="E3110" s="11" t="s">
        <v>63</v>
      </c>
      <c r="F3110" s="11" t="s">
        <v>6428</v>
      </c>
      <c r="G3110" s="15">
        <v>46185</v>
      </c>
      <c r="H3110" s="10" t="str">
        <f>IFERROR(INDEX(面试清单!H:H,MATCH(3109,面试清单!P:P,0)),"")</f>
        <v/>
      </c>
      <c r="I3110" s="13" t="s">
        <v>29</v>
      </c>
      <c r="J3110" s="10">
        <f ca="1" t="shared" si="145"/>
        <v>4</v>
      </c>
      <c r="K3110" s="10">
        <f ca="1" t="shared" si="146"/>
        <v>5</v>
      </c>
    </row>
    <row r="3111" ht="18" spans="1:11">
      <c r="A3111" s="14">
        <f t="shared" si="144"/>
        <v>3110</v>
      </c>
      <c r="B3111" s="11" t="s">
        <v>1777</v>
      </c>
      <c r="C3111" s="14" t="str">
        <f>IFERROR(INDEX(面试清单!D:D,MATCH(3110,面试清单!P:P,0)),"")</f>
        <v/>
      </c>
      <c r="D3111" s="11" t="s">
        <v>42</v>
      </c>
      <c r="E3111" s="11" t="s">
        <v>63</v>
      </c>
      <c r="F3111" s="11" t="s">
        <v>6428</v>
      </c>
      <c r="G3111" s="15">
        <v>46185</v>
      </c>
      <c r="H3111" s="14" t="str">
        <f>IFERROR(INDEX(面试清单!H:H,MATCH(3110,面试清单!P:P,0)),"")</f>
        <v/>
      </c>
      <c r="I3111" s="13" t="s">
        <v>29</v>
      </c>
      <c r="J3111" s="14">
        <f ca="1" t="shared" si="145"/>
        <v>4</v>
      </c>
      <c r="K3111" s="14">
        <f ca="1" t="shared" si="146"/>
        <v>5</v>
      </c>
    </row>
    <row r="3112" ht="18" spans="1:11">
      <c r="A3112" s="10">
        <f t="shared" si="144"/>
        <v>3111</v>
      </c>
      <c r="B3112" s="11" t="s">
        <v>6449</v>
      </c>
      <c r="C3112" s="10" t="str">
        <f>IFERROR(INDEX(面试清单!D:D,MATCH(3111,面试清单!P:P,0)),"")</f>
        <v/>
      </c>
      <c r="D3112" s="11" t="s">
        <v>42</v>
      </c>
      <c r="E3112" s="11" t="s">
        <v>63</v>
      </c>
      <c r="F3112" s="11" t="s">
        <v>6428</v>
      </c>
      <c r="G3112" s="15">
        <v>46185</v>
      </c>
      <c r="H3112" s="10" t="str">
        <f>IFERROR(INDEX(面试清单!H:H,MATCH(3111,面试清单!P:P,0)),"")</f>
        <v/>
      </c>
      <c r="I3112" s="13" t="s">
        <v>29</v>
      </c>
      <c r="J3112" s="10">
        <f ca="1" t="shared" si="145"/>
        <v>4</v>
      </c>
      <c r="K3112" s="10">
        <f ca="1" t="shared" si="146"/>
        <v>5</v>
      </c>
    </row>
    <row r="3113" ht="18" spans="1:11">
      <c r="A3113" s="14">
        <f t="shared" si="144"/>
        <v>3112</v>
      </c>
      <c r="B3113" s="11" t="s">
        <v>6450</v>
      </c>
      <c r="C3113" s="14" t="str">
        <f>IFERROR(INDEX(面试清单!D:D,MATCH(3112,面试清单!P:P,0)),"")</f>
        <v/>
      </c>
      <c r="D3113" s="11" t="s">
        <v>42</v>
      </c>
      <c r="E3113" s="11" t="s">
        <v>63</v>
      </c>
      <c r="F3113" s="11" t="s">
        <v>6428</v>
      </c>
      <c r="G3113" s="15">
        <v>46185</v>
      </c>
      <c r="H3113" s="14" t="str">
        <f>IFERROR(INDEX(面试清单!H:H,MATCH(3112,面试清单!P:P,0)),"")</f>
        <v/>
      </c>
      <c r="I3113" s="13" t="s">
        <v>29</v>
      </c>
      <c r="J3113" s="14">
        <f ca="1" t="shared" si="145"/>
        <v>4</v>
      </c>
      <c r="K3113" s="14">
        <f ca="1" t="shared" si="146"/>
        <v>5</v>
      </c>
    </row>
    <row r="3114" ht="18" spans="1:11">
      <c r="A3114" s="10">
        <f t="shared" si="144"/>
        <v>3113</v>
      </c>
      <c r="B3114" s="11" t="s">
        <v>6451</v>
      </c>
      <c r="C3114" s="10" t="str">
        <f>IFERROR(INDEX(面试清单!D:D,MATCH(3113,面试清单!P:P,0)),"")</f>
        <v/>
      </c>
      <c r="D3114" s="11" t="s">
        <v>42</v>
      </c>
      <c r="E3114" s="11" t="s">
        <v>63</v>
      </c>
      <c r="F3114" s="11" t="s">
        <v>6428</v>
      </c>
      <c r="G3114" s="15">
        <v>46185</v>
      </c>
      <c r="H3114" s="10" t="str">
        <f>IFERROR(INDEX(面试清单!H:H,MATCH(3113,面试清单!P:P,0)),"")</f>
        <v/>
      </c>
      <c r="I3114" s="13" t="s">
        <v>29</v>
      </c>
      <c r="J3114" s="10">
        <f ca="1" t="shared" si="145"/>
        <v>4</v>
      </c>
      <c r="K3114" s="10">
        <f ca="1" t="shared" si="146"/>
        <v>5</v>
      </c>
    </row>
    <row r="3115" ht="18" spans="1:11">
      <c r="A3115" s="14">
        <f t="shared" si="144"/>
        <v>3114</v>
      </c>
      <c r="B3115" s="11" t="s">
        <v>6452</v>
      </c>
      <c r="C3115" s="14" t="str">
        <f>IFERROR(INDEX(面试清单!D:D,MATCH(3114,面试清单!P:P,0)),"")</f>
        <v/>
      </c>
      <c r="D3115" s="11" t="s">
        <v>42</v>
      </c>
      <c r="E3115" s="11" t="s">
        <v>63</v>
      </c>
      <c r="F3115" s="11" t="s">
        <v>6428</v>
      </c>
      <c r="G3115" s="15">
        <v>46185</v>
      </c>
      <c r="H3115" s="14" t="str">
        <f>IFERROR(INDEX(面试清单!H:H,MATCH(3114,面试清单!P:P,0)),"")</f>
        <v/>
      </c>
      <c r="I3115" s="13" t="s">
        <v>29</v>
      </c>
      <c r="J3115" s="14">
        <f ca="1" t="shared" si="145"/>
        <v>4</v>
      </c>
      <c r="K3115" s="14">
        <f ca="1" t="shared" si="146"/>
        <v>5</v>
      </c>
    </row>
    <row r="3116" ht="18" spans="1:11">
      <c r="A3116" s="10">
        <f t="shared" si="144"/>
        <v>3115</v>
      </c>
      <c r="B3116" s="11" t="s">
        <v>6453</v>
      </c>
      <c r="C3116" s="125" t="str">
        <f>IFERROR(INDEX(面试清单!D:D,MATCH(3115,面试清单!P:P,0)),"")</f>
        <v>0221</v>
      </c>
      <c r="D3116" s="11" t="s">
        <v>42</v>
      </c>
      <c r="E3116" s="11" t="s">
        <v>63</v>
      </c>
      <c r="F3116" s="11" t="s">
        <v>6428</v>
      </c>
      <c r="G3116" s="15">
        <v>46185</v>
      </c>
      <c r="H3116" s="10" t="str">
        <f>IFERROR(INDEX(面试清单!H:H,MATCH(3115,面试清单!P:P,0)),"")</f>
        <v>线下</v>
      </c>
      <c r="I3116" s="13" t="s">
        <v>29</v>
      </c>
      <c r="J3116" s="10">
        <f ca="1" t="shared" si="145"/>
        <v>4</v>
      </c>
      <c r="K3116" s="10">
        <f ca="1" t="shared" si="146"/>
        <v>5</v>
      </c>
    </row>
    <row r="3117" ht="18" spans="1:11">
      <c r="A3117" s="14">
        <f t="shared" si="144"/>
        <v>3116</v>
      </c>
      <c r="B3117" s="11" t="s">
        <v>6454</v>
      </c>
      <c r="C3117" s="14" t="str">
        <f>IFERROR(INDEX(面试清单!D:D,MATCH(3116,面试清单!P:P,0)),"")</f>
        <v/>
      </c>
      <c r="D3117" s="11" t="s">
        <v>42</v>
      </c>
      <c r="E3117" s="11" t="s">
        <v>63</v>
      </c>
      <c r="F3117" s="11" t="s">
        <v>6428</v>
      </c>
      <c r="G3117" s="15">
        <v>46185</v>
      </c>
      <c r="H3117" s="14" t="str">
        <f>IFERROR(INDEX(面试清单!H:H,MATCH(3116,面试清单!P:P,0)),"")</f>
        <v/>
      </c>
      <c r="I3117" s="13" t="s">
        <v>29</v>
      </c>
      <c r="J3117" s="14">
        <f ca="1" t="shared" si="145"/>
        <v>4</v>
      </c>
      <c r="K3117" s="14">
        <f ca="1" t="shared" si="146"/>
        <v>5</v>
      </c>
    </row>
    <row r="3118" ht="18" spans="1:11">
      <c r="A3118" s="10">
        <f t="shared" si="144"/>
        <v>3117</v>
      </c>
      <c r="B3118" s="11" t="s">
        <v>6455</v>
      </c>
      <c r="C3118" s="10" t="str">
        <f>IFERROR(INDEX(面试清单!D:D,MATCH(3117,面试清单!P:P,0)),"")</f>
        <v/>
      </c>
      <c r="D3118" s="11" t="s">
        <v>42</v>
      </c>
      <c r="E3118" s="11" t="s">
        <v>63</v>
      </c>
      <c r="F3118" s="11" t="s">
        <v>6428</v>
      </c>
      <c r="G3118" s="15">
        <v>46185</v>
      </c>
      <c r="H3118" s="10" t="str">
        <f>IFERROR(INDEX(面试清单!H:H,MATCH(3117,面试清单!P:P,0)),"")</f>
        <v/>
      </c>
      <c r="I3118" s="13" t="s">
        <v>29</v>
      </c>
      <c r="J3118" s="10">
        <f ca="1" t="shared" si="145"/>
        <v>4</v>
      </c>
      <c r="K3118" s="10">
        <f ca="1" t="shared" si="146"/>
        <v>5</v>
      </c>
    </row>
    <row r="3119" ht="18" spans="1:11">
      <c r="A3119" s="14">
        <f t="shared" si="144"/>
        <v>3118</v>
      </c>
      <c r="B3119" s="11" t="s">
        <v>6456</v>
      </c>
      <c r="C3119" s="124" t="str">
        <f>IFERROR(INDEX(面试清单!D:D,MATCH(3118,面试清单!P:P,0)),"")</f>
        <v>0209</v>
      </c>
      <c r="D3119" s="11" t="s">
        <v>42</v>
      </c>
      <c r="E3119" s="11" t="s">
        <v>63</v>
      </c>
      <c r="F3119" s="11" t="s">
        <v>6428</v>
      </c>
      <c r="G3119" s="15">
        <v>46185</v>
      </c>
      <c r="H3119" s="14" t="str">
        <f>IFERROR(INDEX(面试清单!H:H,MATCH(3118,面试清单!P:P,0)),"")</f>
        <v>线上</v>
      </c>
      <c r="I3119" s="13" t="s">
        <v>29</v>
      </c>
      <c r="J3119" s="14">
        <f ca="1" t="shared" si="145"/>
        <v>4</v>
      </c>
      <c r="K3119" s="14">
        <f ca="1" t="shared" si="146"/>
        <v>5</v>
      </c>
    </row>
    <row r="3120" ht="18" spans="1:11">
      <c r="A3120" s="10">
        <f t="shared" si="144"/>
        <v>3119</v>
      </c>
      <c r="B3120" s="11" t="s">
        <v>6457</v>
      </c>
      <c r="C3120" s="10" t="str">
        <f>IFERROR(INDEX(面试清单!D:D,MATCH(3119,面试清单!P:P,0)),"")</f>
        <v/>
      </c>
      <c r="D3120" s="11" t="s">
        <v>42</v>
      </c>
      <c r="E3120" s="11" t="s">
        <v>64</v>
      </c>
      <c r="F3120" s="11" t="s">
        <v>6428</v>
      </c>
      <c r="G3120" s="15">
        <v>46185</v>
      </c>
      <c r="H3120" s="10" t="str">
        <f>IFERROR(INDEX(面试清单!H:H,MATCH(3119,面试清单!P:P,0)),"")</f>
        <v/>
      </c>
      <c r="I3120" s="13" t="s">
        <v>29</v>
      </c>
      <c r="J3120" s="10">
        <f ca="1" t="shared" si="145"/>
        <v>4</v>
      </c>
      <c r="K3120" s="10">
        <f ca="1" t="shared" si="146"/>
        <v>5</v>
      </c>
    </row>
    <row r="3121" ht="18" spans="1:11">
      <c r="A3121" s="14">
        <f t="shared" si="144"/>
        <v>3120</v>
      </c>
      <c r="B3121" s="11" t="s">
        <v>6458</v>
      </c>
      <c r="C3121" s="14" t="str">
        <f>IFERROR(INDEX(面试清单!D:D,MATCH(3120,面试清单!P:P,0)),"")</f>
        <v/>
      </c>
      <c r="D3121" s="11" t="s">
        <v>42</v>
      </c>
      <c r="E3121" s="11" t="s">
        <v>64</v>
      </c>
      <c r="F3121" s="11" t="s">
        <v>6428</v>
      </c>
      <c r="G3121" s="15">
        <v>46185</v>
      </c>
      <c r="H3121" s="14" t="str">
        <f>IFERROR(INDEX(面试清单!H:H,MATCH(3120,面试清单!P:P,0)),"")</f>
        <v/>
      </c>
      <c r="I3121" s="13" t="s">
        <v>29</v>
      </c>
      <c r="J3121" s="14">
        <f ca="1" t="shared" si="145"/>
        <v>4</v>
      </c>
      <c r="K3121" s="14">
        <f ca="1" t="shared" si="146"/>
        <v>5</v>
      </c>
    </row>
    <row r="3122" ht="18" spans="1:11">
      <c r="A3122" s="10">
        <f t="shared" si="144"/>
        <v>3121</v>
      </c>
      <c r="B3122" s="11" t="s">
        <v>6459</v>
      </c>
      <c r="C3122" s="10" t="str">
        <f>IFERROR(INDEX(面试清单!D:D,MATCH(3121,面试清单!P:P,0)),"")</f>
        <v/>
      </c>
      <c r="D3122" s="11" t="s">
        <v>42</v>
      </c>
      <c r="E3122" s="11" t="s">
        <v>63</v>
      </c>
      <c r="F3122" s="11" t="s">
        <v>6428</v>
      </c>
      <c r="G3122" s="15">
        <v>46185</v>
      </c>
      <c r="H3122" s="10" t="str">
        <f>IFERROR(INDEX(面试清单!H:H,MATCH(3121,面试清单!P:P,0)),"")</f>
        <v/>
      </c>
      <c r="I3122" s="13" t="s">
        <v>29</v>
      </c>
      <c r="J3122" s="10">
        <f ca="1" t="shared" si="145"/>
        <v>4</v>
      </c>
      <c r="K3122" s="10">
        <f ca="1" t="shared" si="146"/>
        <v>5</v>
      </c>
    </row>
    <row r="3123" ht="18" spans="1:11">
      <c r="A3123" s="14">
        <f t="shared" si="144"/>
        <v>3122</v>
      </c>
      <c r="B3123" s="11" t="s">
        <v>6460</v>
      </c>
      <c r="C3123" s="14" t="str">
        <f>IFERROR(INDEX(面试清单!D:D,MATCH(3122,面试清单!P:P,0)),"")</f>
        <v/>
      </c>
      <c r="D3123" s="11" t="s">
        <v>42</v>
      </c>
      <c r="E3123" s="11" t="s">
        <v>63</v>
      </c>
      <c r="F3123" s="11" t="s">
        <v>6428</v>
      </c>
      <c r="G3123" s="15">
        <v>46185</v>
      </c>
      <c r="H3123" s="14" t="str">
        <f>IFERROR(INDEX(面试清单!H:H,MATCH(3122,面试清单!P:P,0)),"")</f>
        <v/>
      </c>
      <c r="I3123" s="13" t="s">
        <v>29</v>
      </c>
      <c r="J3123" s="14">
        <f ca="1" t="shared" si="145"/>
        <v>4</v>
      </c>
      <c r="K3123" s="14">
        <f ca="1" t="shared" si="146"/>
        <v>5</v>
      </c>
    </row>
    <row r="3124" ht="18" spans="1:11">
      <c r="A3124" s="10">
        <f t="shared" si="144"/>
        <v>3123</v>
      </c>
      <c r="B3124" s="11" t="s">
        <v>6461</v>
      </c>
      <c r="C3124" s="10" t="str">
        <f>IFERROR(INDEX(面试清单!D:D,MATCH(3123,面试清单!P:P,0)),"")</f>
        <v/>
      </c>
      <c r="D3124" s="11" t="s">
        <v>42</v>
      </c>
      <c r="E3124" s="11" t="s">
        <v>64</v>
      </c>
      <c r="F3124" s="11" t="s">
        <v>6428</v>
      </c>
      <c r="G3124" s="15">
        <v>46185</v>
      </c>
      <c r="H3124" s="10" t="str">
        <f>IFERROR(INDEX(面试清单!H:H,MATCH(3123,面试清单!P:P,0)),"")</f>
        <v/>
      </c>
      <c r="I3124" s="13" t="s">
        <v>29</v>
      </c>
      <c r="J3124" s="10">
        <f ca="1" t="shared" si="145"/>
        <v>4</v>
      </c>
      <c r="K3124" s="10">
        <f ca="1" t="shared" si="146"/>
        <v>5</v>
      </c>
    </row>
    <row r="3125" ht="18" spans="1:11">
      <c r="A3125" s="14">
        <f t="shared" si="144"/>
        <v>3124</v>
      </c>
      <c r="B3125" s="11" t="s">
        <v>6462</v>
      </c>
      <c r="C3125" s="14" t="str">
        <f>IFERROR(INDEX(面试清单!D:D,MATCH(3124,面试清单!P:P,0)),"")</f>
        <v/>
      </c>
      <c r="D3125" s="11" t="s">
        <v>42</v>
      </c>
      <c r="E3125" s="11" t="s">
        <v>64</v>
      </c>
      <c r="F3125" s="11" t="s">
        <v>6428</v>
      </c>
      <c r="G3125" s="15">
        <v>46185</v>
      </c>
      <c r="H3125" s="14" t="str">
        <f>IFERROR(INDEX(面试清单!H:H,MATCH(3124,面试清单!P:P,0)),"")</f>
        <v/>
      </c>
      <c r="I3125" s="13" t="s">
        <v>29</v>
      </c>
      <c r="J3125" s="14">
        <f ca="1" t="shared" si="145"/>
        <v>4</v>
      </c>
      <c r="K3125" s="14">
        <f ca="1" t="shared" si="146"/>
        <v>5</v>
      </c>
    </row>
    <row r="3126" ht="18" spans="1:11">
      <c r="A3126" s="10">
        <f t="shared" si="144"/>
        <v>3125</v>
      </c>
      <c r="B3126" s="11" t="s">
        <v>6463</v>
      </c>
      <c r="C3126" s="10" t="str">
        <f>IFERROR(INDEX(面试清单!D:D,MATCH(3125,面试清单!P:P,0)),"")</f>
        <v/>
      </c>
      <c r="D3126" s="11" t="s">
        <v>42</v>
      </c>
      <c r="E3126" s="11" t="s">
        <v>64</v>
      </c>
      <c r="F3126" s="11" t="s">
        <v>6428</v>
      </c>
      <c r="G3126" s="15">
        <v>46185</v>
      </c>
      <c r="H3126" s="10" t="str">
        <f>IFERROR(INDEX(面试清单!H:H,MATCH(3125,面试清单!P:P,0)),"")</f>
        <v/>
      </c>
      <c r="I3126" s="13" t="s">
        <v>29</v>
      </c>
      <c r="J3126" s="10">
        <f ca="1" t="shared" si="145"/>
        <v>4</v>
      </c>
      <c r="K3126" s="10">
        <f ca="1" t="shared" si="146"/>
        <v>5</v>
      </c>
    </row>
    <row r="3127" ht="18" spans="1:11">
      <c r="A3127" s="14">
        <f t="shared" si="144"/>
        <v>3126</v>
      </c>
      <c r="B3127" s="11" t="s">
        <v>6464</v>
      </c>
      <c r="C3127" s="124" t="str">
        <f>IFERROR(INDEX(面试清单!D:D,MATCH(3126,面试清单!P:P,0)),"")</f>
        <v>0208</v>
      </c>
      <c r="D3127" s="11" t="s">
        <v>42</v>
      </c>
      <c r="E3127" s="11" t="s">
        <v>64</v>
      </c>
      <c r="F3127" s="11" t="s">
        <v>6428</v>
      </c>
      <c r="G3127" s="15">
        <v>46185</v>
      </c>
      <c r="H3127" s="14" t="str">
        <f>IFERROR(INDEX(面试清单!H:H,MATCH(3126,面试清单!P:P,0)),"")</f>
        <v>线上</v>
      </c>
      <c r="I3127" s="13" t="s">
        <v>29</v>
      </c>
      <c r="J3127" s="14">
        <f ca="1" t="shared" si="145"/>
        <v>4</v>
      </c>
      <c r="K3127" s="14">
        <f ca="1" t="shared" si="146"/>
        <v>5</v>
      </c>
    </row>
    <row r="3128" ht="18" spans="1:11">
      <c r="A3128" s="10">
        <f t="shared" si="144"/>
        <v>3127</v>
      </c>
      <c r="B3128" s="11" t="s">
        <v>6465</v>
      </c>
      <c r="C3128" s="10" t="str">
        <f>IFERROR(INDEX(面试清单!D:D,MATCH(3127,面试清单!P:P,0)),"")</f>
        <v/>
      </c>
      <c r="D3128" s="11" t="s">
        <v>42</v>
      </c>
      <c r="E3128" s="11" t="s">
        <v>64</v>
      </c>
      <c r="F3128" s="11" t="s">
        <v>6428</v>
      </c>
      <c r="G3128" s="15">
        <v>46185</v>
      </c>
      <c r="H3128" s="10" t="str">
        <f>IFERROR(INDEX(面试清单!H:H,MATCH(3127,面试清单!P:P,0)),"")</f>
        <v/>
      </c>
      <c r="I3128" s="13" t="s">
        <v>29</v>
      </c>
      <c r="J3128" s="10">
        <f ca="1" t="shared" si="145"/>
        <v>4</v>
      </c>
      <c r="K3128" s="10">
        <f ca="1" t="shared" si="146"/>
        <v>5</v>
      </c>
    </row>
    <row r="3129" ht="18" spans="1:11">
      <c r="A3129" s="14">
        <f t="shared" si="144"/>
        <v>3128</v>
      </c>
      <c r="B3129" s="11" t="s">
        <v>6466</v>
      </c>
      <c r="C3129" s="14" t="str">
        <f>IFERROR(INDEX(面试清单!D:D,MATCH(3128,面试清单!P:P,0)),"")</f>
        <v/>
      </c>
      <c r="D3129" s="11" t="s">
        <v>42</v>
      </c>
      <c r="E3129" s="11" t="s">
        <v>64</v>
      </c>
      <c r="F3129" s="11" t="s">
        <v>6428</v>
      </c>
      <c r="G3129" s="15">
        <v>46185</v>
      </c>
      <c r="H3129" s="14" t="str">
        <f>IFERROR(INDEX(面试清单!H:H,MATCH(3128,面试清单!P:P,0)),"")</f>
        <v/>
      </c>
      <c r="I3129" s="13" t="s">
        <v>29</v>
      </c>
      <c r="J3129" s="14">
        <f ca="1" t="shared" si="145"/>
        <v>4</v>
      </c>
      <c r="K3129" s="14">
        <f ca="1" t="shared" si="146"/>
        <v>5</v>
      </c>
    </row>
    <row r="3130" ht="18" spans="1:11">
      <c r="A3130" s="10">
        <f t="shared" si="144"/>
        <v>3129</v>
      </c>
      <c r="B3130" s="11" t="s">
        <v>6467</v>
      </c>
      <c r="C3130" s="10" t="str">
        <f>IFERROR(INDEX(面试清单!D:D,MATCH(3129,面试清单!P:P,0)),"")</f>
        <v/>
      </c>
      <c r="D3130" s="11" t="s">
        <v>42</v>
      </c>
      <c r="E3130" s="11" t="s">
        <v>64</v>
      </c>
      <c r="F3130" s="11" t="s">
        <v>6428</v>
      </c>
      <c r="G3130" s="15">
        <v>46185</v>
      </c>
      <c r="H3130" s="10" t="str">
        <f>IFERROR(INDEX(面试清单!H:H,MATCH(3129,面试清单!P:P,0)),"")</f>
        <v/>
      </c>
      <c r="I3130" s="13" t="s">
        <v>29</v>
      </c>
      <c r="J3130" s="10">
        <f ca="1" t="shared" si="145"/>
        <v>4</v>
      </c>
      <c r="K3130" s="10">
        <f ca="1" t="shared" si="146"/>
        <v>5</v>
      </c>
    </row>
    <row r="3131" ht="18" spans="1:11">
      <c r="A3131" s="14">
        <f t="shared" si="144"/>
        <v>3130</v>
      </c>
      <c r="B3131" s="11" t="s">
        <v>6468</v>
      </c>
      <c r="C3131" s="14" t="str">
        <f>IFERROR(INDEX(面试清单!D:D,MATCH(3130,面试清单!P:P,0)),"")</f>
        <v/>
      </c>
      <c r="D3131" s="11" t="s">
        <v>42</v>
      </c>
      <c r="E3131" s="11" t="s">
        <v>64</v>
      </c>
      <c r="F3131" s="11" t="s">
        <v>6428</v>
      </c>
      <c r="G3131" s="15">
        <v>46185</v>
      </c>
      <c r="H3131" s="14" t="str">
        <f>IFERROR(INDEX(面试清单!H:H,MATCH(3130,面试清单!P:P,0)),"")</f>
        <v/>
      </c>
      <c r="I3131" s="13" t="s">
        <v>29</v>
      </c>
      <c r="J3131" s="14">
        <f ca="1" t="shared" si="145"/>
        <v>4</v>
      </c>
      <c r="K3131" s="14">
        <f ca="1" t="shared" si="146"/>
        <v>5</v>
      </c>
    </row>
    <row r="3132" ht="18" spans="1:11">
      <c r="A3132" s="10">
        <f t="shared" si="144"/>
        <v>3131</v>
      </c>
      <c r="B3132" s="11" t="s">
        <v>6469</v>
      </c>
      <c r="C3132" s="10" t="str">
        <f>IFERROR(INDEX(面试清单!D:D,MATCH(3131,面试清单!P:P,0)),"")</f>
        <v/>
      </c>
      <c r="D3132" s="11" t="s">
        <v>42</v>
      </c>
      <c r="E3132" s="11" t="s">
        <v>64</v>
      </c>
      <c r="F3132" s="11" t="s">
        <v>6428</v>
      </c>
      <c r="G3132" s="15">
        <v>46185</v>
      </c>
      <c r="H3132" s="10" t="str">
        <f>IFERROR(INDEX(面试清单!H:H,MATCH(3131,面试清单!P:P,0)),"")</f>
        <v/>
      </c>
      <c r="I3132" s="13" t="s">
        <v>29</v>
      </c>
      <c r="J3132" s="10">
        <f ca="1" t="shared" si="145"/>
        <v>4</v>
      </c>
      <c r="K3132" s="10">
        <f ca="1" t="shared" si="146"/>
        <v>5</v>
      </c>
    </row>
    <row r="3133" ht="18" spans="1:11">
      <c r="A3133" s="14">
        <f t="shared" si="144"/>
        <v>3132</v>
      </c>
      <c r="B3133" s="11" t="s">
        <v>6470</v>
      </c>
      <c r="C3133" s="14" t="str">
        <f>IFERROR(INDEX(面试清单!D:D,MATCH(3132,面试清单!P:P,0)),"")</f>
        <v/>
      </c>
      <c r="D3133" s="11" t="s">
        <v>42</v>
      </c>
      <c r="E3133" s="11" t="s">
        <v>63</v>
      </c>
      <c r="F3133" s="11" t="s">
        <v>6428</v>
      </c>
      <c r="G3133" s="15">
        <v>46185</v>
      </c>
      <c r="H3133" s="14" t="str">
        <f>IFERROR(INDEX(面试清单!H:H,MATCH(3132,面试清单!P:P,0)),"")</f>
        <v/>
      </c>
      <c r="I3133" s="13" t="s">
        <v>29</v>
      </c>
      <c r="J3133" s="14">
        <f ca="1" t="shared" si="145"/>
        <v>4</v>
      </c>
      <c r="K3133" s="14">
        <f ca="1" t="shared" si="146"/>
        <v>5</v>
      </c>
    </row>
    <row r="3134" ht="18" spans="1:11">
      <c r="A3134" s="10">
        <f t="shared" si="144"/>
        <v>3133</v>
      </c>
      <c r="B3134" s="11" t="s">
        <v>6471</v>
      </c>
      <c r="C3134" s="125" t="str">
        <f>IFERROR(INDEX(面试清单!D:D,MATCH(3133,面试清单!P:P,0)),"")</f>
        <v>0221</v>
      </c>
      <c r="D3134" s="11" t="s">
        <v>42</v>
      </c>
      <c r="E3134" s="11" t="s">
        <v>63</v>
      </c>
      <c r="F3134" s="11" t="s">
        <v>6428</v>
      </c>
      <c r="G3134" s="15">
        <v>46185</v>
      </c>
      <c r="H3134" s="10" t="str">
        <f>IFERROR(INDEX(面试清单!H:H,MATCH(3133,面试清单!P:P,0)),"")</f>
        <v>线上</v>
      </c>
      <c r="I3134" s="13" t="s">
        <v>29</v>
      </c>
      <c r="J3134" s="10">
        <f ca="1" t="shared" si="145"/>
        <v>4</v>
      </c>
      <c r="K3134" s="10">
        <f ca="1" t="shared" si="146"/>
        <v>5</v>
      </c>
    </row>
    <row r="3135" ht="18" spans="1:11">
      <c r="A3135" s="14">
        <f t="shared" si="144"/>
        <v>3134</v>
      </c>
      <c r="B3135" s="11" t="s">
        <v>6472</v>
      </c>
      <c r="C3135" s="14" t="str">
        <f>IFERROR(INDEX(面试清单!D:D,MATCH(3134,面试清单!P:P,0)),"")</f>
        <v/>
      </c>
      <c r="D3135" s="11" t="s">
        <v>42</v>
      </c>
      <c r="E3135" s="11" t="s">
        <v>63</v>
      </c>
      <c r="F3135" s="11" t="s">
        <v>6428</v>
      </c>
      <c r="G3135" s="15">
        <v>46185</v>
      </c>
      <c r="H3135" s="14" t="str">
        <f>IFERROR(INDEX(面试清单!H:H,MATCH(3134,面试清单!P:P,0)),"")</f>
        <v/>
      </c>
      <c r="I3135" s="13" t="s">
        <v>29</v>
      </c>
      <c r="J3135" s="14">
        <f ca="1" t="shared" si="145"/>
        <v>4</v>
      </c>
      <c r="K3135" s="14">
        <f ca="1" t="shared" si="146"/>
        <v>5</v>
      </c>
    </row>
    <row r="3136" ht="18" spans="1:11">
      <c r="A3136" s="10">
        <f t="shared" si="144"/>
        <v>3135</v>
      </c>
      <c r="B3136" s="11" t="s">
        <v>6473</v>
      </c>
      <c r="C3136" s="125" t="str">
        <f>IFERROR(INDEX(面试清单!D:D,MATCH(3135,面试清单!P:P,0)),"")</f>
        <v>0208</v>
      </c>
      <c r="D3136" s="11" t="s">
        <v>42</v>
      </c>
      <c r="E3136" s="11" t="s">
        <v>64</v>
      </c>
      <c r="F3136" s="11" t="s">
        <v>6428</v>
      </c>
      <c r="G3136" s="15">
        <v>46185</v>
      </c>
      <c r="H3136" s="10" t="str">
        <f>IFERROR(INDEX(面试清单!H:H,MATCH(3135,面试清单!P:P,0)),"")</f>
        <v>线上</v>
      </c>
      <c r="I3136" s="13" t="s">
        <v>29</v>
      </c>
      <c r="J3136" s="10">
        <f ca="1" t="shared" si="145"/>
        <v>4</v>
      </c>
      <c r="K3136" s="10">
        <f ca="1" t="shared" si="146"/>
        <v>5</v>
      </c>
    </row>
    <row r="3137" ht="18" spans="1:11">
      <c r="A3137" s="14">
        <f t="shared" si="144"/>
        <v>3136</v>
      </c>
      <c r="B3137" s="11" t="s">
        <v>6474</v>
      </c>
      <c r="C3137" s="14" t="str">
        <f>IFERROR(INDEX(面试清单!D:D,MATCH(3136,面试清单!P:P,0)),"")</f>
        <v/>
      </c>
      <c r="D3137" s="11" t="s">
        <v>42</v>
      </c>
      <c r="E3137" s="11" t="s">
        <v>63</v>
      </c>
      <c r="F3137" s="11" t="s">
        <v>6428</v>
      </c>
      <c r="G3137" s="15">
        <v>46185</v>
      </c>
      <c r="H3137" s="14" t="str">
        <f>IFERROR(INDEX(面试清单!H:H,MATCH(3136,面试清单!P:P,0)),"")</f>
        <v/>
      </c>
      <c r="I3137" s="13" t="s">
        <v>29</v>
      </c>
      <c r="J3137" s="14">
        <f ca="1" t="shared" si="145"/>
        <v>4</v>
      </c>
      <c r="K3137" s="14">
        <f ca="1" t="shared" si="146"/>
        <v>5</v>
      </c>
    </row>
    <row r="3138" ht="18" spans="1:11">
      <c r="A3138" s="10">
        <f t="shared" ref="A3138:A3201" si="147">IF(B3138&lt;&gt;"",ROW()-1,"")</f>
        <v>3137</v>
      </c>
      <c r="B3138" s="11" t="s">
        <v>6475</v>
      </c>
      <c r="C3138" s="10" t="str">
        <f>IFERROR(INDEX(面试清单!D:D,MATCH(3137,面试清单!P:P,0)),"")</f>
        <v/>
      </c>
      <c r="D3138" s="11" t="s">
        <v>42</v>
      </c>
      <c r="E3138" s="11" t="s">
        <v>63</v>
      </c>
      <c r="F3138" s="11" t="s">
        <v>6428</v>
      </c>
      <c r="G3138" s="15">
        <v>46185</v>
      </c>
      <c r="H3138" s="10" t="str">
        <f>IFERROR(INDEX(面试清单!H:H,MATCH(3137,面试清单!P:P,0)),"")</f>
        <v/>
      </c>
      <c r="I3138" s="13" t="s">
        <v>29</v>
      </c>
      <c r="J3138" s="10">
        <f ca="1" t="shared" ref="J3138:J3201" si="148">IF(G3138&lt;&gt;"",TODAY()-G3138,"")</f>
        <v>4</v>
      </c>
      <c r="K3138" s="10">
        <f ca="1" t="shared" ref="K3138:K3201" si="149">IF(G3138&lt;&gt;"",MAX(0,MIN(TODAY(),EOMONTH(TODAY(),0))-MAX(G3138,EOMONTH(TODAY(),-1)+1)+1),"")</f>
        <v>5</v>
      </c>
    </row>
    <row r="3139" ht="18" spans="1:11">
      <c r="A3139" s="14">
        <f t="shared" si="147"/>
        <v>3138</v>
      </c>
      <c r="B3139" s="11" t="s">
        <v>6476</v>
      </c>
      <c r="C3139" s="14" t="str">
        <f>IFERROR(INDEX(面试清单!D:D,MATCH(3138,面试清单!P:P,0)),"")</f>
        <v/>
      </c>
      <c r="D3139" s="11" t="s">
        <v>42</v>
      </c>
      <c r="E3139" s="11" t="s">
        <v>63</v>
      </c>
      <c r="F3139" s="11" t="s">
        <v>6428</v>
      </c>
      <c r="G3139" s="15">
        <v>46185</v>
      </c>
      <c r="H3139" s="14" t="str">
        <f>IFERROR(INDEX(面试清单!H:H,MATCH(3138,面试清单!P:P,0)),"")</f>
        <v/>
      </c>
      <c r="I3139" s="13" t="s">
        <v>29</v>
      </c>
      <c r="J3139" s="14">
        <f ca="1" t="shared" si="148"/>
        <v>4</v>
      </c>
      <c r="K3139" s="14">
        <f ca="1" t="shared" si="149"/>
        <v>5</v>
      </c>
    </row>
    <row r="3140" ht="18" spans="1:11">
      <c r="A3140" s="10">
        <f t="shared" si="147"/>
        <v>3139</v>
      </c>
      <c r="B3140" s="11" t="s">
        <v>6477</v>
      </c>
      <c r="C3140" s="10" t="str">
        <f>IFERROR(INDEX(面试清单!D:D,MATCH(3139,面试清单!P:P,0)),"")</f>
        <v/>
      </c>
      <c r="D3140" s="11" t="s">
        <v>42</v>
      </c>
      <c r="E3140" s="11" t="s">
        <v>63</v>
      </c>
      <c r="F3140" s="11" t="s">
        <v>6428</v>
      </c>
      <c r="G3140" s="15">
        <v>46185</v>
      </c>
      <c r="H3140" s="10" t="str">
        <f>IFERROR(INDEX(面试清单!H:H,MATCH(3139,面试清单!P:P,0)),"")</f>
        <v/>
      </c>
      <c r="I3140" s="13" t="s">
        <v>29</v>
      </c>
      <c r="J3140" s="10">
        <f ca="1" t="shared" si="148"/>
        <v>4</v>
      </c>
      <c r="K3140" s="10">
        <f ca="1" t="shared" si="149"/>
        <v>5</v>
      </c>
    </row>
    <row r="3141" ht="18" spans="1:11">
      <c r="A3141" s="14">
        <f t="shared" si="147"/>
        <v>3140</v>
      </c>
      <c r="B3141" s="11" t="s">
        <v>2397</v>
      </c>
      <c r="C3141" s="14" t="str">
        <f>IFERROR(INDEX(面试清单!D:D,MATCH(3140,面试清单!P:P,0)),"")</f>
        <v/>
      </c>
      <c r="D3141" s="11" t="s">
        <v>42</v>
      </c>
      <c r="E3141" s="11" t="s">
        <v>63</v>
      </c>
      <c r="F3141" s="11" t="s">
        <v>6428</v>
      </c>
      <c r="G3141" s="15">
        <v>46185</v>
      </c>
      <c r="H3141" s="14" t="str">
        <f>IFERROR(INDEX(面试清单!H:H,MATCH(3140,面试清单!P:P,0)),"")</f>
        <v/>
      </c>
      <c r="I3141" s="13" t="s">
        <v>29</v>
      </c>
      <c r="J3141" s="14">
        <f ca="1" t="shared" si="148"/>
        <v>4</v>
      </c>
      <c r="K3141" s="14">
        <f ca="1" t="shared" si="149"/>
        <v>5</v>
      </c>
    </row>
    <row r="3142" ht="18" spans="1:11">
      <c r="A3142" s="10">
        <f t="shared" si="147"/>
        <v>3141</v>
      </c>
      <c r="B3142" s="11" t="s">
        <v>6478</v>
      </c>
      <c r="C3142" s="10" t="str">
        <f>IFERROR(INDEX(面试清单!D:D,MATCH(3141,面试清单!P:P,0)),"")</f>
        <v/>
      </c>
      <c r="D3142" s="11" t="s">
        <v>42</v>
      </c>
      <c r="E3142" s="11" t="s">
        <v>63</v>
      </c>
      <c r="F3142" s="11" t="s">
        <v>6428</v>
      </c>
      <c r="G3142" s="15">
        <v>46185</v>
      </c>
      <c r="H3142" s="10" t="str">
        <f>IFERROR(INDEX(面试清单!H:H,MATCH(3141,面试清单!P:P,0)),"")</f>
        <v/>
      </c>
      <c r="I3142" s="13" t="s">
        <v>29</v>
      </c>
      <c r="J3142" s="10">
        <f ca="1" t="shared" si="148"/>
        <v>4</v>
      </c>
      <c r="K3142" s="10">
        <f ca="1" t="shared" si="149"/>
        <v>5</v>
      </c>
    </row>
    <row r="3143" ht="18" spans="1:11">
      <c r="A3143" s="14">
        <f t="shared" si="147"/>
        <v>3142</v>
      </c>
      <c r="B3143" s="11" t="s">
        <v>6479</v>
      </c>
      <c r="C3143" s="14" t="str">
        <f>IFERROR(INDEX(面试清单!D:D,MATCH(3142,面试清单!P:P,0)),"")</f>
        <v/>
      </c>
      <c r="D3143" s="11" t="s">
        <v>42</v>
      </c>
      <c r="E3143" s="11" t="s">
        <v>63</v>
      </c>
      <c r="F3143" s="11" t="s">
        <v>6428</v>
      </c>
      <c r="G3143" s="15">
        <v>46185</v>
      </c>
      <c r="H3143" s="14" t="str">
        <f>IFERROR(INDEX(面试清单!H:H,MATCH(3142,面试清单!P:P,0)),"")</f>
        <v/>
      </c>
      <c r="I3143" s="13" t="s">
        <v>29</v>
      </c>
      <c r="J3143" s="14">
        <f ca="1" t="shared" si="148"/>
        <v>4</v>
      </c>
      <c r="K3143" s="14">
        <f ca="1" t="shared" si="149"/>
        <v>5</v>
      </c>
    </row>
    <row r="3144" ht="18" spans="1:11">
      <c r="A3144" s="10">
        <f t="shared" si="147"/>
        <v>3143</v>
      </c>
      <c r="B3144" s="11" t="s">
        <v>6480</v>
      </c>
      <c r="C3144" s="10" t="str">
        <f>IFERROR(INDEX(面试清单!D:D,MATCH(3143,面试清单!P:P,0)),"")</f>
        <v/>
      </c>
      <c r="D3144" s="11" t="s">
        <v>42</v>
      </c>
      <c r="E3144" s="11" t="s">
        <v>63</v>
      </c>
      <c r="F3144" s="11" t="s">
        <v>6428</v>
      </c>
      <c r="G3144" s="15">
        <v>46185</v>
      </c>
      <c r="H3144" s="10" t="str">
        <f>IFERROR(INDEX(面试清单!H:H,MATCH(3143,面试清单!P:P,0)),"")</f>
        <v/>
      </c>
      <c r="I3144" s="13" t="s">
        <v>29</v>
      </c>
      <c r="J3144" s="10">
        <f ca="1" t="shared" si="148"/>
        <v>4</v>
      </c>
      <c r="K3144" s="10">
        <f ca="1" t="shared" si="149"/>
        <v>5</v>
      </c>
    </row>
    <row r="3145" ht="18" spans="1:11">
      <c r="A3145" s="14">
        <f t="shared" si="147"/>
        <v>3144</v>
      </c>
      <c r="B3145" s="11" t="s">
        <v>6481</v>
      </c>
      <c r="C3145" s="124" t="str">
        <f>IFERROR(INDEX(面试清单!D:D,MATCH(3144,面试清单!P:P,0)),"")</f>
        <v>0208</v>
      </c>
      <c r="D3145" s="11" t="s">
        <v>42</v>
      </c>
      <c r="E3145" s="11" t="s">
        <v>63</v>
      </c>
      <c r="F3145" s="11" t="s">
        <v>6428</v>
      </c>
      <c r="G3145" s="15">
        <v>46185</v>
      </c>
      <c r="H3145" s="14" t="str">
        <f>IFERROR(INDEX(面试清单!H:H,MATCH(3144,面试清单!P:P,0)),"")</f>
        <v>线上</v>
      </c>
      <c r="I3145" s="13" t="s">
        <v>29</v>
      </c>
      <c r="J3145" s="14">
        <f ca="1" t="shared" si="148"/>
        <v>4</v>
      </c>
      <c r="K3145" s="14">
        <f ca="1" t="shared" si="149"/>
        <v>5</v>
      </c>
    </row>
    <row r="3146" ht="18" spans="1:11">
      <c r="A3146" s="10">
        <f t="shared" si="147"/>
        <v>3145</v>
      </c>
      <c r="B3146" s="11" t="s">
        <v>1842</v>
      </c>
      <c r="C3146" s="10" t="str">
        <f>IFERROR(INDEX(面试清单!D:D,MATCH(3145,面试清单!P:P,0)),"")</f>
        <v/>
      </c>
      <c r="D3146" s="11" t="s">
        <v>42</v>
      </c>
      <c r="E3146" s="11" t="s">
        <v>63</v>
      </c>
      <c r="F3146" s="11" t="s">
        <v>6428</v>
      </c>
      <c r="G3146" s="15">
        <v>46185</v>
      </c>
      <c r="H3146" s="10" t="str">
        <f>IFERROR(INDEX(面试清单!H:H,MATCH(3145,面试清单!P:P,0)),"")</f>
        <v/>
      </c>
      <c r="I3146" s="13" t="s">
        <v>29</v>
      </c>
      <c r="J3146" s="10">
        <f ca="1" t="shared" si="148"/>
        <v>4</v>
      </c>
      <c r="K3146" s="10">
        <f ca="1" t="shared" si="149"/>
        <v>5</v>
      </c>
    </row>
    <row r="3147" ht="18" spans="1:11">
      <c r="A3147" s="14">
        <f t="shared" si="147"/>
        <v>3146</v>
      </c>
      <c r="B3147" s="11" t="s">
        <v>6482</v>
      </c>
      <c r="C3147" s="14" t="str">
        <f>IFERROR(INDEX(面试清单!D:D,MATCH(3146,面试清单!P:P,0)),"")</f>
        <v/>
      </c>
      <c r="D3147" s="11" t="s">
        <v>42</v>
      </c>
      <c r="E3147" s="11" t="s">
        <v>63</v>
      </c>
      <c r="F3147" s="11" t="s">
        <v>6428</v>
      </c>
      <c r="G3147" s="15">
        <v>46185</v>
      </c>
      <c r="H3147" s="14" t="str">
        <f>IFERROR(INDEX(面试清单!H:H,MATCH(3146,面试清单!P:P,0)),"")</f>
        <v/>
      </c>
      <c r="I3147" s="13" t="s">
        <v>29</v>
      </c>
      <c r="J3147" s="14">
        <f ca="1" t="shared" si="148"/>
        <v>4</v>
      </c>
      <c r="K3147" s="14">
        <f ca="1" t="shared" si="149"/>
        <v>5</v>
      </c>
    </row>
    <row r="3148" ht="36" spans="1:11">
      <c r="A3148" s="10">
        <f t="shared" si="147"/>
        <v>3147</v>
      </c>
      <c r="B3148" s="11" t="s">
        <v>6483</v>
      </c>
      <c r="C3148" s="10" t="str">
        <f>IFERROR(INDEX(面试清单!D:D,MATCH(3147,面试清单!P:P,0)),"")</f>
        <v/>
      </c>
      <c r="D3148" s="11" t="s">
        <v>42</v>
      </c>
      <c r="E3148" s="11" t="s">
        <v>63</v>
      </c>
      <c r="F3148" s="11" t="s">
        <v>6428</v>
      </c>
      <c r="G3148" s="15">
        <v>46185</v>
      </c>
      <c r="H3148" s="10" t="str">
        <f>IFERROR(INDEX(面试清单!H:H,MATCH(3147,面试清单!P:P,0)),"")</f>
        <v/>
      </c>
      <c r="I3148" s="13" t="s">
        <v>29</v>
      </c>
      <c r="J3148" s="10">
        <f ca="1" t="shared" si="148"/>
        <v>4</v>
      </c>
      <c r="K3148" s="10">
        <f ca="1" t="shared" si="149"/>
        <v>5</v>
      </c>
    </row>
    <row r="3149" ht="18" spans="1:11">
      <c r="A3149" s="14">
        <f t="shared" si="147"/>
        <v>3148</v>
      </c>
      <c r="B3149" s="11" t="s">
        <v>6484</v>
      </c>
      <c r="C3149" s="124" t="str">
        <f>IFERROR(INDEX(面试清单!D:D,MATCH(3148,面试清单!P:P,0)),"")</f>
        <v>0214</v>
      </c>
      <c r="D3149" s="11" t="s">
        <v>42</v>
      </c>
      <c r="E3149" s="11" t="s">
        <v>63</v>
      </c>
      <c r="F3149" s="11" t="s">
        <v>6428</v>
      </c>
      <c r="G3149" s="15">
        <v>46185</v>
      </c>
      <c r="H3149" s="14" t="str">
        <f>IFERROR(INDEX(面试清单!H:H,MATCH(3148,面试清单!P:P,0)),"")</f>
        <v>线上</v>
      </c>
      <c r="I3149" s="13" t="s">
        <v>29</v>
      </c>
      <c r="J3149" s="14">
        <f ca="1" t="shared" si="148"/>
        <v>4</v>
      </c>
      <c r="K3149" s="14">
        <f ca="1" t="shared" si="149"/>
        <v>5</v>
      </c>
    </row>
    <row r="3150" ht="18" spans="1:11">
      <c r="A3150" s="10">
        <f t="shared" si="147"/>
        <v>3149</v>
      </c>
      <c r="B3150" s="11" t="s">
        <v>6485</v>
      </c>
      <c r="C3150" s="10" t="str">
        <f>IFERROR(INDEX(面试清单!D:D,MATCH(3149,面试清单!P:P,0)),"")</f>
        <v/>
      </c>
      <c r="D3150" s="11" t="s">
        <v>42</v>
      </c>
      <c r="E3150" s="11" t="s">
        <v>63</v>
      </c>
      <c r="F3150" s="11" t="s">
        <v>6428</v>
      </c>
      <c r="G3150" s="15">
        <v>46185</v>
      </c>
      <c r="H3150" s="10" t="str">
        <f>IFERROR(INDEX(面试清单!H:H,MATCH(3149,面试清单!P:P,0)),"")</f>
        <v/>
      </c>
      <c r="I3150" s="13" t="s">
        <v>29</v>
      </c>
      <c r="J3150" s="10">
        <f ca="1" t="shared" si="148"/>
        <v>4</v>
      </c>
      <c r="K3150" s="10">
        <f ca="1" t="shared" si="149"/>
        <v>5</v>
      </c>
    </row>
    <row r="3151" ht="18" spans="1:11">
      <c r="A3151" s="14">
        <f t="shared" si="147"/>
        <v>3150</v>
      </c>
      <c r="B3151" s="11" t="s">
        <v>6486</v>
      </c>
      <c r="C3151" s="14" t="str">
        <f>IFERROR(INDEX(面试清单!D:D,MATCH(3150,面试清单!P:P,0)),"")</f>
        <v/>
      </c>
      <c r="D3151" s="11" t="s">
        <v>42</v>
      </c>
      <c r="E3151" s="11" t="s">
        <v>63</v>
      </c>
      <c r="F3151" s="11" t="s">
        <v>6428</v>
      </c>
      <c r="G3151" s="15">
        <v>46185</v>
      </c>
      <c r="H3151" s="14" t="str">
        <f>IFERROR(INDEX(面试清单!H:H,MATCH(3150,面试清单!P:P,0)),"")</f>
        <v/>
      </c>
      <c r="I3151" s="13" t="s">
        <v>29</v>
      </c>
      <c r="J3151" s="14">
        <f ca="1" t="shared" si="148"/>
        <v>4</v>
      </c>
      <c r="K3151" s="14">
        <f ca="1" t="shared" si="149"/>
        <v>5</v>
      </c>
    </row>
    <row r="3152" ht="18" spans="1:11">
      <c r="A3152" s="10">
        <f t="shared" si="147"/>
        <v>3151</v>
      </c>
      <c r="B3152" s="11" t="s">
        <v>6487</v>
      </c>
      <c r="C3152" s="10" t="str">
        <f>IFERROR(INDEX(面试清单!D:D,MATCH(3151,面试清单!P:P,0)),"")</f>
        <v/>
      </c>
      <c r="D3152" s="11" t="s">
        <v>42</v>
      </c>
      <c r="E3152" s="11" t="s">
        <v>63</v>
      </c>
      <c r="F3152" s="11" t="s">
        <v>6428</v>
      </c>
      <c r="G3152" s="15">
        <v>46185</v>
      </c>
      <c r="H3152" s="10" t="str">
        <f>IFERROR(INDEX(面试清单!H:H,MATCH(3151,面试清单!P:P,0)),"")</f>
        <v/>
      </c>
      <c r="I3152" s="13" t="s">
        <v>29</v>
      </c>
      <c r="J3152" s="10">
        <f ca="1" t="shared" si="148"/>
        <v>4</v>
      </c>
      <c r="K3152" s="10">
        <f ca="1" t="shared" si="149"/>
        <v>5</v>
      </c>
    </row>
    <row r="3153" ht="18" spans="1:11">
      <c r="A3153" s="14">
        <f t="shared" si="147"/>
        <v>3152</v>
      </c>
      <c r="B3153" s="11" t="s">
        <v>6488</v>
      </c>
      <c r="C3153" s="14" t="str">
        <f>IFERROR(INDEX(面试清单!D:D,MATCH(3152,面试清单!P:P,0)),"")</f>
        <v/>
      </c>
      <c r="D3153" s="11" t="s">
        <v>42</v>
      </c>
      <c r="E3153" s="11" t="s">
        <v>63</v>
      </c>
      <c r="F3153" s="11" t="s">
        <v>6428</v>
      </c>
      <c r="G3153" s="15">
        <v>46185</v>
      </c>
      <c r="H3153" s="14" t="str">
        <f>IFERROR(INDEX(面试清单!H:H,MATCH(3152,面试清单!P:P,0)),"")</f>
        <v/>
      </c>
      <c r="I3153" s="13" t="s">
        <v>29</v>
      </c>
      <c r="J3153" s="14">
        <f ca="1" t="shared" si="148"/>
        <v>4</v>
      </c>
      <c r="K3153" s="14">
        <f ca="1" t="shared" si="149"/>
        <v>5</v>
      </c>
    </row>
    <row r="3154" ht="18" spans="1:11">
      <c r="A3154" s="10">
        <f t="shared" si="147"/>
        <v>3153</v>
      </c>
      <c r="B3154" s="11" t="s">
        <v>6489</v>
      </c>
      <c r="C3154" s="10" t="str">
        <f>IFERROR(INDEX(面试清单!D:D,MATCH(3153,面试清单!P:P,0)),"")</f>
        <v/>
      </c>
      <c r="D3154" s="11" t="s">
        <v>42</v>
      </c>
      <c r="E3154" s="11" t="s">
        <v>63</v>
      </c>
      <c r="F3154" s="11" t="s">
        <v>6428</v>
      </c>
      <c r="G3154" s="15">
        <v>46185</v>
      </c>
      <c r="H3154" s="10" t="str">
        <f>IFERROR(INDEX(面试清单!H:H,MATCH(3153,面试清单!P:P,0)),"")</f>
        <v/>
      </c>
      <c r="I3154" s="13" t="s">
        <v>29</v>
      </c>
      <c r="J3154" s="10">
        <f ca="1" t="shared" si="148"/>
        <v>4</v>
      </c>
      <c r="K3154" s="10">
        <f ca="1" t="shared" si="149"/>
        <v>5</v>
      </c>
    </row>
    <row r="3155" ht="18" spans="1:11">
      <c r="A3155" s="14">
        <f t="shared" si="147"/>
        <v>3154</v>
      </c>
      <c r="B3155" s="11" t="s">
        <v>6490</v>
      </c>
      <c r="C3155" s="14" t="str">
        <f>IFERROR(INDEX(面试清单!D:D,MATCH(3154,面试清单!P:P,0)),"")</f>
        <v/>
      </c>
      <c r="D3155" s="11" t="s">
        <v>42</v>
      </c>
      <c r="E3155" s="11" t="s">
        <v>64</v>
      </c>
      <c r="F3155" s="11" t="s">
        <v>6428</v>
      </c>
      <c r="G3155" s="15">
        <v>46185</v>
      </c>
      <c r="H3155" s="14" t="str">
        <f>IFERROR(INDEX(面试清单!H:H,MATCH(3154,面试清单!P:P,0)),"")</f>
        <v/>
      </c>
      <c r="I3155" s="13" t="s">
        <v>29</v>
      </c>
      <c r="J3155" s="14">
        <f ca="1" t="shared" si="148"/>
        <v>4</v>
      </c>
      <c r="K3155" s="14">
        <f ca="1" t="shared" si="149"/>
        <v>5</v>
      </c>
    </row>
    <row r="3156" ht="18" spans="1:11">
      <c r="A3156" s="10">
        <f t="shared" si="147"/>
        <v>3155</v>
      </c>
      <c r="B3156" s="11" t="s">
        <v>6491</v>
      </c>
      <c r="C3156" s="10" t="str">
        <f>IFERROR(INDEX(面试清单!D:D,MATCH(3155,面试清单!P:P,0)),"")</f>
        <v/>
      </c>
      <c r="D3156" s="11" t="s">
        <v>43</v>
      </c>
      <c r="E3156" s="11" t="s">
        <v>64</v>
      </c>
      <c r="F3156" s="11" t="s">
        <v>6428</v>
      </c>
      <c r="G3156" s="15">
        <v>46185</v>
      </c>
      <c r="H3156" s="10" t="str">
        <f>IFERROR(INDEX(面试清单!H:H,MATCH(3155,面试清单!P:P,0)),"")</f>
        <v/>
      </c>
      <c r="I3156" s="13" t="s">
        <v>29</v>
      </c>
      <c r="J3156" s="10">
        <f ca="1" t="shared" si="148"/>
        <v>4</v>
      </c>
      <c r="K3156" s="10">
        <f ca="1" t="shared" si="149"/>
        <v>5</v>
      </c>
    </row>
    <row r="3157" ht="18" spans="1:11">
      <c r="A3157" s="14">
        <f t="shared" si="147"/>
        <v>3156</v>
      </c>
      <c r="B3157" s="11" t="s">
        <v>6492</v>
      </c>
      <c r="C3157" s="14" t="str">
        <f>IFERROR(INDEX(面试清单!D:D,MATCH(3156,面试清单!P:P,0)),"")</f>
        <v/>
      </c>
      <c r="D3157" s="11" t="s">
        <v>43</v>
      </c>
      <c r="E3157" s="11" t="s">
        <v>64</v>
      </c>
      <c r="F3157" s="11" t="s">
        <v>6428</v>
      </c>
      <c r="G3157" s="15">
        <v>46185</v>
      </c>
      <c r="H3157" s="14" t="str">
        <f>IFERROR(INDEX(面试清单!H:H,MATCH(3156,面试清单!P:P,0)),"")</f>
        <v/>
      </c>
      <c r="I3157" s="13" t="s">
        <v>29</v>
      </c>
      <c r="J3157" s="14">
        <f ca="1" t="shared" si="148"/>
        <v>4</v>
      </c>
      <c r="K3157" s="14">
        <f ca="1" t="shared" si="149"/>
        <v>5</v>
      </c>
    </row>
    <row r="3158" ht="18" spans="1:11">
      <c r="A3158" s="10">
        <f t="shared" si="147"/>
        <v>3157</v>
      </c>
      <c r="B3158" s="11" t="s">
        <v>3137</v>
      </c>
      <c r="C3158" s="10" t="str">
        <f>IFERROR(INDEX(面试清单!D:D,MATCH(3157,面试清单!P:P,0)),"")</f>
        <v/>
      </c>
      <c r="D3158" s="11" t="s">
        <v>43</v>
      </c>
      <c r="E3158" s="11" t="s">
        <v>63</v>
      </c>
      <c r="F3158" s="11" t="s">
        <v>6428</v>
      </c>
      <c r="G3158" s="15">
        <v>46185</v>
      </c>
      <c r="H3158" s="10" t="str">
        <f>IFERROR(INDEX(面试清单!H:H,MATCH(3157,面试清单!P:P,0)),"")</f>
        <v/>
      </c>
      <c r="I3158" s="13" t="s">
        <v>29</v>
      </c>
      <c r="J3158" s="10">
        <f ca="1" t="shared" si="148"/>
        <v>4</v>
      </c>
      <c r="K3158" s="10">
        <f ca="1" t="shared" si="149"/>
        <v>5</v>
      </c>
    </row>
    <row r="3159" ht="18" spans="1:11">
      <c r="A3159" s="14">
        <f t="shared" si="147"/>
        <v>3158</v>
      </c>
      <c r="B3159" s="11" t="s">
        <v>6493</v>
      </c>
      <c r="C3159" s="14" t="str">
        <f>IFERROR(INDEX(面试清单!D:D,MATCH(3158,面试清单!P:P,0)),"")</f>
        <v/>
      </c>
      <c r="D3159" s="11" t="s">
        <v>42</v>
      </c>
      <c r="E3159" s="11" t="s">
        <v>64</v>
      </c>
      <c r="F3159" s="11" t="s">
        <v>6428</v>
      </c>
      <c r="G3159" s="15">
        <v>46185</v>
      </c>
      <c r="H3159" s="14" t="str">
        <f>IFERROR(INDEX(面试清单!H:H,MATCH(3158,面试清单!P:P,0)),"")</f>
        <v/>
      </c>
      <c r="I3159" s="13" t="s">
        <v>29</v>
      </c>
      <c r="J3159" s="14">
        <f ca="1" t="shared" si="148"/>
        <v>4</v>
      </c>
      <c r="K3159" s="14">
        <f ca="1" t="shared" si="149"/>
        <v>5</v>
      </c>
    </row>
    <row r="3160" ht="18" spans="1:11">
      <c r="A3160" s="10">
        <f t="shared" si="147"/>
        <v>3159</v>
      </c>
      <c r="B3160" s="11" t="s">
        <v>6494</v>
      </c>
      <c r="C3160" s="125" t="str">
        <f>IFERROR(INDEX(面试清单!D:D,MATCH(3159,面试清单!P:P,0)),"")</f>
        <v>0218</v>
      </c>
      <c r="D3160" s="11" t="s">
        <v>42</v>
      </c>
      <c r="E3160" s="11" t="s">
        <v>63</v>
      </c>
      <c r="F3160" s="11" t="s">
        <v>6428</v>
      </c>
      <c r="G3160" s="15">
        <v>46185</v>
      </c>
      <c r="H3160" s="10" t="str">
        <f>IFERROR(INDEX(面试清单!H:H,MATCH(3159,面试清单!P:P,0)),"")</f>
        <v>线上</v>
      </c>
      <c r="I3160" s="13" t="s">
        <v>29</v>
      </c>
      <c r="J3160" s="10">
        <f ca="1" t="shared" si="148"/>
        <v>4</v>
      </c>
      <c r="K3160" s="10">
        <f ca="1" t="shared" si="149"/>
        <v>5</v>
      </c>
    </row>
    <row r="3161" ht="18" spans="1:11">
      <c r="A3161" s="14">
        <f t="shared" si="147"/>
        <v>3160</v>
      </c>
      <c r="B3161" s="11" t="s">
        <v>6495</v>
      </c>
      <c r="C3161" s="14" t="str">
        <f>IFERROR(INDEX(面试清单!D:D,MATCH(3160,面试清单!P:P,0)),"")</f>
        <v/>
      </c>
      <c r="D3161" s="11" t="s">
        <v>42</v>
      </c>
      <c r="E3161" s="11" t="s">
        <v>64</v>
      </c>
      <c r="F3161" s="11" t="s">
        <v>6428</v>
      </c>
      <c r="G3161" s="15">
        <v>46185</v>
      </c>
      <c r="H3161" s="14" t="str">
        <f>IFERROR(INDEX(面试清单!H:H,MATCH(3160,面试清单!P:P,0)),"")</f>
        <v/>
      </c>
      <c r="I3161" s="13" t="s">
        <v>29</v>
      </c>
      <c r="J3161" s="14">
        <f ca="1" t="shared" si="148"/>
        <v>4</v>
      </c>
      <c r="K3161" s="14">
        <f ca="1" t="shared" si="149"/>
        <v>5</v>
      </c>
    </row>
    <row r="3162" ht="18" spans="1:11">
      <c r="A3162" s="10">
        <f t="shared" si="147"/>
        <v>3161</v>
      </c>
      <c r="B3162" s="11" t="s">
        <v>6496</v>
      </c>
      <c r="C3162" s="10" t="str">
        <f>IFERROR(INDEX(面试清单!D:D,MATCH(3161,面试清单!P:P,0)),"")</f>
        <v/>
      </c>
      <c r="D3162" s="11" t="s">
        <v>42</v>
      </c>
      <c r="E3162" s="11" t="s">
        <v>63</v>
      </c>
      <c r="F3162" s="11" t="s">
        <v>6428</v>
      </c>
      <c r="G3162" s="15">
        <v>46185</v>
      </c>
      <c r="H3162" s="10" t="str">
        <f>IFERROR(INDEX(面试清单!H:H,MATCH(3161,面试清单!P:P,0)),"")</f>
        <v/>
      </c>
      <c r="I3162" s="13" t="s">
        <v>29</v>
      </c>
      <c r="J3162" s="10">
        <f ca="1" t="shared" si="148"/>
        <v>4</v>
      </c>
      <c r="K3162" s="10">
        <f ca="1" t="shared" si="149"/>
        <v>5</v>
      </c>
    </row>
    <row r="3163" ht="18" spans="1:11">
      <c r="A3163" s="14">
        <f t="shared" si="147"/>
        <v>3162</v>
      </c>
      <c r="B3163" s="11" t="s">
        <v>6497</v>
      </c>
      <c r="C3163" s="14" t="str">
        <f>IFERROR(INDEX(面试清单!D:D,MATCH(3162,面试清单!P:P,0)),"")</f>
        <v/>
      </c>
      <c r="D3163" s="11" t="s">
        <v>42</v>
      </c>
      <c r="E3163" s="11" t="s">
        <v>63</v>
      </c>
      <c r="F3163" s="11" t="s">
        <v>6428</v>
      </c>
      <c r="G3163" s="15">
        <v>46185</v>
      </c>
      <c r="H3163" s="14" t="str">
        <f>IFERROR(INDEX(面试清单!H:H,MATCH(3162,面试清单!P:P,0)),"")</f>
        <v/>
      </c>
      <c r="I3163" s="13" t="s">
        <v>29</v>
      </c>
      <c r="J3163" s="14">
        <f ca="1" t="shared" si="148"/>
        <v>4</v>
      </c>
      <c r="K3163" s="14">
        <f ca="1" t="shared" si="149"/>
        <v>5</v>
      </c>
    </row>
    <row r="3164" ht="18" spans="1:11">
      <c r="A3164" s="10">
        <f t="shared" si="147"/>
        <v>3163</v>
      </c>
      <c r="B3164" s="11" t="s">
        <v>6498</v>
      </c>
      <c r="C3164" s="10" t="str">
        <f>IFERROR(INDEX(面试清单!D:D,MATCH(3163,面试清单!P:P,0)),"")</f>
        <v/>
      </c>
      <c r="D3164" s="11" t="s">
        <v>42</v>
      </c>
      <c r="E3164" s="11" t="s">
        <v>63</v>
      </c>
      <c r="F3164" s="11" t="s">
        <v>6428</v>
      </c>
      <c r="G3164" s="15">
        <v>46185</v>
      </c>
      <c r="H3164" s="10" t="str">
        <f>IFERROR(INDEX(面试清单!H:H,MATCH(3163,面试清单!P:P,0)),"")</f>
        <v/>
      </c>
      <c r="I3164" s="13" t="s">
        <v>29</v>
      </c>
      <c r="J3164" s="10">
        <f ca="1" t="shared" si="148"/>
        <v>4</v>
      </c>
      <c r="K3164" s="10">
        <f ca="1" t="shared" si="149"/>
        <v>5</v>
      </c>
    </row>
    <row r="3165" ht="18" spans="1:11">
      <c r="A3165" s="14">
        <f t="shared" si="147"/>
        <v>3164</v>
      </c>
      <c r="B3165" s="11" t="s">
        <v>6499</v>
      </c>
      <c r="C3165" s="14" t="str">
        <f>IFERROR(INDEX(面试清单!D:D,MATCH(3164,面试清单!P:P,0)),"")</f>
        <v/>
      </c>
      <c r="D3165" s="11" t="s">
        <v>42</v>
      </c>
      <c r="E3165" s="11" t="s">
        <v>64</v>
      </c>
      <c r="F3165" s="11" t="s">
        <v>6428</v>
      </c>
      <c r="G3165" s="15">
        <v>46185</v>
      </c>
      <c r="H3165" s="14" t="str">
        <f>IFERROR(INDEX(面试清单!H:H,MATCH(3164,面试清单!P:P,0)),"")</f>
        <v/>
      </c>
      <c r="I3165" s="13" t="s">
        <v>29</v>
      </c>
      <c r="J3165" s="14">
        <f ca="1" t="shared" si="148"/>
        <v>4</v>
      </c>
      <c r="K3165" s="14">
        <f ca="1" t="shared" si="149"/>
        <v>5</v>
      </c>
    </row>
    <row r="3166" ht="18" spans="1:11">
      <c r="A3166" s="10">
        <f t="shared" si="147"/>
        <v>3165</v>
      </c>
      <c r="B3166" s="11" t="s">
        <v>6500</v>
      </c>
      <c r="C3166" s="10" t="str">
        <f>IFERROR(INDEX(面试清单!D:D,MATCH(3165,面试清单!P:P,0)),"")</f>
        <v/>
      </c>
      <c r="D3166" s="11" t="s">
        <v>42</v>
      </c>
      <c r="E3166" s="11" t="s">
        <v>64</v>
      </c>
      <c r="F3166" s="11" t="s">
        <v>6428</v>
      </c>
      <c r="G3166" s="15">
        <v>46185</v>
      </c>
      <c r="H3166" s="10" t="str">
        <f>IFERROR(INDEX(面试清单!H:H,MATCH(3165,面试清单!P:P,0)),"")</f>
        <v/>
      </c>
      <c r="I3166" s="13" t="s">
        <v>29</v>
      </c>
      <c r="J3166" s="10">
        <f ca="1" t="shared" si="148"/>
        <v>4</v>
      </c>
      <c r="K3166" s="10">
        <f ca="1" t="shared" si="149"/>
        <v>5</v>
      </c>
    </row>
    <row r="3167" ht="18" spans="1:11">
      <c r="A3167" s="14">
        <f t="shared" si="147"/>
        <v>3166</v>
      </c>
      <c r="B3167" s="11" t="s">
        <v>6501</v>
      </c>
      <c r="C3167" s="14" t="str">
        <f>IFERROR(INDEX(面试清单!D:D,MATCH(3166,面试清单!P:P,0)),"")</f>
        <v/>
      </c>
      <c r="D3167" s="11" t="s">
        <v>42</v>
      </c>
      <c r="E3167" s="11" t="s">
        <v>63</v>
      </c>
      <c r="F3167" s="11" t="s">
        <v>6428</v>
      </c>
      <c r="G3167" s="15">
        <v>46185</v>
      </c>
      <c r="H3167" s="14" t="str">
        <f>IFERROR(INDEX(面试清单!H:H,MATCH(3166,面试清单!P:P,0)),"")</f>
        <v/>
      </c>
      <c r="I3167" s="13" t="s">
        <v>29</v>
      </c>
      <c r="J3167" s="14">
        <f ca="1" t="shared" si="148"/>
        <v>4</v>
      </c>
      <c r="K3167" s="14">
        <f ca="1" t="shared" si="149"/>
        <v>5</v>
      </c>
    </row>
    <row r="3168" ht="18" spans="1:11">
      <c r="A3168" s="10">
        <f t="shared" si="147"/>
        <v>3167</v>
      </c>
      <c r="B3168" s="11" t="s">
        <v>6502</v>
      </c>
      <c r="C3168" s="10" t="str">
        <f>IFERROR(INDEX(面试清单!D:D,MATCH(3167,面试清单!P:P,0)),"")</f>
        <v/>
      </c>
      <c r="D3168" s="11" t="s">
        <v>42</v>
      </c>
      <c r="E3168" s="11" t="s">
        <v>64</v>
      </c>
      <c r="F3168" s="11" t="s">
        <v>6428</v>
      </c>
      <c r="G3168" s="15">
        <v>46185</v>
      </c>
      <c r="H3168" s="10" t="str">
        <f>IFERROR(INDEX(面试清单!H:H,MATCH(3167,面试清单!P:P,0)),"")</f>
        <v/>
      </c>
      <c r="I3168" s="13" t="s">
        <v>29</v>
      </c>
      <c r="J3168" s="10">
        <f ca="1" t="shared" si="148"/>
        <v>4</v>
      </c>
      <c r="K3168" s="10">
        <f ca="1" t="shared" si="149"/>
        <v>5</v>
      </c>
    </row>
    <row r="3169" ht="18" spans="1:11">
      <c r="A3169" s="14">
        <f t="shared" si="147"/>
        <v>3168</v>
      </c>
      <c r="B3169" s="11" t="s">
        <v>6503</v>
      </c>
      <c r="C3169" s="14" t="str">
        <f>IFERROR(INDEX(面试清单!D:D,MATCH(3168,面试清单!P:P,0)),"")</f>
        <v/>
      </c>
      <c r="D3169" s="11" t="s">
        <v>42</v>
      </c>
      <c r="E3169" s="11" t="s">
        <v>64</v>
      </c>
      <c r="F3169" s="11" t="s">
        <v>6428</v>
      </c>
      <c r="G3169" s="15">
        <v>46185</v>
      </c>
      <c r="H3169" s="14" t="str">
        <f>IFERROR(INDEX(面试清单!H:H,MATCH(3168,面试清单!P:P,0)),"")</f>
        <v/>
      </c>
      <c r="I3169" s="13" t="s">
        <v>29</v>
      </c>
      <c r="J3169" s="14">
        <f ca="1" t="shared" si="148"/>
        <v>4</v>
      </c>
      <c r="K3169" s="14">
        <f ca="1" t="shared" si="149"/>
        <v>5</v>
      </c>
    </row>
    <row r="3170" ht="18" spans="1:11">
      <c r="A3170" s="10">
        <f t="shared" si="147"/>
        <v>3169</v>
      </c>
      <c r="B3170" s="11" t="s">
        <v>6504</v>
      </c>
      <c r="C3170" s="10" t="str">
        <f>IFERROR(INDEX(面试清单!D:D,MATCH(3169,面试清单!P:P,0)),"")</f>
        <v/>
      </c>
      <c r="D3170" s="11" t="s">
        <v>43</v>
      </c>
      <c r="E3170" s="11" t="s">
        <v>64</v>
      </c>
      <c r="F3170" s="11" t="s">
        <v>6428</v>
      </c>
      <c r="G3170" s="15">
        <v>46185</v>
      </c>
      <c r="H3170" s="10" t="str">
        <f>IFERROR(INDEX(面试清单!H:H,MATCH(3169,面试清单!P:P,0)),"")</f>
        <v/>
      </c>
      <c r="I3170" s="13" t="s">
        <v>29</v>
      </c>
      <c r="J3170" s="10">
        <f ca="1" t="shared" si="148"/>
        <v>4</v>
      </c>
      <c r="K3170" s="10">
        <f ca="1" t="shared" si="149"/>
        <v>5</v>
      </c>
    </row>
    <row r="3171" ht="18" spans="1:11">
      <c r="A3171" s="14">
        <f t="shared" si="147"/>
        <v>3170</v>
      </c>
      <c r="B3171" s="11" t="s">
        <v>6505</v>
      </c>
      <c r="C3171" s="14" t="str">
        <f>IFERROR(INDEX(面试清单!D:D,MATCH(3170,面试清单!P:P,0)),"")</f>
        <v/>
      </c>
      <c r="D3171" s="11" t="s">
        <v>42</v>
      </c>
      <c r="E3171" s="11" t="s">
        <v>63</v>
      </c>
      <c r="F3171" s="11" t="s">
        <v>6428</v>
      </c>
      <c r="G3171" s="15">
        <v>46185</v>
      </c>
      <c r="H3171" s="14" t="str">
        <f>IFERROR(INDEX(面试清单!H:H,MATCH(3170,面试清单!P:P,0)),"")</f>
        <v/>
      </c>
      <c r="I3171" s="13" t="s">
        <v>29</v>
      </c>
      <c r="J3171" s="14">
        <f ca="1" t="shared" si="148"/>
        <v>4</v>
      </c>
      <c r="K3171" s="14">
        <f ca="1" t="shared" si="149"/>
        <v>5</v>
      </c>
    </row>
    <row r="3172" ht="18" spans="1:11">
      <c r="A3172" s="10">
        <f t="shared" si="147"/>
        <v>3171</v>
      </c>
      <c r="B3172" s="11" t="s">
        <v>6506</v>
      </c>
      <c r="C3172" s="10" t="str">
        <f>IFERROR(INDEX(面试清单!D:D,MATCH(3171,面试清单!P:P,0)),"")</f>
        <v/>
      </c>
      <c r="D3172" s="11" t="s">
        <v>43</v>
      </c>
      <c r="E3172" s="11" t="s">
        <v>64</v>
      </c>
      <c r="F3172" s="11" t="s">
        <v>6428</v>
      </c>
      <c r="G3172" s="15">
        <v>46185</v>
      </c>
      <c r="H3172" s="10" t="str">
        <f>IFERROR(INDEX(面试清单!H:H,MATCH(3171,面试清单!P:P,0)),"")</f>
        <v/>
      </c>
      <c r="I3172" s="13" t="s">
        <v>29</v>
      </c>
      <c r="J3172" s="10">
        <f ca="1" t="shared" si="148"/>
        <v>4</v>
      </c>
      <c r="K3172" s="10">
        <f ca="1" t="shared" si="149"/>
        <v>5</v>
      </c>
    </row>
    <row r="3173" ht="18" spans="1:11">
      <c r="A3173" s="14">
        <f t="shared" si="147"/>
        <v>3172</v>
      </c>
      <c r="B3173" s="11" t="s">
        <v>1547</v>
      </c>
      <c r="C3173" s="124" t="str">
        <f>IFERROR(INDEX(面试清单!D:D,MATCH(3172,面试清单!P:P,0)),"")</f>
        <v>0208</v>
      </c>
      <c r="D3173" s="11" t="s">
        <v>43</v>
      </c>
      <c r="E3173" s="11" t="s">
        <v>62</v>
      </c>
      <c r="F3173" s="11" t="s">
        <v>176</v>
      </c>
      <c r="G3173" s="15">
        <v>46185</v>
      </c>
      <c r="H3173" s="14" t="str">
        <f>IFERROR(INDEX(面试清单!H:H,MATCH(3172,面试清单!P:P,0)),"")</f>
        <v>线上</v>
      </c>
      <c r="I3173" s="13" t="s">
        <v>29</v>
      </c>
      <c r="J3173" s="14">
        <f ca="1" t="shared" si="148"/>
        <v>4</v>
      </c>
      <c r="K3173" s="14">
        <f ca="1" t="shared" si="149"/>
        <v>5</v>
      </c>
    </row>
    <row r="3174" ht="18" spans="1:11">
      <c r="A3174" s="10">
        <f t="shared" si="147"/>
        <v>3173</v>
      </c>
      <c r="B3174" s="11" t="s">
        <v>1548</v>
      </c>
      <c r="C3174" s="125" t="str">
        <f>IFERROR(INDEX(面试清单!D:D,MATCH(3173,面试清单!P:P,0)),"")</f>
        <v>0209</v>
      </c>
      <c r="D3174" s="11" t="s">
        <v>43</v>
      </c>
      <c r="E3174" s="11" t="s">
        <v>63</v>
      </c>
      <c r="F3174" s="11" t="s">
        <v>176</v>
      </c>
      <c r="G3174" s="15">
        <v>46185</v>
      </c>
      <c r="H3174" s="10" t="str">
        <f>IFERROR(INDEX(面试清单!H:H,MATCH(3173,面试清单!P:P,0)),"")</f>
        <v>线上</v>
      </c>
      <c r="I3174" s="13" t="s">
        <v>29</v>
      </c>
      <c r="J3174" s="10">
        <f ca="1" t="shared" si="148"/>
        <v>4</v>
      </c>
      <c r="K3174" s="10">
        <f ca="1" t="shared" si="149"/>
        <v>5</v>
      </c>
    </row>
    <row r="3175" ht="18" spans="1:11">
      <c r="A3175" s="14">
        <f t="shared" si="147"/>
        <v>3174</v>
      </c>
      <c r="B3175" s="11" t="s">
        <v>1157</v>
      </c>
      <c r="C3175" s="14" t="str">
        <f>IFERROR(INDEX(面试清单!D:D,MATCH(3174,面试清单!P:P,0)),"")</f>
        <v/>
      </c>
      <c r="D3175" s="11" t="s">
        <v>42</v>
      </c>
      <c r="E3175" s="11" t="s">
        <v>63</v>
      </c>
      <c r="F3175" s="11" t="s">
        <v>148</v>
      </c>
      <c r="G3175" s="15">
        <v>46185</v>
      </c>
      <c r="H3175" s="14" t="str">
        <f>IFERROR(INDEX(面试清单!H:H,MATCH(3174,面试清单!P:P,0)),"")</f>
        <v/>
      </c>
      <c r="I3175" s="13" t="s">
        <v>29</v>
      </c>
      <c r="J3175" s="14">
        <f ca="1" t="shared" si="148"/>
        <v>4</v>
      </c>
      <c r="K3175" s="14">
        <f ca="1" t="shared" si="149"/>
        <v>5</v>
      </c>
    </row>
    <row r="3176" ht="18" spans="1:11">
      <c r="A3176" s="10">
        <f t="shared" si="147"/>
        <v>3175</v>
      </c>
      <c r="B3176" s="11" t="s">
        <v>1647</v>
      </c>
      <c r="C3176" s="10" t="str">
        <f>IFERROR(INDEX(面试清单!D:D,MATCH(3175,面试清单!P:P,0)),"")</f>
        <v/>
      </c>
      <c r="D3176" s="11" t="s">
        <v>43</v>
      </c>
      <c r="E3176" s="11" t="s">
        <v>62</v>
      </c>
      <c r="F3176" s="11" t="s">
        <v>148</v>
      </c>
      <c r="G3176" s="15">
        <v>46185</v>
      </c>
      <c r="H3176" s="10" t="str">
        <f>IFERROR(INDEX(面试清单!H:H,MATCH(3175,面试清单!P:P,0)),"")</f>
        <v/>
      </c>
      <c r="I3176" s="13" t="s">
        <v>29</v>
      </c>
      <c r="J3176" s="10">
        <f ca="1" t="shared" si="148"/>
        <v>4</v>
      </c>
      <c r="K3176" s="10">
        <f ca="1" t="shared" si="149"/>
        <v>5</v>
      </c>
    </row>
    <row r="3177" ht="18" spans="1:11">
      <c r="A3177" s="14">
        <f t="shared" si="147"/>
        <v>3176</v>
      </c>
      <c r="B3177" s="11" t="s">
        <v>1610</v>
      </c>
      <c r="C3177" s="14" t="str">
        <f>IFERROR(INDEX(面试清单!D:D,MATCH(3176,面试清单!P:P,0)),"")</f>
        <v/>
      </c>
      <c r="D3177" s="11" t="s">
        <v>43</v>
      </c>
      <c r="E3177" s="11" t="s">
        <v>63</v>
      </c>
      <c r="F3177" s="11" t="s">
        <v>148</v>
      </c>
      <c r="G3177" s="15">
        <v>46185</v>
      </c>
      <c r="H3177" s="14" t="str">
        <f>IFERROR(INDEX(面试清单!H:H,MATCH(3176,面试清单!P:P,0)),"")</f>
        <v/>
      </c>
      <c r="I3177" s="13" t="s">
        <v>29</v>
      </c>
      <c r="J3177" s="14">
        <f ca="1" t="shared" si="148"/>
        <v>4</v>
      </c>
      <c r="K3177" s="14">
        <f ca="1" t="shared" si="149"/>
        <v>5</v>
      </c>
    </row>
    <row r="3178" ht="18" spans="1:11">
      <c r="A3178" s="10">
        <f t="shared" si="147"/>
        <v>3177</v>
      </c>
      <c r="B3178" s="11" t="s">
        <v>1611</v>
      </c>
      <c r="C3178" s="10" t="str">
        <f>IFERROR(INDEX(面试清单!D:D,MATCH(3177,面试清单!P:P,0)),"")</f>
        <v/>
      </c>
      <c r="D3178" s="11" t="s">
        <v>43</v>
      </c>
      <c r="E3178" s="11" t="s">
        <v>63</v>
      </c>
      <c r="F3178" s="11" t="s">
        <v>148</v>
      </c>
      <c r="G3178" s="15">
        <v>46185</v>
      </c>
      <c r="H3178" s="10" t="str">
        <f>IFERROR(INDEX(面试清单!H:H,MATCH(3177,面试清单!P:P,0)),"")</f>
        <v/>
      </c>
      <c r="I3178" s="13" t="s">
        <v>29</v>
      </c>
      <c r="J3178" s="10">
        <f ca="1" t="shared" si="148"/>
        <v>4</v>
      </c>
      <c r="K3178" s="10">
        <f ca="1" t="shared" si="149"/>
        <v>5</v>
      </c>
    </row>
    <row r="3179" ht="18" spans="1:11">
      <c r="A3179" s="14">
        <f t="shared" si="147"/>
        <v>3178</v>
      </c>
      <c r="B3179" s="11" t="s">
        <v>1844</v>
      </c>
      <c r="C3179" s="14" t="str">
        <f>IFERROR(INDEX(面试清单!D:D,MATCH(3178,面试清单!P:P,0)),"")</f>
        <v/>
      </c>
      <c r="D3179" s="11" t="s">
        <v>42</v>
      </c>
      <c r="E3179" s="11" t="s">
        <v>63</v>
      </c>
      <c r="F3179" s="11" t="s">
        <v>148</v>
      </c>
      <c r="G3179" s="15">
        <v>46185</v>
      </c>
      <c r="H3179" s="14" t="str">
        <f>IFERROR(INDEX(面试清单!H:H,MATCH(3178,面试清单!P:P,0)),"")</f>
        <v/>
      </c>
      <c r="I3179" s="13" t="s">
        <v>29</v>
      </c>
      <c r="J3179" s="14">
        <f ca="1" t="shared" si="148"/>
        <v>4</v>
      </c>
      <c r="K3179" s="14">
        <f ca="1" t="shared" si="149"/>
        <v>5</v>
      </c>
    </row>
    <row r="3180" ht="18" spans="1:11">
      <c r="A3180" s="10">
        <f t="shared" si="147"/>
        <v>3179</v>
      </c>
      <c r="B3180" s="11" t="s">
        <v>6507</v>
      </c>
      <c r="C3180" s="10" t="str">
        <f>IFERROR(INDEX(面试清单!D:D,MATCH(3179,面试清单!P:P,0)),"")</f>
        <v/>
      </c>
      <c r="D3180" s="11" t="s">
        <v>43</v>
      </c>
      <c r="E3180" s="11" t="s">
        <v>62</v>
      </c>
      <c r="F3180" s="11" t="s">
        <v>733</v>
      </c>
      <c r="G3180" s="15">
        <v>46185</v>
      </c>
      <c r="H3180" s="10" t="str">
        <f>IFERROR(INDEX(面试清单!H:H,MATCH(3179,面试清单!P:P,0)),"")</f>
        <v/>
      </c>
      <c r="I3180" s="13" t="s">
        <v>29</v>
      </c>
      <c r="J3180" s="10">
        <f ca="1" t="shared" si="148"/>
        <v>4</v>
      </c>
      <c r="K3180" s="10">
        <f ca="1" t="shared" si="149"/>
        <v>5</v>
      </c>
    </row>
    <row r="3181" ht="18" spans="1:11">
      <c r="A3181" s="14">
        <f t="shared" si="147"/>
        <v>3180</v>
      </c>
      <c r="B3181" s="11" t="s">
        <v>1824</v>
      </c>
      <c r="C3181" s="14" t="str">
        <f>IFERROR(INDEX(面试清单!D:D,MATCH(3180,面试清单!P:P,0)),"")</f>
        <v/>
      </c>
      <c r="D3181" s="11" t="s">
        <v>43</v>
      </c>
      <c r="E3181" s="11" t="s">
        <v>62</v>
      </c>
      <c r="F3181" s="11" t="s">
        <v>124</v>
      </c>
      <c r="G3181" s="15">
        <v>46185</v>
      </c>
      <c r="H3181" s="14" t="str">
        <f>IFERROR(INDEX(面试清单!H:H,MATCH(3180,面试清单!P:P,0)),"")</f>
        <v/>
      </c>
      <c r="I3181" s="13" t="s">
        <v>29</v>
      </c>
      <c r="J3181" s="14">
        <f ca="1" t="shared" si="148"/>
        <v>4</v>
      </c>
      <c r="K3181" s="14">
        <f ca="1" t="shared" si="149"/>
        <v>5</v>
      </c>
    </row>
    <row r="3182" ht="18" spans="1:11">
      <c r="A3182" s="10">
        <f t="shared" si="147"/>
        <v>3181</v>
      </c>
      <c r="B3182" s="11" t="s">
        <v>6508</v>
      </c>
      <c r="C3182" s="10" t="str">
        <f>IFERROR(INDEX(面试清单!D:D,MATCH(3181,面试清单!P:P,0)),"")</f>
        <v/>
      </c>
      <c r="D3182" s="11" t="s">
        <v>42</v>
      </c>
      <c r="E3182" s="11" t="s">
        <v>62</v>
      </c>
      <c r="F3182" s="11" t="s">
        <v>233</v>
      </c>
      <c r="G3182" s="15">
        <v>46185</v>
      </c>
      <c r="H3182" s="10" t="str">
        <f>IFERROR(INDEX(面试清单!H:H,MATCH(3181,面试清单!P:P,0)),"")</f>
        <v/>
      </c>
      <c r="I3182" s="13" t="s">
        <v>29</v>
      </c>
      <c r="J3182" s="10">
        <f ca="1" t="shared" si="148"/>
        <v>4</v>
      </c>
      <c r="K3182" s="10">
        <f ca="1" t="shared" si="149"/>
        <v>5</v>
      </c>
    </row>
    <row r="3183" ht="18" spans="1:11">
      <c r="A3183" s="14">
        <f t="shared" si="147"/>
        <v>3182</v>
      </c>
      <c r="B3183" s="11" t="s">
        <v>927</v>
      </c>
      <c r="C3183" s="14" t="str">
        <f>IFERROR(INDEX(面试清单!D:D,MATCH(3182,面试清单!P:P,0)),"")</f>
        <v/>
      </c>
      <c r="D3183" s="11" t="s">
        <v>43</v>
      </c>
      <c r="E3183" s="11" t="s">
        <v>62</v>
      </c>
      <c r="F3183" s="11" t="s">
        <v>103</v>
      </c>
      <c r="G3183" s="15">
        <v>46185</v>
      </c>
      <c r="H3183" s="14" t="str">
        <f>IFERROR(INDEX(面试清单!H:H,MATCH(3182,面试清单!P:P,0)),"")</f>
        <v/>
      </c>
      <c r="I3183" s="13" t="s">
        <v>29</v>
      </c>
      <c r="J3183" s="14">
        <f ca="1" t="shared" si="148"/>
        <v>4</v>
      </c>
      <c r="K3183" s="14">
        <f ca="1" t="shared" si="149"/>
        <v>5</v>
      </c>
    </row>
    <row r="3184" ht="18" spans="1:11">
      <c r="A3184" s="10">
        <f t="shared" si="147"/>
        <v>3183</v>
      </c>
      <c r="B3184" s="11" t="s">
        <v>6509</v>
      </c>
      <c r="C3184" s="10" t="str">
        <f>IFERROR(INDEX(面试清单!D:D,MATCH(3183,面试清单!P:P,0)),"")</f>
        <v/>
      </c>
      <c r="D3184" s="11" t="s">
        <v>42</v>
      </c>
      <c r="E3184" s="11" t="s">
        <v>62</v>
      </c>
      <c r="F3184" s="11" t="s">
        <v>179</v>
      </c>
      <c r="G3184" s="15">
        <v>46185</v>
      </c>
      <c r="H3184" s="10" t="str">
        <f>IFERROR(INDEX(面试清单!H:H,MATCH(3183,面试清单!P:P,0)),"")</f>
        <v/>
      </c>
      <c r="I3184" s="13" t="s">
        <v>29</v>
      </c>
      <c r="J3184" s="10">
        <f ca="1" t="shared" si="148"/>
        <v>4</v>
      </c>
      <c r="K3184" s="10">
        <f ca="1" t="shared" si="149"/>
        <v>5</v>
      </c>
    </row>
    <row r="3185" ht="18" spans="1:11">
      <c r="A3185" s="14">
        <f t="shared" si="147"/>
        <v>3184</v>
      </c>
      <c r="B3185" s="11" t="s">
        <v>1714</v>
      </c>
      <c r="C3185" s="14" t="str">
        <f>IFERROR(INDEX(面试清单!D:D,MATCH(3184,面试清单!P:P,0)),"")</f>
        <v/>
      </c>
      <c r="D3185" s="11" t="s">
        <v>42</v>
      </c>
      <c r="E3185" s="11" t="s">
        <v>63</v>
      </c>
      <c r="F3185" s="11" t="s">
        <v>631</v>
      </c>
      <c r="G3185" s="15">
        <v>46185</v>
      </c>
      <c r="H3185" s="14" t="str">
        <f>IFERROR(INDEX(面试清单!H:H,MATCH(3184,面试清单!P:P,0)),"")</f>
        <v/>
      </c>
      <c r="I3185" s="13" t="s">
        <v>29</v>
      </c>
      <c r="J3185" s="14">
        <f ca="1" t="shared" si="148"/>
        <v>4</v>
      </c>
      <c r="K3185" s="14">
        <f ca="1" t="shared" si="149"/>
        <v>5</v>
      </c>
    </row>
    <row r="3186" ht="18" spans="1:11">
      <c r="A3186" s="10">
        <f t="shared" si="147"/>
        <v>3185</v>
      </c>
      <c r="B3186" s="11" t="s">
        <v>1830</v>
      </c>
      <c r="C3186" s="10" t="str">
        <f>IFERROR(INDEX(面试清单!D:D,MATCH(3185,面试清单!P:P,0)),"")</f>
        <v/>
      </c>
      <c r="D3186" s="11" t="s">
        <v>43</v>
      </c>
      <c r="E3186" s="11" t="s">
        <v>63</v>
      </c>
      <c r="F3186" s="11" t="s">
        <v>509</v>
      </c>
      <c r="G3186" s="15">
        <v>46185</v>
      </c>
      <c r="H3186" s="10" t="str">
        <f>IFERROR(INDEX(面试清单!H:H,MATCH(3185,面试清单!P:P,0)),"")</f>
        <v/>
      </c>
      <c r="I3186" s="13" t="s">
        <v>29</v>
      </c>
      <c r="J3186" s="10">
        <f ca="1" t="shared" si="148"/>
        <v>4</v>
      </c>
      <c r="K3186" s="10">
        <f ca="1" t="shared" si="149"/>
        <v>5</v>
      </c>
    </row>
    <row r="3187" ht="18" spans="1:11">
      <c r="A3187" s="14">
        <f t="shared" si="147"/>
        <v>3186</v>
      </c>
      <c r="B3187" s="11" t="s">
        <v>1746</v>
      </c>
      <c r="C3187" s="14" t="str">
        <f>IFERROR(INDEX(面试清单!D:D,MATCH(3186,面试清单!P:P,0)),"")</f>
        <v/>
      </c>
      <c r="D3187" s="11" t="s">
        <v>43</v>
      </c>
      <c r="E3187" s="11" t="s">
        <v>62</v>
      </c>
      <c r="F3187" s="11" t="s">
        <v>173</v>
      </c>
      <c r="G3187" s="15">
        <v>46185</v>
      </c>
      <c r="H3187" s="14" t="str">
        <f>IFERROR(INDEX(面试清单!H:H,MATCH(3186,面试清单!P:P,0)),"")</f>
        <v/>
      </c>
      <c r="I3187" s="13" t="s">
        <v>29</v>
      </c>
      <c r="J3187" s="14">
        <f ca="1" t="shared" si="148"/>
        <v>4</v>
      </c>
      <c r="K3187" s="14">
        <f ca="1" t="shared" si="149"/>
        <v>5</v>
      </c>
    </row>
    <row r="3188" ht="18" spans="1:11">
      <c r="A3188" s="10">
        <f t="shared" si="147"/>
        <v>3187</v>
      </c>
      <c r="B3188" s="11" t="s">
        <v>1329</v>
      </c>
      <c r="C3188" s="10" t="str">
        <f>IFERROR(INDEX(面试清单!D:D,MATCH(3187,面试清单!P:P,0)),"")</f>
        <v/>
      </c>
      <c r="D3188" s="11" t="s">
        <v>42</v>
      </c>
      <c r="E3188" s="11" t="s">
        <v>62</v>
      </c>
      <c r="F3188" s="11" t="s">
        <v>173</v>
      </c>
      <c r="G3188" s="15">
        <v>46185</v>
      </c>
      <c r="H3188" s="10" t="str">
        <f>IFERROR(INDEX(面试清单!H:H,MATCH(3187,面试清单!P:P,0)),"")</f>
        <v/>
      </c>
      <c r="I3188" s="13" t="s">
        <v>29</v>
      </c>
      <c r="J3188" s="10">
        <f ca="1" t="shared" si="148"/>
        <v>4</v>
      </c>
      <c r="K3188" s="10">
        <f ca="1" t="shared" si="149"/>
        <v>5</v>
      </c>
    </row>
    <row r="3189" ht="18" spans="1:11">
      <c r="A3189" s="14">
        <f t="shared" si="147"/>
        <v>3188</v>
      </c>
      <c r="B3189" s="11" t="s">
        <v>1857</v>
      </c>
      <c r="C3189" s="14" t="str">
        <f>IFERROR(INDEX(面试清单!D:D,MATCH(3188,面试清单!P:P,0)),"")</f>
        <v/>
      </c>
      <c r="D3189" s="11" t="s">
        <v>42</v>
      </c>
      <c r="E3189" s="11" t="s">
        <v>62</v>
      </c>
      <c r="F3189" s="11" t="s">
        <v>173</v>
      </c>
      <c r="G3189" s="15">
        <v>46185</v>
      </c>
      <c r="H3189" s="14" t="str">
        <f>IFERROR(INDEX(面试清单!H:H,MATCH(3188,面试清单!P:P,0)),"")</f>
        <v/>
      </c>
      <c r="I3189" s="13" t="s">
        <v>29</v>
      </c>
      <c r="J3189" s="14">
        <f ca="1" t="shared" si="148"/>
        <v>4</v>
      </c>
      <c r="K3189" s="14">
        <f ca="1" t="shared" si="149"/>
        <v>5</v>
      </c>
    </row>
    <row r="3190" ht="18" spans="1:11">
      <c r="A3190" s="10">
        <f t="shared" si="147"/>
        <v>3189</v>
      </c>
      <c r="B3190" s="11" t="s">
        <v>6510</v>
      </c>
      <c r="C3190" s="10" t="str">
        <f>IFERROR(INDEX(面试清单!D:D,MATCH(3189,面试清单!P:P,0)),"")</f>
        <v/>
      </c>
      <c r="D3190" s="11" t="s">
        <v>42</v>
      </c>
      <c r="E3190" s="11" t="s">
        <v>62</v>
      </c>
      <c r="F3190" s="11" t="s">
        <v>173</v>
      </c>
      <c r="G3190" s="15">
        <v>46185</v>
      </c>
      <c r="H3190" s="10" t="str">
        <f>IFERROR(INDEX(面试清单!H:H,MATCH(3189,面试清单!P:P,0)),"")</f>
        <v/>
      </c>
      <c r="I3190" s="13" t="s">
        <v>29</v>
      </c>
      <c r="J3190" s="10">
        <f ca="1" t="shared" si="148"/>
        <v>4</v>
      </c>
      <c r="K3190" s="10">
        <f ca="1" t="shared" si="149"/>
        <v>5</v>
      </c>
    </row>
    <row r="3191" ht="18" spans="1:11">
      <c r="A3191" s="14">
        <f t="shared" si="147"/>
        <v>3190</v>
      </c>
      <c r="B3191" s="11" t="s">
        <v>1755</v>
      </c>
      <c r="C3191" s="14" t="str">
        <f>IFERROR(INDEX(面试清单!D:D,MATCH(3190,面试清单!P:P,0)),"")</f>
        <v/>
      </c>
      <c r="D3191" s="11" t="s">
        <v>43</v>
      </c>
      <c r="E3191" s="11" t="s">
        <v>63</v>
      </c>
      <c r="F3191" s="11" t="s">
        <v>246</v>
      </c>
      <c r="G3191" s="15">
        <v>46185</v>
      </c>
      <c r="H3191" s="14" t="str">
        <f>IFERROR(INDEX(面试清单!H:H,MATCH(3190,面试清单!P:P,0)),"")</f>
        <v/>
      </c>
      <c r="I3191" s="13" t="s">
        <v>29</v>
      </c>
      <c r="J3191" s="14">
        <f ca="1" t="shared" si="148"/>
        <v>4</v>
      </c>
      <c r="K3191" s="14">
        <f ca="1" t="shared" si="149"/>
        <v>5</v>
      </c>
    </row>
    <row r="3192" ht="18" spans="1:11">
      <c r="A3192" s="10">
        <f t="shared" si="147"/>
        <v>3191</v>
      </c>
      <c r="B3192" s="11" t="s">
        <v>1588</v>
      </c>
      <c r="C3192" s="10" t="str">
        <f>IFERROR(INDEX(面试清单!D:D,MATCH(3191,面试清单!P:P,0)),"")</f>
        <v/>
      </c>
      <c r="D3192" s="11" t="s">
        <v>42</v>
      </c>
      <c r="E3192" s="11" t="s">
        <v>62</v>
      </c>
      <c r="F3192" s="11" t="s">
        <v>307</v>
      </c>
      <c r="G3192" s="15">
        <v>46185</v>
      </c>
      <c r="H3192" s="10" t="str">
        <f>IFERROR(INDEX(面试清单!H:H,MATCH(3191,面试清单!P:P,0)),"")</f>
        <v/>
      </c>
      <c r="I3192" s="13" t="s">
        <v>29</v>
      </c>
      <c r="J3192" s="10">
        <f ca="1" t="shared" si="148"/>
        <v>4</v>
      </c>
      <c r="K3192" s="10">
        <f ca="1" t="shared" si="149"/>
        <v>5</v>
      </c>
    </row>
    <row r="3193" ht="18" spans="1:11">
      <c r="A3193" s="14">
        <f t="shared" si="147"/>
        <v>3192</v>
      </c>
      <c r="B3193" s="11" t="s">
        <v>1710</v>
      </c>
      <c r="C3193" s="14" t="str">
        <f>IFERROR(INDEX(面试清单!D:D,MATCH(3192,面试清单!P:P,0)),"")</f>
        <v/>
      </c>
      <c r="D3193" s="11" t="s">
        <v>42</v>
      </c>
      <c r="E3193" s="11" t="s">
        <v>63</v>
      </c>
      <c r="F3193" s="11" t="s">
        <v>307</v>
      </c>
      <c r="G3193" s="15">
        <v>46185</v>
      </c>
      <c r="H3193" s="14" t="str">
        <f>IFERROR(INDEX(面试清单!H:H,MATCH(3192,面试清单!P:P,0)),"")</f>
        <v/>
      </c>
      <c r="I3193" s="13" t="s">
        <v>29</v>
      </c>
      <c r="J3193" s="14">
        <f ca="1" t="shared" si="148"/>
        <v>4</v>
      </c>
      <c r="K3193" s="14">
        <f ca="1" t="shared" si="149"/>
        <v>5</v>
      </c>
    </row>
    <row r="3194" ht="18" spans="1:11">
      <c r="A3194" s="10">
        <f t="shared" si="147"/>
        <v>3193</v>
      </c>
      <c r="B3194" s="11" t="s">
        <v>1709</v>
      </c>
      <c r="C3194" s="10" t="str">
        <f>IFERROR(INDEX(面试清单!D:D,MATCH(3193,面试清单!P:P,0)),"")</f>
        <v/>
      </c>
      <c r="D3194" s="11" t="s">
        <v>42</v>
      </c>
      <c r="E3194" s="11" t="s">
        <v>63</v>
      </c>
      <c r="F3194" s="11" t="s">
        <v>307</v>
      </c>
      <c r="G3194" s="15">
        <v>46185</v>
      </c>
      <c r="H3194" s="10" t="str">
        <f>IFERROR(INDEX(面试清单!H:H,MATCH(3193,面试清单!P:P,0)),"")</f>
        <v/>
      </c>
      <c r="I3194" s="13" t="s">
        <v>29</v>
      </c>
      <c r="J3194" s="10">
        <f ca="1" t="shared" si="148"/>
        <v>4</v>
      </c>
      <c r="K3194" s="10">
        <f ca="1" t="shared" si="149"/>
        <v>5</v>
      </c>
    </row>
    <row r="3195" ht="18" spans="1:11">
      <c r="A3195" s="14">
        <f t="shared" si="147"/>
        <v>3194</v>
      </c>
      <c r="B3195" s="11" t="s">
        <v>1719</v>
      </c>
      <c r="C3195" s="14" t="str">
        <f>IFERROR(INDEX(面试清单!D:D,MATCH(3194,面试清单!P:P,0)),"")</f>
        <v/>
      </c>
      <c r="D3195" s="11" t="s">
        <v>42</v>
      </c>
      <c r="E3195" s="11" t="s">
        <v>63</v>
      </c>
      <c r="F3195" s="11" t="s">
        <v>578</v>
      </c>
      <c r="G3195" s="15">
        <v>46185</v>
      </c>
      <c r="H3195" s="14" t="str">
        <f>IFERROR(INDEX(面试清单!H:H,MATCH(3194,面试清单!P:P,0)),"")</f>
        <v/>
      </c>
      <c r="I3195" s="13" t="s">
        <v>29</v>
      </c>
      <c r="J3195" s="14">
        <f ca="1" t="shared" si="148"/>
        <v>4</v>
      </c>
      <c r="K3195" s="14">
        <f ca="1" t="shared" si="149"/>
        <v>5</v>
      </c>
    </row>
    <row r="3196" ht="18" spans="1:11">
      <c r="A3196" s="10">
        <f t="shared" si="147"/>
        <v>3195</v>
      </c>
      <c r="B3196" s="11" t="s">
        <v>1801</v>
      </c>
      <c r="C3196" s="10" t="str">
        <f>IFERROR(INDEX(面试清单!D:D,MATCH(3195,面试清单!P:P,0)),"")</f>
        <v/>
      </c>
      <c r="D3196" s="11" t="s">
        <v>42</v>
      </c>
      <c r="E3196" s="11" t="s">
        <v>63</v>
      </c>
      <c r="F3196" s="11" t="s">
        <v>578</v>
      </c>
      <c r="G3196" s="15">
        <v>46185</v>
      </c>
      <c r="H3196" s="10" t="str">
        <f>IFERROR(INDEX(面试清单!H:H,MATCH(3195,面试清单!P:P,0)),"")</f>
        <v/>
      </c>
      <c r="I3196" s="13" t="s">
        <v>29</v>
      </c>
      <c r="J3196" s="10">
        <f ca="1" t="shared" si="148"/>
        <v>4</v>
      </c>
      <c r="K3196" s="10">
        <f ca="1" t="shared" si="149"/>
        <v>5</v>
      </c>
    </row>
    <row r="3197" ht="18" spans="1:11">
      <c r="A3197" s="14">
        <f t="shared" si="147"/>
        <v>3196</v>
      </c>
      <c r="B3197" s="11" t="s">
        <v>1802</v>
      </c>
      <c r="C3197" s="14" t="str">
        <f>IFERROR(INDEX(面试清单!D:D,MATCH(3196,面试清单!P:P,0)),"")</f>
        <v/>
      </c>
      <c r="D3197" s="11" t="s">
        <v>42</v>
      </c>
      <c r="E3197" s="11" t="s">
        <v>63</v>
      </c>
      <c r="F3197" s="11" t="s">
        <v>578</v>
      </c>
      <c r="G3197" s="15">
        <v>46185</v>
      </c>
      <c r="H3197" s="14" t="str">
        <f>IFERROR(INDEX(面试清单!H:H,MATCH(3196,面试清单!P:P,0)),"")</f>
        <v/>
      </c>
      <c r="I3197" s="13" t="s">
        <v>29</v>
      </c>
      <c r="J3197" s="14">
        <f ca="1" t="shared" si="148"/>
        <v>4</v>
      </c>
      <c r="K3197" s="14">
        <f ca="1" t="shared" si="149"/>
        <v>5</v>
      </c>
    </row>
    <row r="3198" ht="18" spans="1:11">
      <c r="A3198" s="10">
        <f t="shared" si="147"/>
        <v>3197</v>
      </c>
      <c r="B3198" s="11" t="s">
        <v>1803</v>
      </c>
      <c r="C3198" s="10" t="str">
        <f>IFERROR(INDEX(面试清单!D:D,MATCH(3197,面试清单!P:P,0)),"")</f>
        <v/>
      </c>
      <c r="D3198" s="11" t="s">
        <v>42</v>
      </c>
      <c r="E3198" s="11" t="s">
        <v>63</v>
      </c>
      <c r="F3198" s="11" t="s">
        <v>578</v>
      </c>
      <c r="G3198" s="15">
        <v>46185</v>
      </c>
      <c r="H3198" s="10" t="str">
        <f>IFERROR(INDEX(面试清单!H:H,MATCH(3197,面试清单!P:P,0)),"")</f>
        <v/>
      </c>
      <c r="I3198" s="13" t="s">
        <v>29</v>
      </c>
      <c r="J3198" s="10">
        <f ca="1" t="shared" si="148"/>
        <v>4</v>
      </c>
      <c r="K3198" s="10">
        <f ca="1" t="shared" si="149"/>
        <v>5</v>
      </c>
    </row>
    <row r="3199" ht="18" spans="1:11">
      <c r="A3199" s="14">
        <f t="shared" si="147"/>
        <v>3198</v>
      </c>
      <c r="B3199" s="11" t="s">
        <v>6511</v>
      </c>
      <c r="C3199" s="14" t="str">
        <f>IFERROR(INDEX(面试清单!D:D,MATCH(3198,面试清单!P:P,0)),"")</f>
        <v/>
      </c>
      <c r="D3199" s="11" t="s">
        <v>43</v>
      </c>
      <c r="E3199" s="11" t="s">
        <v>62</v>
      </c>
      <c r="F3199" s="11" t="s">
        <v>148</v>
      </c>
      <c r="G3199" s="15">
        <v>46185</v>
      </c>
      <c r="H3199" s="14" t="str">
        <f>IFERROR(INDEX(面试清单!H:H,MATCH(3198,面试清单!P:P,0)),"")</f>
        <v/>
      </c>
      <c r="I3199" s="13" t="s">
        <v>29</v>
      </c>
      <c r="J3199" s="14">
        <f ca="1" t="shared" si="148"/>
        <v>4</v>
      </c>
      <c r="K3199" s="14">
        <f ca="1" t="shared" si="149"/>
        <v>5</v>
      </c>
    </row>
    <row r="3200" ht="18" spans="1:11">
      <c r="A3200" s="10">
        <f t="shared" si="147"/>
        <v>3199</v>
      </c>
      <c r="B3200" s="11" t="s">
        <v>1833</v>
      </c>
      <c r="C3200" s="125" t="str">
        <f>IFERROR(INDEX(面试清单!D:D,MATCH(3199,面试清单!P:P,0)),"")</f>
        <v>0208</v>
      </c>
      <c r="D3200" s="11" t="s">
        <v>43</v>
      </c>
      <c r="E3200" s="11" t="s">
        <v>62</v>
      </c>
      <c r="F3200" s="11" t="s">
        <v>148</v>
      </c>
      <c r="G3200" s="15">
        <v>46185</v>
      </c>
      <c r="H3200" s="10" t="str">
        <f>IFERROR(INDEX(面试清单!H:H,MATCH(3199,面试清单!P:P,0)),"")</f>
        <v>线上</v>
      </c>
      <c r="I3200" s="13" t="s">
        <v>29</v>
      </c>
      <c r="J3200" s="10">
        <f ca="1" t="shared" si="148"/>
        <v>4</v>
      </c>
      <c r="K3200" s="10">
        <f ca="1" t="shared" si="149"/>
        <v>5</v>
      </c>
    </row>
    <row r="3201" ht="18" spans="1:11">
      <c r="A3201" s="14">
        <f t="shared" si="147"/>
        <v>3200</v>
      </c>
      <c r="B3201" s="11" t="s">
        <v>1834</v>
      </c>
      <c r="C3201" s="14" t="str">
        <f>IFERROR(INDEX(面试清单!D:D,MATCH(3200,面试清单!P:P,0)),"")</f>
        <v/>
      </c>
      <c r="D3201" s="11" t="s">
        <v>43</v>
      </c>
      <c r="E3201" s="11" t="s">
        <v>62</v>
      </c>
      <c r="F3201" s="11" t="s">
        <v>148</v>
      </c>
      <c r="G3201" s="15">
        <v>46185</v>
      </c>
      <c r="H3201" s="14" t="str">
        <f>IFERROR(INDEX(面试清单!H:H,MATCH(3200,面试清单!P:P,0)),"")</f>
        <v/>
      </c>
      <c r="I3201" s="13" t="s">
        <v>29</v>
      </c>
      <c r="J3201" s="14">
        <f ca="1" t="shared" si="148"/>
        <v>4</v>
      </c>
      <c r="K3201" s="14">
        <f ca="1" t="shared" si="149"/>
        <v>5</v>
      </c>
    </row>
    <row r="3202" ht="18" spans="1:11">
      <c r="A3202" s="10">
        <f t="shared" ref="A3202:A3265" si="150">IF(B3202&lt;&gt;"",ROW()-1,"")</f>
        <v>3201</v>
      </c>
      <c r="B3202" s="11" t="s">
        <v>1835</v>
      </c>
      <c r="C3202" s="10" t="str">
        <f>IFERROR(INDEX(面试清单!D:D,MATCH(3201,面试清单!P:P,0)),"")</f>
        <v/>
      </c>
      <c r="D3202" s="11" t="s">
        <v>43</v>
      </c>
      <c r="E3202" s="11" t="s">
        <v>62</v>
      </c>
      <c r="F3202" s="11" t="s">
        <v>148</v>
      </c>
      <c r="G3202" s="15">
        <v>46185</v>
      </c>
      <c r="H3202" s="10" t="str">
        <f>IFERROR(INDEX(面试清单!H:H,MATCH(3201,面试清单!P:P,0)),"")</f>
        <v/>
      </c>
      <c r="I3202" s="13" t="s">
        <v>29</v>
      </c>
      <c r="J3202" s="10">
        <f ca="1" t="shared" ref="J3202:J3265" si="151">IF(G3202&lt;&gt;"",TODAY()-G3202,"")</f>
        <v>4</v>
      </c>
      <c r="K3202" s="10">
        <f ca="1" t="shared" ref="K3202:K3265" si="152">IF(G3202&lt;&gt;"",MAX(0,MIN(TODAY(),EOMONTH(TODAY(),0))-MAX(G3202,EOMONTH(TODAY(),-1)+1)+1),"")</f>
        <v>5</v>
      </c>
    </row>
    <row r="3203" ht="18" spans="1:11">
      <c r="A3203" s="14">
        <f t="shared" si="150"/>
        <v>3202</v>
      </c>
      <c r="B3203" s="11" t="s">
        <v>1827</v>
      </c>
      <c r="C3203" s="124" t="str">
        <f>IFERROR(INDEX(面试清单!D:D,MATCH(3202,面试清单!P:P,0)),"")</f>
        <v>0212</v>
      </c>
      <c r="D3203" s="11" t="s">
        <v>43</v>
      </c>
      <c r="E3203" s="11" t="s">
        <v>63</v>
      </c>
      <c r="F3203" s="11" t="s">
        <v>505</v>
      </c>
      <c r="G3203" s="15">
        <v>46185</v>
      </c>
      <c r="H3203" s="14" t="str">
        <f>IFERROR(INDEX(面试清单!H:H,MATCH(3202,面试清单!P:P,0)),"")</f>
        <v>线上</v>
      </c>
      <c r="I3203" s="13" t="s">
        <v>29</v>
      </c>
      <c r="J3203" s="14">
        <f ca="1" t="shared" si="151"/>
        <v>4</v>
      </c>
      <c r="K3203" s="14">
        <f ca="1" t="shared" si="152"/>
        <v>5</v>
      </c>
    </row>
    <row r="3204" ht="18" spans="1:11">
      <c r="A3204" s="10">
        <f t="shared" si="150"/>
        <v>3203</v>
      </c>
      <c r="B3204" s="11" t="s">
        <v>1756</v>
      </c>
      <c r="C3204" s="10" t="str">
        <f>IFERROR(INDEX(面试清单!D:D,MATCH(3203,面试清单!P:P,0)),"")</f>
        <v/>
      </c>
      <c r="D3204" s="11" t="s">
        <v>43</v>
      </c>
      <c r="E3204" s="11" t="s">
        <v>62</v>
      </c>
      <c r="F3204" s="11" t="s">
        <v>132</v>
      </c>
      <c r="G3204" s="15">
        <v>46185</v>
      </c>
      <c r="H3204" s="10" t="str">
        <f>IFERROR(INDEX(面试清单!H:H,MATCH(3203,面试清单!P:P,0)),"")</f>
        <v/>
      </c>
      <c r="I3204" s="13" t="s">
        <v>29</v>
      </c>
      <c r="J3204" s="10">
        <f ca="1" t="shared" si="151"/>
        <v>4</v>
      </c>
      <c r="K3204" s="10">
        <f ca="1" t="shared" si="152"/>
        <v>5</v>
      </c>
    </row>
    <row r="3205" ht="18" spans="1:11">
      <c r="A3205" s="14">
        <f t="shared" si="150"/>
        <v>3204</v>
      </c>
      <c r="B3205" s="11" t="s">
        <v>1730</v>
      </c>
      <c r="C3205" s="14" t="str">
        <f>IFERROR(INDEX(面试清单!D:D,MATCH(3204,面试清单!P:P,0)),"")</f>
        <v/>
      </c>
      <c r="D3205" s="11" t="s">
        <v>43</v>
      </c>
      <c r="E3205" s="11" t="s">
        <v>62</v>
      </c>
      <c r="F3205" s="11" t="s">
        <v>1006</v>
      </c>
      <c r="G3205" s="15">
        <v>46185</v>
      </c>
      <c r="H3205" s="14" t="str">
        <f>IFERROR(INDEX(面试清单!H:H,MATCH(3204,面试清单!P:P,0)),"")</f>
        <v/>
      </c>
      <c r="I3205" s="13" t="s">
        <v>29</v>
      </c>
      <c r="J3205" s="14">
        <f ca="1" t="shared" si="151"/>
        <v>4</v>
      </c>
      <c r="K3205" s="14">
        <f ca="1" t="shared" si="152"/>
        <v>5</v>
      </c>
    </row>
    <row r="3206" ht="18" spans="1:11">
      <c r="A3206" s="10">
        <f t="shared" si="150"/>
        <v>3205</v>
      </c>
      <c r="B3206" s="11" t="s">
        <v>1839</v>
      </c>
      <c r="C3206" s="10" t="str">
        <f>IFERROR(INDEX(面试清单!D:D,MATCH(3205,面试清单!P:P,0)),"")</f>
        <v/>
      </c>
      <c r="D3206" s="11" t="s">
        <v>43</v>
      </c>
      <c r="E3206" s="11" t="s">
        <v>63</v>
      </c>
      <c r="F3206" s="11" t="s">
        <v>233</v>
      </c>
      <c r="G3206" s="15">
        <v>46185</v>
      </c>
      <c r="H3206" s="10" t="str">
        <f>IFERROR(INDEX(面试清单!H:H,MATCH(3205,面试清单!P:P,0)),"")</f>
        <v/>
      </c>
      <c r="I3206" s="13" t="s">
        <v>29</v>
      </c>
      <c r="J3206" s="10">
        <f ca="1" t="shared" si="151"/>
        <v>4</v>
      </c>
      <c r="K3206" s="10">
        <f ca="1" t="shared" si="152"/>
        <v>5</v>
      </c>
    </row>
    <row r="3207" ht="18" spans="1:11">
      <c r="A3207" s="14">
        <f t="shared" si="150"/>
        <v>3206</v>
      </c>
      <c r="B3207" s="11" t="s">
        <v>1838</v>
      </c>
      <c r="C3207" s="14" t="str">
        <f>IFERROR(INDEX(面试清单!D:D,MATCH(3206,面试清单!P:P,0)),"")</f>
        <v/>
      </c>
      <c r="D3207" s="11" t="s">
        <v>43</v>
      </c>
      <c r="E3207" s="11" t="s">
        <v>63</v>
      </c>
      <c r="F3207" s="11" t="s">
        <v>233</v>
      </c>
      <c r="G3207" s="15">
        <v>46185</v>
      </c>
      <c r="H3207" s="14" t="str">
        <f>IFERROR(INDEX(面试清单!H:H,MATCH(3206,面试清单!P:P,0)),"")</f>
        <v/>
      </c>
      <c r="I3207" s="13" t="s">
        <v>29</v>
      </c>
      <c r="J3207" s="14">
        <f ca="1" t="shared" si="151"/>
        <v>4</v>
      </c>
      <c r="K3207" s="14">
        <f ca="1" t="shared" si="152"/>
        <v>5</v>
      </c>
    </row>
    <row r="3208" ht="18" spans="1:11">
      <c r="A3208" s="10">
        <f t="shared" si="150"/>
        <v>3207</v>
      </c>
      <c r="B3208" s="11" t="s">
        <v>525</v>
      </c>
      <c r="C3208" s="10" t="str">
        <f>IFERROR(INDEX(面试清单!D:D,MATCH(3207,面试清单!P:P,0)),"")</f>
        <v/>
      </c>
      <c r="D3208" s="11" t="s">
        <v>42</v>
      </c>
      <c r="E3208" s="11" t="s">
        <v>64</v>
      </c>
      <c r="F3208" s="11" t="s">
        <v>148</v>
      </c>
      <c r="G3208" s="15">
        <v>46185</v>
      </c>
      <c r="H3208" s="10" t="str">
        <f>IFERROR(INDEX(面试清单!H:H,MATCH(3207,面试清单!P:P,0)),"")</f>
        <v/>
      </c>
      <c r="I3208" s="13" t="s">
        <v>29</v>
      </c>
      <c r="J3208" s="10">
        <f ca="1" t="shared" si="151"/>
        <v>4</v>
      </c>
      <c r="K3208" s="10">
        <f ca="1" t="shared" si="152"/>
        <v>5</v>
      </c>
    </row>
    <row r="3209" ht="18" spans="1:11">
      <c r="A3209" s="14">
        <f t="shared" si="150"/>
        <v>3208</v>
      </c>
      <c r="B3209" s="11" t="s">
        <v>864</v>
      </c>
      <c r="C3209" s="14" t="str">
        <f>IFERROR(INDEX(面试清单!D:D,MATCH(3208,面试清单!P:P,0)),"")</f>
        <v/>
      </c>
      <c r="D3209" s="11" t="s">
        <v>42</v>
      </c>
      <c r="E3209" s="11" t="s">
        <v>64</v>
      </c>
      <c r="F3209" s="11" t="s">
        <v>148</v>
      </c>
      <c r="G3209" s="15">
        <v>46185</v>
      </c>
      <c r="H3209" s="14" t="str">
        <f>IFERROR(INDEX(面试清单!H:H,MATCH(3208,面试清单!P:P,0)),"")</f>
        <v/>
      </c>
      <c r="I3209" s="13" t="s">
        <v>29</v>
      </c>
      <c r="J3209" s="14">
        <f ca="1" t="shared" si="151"/>
        <v>4</v>
      </c>
      <c r="K3209" s="14">
        <f ca="1" t="shared" si="152"/>
        <v>5</v>
      </c>
    </row>
    <row r="3210" ht="18" spans="1:11">
      <c r="A3210" s="10">
        <f t="shared" si="150"/>
        <v>3209</v>
      </c>
      <c r="B3210" s="11" t="s">
        <v>791</v>
      </c>
      <c r="C3210" s="10" t="str">
        <f>IFERROR(INDEX(面试清单!D:D,MATCH(3209,面试清单!P:P,0)),"")</f>
        <v/>
      </c>
      <c r="D3210" s="11" t="s">
        <v>42</v>
      </c>
      <c r="E3210" s="11" t="s">
        <v>64</v>
      </c>
      <c r="F3210" s="11" t="s">
        <v>148</v>
      </c>
      <c r="G3210" s="15">
        <v>46185</v>
      </c>
      <c r="H3210" s="10" t="str">
        <f>IFERROR(INDEX(面试清单!H:H,MATCH(3209,面试清单!P:P,0)),"")</f>
        <v/>
      </c>
      <c r="I3210" s="13" t="s">
        <v>29</v>
      </c>
      <c r="J3210" s="10">
        <f ca="1" t="shared" si="151"/>
        <v>4</v>
      </c>
      <c r="K3210" s="10">
        <f ca="1" t="shared" si="152"/>
        <v>5</v>
      </c>
    </row>
    <row r="3211" ht="18" spans="1:11">
      <c r="A3211" s="14">
        <f t="shared" si="150"/>
        <v>3210</v>
      </c>
      <c r="B3211" s="11" t="s">
        <v>961</v>
      </c>
      <c r="C3211" s="14" t="str">
        <f>IFERROR(INDEX(面试清单!D:D,MATCH(3210,面试清单!P:P,0)),"")</f>
        <v/>
      </c>
      <c r="D3211" s="11" t="s">
        <v>74</v>
      </c>
      <c r="E3211" s="11" t="s">
        <v>64</v>
      </c>
      <c r="F3211" s="11" t="s">
        <v>124</v>
      </c>
      <c r="G3211" s="15">
        <v>46185</v>
      </c>
      <c r="H3211" s="14" t="str">
        <f>IFERROR(INDEX(面试清单!H:H,MATCH(3210,面试清单!P:P,0)),"")</f>
        <v/>
      </c>
      <c r="I3211" s="13" t="s">
        <v>29</v>
      </c>
      <c r="J3211" s="14">
        <f ca="1" t="shared" si="151"/>
        <v>4</v>
      </c>
      <c r="K3211" s="14">
        <f ca="1" t="shared" si="152"/>
        <v>5</v>
      </c>
    </row>
    <row r="3212" ht="18" spans="1:11">
      <c r="A3212" s="10">
        <f t="shared" si="150"/>
        <v>3211</v>
      </c>
      <c r="B3212" s="11" t="s">
        <v>962</v>
      </c>
      <c r="C3212" s="125" t="str">
        <f>IFERROR(INDEX(面试清单!D:D,MATCH(3211,面试清单!P:P,0)),"")</f>
        <v>0212</v>
      </c>
      <c r="D3212" s="11" t="s">
        <v>42</v>
      </c>
      <c r="E3212" s="11" t="s">
        <v>64</v>
      </c>
      <c r="F3212" s="11" t="s">
        <v>103</v>
      </c>
      <c r="G3212" s="15">
        <v>46185</v>
      </c>
      <c r="H3212" s="10" t="str">
        <f>IFERROR(INDEX(面试清单!H:H,MATCH(3211,面试清单!P:P,0)),"")</f>
        <v>线上</v>
      </c>
      <c r="I3212" s="13" t="s">
        <v>29</v>
      </c>
      <c r="J3212" s="10">
        <f ca="1" t="shared" si="151"/>
        <v>4</v>
      </c>
      <c r="K3212" s="10">
        <f ca="1" t="shared" si="152"/>
        <v>5</v>
      </c>
    </row>
    <row r="3213" ht="18" spans="1:11">
      <c r="A3213" s="14">
        <f t="shared" si="150"/>
        <v>3212</v>
      </c>
      <c r="B3213" s="11" t="s">
        <v>963</v>
      </c>
      <c r="C3213" s="14" t="str">
        <f>IFERROR(INDEX(面试清单!D:D,MATCH(3212,面试清单!P:P,0)),"")</f>
        <v/>
      </c>
      <c r="D3213" s="11" t="s">
        <v>43</v>
      </c>
      <c r="E3213" s="11" t="s">
        <v>64</v>
      </c>
      <c r="F3213" s="11" t="s">
        <v>103</v>
      </c>
      <c r="G3213" s="15">
        <v>46185</v>
      </c>
      <c r="H3213" s="14" t="str">
        <f>IFERROR(INDEX(面试清单!H:H,MATCH(3212,面试清单!P:P,0)),"")</f>
        <v/>
      </c>
      <c r="I3213" s="13" t="s">
        <v>29</v>
      </c>
      <c r="J3213" s="14">
        <f ca="1" t="shared" si="151"/>
        <v>4</v>
      </c>
      <c r="K3213" s="14">
        <f ca="1" t="shared" si="152"/>
        <v>5</v>
      </c>
    </row>
    <row r="3214" ht="18" spans="1:11">
      <c r="A3214" s="10">
        <f t="shared" si="150"/>
        <v>3213</v>
      </c>
      <c r="B3214" s="11" t="s">
        <v>964</v>
      </c>
      <c r="C3214" s="10" t="str">
        <f>IFERROR(INDEX(面试清单!D:D,MATCH(3213,面试清单!P:P,0)),"")</f>
        <v/>
      </c>
      <c r="D3214" s="11" t="s">
        <v>42</v>
      </c>
      <c r="E3214" s="11" t="s">
        <v>64</v>
      </c>
      <c r="F3214" s="11" t="s">
        <v>117</v>
      </c>
      <c r="G3214" s="15">
        <v>46185</v>
      </c>
      <c r="H3214" s="10" t="str">
        <f>IFERROR(INDEX(面试清单!H:H,MATCH(3213,面试清单!P:P,0)),"")</f>
        <v/>
      </c>
      <c r="I3214" s="13" t="s">
        <v>29</v>
      </c>
      <c r="J3214" s="10">
        <f ca="1" t="shared" si="151"/>
        <v>4</v>
      </c>
      <c r="K3214" s="10">
        <f ca="1" t="shared" si="152"/>
        <v>5</v>
      </c>
    </row>
    <row r="3215" ht="18" spans="1:11">
      <c r="A3215" s="14">
        <f t="shared" si="150"/>
        <v>3214</v>
      </c>
      <c r="B3215" s="11" t="s">
        <v>965</v>
      </c>
      <c r="C3215" s="14" t="str">
        <f>IFERROR(INDEX(面试清单!D:D,MATCH(3214,面试清单!P:P,0)),"")</f>
        <v/>
      </c>
      <c r="D3215" s="11" t="s">
        <v>42</v>
      </c>
      <c r="E3215" s="11" t="s">
        <v>62</v>
      </c>
      <c r="F3215" s="11" t="s">
        <v>179</v>
      </c>
      <c r="G3215" s="15">
        <v>46185</v>
      </c>
      <c r="H3215" s="14" t="str">
        <f>IFERROR(INDEX(面试清单!H:H,MATCH(3214,面试清单!P:P,0)),"")</f>
        <v/>
      </c>
      <c r="I3215" s="13" t="s">
        <v>29</v>
      </c>
      <c r="J3215" s="14">
        <f ca="1" t="shared" si="151"/>
        <v>4</v>
      </c>
      <c r="K3215" s="14">
        <f ca="1" t="shared" si="152"/>
        <v>5</v>
      </c>
    </row>
    <row r="3216" ht="18" spans="1:11">
      <c r="A3216" s="10">
        <f t="shared" si="150"/>
        <v>3215</v>
      </c>
      <c r="B3216" s="11" t="s">
        <v>967</v>
      </c>
      <c r="C3216" s="10" t="str">
        <f>IFERROR(INDEX(面试清单!D:D,MATCH(3215,面试清单!P:P,0)),"")</f>
        <v/>
      </c>
      <c r="D3216" s="11" t="s">
        <v>74</v>
      </c>
      <c r="E3216" s="11" t="s">
        <v>64</v>
      </c>
      <c r="F3216" s="11" t="s">
        <v>135</v>
      </c>
      <c r="G3216" s="15">
        <v>46185</v>
      </c>
      <c r="H3216" s="10" t="str">
        <f>IFERROR(INDEX(面试清单!H:H,MATCH(3215,面试清单!P:P,0)),"")</f>
        <v/>
      </c>
      <c r="I3216" s="13" t="s">
        <v>29</v>
      </c>
      <c r="J3216" s="10">
        <f ca="1" t="shared" si="151"/>
        <v>4</v>
      </c>
      <c r="K3216" s="10">
        <f ca="1" t="shared" si="152"/>
        <v>5</v>
      </c>
    </row>
    <row r="3217" ht="18" spans="1:11">
      <c r="A3217" s="14">
        <f t="shared" si="150"/>
        <v>3216</v>
      </c>
      <c r="B3217" s="11" t="s">
        <v>986</v>
      </c>
      <c r="C3217" s="14" t="str">
        <f>IFERROR(INDEX(面试清单!D:D,MATCH(3216,面试清单!P:P,0)),"")</f>
        <v/>
      </c>
      <c r="D3217" s="11" t="s">
        <v>42</v>
      </c>
      <c r="E3217" s="11" t="s">
        <v>62</v>
      </c>
      <c r="F3217" s="11" t="s">
        <v>179</v>
      </c>
      <c r="G3217" s="15">
        <v>46185</v>
      </c>
      <c r="H3217" s="14" t="str">
        <f>IFERROR(INDEX(面试清单!H:H,MATCH(3216,面试清单!P:P,0)),"")</f>
        <v/>
      </c>
      <c r="I3217" s="13" t="s">
        <v>29</v>
      </c>
      <c r="J3217" s="14">
        <f ca="1" t="shared" si="151"/>
        <v>4</v>
      </c>
      <c r="K3217" s="14">
        <f ca="1" t="shared" si="152"/>
        <v>5</v>
      </c>
    </row>
    <row r="3218" ht="18" spans="1:11">
      <c r="A3218" s="10">
        <f t="shared" si="150"/>
        <v>3217</v>
      </c>
      <c r="B3218" s="11" t="s">
        <v>987</v>
      </c>
      <c r="C3218" s="10" t="str">
        <f>IFERROR(INDEX(面试清单!D:D,MATCH(3217,面试清单!P:P,0)),"")</f>
        <v/>
      </c>
      <c r="D3218" s="11" t="s">
        <v>74</v>
      </c>
      <c r="E3218" s="11" t="s">
        <v>190</v>
      </c>
      <c r="F3218" s="11" t="s">
        <v>179</v>
      </c>
      <c r="G3218" s="15">
        <v>46185</v>
      </c>
      <c r="H3218" s="10" t="str">
        <f>IFERROR(INDEX(面试清单!H:H,MATCH(3217,面试清单!P:P,0)),"")</f>
        <v/>
      </c>
      <c r="I3218" s="13" t="s">
        <v>29</v>
      </c>
      <c r="J3218" s="10">
        <f ca="1" t="shared" si="151"/>
        <v>4</v>
      </c>
      <c r="K3218" s="10">
        <f ca="1" t="shared" si="152"/>
        <v>5</v>
      </c>
    </row>
    <row r="3219" ht="18" spans="1:11">
      <c r="A3219" s="14">
        <f t="shared" si="150"/>
        <v>3218</v>
      </c>
      <c r="B3219" s="11" t="s">
        <v>988</v>
      </c>
      <c r="C3219" s="14" t="str">
        <f>IFERROR(INDEX(面试清单!D:D,MATCH(3218,面试清单!P:P,0)),"")</f>
        <v/>
      </c>
      <c r="D3219" s="11" t="s">
        <v>42</v>
      </c>
      <c r="E3219" s="11" t="s">
        <v>64</v>
      </c>
      <c r="F3219" s="11" t="s">
        <v>179</v>
      </c>
      <c r="G3219" s="15">
        <v>46185</v>
      </c>
      <c r="H3219" s="14" t="str">
        <f>IFERROR(INDEX(面试清单!H:H,MATCH(3218,面试清单!P:P,0)),"")</f>
        <v/>
      </c>
      <c r="I3219" s="13" t="s">
        <v>29</v>
      </c>
      <c r="J3219" s="14">
        <f ca="1" t="shared" si="151"/>
        <v>4</v>
      </c>
      <c r="K3219" s="14">
        <f ca="1" t="shared" si="152"/>
        <v>5</v>
      </c>
    </row>
    <row r="3220" ht="18" spans="1:11">
      <c r="A3220" s="10">
        <f t="shared" si="150"/>
        <v>3219</v>
      </c>
      <c r="B3220" s="11" t="s">
        <v>929</v>
      </c>
      <c r="C3220" s="10" t="str">
        <f>IFERROR(INDEX(面试清单!D:D,MATCH(3219,面试清单!P:P,0)),"")</f>
        <v/>
      </c>
      <c r="D3220" s="11" t="s">
        <v>42</v>
      </c>
      <c r="E3220" s="11" t="s">
        <v>64</v>
      </c>
      <c r="F3220" s="11" t="s">
        <v>179</v>
      </c>
      <c r="G3220" s="15">
        <v>46185</v>
      </c>
      <c r="H3220" s="10" t="str">
        <f>IFERROR(INDEX(面试清单!H:H,MATCH(3219,面试清单!P:P,0)),"")</f>
        <v/>
      </c>
      <c r="I3220" s="13" t="s">
        <v>29</v>
      </c>
      <c r="J3220" s="10">
        <f ca="1" t="shared" si="151"/>
        <v>4</v>
      </c>
      <c r="K3220" s="10">
        <f ca="1" t="shared" si="152"/>
        <v>5</v>
      </c>
    </row>
    <row r="3221" ht="18" spans="1:11">
      <c r="A3221" s="14">
        <f t="shared" si="150"/>
        <v>3220</v>
      </c>
      <c r="B3221" s="11" t="s">
        <v>930</v>
      </c>
      <c r="C3221" s="14" t="str">
        <f>IFERROR(INDEX(面试清单!D:D,MATCH(3220,面试清单!P:P,0)),"")</f>
        <v/>
      </c>
      <c r="D3221" s="11" t="s">
        <v>42</v>
      </c>
      <c r="E3221" s="11" t="s">
        <v>64</v>
      </c>
      <c r="F3221" s="11" t="s">
        <v>179</v>
      </c>
      <c r="G3221" s="15">
        <v>46185</v>
      </c>
      <c r="H3221" s="14" t="str">
        <f>IFERROR(INDEX(面试清单!H:H,MATCH(3220,面试清单!P:P,0)),"")</f>
        <v/>
      </c>
      <c r="I3221" s="13" t="s">
        <v>29</v>
      </c>
      <c r="J3221" s="14">
        <f ca="1" t="shared" si="151"/>
        <v>4</v>
      </c>
      <c r="K3221" s="14">
        <f ca="1" t="shared" si="152"/>
        <v>5</v>
      </c>
    </row>
    <row r="3222" ht="18" spans="1:11">
      <c r="A3222" s="10">
        <f t="shared" si="150"/>
        <v>3221</v>
      </c>
      <c r="B3222" s="11" t="s">
        <v>883</v>
      </c>
      <c r="C3222" s="10" t="str">
        <f>IFERROR(INDEX(面试清单!D:D,MATCH(3221,面试清单!P:P,0)),"")</f>
        <v/>
      </c>
      <c r="D3222" s="11" t="s">
        <v>42</v>
      </c>
      <c r="E3222" s="11" t="s">
        <v>64</v>
      </c>
      <c r="F3222" s="11" t="s">
        <v>179</v>
      </c>
      <c r="G3222" s="15">
        <v>46185</v>
      </c>
      <c r="H3222" s="10" t="str">
        <f>IFERROR(INDEX(面试清单!H:H,MATCH(3221,面试清单!P:P,0)),"")</f>
        <v/>
      </c>
      <c r="I3222" s="13" t="s">
        <v>29</v>
      </c>
      <c r="J3222" s="10">
        <f ca="1" t="shared" si="151"/>
        <v>4</v>
      </c>
      <c r="K3222" s="10">
        <f ca="1" t="shared" si="152"/>
        <v>5</v>
      </c>
    </row>
    <row r="3223" ht="18" spans="1:11">
      <c r="A3223" s="14">
        <f t="shared" si="150"/>
        <v>3222</v>
      </c>
      <c r="B3223" s="11" t="s">
        <v>943</v>
      </c>
      <c r="C3223" s="14" t="str">
        <f>IFERROR(INDEX(面试清单!D:D,MATCH(3222,面试清单!P:P,0)),"")</f>
        <v/>
      </c>
      <c r="D3223" s="11" t="s">
        <v>42</v>
      </c>
      <c r="E3223" s="11" t="s">
        <v>64</v>
      </c>
      <c r="F3223" s="11" t="s">
        <v>179</v>
      </c>
      <c r="G3223" s="15">
        <v>46185</v>
      </c>
      <c r="H3223" s="14" t="str">
        <f>IFERROR(INDEX(面试清单!H:H,MATCH(3222,面试清单!P:P,0)),"")</f>
        <v/>
      </c>
      <c r="I3223" s="13" t="s">
        <v>29</v>
      </c>
      <c r="J3223" s="14">
        <f ca="1" t="shared" si="151"/>
        <v>4</v>
      </c>
      <c r="K3223" s="14">
        <f ca="1" t="shared" si="152"/>
        <v>5</v>
      </c>
    </row>
    <row r="3224" ht="18" spans="1:11">
      <c r="A3224" s="10">
        <f t="shared" si="150"/>
        <v>3223</v>
      </c>
      <c r="B3224" s="11" t="s">
        <v>991</v>
      </c>
      <c r="C3224" s="10" t="str">
        <f>IFERROR(INDEX(面试清单!D:D,MATCH(3223,面试清单!P:P,0)),"")</f>
        <v/>
      </c>
      <c r="D3224" s="11" t="s">
        <v>43</v>
      </c>
      <c r="E3224" s="11" t="s">
        <v>64</v>
      </c>
      <c r="F3224" s="11" t="s">
        <v>179</v>
      </c>
      <c r="G3224" s="15">
        <v>46185</v>
      </c>
      <c r="H3224" s="10" t="str">
        <f>IFERROR(INDEX(面试清单!H:H,MATCH(3223,面试清单!P:P,0)),"")</f>
        <v/>
      </c>
      <c r="I3224" s="13" t="s">
        <v>29</v>
      </c>
      <c r="J3224" s="10">
        <f ca="1" t="shared" si="151"/>
        <v>4</v>
      </c>
      <c r="K3224" s="10">
        <f ca="1" t="shared" si="152"/>
        <v>5</v>
      </c>
    </row>
    <row r="3225" ht="18" spans="1:11">
      <c r="A3225" s="14">
        <f t="shared" si="150"/>
        <v>3224</v>
      </c>
      <c r="B3225" s="11" t="s">
        <v>992</v>
      </c>
      <c r="C3225" s="14" t="str">
        <f>IFERROR(INDEX(面试清单!D:D,MATCH(3224,面试清单!P:P,0)),"")</f>
        <v/>
      </c>
      <c r="D3225" s="11" t="s">
        <v>43</v>
      </c>
      <c r="E3225" s="11" t="s">
        <v>64</v>
      </c>
      <c r="F3225" s="11" t="s">
        <v>179</v>
      </c>
      <c r="G3225" s="15">
        <v>46185</v>
      </c>
      <c r="H3225" s="14" t="str">
        <f>IFERROR(INDEX(面试清单!H:H,MATCH(3224,面试清单!P:P,0)),"")</f>
        <v/>
      </c>
      <c r="I3225" s="13" t="s">
        <v>29</v>
      </c>
      <c r="J3225" s="14">
        <f ca="1" t="shared" si="151"/>
        <v>4</v>
      </c>
      <c r="K3225" s="14">
        <f ca="1" t="shared" si="152"/>
        <v>5</v>
      </c>
    </row>
    <row r="3226" ht="18" spans="1:11">
      <c r="A3226" s="10">
        <f t="shared" si="150"/>
        <v>3225</v>
      </c>
      <c r="B3226" s="11" t="s">
        <v>993</v>
      </c>
      <c r="C3226" s="125" t="str">
        <f>IFERROR(INDEX(面试清单!D:D,MATCH(3225,面试清单!P:P,0)),"")</f>
        <v>0221</v>
      </c>
      <c r="D3226" s="11" t="s">
        <v>42</v>
      </c>
      <c r="E3226" s="11" t="s">
        <v>64</v>
      </c>
      <c r="F3226" s="11" t="s">
        <v>179</v>
      </c>
      <c r="G3226" s="15">
        <v>46185</v>
      </c>
      <c r="H3226" s="10" t="str">
        <f>IFERROR(INDEX(面试清单!H:H,MATCH(3225,面试清单!P:P,0)),"")</f>
        <v>线上</v>
      </c>
      <c r="I3226" s="13" t="s">
        <v>29</v>
      </c>
      <c r="J3226" s="10">
        <f ca="1" t="shared" si="151"/>
        <v>4</v>
      </c>
      <c r="K3226" s="10">
        <f ca="1" t="shared" si="152"/>
        <v>5</v>
      </c>
    </row>
    <row r="3227" ht="18" spans="1:11">
      <c r="A3227" s="14">
        <f t="shared" si="150"/>
        <v>3226</v>
      </c>
      <c r="B3227" s="11" t="s">
        <v>994</v>
      </c>
      <c r="C3227" s="14" t="str">
        <f>IFERROR(INDEX(面试清单!D:D,MATCH(3226,面试清单!P:P,0)),"")</f>
        <v/>
      </c>
      <c r="D3227" s="11" t="s">
        <v>42</v>
      </c>
      <c r="E3227" s="11" t="s">
        <v>64</v>
      </c>
      <c r="F3227" s="11" t="s">
        <v>179</v>
      </c>
      <c r="G3227" s="15">
        <v>46185</v>
      </c>
      <c r="H3227" s="14" t="str">
        <f>IFERROR(INDEX(面试清单!H:H,MATCH(3226,面试清单!P:P,0)),"")</f>
        <v/>
      </c>
      <c r="I3227" s="13" t="s">
        <v>29</v>
      </c>
      <c r="J3227" s="14">
        <f ca="1" t="shared" si="151"/>
        <v>4</v>
      </c>
      <c r="K3227" s="14">
        <f ca="1" t="shared" si="152"/>
        <v>5</v>
      </c>
    </row>
    <row r="3228" ht="18" spans="1:11">
      <c r="A3228" s="10">
        <f t="shared" si="150"/>
        <v>3227</v>
      </c>
      <c r="B3228" s="11" t="s">
        <v>996</v>
      </c>
      <c r="C3228" s="10" t="str">
        <f>IFERROR(INDEX(面试清单!D:D,MATCH(3227,面试清单!P:P,0)),"")</f>
        <v/>
      </c>
      <c r="D3228" s="11" t="s">
        <v>43</v>
      </c>
      <c r="E3228" s="11" t="s">
        <v>64</v>
      </c>
      <c r="F3228" s="11" t="s">
        <v>179</v>
      </c>
      <c r="G3228" s="15">
        <v>46185</v>
      </c>
      <c r="H3228" s="10" t="str">
        <f>IFERROR(INDEX(面试清单!H:H,MATCH(3227,面试清单!P:P,0)),"")</f>
        <v/>
      </c>
      <c r="I3228" s="13" t="s">
        <v>29</v>
      </c>
      <c r="J3228" s="10">
        <f ca="1" t="shared" si="151"/>
        <v>4</v>
      </c>
      <c r="K3228" s="10">
        <f ca="1" t="shared" si="152"/>
        <v>5</v>
      </c>
    </row>
    <row r="3229" ht="18" spans="1:11">
      <c r="A3229" s="14">
        <f t="shared" si="150"/>
        <v>3228</v>
      </c>
      <c r="B3229" s="11" t="s">
        <v>997</v>
      </c>
      <c r="C3229" s="124" t="str">
        <f>IFERROR(INDEX(面试清单!D:D,MATCH(3228,面试清单!P:P,0)),"")</f>
        <v>0209</v>
      </c>
      <c r="D3229" s="11" t="s">
        <v>43</v>
      </c>
      <c r="E3229" s="11" t="s">
        <v>64</v>
      </c>
      <c r="F3229" s="11" t="s">
        <v>179</v>
      </c>
      <c r="G3229" s="15">
        <v>46185</v>
      </c>
      <c r="H3229" s="14" t="str">
        <f>IFERROR(INDEX(面试清单!H:H,MATCH(3228,面试清单!P:P,0)),"")</f>
        <v>线上</v>
      </c>
      <c r="I3229" s="13" t="s">
        <v>29</v>
      </c>
      <c r="J3229" s="14">
        <f ca="1" t="shared" si="151"/>
        <v>4</v>
      </c>
      <c r="K3229" s="14">
        <f ca="1" t="shared" si="152"/>
        <v>5</v>
      </c>
    </row>
    <row r="3230" ht="18" spans="1:11">
      <c r="A3230" s="10">
        <f t="shared" si="150"/>
        <v>3229</v>
      </c>
      <c r="B3230" s="11" t="s">
        <v>998</v>
      </c>
      <c r="C3230" s="125" t="str">
        <f>IFERROR(INDEX(面试清单!D:D,MATCH(3229,面试清单!P:P,0)),"")</f>
        <v>0212</v>
      </c>
      <c r="D3230" s="11" t="s">
        <v>43</v>
      </c>
      <c r="E3230" s="11" t="s">
        <v>64</v>
      </c>
      <c r="F3230" s="11" t="s">
        <v>179</v>
      </c>
      <c r="G3230" s="15">
        <v>46185</v>
      </c>
      <c r="H3230" s="10" t="str">
        <f>IFERROR(INDEX(面试清单!H:H,MATCH(3229,面试清单!P:P,0)),"")</f>
        <v>线上</v>
      </c>
      <c r="I3230" s="13" t="s">
        <v>29</v>
      </c>
      <c r="J3230" s="10">
        <f ca="1" t="shared" si="151"/>
        <v>4</v>
      </c>
      <c r="K3230" s="10">
        <f ca="1" t="shared" si="152"/>
        <v>5</v>
      </c>
    </row>
    <row r="3231" ht="18" spans="1:11">
      <c r="A3231" s="14">
        <f t="shared" si="150"/>
        <v>3230</v>
      </c>
      <c r="B3231" s="11" t="s">
        <v>948</v>
      </c>
      <c r="C3231" s="14" t="str">
        <f>IFERROR(INDEX(面试清单!D:D,MATCH(3230,面试清单!P:P,0)),"")</f>
        <v/>
      </c>
      <c r="D3231" s="11" t="s">
        <v>74</v>
      </c>
      <c r="E3231" s="11" t="s">
        <v>190</v>
      </c>
      <c r="F3231" s="11" t="s">
        <v>179</v>
      </c>
      <c r="G3231" s="15">
        <v>46185</v>
      </c>
      <c r="H3231" s="14" t="str">
        <f>IFERROR(INDEX(面试清单!H:H,MATCH(3230,面试清单!P:P,0)),"")</f>
        <v/>
      </c>
      <c r="I3231" s="13" t="s">
        <v>29</v>
      </c>
      <c r="J3231" s="14">
        <f ca="1" t="shared" si="151"/>
        <v>4</v>
      </c>
      <c r="K3231" s="14">
        <f ca="1" t="shared" si="152"/>
        <v>5</v>
      </c>
    </row>
    <row r="3232" ht="18" spans="1:11">
      <c r="A3232" s="10">
        <f t="shared" si="150"/>
        <v>3231</v>
      </c>
      <c r="B3232" s="11" t="s">
        <v>999</v>
      </c>
      <c r="C3232" s="10" t="str">
        <f>IFERROR(INDEX(面试清单!D:D,MATCH(3231,面试清单!P:P,0)),"")</f>
        <v/>
      </c>
      <c r="D3232" s="11" t="s">
        <v>74</v>
      </c>
      <c r="E3232" s="11" t="s">
        <v>64</v>
      </c>
      <c r="F3232" s="11" t="s">
        <v>179</v>
      </c>
      <c r="G3232" s="15">
        <v>46185</v>
      </c>
      <c r="H3232" s="10" t="str">
        <f>IFERROR(INDEX(面试清单!H:H,MATCH(3231,面试清单!P:P,0)),"")</f>
        <v/>
      </c>
      <c r="I3232" s="13" t="s">
        <v>29</v>
      </c>
      <c r="J3232" s="10">
        <f ca="1" t="shared" si="151"/>
        <v>4</v>
      </c>
      <c r="K3232" s="10">
        <f ca="1" t="shared" si="152"/>
        <v>5</v>
      </c>
    </row>
    <row r="3233" ht="18" spans="1:11">
      <c r="A3233" s="14">
        <f t="shared" si="150"/>
        <v>3232</v>
      </c>
      <c r="B3233" s="11" t="s">
        <v>1000</v>
      </c>
      <c r="C3233" s="14" t="str">
        <f>IFERROR(INDEX(面试清单!D:D,MATCH(3232,面试清单!P:P,0)),"")</f>
        <v/>
      </c>
      <c r="D3233" s="11" t="s">
        <v>74</v>
      </c>
      <c r="E3233" s="11" t="s">
        <v>64</v>
      </c>
      <c r="F3233" s="11" t="s">
        <v>179</v>
      </c>
      <c r="G3233" s="15">
        <v>46185</v>
      </c>
      <c r="H3233" s="14" t="str">
        <f>IFERROR(INDEX(面试清单!H:H,MATCH(3232,面试清单!P:P,0)),"")</f>
        <v/>
      </c>
      <c r="I3233" s="13" t="s">
        <v>29</v>
      </c>
      <c r="J3233" s="14">
        <f ca="1" t="shared" si="151"/>
        <v>4</v>
      </c>
      <c r="K3233" s="14">
        <f ca="1" t="shared" si="152"/>
        <v>5</v>
      </c>
    </row>
    <row r="3234" ht="18" spans="1:11">
      <c r="A3234" s="10">
        <f t="shared" si="150"/>
        <v>3233</v>
      </c>
      <c r="B3234" s="11" t="s">
        <v>1001</v>
      </c>
      <c r="C3234" s="10" t="str">
        <f>IFERROR(INDEX(面试清单!D:D,MATCH(3233,面试清单!P:P,0)),"")</f>
        <v/>
      </c>
      <c r="D3234" s="11" t="s">
        <v>74</v>
      </c>
      <c r="E3234" s="11" t="s">
        <v>64</v>
      </c>
      <c r="F3234" s="11" t="s">
        <v>179</v>
      </c>
      <c r="G3234" s="15">
        <v>46185</v>
      </c>
      <c r="H3234" s="10" t="str">
        <f>IFERROR(INDEX(面试清单!H:H,MATCH(3233,面试清单!P:P,0)),"")</f>
        <v/>
      </c>
      <c r="I3234" s="13" t="s">
        <v>29</v>
      </c>
      <c r="J3234" s="10">
        <f ca="1" t="shared" si="151"/>
        <v>4</v>
      </c>
      <c r="K3234" s="10">
        <f ca="1" t="shared" si="152"/>
        <v>5</v>
      </c>
    </row>
    <row r="3235" ht="18" spans="1:11">
      <c r="A3235" s="14">
        <f t="shared" si="150"/>
        <v>3234</v>
      </c>
      <c r="B3235" s="11" t="s">
        <v>922</v>
      </c>
      <c r="C3235" s="14" t="str">
        <f>IFERROR(INDEX(面试清单!D:D,MATCH(3234,面试清单!P:P,0)),"")</f>
        <v/>
      </c>
      <c r="D3235" s="11" t="s">
        <v>42</v>
      </c>
      <c r="E3235" s="11" t="s">
        <v>64</v>
      </c>
      <c r="F3235" s="11" t="s">
        <v>796</v>
      </c>
      <c r="G3235" s="15">
        <v>46185</v>
      </c>
      <c r="H3235" s="14" t="str">
        <f>IFERROR(INDEX(面试清单!H:H,MATCH(3234,面试清单!P:P,0)),"")</f>
        <v/>
      </c>
      <c r="I3235" s="13" t="s">
        <v>29</v>
      </c>
      <c r="J3235" s="14">
        <f ca="1" t="shared" si="151"/>
        <v>4</v>
      </c>
      <c r="K3235" s="14">
        <f ca="1" t="shared" si="152"/>
        <v>5</v>
      </c>
    </row>
    <row r="3236" ht="18" spans="1:11">
      <c r="A3236" s="10">
        <f t="shared" si="150"/>
        <v>3235</v>
      </c>
      <c r="B3236" s="11" t="s">
        <v>770</v>
      </c>
      <c r="C3236" s="10" t="str">
        <f>IFERROR(INDEX(面试清单!D:D,MATCH(3235,面试清单!P:P,0)),"")</f>
        <v/>
      </c>
      <c r="D3236" s="11" t="s">
        <v>74</v>
      </c>
      <c r="E3236" s="11" t="s">
        <v>190</v>
      </c>
      <c r="F3236" s="11" t="s">
        <v>179</v>
      </c>
      <c r="G3236" s="15">
        <v>46185</v>
      </c>
      <c r="H3236" s="10" t="str">
        <f>IFERROR(INDEX(面试清单!H:H,MATCH(3235,面试清单!P:P,0)),"")</f>
        <v/>
      </c>
      <c r="I3236" s="13" t="s">
        <v>29</v>
      </c>
      <c r="J3236" s="10">
        <f ca="1" t="shared" si="151"/>
        <v>4</v>
      </c>
      <c r="K3236" s="10">
        <f ca="1" t="shared" si="152"/>
        <v>5</v>
      </c>
    </row>
    <row r="3237" ht="18" spans="1:11">
      <c r="A3237" s="14">
        <f t="shared" si="150"/>
        <v>3236</v>
      </c>
      <c r="B3237" s="11" t="s">
        <v>1004</v>
      </c>
      <c r="C3237" s="14" t="str">
        <f>IFERROR(INDEX(面试清单!D:D,MATCH(3236,面试清单!P:P,0)),"")</f>
        <v/>
      </c>
      <c r="D3237" s="11" t="s">
        <v>74</v>
      </c>
      <c r="E3237" s="11" t="s">
        <v>64</v>
      </c>
      <c r="F3237" s="11" t="s">
        <v>179</v>
      </c>
      <c r="G3237" s="15">
        <v>46185</v>
      </c>
      <c r="H3237" s="14" t="str">
        <f>IFERROR(INDEX(面试清单!H:H,MATCH(3236,面试清单!P:P,0)),"")</f>
        <v/>
      </c>
      <c r="I3237" s="13" t="s">
        <v>29</v>
      </c>
      <c r="J3237" s="14">
        <f ca="1" t="shared" si="151"/>
        <v>4</v>
      </c>
      <c r="K3237" s="14">
        <f ca="1" t="shared" si="152"/>
        <v>5</v>
      </c>
    </row>
    <row r="3238" ht="18" spans="1:11">
      <c r="A3238" s="10">
        <f t="shared" si="150"/>
        <v>3237</v>
      </c>
      <c r="B3238" s="11" t="s">
        <v>1008</v>
      </c>
      <c r="C3238" s="10" t="str">
        <f>IFERROR(INDEX(面试清单!D:D,MATCH(3237,面试清单!P:P,0)),"")</f>
        <v/>
      </c>
      <c r="D3238" s="11" t="s">
        <v>42</v>
      </c>
      <c r="E3238" s="11" t="s">
        <v>64</v>
      </c>
      <c r="F3238" s="11" t="s">
        <v>148</v>
      </c>
      <c r="G3238" s="15">
        <v>46185</v>
      </c>
      <c r="H3238" s="10" t="str">
        <f>IFERROR(INDEX(面试清单!H:H,MATCH(3237,面试清单!P:P,0)),"")</f>
        <v/>
      </c>
      <c r="I3238" s="13" t="s">
        <v>29</v>
      </c>
      <c r="J3238" s="10">
        <f ca="1" t="shared" si="151"/>
        <v>4</v>
      </c>
      <c r="K3238" s="10">
        <f ca="1" t="shared" si="152"/>
        <v>5</v>
      </c>
    </row>
    <row r="3239" ht="18" spans="1:11">
      <c r="A3239" s="14">
        <f t="shared" si="150"/>
        <v>3238</v>
      </c>
      <c r="B3239" s="11" t="s">
        <v>1009</v>
      </c>
      <c r="C3239" s="14" t="str">
        <f>IFERROR(INDEX(面试清单!D:D,MATCH(3238,面试清单!P:P,0)),"")</f>
        <v/>
      </c>
      <c r="D3239" s="11" t="s">
        <v>42</v>
      </c>
      <c r="E3239" s="11" t="s">
        <v>64</v>
      </c>
      <c r="F3239" s="11" t="s">
        <v>148</v>
      </c>
      <c r="G3239" s="15">
        <v>46185</v>
      </c>
      <c r="H3239" s="14" t="str">
        <f>IFERROR(INDEX(面试清单!H:H,MATCH(3238,面试清单!P:P,0)),"")</f>
        <v/>
      </c>
      <c r="I3239" s="13" t="s">
        <v>29</v>
      </c>
      <c r="J3239" s="14">
        <f ca="1" t="shared" si="151"/>
        <v>4</v>
      </c>
      <c r="K3239" s="14">
        <f ca="1" t="shared" si="152"/>
        <v>5</v>
      </c>
    </row>
    <row r="3240" ht="18" spans="1:11">
      <c r="A3240" s="10">
        <f t="shared" si="150"/>
        <v>3239</v>
      </c>
      <c r="B3240" s="11" t="s">
        <v>968</v>
      </c>
      <c r="C3240" s="10" t="str">
        <f>IFERROR(INDEX(面试清单!D:D,MATCH(3239,面试清单!P:P,0)),"")</f>
        <v/>
      </c>
      <c r="D3240" s="11" t="s">
        <v>74</v>
      </c>
      <c r="E3240" s="11" t="s">
        <v>190</v>
      </c>
      <c r="F3240" s="11" t="s">
        <v>135</v>
      </c>
      <c r="G3240" s="15">
        <v>46185</v>
      </c>
      <c r="H3240" s="10" t="str">
        <f>IFERROR(INDEX(面试清单!H:H,MATCH(3239,面试清单!P:P,0)),"")</f>
        <v/>
      </c>
      <c r="I3240" s="13" t="s">
        <v>29</v>
      </c>
      <c r="J3240" s="10">
        <f ca="1" t="shared" si="151"/>
        <v>4</v>
      </c>
      <c r="K3240" s="10">
        <f ca="1" t="shared" si="152"/>
        <v>5</v>
      </c>
    </row>
    <row r="3241" ht="18" spans="1:11">
      <c r="A3241" s="14">
        <f t="shared" si="150"/>
        <v>3240</v>
      </c>
      <c r="B3241" s="11" t="s">
        <v>1766</v>
      </c>
      <c r="C3241" s="14" t="str">
        <f>IFERROR(INDEX(面试清单!D:D,MATCH(3240,面试清单!P:P,0)),"")</f>
        <v/>
      </c>
      <c r="D3241" s="11" t="s">
        <v>42</v>
      </c>
      <c r="E3241" s="11" t="s">
        <v>63</v>
      </c>
      <c r="F3241" s="11" t="s">
        <v>129</v>
      </c>
      <c r="G3241" s="15">
        <v>46186</v>
      </c>
      <c r="H3241" s="14" t="str">
        <f>IFERROR(INDEX(面试清单!H:H,MATCH(3240,面试清单!P:P,0)),"")</f>
        <v/>
      </c>
      <c r="I3241" s="13" t="s">
        <v>29</v>
      </c>
      <c r="J3241" s="14">
        <f ca="1" t="shared" si="151"/>
        <v>3</v>
      </c>
      <c r="K3241" s="14">
        <f ca="1" t="shared" si="152"/>
        <v>4</v>
      </c>
    </row>
    <row r="3242" ht="18" spans="1:11">
      <c r="A3242" s="10">
        <f t="shared" si="150"/>
        <v>3241</v>
      </c>
      <c r="B3242" s="11" t="s">
        <v>1161</v>
      </c>
      <c r="C3242" s="10" t="str">
        <f>IFERROR(INDEX(面试清单!D:D,MATCH(3241,面试清单!P:P,0)),"")</f>
        <v/>
      </c>
      <c r="D3242" s="11" t="s">
        <v>42</v>
      </c>
      <c r="E3242" s="11" t="s">
        <v>63</v>
      </c>
      <c r="F3242" s="11" t="s">
        <v>176</v>
      </c>
      <c r="G3242" s="15">
        <v>46186</v>
      </c>
      <c r="H3242" s="10" t="str">
        <f>IFERROR(INDEX(面试清单!H:H,MATCH(3241,面试清单!P:P,0)),"")</f>
        <v/>
      </c>
      <c r="I3242" s="13" t="s">
        <v>29</v>
      </c>
      <c r="J3242" s="10">
        <f ca="1" t="shared" si="151"/>
        <v>3</v>
      </c>
      <c r="K3242" s="10">
        <f ca="1" t="shared" si="152"/>
        <v>4</v>
      </c>
    </row>
    <row r="3243" ht="18" spans="1:11">
      <c r="A3243" s="14">
        <f t="shared" si="150"/>
        <v>3242</v>
      </c>
      <c r="B3243" s="11" t="s">
        <v>1908</v>
      </c>
      <c r="C3243" s="14" t="str">
        <f>IFERROR(INDEX(面试清单!D:D,MATCH(3242,面试清单!P:P,0)),"")</f>
        <v/>
      </c>
      <c r="D3243" s="11" t="s">
        <v>43</v>
      </c>
      <c r="E3243" s="11" t="s">
        <v>63</v>
      </c>
      <c r="F3243" s="11" t="s">
        <v>176</v>
      </c>
      <c r="G3243" s="15">
        <v>46186</v>
      </c>
      <c r="H3243" s="14" t="str">
        <f>IFERROR(INDEX(面试清单!H:H,MATCH(3242,面试清单!P:P,0)),"")</f>
        <v/>
      </c>
      <c r="I3243" s="13" t="s">
        <v>29</v>
      </c>
      <c r="J3243" s="14">
        <f ca="1" t="shared" si="151"/>
        <v>3</v>
      </c>
      <c r="K3243" s="14">
        <f ca="1" t="shared" si="152"/>
        <v>4</v>
      </c>
    </row>
    <row r="3244" ht="18" spans="1:11">
      <c r="A3244" s="10">
        <f t="shared" si="150"/>
        <v>3243</v>
      </c>
      <c r="B3244" s="11" t="s">
        <v>1910</v>
      </c>
      <c r="C3244" s="10" t="str">
        <f>IFERROR(INDEX(面试清单!D:D,MATCH(3243,面试清单!P:P,0)),"")</f>
        <v/>
      </c>
      <c r="D3244" s="11" t="s">
        <v>43</v>
      </c>
      <c r="E3244" s="11" t="s">
        <v>63</v>
      </c>
      <c r="F3244" s="11" t="s">
        <v>176</v>
      </c>
      <c r="G3244" s="15">
        <v>46186</v>
      </c>
      <c r="H3244" s="10" t="str">
        <f>IFERROR(INDEX(面试清单!H:H,MATCH(3243,面试清单!P:P,0)),"")</f>
        <v/>
      </c>
      <c r="I3244" s="13" t="s">
        <v>29</v>
      </c>
      <c r="J3244" s="10">
        <f ca="1" t="shared" si="151"/>
        <v>3</v>
      </c>
      <c r="K3244" s="10">
        <f ca="1" t="shared" si="152"/>
        <v>4</v>
      </c>
    </row>
    <row r="3245" ht="18" spans="1:11">
      <c r="A3245" s="14">
        <f t="shared" si="150"/>
        <v>3244</v>
      </c>
      <c r="B3245" s="11" t="s">
        <v>1853</v>
      </c>
      <c r="C3245" s="14" t="str">
        <f>IFERROR(INDEX(面试清单!D:D,MATCH(3244,面试清单!P:P,0)),"")</f>
        <v/>
      </c>
      <c r="D3245" s="11" t="s">
        <v>42</v>
      </c>
      <c r="E3245" s="11" t="s">
        <v>63</v>
      </c>
      <c r="F3245" s="11" t="s">
        <v>176</v>
      </c>
      <c r="G3245" s="15">
        <v>46186</v>
      </c>
      <c r="H3245" s="14" t="str">
        <f>IFERROR(INDEX(面试清单!H:H,MATCH(3244,面试清单!P:P,0)),"")</f>
        <v/>
      </c>
      <c r="I3245" s="13" t="s">
        <v>29</v>
      </c>
      <c r="J3245" s="14">
        <f ca="1" t="shared" si="151"/>
        <v>3</v>
      </c>
      <c r="K3245" s="14">
        <f ca="1" t="shared" si="152"/>
        <v>4</v>
      </c>
    </row>
    <row r="3246" ht="18" spans="1:11">
      <c r="A3246" s="10">
        <f t="shared" si="150"/>
        <v>3245</v>
      </c>
      <c r="B3246" s="11" t="s">
        <v>1914</v>
      </c>
      <c r="C3246" s="10" t="str">
        <f>IFERROR(INDEX(面试清单!D:D,MATCH(3245,面试清单!P:P,0)),"")</f>
        <v/>
      </c>
      <c r="D3246" s="11" t="s">
        <v>43</v>
      </c>
      <c r="E3246" s="11" t="s">
        <v>62</v>
      </c>
      <c r="F3246" s="11" t="s">
        <v>468</v>
      </c>
      <c r="G3246" s="15">
        <v>46186</v>
      </c>
      <c r="H3246" s="10" t="str">
        <f>IFERROR(INDEX(面试清单!H:H,MATCH(3245,面试清单!P:P,0)),"")</f>
        <v/>
      </c>
      <c r="I3246" s="13" t="s">
        <v>29</v>
      </c>
      <c r="J3246" s="10">
        <f ca="1" t="shared" si="151"/>
        <v>3</v>
      </c>
      <c r="K3246" s="10">
        <f ca="1" t="shared" si="152"/>
        <v>4</v>
      </c>
    </row>
    <row r="3247" ht="18" spans="1:11">
      <c r="A3247" s="14">
        <f t="shared" si="150"/>
        <v>3246</v>
      </c>
      <c r="B3247" s="11" t="s">
        <v>1915</v>
      </c>
      <c r="C3247" s="14" t="str">
        <f>IFERROR(INDEX(面试清单!D:D,MATCH(3246,面试清单!P:P,0)),"")</f>
        <v/>
      </c>
      <c r="D3247" s="11" t="s">
        <v>43</v>
      </c>
      <c r="E3247" s="11" t="s">
        <v>63</v>
      </c>
      <c r="F3247" s="11" t="s">
        <v>468</v>
      </c>
      <c r="G3247" s="15">
        <v>46186</v>
      </c>
      <c r="H3247" s="14" t="str">
        <f>IFERROR(INDEX(面试清单!H:H,MATCH(3246,面试清单!P:P,0)),"")</f>
        <v/>
      </c>
      <c r="I3247" s="13" t="s">
        <v>29</v>
      </c>
      <c r="J3247" s="14">
        <f ca="1" t="shared" si="151"/>
        <v>3</v>
      </c>
      <c r="K3247" s="14">
        <f ca="1" t="shared" si="152"/>
        <v>4</v>
      </c>
    </row>
    <row r="3248" ht="18" spans="1:11">
      <c r="A3248" s="10">
        <f t="shared" si="150"/>
        <v>3247</v>
      </c>
      <c r="B3248" s="11" t="s">
        <v>1919</v>
      </c>
      <c r="C3248" s="125" t="str">
        <f>IFERROR(INDEX(面试清单!D:D,MATCH(3247,面试清单!P:P,0)),"")</f>
        <v>0212</v>
      </c>
      <c r="D3248" s="11" t="s">
        <v>43</v>
      </c>
      <c r="E3248" s="11" t="s">
        <v>63</v>
      </c>
      <c r="F3248" s="11" t="s">
        <v>148</v>
      </c>
      <c r="G3248" s="15">
        <v>46186</v>
      </c>
      <c r="H3248" s="10" t="str">
        <f>IFERROR(INDEX(面试清单!H:H,MATCH(3247,面试清单!P:P,0)),"")</f>
        <v>线上</v>
      </c>
      <c r="I3248" s="13" t="s">
        <v>29</v>
      </c>
      <c r="J3248" s="10">
        <f ca="1" t="shared" si="151"/>
        <v>3</v>
      </c>
      <c r="K3248" s="10">
        <f ca="1" t="shared" si="152"/>
        <v>4</v>
      </c>
    </row>
    <row r="3249" ht="18" spans="1:11">
      <c r="A3249" s="14">
        <f t="shared" si="150"/>
        <v>3248</v>
      </c>
      <c r="B3249" s="11" t="s">
        <v>1779</v>
      </c>
      <c r="C3249" s="14" t="str">
        <f>IFERROR(INDEX(面试清单!D:D,MATCH(3248,面试清单!P:P,0)),"")</f>
        <v/>
      </c>
      <c r="D3249" s="11" t="s">
        <v>42</v>
      </c>
      <c r="E3249" s="11" t="s">
        <v>63</v>
      </c>
      <c r="F3249" s="11" t="s">
        <v>148</v>
      </c>
      <c r="G3249" s="15">
        <v>46186</v>
      </c>
      <c r="H3249" s="14" t="str">
        <f>IFERROR(INDEX(面试清单!H:H,MATCH(3248,面试清单!P:P,0)),"")</f>
        <v/>
      </c>
      <c r="I3249" s="13" t="s">
        <v>29</v>
      </c>
      <c r="J3249" s="14">
        <f ca="1" t="shared" si="151"/>
        <v>3</v>
      </c>
      <c r="K3249" s="14">
        <f ca="1" t="shared" si="152"/>
        <v>4</v>
      </c>
    </row>
    <row r="3250" ht="18" spans="1:11">
      <c r="A3250" s="10">
        <f t="shared" si="150"/>
        <v>3249</v>
      </c>
      <c r="B3250" s="11" t="s">
        <v>1778</v>
      </c>
      <c r="C3250" s="10" t="str">
        <f>IFERROR(INDEX(面试清单!D:D,MATCH(3249,面试清单!P:P,0)),"")</f>
        <v/>
      </c>
      <c r="D3250" s="11" t="s">
        <v>42</v>
      </c>
      <c r="E3250" s="11" t="s">
        <v>63</v>
      </c>
      <c r="F3250" s="11" t="s">
        <v>148</v>
      </c>
      <c r="G3250" s="15">
        <v>46186</v>
      </c>
      <c r="H3250" s="10" t="str">
        <f>IFERROR(INDEX(面试清单!H:H,MATCH(3249,面试清单!P:P,0)),"")</f>
        <v/>
      </c>
      <c r="I3250" s="13" t="s">
        <v>29</v>
      </c>
      <c r="J3250" s="10">
        <f ca="1" t="shared" si="151"/>
        <v>3</v>
      </c>
      <c r="K3250" s="10">
        <f ca="1" t="shared" si="152"/>
        <v>4</v>
      </c>
    </row>
    <row r="3251" ht="18" spans="1:11">
      <c r="A3251" s="14">
        <f t="shared" si="150"/>
        <v>3250</v>
      </c>
      <c r="B3251" s="11" t="s">
        <v>1816</v>
      </c>
      <c r="C3251" s="124" t="str">
        <f>IFERROR(INDEX(面试清单!D:D,MATCH(3250,面试清单!P:P,0)),"")</f>
        <v>0218</v>
      </c>
      <c r="D3251" s="11" t="s">
        <v>43</v>
      </c>
      <c r="E3251" s="11" t="s">
        <v>63</v>
      </c>
      <c r="F3251" s="11" t="s">
        <v>148</v>
      </c>
      <c r="G3251" s="15">
        <v>46186</v>
      </c>
      <c r="H3251" s="14" t="str">
        <f>IFERROR(INDEX(面试清单!H:H,MATCH(3250,面试清单!P:P,0)),"")</f>
        <v>线上</v>
      </c>
      <c r="I3251" s="13" t="s">
        <v>29</v>
      </c>
      <c r="J3251" s="14">
        <f ca="1" t="shared" si="151"/>
        <v>3</v>
      </c>
      <c r="K3251" s="14">
        <f ca="1" t="shared" si="152"/>
        <v>4</v>
      </c>
    </row>
    <row r="3252" ht="18" spans="1:11">
      <c r="A3252" s="10">
        <f t="shared" si="150"/>
        <v>3251</v>
      </c>
      <c r="B3252" s="11" t="s">
        <v>1226</v>
      </c>
      <c r="C3252" s="125" t="str">
        <f>IFERROR(INDEX(面试清单!D:D,MATCH(3251,面试清单!P:P,0)),"")</f>
        <v>0220</v>
      </c>
      <c r="D3252" s="11" t="s">
        <v>43</v>
      </c>
      <c r="E3252" s="11" t="s">
        <v>63</v>
      </c>
      <c r="F3252" s="11" t="s">
        <v>148</v>
      </c>
      <c r="G3252" s="15">
        <v>46186</v>
      </c>
      <c r="H3252" s="10" t="str">
        <f>IFERROR(INDEX(面试清单!H:H,MATCH(3251,面试清单!P:P,0)),"")</f>
        <v>线上</v>
      </c>
      <c r="I3252" s="13" t="s">
        <v>29</v>
      </c>
      <c r="J3252" s="10">
        <f ca="1" t="shared" si="151"/>
        <v>3</v>
      </c>
      <c r="K3252" s="10">
        <f ca="1" t="shared" si="152"/>
        <v>4</v>
      </c>
    </row>
    <row r="3253" ht="18" spans="1:11">
      <c r="A3253" s="14">
        <f t="shared" si="150"/>
        <v>3252</v>
      </c>
      <c r="B3253" s="11" t="s">
        <v>1920</v>
      </c>
      <c r="C3253" s="14" t="str">
        <f>IFERROR(INDEX(面试清单!D:D,MATCH(3252,面试清单!P:P,0)),"")</f>
        <v/>
      </c>
      <c r="D3253" s="11" t="s">
        <v>43</v>
      </c>
      <c r="E3253" s="11" t="s">
        <v>63</v>
      </c>
      <c r="F3253" s="11" t="s">
        <v>148</v>
      </c>
      <c r="G3253" s="15">
        <v>46186</v>
      </c>
      <c r="H3253" s="14" t="str">
        <f>IFERROR(INDEX(面试清单!H:H,MATCH(3252,面试清单!P:P,0)),"")</f>
        <v/>
      </c>
      <c r="I3253" s="13" t="s">
        <v>29</v>
      </c>
      <c r="J3253" s="14">
        <f ca="1" t="shared" si="151"/>
        <v>3</v>
      </c>
      <c r="K3253" s="14">
        <f ca="1" t="shared" si="152"/>
        <v>4</v>
      </c>
    </row>
    <row r="3254" ht="18" spans="1:11">
      <c r="A3254" s="10">
        <f t="shared" si="150"/>
        <v>3253</v>
      </c>
      <c r="B3254" s="11" t="s">
        <v>1932</v>
      </c>
      <c r="C3254" s="125" t="str">
        <f>IFERROR(INDEX(面试清单!D:D,MATCH(3253,面试清单!P:P,0)),"")</f>
        <v>0222</v>
      </c>
      <c r="D3254" s="11" t="s">
        <v>43</v>
      </c>
      <c r="E3254" s="11" t="s">
        <v>62</v>
      </c>
      <c r="F3254" s="11" t="s">
        <v>148</v>
      </c>
      <c r="G3254" s="15">
        <v>46186</v>
      </c>
      <c r="H3254" s="10" t="str">
        <f>IFERROR(INDEX(面试清单!H:H,MATCH(3253,面试清单!P:P,0)),"")</f>
        <v>线上</v>
      </c>
      <c r="I3254" s="13" t="s">
        <v>29</v>
      </c>
      <c r="J3254" s="10">
        <f ca="1" t="shared" si="151"/>
        <v>3</v>
      </c>
      <c r="K3254" s="10">
        <f ca="1" t="shared" si="152"/>
        <v>4</v>
      </c>
    </row>
    <row r="3255" ht="18" spans="1:11">
      <c r="A3255" s="14">
        <f t="shared" si="150"/>
        <v>3254</v>
      </c>
      <c r="B3255" s="11" t="s">
        <v>1472</v>
      </c>
      <c r="C3255" s="124" t="str">
        <f>IFERROR(INDEX(面试清单!D:D,MATCH(3254,面试清单!P:P,0)),"")</f>
        <v>0208</v>
      </c>
      <c r="D3255" s="11" t="s">
        <v>42</v>
      </c>
      <c r="E3255" s="11" t="s">
        <v>63</v>
      </c>
      <c r="F3255" s="11" t="s">
        <v>954</v>
      </c>
      <c r="G3255" s="15">
        <v>46186</v>
      </c>
      <c r="H3255" s="14" t="str">
        <f>IFERROR(INDEX(面试清单!H:H,MATCH(3254,面试清单!P:P,0)),"")</f>
        <v>线上</v>
      </c>
      <c r="I3255" s="13" t="s">
        <v>29</v>
      </c>
      <c r="J3255" s="14">
        <f ca="1" t="shared" si="151"/>
        <v>3</v>
      </c>
      <c r="K3255" s="14">
        <f ca="1" t="shared" si="152"/>
        <v>4</v>
      </c>
    </row>
    <row r="3256" ht="18" spans="1:11">
      <c r="A3256" s="10">
        <f t="shared" si="150"/>
        <v>3255</v>
      </c>
      <c r="B3256" s="11" t="s">
        <v>1856</v>
      </c>
      <c r="C3256" s="125" t="str">
        <f>IFERROR(INDEX(面试清单!D:D,MATCH(3255,面试清单!P:P,0)),"")</f>
        <v>0208</v>
      </c>
      <c r="D3256" s="11" t="s">
        <v>42</v>
      </c>
      <c r="E3256" s="11" t="s">
        <v>62</v>
      </c>
      <c r="F3256" s="11" t="s">
        <v>733</v>
      </c>
      <c r="G3256" s="15">
        <v>46186</v>
      </c>
      <c r="H3256" s="10" t="str">
        <f>IFERROR(INDEX(面试清单!H:H,MATCH(3255,面试清单!P:P,0)),"")</f>
        <v>线上</v>
      </c>
      <c r="I3256" s="13" t="s">
        <v>29</v>
      </c>
      <c r="J3256" s="10">
        <f ca="1" t="shared" si="151"/>
        <v>3</v>
      </c>
      <c r="K3256" s="10">
        <f ca="1" t="shared" si="152"/>
        <v>4</v>
      </c>
    </row>
    <row r="3257" ht="18" spans="1:11">
      <c r="A3257" s="14">
        <f t="shared" si="150"/>
        <v>3256</v>
      </c>
      <c r="B3257" s="11" t="s">
        <v>6512</v>
      </c>
      <c r="C3257" s="124" t="str">
        <f>IFERROR(INDEX(面试清单!D:D,MATCH(3256,面试清单!P:P,0)),"")</f>
        <v>0209</v>
      </c>
      <c r="D3257" s="11" t="s">
        <v>42</v>
      </c>
      <c r="E3257" s="11" t="s">
        <v>62</v>
      </c>
      <c r="F3257" s="11" t="s">
        <v>233</v>
      </c>
      <c r="G3257" s="15">
        <v>46186</v>
      </c>
      <c r="H3257" s="14" t="str">
        <f>IFERROR(INDEX(面试清单!H:H,MATCH(3256,面试清单!P:P,0)),"")</f>
        <v>线上</v>
      </c>
      <c r="I3257" s="13" t="s">
        <v>29</v>
      </c>
      <c r="J3257" s="14">
        <f ca="1" t="shared" si="151"/>
        <v>3</v>
      </c>
      <c r="K3257" s="14">
        <f ca="1" t="shared" si="152"/>
        <v>4</v>
      </c>
    </row>
    <row r="3258" ht="18" spans="1:11">
      <c r="A3258" s="10">
        <f t="shared" si="150"/>
        <v>3257</v>
      </c>
      <c r="B3258" s="11" t="s">
        <v>6513</v>
      </c>
      <c r="C3258" s="10" t="str">
        <f>IFERROR(INDEX(面试清单!D:D,MATCH(3257,面试清单!P:P,0)),"")</f>
        <v/>
      </c>
      <c r="D3258" s="11" t="s">
        <v>42</v>
      </c>
      <c r="E3258" s="11" t="s">
        <v>62</v>
      </c>
      <c r="F3258" s="11" t="s">
        <v>530</v>
      </c>
      <c r="G3258" s="15">
        <v>46186</v>
      </c>
      <c r="H3258" s="10" t="str">
        <f>IFERROR(INDEX(面试清单!H:H,MATCH(3257,面试清单!P:P,0)),"")</f>
        <v/>
      </c>
      <c r="I3258" s="13" t="s">
        <v>29</v>
      </c>
      <c r="J3258" s="10">
        <f ca="1" t="shared" si="151"/>
        <v>3</v>
      </c>
      <c r="K3258" s="10">
        <f ca="1" t="shared" si="152"/>
        <v>4</v>
      </c>
    </row>
    <row r="3259" ht="18" spans="1:11">
      <c r="A3259" s="14">
        <f t="shared" si="150"/>
        <v>3258</v>
      </c>
      <c r="B3259" s="11" t="s">
        <v>6514</v>
      </c>
      <c r="C3259" s="14" t="str">
        <f>IFERROR(INDEX(面试清单!D:D,MATCH(3258,面试清单!P:P,0)),"")</f>
        <v/>
      </c>
      <c r="D3259" s="11" t="s">
        <v>42</v>
      </c>
      <c r="E3259" s="11" t="s">
        <v>63</v>
      </c>
      <c r="F3259" s="11" t="s">
        <v>530</v>
      </c>
      <c r="G3259" s="15">
        <v>46186</v>
      </c>
      <c r="H3259" s="14" t="str">
        <f>IFERROR(INDEX(面试清单!H:H,MATCH(3258,面试清单!P:P,0)),"")</f>
        <v/>
      </c>
      <c r="I3259" s="13" t="s">
        <v>29</v>
      </c>
      <c r="J3259" s="14">
        <f ca="1" t="shared" si="151"/>
        <v>3</v>
      </c>
      <c r="K3259" s="14">
        <f ca="1" t="shared" si="152"/>
        <v>4</v>
      </c>
    </row>
    <row r="3260" ht="18" spans="1:11">
      <c r="A3260" s="10">
        <f t="shared" si="150"/>
        <v>3259</v>
      </c>
      <c r="B3260" s="11" t="s">
        <v>1884</v>
      </c>
      <c r="C3260" s="10" t="str">
        <f>IFERROR(INDEX(面试清单!D:D,MATCH(3259,面试清单!P:P,0)),"")</f>
        <v/>
      </c>
      <c r="D3260" s="11" t="s">
        <v>42</v>
      </c>
      <c r="E3260" s="11" t="s">
        <v>63</v>
      </c>
      <c r="F3260" s="11" t="s">
        <v>103</v>
      </c>
      <c r="G3260" s="15">
        <v>46186</v>
      </c>
      <c r="H3260" s="10" t="str">
        <f>IFERROR(INDEX(面试清单!H:H,MATCH(3259,面试清单!P:P,0)),"")</f>
        <v/>
      </c>
      <c r="I3260" s="13" t="s">
        <v>29</v>
      </c>
      <c r="J3260" s="10">
        <f ca="1" t="shared" si="151"/>
        <v>3</v>
      </c>
      <c r="K3260" s="10">
        <f ca="1" t="shared" si="152"/>
        <v>4</v>
      </c>
    </row>
    <row r="3261" ht="18" spans="1:11">
      <c r="A3261" s="14">
        <f t="shared" si="150"/>
        <v>3260</v>
      </c>
      <c r="B3261" s="11" t="s">
        <v>6515</v>
      </c>
      <c r="C3261" s="14" t="str">
        <f>IFERROR(INDEX(面试清单!D:D,MATCH(3260,面试清单!P:P,0)),"")</f>
        <v/>
      </c>
      <c r="D3261" s="11" t="s">
        <v>43</v>
      </c>
      <c r="E3261" s="11" t="s">
        <v>62</v>
      </c>
      <c r="F3261" s="11" t="s">
        <v>307</v>
      </c>
      <c r="G3261" s="15">
        <v>46186</v>
      </c>
      <c r="H3261" s="14" t="str">
        <f>IFERROR(INDEX(面试清单!H:H,MATCH(3260,面试清单!P:P,0)),"")</f>
        <v/>
      </c>
      <c r="I3261" s="13" t="s">
        <v>29</v>
      </c>
      <c r="J3261" s="14">
        <f ca="1" t="shared" si="151"/>
        <v>3</v>
      </c>
      <c r="K3261" s="14">
        <f ca="1" t="shared" si="152"/>
        <v>4</v>
      </c>
    </row>
    <row r="3262" ht="18" spans="1:11">
      <c r="A3262" s="10">
        <f t="shared" si="150"/>
        <v>3261</v>
      </c>
      <c r="B3262" s="11" t="s">
        <v>1829</v>
      </c>
      <c r="C3262" s="10" t="str">
        <f>IFERROR(INDEX(面试清单!D:D,MATCH(3261,面试清单!P:P,0)),"")</f>
        <v/>
      </c>
      <c r="D3262" s="11" t="s">
        <v>43</v>
      </c>
      <c r="E3262" s="11" t="s">
        <v>62</v>
      </c>
      <c r="F3262" s="11" t="s">
        <v>132</v>
      </c>
      <c r="G3262" s="15">
        <v>46186</v>
      </c>
      <c r="H3262" s="10" t="str">
        <f>IFERROR(INDEX(面试清单!H:H,MATCH(3261,面试清单!P:P,0)),"")</f>
        <v/>
      </c>
      <c r="I3262" s="13" t="s">
        <v>29</v>
      </c>
      <c r="J3262" s="10">
        <f ca="1" t="shared" si="151"/>
        <v>3</v>
      </c>
      <c r="K3262" s="10">
        <f ca="1" t="shared" si="152"/>
        <v>4</v>
      </c>
    </row>
    <row r="3263" ht="18" spans="1:11">
      <c r="A3263" s="14">
        <f t="shared" si="150"/>
        <v>3262</v>
      </c>
      <c r="B3263" s="11" t="s">
        <v>1820</v>
      </c>
      <c r="C3263" s="14" t="str">
        <f>IFERROR(INDEX(面试清单!D:D,MATCH(3262,面试清单!P:P,0)),"")</f>
        <v/>
      </c>
      <c r="D3263" s="11" t="s">
        <v>43</v>
      </c>
      <c r="E3263" s="11" t="s">
        <v>62</v>
      </c>
      <c r="F3263" s="11" t="s">
        <v>135</v>
      </c>
      <c r="G3263" s="15">
        <v>46186</v>
      </c>
      <c r="H3263" s="14" t="str">
        <f>IFERROR(INDEX(面试清单!H:H,MATCH(3262,面试清单!P:P,0)),"")</f>
        <v/>
      </c>
      <c r="I3263" s="13" t="s">
        <v>29</v>
      </c>
      <c r="J3263" s="14">
        <f ca="1" t="shared" si="151"/>
        <v>3</v>
      </c>
      <c r="K3263" s="14">
        <f ca="1" t="shared" si="152"/>
        <v>4</v>
      </c>
    </row>
    <row r="3264" ht="36" spans="1:11">
      <c r="A3264" s="10">
        <f t="shared" si="150"/>
        <v>3263</v>
      </c>
      <c r="B3264" s="11" t="s">
        <v>6516</v>
      </c>
      <c r="C3264" s="10" t="str">
        <f>IFERROR(INDEX(面试清单!D:D,MATCH(3263,面试清单!P:P,0)),"")</f>
        <v/>
      </c>
      <c r="D3264" s="11" t="s">
        <v>42</v>
      </c>
      <c r="E3264" s="11" t="s">
        <v>62</v>
      </c>
      <c r="F3264" s="11" t="s">
        <v>631</v>
      </c>
      <c r="G3264" s="15">
        <v>46186</v>
      </c>
      <c r="H3264" s="10" t="str">
        <f>IFERROR(INDEX(面试清单!H:H,MATCH(3263,面试清单!P:P,0)),"")</f>
        <v/>
      </c>
      <c r="I3264" s="13" t="s">
        <v>29</v>
      </c>
      <c r="J3264" s="10">
        <f ca="1" t="shared" si="151"/>
        <v>3</v>
      </c>
      <c r="K3264" s="10">
        <f ca="1" t="shared" si="152"/>
        <v>4</v>
      </c>
    </row>
    <row r="3265" ht="18" spans="1:11">
      <c r="A3265" s="14">
        <f t="shared" si="150"/>
        <v>3264</v>
      </c>
      <c r="B3265" s="11" t="s">
        <v>1906</v>
      </c>
      <c r="C3265" s="14" t="str">
        <f>IFERROR(INDEX(面试清单!D:D,MATCH(3264,面试清单!P:P,0)),"")</f>
        <v/>
      </c>
      <c r="D3265" s="11" t="s">
        <v>43</v>
      </c>
      <c r="E3265" s="11" t="s">
        <v>62</v>
      </c>
      <c r="F3265" s="11" t="s">
        <v>631</v>
      </c>
      <c r="G3265" s="15">
        <v>46186</v>
      </c>
      <c r="H3265" s="14" t="str">
        <f>IFERROR(INDEX(面试清单!H:H,MATCH(3264,面试清单!P:P,0)),"")</f>
        <v/>
      </c>
      <c r="I3265" s="13" t="s">
        <v>29</v>
      </c>
      <c r="J3265" s="14">
        <f ca="1" t="shared" si="151"/>
        <v>3</v>
      </c>
      <c r="K3265" s="14">
        <f ca="1" t="shared" si="152"/>
        <v>4</v>
      </c>
    </row>
    <row r="3266" ht="18" spans="1:11">
      <c r="A3266" s="10">
        <f t="shared" ref="A3266:A3329" si="153">IF(B3266&lt;&gt;"",ROW()-1,"")</f>
        <v>3265</v>
      </c>
      <c r="B3266" s="11" t="s">
        <v>1921</v>
      </c>
      <c r="C3266" s="10" t="str">
        <f>IFERROR(INDEX(面试清单!D:D,MATCH(3265,面试清单!P:P,0)),"")</f>
        <v/>
      </c>
      <c r="D3266" s="11" t="s">
        <v>43</v>
      </c>
      <c r="E3266" s="11" t="s">
        <v>62</v>
      </c>
      <c r="F3266" s="11" t="s">
        <v>173</v>
      </c>
      <c r="G3266" s="15">
        <v>46186</v>
      </c>
      <c r="H3266" s="10" t="str">
        <f>IFERROR(INDEX(面试清单!H:H,MATCH(3265,面试清单!P:P,0)),"")</f>
        <v/>
      </c>
      <c r="I3266" s="13" t="s">
        <v>29</v>
      </c>
      <c r="J3266" s="10">
        <f ca="1" t="shared" ref="J3266:J3329" si="154">IF(G3266&lt;&gt;"",TODAY()-G3266,"")</f>
        <v>3</v>
      </c>
      <c r="K3266" s="10">
        <f ca="1" t="shared" ref="K3266:K3329" si="155">IF(G3266&lt;&gt;"",MAX(0,MIN(TODAY(),EOMONTH(TODAY(),0))-MAX(G3266,EOMONTH(TODAY(),-1)+1)+1),"")</f>
        <v>4</v>
      </c>
    </row>
    <row r="3267" ht="18" spans="1:11">
      <c r="A3267" s="14">
        <f t="shared" si="153"/>
        <v>3266</v>
      </c>
      <c r="B3267" s="11" t="s">
        <v>1859</v>
      </c>
      <c r="C3267" s="14" t="str">
        <f>IFERROR(INDEX(面试清单!D:D,MATCH(3266,面试清单!P:P,0)),"")</f>
        <v/>
      </c>
      <c r="D3267" s="11" t="s">
        <v>42</v>
      </c>
      <c r="E3267" s="11" t="s">
        <v>63</v>
      </c>
      <c r="F3267" s="11" t="s">
        <v>173</v>
      </c>
      <c r="G3267" s="15">
        <v>46186</v>
      </c>
      <c r="H3267" s="14" t="str">
        <f>IFERROR(INDEX(面试清单!H:H,MATCH(3266,面试清单!P:P,0)),"")</f>
        <v/>
      </c>
      <c r="I3267" s="13" t="s">
        <v>29</v>
      </c>
      <c r="J3267" s="14">
        <f ca="1" t="shared" si="154"/>
        <v>3</v>
      </c>
      <c r="K3267" s="14">
        <f ca="1" t="shared" si="155"/>
        <v>4</v>
      </c>
    </row>
    <row r="3268" ht="18" spans="1:11">
      <c r="A3268" s="10">
        <f t="shared" si="153"/>
        <v>3267</v>
      </c>
      <c r="B3268" s="11" t="s">
        <v>574</v>
      </c>
      <c r="C3268" s="10" t="str">
        <f>IFERROR(INDEX(面试清单!D:D,MATCH(3267,面试清单!P:P,0)),"")</f>
        <v/>
      </c>
      <c r="D3268" s="11" t="s">
        <v>43</v>
      </c>
      <c r="E3268" s="11" t="s">
        <v>62</v>
      </c>
      <c r="F3268" s="11" t="s">
        <v>148</v>
      </c>
      <c r="G3268" s="15">
        <v>46186</v>
      </c>
      <c r="H3268" s="10" t="str">
        <f>IFERROR(INDEX(面试清单!H:H,MATCH(3267,面试清单!P:P,0)),"")</f>
        <v/>
      </c>
      <c r="I3268" s="13" t="s">
        <v>29</v>
      </c>
      <c r="J3268" s="10">
        <f ca="1" t="shared" si="154"/>
        <v>3</v>
      </c>
      <c r="K3268" s="10">
        <f ca="1" t="shared" si="155"/>
        <v>4</v>
      </c>
    </row>
    <row r="3269" ht="18" spans="1:11">
      <c r="A3269" s="14">
        <f t="shared" si="153"/>
        <v>3268</v>
      </c>
      <c r="B3269" s="11" t="s">
        <v>1931</v>
      </c>
      <c r="C3269" s="14" t="str">
        <f>IFERROR(INDEX(面试清单!D:D,MATCH(3268,面试清单!P:P,0)),"")</f>
        <v/>
      </c>
      <c r="D3269" s="11" t="s">
        <v>43</v>
      </c>
      <c r="E3269" s="11" t="s">
        <v>63</v>
      </c>
      <c r="F3269" s="11" t="s">
        <v>148</v>
      </c>
      <c r="G3269" s="15">
        <v>46186</v>
      </c>
      <c r="H3269" s="14" t="str">
        <f>IFERROR(INDEX(面试清单!H:H,MATCH(3268,面试清单!P:P,0)),"")</f>
        <v/>
      </c>
      <c r="I3269" s="13" t="s">
        <v>29</v>
      </c>
      <c r="J3269" s="14">
        <f ca="1" t="shared" si="154"/>
        <v>3</v>
      </c>
      <c r="K3269" s="14">
        <f ca="1" t="shared" si="155"/>
        <v>4</v>
      </c>
    </row>
    <row r="3270" ht="18" spans="1:11">
      <c r="A3270" s="10">
        <f t="shared" si="153"/>
        <v>3269</v>
      </c>
      <c r="B3270" s="11" t="s">
        <v>269</v>
      </c>
      <c r="C3270" s="10" t="str">
        <f>IFERROR(INDEX(面试清单!D:D,MATCH(3269,面试清单!P:P,0)),"")</f>
        <v/>
      </c>
      <c r="D3270" s="11" t="s">
        <v>42</v>
      </c>
      <c r="E3270" s="11" t="s">
        <v>63</v>
      </c>
      <c r="F3270" s="11" t="s">
        <v>124</v>
      </c>
      <c r="G3270" s="15">
        <v>46186</v>
      </c>
      <c r="H3270" s="10" t="str">
        <f>IFERROR(INDEX(面试清单!H:H,MATCH(3269,面试清单!P:P,0)),"")</f>
        <v/>
      </c>
      <c r="I3270" s="13" t="s">
        <v>29</v>
      </c>
      <c r="J3270" s="10">
        <f ca="1" t="shared" si="154"/>
        <v>3</v>
      </c>
      <c r="K3270" s="10">
        <f ca="1" t="shared" si="155"/>
        <v>4</v>
      </c>
    </row>
    <row r="3271" ht="18" spans="1:11">
      <c r="A3271" s="14">
        <f t="shared" si="153"/>
        <v>3270</v>
      </c>
      <c r="B3271" s="11" t="s">
        <v>6517</v>
      </c>
      <c r="C3271" s="14" t="str">
        <f>IFERROR(INDEX(面试清单!D:D,MATCH(3270,面试清单!P:P,0)),"")</f>
        <v/>
      </c>
      <c r="D3271" s="11" t="s">
        <v>42</v>
      </c>
      <c r="E3271" s="11" t="s">
        <v>62</v>
      </c>
      <c r="F3271" s="11" t="s">
        <v>103</v>
      </c>
      <c r="G3271" s="15">
        <v>46186</v>
      </c>
      <c r="H3271" s="14" t="str">
        <f>IFERROR(INDEX(面试清单!H:H,MATCH(3270,面试清单!P:P,0)),"")</f>
        <v/>
      </c>
      <c r="I3271" s="13" t="s">
        <v>29</v>
      </c>
      <c r="J3271" s="14">
        <f ca="1" t="shared" si="154"/>
        <v>3</v>
      </c>
      <c r="K3271" s="14">
        <f ca="1" t="shared" si="155"/>
        <v>4</v>
      </c>
    </row>
    <row r="3272" ht="18" spans="1:11">
      <c r="A3272" s="10">
        <f t="shared" si="153"/>
        <v>3271</v>
      </c>
      <c r="B3272" s="11" t="s">
        <v>6518</v>
      </c>
      <c r="C3272" s="10" t="str">
        <f>IFERROR(INDEX(面试清单!D:D,MATCH(3271,面试清单!P:P,0)),"")</f>
        <v/>
      </c>
      <c r="D3272" s="11" t="s">
        <v>42</v>
      </c>
      <c r="E3272" s="11" t="s">
        <v>62</v>
      </c>
      <c r="F3272" s="11" t="s">
        <v>103</v>
      </c>
      <c r="G3272" s="15">
        <v>46186</v>
      </c>
      <c r="H3272" s="10" t="str">
        <f>IFERROR(INDEX(面试清单!H:H,MATCH(3271,面试清单!P:P,0)),"")</f>
        <v/>
      </c>
      <c r="I3272" s="13" t="s">
        <v>29</v>
      </c>
      <c r="J3272" s="10">
        <f ca="1" t="shared" si="154"/>
        <v>3</v>
      </c>
      <c r="K3272" s="10">
        <f ca="1" t="shared" si="155"/>
        <v>4</v>
      </c>
    </row>
    <row r="3273" ht="18" spans="1:11">
      <c r="A3273" s="14">
        <f t="shared" si="153"/>
        <v>3272</v>
      </c>
      <c r="B3273" s="11" t="s">
        <v>1759</v>
      </c>
      <c r="C3273" s="14" t="str">
        <f>IFERROR(INDEX(面试清单!D:D,MATCH(3272,面试清单!P:P,0)),"")</f>
        <v/>
      </c>
      <c r="D3273" s="11" t="s">
        <v>42</v>
      </c>
      <c r="E3273" s="11" t="s">
        <v>63</v>
      </c>
      <c r="F3273" s="11" t="s">
        <v>1166</v>
      </c>
      <c r="G3273" s="15">
        <v>46186</v>
      </c>
      <c r="H3273" s="14" t="str">
        <f>IFERROR(INDEX(面试清单!H:H,MATCH(3272,面试清单!P:P,0)),"")</f>
        <v/>
      </c>
      <c r="I3273" s="13" t="s">
        <v>29</v>
      </c>
      <c r="J3273" s="14">
        <f ca="1" t="shared" si="154"/>
        <v>3</v>
      </c>
      <c r="K3273" s="14">
        <f ca="1" t="shared" si="155"/>
        <v>4</v>
      </c>
    </row>
    <row r="3274" ht="18" spans="1:11">
      <c r="A3274" s="10">
        <f t="shared" si="153"/>
        <v>3273</v>
      </c>
      <c r="B3274" s="11" t="s">
        <v>1760</v>
      </c>
      <c r="C3274" s="10" t="str">
        <f>IFERROR(INDEX(面试清单!D:D,MATCH(3273,面试清单!P:P,0)),"")</f>
        <v/>
      </c>
      <c r="D3274" s="11" t="s">
        <v>42</v>
      </c>
      <c r="E3274" s="11" t="s">
        <v>62</v>
      </c>
      <c r="F3274" s="11" t="s">
        <v>1166</v>
      </c>
      <c r="G3274" s="15">
        <v>46186</v>
      </c>
      <c r="H3274" s="10" t="str">
        <f>IFERROR(INDEX(面试清单!H:H,MATCH(3273,面试清单!P:P,0)),"")</f>
        <v/>
      </c>
      <c r="I3274" s="13" t="s">
        <v>29</v>
      </c>
      <c r="J3274" s="10">
        <f ca="1" t="shared" si="154"/>
        <v>3</v>
      </c>
      <c r="K3274" s="10">
        <f ca="1" t="shared" si="155"/>
        <v>4</v>
      </c>
    </row>
    <row r="3275" ht="18" spans="1:11">
      <c r="A3275" s="14">
        <f t="shared" si="153"/>
        <v>3274</v>
      </c>
      <c r="B3275" s="11" t="s">
        <v>1761</v>
      </c>
      <c r="C3275" s="14" t="str">
        <f>IFERROR(INDEX(面试清单!D:D,MATCH(3274,面试清单!P:P,0)),"")</f>
        <v/>
      </c>
      <c r="D3275" s="11" t="s">
        <v>42</v>
      </c>
      <c r="E3275" s="11" t="s">
        <v>62</v>
      </c>
      <c r="F3275" s="11" t="s">
        <v>1166</v>
      </c>
      <c r="G3275" s="15">
        <v>46186</v>
      </c>
      <c r="H3275" s="14" t="str">
        <f>IFERROR(INDEX(面试清单!H:H,MATCH(3274,面试清单!P:P,0)),"")</f>
        <v/>
      </c>
      <c r="I3275" s="13" t="s">
        <v>29</v>
      </c>
      <c r="J3275" s="14">
        <f ca="1" t="shared" si="154"/>
        <v>3</v>
      </c>
      <c r="K3275" s="14">
        <f ca="1" t="shared" si="155"/>
        <v>4</v>
      </c>
    </row>
    <row r="3276" ht="18" spans="1:11">
      <c r="A3276" s="10">
        <f t="shared" si="153"/>
        <v>3275</v>
      </c>
      <c r="B3276" s="11" t="s">
        <v>1925</v>
      </c>
      <c r="C3276" s="10" t="str">
        <f>IFERROR(INDEX(面试清单!D:D,MATCH(3275,面试清单!P:P,0)),"")</f>
        <v/>
      </c>
      <c r="D3276" s="11" t="s">
        <v>43</v>
      </c>
      <c r="E3276" s="11" t="s">
        <v>63</v>
      </c>
      <c r="F3276" s="11" t="s">
        <v>179</v>
      </c>
      <c r="G3276" s="15">
        <v>46186</v>
      </c>
      <c r="H3276" s="10" t="str">
        <f>IFERROR(INDEX(面试清单!H:H,MATCH(3275,面试清单!P:P,0)),"")</f>
        <v/>
      </c>
      <c r="I3276" s="13" t="s">
        <v>29</v>
      </c>
      <c r="J3276" s="10">
        <f ca="1" t="shared" si="154"/>
        <v>3</v>
      </c>
      <c r="K3276" s="10">
        <f ca="1" t="shared" si="155"/>
        <v>4</v>
      </c>
    </row>
    <row r="3277" ht="18" spans="1:11">
      <c r="A3277" s="14">
        <f t="shared" si="153"/>
        <v>3276</v>
      </c>
      <c r="B3277" s="11" t="s">
        <v>983</v>
      </c>
      <c r="C3277" s="14" t="str">
        <f>IFERROR(INDEX(面试清单!D:D,MATCH(3276,面试清单!P:P,0)),"")</f>
        <v/>
      </c>
      <c r="D3277" s="11" t="s">
        <v>42</v>
      </c>
      <c r="E3277" s="11" t="s">
        <v>64</v>
      </c>
      <c r="F3277" s="11" t="s">
        <v>179</v>
      </c>
      <c r="G3277" s="15">
        <v>46186</v>
      </c>
      <c r="H3277" s="14" t="str">
        <f>IFERROR(INDEX(面试清单!H:H,MATCH(3276,面试清单!P:P,0)),"")</f>
        <v/>
      </c>
      <c r="I3277" s="13" t="s">
        <v>29</v>
      </c>
      <c r="J3277" s="14">
        <f ca="1" t="shared" si="154"/>
        <v>3</v>
      </c>
      <c r="K3277" s="14">
        <f ca="1" t="shared" si="155"/>
        <v>4</v>
      </c>
    </row>
    <row r="3278" ht="18" spans="1:11">
      <c r="A3278" s="10">
        <f t="shared" si="153"/>
        <v>3277</v>
      </c>
      <c r="B3278" s="11" t="s">
        <v>984</v>
      </c>
      <c r="C3278" s="10" t="str">
        <f>IFERROR(INDEX(面试清单!D:D,MATCH(3277,面试清单!P:P,0)),"")</f>
        <v/>
      </c>
      <c r="D3278" s="11" t="s">
        <v>42</v>
      </c>
      <c r="E3278" s="11" t="s">
        <v>64</v>
      </c>
      <c r="F3278" s="11" t="s">
        <v>179</v>
      </c>
      <c r="G3278" s="15">
        <v>46186</v>
      </c>
      <c r="H3278" s="10" t="str">
        <f>IFERROR(INDEX(面试清单!H:H,MATCH(3277,面试清单!P:P,0)),"")</f>
        <v/>
      </c>
      <c r="I3278" s="13" t="s">
        <v>29</v>
      </c>
      <c r="J3278" s="10">
        <f ca="1" t="shared" si="154"/>
        <v>3</v>
      </c>
      <c r="K3278" s="10">
        <f ca="1" t="shared" si="155"/>
        <v>4</v>
      </c>
    </row>
    <row r="3279" ht="18" spans="1:11">
      <c r="A3279" s="14">
        <f t="shared" si="153"/>
        <v>3278</v>
      </c>
      <c r="B3279" s="11" t="s">
        <v>1012</v>
      </c>
      <c r="C3279" s="14" t="str">
        <f>IFERROR(INDEX(面试清单!D:D,MATCH(3278,面试清单!P:P,0)),"")</f>
        <v/>
      </c>
      <c r="D3279" s="11" t="s">
        <v>43</v>
      </c>
      <c r="E3279" s="11" t="s">
        <v>64</v>
      </c>
      <c r="F3279" s="11" t="s">
        <v>468</v>
      </c>
      <c r="G3279" s="15">
        <v>46186</v>
      </c>
      <c r="H3279" s="14" t="str">
        <f>IFERROR(INDEX(面试清单!H:H,MATCH(3278,面试清单!P:P,0)),"")</f>
        <v/>
      </c>
      <c r="I3279" s="13" t="s">
        <v>29</v>
      </c>
      <c r="J3279" s="14">
        <f ca="1" t="shared" si="154"/>
        <v>3</v>
      </c>
      <c r="K3279" s="14">
        <f ca="1" t="shared" si="155"/>
        <v>4</v>
      </c>
    </row>
    <row r="3280" ht="18" spans="1:11">
      <c r="A3280" s="10">
        <f t="shared" si="153"/>
        <v>3279</v>
      </c>
      <c r="B3280" s="11" t="s">
        <v>1912</v>
      </c>
      <c r="C3280" s="10" t="str">
        <f>IFERROR(INDEX(面试清单!D:D,MATCH(3279,面试清单!P:P,0)),"")</f>
        <v/>
      </c>
      <c r="D3280" s="11" t="s">
        <v>43</v>
      </c>
      <c r="E3280" s="11" t="s">
        <v>63</v>
      </c>
      <c r="F3280" s="11" t="s">
        <v>681</v>
      </c>
      <c r="G3280" s="15">
        <v>46186</v>
      </c>
      <c r="H3280" s="10" t="str">
        <f>IFERROR(INDEX(面试清单!H:H,MATCH(3279,面试清单!P:P,0)),"")</f>
        <v/>
      </c>
      <c r="I3280" s="13" t="s">
        <v>29</v>
      </c>
      <c r="J3280" s="10">
        <f ca="1" t="shared" si="154"/>
        <v>3</v>
      </c>
      <c r="K3280" s="10">
        <f ca="1" t="shared" si="155"/>
        <v>4</v>
      </c>
    </row>
    <row r="3281" ht="18" spans="1:11">
      <c r="A3281" s="14">
        <f t="shared" si="153"/>
        <v>3280</v>
      </c>
      <c r="B3281" s="11" t="s">
        <v>959</v>
      </c>
      <c r="C3281" s="14" t="str">
        <f>IFERROR(INDEX(面试清单!D:D,MATCH(3280,面试清单!P:P,0)),"")</f>
        <v/>
      </c>
      <c r="D3281" s="11" t="s">
        <v>42</v>
      </c>
      <c r="E3281" s="11" t="s">
        <v>64</v>
      </c>
      <c r="F3281" s="11" t="s">
        <v>148</v>
      </c>
      <c r="G3281" s="15">
        <v>46186</v>
      </c>
      <c r="H3281" s="14" t="str">
        <f>IFERROR(INDEX(面试清单!H:H,MATCH(3280,面试清单!P:P,0)),"")</f>
        <v/>
      </c>
      <c r="I3281" s="13" t="s">
        <v>29</v>
      </c>
      <c r="J3281" s="14">
        <f ca="1" t="shared" si="154"/>
        <v>3</v>
      </c>
      <c r="K3281" s="14">
        <f ca="1" t="shared" si="155"/>
        <v>4</v>
      </c>
    </row>
    <row r="3282" ht="18" spans="1:11">
      <c r="A3282" s="10">
        <f t="shared" si="153"/>
        <v>3281</v>
      </c>
      <c r="B3282" s="11" t="s">
        <v>1017</v>
      </c>
      <c r="C3282" s="10" t="str">
        <f>IFERROR(INDEX(面试清单!D:D,MATCH(3281,面试清单!P:P,0)),"")</f>
        <v/>
      </c>
      <c r="D3282" s="11" t="s">
        <v>42</v>
      </c>
      <c r="E3282" s="11" t="s">
        <v>64</v>
      </c>
      <c r="F3282" s="11" t="s">
        <v>233</v>
      </c>
      <c r="G3282" s="15">
        <v>46186</v>
      </c>
      <c r="H3282" s="10" t="str">
        <f>IFERROR(INDEX(面试清单!H:H,MATCH(3281,面试清单!P:P,0)),"")</f>
        <v/>
      </c>
      <c r="I3282" s="13" t="s">
        <v>29</v>
      </c>
      <c r="J3282" s="10">
        <f ca="1" t="shared" si="154"/>
        <v>3</v>
      </c>
      <c r="K3282" s="10">
        <f ca="1" t="shared" si="155"/>
        <v>4</v>
      </c>
    </row>
    <row r="3283" ht="18" spans="1:11">
      <c r="A3283" s="14">
        <f t="shared" si="153"/>
        <v>3282</v>
      </c>
      <c r="B3283" s="11" t="s">
        <v>1018</v>
      </c>
      <c r="C3283" s="14" t="str">
        <f>IFERROR(INDEX(面试清单!D:D,MATCH(3282,面试清单!P:P,0)),"")</f>
        <v/>
      </c>
      <c r="D3283" s="11" t="s">
        <v>43</v>
      </c>
      <c r="E3283" s="11" t="s">
        <v>63</v>
      </c>
      <c r="F3283" s="11" t="s">
        <v>103</v>
      </c>
      <c r="G3283" s="15">
        <v>46186</v>
      </c>
      <c r="H3283" s="14" t="str">
        <f>IFERROR(INDEX(面试清单!H:H,MATCH(3282,面试清单!P:P,0)),"")</f>
        <v/>
      </c>
      <c r="I3283" s="13" t="s">
        <v>29</v>
      </c>
      <c r="J3283" s="14">
        <f ca="1" t="shared" si="154"/>
        <v>3</v>
      </c>
      <c r="K3283" s="14">
        <f ca="1" t="shared" si="155"/>
        <v>4</v>
      </c>
    </row>
    <row r="3284" ht="18" spans="1:11">
      <c r="A3284" s="10">
        <f t="shared" si="153"/>
        <v>3283</v>
      </c>
      <c r="B3284" s="11" t="s">
        <v>1021</v>
      </c>
      <c r="C3284" s="10" t="str">
        <f>IFERROR(INDEX(面试清单!D:D,MATCH(3283,面试清单!P:P,0)),"")</f>
        <v/>
      </c>
      <c r="D3284" s="11" t="s">
        <v>74</v>
      </c>
      <c r="E3284" s="11" t="s">
        <v>64</v>
      </c>
      <c r="F3284" s="11" t="s">
        <v>135</v>
      </c>
      <c r="G3284" s="15">
        <v>46186</v>
      </c>
      <c r="H3284" s="10" t="str">
        <f>IFERROR(INDEX(面试清单!H:H,MATCH(3283,面试清单!P:P,0)),"")</f>
        <v/>
      </c>
      <c r="I3284" s="13" t="s">
        <v>29</v>
      </c>
      <c r="J3284" s="10">
        <f ca="1" t="shared" si="154"/>
        <v>3</v>
      </c>
      <c r="K3284" s="10">
        <f ca="1" t="shared" si="155"/>
        <v>4</v>
      </c>
    </row>
    <row r="3285" ht="18" spans="1:11">
      <c r="A3285" s="14">
        <f t="shared" si="153"/>
        <v>3284</v>
      </c>
      <c r="B3285" s="11" t="s">
        <v>1022</v>
      </c>
      <c r="C3285" s="14" t="str">
        <f>IFERROR(INDEX(面试清单!D:D,MATCH(3284,面试清单!P:P,0)),"")</f>
        <v/>
      </c>
      <c r="D3285" s="11" t="s">
        <v>74</v>
      </c>
      <c r="E3285" s="11" t="s">
        <v>64</v>
      </c>
      <c r="F3285" s="11" t="s">
        <v>135</v>
      </c>
      <c r="G3285" s="15">
        <v>46186</v>
      </c>
      <c r="H3285" s="14" t="str">
        <f>IFERROR(INDEX(面试清单!H:H,MATCH(3284,面试清单!P:P,0)),"")</f>
        <v/>
      </c>
      <c r="I3285" s="13" t="s">
        <v>29</v>
      </c>
      <c r="J3285" s="14">
        <f ca="1" t="shared" si="154"/>
        <v>3</v>
      </c>
      <c r="K3285" s="14">
        <f ca="1" t="shared" si="155"/>
        <v>4</v>
      </c>
    </row>
    <row r="3286" ht="18" spans="1:11">
      <c r="A3286" s="10">
        <f t="shared" si="153"/>
        <v>3285</v>
      </c>
      <c r="B3286" s="11" t="s">
        <v>1715</v>
      </c>
      <c r="C3286" s="125" t="str">
        <f>IFERROR(INDEX(面试清单!D:D,MATCH(3285,面试清单!P:P,0)),"")</f>
        <v>0214</v>
      </c>
      <c r="D3286" s="11" t="s">
        <v>42</v>
      </c>
      <c r="E3286" s="11" t="s">
        <v>63</v>
      </c>
      <c r="F3286" s="11" t="s">
        <v>1334</v>
      </c>
      <c r="G3286" s="15">
        <v>46186</v>
      </c>
      <c r="H3286" s="10" t="str">
        <f>IFERROR(INDEX(面试清单!H:H,MATCH(3285,面试清单!P:P,0)),"")</f>
        <v>线上</v>
      </c>
      <c r="I3286" s="13" t="s">
        <v>29</v>
      </c>
      <c r="J3286" s="10">
        <f ca="1" t="shared" si="154"/>
        <v>3</v>
      </c>
      <c r="K3286" s="10">
        <f ca="1" t="shared" si="155"/>
        <v>4</v>
      </c>
    </row>
    <row r="3287" ht="18" spans="1:11">
      <c r="A3287" s="14">
        <f t="shared" si="153"/>
        <v>3286</v>
      </c>
      <c r="B3287" s="11" t="s">
        <v>267</v>
      </c>
      <c r="C3287" s="14" t="str">
        <f>IFERROR(INDEX(面试清单!D:D,MATCH(3286,面试清单!P:P,0)),"")</f>
        <v/>
      </c>
      <c r="D3287" s="11" t="s">
        <v>42</v>
      </c>
      <c r="E3287" s="11" t="s">
        <v>62</v>
      </c>
      <c r="F3287" s="11" t="s">
        <v>124</v>
      </c>
      <c r="G3287" s="15">
        <v>46186</v>
      </c>
      <c r="H3287" s="14" t="str">
        <f>IFERROR(INDEX(面试清单!H:H,MATCH(3286,面试清单!P:P,0)),"")</f>
        <v/>
      </c>
      <c r="I3287" s="13" t="s">
        <v>29</v>
      </c>
      <c r="J3287" s="14">
        <f ca="1" t="shared" si="154"/>
        <v>3</v>
      </c>
      <c r="K3287" s="14">
        <f ca="1" t="shared" si="155"/>
        <v>4</v>
      </c>
    </row>
    <row r="3288" ht="18" spans="1:11">
      <c r="A3288" s="10">
        <f t="shared" si="153"/>
        <v>3287</v>
      </c>
      <c r="B3288" s="11" t="s">
        <v>1003</v>
      </c>
      <c r="C3288" s="10" t="str">
        <f>IFERROR(INDEX(面试清单!D:D,MATCH(3287,面试清单!P:P,0)),"")</f>
        <v/>
      </c>
      <c r="D3288" s="11" t="s">
        <v>42</v>
      </c>
      <c r="E3288" s="11" t="s">
        <v>64</v>
      </c>
      <c r="F3288" s="11" t="s">
        <v>179</v>
      </c>
      <c r="G3288" s="15">
        <v>46186</v>
      </c>
      <c r="H3288" s="10" t="str">
        <f>IFERROR(INDEX(面试清单!H:H,MATCH(3287,面试清单!P:P,0)),"")</f>
        <v/>
      </c>
      <c r="I3288" s="13" t="s">
        <v>29</v>
      </c>
      <c r="J3288" s="10">
        <f ca="1" t="shared" si="154"/>
        <v>3</v>
      </c>
      <c r="K3288" s="10">
        <f ca="1" t="shared" si="155"/>
        <v>4</v>
      </c>
    </row>
    <row r="3289" ht="18" spans="1:11">
      <c r="A3289" s="14">
        <f t="shared" si="153"/>
        <v>3288</v>
      </c>
      <c r="B3289" s="11" t="s">
        <v>1028</v>
      </c>
      <c r="C3289" s="14" t="str">
        <f>IFERROR(INDEX(面试清单!D:D,MATCH(3288,面试清单!P:P,0)),"")</f>
        <v/>
      </c>
      <c r="D3289" s="11" t="s">
        <v>43</v>
      </c>
      <c r="E3289" s="11" t="s">
        <v>62</v>
      </c>
      <c r="F3289" s="11" t="s">
        <v>179</v>
      </c>
      <c r="G3289" s="15">
        <v>46186</v>
      </c>
      <c r="H3289" s="14" t="str">
        <f>IFERROR(INDEX(面试清单!H:H,MATCH(3288,面试清单!P:P,0)),"")</f>
        <v/>
      </c>
      <c r="I3289" s="13" t="s">
        <v>29</v>
      </c>
      <c r="J3289" s="14">
        <f ca="1" t="shared" si="154"/>
        <v>3</v>
      </c>
      <c r="K3289" s="14">
        <f ca="1" t="shared" si="155"/>
        <v>4</v>
      </c>
    </row>
    <row r="3290" ht="18" spans="1:11">
      <c r="A3290" s="10">
        <f t="shared" si="153"/>
        <v>3289</v>
      </c>
      <c r="B3290" s="11" t="s">
        <v>817</v>
      </c>
      <c r="C3290" s="10" t="str">
        <f>IFERROR(INDEX(面试清单!D:D,MATCH(3289,面试清单!P:P,0)),"")</f>
        <v/>
      </c>
      <c r="D3290" s="11" t="s">
        <v>42</v>
      </c>
      <c r="E3290" s="11" t="s">
        <v>64</v>
      </c>
      <c r="F3290" s="11" t="s">
        <v>179</v>
      </c>
      <c r="G3290" s="15">
        <v>46186</v>
      </c>
      <c r="H3290" s="10" t="str">
        <f>IFERROR(INDEX(面试清单!H:H,MATCH(3289,面试清单!P:P,0)),"")</f>
        <v/>
      </c>
      <c r="I3290" s="13" t="s">
        <v>29</v>
      </c>
      <c r="J3290" s="10">
        <f ca="1" t="shared" si="154"/>
        <v>3</v>
      </c>
      <c r="K3290" s="10">
        <f ca="1" t="shared" si="155"/>
        <v>4</v>
      </c>
    </row>
    <row r="3291" ht="18" spans="1:11">
      <c r="A3291" s="14">
        <f t="shared" si="153"/>
        <v>3290</v>
      </c>
      <c r="B3291" s="11" t="s">
        <v>1035</v>
      </c>
      <c r="C3291" s="124" t="str">
        <f>IFERROR(INDEX(面试清单!D:D,MATCH(3290,面试清单!P:P,0)),"")</f>
        <v>0222</v>
      </c>
      <c r="D3291" s="11" t="s">
        <v>43</v>
      </c>
      <c r="E3291" s="11" t="s">
        <v>64</v>
      </c>
      <c r="F3291" s="11" t="s">
        <v>179</v>
      </c>
      <c r="G3291" s="15">
        <v>46186</v>
      </c>
      <c r="H3291" s="14" t="str">
        <f>IFERROR(INDEX(面试清单!H:H,MATCH(3290,面试清单!P:P,0)),"")</f>
        <v>线上</v>
      </c>
      <c r="I3291" s="13" t="s">
        <v>29</v>
      </c>
      <c r="J3291" s="14">
        <f ca="1" t="shared" si="154"/>
        <v>3</v>
      </c>
      <c r="K3291" s="14">
        <f ca="1" t="shared" si="155"/>
        <v>4</v>
      </c>
    </row>
    <row r="3292" ht="18" spans="1:11">
      <c r="A3292" s="10">
        <f t="shared" si="153"/>
        <v>3291</v>
      </c>
      <c r="B3292" s="11" t="s">
        <v>1042</v>
      </c>
      <c r="C3292" s="10" t="str">
        <f>IFERROR(INDEX(面试清单!D:D,MATCH(3291,面试清单!P:P,0)),"")</f>
        <v/>
      </c>
      <c r="D3292" s="11" t="s">
        <v>42</v>
      </c>
      <c r="E3292" s="11" t="s">
        <v>64</v>
      </c>
      <c r="F3292" s="11" t="s">
        <v>148</v>
      </c>
      <c r="G3292" s="15">
        <v>46186</v>
      </c>
      <c r="H3292" s="10" t="str">
        <f>IFERROR(INDEX(面试清单!H:H,MATCH(3291,面试清单!P:P,0)),"")</f>
        <v/>
      </c>
      <c r="I3292" s="13" t="s">
        <v>29</v>
      </c>
      <c r="J3292" s="10">
        <f ca="1" t="shared" si="154"/>
        <v>3</v>
      </c>
      <c r="K3292" s="10">
        <f ca="1" t="shared" si="155"/>
        <v>4</v>
      </c>
    </row>
    <row r="3293" ht="18" spans="1:11">
      <c r="A3293" s="14">
        <f t="shared" si="153"/>
        <v>3292</v>
      </c>
      <c r="B3293" s="11" t="s">
        <v>1043</v>
      </c>
      <c r="C3293" s="14" t="str">
        <f>IFERROR(INDEX(面试清单!D:D,MATCH(3292,面试清单!P:P,0)),"")</f>
        <v/>
      </c>
      <c r="D3293" s="11" t="s">
        <v>42</v>
      </c>
      <c r="E3293" s="11" t="s">
        <v>64</v>
      </c>
      <c r="F3293" s="11" t="s">
        <v>148</v>
      </c>
      <c r="G3293" s="15">
        <v>46186</v>
      </c>
      <c r="H3293" s="14" t="str">
        <f>IFERROR(INDEX(面试清单!H:H,MATCH(3292,面试清单!P:P,0)),"")</f>
        <v/>
      </c>
      <c r="I3293" s="13" t="s">
        <v>29</v>
      </c>
      <c r="J3293" s="14">
        <f ca="1" t="shared" si="154"/>
        <v>3</v>
      </c>
      <c r="K3293" s="14">
        <f ca="1" t="shared" si="155"/>
        <v>4</v>
      </c>
    </row>
    <row r="3294" ht="18" spans="1:11">
      <c r="A3294" s="10">
        <f t="shared" si="153"/>
        <v>3293</v>
      </c>
      <c r="B3294" s="11" t="s">
        <v>1048</v>
      </c>
      <c r="C3294" s="10" t="str">
        <f>IFERROR(INDEX(面试清单!D:D,MATCH(3293,面试清单!P:P,0)),"")</f>
        <v/>
      </c>
      <c r="D3294" s="11" t="s">
        <v>42</v>
      </c>
      <c r="E3294" s="11" t="s">
        <v>64</v>
      </c>
      <c r="F3294" s="11" t="s">
        <v>148</v>
      </c>
      <c r="G3294" s="15">
        <v>46186</v>
      </c>
      <c r="H3294" s="10" t="str">
        <f>IFERROR(INDEX(面试清单!H:H,MATCH(3293,面试清单!P:P,0)),"")</f>
        <v/>
      </c>
      <c r="I3294" s="13" t="s">
        <v>29</v>
      </c>
      <c r="J3294" s="10">
        <f ca="1" t="shared" si="154"/>
        <v>3</v>
      </c>
      <c r="K3294" s="10">
        <f ca="1" t="shared" si="155"/>
        <v>4</v>
      </c>
    </row>
    <row r="3295" ht="18" spans="1:11">
      <c r="A3295" s="14">
        <f t="shared" si="153"/>
        <v>3294</v>
      </c>
      <c r="B3295" s="11" t="s">
        <v>1050</v>
      </c>
      <c r="C3295" s="14" t="str">
        <f>IFERROR(INDEX(面试清单!D:D,MATCH(3294,面试清单!P:P,0)),"")</f>
        <v/>
      </c>
      <c r="D3295" s="11" t="s">
        <v>42</v>
      </c>
      <c r="E3295" s="11" t="s">
        <v>64</v>
      </c>
      <c r="F3295" s="11" t="s">
        <v>148</v>
      </c>
      <c r="G3295" s="15">
        <v>46186</v>
      </c>
      <c r="H3295" s="14" t="str">
        <f>IFERROR(INDEX(面试清单!H:H,MATCH(3294,面试清单!P:P,0)),"")</f>
        <v/>
      </c>
      <c r="I3295" s="13" t="s">
        <v>29</v>
      </c>
      <c r="J3295" s="14">
        <f ca="1" t="shared" si="154"/>
        <v>3</v>
      </c>
      <c r="K3295" s="14">
        <f ca="1" t="shared" si="155"/>
        <v>4</v>
      </c>
    </row>
    <row r="3296" ht="18" spans="1:11">
      <c r="A3296" s="10">
        <f t="shared" si="153"/>
        <v>3295</v>
      </c>
      <c r="B3296" s="11" t="s">
        <v>6519</v>
      </c>
      <c r="C3296" s="10" t="str">
        <f>IFERROR(INDEX(面试清单!D:D,MATCH(3295,面试清单!P:P,0)),"")</f>
        <v/>
      </c>
      <c r="D3296" s="11" t="s">
        <v>42</v>
      </c>
      <c r="E3296" s="11" t="s">
        <v>63</v>
      </c>
      <c r="F3296" s="11" t="s">
        <v>129</v>
      </c>
      <c r="G3296" s="15">
        <v>46186</v>
      </c>
      <c r="H3296" s="10" t="str">
        <f>IFERROR(INDEX(面试清单!H:H,MATCH(3295,面试清单!P:P,0)),"")</f>
        <v/>
      </c>
      <c r="I3296" s="13" t="s">
        <v>29</v>
      </c>
      <c r="J3296" s="10">
        <f ca="1" t="shared" si="154"/>
        <v>3</v>
      </c>
      <c r="K3296" s="10">
        <f ca="1" t="shared" si="155"/>
        <v>4</v>
      </c>
    </row>
    <row r="3297" ht="18" spans="1:11">
      <c r="A3297" s="14">
        <f t="shared" si="153"/>
        <v>3296</v>
      </c>
      <c r="B3297" s="11" t="s">
        <v>1922</v>
      </c>
      <c r="C3297" s="14" t="str">
        <f>IFERROR(INDEX(面试清单!D:D,MATCH(3296,面试清单!P:P,0)),"")</f>
        <v/>
      </c>
      <c r="D3297" s="11" t="s">
        <v>43</v>
      </c>
      <c r="E3297" s="11" t="s">
        <v>63</v>
      </c>
      <c r="F3297" s="11" t="s">
        <v>173</v>
      </c>
      <c r="G3297" s="15">
        <v>46187</v>
      </c>
      <c r="H3297" s="14" t="str">
        <f>IFERROR(INDEX(面试清单!H:H,MATCH(3296,面试清单!P:P,0)),"")</f>
        <v/>
      </c>
      <c r="I3297" s="13" t="s">
        <v>29</v>
      </c>
      <c r="J3297" s="14">
        <f ca="1" t="shared" si="154"/>
        <v>2</v>
      </c>
      <c r="K3297" s="14">
        <f ca="1" t="shared" si="155"/>
        <v>3</v>
      </c>
    </row>
    <row r="3298" ht="18" spans="1:11">
      <c r="A3298" s="10">
        <f t="shared" si="153"/>
        <v>3297</v>
      </c>
      <c r="B3298" s="11" t="s">
        <v>1741</v>
      </c>
      <c r="C3298" s="10" t="str">
        <f>IFERROR(INDEX(面试清单!D:D,MATCH(3297,面试清单!P:P,0)),"")</f>
        <v/>
      </c>
      <c r="D3298" s="11" t="s">
        <v>43</v>
      </c>
      <c r="E3298" s="11" t="s">
        <v>62</v>
      </c>
      <c r="F3298" s="11" t="s">
        <v>148</v>
      </c>
      <c r="G3298" s="15">
        <v>46187</v>
      </c>
      <c r="H3298" s="10" t="str">
        <f>IFERROR(INDEX(面试清单!H:H,MATCH(3297,面试清单!P:P,0)),"")</f>
        <v/>
      </c>
      <c r="I3298" s="13" t="s">
        <v>29</v>
      </c>
      <c r="J3298" s="10">
        <f ca="1" t="shared" si="154"/>
        <v>2</v>
      </c>
      <c r="K3298" s="10">
        <f ca="1" t="shared" si="155"/>
        <v>3</v>
      </c>
    </row>
    <row r="3299" ht="18" spans="1:11">
      <c r="A3299" s="14">
        <f t="shared" si="153"/>
        <v>3298</v>
      </c>
      <c r="B3299" s="11" t="s">
        <v>1727</v>
      </c>
      <c r="C3299" s="14" t="str">
        <f>IFERROR(INDEX(面试清单!D:D,MATCH(3298,面试清单!P:P,0)),"")</f>
        <v/>
      </c>
      <c r="D3299" s="11" t="s">
        <v>42</v>
      </c>
      <c r="E3299" s="11" t="s">
        <v>62</v>
      </c>
      <c r="F3299" s="11" t="s">
        <v>148</v>
      </c>
      <c r="G3299" s="15">
        <v>46187</v>
      </c>
      <c r="H3299" s="14" t="str">
        <f>IFERROR(INDEX(面试清单!H:H,MATCH(3298,面试清单!P:P,0)),"")</f>
        <v/>
      </c>
      <c r="I3299" s="13" t="s">
        <v>29</v>
      </c>
      <c r="J3299" s="14">
        <f ca="1" t="shared" si="154"/>
        <v>2</v>
      </c>
      <c r="K3299" s="14">
        <f ca="1" t="shared" si="155"/>
        <v>3</v>
      </c>
    </row>
    <row r="3300" ht="18" spans="1:11">
      <c r="A3300" s="10">
        <f t="shared" si="153"/>
        <v>3299</v>
      </c>
      <c r="B3300" s="11" t="s">
        <v>1957</v>
      </c>
      <c r="C3300" s="125" t="str">
        <f>IFERROR(INDEX(面试清单!D:D,MATCH(3299,面试清单!P:P,0)),"")</f>
        <v>0222</v>
      </c>
      <c r="D3300" s="11" t="s">
        <v>43</v>
      </c>
      <c r="E3300" s="11" t="s">
        <v>63</v>
      </c>
      <c r="F3300" s="11" t="s">
        <v>1136</v>
      </c>
      <c r="G3300" s="15">
        <v>46187</v>
      </c>
      <c r="H3300" s="10" t="str">
        <f>IFERROR(INDEX(面试清单!H:H,MATCH(3299,面试清单!P:P,0)),"")</f>
        <v>线上</v>
      </c>
      <c r="I3300" s="13" t="s">
        <v>29</v>
      </c>
      <c r="J3300" s="10">
        <f ca="1" t="shared" si="154"/>
        <v>2</v>
      </c>
      <c r="K3300" s="10">
        <f ca="1" t="shared" si="155"/>
        <v>3</v>
      </c>
    </row>
    <row r="3301" ht="18" spans="1:11">
      <c r="A3301" s="14">
        <f t="shared" si="153"/>
        <v>3300</v>
      </c>
      <c r="B3301" s="11" t="s">
        <v>1572</v>
      </c>
      <c r="C3301" s="14" t="str">
        <f>IFERROR(INDEX(面试清单!D:D,MATCH(3300,面试清单!P:P,0)),"")</f>
        <v/>
      </c>
      <c r="D3301" s="11" t="s">
        <v>42</v>
      </c>
      <c r="E3301" s="11" t="s">
        <v>63</v>
      </c>
      <c r="F3301" s="11" t="s">
        <v>176</v>
      </c>
      <c r="G3301" s="15">
        <v>46187</v>
      </c>
      <c r="H3301" s="14" t="str">
        <f>IFERROR(INDEX(面试清单!H:H,MATCH(3300,面试清单!P:P,0)),"")</f>
        <v/>
      </c>
      <c r="I3301" s="13" t="s">
        <v>29</v>
      </c>
      <c r="J3301" s="14">
        <f ca="1" t="shared" si="154"/>
        <v>2</v>
      </c>
      <c r="K3301" s="14">
        <f ca="1" t="shared" si="155"/>
        <v>3</v>
      </c>
    </row>
    <row r="3302" ht="18" spans="1:11">
      <c r="A3302" s="10">
        <f t="shared" si="153"/>
        <v>3301</v>
      </c>
      <c r="B3302" s="11" t="s">
        <v>1885</v>
      </c>
      <c r="C3302" s="10" t="str">
        <f>IFERROR(INDEX(面试清单!D:D,MATCH(3301,面试清单!P:P,0)),"")</f>
        <v/>
      </c>
      <c r="D3302" s="11" t="s">
        <v>42</v>
      </c>
      <c r="E3302" s="11" t="s">
        <v>63</v>
      </c>
      <c r="F3302" s="11" t="s">
        <v>176</v>
      </c>
      <c r="G3302" s="15">
        <v>46187</v>
      </c>
      <c r="H3302" s="10" t="str">
        <f>IFERROR(INDEX(面试清单!H:H,MATCH(3301,面试清单!P:P,0)),"")</f>
        <v/>
      </c>
      <c r="I3302" s="13" t="s">
        <v>29</v>
      </c>
      <c r="J3302" s="10">
        <f ca="1" t="shared" si="154"/>
        <v>2</v>
      </c>
      <c r="K3302" s="10">
        <f ca="1" t="shared" si="155"/>
        <v>3</v>
      </c>
    </row>
    <row r="3303" ht="18" spans="1:11">
      <c r="A3303" s="14">
        <f t="shared" si="153"/>
        <v>3302</v>
      </c>
      <c r="B3303" s="11" t="s">
        <v>1567</v>
      </c>
      <c r="C3303" s="124" t="str">
        <f>IFERROR(INDEX(面试清单!D:D,MATCH(3302,面试清单!P:P,0)),"")</f>
        <v>0212</v>
      </c>
      <c r="D3303" s="11" t="s">
        <v>42</v>
      </c>
      <c r="E3303" s="11" t="s">
        <v>63</v>
      </c>
      <c r="F3303" s="11" t="s">
        <v>176</v>
      </c>
      <c r="G3303" s="15">
        <v>46187</v>
      </c>
      <c r="H3303" s="14" t="str">
        <f>IFERROR(INDEX(面试清单!H:H,MATCH(3302,面试清单!P:P,0)),"")</f>
        <v>线上</v>
      </c>
      <c r="I3303" s="13" t="s">
        <v>29</v>
      </c>
      <c r="J3303" s="14">
        <f ca="1" t="shared" si="154"/>
        <v>2</v>
      </c>
      <c r="K3303" s="14">
        <f ca="1" t="shared" si="155"/>
        <v>3</v>
      </c>
    </row>
    <row r="3304" ht="18" spans="1:11">
      <c r="A3304" s="10">
        <f t="shared" si="153"/>
        <v>3303</v>
      </c>
      <c r="B3304" s="11" t="s">
        <v>1968</v>
      </c>
      <c r="C3304" s="125" t="str">
        <f>IFERROR(INDEX(面试清单!D:D,MATCH(3303,面试清单!P:P,0)),"")</f>
        <v>0214</v>
      </c>
      <c r="D3304" s="11" t="s">
        <v>43</v>
      </c>
      <c r="E3304" s="11" t="s">
        <v>62</v>
      </c>
      <c r="F3304" s="11" t="s">
        <v>307</v>
      </c>
      <c r="G3304" s="15">
        <v>46187</v>
      </c>
      <c r="H3304" s="10" t="str">
        <f>IFERROR(INDEX(面试清单!H:H,MATCH(3303,面试清单!P:P,0)),"")</f>
        <v>线上</v>
      </c>
      <c r="I3304" s="13" t="s">
        <v>29</v>
      </c>
      <c r="J3304" s="10">
        <f ca="1" t="shared" si="154"/>
        <v>2</v>
      </c>
      <c r="K3304" s="10">
        <f ca="1" t="shared" si="155"/>
        <v>3</v>
      </c>
    </row>
    <row r="3305" ht="18" spans="1:11">
      <c r="A3305" s="14">
        <f t="shared" si="153"/>
        <v>3304</v>
      </c>
      <c r="B3305" s="11" t="s">
        <v>1999</v>
      </c>
      <c r="C3305" s="14" t="str">
        <f>IFERROR(INDEX(面试清单!D:D,MATCH(3304,面试清单!P:P,0)),"")</f>
        <v/>
      </c>
      <c r="D3305" s="11" t="s">
        <v>42</v>
      </c>
      <c r="E3305" s="11" t="s">
        <v>62</v>
      </c>
      <c r="F3305" s="11" t="s">
        <v>233</v>
      </c>
      <c r="G3305" s="15">
        <v>46187</v>
      </c>
      <c r="H3305" s="14" t="str">
        <f>IFERROR(INDEX(面试清单!H:H,MATCH(3304,面试清单!P:P,0)),"")</f>
        <v/>
      </c>
      <c r="I3305" s="13" t="s">
        <v>29</v>
      </c>
      <c r="J3305" s="14">
        <f ca="1" t="shared" si="154"/>
        <v>2</v>
      </c>
      <c r="K3305" s="14">
        <f ca="1" t="shared" si="155"/>
        <v>3</v>
      </c>
    </row>
    <row r="3306" ht="18" spans="1:11">
      <c r="A3306" s="10">
        <f t="shared" si="153"/>
        <v>3305</v>
      </c>
      <c r="B3306" s="11" t="s">
        <v>1997</v>
      </c>
      <c r="C3306" s="125" t="str">
        <f>IFERROR(INDEX(面试清单!D:D,MATCH(3305,面试清单!P:P,0)),"")</f>
        <v>0218</v>
      </c>
      <c r="D3306" s="11" t="s">
        <v>42</v>
      </c>
      <c r="E3306" s="11" t="s">
        <v>62</v>
      </c>
      <c r="F3306" s="11" t="s">
        <v>233</v>
      </c>
      <c r="G3306" s="15">
        <v>46187</v>
      </c>
      <c r="H3306" s="10" t="str">
        <f>IFERROR(INDEX(面试清单!H:H,MATCH(3305,面试清单!P:P,0)),"")</f>
        <v>线上</v>
      </c>
      <c r="I3306" s="13" t="s">
        <v>29</v>
      </c>
      <c r="J3306" s="10">
        <f ca="1" t="shared" si="154"/>
        <v>2</v>
      </c>
      <c r="K3306" s="10">
        <f ca="1" t="shared" si="155"/>
        <v>3</v>
      </c>
    </row>
    <row r="3307" ht="18" spans="1:11">
      <c r="A3307" s="14">
        <f t="shared" si="153"/>
        <v>3306</v>
      </c>
      <c r="B3307" s="11" t="s">
        <v>1899</v>
      </c>
      <c r="C3307" s="14" t="str">
        <f>IFERROR(INDEX(面试清单!D:D,MATCH(3306,面试清单!P:P,0)),"")</f>
        <v/>
      </c>
      <c r="D3307" s="11" t="s">
        <v>42</v>
      </c>
      <c r="E3307" s="11" t="s">
        <v>63</v>
      </c>
      <c r="F3307" s="11" t="s">
        <v>578</v>
      </c>
      <c r="G3307" s="15">
        <v>46187</v>
      </c>
      <c r="H3307" s="14" t="str">
        <f>IFERROR(INDEX(面试清单!H:H,MATCH(3306,面试清单!P:P,0)),"")</f>
        <v/>
      </c>
      <c r="I3307" s="13" t="s">
        <v>29</v>
      </c>
      <c r="J3307" s="14">
        <f ca="1" t="shared" si="154"/>
        <v>2</v>
      </c>
      <c r="K3307" s="14">
        <f ca="1" t="shared" si="155"/>
        <v>3</v>
      </c>
    </row>
    <row r="3308" ht="18" spans="1:11">
      <c r="A3308" s="10">
        <f t="shared" si="153"/>
        <v>3307</v>
      </c>
      <c r="B3308" s="11" t="s">
        <v>1400</v>
      </c>
      <c r="C3308" s="10" t="str">
        <f>IFERROR(INDEX(面试清单!D:D,MATCH(3307,面试清单!P:P,0)),"")</f>
        <v/>
      </c>
      <c r="D3308" s="11" t="s">
        <v>42</v>
      </c>
      <c r="E3308" s="11" t="s">
        <v>63</v>
      </c>
      <c r="F3308" s="11" t="s">
        <v>578</v>
      </c>
      <c r="G3308" s="15">
        <v>46187</v>
      </c>
      <c r="H3308" s="10" t="str">
        <f>IFERROR(INDEX(面试清单!H:H,MATCH(3307,面试清单!P:P,0)),"")</f>
        <v/>
      </c>
      <c r="I3308" s="13" t="s">
        <v>29</v>
      </c>
      <c r="J3308" s="10">
        <f ca="1" t="shared" si="154"/>
        <v>2</v>
      </c>
      <c r="K3308" s="10">
        <f ca="1" t="shared" si="155"/>
        <v>3</v>
      </c>
    </row>
    <row r="3309" ht="18" spans="1:11">
      <c r="A3309" s="14">
        <f t="shared" si="153"/>
        <v>3308</v>
      </c>
      <c r="B3309" s="11" t="s">
        <v>1397</v>
      </c>
      <c r="C3309" s="14" t="str">
        <f>IFERROR(INDEX(面试清单!D:D,MATCH(3308,面试清单!P:P,0)),"")</f>
        <v/>
      </c>
      <c r="D3309" s="11" t="s">
        <v>42</v>
      </c>
      <c r="E3309" s="11" t="s">
        <v>63</v>
      </c>
      <c r="F3309" s="11" t="s">
        <v>578</v>
      </c>
      <c r="G3309" s="15">
        <v>46187</v>
      </c>
      <c r="H3309" s="14" t="str">
        <f>IFERROR(INDEX(面试清单!H:H,MATCH(3308,面试清单!P:P,0)),"")</f>
        <v/>
      </c>
      <c r="I3309" s="13" t="s">
        <v>29</v>
      </c>
      <c r="J3309" s="14">
        <f ca="1" t="shared" si="154"/>
        <v>2</v>
      </c>
      <c r="K3309" s="14">
        <f ca="1" t="shared" si="155"/>
        <v>3</v>
      </c>
    </row>
    <row r="3310" ht="18" spans="1:11">
      <c r="A3310" s="10">
        <f t="shared" si="153"/>
        <v>3309</v>
      </c>
      <c r="B3310" s="11" t="s">
        <v>2001</v>
      </c>
      <c r="C3310" s="10" t="str">
        <f>IFERROR(INDEX(面试清单!D:D,MATCH(3309,面试清单!P:P,0)),"")</f>
        <v/>
      </c>
      <c r="D3310" s="11" t="s">
        <v>42</v>
      </c>
      <c r="E3310" s="11" t="s">
        <v>63</v>
      </c>
      <c r="F3310" s="11" t="s">
        <v>578</v>
      </c>
      <c r="G3310" s="15">
        <v>46187</v>
      </c>
      <c r="H3310" s="10" t="str">
        <f>IFERROR(INDEX(面试清单!H:H,MATCH(3309,面试清单!P:P,0)),"")</f>
        <v/>
      </c>
      <c r="I3310" s="13" t="s">
        <v>29</v>
      </c>
      <c r="J3310" s="10">
        <f ca="1" t="shared" si="154"/>
        <v>2</v>
      </c>
      <c r="K3310" s="10">
        <f ca="1" t="shared" si="155"/>
        <v>3</v>
      </c>
    </row>
    <row r="3311" ht="18" spans="1:11">
      <c r="A3311" s="14">
        <f t="shared" si="153"/>
        <v>3310</v>
      </c>
      <c r="B3311" s="11" t="s">
        <v>811</v>
      </c>
      <c r="C3311" s="14" t="str">
        <f>IFERROR(INDEX(面试清单!D:D,MATCH(3310,面试清单!P:P,0)),"")</f>
        <v/>
      </c>
      <c r="D3311" s="11" t="s">
        <v>43</v>
      </c>
      <c r="E3311" s="11" t="s">
        <v>63</v>
      </c>
      <c r="F3311" s="11" t="s">
        <v>124</v>
      </c>
      <c r="G3311" s="15">
        <v>46187</v>
      </c>
      <c r="H3311" s="14" t="str">
        <f>IFERROR(INDEX(面试清单!H:H,MATCH(3310,面试清单!P:P,0)),"")</f>
        <v/>
      </c>
      <c r="I3311" s="13" t="s">
        <v>29</v>
      </c>
      <c r="J3311" s="14">
        <f ca="1" t="shared" si="154"/>
        <v>2</v>
      </c>
      <c r="K3311" s="14">
        <f ca="1" t="shared" si="155"/>
        <v>3</v>
      </c>
    </row>
    <row r="3312" ht="18" spans="1:11">
      <c r="A3312" s="10">
        <f t="shared" si="153"/>
        <v>3311</v>
      </c>
      <c r="B3312" s="11" t="s">
        <v>6520</v>
      </c>
      <c r="C3312" s="125" t="str">
        <f>IFERROR(INDEX(面试清单!D:D,MATCH(3311,面试清单!P:P,0)),"")</f>
        <v>0209</v>
      </c>
      <c r="D3312" s="11" t="s">
        <v>42</v>
      </c>
      <c r="E3312" s="11" t="s">
        <v>63</v>
      </c>
      <c r="F3312" s="11" t="s">
        <v>117</v>
      </c>
      <c r="G3312" s="15">
        <v>46187</v>
      </c>
      <c r="H3312" s="10" t="str">
        <f>IFERROR(INDEX(面试清单!H:H,MATCH(3311,面试清单!P:P,0)),"")</f>
        <v>线上</v>
      </c>
      <c r="I3312" s="13" t="s">
        <v>29</v>
      </c>
      <c r="J3312" s="10">
        <f ca="1" t="shared" si="154"/>
        <v>2</v>
      </c>
      <c r="K3312" s="10">
        <f ca="1" t="shared" si="155"/>
        <v>3</v>
      </c>
    </row>
    <row r="3313" ht="18" spans="1:11">
      <c r="A3313" s="14">
        <f t="shared" si="153"/>
        <v>3312</v>
      </c>
      <c r="B3313" s="11" t="s">
        <v>1890</v>
      </c>
      <c r="C3313" s="124" t="str">
        <f>IFERROR(INDEX(面试清单!D:D,MATCH(3312,面试清单!P:P,0)),"")</f>
        <v>0212</v>
      </c>
      <c r="D3313" s="11" t="s">
        <v>42</v>
      </c>
      <c r="E3313" s="11" t="s">
        <v>63</v>
      </c>
      <c r="F3313" s="11" t="s">
        <v>505</v>
      </c>
      <c r="G3313" s="15">
        <v>46187</v>
      </c>
      <c r="H3313" s="14" t="str">
        <f>IFERROR(INDEX(面试清单!H:H,MATCH(3312,面试清单!P:P,0)),"")</f>
        <v>线上</v>
      </c>
      <c r="I3313" s="13" t="s">
        <v>29</v>
      </c>
      <c r="J3313" s="14">
        <f ca="1" t="shared" si="154"/>
        <v>2</v>
      </c>
      <c r="K3313" s="14">
        <f ca="1" t="shared" si="155"/>
        <v>3</v>
      </c>
    </row>
    <row r="3314" ht="18" spans="1:11">
      <c r="A3314" s="10">
        <f t="shared" si="153"/>
        <v>3313</v>
      </c>
      <c r="B3314" s="11" t="s">
        <v>1998</v>
      </c>
      <c r="C3314" s="10" t="str">
        <f>IFERROR(INDEX(面试清单!D:D,MATCH(3313,面试清单!P:P,0)),"")</f>
        <v/>
      </c>
      <c r="D3314" s="11" t="s">
        <v>42</v>
      </c>
      <c r="E3314" s="11" t="s">
        <v>63</v>
      </c>
      <c r="F3314" s="11" t="s">
        <v>233</v>
      </c>
      <c r="G3314" s="15">
        <v>46187</v>
      </c>
      <c r="H3314" s="10" t="str">
        <f>IFERROR(INDEX(面试清单!H:H,MATCH(3313,面试清单!P:P,0)),"")</f>
        <v/>
      </c>
      <c r="I3314" s="13" t="s">
        <v>29</v>
      </c>
      <c r="J3314" s="10">
        <f ca="1" t="shared" si="154"/>
        <v>2</v>
      </c>
      <c r="K3314" s="10">
        <f ca="1" t="shared" si="155"/>
        <v>3</v>
      </c>
    </row>
    <row r="3315" ht="18" spans="1:11">
      <c r="A3315" s="14">
        <f t="shared" si="153"/>
        <v>3314</v>
      </c>
      <c r="B3315" s="11" t="s">
        <v>683</v>
      </c>
      <c r="C3315" s="124" t="str">
        <f>IFERROR(INDEX(面试清单!D:D,MATCH(3314,面试清单!P:P,0)),"")</f>
        <v>0217</v>
      </c>
      <c r="D3315" s="11" t="s">
        <v>42</v>
      </c>
      <c r="E3315" s="11" t="s">
        <v>63</v>
      </c>
      <c r="F3315" s="11" t="s">
        <v>148</v>
      </c>
      <c r="G3315" s="15">
        <v>46187</v>
      </c>
      <c r="H3315" s="14" t="str">
        <f>IFERROR(INDEX(面试清单!H:H,MATCH(3314,面试清单!P:P,0)),"")</f>
        <v>线上</v>
      </c>
      <c r="I3315" s="13" t="s">
        <v>29</v>
      </c>
      <c r="J3315" s="14">
        <f ca="1" t="shared" si="154"/>
        <v>2</v>
      </c>
      <c r="K3315" s="14">
        <f ca="1" t="shared" si="155"/>
        <v>3</v>
      </c>
    </row>
    <row r="3316" ht="18" spans="1:11">
      <c r="A3316" s="10">
        <f t="shared" si="153"/>
        <v>3315</v>
      </c>
      <c r="B3316" s="11" t="s">
        <v>1064</v>
      </c>
      <c r="C3316" s="10" t="str">
        <f>IFERROR(INDEX(面试清单!D:D,MATCH(3315,面试清单!P:P,0)),"")</f>
        <v/>
      </c>
      <c r="D3316" s="11" t="s">
        <v>42</v>
      </c>
      <c r="E3316" s="11" t="s">
        <v>62</v>
      </c>
      <c r="F3316" s="11" t="s">
        <v>110</v>
      </c>
      <c r="G3316" s="15">
        <v>46187</v>
      </c>
      <c r="H3316" s="10" t="str">
        <f>IFERROR(INDEX(面试清单!H:H,MATCH(3315,面试清单!P:P,0)),"")</f>
        <v/>
      </c>
      <c r="I3316" s="13" t="s">
        <v>29</v>
      </c>
      <c r="J3316" s="10">
        <f ca="1" t="shared" si="154"/>
        <v>2</v>
      </c>
      <c r="K3316" s="10">
        <f ca="1" t="shared" si="155"/>
        <v>3</v>
      </c>
    </row>
    <row r="3317" ht="18" spans="1:11">
      <c r="A3317" s="14">
        <f t="shared" si="153"/>
        <v>3316</v>
      </c>
      <c r="B3317" s="11" t="s">
        <v>1068</v>
      </c>
      <c r="C3317" s="14" t="str">
        <f>IFERROR(INDEX(面试清单!D:D,MATCH(3316,面试清单!P:P,0)),"")</f>
        <v/>
      </c>
      <c r="D3317" s="11" t="s">
        <v>42</v>
      </c>
      <c r="E3317" s="11" t="s">
        <v>62</v>
      </c>
      <c r="F3317" s="11" t="s">
        <v>132</v>
      </c>
      <c r="G3317" s="15">
        <v>46187</v>
      </c>
      <c r="H3317" s="14" t="str">
        <f>IFERROR(INDEX(面试清单!H:H,MATCH(3316,面试清单!P:P,0)),"")</f>
        <v/>
      </c>
      <c r="I3317" s="13" t="s">
        <v>29</v>
      </c>
      <c r="J3317" s="14">
        <f ca="1" t="shared" si="154"/>
        <v>2</v>
      </c>
      <c r="K3317" s="14">
        <f ca="1" t="shared" si="155"/>
        <v>3</v>
      </c>
    </row>
    <row r="3318" ht="18" spans="1:11">
      <c r="A3318" s="10">
        <f t="shared" si="153"/>
        <v>3317</v>
      </c>
      <c r="B3318" s="11" t="s">
        <v>1073</v>
      </c>
      <c r="C3318" s="10" t="str">
        <f>IFERROR(INDEX(面试清单!D:D,MATCH(3317,面试清单!P:P,0)),"")</f>
        <v/>
      </c>
      <c r="D3318" s="11" t="s">
        <v>42</v>
      </c>
      <c r="E3318" s="11" t="s">
        <v>64</v>
      </c>
      <c r="F3318" s="11" t="s">
        <v>103</v>
      </c>
      <c r="G3318" s="15">
        <v>46187</v>
      </c>
      <c r="H3318" s="10" t="str">
        <f>IFERROR(INDEX(面试清单!H:H,MATCH(3317,面试清单!P:P,0)),"")</f>
        <v/>
      </c>
      <c r="I3318" s="13" t="s">
        <v>29</v>
      </c>
      <c r="J3318" s="10">
        <f ca="1" t="shared" si="154"/>
        <v>2</v>
      </c>
      <c r="K3318" s="10">
        <f ca="1" t="shared" si="155"/>
        <v>3</v>
      </c>
    </row>
    <row r="3319" ht="18" spans="1:11">
      <c r="A3319" s="14">
        <f t="shared" si="153"/>
        <v>3318</v>
      </c>
      <c r="B3319" s="11" t="s">
        <v>1072</v>
      </c>
      <c r="C3319" s="14" t="str">
        <f>IFERROR(INDEX(面试清单!D:D,MATCH(3318,面试清单!P:P,0)),"")</f>
        <v/>
      </c>
      <c r="D3319" s="11" t="s">
        <v>42</v>
      </c>
      <c r="E3319" s="11" t="s">
        <v>64</v>
      </c>
      <c r="F3319" s="11" t="s">
        <v>103</v>
      </c>
      <c r="G3319" s="15">
        <v>46187</v>
      </c>
      <c r="H3319" s="14" t="str">
        <f>IFERROR(INDEX(面试清单!H:H,MATCH(3318,面试清单!P:P,0)),"")</f>
        <v/>
      </c>
      <c r="I3319" s="13" t="s">
        <v>29</v>
      </c>
      <c r="J3319" s="14">
        <f ca="1" t="shared" si="154"/>
        <v>2</v>
      </c>
      <c r="K3319" s="14">
        <f ca="1" t="shared" si="155"/>
        <v>3</v>
      </c>
    </row>
    <row r="3320" ht="18" spans="1:11">
      <c r="A3320" s="10">
        <f t="shared" si="153"/>
        <v>3319</v>
      </c>
      <c r="B3320" s="11" t="s">
        <v>1077</v>
      </c>
      <c r="C3320" s="10" t="str">
        <f>IFERROR(INDEX(面试清单!D:D,MATCH(3319,面试清单!P:P,0)),"")</f>
        <v/>
      </c>
      <c r="D3320" s="11" t="s">
        <v>74</v>
      </c>
      <c r="E3320" s="11" t="s">
        <v>64</v>
      </c>
      <c r="F3320" s="11" t="s">
        <v>179</v>
      </c>
      <c r="G3320" s="15">
        <v>46187</v>
      </c>
      <c r="H3320" s="10" t="str">
        <f>IFERROR(INDEX(面试清单!H:H,MATCH(3319,面试清单!P:P,0)),"")</f>
        <v/>
      </c>
      <c r="I3320" s="13" t="s">
        <v>29</v>
      </c>
      <c r="J3320" s="10">
        <f ca="1" t="shared" si="154"/>
        <v>2</v>
      </c>
      <c r="K3320" s="10">
        <f ca="1" t="shared" si="155"/>
        <v>3</v>
      </c>
    </row>
    <row r="3321" ht="18" spans="1:11">
      <c r="A3321" s="14">
        <f t="shared" si="153"/>
        <v>3320</v>
      </c>
      <c r="B3321" s="11" t="s">
        <v>1094</v>
      </c>
      <c r="C3321" s="14" t="str">
        <f>IFERROR(INDEX(面试清单!D:D,MATCH(3320,面试清单!P:P,0)),"")</f>
        <v/>
      </c>
      <c r="D3321" s="11" t="s">
        <v>74</v>
      </c>
      <c r="E3321" s="11" t="s">
        <v>64</v>
      </c>
      <c r="F3321" s="11" t="s">
        <v>117</v>
      </c>
      <c r="G3321" s="15">
        <v>46187</v>
      </c>
      <c r="H3321" s="14" t="str">
        <f>IFERROR(INDEX(面试清单!H:H,MATCH(3320,面试清单!P:P,0)),"")</f>
        <v/>
      </c>
      <c r="I3321" s="13" t="s">
        <v>29</v>
      </c>
      <c r="J3321" s="14">
        <f ca="1" t="shared" si="154"/>
        <v>2</v>
      </c>
      <c r="K3321" s="14">
        <f ca="1" t="shared" si="155"/>
        <v>3</v>
      </c>
    </row>
    <row r="3322" ht="18" spans="1:11">
      <c r="A3322" s="10">
        <f t="shared" si="153"/>
        <v>3321</v>
      </c>
      <c r="B3322" s="11" t="s">
        <v>1095</v>
      </c>
      <c r="C3322" s="10" t="str">
        <f>IFERROR(INDEX(面试清单!D:D,MATCH(3321,面试清单!P:P,0)),"")</f>
        <v/>
      </c>
      <c r="D3322" s="11" t="s">
        <v>74</v>
      </c>
      <c r="E3322" s="11" t="s">
        <v>64</v>
      </c>
      <c r="F3322" s="11" t="s">
        <v>179</v>
      </c>
      <c r="G3322" s="15">
        <v>46187</v>
      </c>
      <c r="H3322" s="10" t="str">
        <f>IFERROR(INDEX(面试清单!H:H,MATCH(3321,面试清单!P:P,0)),"")</f>
        <v/>
      </c>
      <c r="I3322" s="13" t="s">
        <v>29</v>
      </c>
      <c r="J3322" s="10">
        <f ca="1" t="shared" si="154"/>
        <v>2</v>
      </c>
      <c r="K3322" s="10">
        <f ca="1" t="shared" si="155"/>
        <v>3</v>
      </c>
    </row>
    <row r="3323" ht="18" spans="1:11">
      <c r="A3323" s="14">
        <f t="shared" si="153"/>
        <v>3322</v>
      </c>
      <c r="B3323" s="11" t="s">
        <v>1096</v>
      </c>
      <c r="C3323" s="14" t="str">
        <f>IFERROR(INDEX(面试清单!D:D,MATCH(3322,面试清单!P:P,0)),"")</f>
        <v/>
      </c>
      <c r="D3323" s="11" t="s">
        <v>74</v>
      </c>
      <c r="E3323" s="11" t="s">
        <v>64</v>
      </c>
      <c r="F3323" s="11" t="s">
        <v>179</v>
      </c>
      <c r="G3323" s="15">
        <v>46187</v>
      </c>
      <c r="H3323" s="14" t="str">
        <f>IFERROR(INDEX(面试清单!H:H,MATCH(3322,面试清单!P:P,0)),"")</f>
        <v/>
      </c>
      <c r="I3323" s="13" t="s">
        <v>29</v>
      </c>
      <c r="J3323" s="14">
        <f ca="1" t="shared" si="154"/>
        <v>2</v>
      </c>
      <c r="K3323" s="14">
        <f ca="1" t="shared" si="155"/>
        <v>3</v>
      </c>
    </row>
    <row r="3324" ht="18" spans="1:11">
      <c r="A3324" s="10">
        <f t="shared" si="153"/>
        <v>3323</v>
      </c>
      <c r="B3324" s="11" t="s">
        <v>1076</v>
      </c>
      <c r="C3324" s="10" t="str">
        <f>IFERROR(INDEX(面试清单!D:D,MATCH(3323,面试清单!P:P,0)),"")</f>
        <v/>
      </c>
      <c r="D3324" s="11" t="s">
        <v>74</v>
      </c>
      <c r="E3324" s="11" t="s">
        <v>64</v>
      </c>
      <c r="F3324" s="11" t="s">
        <v>179</v>
      </c>
      <c r="G3324" s="15">
        <v>46187</v>
      </c>
      <c r="H3324" s="10" t="str">
        <f>IFERROR(INDEX(面试清单!H:H,MATCH(3323,面试清单!P:P,0)),"")</f>
        <v/>
      </c>
      <c r="I3324" s="13" t="s">
        <v>29</v>
      </c>
      <c r="J3324" s="10">
        <f ca="1" t="shared" si="154"/>
        <v>2</v>
      </c>
      <c r="K3324" s="10">
        <f ca="1" t="shared" si="155"/>
        <v>3</v>
      </c>
    </row>
    <row r="3325" ht="18" spans="1:11">
      <c r="A3325" s="14">
        <f t="shared" si="153"/>
        <v>3324</v>
      </c>
      <c r="B3325" s="11" t="s">
        <v>1065</v>
      </c>
      <c r="C3325" s="14" t="str">
        <f>IFERROR(INDEX(面试清单!D:D,MATCH(3324,面试清单!P:P,0)),"")</f>
        <v/>
      </c>
      <c r="D3325" s="11" t="s">
        <v>43</v>
      </c>
      <c r="E3325" s="11" t="s">
        <v>63</v>
      </c>
      <c r="F3325" s="11" t="s">
        <v>135</v>
      </c>
      <c r="G3325" s="15">
        <v>46187</v>
      </c>
      <c r="H3325" s="14" t="str">
        <f>IFERROR(INDEX(面试清单!H:H,MATCH(3324,面试清单!P:P,0)),"")</f>
        <v/>
      </c>
      <c r="I3325" s="13" t="s">
        <v>29</v>
      </c>
      <c r="J3325" s="14">
        <f ca="1" t="shared" si="154"/>
        <v>2</v>
      </c>
      <c r="K3325" s="14">
        <f ca="1" t="shared" si="155"/>
        <v>3</v>
      </c>
    </row>
    <row r="3326" ht="18" spans="1:11">
      <c r="A3326" s="10">
        <f t="shared" si="153"/>
        <v>3325</v>
      </c>
      <c r="B3326" s="11" t="s">
        <v>1014</v>
      </c>
      <c r="C3326" s="10" t="str">
        <f>IFERROR(INDEX(面试清单!D:D,MATCH(3325,面试清单!P:P,0)),"")</f>
        <v/>
      </c>
      <c r="D3326" s="11" t="s">
        <v>74</v>
      </c>
      <c r="E3326" s="11" t="s">
        <v>64</v>
      </c>
      <c r="F3326" s="11" t="s">
        <v>135</v>
      </c>
      <c r="G3326" s="15">
        <v>46187</v>
      </c>
      <c r="H3326" s="10" t="str">
        <f>IFERROR(INDEX(面试清单!H:H,MATCH(3325,面试清单!P:P,0)),"")</f>
        <v/>
      </c>
      <c r="I3326" s="13" t="s">
        <v>29</v>
      </c>
      <c r="J3326" s="10">
        <f ca="1" t="shared" si="154"/>
        <v>2</v>
      </c>
      <c r="K3326" s="10">
        <f ca="1" t="shared" si="155"/>
        <v>3</v>
      </c>
    </row>
    <row r="3327" ht="18" spans="1:11">
      <c r="A3327" s="14">
        <f t="shared" si="153"/>
        <v>3326</v>
      </c>
      <c r="B3327" s="11" t="s">
        <v>1013</v>
      </c>
      <c r="C3327" s="14" t="str">
        <f>IFERROR(INDEX(面试清单!D:D,MATCH(3326,面试清单!P:P,0)),"")</f>
        <v/>
      </c>
      <c r="D3327" s="11" t="s">
        <v>74</v>
      </c>
      <c r="E3327" s="11" t="s">
        <v>64</v>
      </c>
      <c r="F3327" s="11" t="s">
        <v>135</v>
      </c>
      <c r="G3327" s="15">
        <v>46187</v>
      </c>
      <c r="H3327" s="14" t="str">
        <f>IFERROR(INDEX(面试清单!H:H,MATCH(3326,面试清单!P:P,0)),"")</f>
        <v/>
      </c>
      <c r="I3327" s="13" t="s">
        <v>29</v>
      </c>
      <c r="J3327" s="14">
        <f ca="1" t="shared" si="154"/>
        <v>2</v>
      </c>
      <c r="K3327" s="14">
        <f ca="1" t="shared" si="155"/>
        <v>3</v>
      </c>
    </row>
    <row r="3328" ht="18" spans="1:11">
      <c r="A3328" s="10">
        <f t="shared" si="153"/>
        <v>3327</v>
      </c>
      <c r="B3328" s="11" t="s">
        <v>1061</v>
      </c>
      <c r="C3328" s="10" t="str">
        <f>IFERROR(INDEX(面试清单!D:D,MATCH(3327,面试清单!P:P,0)),"")</f>
        <v/>
      </c>
      <c r="D3328" s="11" t="s">
        <v>74</v>
      </c>
      <c r="E3328" s="11" t="s">
        <v>190</v>
      </c>
      <c r="F3328" s="11" t="s">
        <v>117</v>
      </c>
      <c r="G3328" s="15">
        <v>46187</v>
      </c>
      <c r="H3328" s="10" t="str">
        <f>IFERROR(INDEX(面试清单!H:H,MATCH(3327,面试清单!P:P,0)),"")</f>
        <v/>
      </c>
      <c r="I3328" s="13" t="s">
        <v>29</v>
      </c>
      <c r="J3328" s="10">
        <f ca="1" t="shared" si="154"/>
        <v>2</v>
      </c>
      <c r="K3328" s="10">
        <f ca="1" t="shared" si="155"/>
        <v>3</v>
      </c>
    </row>
    <row r="3329" ht="18" spans="1:11">
      <c r="A3329" s="14">
        <f t="shared" si="153"/>
        <v>3328</v>
      </c>
      <c r="B3329" s="11" t="s">
        <v>1097</v>
      </c>
      <c r="C3329" s="14" t="str">
        <f>IFERROR(INDEX(面试清单!D:D,MATCH(3328,面试清单!P:P,0)),"")</f>
        <v/>
      </c>
      <c r="D3329" s="11" t="s">
        <v>74</v>
      </c>
      <c r="E3329" s="11" t="s">
        <v>190</v>
      </c>
      <c r="F3329" s="11" t="s">
        <v>135</v>
      </c>
      <c r="G3329" s="15">
        <v>46187</v>
      </c>
      <c r="H3329" s="14" t="str">
        <f>IFERROR(INDEX(面试清单!H:H,MATCH(3328,面试清单!P:P,0)),"")</f>
        <v/>
      </c>
      <c r="I3329" s="13" t="s">
        <v>29</v>
      </c>
      <c r="J3329" s="14">
        <f ca="1" t="shared" si="154"/>
        <v>2</v>
      </c>
      <c r="K3329" s="14">
        <f ca="1" t="shared" si="155"/>
        <v>3</v>
      </c>
    </row>
    <row r="3330" ht="18" spans="1:11">
      <c r="A3330" s="10">
        <f t="shared" ref="A3330:A3393" si="156">IF(B3330&lt;&gt;"",ROW()-1,"")</f>
        <v>3329</v>
      </c>
      <c r="B3330" s="11" t="s">
        <v>1057</v>
      </c>
      <c r="C3330" s="10" t="str">
        <f>IFERROR(INDEX(面试清单!D:D,MATCH(3329,面试清单!P:P,0)),"")</f>
        <v/>
      </c>
      <c r="D3330" s="11" t="s">
        <v>43</v>
      </c>
      <c r="E3330" s="11" t="s">
        <v>64</v>
      </c>
      <c r="F3330" s="11" t="s">
        <v>173</v>
      </c>
      <c r="G3330" s="15">
        <v>46187</v>
      </c>
      <c r="H3330" s="10" t="str">
        <f>IFERROR(INDEX(面试清单!H:H,MATCH(3329,面试清单!P:P,0)),"")</f>
        <v/>
      </c>
      <c r="I3330" s="13" t="s">
        <v>29</v>
      </c>
      <c r="J3330" s="10">
        <f ca="1" t="shared" ref="J3330:J3393" si="157">IF(G3330&lt;&gt;"",TODAY()-G3330,"")</f>
        <v>2</v>
      </c>
      <c r="K3330" s="10">
        <f ca="1" t="shared" ref="K3330:K3393" si="158">IF(G3330&lt;&gt;"",MAX(0,MIN(TODAY(),EOMONTH(TODAY(),0))-MAX(G3330,EOMONTH(TODAY(),-1)+1)+1),"")</f>
        <v>3</v>
      </c>
    </row>
    <row r="3331" ht="18" spans="1:11">
      <c r="A3331" s="14">
        <f t="shared" si="156"/>
        <v>3330</v>
      </c>
      <c r="B3331" s="11" t="s">
        <v>1058</v>
      </c>
      <c r="C3331" s="14" t="str">
        <f>IFERROR(INDEX(面试清单!D:D,MATCH(3330,面试清单!P:P,0)),"")</f>
        <v/>
      </c>
      <c r="D3331" s="11" t="s">
        <v>43</v>
      </c>
      <c r="E3331" s="11" t="s">
        <v>64</v>
      </c>
      <c r="F3331" s="11" t="s">
        <v>173</v>
      </c>
      <c r="G3331" s="15">
        <v>46187</v>
      </c>
      <c r="H3331" s="14" t="str">
        <f>IFERROR(INDEX(面试清单!H:H,MATCH(3330,面试清单!P:P,0)),"")</f>
        <v/>
      </c>
      <c r="I3331" s="13" t="s">
        <v>29</v>
      </c>
      <c r="J3331" s="14">
        <f ca="1" t="shared" si="157"/>
        <v>2</v>
      </c>
      <c r="K3331" s="14">
        <f ca="1" t="shared" si="158"/>
        <v>3</v>
      </c>
    </row>
    <row r="3332" ht="18" spans="1:11">
      <c r="A3332" s="10">
        <f t="shared" si="156"/>
        <v>3331</v>
      </c>
      <c r="B3332" s="11" t="s">
        <v>1966</v>
      </c>
      <c r="C3332" s="125" t="str">
        <f>IFERROR(INDEX(面试清单!D:D,MATCH(3331,面试清单!P:P,0)),"")</f>
        <v>0214</v>
      </c>
      <c r="D3332" s="11" t="s">
        <v>43</v>
      </c>
      <c r="E3332" s="11" t="s">
        <v>62</v>
      </c>
      <c r="F3332" s="11" t="s">
        <v>103</v>
      </c>
      <c r="G3332" s="15">
        <v>46187</v>
      </c>
      <c r="H3332" s="10" t="str">
        <f>IFERROR(INDEX(面试清单!H:H,MATCH(3331,面试清单!P:P,0)),"")</f>
        <v>线上</v>
      </c>
      <c r="I3332" s="13" t="s">
        <v>29</v>
      </c>
      <c r="J3332" s="10">
        <f ca="1" t="shared" si="157"/>
        <v>2</v>
      </c>
      <c r="K3332" s="10">
        <f ca="1" t="shared" si="158"/>
        <v>3</v>
      </c>
    </row>
    <row r="3333" ht="18" spans="1:11">
      <c r="A3333" s="14">
        <f t="shared" si="156"/>
        <v>3332</v>
      </c>
      <c r="B3333" s="11" t="s">
        <v>1967</v>
      </c>
      <c r="C3333" s="14" t="str">
        <f>IFERROR(INDEX(面试清单!D:D,MATCH(3332,面试清单!P:P,0)),"")</f>
        <v/>
      </c>
      <c r="D3333" s="11" t="s">
        <v>43</v>
      </c>
      <c r="E3333" s="11" t="s">
        <v>63</v>
      </c>
      <c r="F3333" s="11" t="s">
        <v>103</v>
      </c>
      <c r="G3333" s="15">
        <v>46187</v>
      </c>
      <c r="H3333" s="14" t="str">
        <f>IFERROR(INDEX(面试清单!H:H,MATCH(3332,面试清单!P:P,0)),"")</f>
        <v/>
      </c>
      <c r="I3333" s="13" t="s">
        <v>29</v>
      </c>
      <c r="J3333" s="14">
        <f ca="1" t="shared" si="157"/>
        <v>2</v>
      </c>
      <c r="K3333" s="14">
        <f ca="1" t="shared" si="158"/>
        <v>3</v>
      </c>
    </row>
    <row r="3334" ht="18" spans="1:11">
      <c r="A3334" s="10">
        <f t="shared" si="156"/>
        <v>3333</v>
      </c>
      <c r="B3334" s="11" t="s">
        <v>6521</v>
      </c>
      <c r="C3334" s="10" t="str">
        <f>IFERROR(INDEX(面试清单!D:D,MATCH(3333,面试清单!P:P,0)),"")</f>
        <v/>
      </c>
      <c r="D3334" s="11" t="s">
        <v>42</v>
      </c>
      <c r="E3334" s="11" t="s">
        <v>63</v>
      </c>
      <c r="F3334" s="11" t="s">
        <v>179</v>
      </c>
      <c r="G3334" s="15">
        <v>46187</v>
      </c>
      <c r="H3334" s="10" t="str">
        <f>IFERROR(INDEX(面试清单!H:H,MATCH(3333,面试清单!P:P,0)),"")</f>
        <v/>
      </c>
      <c r="I3334" s="13" t="s">
        <v>29</v>
      </c>
      <c r="J3334" s="10">
        <f ca="1" t="shared" si="157"/>
        <v>2</v>
      </c>
      <c r="K3334" s="10">
        <f ca="1" t="shared" si="158"/>
        <v>3</v>
      </c>
    </row>
    <row r="3335" ht="18" spans="1:11">
      <c r="A3335" s="14">
        <f t="shared" si="156"/>
        <v>3334</v>
      </c>
      <c r="B3335" s="11" t="s">
        <v>1015</v>
      </c>
      <c r="C3335" s="14" t="str">
        <f>IFERROR(INDEX(面试清单!D:D,MATCH(3334,面试清单!P:P,0)),"")</f>
        <v/>
      </c>
      <c r="D3335" s="11" t="s">
        <v>42</v>
      </c>
      <c r="E3335" s="11" t="s">
        <v>64</v>
      </c>
      <c r="F3335" s="11" t="s">
        <v>148</v>
      </c>
      <c r="G3335" s="15">
        <v>46187</v>
      </c>
      <c r="H3335" s="14" t="str">
        <f>IFERROR(INDEX(面试清单!H:H,MATCH(3334,面试清单!P:P,0)),"")</f>
        <v/>
      </c>
      <c r="I3335" s="13" t="s">
        <v>29</v>
      </c>
      <c r="J3335" s="14">
        <f ca="1" t="shared" si="157"/>
        <v>2</v>
      </c>
      <c r="K3335" s="14">
        <f ca="1" t="shared" si="158"/>
        <v>3</v>
      </c>
    </row>
    <row r="3336" ht="18" spans="1:11">
      <c r="A3336" s="10">
        <f t="shared" si="156"/>
        <v>3335</v>
      </c>
      <c r="B3336" s="11" t="s">
        <v>866</v>
      </c>
      <c r="C3336" s="10" t="str">
        <f>IFERROR(INDEX(面试清单!D:D,MATCH(3335,面试清单!P:P,0)),"")</f>
        <v/>
      </c>
      <c r="D3336" s="11" t="s">
        <v>42</v>
      </c>
      <c r="E3336" s="11" t="s">
        <v>64</v>
      </c>
      <c r="F3336" s="11" t="s">
        <v>148</v>
      </c>
      <c r="G3336" s="15">
        <v>46187</v>
      </c>
      <c r="H3336" s="10" t="str">
        <f>IFERROR(INDEX(面试清单!H:H,MATCH(3335,面试清单!P:P,0)),"")</f>
        <v/>
      </c>
      <c r="I3336" s="13" t="s">
        <v>29</v>
      </c>
      <c r="J3336" s="10">
        <f ca="1" t="shared" si="157"/>
        <v>2</v>
      </c>
      <c r="K3336" s="10">
        <f ca="1" t="shared" si="158"/>
        <v>3</v>
      </c>
    </row>
    <row r="3337" ht="18" spans="1:11">
      <c r="A3337" s="14">
        <f t="shared" si="156"/>
        <v>3336</v>
      </c>
      <c r="B3337" s="11" t="s">
        <v>6522</v>
      </c>
      <c r="C3337" s="14" t="str">
        <f>IFERROR(INDEX(面试清单!D:D,MATCH(3336,面试清单!P:P,0)),"")</f>
        <v/>
      </c>
      <c r="D3337" s="11" t="s">
        <v>42</v>
      </c>
      <c r="E3337" s="11" t="s">
        <v>64</v>
      </c>
      <c r="F3337" s="11" t="s">
        <v>148</v>
      </c>
      <c r="G3337" s="15">
        <v>46187</v>
      </c>
      <c r="H3337" s="14" t="str">
        <f>IFERROR(INDEX(面试清单!H:H,MATCH(3336,面试清单!P:P,0)),"")</f>
        <v/>
      </c>
      <c r="I3337" s="13" t="s">
        <v>29</v>
      </c>
      <c r="J3337" s="14">
        <f ca="1" t="shared" si="157"/>
        <v>2</v>
      </c>
      <c r="K3337" s="14">
        <f ca="1" t="shared" si="158"/>
        <v>3</v>
      </c>
    </row>
    <row r="3338" ht="18" spans="1:11">
      <c r="A3338" s="10">
        <f t="shared" si="156"/>
        <v>3337</v>
      </c>
      <c r="B3338" s="11" t="s">
        <v>1041</v>
      </c>
      <c r="C3338" s="10" t="str">
        <f>IFERROR(INDEX(面试清单!D:D,MATCH(3337,面试清单!P:P,0)),"")</f>
        <v/>
      </c>
      <c r="D3338" s="11" t="s">
        <v>42</v>
      </c>
      <c r="E3338" s="11" t="s">
        <v>64</v>
      </c>
      <c r="F3338" s="11" t="s">
        <v>148</v>
      </c>
      <c r="G3338" s="15">
        <v>46187</v>
      </c>
      <c r="H3338" s="10" t="str">
        <f>IFERROR(INDEX(面试清单!H:H,MATCH(3337,面试清单!P:P,0)),"")</f>
        <v/>
      </c>
      <c r="I3338" s="13" t="s">
        <v>29</v>
      </c>
      <c r="J3338" s="10">
        <f ca="1" t="shared" si="157"/>
        <v>2</v>
      </c>
      <c r="K3338" s="10">
        <f ca="1" t="shared" si="158"/>
        <v>3</v>
      </c>
    </row>
    <row r="3339" ht="18" spans="1:11">
      <c r="A3339" s="14">
        <f t="shared" si="156"/>
        <v>3338</v>
      </c>
      <c r="B3339" s="11" t="s">
        <v>1044</v>
      </c>
      <c r="C3339" s="124" t="str">
        <f>IFERROR(INDEX(面试清单!D:D,MATCH(3338,面试清单!P:P,0)),"")</f>
        <v>0209</v>
      </c>
      <c r="D3339" s="11" t="s">
        <v>42</v>
      </c>
      <c r="E3339" s="11" t="s">
        <v>64</v>
      </c>
      <c r="F3339" s="11" t="s">
        <v>148</v>
      </c>
      <c r="G3339" s="15">
        <v>46187</v>
      </c>
      <c r="H3339" s="14" t="str">
        <f>IFERROR(INDEX(面试清单!H:H,MATCH(3338,面试清单!P:P,0)),"")</f>
        <v>线下</v>
      </c>
      <c r="I3339" s="13" t="s">
        <v>29</v>
      </c>
      <c r="J3339" s="14">
        <f ca="1" t="shared" si="157"/>
        <v>2</v>
      </c>
      <c r="K3339" s="14">
        <f ca="1" t="shared" si="158"/>
        <v>3</v>
      </c>
    </row>
    <row r="3340" ht="18" spans="1:11">
      <c r="A3340" s="10">
        <f t="shared" si="156"/>
        <v>3339</v>
      </c>
      <c r="B3340" s="11" t="s">
        <v>1045</v>
      </c>
      <c r="C3340" s="10" t="str">
        <f>IFERROR(INDEX(面试清单!D:D,MATCH(3339,面试清单!P:P,0)),"")</f>
        <v/>
      </c>
      <c r="D3340" s="11" t="s">
        <v>42</v>
      </c>
      <c r="E3340" s="11" t="s">
        <v>64</v>
      </c>
      <c r="F3340" s="11" t="s">
        <v>148</v>
      </c>
      <c r="G3340" s="15">
        <v>46187</v>
      </c>
      <c r="H3340" s="10" t="str">
        <f>IFERROR(INDEX(面试清单!H:H,MATCH(3339,面试清单!P:P,0)),"")</f>
        <v/>
      </c>
      <c r="I3340" s="13" t="s">
        <v>29</v>
      </c>
      <c r="J3340" s="10">
        <f ca="1" t="shared" si="157"/>
        <v>2</v>
      </c>
      <c r="K3340" s="10">
        <f ca="1" t="shared" si="158"/>
        <v>3</v>
      </c>
    </row>
    <row r="3341" ht="18" spans="1:11">
      <c r="A3341" s="14">
        <f t="shared" si="156"/>
        <v>3340</v>
      </c>
      <c r="B3341" s="11" t="s">
        <v>1047</v>
      </c>
      <c r="C3341" s="14" t="str">
        <f>IFERROR(INDEX(面试清单!D:D,MATCH(3340,面试清单!P:P,0)),"")</f>
        <v/>
      </c>
      <c r="D3341" s="11" t="s">
        <v>42</v>
      </c>
      <c r="E3341" s="11" t="s">
        <v>64</v>
      </c>
      <c r="F3341" s="11" t="s">
        <v>148</v>
      </c>
      <c r="G3341" s="15">
        <v>46187</v>
      </c>
      <c r="H3341" s="14" t="str">
        <f>IFERROR(INDEX(面试清单!H:H,MATCH(3340,面试清单!P:P,0)),"")</f>
        <v/>
      </c>
      <c r="I3341" s="13" t="s">
        <v>29</v>
      </c>
      <c r="J3341" s="14">
        <f ca="1" t="shared" si="157"/>
        <v>2</v>
      </c>
      <c r="K3341" s="14">
        <f ca="1" t="shared" si="158"/>
        <v>3</v>
      </c>
    </row>
    <row r="3342" ht="18" spans="1:11">
      <c r="A3342" s="10">
        <f t="shared" si="156"/>
        <v>3341</v>
      </c>
      <c r="B3342" s="11" t="s">
        <v>1049</v>
      </c>
      <c r="C3342" s="125" t="str">
        <f>IFERROR(INDEX(面试清单!D:D,MATCH(3341,面试清单!P:P,0)),"")</f>
        <v>0217</v>
      </c>
      <c r="D3342" s="11" t="s">
        <v>42</v>
      </c>
      <c r="E3342" s="11" t="s">
        <v>64</v>
      </c>
      <c r="F3342" s="11" t="s">
        <v>148</v>
      </c>
      <c r="G3342" s="15">
        <v>46187</v>
      </c>
      <c r="H3342" s="10" t="str">
        <f>IFERROR(INDEX(面试清单!H:H,MATCH(3341,面试清单!P:P,0)),"")</f>
        <v>线下</v>
      </c>
      <c r="I3342" s="13" t="s">
        <v>29</v>
      </c>
      <c r="J3342" s="10">
        <f ca="1" t="shared" si="157"/>
        <v>2</v>
      </c>
      <c r="K3342" s="10">
        <f ca="1" t="shared" si="158"/>
        <v>3</v>
      </c>
    </row>
    <row r="3343" ht="18" spans="1:11">
      <c r="A3343" s="14">
        <f t="shared" si="156"/>
        <v>3342</v>
      </c>
      <c r="B3343" s="11" t="s">
        <v>1051</v>
      </c>
      <c r="C3343" s="14" t="str">
        <f>IFERROR(INDEX(面试清单!D:D,MATCH(3342,面试清单!P:P,0)),"")</f>
        <v/>
      </c>
      <c r="D3343" s="11" t="s">
        <v>42</v>
      </c>
      <c r="E3343" s="11" t="s">
        <v>64</v>
      </c>
      <c r="F3343" s="11" t="s">
        <v>148</v>
      </c>
      <c r="G3343" s="15">
        <v>46187</v>
      </c>
      <c r="H3343" s="14" t="str">
        <f>IFERROR(INDEX(面试清单!H:H,MATCH(3342,面试清单!P:P,0)),"")</f>
        <v/>
      </c>
      <c r="I3343" s="13" t="s">
        <v>29</v>
      </c>
      <c r="J3343" s="14">
        <f ca="1" t="shared" si="157"/>
        <v>2</v>
      </c>
      <c r="K3343" s="14">
        <f ca="1" t="shared" si="158"/>
        <v>3</v>
      </c>
    </row>
    <row r="3344" ht="18" spans="1:11">
      <c r="A3344" s="10">
        <f t="shared" si="156"/>
        <v>3343</v>
      </c>
      <c r="B3344" s="11" t="s">
        <v>854</v>
      </c>
      <c r="C3344" s="10" t="str">
        <f>IFERROR(INDEX(面试清单!D:D,MATCH(3343,面试清单!P:P,0)),"")</f>
        <v/>
      </c>
      <c r="D3344" s="11" t="s">
        <v>42</v>
      </c>
      <c r="E3344" s="11" t="s">
        <v>64</v>
      </c>
      <c r="F3344" s="11" t="s">
        <v>631</v>
      </c>
      <c r="G3344" s="15">
        <v>46187</v>
      </c>
      <c r="H3344" s="10" t="str">
        <f>IFERROR(INDEX(面试清单!H:H,MATCH(3343,面试清单!P:P,0)),"")</f>
        <v/>
      </c>
      <c r="I3344" s="13" t="s">
        <v>29</v>
      </c>
      <c r="J3344" s="10">
        <f ca="1" t="shared" si="157"/>
        <v>2</v>
      </c>
      <c r="K3344" s="10">
        <f ca="1" t="shared" si="158"/>
        <v>3</v>
      </c>
    </row>
    <row r="3345" ht="18" spans="1:11">
      <c r="A3345" s="14">
        <f t="shared" si="156"/>
        <v>3344</v>
      </c>
      <c r="B3345" s="11" t="s">
        <v>1023</v>
      </c>
      <c r="C3345" s="14" t="str">
        <f>IFERROR(INDEX(面试清单!D:D,MATCH(3344,面试清单!P:P,0)),"")</f>
        <v/>
      </c>
      <c r="D3345" s="11" t="s">
        <v>42</v>
      </c>
      <c r="E3345" s="11" t="s">
        <v>64</v>
      </c>
      <c r="F3345" s="11" t="s">
        <v>631</v>
      </c>
      <c r="G3345" s="15">
        <v>46187</v>
      </c>
      <c r="H3345" s="14" t="str">
        <f>IFERROR(INDEX(面试清单!H:H,MATCH(3344,面试清单!P:P,0)),"")</f>
        <v/>
      </c>
      <c r="I3345" s="13" t="s">
        <v>29</v>
      </c>
      <c r="J3345" s="14">
        <f ca="1" t="shared" si="157"/>
        <v>2</v>
      </c>
      <c r="K3345" s="14">
        <f ca="1" t="shared" si="158"/>
        <v>3</v>
      </c>
    </row>
    <row r="3346" ht="18" spans="1:11">
      <c r="A3346" s="10">
        <f t="shared" si="156"/>
        <v>3345</v>
      </c>
      <c r="B3346" s="11" t="s">
        <v>1019</v>
      </c>
      <c r="C3346" s="10" t="str">
        <f>IFERROR(INDEX(面试清单!D:D,MATCH(3345,面试清单!P:P,0)),"")</f>
        <v/>
      </c>
      <c r="D3346" s="11" t="s">
        <v>42</v>
      </c>
      <c r="E3346" s="11" t="s">
        <v>64</v>
      </c>
      <c r="F3346" s="11" t="s">
        <v>103</v>
      </c>
      <c r="G3346" s="15">
        <v>46187</v>
      </c>
      <c r="H3346" s="10" t="str">
        <f>IFERROR(INDEX(面试清单!H:H,MATCH(3345,面试清单!P:P,0)),"")</f>
        <v/>
      </c>
      <c r="I3346" s="13" t="s">
        <v>29</v>
      </c>
      <c r="J3346" s="10">
        <f ca="1" t="shared" si="157"/>
        <v>2</v>
      </c>
      <c r="K3346" s="10">
        <f ca="1" t="shared" si="158"/>
        <v>3</v>
      </c>
    </row>
    <row r="3347" ht="18" spans="1:11">
      <c r="A3347" s="14">
        <f t="shared" si="156"/>
        <v>3346</v>
      </c>
      <c r="B3347" s="11" t="s">
        <v>1082</v>
      </c>
      <c r="C3347" s="14" t="str">
        <f>IFERROR(INDEX(面试清单!D:D,MATCH(3346,面试清单!P:P,0)),"")</f>
        <v/>
      </c>
      <c r="D3347" s="11" t="s">
        <v>42</v>
      </c>
      <c r="E3347" s="11" t="s">
        <v>64</v>
      </c>
      <c r="F3347" s="11" t="s">
        <v>179</v>
      </c>
      <c r="G3347" s="15">
        <v>46187</v>
      </c>
      <c r="H3347" s="14" t="str">
        <f>IFERROR(INDEX(面试清单!H:H,MATCH(3346,面试清单!P:P,0)),"")</f>
        <v/>
      </c>
      <c r="I3347" s="13" t="s">
        <v>29</v>
      </c>
      <c r="J3347" s="14">
        <f ca="1" t="shared" si="157"/>
        <v>2</v>
      </c>
      <c r="K3347" s="14">
        <f ca="1" t="shared" si="158"/>
        <v>3</v>
      </c>
    </row>
    <row r="3348" ht="18" spans="1:11">
      <c r="A3348" s="10">
        <f t="shared" si="156"/>
        <v>3347</v>
      </c>
      <c r="B3348" s="11" t="s">
        <v>1083</v>
      </c>
      <c r="C3348" s="10" t="str">
        <f>IFERROR(INDEX(面试清单!D:D,MATCH(3347,面试清单!P:P,0)),"")</f>
        <v/>
      </c>
      <c r="D3348" s="11" t="s">
        <v>42</v>
      </c>
      <c r="E3348" s="11" t="s">
        <v>64</v>
      </c>
      <c r="F3348" s="11" t="s">
        <v>179</v>
      </c>
      <c r="G3348" s="15">
        <v>46187</v>
      </c>
      <c r="H3348" s="10" t="str">
        <f>IFERROR(INDEX(面试清单!H:H,MATCH(3347,面试清单!P:P,0)),"")</f>
        <v/>
      </c>
      <c r="I3348" s="13" t="s">
        <v>29</v>
      </c>
      <c r="J3348" s="10">
        <f ca="1" t="shared" si="157"/>
        <v>2</v>
      </c>
      <c r="K3348" s="10">
        <f ca="1" t="shared" si="158"/>
        <v>3</v>
      </c>
    </row>
    <row r="3349" ht="18" spans="1:11">
      <c r="A3349" s="14">
        <f t="shared" si="156"/>
        <v>3348</v>
      </c>
      <c r="B3349" s="11" t="s">
        <v>1084</v>
      </c>
      <c r="C3349" s="14" t="str">
        <f>IFERROR(INDEX(面试清单!D:D,MATCH(3348,面试清单!P:P,0)),"")</f>
        <v/>
      </c>
      <c r="D3349" s="11" t="s">
        <v>42</v>
      </c>
      <c r="E3349" s="11" t="s">
        <v>64</v>
      </c>
      <c r="F3349" s="11" t="s">
        <v>179</v>
      </c>
      <c r="G3349" s="15">
        <v>46187</v>
      </c>
      <c r="H3349" s="14" t="str">
        <f>IFERROR(INDEX(面试清单!H:H,MATCH(3348,面试清单!P:P,0)),"")</f>
        <v/>
      </c>
      <c r="I3349" s="13" t="s">
        <v>29</v>
      </c>
      <c r="J3349" s="14">
        <f ca="1" t="shared" si="157"/>
        <v>2</v>
      </c>
      <c r="K3349" s="14">
        <f ca="1" t="shared" si="158"/>
        <v>3</v>
      </c>
    </row>
    <row r="3350" ht="18" spans="1:11">
      <c r="A3350" s="10">
        <f t="shared" si="156"/>
        <v>3349</v>
      </c>
      <c r="B3350" s="11" t="s">
        <v>1090</v>
      </c>
      <c r="C3350" s="10" t="str">
        <f>IFERROR(INDEX(面试清单!D:D,MATCH(3349,面试清单!P:P,0)),"")</f>
        <v/>
      </c>
      <c r="D3350" s="11" t="s">
        <v>42</v>
      </c>
      <c r="E3350" s="11" t="s">
        <v>64</v>
      </c>
      <c r="F3350" s="11" t="s">
        <v>179</v>
      </c>
      <c r="G3350" s="15">
        <v>46187</v>
      </c>
      <c r="H3350" s="10" t="str">
        <f>IFERROR(INDEX(面试清单!H:H,MATCH(3349,面试清单!P:P,0)),"")</f>
        <v/>
      </c>
      <c r="I3350" s="13" t="s">
        <v>29</v>
      </c>
      <c r="J3350" s="10">
        <f ca="1" t="shared" si="157"/>
        <v>2</v>
      </c>
      <c r="K3350" s="10">
        <f ca="1" t="shared" si="158"/>
        <v>3</v>
      </c>
    </row>
    <row r="3351" ht="18" spans="1:11">
      <c r="A3351" s="14">
        <f t="shared" si="156"/>
        <v>3350</v>
      </c>
      <c r="B3351" s="11" t="s">
        <v>1091</v>
      </c>
      <c r="C3351" s="14" t="str">
        <f>IFERROR(INDEX(面试清单!D:D,MATCH(3350,面试清单!P:P,0)),"")</f>
        <v/>
      </c>
      <c r="D3351" s="11" t="s">
        <v>42</v>
      </c>
      <c r="E3351" s="11" t="s">
        <v>64</v>
      </c>
      <c r="F3351" s="11" t="s">
        <v>179</v>
      </c>
      <c r="G3351" s="15">
        <v>46187</v>
      </c>
      <c r="H3351" s="14" t="str">
        <f>IFERROR(INDEX(面试清单!H:H,MATCH(3350,面试清单!P:P,0)),"")</f>
        <v/>
      </c>
      <c r="I3351" s="13" t="s">
        <v>29</v>
      </c>
      <c r="J3351" s="14">
        <f ca="1" t="shared" si="157"/>
        <v>2</v>
      </c>
      <c r="K3351" s="14">
        <f ca="1" t="shared" si="158"/>
        <v>3</v>
      </c>
    </row>
    <row r="3352" ht="18" spans="1:11">
      <c r="A3352" s="10">
        <f t="shared" si="156"/>
        <v>3351</v>
      </c>
      <c r="B3352" s="11" t="s">
        <v>1092</v>
      </c>
      <c r="C3352" s="10" t="str">
        <f>IFERROR(INDEX(面试清单!D:D,MATCH(3351,面试清单!P:P,0)),"")</f>
        <v/>
      </c>
      <c r="D3352" s="11" t="s">
        <v>42</v>
      </c>
      <c r="E3352" s="11" t="s">
        <v>64</v>
      </c>
      <c r="F3352" s="11" t="s">
        <v>179</v>
      </c>
      <c r="G3352" s="15">
        <v>46187</v>
      </c>
      <c r="H3352" s="10" t="str">
        <f>IFERROR(INDEX(面试清单!H:H,MATCH(3351,面试清单!P:P,0)),"")</f>
        <v/>
      </c>
      <c r="I3352" s="13" t="s">
        <v>29</v>
      </c>
      <c r="J3352" s="10">
        <f ca="1" t="shared" si="157"/>
        <v>2</v>
      </c>
      <c r="K3352" s="10">
        <f ca="1" t="shared" si="158"/>
        <v>3</v>
      </c>
    </row>
    <row r="3353" ht="18" spans="1:11">
      <c r="A3353" s="14">
        <f t="shared" si="156"/>
        <v>3352</v>
      </c>
      <c r="B3353" s="11" t="s">
        <v>1099</v>
      </c>
      <c r="C3353" s="14" t="str">
        <f>IFERROR(INDEX(面试清单!D:D,MATCH(3352,面试清单!P:P,0)),"")</f>
        <v/>
      </c>
      <c r="D3353" s="11" t="s">
        <v>42</v>
      </c>
      <c r="E3353" s="11" t="s">
        <v>64</v>
      </c>
      <c r="F3353" s="11" t="s">
        <v>179</v>
      </c>
      <c r="G3353" s="15">
        <v>46187</v>
      </c>
      <c r="H3353" s="14" t="str">
        <f>IFERROR(INDEX(面试清单!H:H,MATCH(3352,面试清单!P:P,0)),"")</f>
        <v/>
      </c>
      <c r="I3353" s="13" t="s">
        <v>29</v>
      </c>
      <c r="J3353" s="14">
        <f ca="1" t="shared" si="157"/>
        <v>2</v>
      </c>
      <c r="K3353" s="14">
        <f ca="1" t="shared" si="158"/>
        <v>3</v>
      </c>
    </row>
    <row r="3354" ht="18" spans="1:11">
      <c r="A3354" s="10">
        <f t="shared" si="156"/>
        <v>3353</v>
      </c>
      <c r="B3354" s="11" t="s">
        <v>1081</v>
      </c>
      <c r="C3354" s="10" t="str">
        <f>IFERROR(INDEX(面试清单!D:D,MATCH(3353,面试清单!P:P,0)),"")</f>
        <v/>
      </c>
      <c r="D3354" s="11" t="s">
        <v>42</v>
      </c>
      <c r="E3354" s="11" t="s">
        <v>64</v>
      </c>
      <c r="F3354" s="11" t="s">
        <v>179</v>
      </c>
      <c r="G3354" s="15">
        <v>46187</v>
      </c>
      <c r="H3354" s="10" t="str">
        <f>IFERROR(INDEX(面试清单!H:H,MATCH(3353,面试清单!P:P,0)),"")</f>
        <v/>
      </c>
      <c r="I3354" s="13" t="s">
        <v>29</v>
      </c>
      <c r="J3354" s="10">
        <f ca="1" t="shared" si="157"/>
        <v>2</v>
      </c>
      <c r="K3354" s="10">
        <f ca="1" t="shared" si="158"/>
        <v>3</v>
      </c>
    </row>
    <row r="3355" ht="18" spans="1:11">
      <c r="A3355" s="14">
        <f t="shared" si="156"/>
        <v>3354</v>
      </c>
      <c r="B3355" s="11" t="s">
        <v>1938</v>
      </c>
      <c r="C3355" s="14" t="str">
        <f>IFERROR(INDEX(面试清单!D:D,MATCH(3354,面试清单!P:P,0)),"")</f>
        <v/>
      </c>
      <c r="D3355" s="11" t="s">
        <v>43</v>
      </c>
      <c r="E3355" s="11" t="s">
        <v>62</v>
      </c>
      <c r="F3355" s="11" t="s">
        <v>129</v>
      </c>
      <c r="G3355" s="15">
        <v>46187</v>
      </c>
      <c r="H3355" s="14" t="str">
        <f>IFERROR(INDEX(面试清单!H:H,MATCH(3354,面试清单!P:P,0)),"")</f>
        <v/>
      </c>
      <c r="I3355" s="13" t="s">
        <v>29</v>
      </c>
      <c r="J3355" s="14">
        <f ca="1" t="shared" si="157"/>
        <v>2</v>
      </c>
      <c r="K3355" s="14">
        <f ca="1" t="shared" si="158"/>
        <v>3</v>
      </c>
    </row>
    <row r="3356" ht="18" spans="1:11">
      <c r="A3356" s="10">
        <f t="shared" si="156"/>
        <v>3355</v>
      </c>
      <c r="B3356" s="11" t="s">
        <v>1821</v>
      </c>
      <c r="C3356" s="10" t="str">
        <f>IFERROR(INDEX(面试清单!D:D,MATCH(3355,面试清单!P:P,0)),"")</f>
        <v/>
      </c>
      <c r="D3356" s="11" t="s">
        <v>43</v>
      </c>
      <c r="E3356" s="11" t="s">
        <v>63</v>
      </c>
      <c r="F3356" s="11" t="s">
        <v>129</v>
      </c>
      <c r="G3356" s="15">
        <v>46187</v>
      </c>
      <c r="H3356" s="10" t="str">
        <f>IFERROR(INDEX(面试清单!H:H,MATCH(3355,面试清单!P:P,0)),"")</f>
        <v/>
      </c>
      <c r="I3356" s="13" t="s">
        <v>29</v>
      </c>
      <c r="J3356" s="10">
        <f ca="1" t="shared" si="157"/>
        <v>2</v>
      </c>
      <c r="K3356" s="10">
        <f ca="1" t="shared" si="158"/>
        <v>3</v>
      </c>
    </row>
    <row r="3357" ht="18" spans="1:11">
      <c r="A3357" s="14">
        <f t="shared" si="156"/>
        <v>3356</v>
      </c>
      <c r="B3357" s="11" t="s">
        <v>1939</v>
      </c>
      <c r="C3357" s="14" t="str">
        <f>IFERROR(INDEX(面试清单!D:D,MATCH(3356,面试清单!P:P,0)),"")</f>
        <v/>
      </c>
      <c r="D3357" s="11" t="s">
        <v>43</v>
      </c>
      <c r="E3357" s="11" t="s">
        <v>63</v>
      </c>
      <c r="F3357" s="11" t="s">
        <v>129</v>
      </c>
      <c r="G3357" s="15">
        <v>46187</v>
      </c>
      <c r="H3357" s="14" t="str">
        <f>IFERROR(INDEX(面试清单!H:H,MATCH(3356,面试清单!P:P,0)),"")</f>
        <v/>
      </c>
      <c r="I3357" s="13" t="s">
        <v>29</v>
      </c>
      <c r="J3357" s="14">
        <f ca="1" t="shared" si="157"/>
        <v>2</v>
      </c>
      <c r="K3357" s="14">
        <f ca="1" t="shared" si="158"/>
        <v>3</v>
      </c>
    </row>
    <row r="3358" ht="18" spans="1:11">
      <c r="A3358" s="10">
        <f t="shared" si="156"/>
        <v>3357</v>
      </c>
      <c r="B3358" s="11" t="s">
        <v>1940</v>
      </c>
      <c r="C3358" s="10" t="str">
        <f>IFERROR(INDEX(面试清单!D:D,MATCH(3357,面试清单!P:P,0)),"")</f>
        <v/>
      </c>
      <c r="D3358" s="11" t="s">
        <v>43</v>
      </c>
      <c r="E3358" s="11" t="s">
        <v>63</v>
      </c>
      <c r="F3358" s="11" t="s">
        <v>129</v>
      </c>
      <c r="G3358" s="15">
        <v>46187</v>
      </c>
      <c r="H3358" s="10" t="str">
        <f>IFERROR(INDEX(面试清单!H:H,MATCH(3357,面试清单!P:P,0)),"")</f>
        <v/>
      </c>
      <c r="I3358" s="13" t="s">
        <v>29</v>
      </c>
      <c r="J3358" s="10">
        <f ca="1" t="shared" si="157"/>
        <v>2</v>
      </c>
      <c r="K3358" s="10">
        <f ca="1" t="shared" si="158"/>
        <v>3</v>
      </c>
    </row>
    <row r="3359" ht="18" spans="1:11">
      <c r="A3359" s="14">
        <f t="shared" si="156"/>
        <v>3358</v>
      </c>
      <c r="B3359" s="11" t="s">
        <v>1941</v>
      </c>
      <c r="C3359" s="14" t="str">
        <f>IFERROR(INDEX(面试清单!D:D,MATCH(3358,面试清单!P:P,0)),"")</f>
        <v/>
      </c>
      <c r="D3359" s="11" t="s">
        <v>43</v>
      </c>
      <c r="E3359" s="11" t="s">
        <v>63</v>
      </c>
      <c r="F3359" s="11" t="s">
        <v>129</v>
      </c>
      <c r="G3359" s="15">
        <v>46187</v>
      </c>
      <c r="H3359" s="14" t="str">
        <f>IFERROR(INDEX(面试清单!H:H,MATCH(3358,面试清单!P:P,0)),"")</f>
        <v/>
      </c>
      <c r="I3359" s="13" t="s">
        <v>29</v>
      </c>
      <c r="J3359" s="14">
        <f ca="1" t="shared" si="157"/>
        <v>2</v>
      </c>
      <c r="K3359" s="14">
        <f ca="1" t="shared" si="158"/>
        <v>3</v>
      </c>
    </row>
    <row r="3360" ht="18" spans="1:11">
      <c r="A3360" s="10">
        <f t="shared" si="156"/>
        <v>3359</v>
      </c>
      <c r="B3360" s="11" t="s">
        <v>1943</v>
      </c>
      <c r="C3360" s="10" t="str">
        <f>IFERROR(INDEX(面试清单!D:D,MATCH(3359,面试清单!P:P,0)),"")</f>
        <v/>
      </c>
      <c r="D3360" s="11" t="s">
        <v>43</v>
      </c>
      <c r="E3360" s="11" t="s">
        <v>62</v>
      </c>
      <c r="F3360" s="11" t="s">
        <v>129</v>
      </c>
      <c r="G3360" s="15">
        <v>46187</v>
      </c>
      <c r="H3360" s="10" t="str">
        <f>IFERROR(INDEX(面试清单!H:H,MATCH(3359,面试清单!P:P,0)),"")</f>
        <v/>
      </c>
      <c r="I3360" s="13" t="s">
        <v>29</v>
      </c>
      <c r="J3360" s="10">
        <f ca="1" t="shared" si="157"/>
        <v>2</v>
      </c>
      <c r="K3360" s="10">
        <f ca="1" t="shared" si="158"/>
        <v>3</v>
      </c>
    </row>
    <row r="3361" ht="18" spans="1:11">
      <c r="A3361" s="14">
        <f t="shared" si="156"/>
        <v>3360</v>
      </c>
      <c r="B3361" s="11" t="s">
        <v>1944</v>
      </c>
      <c r="C3361" s="14" t="str">
        <f>IFERROR(INDEX(面试清单!D:D,MATCH(3360,面试清单!P:P,0)),"")</f>
        <v/>
      </c>
      <c r="D3361" s="11" t="s">
        <v>42</v>
      </c>
      <c r="E3361" s="11" t="s">
        <v>63</v>
      </c>
      <c r="F3361" s="11" t="s">
        <v>129</v>
      </c>
      <c r="G3361" s="15">
        <v>46187</v>
      </c>
      <c r="H3361" s="14" t="str">
        <f>IFERROR(INDEX(面试清单!H:H,MATCH(3360,面试清单!P:P,0)),"")</f>
        <v/>
      </c>
      <c r="I3361" s="13" t="s">
        <v>29</v>
      </c>
      <c r="J3361" s="14">
        <f ca="1" t="shared" si="157"/>
        <v>2</v>
      </c>
      <c r="K3361" s="14">
        <f ca="1" t="shared" si="158"/>
        <v>3</v>
      </c>
    </row>
    <row r="3362" ht="18" spans="1:11">
      <c r="A3362" s="10">
        <f t="shared" si="156"/>
        <v>3361</v>
      </c>
      <c r="B3362" s="11" t="s">
        <v>1945</v>
      </c>
      <c r="C3362" s="10" t="str">
        <f>IFERROR(INDEX(面试清单!D:D,MATCH(3361,面试清单!P:P,0)),"")</f>
        <v/>
      </c>
      <c r="D3362" s="11" t="s">
        <v>43</v>
      </c>
      <c r="E3362" s="11" t="s">
        <v>62</v>
      </c>
      <c r="F3362" s="11" t="s">
        <v>129</v>
      </c>
      <c r="G3362" s="15">
        <v>46187</v>
      </c>
      <c r="H3362" s="10" t="str">
        <f>IFERROR(INDEX(面试清单!H:H,MATCH(3361,面试清单!P:P,0)),"")</f>
        <v/>
      </c>
      <c r="I3362" s="13" t="s">
        <v>29</v>
      </c>
      <c r="J3362" s="10">
        <f ca="1" t="shared" si="157"/>
        <v>2</v>
      </c>
      <c r="K3362" s="10">
        <f ca="1" t="shared" si="158"/>
        <v>3</v>
      </c>
    </row>
    <row r="3363" ht="18" spans="1:11">
      <c r="A3363" s="14">
        <f t="shared" si="156"/>
        <v>3362</v>
      </c>
      <c r="B3363" s="11" t="s">
        <v>1946</v>
      </c>
      <c r="C3363" s="14" t="str">
        <f>IFERROR(INDEX(面试清单!D:D,MATCH(3362,面试清单!P:P,0)),"")</f>
        <v/>
      </c>
      <c r="D3363" s="11" t="s">
        <v>43</v>
      </c>
      <c r="E3363" s="11" t="s">
        <v>62</v>
      </c>
      <c r="F3363" s="11" t="s">
        <v>129</v>
      </c>
      <c r="G3363" s="15">
        <v>46187</v>
      </c>
      <c r="H3363" s="14" t="str">
        <f>IFERROR(INDEX(面试清单!H:H,MATCH(3362,面试清单!P:P,0)),"")</f>
        <v/>
      </c>
      <c r="I3363" s="13" t="s">
        <v>29</v>
      </c>
      <c r="J3363" s="14">
        <f ca="1" t="shared" si="157"/>
        <v>2</v>
      </c>
      <c r="K3363" s="14">
        <f ca="1" t="shared" si="158"/>
        <v>3</v>
      </c>
    </row>
    <row r="3364" ht="18" spans="1:11">
      <c r="A3364" s="10">
        <f t="shared" si="156"/>
        <v>3363</v>
      </c>
      <c r="B3364" s="11" t="s">
        <v>1947</v>
      </c>
      <c r="C3364" s="10" t="str">
        <f>IFERROR(INDEX(面试清单!D:D,MATCH(3363,面试清单!P:P,0)),"")</f>
        <v/>
      </c>
      <c r="D3364" s="11" t="s">
        <v>43</v>
      </c>
      <c r="E3364" s="11" t="s">
        <v>62</v>
      </c>
      <c r="F3364" s="11" t="s">
        <v>129</v>
      </c>
      <c r="G3364" s="15">
        <v>46187</v>
      </c>
      <c r="H3364" s="10" t="str">
        <f>IFERROR(INDEX(面试清单!H:H,MATCH(3363,面试清单!P:P,0)),"")</f>
        <v/>
      </c>
      <c r="I3364" s="13" t="s">
        <v>29</v>
      </c>
      <c r="J3364" s="10">
        <f ca="1" t="shared" si="157"/>
        <v>2</v>
      </c>
      <c r="K3364" s="10">
        <f ca="1" t="shared" si="158"/>
        <v>3</v>
      </c>
    </row>
    <row r="3365" ht="18" spans="1:11">
      <c r="A3365" s="14">
        <f t="shared" si="156"/>
        <v>3364</v>
      </c>
      <c r="B3365" s="11" t="s">
        <v>1948</v>
      </c>
      <c r="C3365" s="14" t="str">
        <f>IFERROR(INDEX(面试清单!D:D,MATCH(3364,面试清单!P:P,0)),"")</f>
        <v/>
      </c>
      <c r="D3365" s="11" t="s">
        <v>43</v>
      </c>
      <c r="E3365" s="11" t="s">
        <v>62</v>
      </c>
      <c r="F3365" s="11" t="s">
        <v>129</v>
      </c>
      <c r="G3365" s="15">
        <v>46187</v>
      </c>
      <c r="H3365" s="14" t="str">
        <f>IFERROR(INDEX(面试清单!H:H,MATCH(3364,面试清单!P:P,0)),"")</f>
        <v/>
      </c>
      <c r="I3365" s="13" t="s">
        <v>29</v>
      </c>
      <c r="J3365" s="14">
        <f ca="1" t="shared" si="157"/>
        <v>2</v>
      </c>
      <c r="K3365" s="14">
        <f ca="1" t="shared" si="158"/>
        <v>3</v>
      </c>
    </row>
    <row r="3366" ht="18" spans="1:11">
      <c r="A3366" s="10">
        <f t="shared" si="156"/>
        <v>3365</v>
      </c>
      <c r="B3366" s="11" t="s">
        <v>1949</v>
      </c>
      <c r="C3366" s="125" t="str">
        <f>IFERROR(INDEX(面试清单!D:D,MATCH(3365,面试清单!P:P,0)),"")</f>
        <v>0208</v>
      </c>
      <c r="D3366" s="11" t="s">
        <v>43</v>
      </c>
      <c r="E3366" s="11" t="s">
        <v>62</v>
      </c>
      <c r="F3366" s="11" t="s">
        <v>129</v>
      </c>
      <c r="G3366" s="15">
        <v>46187</v>
      </c>
      <c r="H3366" s="10" t="str">
        <f>IFERROR(INDEX(面试清单!H:H,MATCH(3365,面试清单!P:P,0)),"")</f>
        <v>线上</v>
      </c>
      <c r="I3366" s="13" t="s">
        <v>29</v>
      </c>
      <c r="J3366" s="10">
        <f ca="1" t="shared" si="157"/>
        <v>2</v>
      </c>
      <c r="K3366" s="10">
        <f ca="1" t="shared" si="158"/>
        <v>3</v>
      </c>
    </row>
    <row r="3367" ht="18" spans="1:11">
      <c r="A3367" s="14">
        <f t="shared" si="156"/>
        <v>3366</v>
      </c>
      <c r="B3367" s="11" t="s">
        <v>6523</v>
      </c>
      <c r="C3367" s="14" t="str">
        <f>IFERROR(INDEX(面试清单!D:D,MATCH(3366,面试清单!P:P,0)),"")</f>
        <v/>
      </c>
      <c r="D3367" s="11" t="s">
        <v>43</v>
      </c>
      <c r="E3367" s="11" t="s">
        <v>62</v>
      </c>
      <c r="F3367" s="11" t="s">
        <v>6524</v>
      </c>
      <c r="G3367" s="15">
        <v>46142</v>
      </c>
      <c r="H3367" s="14" t="str">
        <f>IFERROR(INDEX(面试清单!H:H,MATCH(3366,面试清单!P:P,0)),"")</f>
        <v/>
      </c>
      <c r="I3367" s="13" t="s">
        <v>30</v>
      </c>
      <c r="J3367" s="14">
        <f ca="1" t="shared" si="157"/>
        <v>47</v>
      </c>
      <c r="K3367" s="14">
        <f ca="1" t="shared" si="158"/>
        <v>16</v>
      </c>
    </row>
    <row r="3368" ht="18" spans="1:11">
      <c r="A3368" s="10">
        <f t="shared" si="156"/>
        <v>3367</v>
      </c>
      <c r="B3368" s="11" t="s">
        <v>6525</v>
      </c>
      <c r="C3368" s="125" t="str">
        <f>IFERROR(INDEX(面试清单!D:D,MATCH(3367,面试清单!P:P,0)),"")</f>
        <v>0212</v>
      </c>
      <c r="D3368" s="11" t="s">
        <v>43</v>
      </c>
      <c r="E3368" s="11" t="s">
        <v>63</v>
      </c>
      <c r="F3368" s="11" t="s">
        <v>124</v>
      </c>
      <c r="G3368" s="15">
        <v>46149</v>
      </c>
      <c r="H3368" s="10" t="str">
        <f>IFERROR(INDEX(面试清单!H:H,MATCH(3367,面试清单!P:P,0)),"")</f>
        <v>线上</v>
      </c>
      <c r="I3368" s="13" t="s">
        <v>30</v>
      </c>
      <c r="J3368" s="10">
        <f ca="1" t="shared" si="157"/>
        <v>40</v>
      </c>
      <c r="K3368" s="10">
        <f ca="1" t="shared" si="158"/>
        <v>16</v>
      </c>
    </row>
    <row r="3369" ht="18" spans="1:11">
      <c r="A3369" s="14">
        <f t="shared" si="156"/>
        <v>3368</v>
      </c>
      <c r="B3369" s="11" t="s">
        <v>6526</v>
      </c>
      <c r="C3369" s="14" t="str">
        <f>IFERROR(INDEX(面试清单!D:D,MATCH(3368,面试清单!P:P,0)),"")</f>
        <v/>
      </c>
      <c r="D3369" s="11" t="s">
        <v>43</v>
      </c>
      <c r="E3369" s="11" t="s">
        <v>63</v>
      </c>
      <c r="F3369" s="11" t="s">
        <v>124</v>
      </c>
      <c r="G3369" s="15">
        <v>46145</v>
      </c>
      <c r="H3369" s="14" t="str">
        <f>IFERROR(INDEX(面试清单!H:H,MATCH(3368,面试清单!P:P,0)),"")</f>
        <v/>
      </c>
      <c r="I3369" s="13" t="s">
        <v>30</v>
      </c>
      <c r="J3369" s="14">
        <f ca="1" t="shared" si="157"/>
        <v>44</v>
      </c>
      <c r="K3369" s="14">
        <f ca="1" t="shared" si="158"/>
        <v>16</v>
      </c>
    </row>
    <row r="3370" ht="18" spans="1:11">
      <c r="A3370" s="10">
        <f t="shared" si="156"/>
        <v>3369</v>
      </c>
      <c r="B3370" s="11" t="s">
        <v>6527</v>
      </c>
      <c r="C3370" s="10" t="str">
        <f>IFERROR(INDEX(面试清单!D:D,MATCH(3369,面试清单!P:P,0)),"")</f>
        <v/>
      </c>
      <c r="D3370" s="11" t="s">
        <v>43</v>
      </c>
      <c r="E3370" s="11" t="s">
        <v>63</v>
      </c>
      <c r="F3370" s="11" t="s">
        <v>3826</v>
      </c>
      <c r="G3370" s="15">
        <v>46147</v>
      </c>
      <c r="H3370" s="10" t="str">
        <f>IFERROR(INDEX(面试清单!H:H,MATCH(3369,面试清单!P:P,0)),"")</f>
        <v/>
      </c>
      <c r="I3370" s="13" t="s">
        <v>30</v>
      </c>
      <c r="J3370" s="10">
        <f ca="1" t="shared" si="157"/>
        <v>42</v>
      </c>
      <c r="K3370" s="10">
        <f ca="1" t="shared" si="158"/>
        <v>16</v>
      </c>
    </row>
    <row r="3371" ht="18" spans="1:11">
      <c r="A3371" s="14">
        <f t="shared" si="156"/>
        <v>3370</v>
      </c>
      <c r="B3371" s="11" t="s">
        <v>6528</v>
      </c>
      <c r="C3371" s="14" t="str">
        <f>IFERROR(INDEX(面试清单!D:D,MATCH(3370,面试清单!P:P,0)),"")</f>
        <v/>
      </c>
      <c r="D3371" s="11" t="s">
        <v>42</v>
      </c>
      <c r="E3371" s="11" t="s">
        <v>63</v>
      </c>
      <c r="F3371" s="11" t="s">
        <v>3826</v>
      </c>
      <c r="G3371" s="15">
        <v>46147</v>
      </c>
      <c r="H3371" s="14" t="str">
        <f>IFERROR(INDEX(面试清单!H:H,MATCH(3370,面试清单!P:P,0)),"")</f>
        <v/>
      </c>
      <c r="I3371" s="13" t="s">
        <v>30</v>
      </c>
      <c r="J3371" s="14">
        <f ca="1" t="shared" si="157"/>
        <v>42</v>
      </c>
      <c r="K3371" s="14">
        <f ca="1" t="shared" si="158"/>
        <v>16</v>
      </c>
    </row>
    <row r="3372" ht="18" spans="1:11">
      <c r="A3372" s="10">
        <f t="shared" si="156"/>
        <v>3371</v>
      </c>
      <c r="B3372" s="11" t="s">
        <v>6529</v>
      </c>
      <c r="C3372" s="10" t="str">
        <f>IFERROR(INDEX(面试清单!D:D,MATCH(3371,面试清单!P:P,0)),"")</f>
        <v/>
      </c>
      <c r="D3372" s="11" t="s">
        <v>42</v>
      </c>
      <c r="E3372" s="11" t="s">
        <v>63</v>
      </c>
      <c r="F3372" s="11" t="s">
        <v>124</v>
      </c>
      <c r="G3372" s="15">
        <v>46149</v>
      </c>
      <c r="H3372" s="10" t="str">
        <f>IFERROR(INDEX(面试清单!H:H,MATCH(3371,面试清单!P:P,0)),"")</f>
        <v/>
      </c>
      <c r="I3372" s="13" t="s">
        <v>30</v>
      </c>
      <c r="J3372" s="10">
        <f ca="1" t="shared" si="157"/>
        <v>40</v>
      </c>
      <c r="K3372" s="10">
        <f ca="1" t="shared" si="158"/>
        <v>16</v>
      </c>
    </row>
    <row r="3373" ht="18" spans="1:11">
      <c r="A3373" s="14">
        <f t="shared" si="156"/>
        <v>3372</v>
      </c>
      <c r="B3373" s="11" t="s">
        <v>6530</v>
      </c>
      <c r="C3373" s="14" t="str">
        <f>IFERROR(INDEX(面试清单!D:D,MATCH(3372,面试清单!P:P,0)),"")</f>
        <v/>
      </c>
      <c r="D3373" s="11" t="s">
        <v>42</v>
      </c>
      <c r="E3373" s="11" t="s">
        <v>62</v>
      </c>
      <c r="F3373" s="11" t="s">
        <v>124</v>
      </c>
      <c r="G3373" s="15">
        <v>46149</v>
      </c>
      <c r="H3373" s="14" t="str">
        <f>IFERROR(INDEX(面试清单!H:H,MATCH(3372,面试清单!P:P,0)),"")</f>
        <v/>
      </c>
      <c r="I3373" s="13" t="s">
        <v>30</v>
      </c>
      <c r="J3373" s="14">
        <f ca="1" t="shared" si="157"/>
        <v>40</v>
      </c>
      <c r="K3373" s="14">
        <f ca="1" t="shared" si="158"/>
        <v>16</v>
      </c>
    </row>
    <row r="3374" ht="18" spans="1:11">
      <c r="A3374" s="10">
        <f t="shared" si="156"/>
        <v>3373</v>
      </c>
      <c r="B3374" s="11" t="s">
        <v>6531</v>
      </c>
      <c r="C3374" s="10" t="str">
        <f>IFERROR(INDEX(面试清单!D:D,MATCH(3373,面试清单!P:P,0)),"")</f>
        <v/>
      </c>
      <c r="D3374" s="11" t="s">
        <v>42</v>
      </c>
      <c r="E3374" s="11" t="s">
        <v>62</v>
      </c>
      <c r="F3374" s="11" t="s">
        <v>124</v>
      </c>
      <c r="G3374" s="15">
        <v>46149</v>
      </c>
      <c r="H3374" s="10" t="str">
        <f>IFERROR(INDEX(面试清单!H:H,MATCH(3373,面试清单!P:P,0)),"")</f>
        <v/>
      </c>
      <c r="I3374" s="13" t="s">
        <v>30</v>
      </c>
      <c r="J3374" s="10">
        <f ca="1" t="shared" si="157"/>
        <v>40</v>
      </c>
      <c r="K3374" s="10">
        <f ca="1" t="shared" si="158"/>
        <v>16</v>
      </c>
    </row>
    <row r="3375" ht="18" spans="1:11">
      <c r="A3375" s="14">
        <f t="shared" si="156"/>
        <v>3374</v>
      </c>
      <c r="B3375" s="11" t="s">
        <v>6532</v>
      </c>
      <c r="C3375" s="14" t="str">
        <f>IFERROR(INDEX(面试清单!D:D,MATCH(3374,面试清单!P:P,0)),"")</f>
        <v/>
      </c>
      <c r="D3375" s="11" t="s">
        <v>42</v>
      </c>
      <c r="E3375" s="11" t="s">
        <v>63</v>
      </c>
      <c r="F3375" s="11" t="s">
        <v>3831</v>
      </c>
      <c r="G3375" s="15">
        <v>46149</v>
      </c>
      <c r="H3375" s="14" t="str">
        <f>IFERROR(INDEX(面试清单!H:H,MATCH(3374,面试清单!P:P,0)),"")</f>
        <v/>
      </c>
      <c r="I3375" s="13" t="s">
        <v>30</v>
      </c>
      <c r="J3375" s="14">
        <f ca="1" t="shared" si="157"/>
        <v>40</v>
      </c>
      <c r="K3375" s="14">
        <f ca="1" t="shared" si="158"/>
        <v>16</v>
      </c>
    </row>
    <row r="3376" ht="18" spans="1:11">
      <c r="A3376" s="10">
        <f t="shared" si="156"/>
        <v>3375</v>
      </c>
      <c r="B3376" s="11" t="s">
        <v>6533</v>
      </c>
      <c r="C3376" s="10" t="str">
        <f>IFERROR(INDEX(面试清单!D:D,MATCH(3375,面试清单!P:P,0)),"")</f>
        <v/>
      </c>
      <c r="D3376" s="11" t="s">
        <v>42</v>
      </c>
      <c r="E3376" s="11" t="s">
        <v>62</v>
      </c>
      <c r="F3376" s="11" t="s">
        <v>124</v>
      </c>
      <c r="G3376" s="15">
        <v>46149</v>
      </c>
      <c r="H3376" s="10" t="str">
        <f>IFERROR(INDEX(面试清单!H:H,MATCH(3375,面试清单!P:P,0)),"")</f>
        <v/>
      </c>
      <c r="I3376" s="13" t="s">
        <v>30</v>
      </c>
      <c r="J3376" s="10">
        <f ca="1" t="shared" si="157"/>
        <v>40</v>
      </c>
      <c r="K3376" s="10">
        <f ca="1" t="shared" si="158"/>
        <v>16</v>
      </c>
    </row>
    <row r="3377" ht="18" spans="1:11">
      <c r="A3377" s="14">
        <f t="shared" si="156"/>
        <v>3376</v>
      </c>
      <c r="B3377" s="11" t="s">
        <v>6534</v>
      </c>
      <c r="C3377" s="14" t="str">
        <f>IFERROR(INDEX(面试清单!D:D,MATCH(3376,面试清单!P:P,0)),"")</f>
        <v/>
      </c>
      <c r="D3377" s="11" t="s">
        <v>42</v>
      </c>
      <c r="E3377" s="11" t="s">
        <v>62</v>
      </c>
      <c r="F3377" s="11" t="s">
        <v>124</v>
      </c>
      <c r="G3377" s="15">
        <v>46149</v>
      </c>
      <c r="H3377" s="14" t="str">
        <f>IFERROR(INDEX(面试清单!H:H,MATCH(3376,面试清单!P:P,0)),"")</f>
        <v/>
      </c>
      <c r="I3377" s="13" t="s">
        <v>30</v>
      </c>
      <c r="J3377" s="14">
        <f ca="1" t="shared" si="157"/>
        <v>40</v>
      </c>
      <c r="K3377" s="14">
        <f ca="1" t="shared" si="158"/>
        <v>16</v>
      </c>
    </row>
    <row r="3378" ht="18" spans="1:11">
      <c r="A3378" s="10">
        <f t="shared" si="156"/>
        <v>3377</v>
      </c>
      <c r="B3378" s="11" t="s">
        <v>6535</v>
      </c>
      <c r="C3378" s="125" t="str">
        <f>IFERROR(INDEX(面试清单!D:D,MATCH(3377,面试清单!P:P,0)),"")</f>
        <v>0214</v>
      </c>
      <c r="D3378" s="11" t="s">
        <v>42</v>
      </c>
      <c r="E3378" s="11" t="s">
        <v>63</v>
      </c>
      <c r="F3378" s="11" t="s">
        <v>3831</v>
      </c>
      <c r="G3378" s="15">
        <v>46149</v>
      </c>
      <c r="H3378" s="10" t="str">
        <f>IFERROR(INDEX(面试清单!H:H,MATCH(3377,面试清单!P:P,0)),"")</f>
        <v>线上</v>
      </c>
      <c r="I3378" s="13" t="s">
        <v>30</v>
      </c>
      <c r="J3378" s="10">
        <f ca="1" t="shared" si="157"/>
        <v>40</v>
      </c>
      <c r="K3378" s="10">
        <f ca="1" t="shared" si="158"/>
        <v>16</v>
      </c>
    </row>
    <row r="3379" ht="18" spans="1:11">
      <c r="A3379" s="14">
        <f t="shared" si="156"/>
        <v>3378</v>
      </c>
      <c r="B3379" s="11" t="s">
        <v>6536</v>
      </c>
      <c r="C3379" s="14" t="str">
        <f>IFERROR(INDEX(面试清单!D:D,MATCH(3378,面试清单!P:P,0)),"")</f>
        <v/>
      </c>
      <c r="D3379" s="11" t="s">
        <v>42</v>
      </c>
      <c r="E3379" s="11" t="s">
        <v>63</v>
      </c>
      <c r="F3379" s="11" t="s">
        <v>3831</v>
      </c>
      <c r="G3379" s="15">
        <v>46149</v>
      </c>
      <c r="H3379" s="14" t="str">
        <f>IFERROR(INDEX(面试清单!H:H,MATCH(3378,面试清单!P:P,0)),"")</f>
        <v/>
      </c>
      <c r="I3379" s="13" t="s">
        <v>30</v>
      </c>
      <c r="J3379" s="14">
        <f ca="1" t="shared" si="157"/>
        <v>40</v>
      </c>
      <c r="K3379" s="14">
        <f ca="1" t="shared" si="158"/>
        <v>16</v>
      </c>
    </row>
    <row r="3380" ht="18" spans="1:11">
      <c r="A3380" s="10">
        <f t="shared" si="156"/>
        <v>3379</v>
      </c>
      <c r="B3380" s="11" t="s">
        <v>1446</v>
      </c>
      <c r="C3380" s="125" t="str">
        <f>IFERROR(INDEX(面试清单!D:D,MATCH(3379,面试清单!P:P,0)),"")</f>
        <v>0218</v>
      </c>
      <c r="D3380" s="11" t="s">
        <v>43</v>
      </c>
      <c r="E3380" s="11" t="s">
        <v>62</v>
      </c>
      <c r="F3380" s="11" t="s">
        <v>2164</v>
      </c>
      <c r="G3380" s="15">
        <v>46149</v>
      </c>
      <c r="H3380" s="10" t="str">
        <f>IFERROR(INDEX(面试清单!H:H,MATCH(3379,面试清单!P:P,0)),"")</f>
        <v>线上</v>
      </c>
      <c r="I3380" s="13" t="s">
        <v>30</v>
      </c>
      <c r="J3380" s="10">
        <f ca="1" t="shared" si="157"/>
        <v>40</v>
      </c>
      <c r="K3380" s="10">
        <f ca="1" t="shared" si="158"/>
        <v>16</v>
      </c>
    </row>
    <row r="3381" ht="18" spans="1:11">
      <c r="A3381" s="14">
        <f t="shared" si="156"/>
        <v>3380</v>
      </c>
      <c r="B3381" s="11" t="s">
        <v>6537</v>
      </c>
      <c r="C3381" s="14" t="str">
        <f>IFERROR(INDEX(面试清单!D:D,MATCH(3380,面试清单!P:P,0)),"")</f>
        <v/>
      </c>
      <c r="D3381" s="11" t="s">
        <v>42</v>
      </c>
      <c r="E3381" s="11" t="s">
        <v>62</v>
      </c>
      <c r="F3381" s="11" t="s">
        <v>124</v>
      </c>
      <c r="G3381" s="15">
        <v>46150</v>
      </c>
      <c r="H3381" s="14" t="str">
        <f>IFERROR(INDEX(面试清单!H:H,MATCH(3380,面试清单!P:P,0)),"")</f>
        <v/>
      </c>
      <c r="I3381" s="13" t="s">
        <v>30</v>
      </c>
      <c r="J3381" s="14">
        <f ca="1" t="shared" si="157"/>
        <v>39</v>
      </c>
      <c r="K3381" s="14">
        <f ca="1" t="shared" si="158"/>
        <v>16</v>
      </c>
    </row>
    <row r="3382" ht="18" spans="1:11">
      <c r="A3382" s="10">
        <f t="shared" si="156"/>
        <v>3381</v>
      </c>
      <c r="B3382" s="11" t="s">
        <v>6538</v>
      </c>
      <c r="C3382" s="10" t="str">
        <f>IFERROR(INDEX(面试清单!D:D,MATCH(3381,面试清单!P:P,0)),"")</f>
        <v/>
      </c>
      <c r="D3382" s="11" t="s">
        <v>42</v>
      </c>
      <c r="E3382" s="11" t="s">
        <v>62</v>
      </c>
      <c r="F3382" s="11" t="s">
        <v>124</v>
      </c>
      <c r="G3382" s="15">
        <v>46150</v>
      </c>
      <c r="H3382" s="10" t="str">
        <f>IFERROR(INDEX(面试清单!H:H,MATCH(3381,面试清单!P:P,0)),"")</f>
        <v/>
      </c>
      <c r="I3382" s="13" t="s">
        <v>30</v>
      </c>
      <c r="J3382" s="10">
        <f ca="1" t="shared" si="157"/>
        <v>39</v>
      </c>
      <c r="K3382" s="10">
        <f ca="1" t="shared" si="158"/>
        <v>16</v>
      </c>
    </row>
    <row r="3383" ht="18" spans="1:11">
      <c r="A3383" s="14">
        <f t="shared" si="156"/>
        <v>3382</v>
      </c>
      <c r="B3383" s="11" t="s">
        <v>6539</v>
      </c>
      <c r="C3383" s="14" t="str">
        <f>IFERROR(INDEX(面试清单!D:D,MATCH(3382,面试清单!P:P,0)),"")</f>
        <v/>
      </c>
      <c r="D3383" s="11" t="s">
        <v>42</v>
      </c>
      <c r="E3383" s="11" t="s">
        <v>63</v>
      </c>
      <c r="F3383" s="11" t="s">
        <v>124</v>
      </c>
      <c r="G3383" s="15">
        <v>46150</v>
      </c>
      <c r="H3383" s="14" t="str">
        <f>IFERROR(INDEX(面试清单!H:H,MATCH(3382,面试清单!P:P,0)),"")</f>
        <v/>
      </c>
      <c r="I3383" s="13" t="s">
        <v>30</v>
      </c>
      <c r="J3383" s="14">
        <f ca="1" t="shared" si="157"/>
        <v>39</v>
      </c>
      <c r="K3383" s="14">
        <f ca="1" t="shared" si="158"/>
        <v>16</v>
      </c>
    </row>
    <row r="3384" ht="18" spans="1:11">
      <c r="A3384" s="10">
        <f t="shared" si="156"/>
        <v>3383</v>
      </c>
      <c r="B3384" s="11" t="s">
        <v>6540</v>
      </c>
      <c r="C3384" s="10" t="str">
        <f>IFERROR(INDEX(面试清单!D:D,MATCH(3383,面试清单!P:P,0)),"")</f>
        <v/>
      </c>
      <c r="D3384" s="11" t="s">
        <v>43</v>
      </c>
      <c r="E3384" s="11" t="s">
        <v>62</v>
      </c>
      <c r="F3384" s="11" t="s">
        <v>179</v>
      </c>
      <c r="G3384" s="15">
        <v>46153</v>
      </c>
      <c r="H3384" s="10" t="str">
        <f>IFERROR(INDEX(面试清单!H:H,MATCH(3383,面试清单!P:P,0)),"")</f>
        <v/>
      </c>
      <c r="I3384" s="13" t="s">
        <v>30</v>
      </c>
      <c r="J3384" s="10">
        <f ca="1" t="shared" si="157"/>
        <v>36</v>
      </c>
      <c r="K3384" s="10">
        <f ca="1" t="shared" si="158"/>
        <v>16</v>
      </c>
    </row>
    <row r="3385" ht="18" spans="1:11">
      <c r="A3385" s="14">
        <f t="shared" si="156"/>
        <v>3384</v>
      </c>
      <c r="B3385" s="11" t="s">
        <v>6541</v>
      </c>
      <c r="C3385" s="14" t="str">
        <f>IFERROR(INDEX(面试清单!D:D,MATCH(3384,面试清单!P:P,0)),"")</f>
        <v/>
      </c>
      <c r="D3385" s="11" t="s">
        <v>42</v>
      </c>
      <c r="E3385" s="11" t="s">
        <v>63</v>
      </c>
      <c r="F3385" s="11" t="s">
        <v>3831</v>
      </c>
      <c r="G3385" s="15">
        <v>46153</v>
      </c>
      <c r="H3385" s="14" t="str">
        <f>IFERROR(INDEX(面试清单!H:H,MATCH(3384,面试清单!P:P,0)),"")</f>
        <v/>
      </c>
      <c r="I3385" s="13" t="s">
        <v>30</v>
      </c>
      <c r="J3385" s="14">
        <f ca="1" t="shared" si="157"/>
        <v>36</v>
      </c>
      <c r="K3385" s="14">
        <f ca="1" t="shared" si="158"/>
        <v>16</v>
      </c>
    </row>
    <row r="3386" ht="18" spans="1:11">
      <c r="A3386" s="10">
        <f t="shared" si="156"/>
        <v>3385</v>
      </c>
      <c r="B3386" s="11" t="s">
        <v>6542</v>
      </c>
      <c r="C3386" s="10" t="str">
        <f>IFERROR(INDEX(面试清单!D:D,MATCH(3385,面试清单!P:P,0)),"")</f>
        <v/>
      </c>
      <c r="D3386" s="11" t="s">
        <v>42</v>
      </c>
      <c r="E3386" s="11" t="s">
        <v>62</v>
      </c>
      <c r="F3386" s="11" t="s">
        <v>124</v>
      </c>
      <c r="G3386" s="15">
        <v>46153</v>
      </c>
      <c r="H3386" s="10" t="str">
        <f>IFERROR(INDEX(面试清单!H:H,MATCH(3385,面试清单!P:P,0)),"")</f>
        <v/>
      </c>
      <c r="I3386" s="13" t="s">
        <v>30</v>
      </c>
      <c r="J3386" s="10">
        <f ca="1" t="shared" si="157"/>
        <v>36</v>
      </c>
      <c r="K3386" s="10">
        <f ca="1" t="shared" si="158"/>
        <v>16</v>
      </c>
    </row>
    <row r="3387" ht="18" spans="1:11">
      <c r="A3387" s="14">
        <f t="shared" si="156"/>
        <v>3386</v>
      </c>
      <c r="B3387" s="11" t="s">
        <v>3088</v>
      </c>
      <c r="C3387" s="14" t="str">
        <f>IFERROR(INDEX(面试清单!D:D,MATCH(3386,面试清单!P:P,0)),"")</f>
        <v/>
      </c>
      <c r="D3387" s="11" t="s">
        <v>42</v>
      </c>
      <c r="E3387" s="11" t="s">
        <v>62</v>
      </c>
      <c r="F3387" s="11" t="s">
        <v>3826</v>
      </c>
      <c r="G3387" s="15">
        <v>46153</v>
      </c>
      <c r="H3387" s="14" t="str">
        <f>IFERROR(INDEX(面试清单!H:H,MATCH(3386,面试清单!P:P,0)),"")</f>
        <v/>
      </c>
      <c r="I3387" s="13" t="s">
        <v>30</v>
      </c>
      <c r="J3387" s="14">
        <f ca="1" t="shared" si="157"/>
        <v>36</v>
      </c>
      <c r="K3387" s="14">
        <f ca="1" t="shared" si="158"/>
        <v>16</v>
      </c>
    </row>
    <row r="3388" ht="18" spans="1:11">
      <c r="A3388" s="10">
        <f t="shared" si="156"/>
        <v>3387</v>
      </c>
      <c r="B3388" s="11" t="s">
        <v>6543</v>
      </c>
      <c r="C3388" s="10" t="str">
        <f>IFERROR(INDEX(面试清单!D:D,MATCH(3387,面试清单!P:P,0)),"")</f>
        <v/>
      </c>
      <c r="D3388" s="11" t="s">
        <v>42</v>
      </c>
      <c r="E3388" s="11" t="s">
        <v>62</v>
      </c>
      <c r="F3388" s="11" t="s">
        <v>124</v>
      </c>
      <c r="G3388" s="15">
        <v>46153</v>
      </c>
      <c r="H3388" s="10" t="str">
        <f>IFERROR(INDEX(面试清单!H:H,MATCH(3387,面试清单!P:P,0)),"")</f>
        <v/>
      </c>
      <c r="I3388" s="13" t="s">
        <v>30</v>
      </c>
      <c r="J3388" s="10">
        <f ca="1" t="shared" si="157"/>
        <v>36</v>
      </c>
      <c r="K3388" s="10">
        <f ca="1" t="shared" si="158"/>
        <v>16</v>
      </c>
    </row>
    <row r="3389" ht="18" spans="1:11">
      <c r="A3389" s="14">
        <f t="shared" si="156"/>
        <v>3388</v>
      </c>
      <c r="B3389" s="11" t="s">
        <v>6544</v>
      </c>
      <c r="C3389" s="14" t="str">
        <f>IFERROR(INDEX(面试清单!D:D,MATCH(3388,面试清单!P:P,0)),"")</f>
        <v/>
      </c>
      <c r="D3389" s="11" t="s">
        <v>42</v>
      </c>
      <c r="E3389" s="11" t="s">
        <v>62</v>
      </c>
      <c r="F3389" s="11" t="s">
        <v>3826</v>
      </c>
      <c r="G3389" s="15">
        <v>46155</v>
      </c>
      <c r="H3389" s="14" t="str">
        <f>IFERROR(INDEX(面试清单!H:H,MATCH(3388,面试清单!P:P,0)),"")</f>
        <v/>
      </c>
      <c r="I3389" s="13" t="s">
        <v>30</v>
      </c>
      <c r="J3389" s="14">
        <f ca="1" t="shared" si="157"/>
        <v>34</v>
      </c>
      <c r="K3389" s="14">
        <f ca="1" t="shared" si="158"/>
        <v>16</v>
      </c>
    </row>
    <row r="3390" ht="18" spans="1:11">
      <c r="A3390" s="10">
        <f t="shared" si="156"/>
        <v>3389</v>
      </c>
      <c r="B3390" s="11" t="s">
        <v>6545</v>
      </c>
      <c r="C3390" s="10" t="str">
        <f>IFERROR(INDEX(面试清单!D:D,MATCH(3389,面试清单!P:P,0)),"")</f>
        <v/>
      </c>
      <c r="D3390" s="11" t="s">
        <v>43</v>
      </c>
      <c r="E3390" s="11" t="s">
        <v>62</v>
      </c>
      <c r="F3390" s="11" t="s">
        <v>124</v>
      </c>
      <c r="G3390" s="15">
        <v>46154</v>
      </c>
      <c r="H3390" s="10" t="str">
        <f>IFERROR(INDEX(面试清单!H:H,MATCH(3389,面试清单!P:P,0)),"")</f>
        <v/>
      </c>
      <c r="I3390" s="13" t="s">
        <v>30</v>
      </c>
      <c r="J3390" s="10">
        <f ca="1" t="shared" si="157"/>
        <v>35</v>
      </c>
      <c r="K3390" s="10">
        <f ca="1" t="shared" si="158"/>
        <v>16</v>
      </c>
    </row>
    <row r="3391" ht="18" spans="1:11">
      <c r="A3391" s="14">
        <f t="shared" si="156"/>
        <v>3390</v>
      </c>
      <c r="B3391" s="11" t="s">
        <v>6546</v>
      </c>
      <c r="C3391" s="14" t="str">
        <f>IFERROR(INDEX(面试清单!D:D,MATCH(3390,面试清单!P:P,0)),"")</f>
        <v/>
      </c>
      <c r="D3391" s="11" t="s">
        <v>43</v>
      </c>
      <c r="E3391" s="11" t="s">
        <v>62</v>
      </c>
      <c r="F3391" s="11" t="s">
        <v>124</v>
      </c>
      <c r="G3391" s="15">
        <v>46154</v>
      </c>
      <c r="H3391" s="14" t="str">
        <f>IFERROR(INDEX(面试清单!H:H,MATCH(3390,面试清单!P:P,0)),"")</f>
        <v/>
      </c>
      <c r="I3391" s="13" t="s">
        <v>30</v>
      </c>
      <c r="J3391" s="14">
        <f ca="1" t="shared" si="157"/>
        <v>35</v>
      </c>
      <c r="K3391" s="14">
        <f ca="1" t="shared" si="158"/>
        <v>16</v>
      </c>
    </row>
    <row r="3392" ht="18" spans="1:11">
      <c r="A3392" s="10">
        <f t="shared" si="156"/>
        <v>3391</v>
      </c>
      <c r="B3392" s="11" t="s">
        <v>6547</v>
      </c>
      <c r="C3392" s="10" t="str">
        <f>IFERROR(INDEX(面试清单!D:D,MATCH(3391,面试清单!P:P,0)),"")</f>
        <v/>
      </c>
      <c r="D3392" s="11" t="s">
        <v>42</v>
      </c>
      <c r="E3392" s="11" t="s">
        <v>62</v>
      </c>
      <c r="F3392" s="11" t="s">
        <v>124</v>
      </c>
      <c r="G3392" s="15">
        <v>46154</v>
      </c>
      <c r="H3392" s="10" t="str">
        <f>IFERROR(INDEX(面试清单!H:H,MATCH(3391,面试清单!P:P,0)),"")</f>
        <v/>
      </c>
      <c r="I3392" s="13" t="s">
        <v>30</v>
      </c>
      <c r="J3392" s="10">
        <f ca="1" t="shared" si="157"/>
        <v>35</v>
      </c>
      <c r="K3392" s="10">
        <f ca="1" t="shared" si="158"/>
        <v>16</v>
      </c>
    </row>
    <row r="3393" ht="18" spans="1:11">
      <c r="A3393" s="14">
        <f t="shared" si="156"/>
        <v>3392</v>
      </c>
      <c r="B3393" s="11" t="s">
        <v>6548</v>
      </c>
      <c r="C3393" s="14" t="str">
        <f>IFERROR(INDEX(面试清单!D:D,MATCH(3392,面试清单!P:P,0)),"")</f>
        <v/>
      </c>
      <c r="D3393" s="11" t="s">
        <v>42</v>
      </c>
      <c r="E3393" s="11" t="s">
        <v>62</v>
      </c>
      <c r="F3393" s="11" t="s">
        <v>124</v>
      </c>
      <c r="G3393" s="15">
        <v>46155</v>
      </c>
      <c r="H3393" s="14" t="str">
        <f>IFERROR(INDEX(面试清单!H:H,MATCH(3392,面试清单!P:P,0)),"")</f>
        <v/>
      </c>
      <c r="I3393" s="13" t="s">
        <v>30</v>
      </c>
      <c r="J3393" s="14">
        <f ca="1" t="shared" si="157"/>
        <v>34</v>
      </c>
      <c r="K3393" s="14">
        <f ca="1" t="shared" si="158"/>
        <v>16</v>
      </c>
    </row>
    <row r="3394" ht="18" spans="1:11">
      <c r="A3394" s="10">
        <f t="shared" ref="A3394:A3457" si="159">IF(B3394&lt;&gt;"",ROW()-1,"")</f>
        <v>3393</v>
      </c>
      <c r="B3394" s="11" t="s">
        <v>6549</v>
      </c>
      <c r="C3394" s="10" t="str">
        <f>IFERROR(INDEX(面试清单!D:D,MATCH(3393,面试清单!P:P,0)),"")</f>
        <v/>
      </c>
      <c r="D3394" s="11" t="s">
        <v>42</v>
      </c>
      <c r="E3394" s="11" t="s">
        <v>63</v>
      </c>
      <c r="F3394" s="11" t="s">
        <v>124</v>
      </c>
      <c r="G3394" s="15">
        <v>46155</v>
      </c>
      <c r="H3394" s="10" t="str">
        <f>IFERROR(INDEX(面试清单!H:H,MATCH(3393,面试清单!P:P,0)),"")</f>
        <v/>
      </c>
      <c r="I3394" s="13" t="s">
        <v>30</v>
      </c>
      <c r="J3394" s="10">
        <f ca="1" t="shared" ref="J3394:J3457" si="160">IF(G3394&lt;&gt;"",TODAY()-G3394,"")</f>
        <v>34</v>
      </c>
      <c r="K3394" s="10">
        <f ca="1" t="shared" ref="K3394:K3457" si="161">IF(G3394&lt;&gt;"",MAX(0,MIN(TODAY(),EOMONTH(TODAY(),0))-MAX(G3394,EOMONTH(TODAY(),-1)+1)+1),"")</f>
        <v>16</v>
      </c>
    </row>
    <row r="3395" ht="18" spans="1:11">
      <c r="A3395" s="14">
        <f t="shared" si="159"/>
        <v>3394</v>
      </c>
      <c r="B3395" s="11" t="s">
        <v>6550</v>
      </c>
      <c r="C3395" s="14" t="str">
        <f>IFERROR(INDEX(面试清单!D:D,MATCH(3394,面试清单!P:P,0)),"")</f>
        <v/>
      </c>
      <c r="D3395" s="11" t="s">
        <v>43</v>
      </c>
      <c r="E3395" s="11" t="s">
        <v>62</v>
      </c>
      <c r="F3395" s="11" t="s">
        <v>124</v>
      </c>
      <c r="G3395" s="15">
        <v>46155</v>
      </c>
      <c r="H3395" s="14" t="str">
        <f>IFERROR(INDEX(面试清单!H:H,MATCH(3394,面试清单!P:P,0)),"")</f>
        <v/>
      </c>
      <c r="I3395" s="13" t="s">
        <v>30</v>
      </c>
      <c r="J3395" s="14">
        <f ca="1" t="shared" si="160"/>
        <v>34</v>
      </c>
      <c r="K3395" s="14">
        <f ca="1" t="shared" si="161"/>
        <v>16</v>
      </c>
    </row>
    <row r="3396" ht="18" spans="1:11">
      <c r="A3396" s="10">
        <f t="shared" si="159"/>
        <v>3395</v>
      </c>
      <c r="B3396" s="11" t="s">
        <v>6551</v>
      </c>
      <c r="C3396" s="10" t="str">
        <f>IFERROR(INDEX(面试清单!D:D,MATCH(3395,面试清单!P:P,0)),"")</f>
        <v/>
      </c>
      <c r="D3396" s="11" t="s">
        <v>43</v>
      </c>
      <c r="E3396" s="11" t="s">
        <v>62</v>
      </c>
      <c r="F3396" s="11" t="s">
        <v>124</v>
      </c>
      <c r="G3396" s="15">
        <v>46156</v>
      </c>
      <c r="H3396" s="10" t="str">
        <f>IFERROR(INDEX(面试清单!H:H,MATCH(3395,面试清单!P:P,0)),"")</f>
        <v/>
      </c>
      <c r="I3396" s="13" t="s">
        <v>30</v>
      </c>
      <c r="J3396" s="10">
        <f ca="1" t="shared" si="160"/>
        <v>33</v>
      </c>
      <c r="K3396" s="10">
        <f ca="1" t="shared" si="161"/>
        <v>16</v>
      </c>
    </row>
    <row r="3397" ht="18" spans="1:11">
      <c r="A3397" s="14">
        <f t="shared" si="159"/>
        <v>3396</v>
      </c>
      <c r="B3397" s="11" t="s">
        <v>6552</v>
      </c>
      <c r="C3397" s="14" t="str">
        <f>IFERROR(INDEX(面试清单!D:D,MATCH(3396,面试清单!P:P,0)),"")</f>
        <v/>
      </c>
      <c r="D3397" s="11" t="s">
        <v>42</v>
      </c>
      <c r="E3397" s="11" t="s">
        <v>62</v>
      </c>
      <c r="F3397" s="11" t="s">
        <v>124</v>
      </c>
      <c r="G3397" s="15">
        <v>46156</v>
      </c>
      <c r="H3397" s="14" t="str">
        <f>IFERROR(INDEX(面试清单!H:H,MATCH(3396,面试清单!P:P,0)),"")</f>
        <v/>
      </c>
      <c r="I3397" s="13" t="s">
        <v>30</v>
      </c>
      <c r="J3397" s="14">
        <f ca="1" t="shared" si="160"/>
        <v>33</v>
      </c>
      <c r="K3397" s="14">
        <f ca="1" t="shared" si="161"/>
        <v>16</v>
      </c>
    </row>
    <row r="3398" ht="18" spans="1:11">
      <c r="A3398" s="10">
        <f t="shared" si="159"/>
        <v>3397</v>
      </c>
      <c r="B3398" s="11" t="s">
        <v>6553</v>
      </c>
      <c r="C3398" s="10" t="str">
        <f>IFERROR(INDEX(面试清单!D:D,MATCH(3397,面试清单!P:P,0)),"")</f>
        <v/>
      </c>
      <c r="D3398" s="11" t="s">
        <v>42</v>
      </c>
      <c r="E3398" s="11" t="s">
        <v>62</v>
      </c>
      <c r="F3398" s="11" t="s">
        <v>3826</v>
      </c>
      <c r="G3398" s="15">
        <v>46156</v>
      </c>
      <c r="H3398" s="10" t="str">
        <f>IFERROR(INDEX(面试清单!H:H,MATCH(3397,面试清单!P:P,0)),"")</f>
        <v/>
      </c>
      <c r="I3398" s="13" t="s">
        <v>30</v>
      </c>
      <c r="J3398" s="10">
        <f ca="1" t="shared" si="160"/>
        <v>33</v>
      </c>
      <c r="K3398" s="10">
        <f ca="1" t="shared" si="161"/>
        <v>16</v>
      </c>
    </row>
    <row r="3399" ht="18" spans="1:11">
      <c r="A3399" s="14">
        <f t="shared" si="159"/>
        <v>3398</v>
      </c>
      <c r="B3399" s="11" t="s">
        <v>6554</v>
      </c>
      <c r="C3399" s="14" t="str">
        <f>IFERROR(INDEX(面试清单!D:D,MATCH(3398,面试清单!P:P,0)),"")</f>
        <v/>
      </c>
      <c r="D3399" s="11" t="s">
        <v>42</v>
      </c>
      <c r="E3399" s="11" t="s">
        <v>62</v>
      </c>
      <c r="F3399" s="11" t="s">
        <v>3826</v>
      </c>
      <c r="G3399" s="15">
        <v>46156</v>
      </c>
      <c r="H3399" s="14" t="str">
        <f>IFERROR(INDEX(面试清单!H:H,MATCH(3398,面试清单!P:P,0)),"")</f>
        <v/>
      </c>
      <c r="I3399" s="13" t="s">
        <v>30</v>
      </c>
      <c r="J3399" s="14">
        <f ca="1" t="shared" si="160"/>
        <v>33</v>
      </c>
      <c r="K3399" s="14">
        <f ca="1" t="shared" si="161"/>
        <v>16</v>
      </c>
    </row>
    <row r="3400" ht="18" spans="1:11">
      <c r="A3400" s="10">
        <f t="shared" si="159"/>
        <v>3399</v>
      </c>
      <c r="B3400" s="11" t="s">
        <v>6555</v>
      </c>
      <c r="C3400" s="10" t="str">
        <f>IFERROR(INDEX(面试清单!D:D,MATCH(3399,面试清单!P:P,0)),"")</f>
        <v/>
      </c>
      <c r="D3400" s="11" t="s">
        <v>42</v>
      </c>
      <c r="E3400" s="11" t="s">
        <v>62</v>
      </c>
      <c r="F3400" s="11" t="s">
        <v>3826</v>
      </c>
      <c r="G3400" s="15">
        <v>46156</v>
      </c>
      <c r="H3400" s="10" t="str">
        <f>IFERROR(INDEX(面试清单!H:H,MATCH(3399,面试清单!P:P,0)),"")</f>
        <v/>
      </c>
      <c r="I3400" s="13" t="s">
        <v>30</v>
      </c>
      <c r="J3400" s="10">
        <f ca="1" t="shared" si="160"/>
        <v>33</v>
      </c>
      <c r="K3400" s="10">
        <f ca="1" t="shared" si="161"/>
        <v>16</v>
      </c>
    </row>
    <row r="3401" ht="18" spans="1:11">
      <c r="A3401" s="14">
        <f t="shared" si="159"/>
        <v>3400</v>
      </c>
      <c r="B3401" s="11" t="s">
        <v>6556</v>
      </c>
      <c r="C3401" s="14" t="str">
        <f>IFERROR(INDEX(面试清单!D:D,MATCH(3400,面试清单!P:P,0)),"")</f>
        <v/>
      </c>
      <c r="D3401" s="11" t="s">
        <v>43</v>
      </c>
      <c r="E3401" s="11" t="s">
        <v>63</v>
      </c>
      <c r="F3401" s="11" t="s">
        <v>124</v>
      </c>
      <c r="G3401" s="15">
        <v>46156</v>
      </c>
      <c r="H3401" s="14" t="str">
        <f>IFERROR(INDEX(面试清单!H:H,MATCH(3400,面试清单!P:P,0)),"")</f>
        <v/>
      </c>
      <c r="I3401" s="13" t="s">
        <v>30</v>
      </c>
      <c r="J3401" s="14">
        <f ca="1" t="shared" si="160"/>
        <v>33</v>
      </c>
      <c r="K3401" s="14">
        <f ca="1" t="shared" si="161"/>
        <v>16</v>
      </c>
    </row>
    <row r="3402" ht="18" spans="1:11">
      <c r="A3402" s="10">
        <f t="shared" si="159"/>
        <v>3401</v>
      </c>
      <c r="B3402" s="11" t="s">
        <v>6557</v>
      </c>
      <c r="C3402" s="10" t="str">
        <f>IFERROR(INDEX(面试清单!D:D,MATCH(3401,面试清单!P:P,0)),"")</f>
        <v/>
      </c>
      <c r="D3402" s="11" t="s">
        <v>42</v>
      </c>
      <c r="E3402" s="11" t="s">
        <v>63</v>
      </c>
      <c r="F3402" s="11" t="s">
        <v>124</v>
      </c>
      <c r="G3402" s="15">
        <v>46157</v>
      </c>
      <c r="H3402" s="10" t="str">
        <f>IFERROR(INDEX(面试清单!H:H,MATCH(3401,面试清单!P:P,0)),"")</f>
        <v/>
      </c>
      <c r="I3402" s="13" t="s">
        <v>30</v>
      </c>
      <c r="J3402" s="10">
        <f ca="1" t="shared" si="160"/>
        <v>32</v>
      </c>
      <c r="K3402" s="10">
        <f ca="1" t="shared" si="161"/>
        <v>16</v>
      </c>
    </row>
    <row r="3403" ht="18" spans="1:11">
      <c r="A3403" s="14">
        <f t="shared" si="159"/>
        <v>3402</v>
      </c>
      <c r="B3403" s="11" t="s">
        <v>6558</v>
      </c>
      <c r="C3403" s="124" t="str">
        <f>IFERROR(INDEX(面试清单!D:D,MATCH(3402,面试清单!P:P,0)),"")</f>
        <v>0209</v>
      </c>
      <c r="D3403" s="11" t="s">
        <v>42</v>
      </c>
      <c r="E3403" s="11" t="s">
        <v>63</v>
      </c>
      <c r="F3403" s="11" t="s">
        <v>3826</v>
      </c>
      <c r="G3403" s="15">
        <v>46157</v>
      </c>
      <c r="H3403" s="14" t="str">
        <f>IFERROR(INDEX(面试清单!H:H,MATCH(3402,面试清单!P:P,0)),"")</f>
        <v>线下</v>
      </c>
      <c r="I3403" s="13" t="s">
        <v>30</v>
      </c>
      <c r="J3403" s="14">
        <f ca="1" t="shared" si="160"/>
        <v>32</v>
      </c>
      <c r="K3403" s="14">
        <f ca="1" t="shared" si="161"/>
        <v>16</v>
      </c>
    </row>
    <row r="3404" ht="18" spans="1:11">
      <c r="A3404" s="10">
        <f t="shared" si="159"/>
        <v>3403</v>
      </c>
      <c r="B3404" s="11" t="s">
        <v>6559</v>
      </c>
      <c r="C3404" s="125" t="str">
        <f>IFERROR(INDEX(面试清单!D:D,MATCH(3403,面试清单!P:P,0)),"")</f>
        <v>0212</v>
      </c>
      <c r="D3404" s="11" t="s">
        <v>42</v>
      </c>
      <c r="E3404" s="11" t="s">
        <v>63</v>
      </c>
      <c r="F3404" s="11" t="s">
        <v>3826</v>
      </c>
      <c r="G3404" s="15">
        <v>46157</v>
      </c>
      <c r="H3404" s="10" t="str">
        <f>IFERROR(INDEX(面试清单!H:H,MATCH(3403,面试清单!P:P,0)),"")</f>
        <v>线下</v>
      </c>
      <c r="I3404" s="13" t="s">
        <v>30</v>
      </c>
      <c r="J3404" s="10">
        <f ca="1" t="shared" si="160"/>
        <v>32</v>
      </c>
      <c r="K3404" s="10">
        <f ca="1" t="shared" si="161"/>
        <v>16</v>
      </c>
    </row>
    <row r="3405" ht="18" spans="1:11">
      <c r="A3405" s="14">
        <f t="shared" si="159"/>
        <v>3404</v>
      </c>
      <c r="B3405" s="11" t="s">
        <v>6560</v>
      </c>
      <c r="C3405" s="124" t="str">
        <f>IFERROR(INDEX(面试清单!D:D,MATCH(3404,面试清单!P:P,0)),"")</f>
        <v>0214</v>
      </c>
      <c r="D3405" s="11" t="s">
        <v>43</v>
      </c>
      <c r="E3405" s="11" t="s">
        <v>63</v>
      </c>
      <c r="F3405" s="11" t="s">
        <v>103</v>
      </c>
      <c r="G3405" s="15">
        <v>46160</v>
      </c>
      <c r="H3405" s="14" t="str">
        <f>IFERROR(INDEX(面试清单!H:H,MATCH(3404,面试清单!P:P,0)),"")</f>
        <v>线下</v>
      </c>
      <c r="I3405" s="13" t="s">
        <v>30</v>
      </c>
      <c r="J3405" s="14">
        <f ca="1" t="shared" si="160"/>
        <v>29</v>
      </c>
      <c r="K3405" s="14">
        <f ca="1" t="shared" si="161"/>
        <v>16</v>
      </c>
    </row>
    <row r="3406" ht="18" spans="1:11">
      <c r="A3406" s="10">
        <f t="shared" si="159"/>
        <v>3405</v>
      </c>
      <c r="B3406" s="11" t="s">
        <v>6561</v>
      </c>
      <c r="C3406" s="10" t="str">
        <f>IFERROR(INDEX(面试清单!D:D,MATCH(3405,面试清单!P:P,0)),"")</f>
        <v/>
      </c>
      <c r="D3406" s="11" t="s">
        <v>42</v>
      </c>
      <c r="E3406" s="11" t="s">
        <v>63</v>
      </c>
      <c r="F3406" s="11" t="s">
        <v>3826</v>
      </c>
      <c r="G3406" s="15">
        <v>46160</v>
      </c>
      <c r="H3406" s="10" t="str">
        <f>IFERROR(INDEX(面试清单!H:H,MATCH(3405,面试清单!P:P,0)),"")</f>
        <v/>
      </c>
      <c r="I3406" s="13" t="s">
        <v>30</v>
      </c>
      <c r="J3406" s="10">
        <f ca="1" t="shared" si="160"/>
        <v>29</v>
      </c>
      <c r="K3406" s="10">
        <f ca="1" t="shared" si="161"/>
        <v>16</v>
      </c>
    </row>
    <row r="3407" ht="18" spans="1:11">
      <c r="A3407" s="14">
        <f t="shared" si="159"/>
        <v>3406</v>
      </c>
      <c r="B3407" s="11" t="s">
        <v>6562</v>
      </c>
      <c r="C3407" s="14" t="str">
        <f>IFERROR(INDEX(面试清单!D:D,MATCH(3406,面试清单!P:P,0)),"")</f>
        <v/>
      </c>
      <c r="D3407" s="11" t="s">
        <v>42</v>
      </c>
      <c r="E3407" s="11" t="s">
        <v>63</v>
      </c>
      <c r="F3407" s="11" t="s">
        <v>124</v>
      </c>
      <c r="G3407" s="15">
        <v>46160</v>
      </c>
      <c r="H3407" s="14" t="str">
        <f>IFERROR(INDEX(面试清单!H:H,MATCH(3406,面试清单!P:P,0)),"")</f>
        <v/>
      </c>
      <c r="I3407" s="13" t="s">
        <v>30</v>
      </c>
      <c r="J3407" s="14">
        <f ca="1" t="shared" si="160"/>
        <v>29</v>
      </c>
      <c r="K3407" s="14">
        <f ca="1" t="shared" si="161"/>
        <v>16</v>
      </c>
    </row>
    <row r="3408" ht="18" spans="1:11">
      <c r="A3408" s="10">
        <f t="shared" si="159"/>
        <v>3407</v>
      </c>
      <c r="B3408" s="11" t="s">
        <v>6563</v>
      </c>
      <c r="C3408" s="10" t="str">
        <f>IFERROR(INDEX(面试清单!D:D,MATCH(3407,面试清单!P:P,0)),"")</f>
        <v/>
      </c>
      <c r="D3408" s="11" t="s">
        <v>42</v>
      </c>
      <c r="E3408" s="11" t="s">
        <v>62</v>
      </c>
      <c r="F3408" s="11" t="s">
        <v>124</v>
      </c>
      <c r="G3408" s="15">
        <v>46160</v>
      </c>
      <c r="H3408" s="10" t="str">
        <f>IFERROR(INDEX(面试清单!H:H,MATCH(3407,面试清单!P:P,0)),"")</f>
        <v/>
      </c>
      <c r="I3408" s="13" t="s">
        <v>30</v>
      </c>
      <c r="J3408" s="10">
        <f ca="1" t="shared" si="160"/>
        <v>29</v>
      </c>
      <c r="K3408" s="10">
        <f ca="1" t="shared" si="161"/>
        <v>16</v>
      </c>
    </row>
    <row r="3409" ht="18" spans="1:11">
      <c r="A3409" s="14">
        <f t="shared" si="159"/>
        <v>3408</v>
      </c>
      <c r="B3409" s="11" t="s">
        <v>6564</v>
      </c>
      <c r="C3409" s="14" t="str">
        <f>IFERROR(INDEX(面试清单!D:D,MATCH(3408,面试清单!P:P,0)),"")</f>
        <v/>
      </c>
      <c r="D3409" s="11" t="s">
        <v>42</v>
      </c>
      <c r="E3409" s="11" t="s">
        <v>62</v>
      </c>
      <c r="F3409" s="11" t="s">
        <v>124</v>
      </c>
      <c r="G3409" s="15">
        <v>46160</v>
      </c>
      <c r="H3409" s="14" t="str">
        <f>IFERROR(INDEX(面试清单!H:H,MATCH(3408,面试清单!P:P,0)),"")</f>
        <v/>
      </c>
      <c r="I3409" s="13" t="s">
        <v>30</v>
      </c>
      <c r="J3409" s="14">
        <f ca="1" t="shared" si="160"/>
        <v>29</v>
      </c>
      <c r="K3409" s="14">
        <f ca="1" t="shared" si="161"/>
        <v>16</v>
      </c>
    </row>
    <row r="3410" ht="18" spans="1:11">
      <c r="A3410" s="10">
        <f t="shared" si="159"/>
        <v>3409</v>
      </c>
      <c r="B3410" s="11" t="s">
        <v>6565</v>
      </c>
      <c r="C3410" s="10" t="str">
        <f>IFERROR(INDEX(面试清单!D:D,MATCH(3409,面试清单!P:P,0)),"")</f>
        <v/>
      </c>
      <c r="D3410" s="11" t="s">
        <v>42</v>
      </c>
      <c r="E3410" s="11" t="s">
        <v>63</v>
      </c>
      <c r="F3410" s="11" t="s">
        <v>3831</v>
      </c>
      <c r="G3410" s="15">
        <v>46161</v>
      </c>
      <c r="H3410" s="10" t="str">
        <f>IFERROR(INDEX(面试清单!H:H,MATCH(3409,面试清单!P:P,0)),"")</f>
        <v/>
      </c>
      <c r="I3410" s="13" t="s">
        <v>30</v>
      </c>
      <c r="J3410" s="10">
        <f ca="1" t="shared" si="160"/>
        <v>28</v>
      </c>
      <c r="K3410" s="10">
        <f ca="1" t="shared" si="161"/>
        <v>16</v>
      </c>
    </row>
    <row r="3411" ht="18" spans="1:11">
      <c r="A3411" s="14">
        <f t="shared" si="159"/>
        <v>3410</v>
      </c>
      <c r="B3411" s="11" t="s">
        <v>6566</v>
      </c>
      <c r="C3411" s="14" t="str">
        <f>IFERROR(INDEX(面试清单!D:D,MATCH(3410,面试清单!P:P,0)),"")</f>
        <v/>
      </c>
      <c r="D3411" s="11" t="s">
        <v>42</v>
      </c>
      <c r="E3411" s="11" t="s">
        <v>62</v>
      </c>
      <c r="F3411" s="11" t="s">
        <v>3826</v>
      </c>
      <c r="G3411" s="15">
        <v>46161</v>
      </c>
      <c r="H3411" s="14" t="str">
        <f>IFERROR(INDEX(面试清单!H:H,MATCH(3410,面试清单!P:P,0)),"")</f>
        <v/>
      </c>
      <c r="I3411" s="13" t="s">
        <v>30</v>
      </c>
      <c r="J3411" s="14">
        <f ca="1" t="shared" si="160"/>
        <v>28</v>
      </c>
      <c r="K3411" s="14">
        <f ca="1" t="shared" si="161"/>
        <v>16</v>
      </c>
    </row>
    <row r="3412" ht="18" spans="1:11">
      <c r="A3412" s="10">
        <f t="shared" si="159"/>
        <v>3411</v>
      </c>
      <c r="B3412" s="11" t="s">
        <v>6567</v>
      </c>
      <c r="C3412" s="10" t="str">
        <f>IFERROR(INDEX(面试清单!D:D,MATCH(3411,面试清单!P:P,0)),"")</f>
        <v/>
      </c>
      <c r="D3412" s="11" t="s">
        <v>42</v>
      </c>
      <c r="E3412" s="11" t="s">
        <v>63</v>
      </c>
      <c r="F3412" s="11" t="s">
        <v>3826</v>
      </c>
      <c r="G3412" s="15">
        <v>46161</v>
      </c>
      <c r="H3412" s="10" t="str">
        <f>IFERROR(INDEX(面试清单!H:H,MATCH(3411,面试清单!P:P,0)),"")</f>
        <v/>
      </c>
      <c r="I3412" s="13" t="s">
        <v>30</v>
      </c>
      <c r="J3412" s="10">
        <f ca="1" t="shared" si="160"/>
        <v>28</v>
      </c>
      <c r="K3412" s="10">
        <f ca="1" t="shared" si="161"/>
        <v>16</v>
      </c>
    </row>
    <row r="3413" ht="18" spans="1:11">
      <c r="A3413" s="14">
        <f t="shared" si="159"/>
        <v>3412</v>
      </c>
      <c r="B3413" s="11" t="s">
        <v>6568</v>
      </c>
      <c r="C3413" s="124" t="str">
        <f>IFERROR(INDEX(面试清单!D:D,MATCH(3412,面试清单!P:P,0)),"")</f>
        <v>0212</v>
      </c>
      <c r="D3413" s="11" t="s">
        <v>43</v>
      </c>
      <c r="E3413" s="11" t="s">
        <v>63</v>
      </c>
      <c r="F3413" s="11" t="s">
        <v>3826</v>
      </c>
      <c r="G3413" s="15">
        <v>46161</v>
      </c>
      <c r="H3413" s="14" t="str">
        <f>IFERROR(INDEX(面试清单!H:H,MATCH(3412,面试清单!P:P,0)),"")</f>
        <v>线上</v>
      </c>
      <c r="I3413" s="13" t="s">
        <v>30</v>
      </c>
      <c r="J3413" s="14">
        <f ca="1" t="shared" si="160"/>
        <v>28</v>
      </c>
      <c r="K3413" s="14">
        <f ca="1" t="shared" si="161"/>
        <v>16</v>
      </c>
    </row>
    <row r="3414" ht="18" spans="1:11">
      <c r="A3414" s="10">
        <f t="shared" si="159"/>
        <v>3413</v>
      </c>
      <c r="B3414" s="11" t="s">
        <v>6569</v>
      </c>
      <c r="C3414" s="10" t="str">
        <f>IFERROR(INDEX(面试清单!D:D,MATCH(3413,面试清单!P:P,0)),"")</f>
        <v/>
      </c>
      <c r="D3414" s="11" t="s">
        <v>43</v>
      </c>
      <c r="E3414" s="11" t="s">
        <v>62</v>
      </c>
      <c r="F3414" s="11" t="s">
        <v>3826</v>
      </c>
      <c r="G3414" s="15">
        <v>46161</v>
      </c>
      <c r="H3414" s="10" t="str">
        <f>IFERROR(INDEX(面试清单!H:H,MATCH(3413,面试清单!P:P,0)),"")</f>
        <v/>
      </c>
      <c r="I3414" s="13" t="s">
        <v>30</v>
      </c>
      <c r="J3414" s="10">
        <f ca="1" t="shared" si="160"/>
        <v>28</v>
      </c>
      <c r="K3414" s="10">
        <f ca="1" t="shared" si="161"/>
        <v>16</v>
      </c>
    </row>
    <row r="3415" ht="18" spans="1:11">
      <c r="A3415" s="14">
        <f t="shared" si="159"/>
        <v>3414</v>
      </c>
      <c r="B3415" s="11" t="s">
        <v>6570</v>
      </c>
      <c r="C3415" s="14" t="str">
        <f>IFERROR(INDEX(面试清单!D:D,MATCH(3414,面试清单!P:P,0)),"")</f>
        <v/>
      </c>
      <c r="D3415" s="11" t="s">
        <v>42</v>
      </c>
      <c r="E3415" s="11" t="s">
        <v>62</v>
      </c>
      <c r="F3415" s="11" t="s">
        <v>103</v>
      </c>
      <c r="G3415" s="15">
        <v>46161</v>
      </c>
      <c r="H3415" s="14" t="str">
        <f>IFERROR(INDEX(面试清单!H:H,MATCH(3414,面试清单!P:P,0)),"")</f>
        <v/>
      </c>
      <c r="I3415" s="13" t="s">
        <v>30</v>
      </c>
      <c r="J3415" s="14">
        <f ca="1" t="shared" si="160"/>
        <v>28</v>
      </c>
      <c r="K3415" s="14">
        <f ca="1" t="shared" si="161"/>
        <v>16</v>
      </c>
    </row>
    <row r="3416" ht="18" spans="1:11">
      <c r="A3416" s="10">
        <f t="shared" si="159"/>
        <v>3415</v>
      </c>
      <c r="B3416" s="11" t="s">
        <v>2182</v>
      </c>
      <c r="C3416" s="125" t="str">
        <f>IFERROR(INDEX(面试清单!D:D,MATCH(3415,面试清单!P:P,0)),"")</f>
        <v>0218</v>
      </c>
      <c r="D3416" s="11" t="s">
        <v>42</v>
      </c>
      <c r="E3416" s="11" t="s">
        <v>62</v>
      </c>
      <c r="F3416" s="11" t="s">
        <v>124</v>
      </c>
      <c r="G3416" s="15">
        <v>46161</v>
      </c>
      <c r="H3416" s="10" t="str">
        <f>IFERROR(INDEX(面试清单!H:H,MATCH(3415,面试清单!P:P,0)),"")</f>
        <v>线上</v>
      </c>
      <c r="I3416" s="13" t="s">
        <v>30</v>
      </c>
      <c r="J3416" s="10">
        <f ca="1" t="shared" si="160"/>
        <v>28</v>
      </c>
      <c r="K3416" s="10">
        <f ca="1" t="shared" si="161"/>
        <v>16</v>
      </c>
    </row>
    <row r="3417" ht="18" spans="1:11">
      <c r="A3417" s="14">
        <f t="shared" si="159"/>
        <v>3416</v>
      </c>
      <c r="B3417" s="11" t="s">
        <v>6571</v>
      </c>
      <c r="C3417" s="14" t="str">
        <f>IFERROR(INDEX(面试清单!D:D,MATCH(3416,面试清单!P:P,0)),"")</f>
        <v/>
      </c>
      <c r="D3417" s="11" t="s">
        <v>42</v>
      </c>
      <c r="E3417" s="11" t="s">
        <v>63</v>
      </c>
      <c r="F3417" s="11" t="s">
        <v>124</v>
      </c>
      <c r="G3417" s="15">
        <v>46162</v>
      </c>
      <c r="H3417" s="14" t="str">
        <f>IFERROR(INDEX(面试清单!H:H,MATCH(3416,面试清单!P:P,0)),"")</f>
        <v/>
      </c>
      <c r="I3417" s="13" t="s">
        <v>30</v>
      </c>
      <c r="J3417" s="14">
        <f ca="1" t="shared" si="160"/>
        <v>27</v>
      </c>
      <c r="K3417" s="14">
        <f ca="1" t="shared" si="161"/>
        <v>16</v>
      </c>
    </row>
    <row r="3418" ht="18" spans="1:11">
      <c r="A3418" s="10">
        <f t="shared" si="159"/>
        <v>3417</v>
      </c>
      <c r="B3418" s="11" t="s">
        <v>6572</v>
      </c>
      <c r="C3418" s="10" t="str">
        <f>IFERROR(INDEX(面试清单!D:D,MATCH(3417,面试清单!P:P,0)),"")</f>
        <v/>
      </c>
      <c r="D3418" s="11" t="s">
        <v>43</v>
      </c>
      <c r="E3418" s="11" t="s">
        <v>62</v>
      </c>
      <c r="F3418" s="11" t="s">
        <v>2164</v>
      </c>
      <c r="G3418" s="15">
        <v>46162</v>
      </c>
      <c r="H3418" s="10" t="str">
        <f>IFERROR(INDEX(面试清单!H:H,MATCH(3417,面试清单!P:P,0)),"")</f>
        <v/>
      </c>
      <c r="I3418" s="13" t="s">
        <v>30</v>
      </c>
      <c r="J3418" s="10">
        <f ca="1" t="shared" si="160"/>
        <v>27</v>
      </c>
      <c r="K3418" s="10">
        <f ca="1" t="shared" si="161"/>
        <v>16</v>
      </c>
    </row>
    <row r="3419" ht="18" spans="1:11">
      <c r="A3419" s="14">
        <f t="shared" si="159"/>
        <v>3418</v>
      </c>
      <c r="B3419" s="11" t="s">
        <v>5138</v>
      </c>
      <c r="C3419" s="14" t="str">
        <f>IFERROR(INDEX(面试清单!D:D,MATCH(3418,面试清单!P:P,0)),"")</f>
        <v/>
      </c>
      <c r="D3419" s="11" t="s">
        <v>42</v>
      </c>
      <c r="E3419" s="11" t="s">
        <v>62</v>
      </c>
      <c r="F3419" s="11" t="s">
        <v>3826</v>
      </c>
      <c r="G3419" s="15">
        <v>46162</v>
      </c>
      <c r="H3419" s="14" t="str">
        <f>IFERROR(INDEX(面试清单!H:H,MATCH(3418,面试清单!P:P,0)),"")</f>
        <v/>
      </c>
      <c r="I3419" s="13" t="s">
        <v>30</v>
      </c>
      <c r="J3419" s="14">
        <f ca="1" t="shared" si="160"/>
        <v>27</v>
      </c>
      <c r="K3419" s="14">
        <f ca="1" t="shared" si="161"/>
        <v>16</v>
      </c>
    </row>
    <row r="3420" ht="18" spans="1:11">
      <c r="A3420" s="10">
        <f t="shared" si="159"/>
        <v>3419</v>
      </c>
      <c r="B3420" s="11" t="s">
        <v>6573</v>
      </c>
      <c r="C3420" s="10" t="str">
        <f>IFERROR(INDEX(面试清单!D:D,MATCH(3419,面试清单!P:P,0)),"")</f>
        <v/>
      </c>
      <c r="D3420" s="11" t="s">
        <v>43</v>
      </c>
      <c r="E3420" s="11" t="s">
        <v>62</v>
      </c>
      <c r="F3420" s="11" t="s">
        <v>3826</v>
      </c>
      <c r="G3420" s="15">
        <v>46162</v>
      </c>
      <c r="H3420" s="10" t="str">
        <f>IFERROR(INDEX(面试清单!H:H,MATCH(3419,面试清单!P:P,0)),"")</f>
        <v/>
      </c>
      <c r="I3420" s="13" t="s">
        <v>30</v>
      </c>
      <c r="J3420" s="10">
        <f ca="1" t="shared" si="160"/>
        <v>27</v>
      </c>
      <c r="K3420" s="10">
        <f ca="1" t="shared" si="161"/>
        <v>16</v>
      </c>
    </row>
    <row r="3421" ht="18" spans="1:11">
      <c r="A3421" s="14">
        <f t="shared" si="159"/>
        <v>3420</v>
      </c>
      <c r="B3421" s="11" t="s">
        <v>6574</v>
      </c>
      <c r="C3421" s="14" t="str">
        <f>IFERROR(INDEX(面试清单!D:D,MATCH(3420,面试清单!P:P,0)),"")</f>
        <v/>
      </c>
      <c r="D3421" s="11" t="s">
        <v>43</v>
      </c>
      <c r="E3421" s="11" t="s">
        <v>63</v>
      </c>
      <c r="F3421" s="11" t="s">
        <v>3826</v>
      </c>
      <c r="G3421" s="15">
        <v>46162</v>
      </c>
      <c r="H3421" s="14" t="str">
        <f>IFERROR(INDEX(面试清单!H:H,MATCH(3420,面试清单!P:P,0)),"")</f>
        <v/>
      </c>
      <c r="I3421" s="13" t="s">
        <v>30</v>
      </c>
      <c r="J3421" s="14">
        <f ca="1" t="shared" si="160"/>
        <v>27</v>
      </c>
      <c r="K3421" s="14">
        <f ca="1" t="shared" si="161"/>
        <v>16</v>
      </c>
    </row>
    <row r="3422" ht="18" spans="1:11">
      <c r="A3422" s="10">
        <f t="shared" si="159"/>
        <v>3421</v>
      </c>
      <c r="B3422" s="11" t="s">
        <v>6575</v>
      </c>
      <c r="C3422" s="10" t="str">
        <f>IFERROR(INDEX(面试清单!D:D,MATCH(3421,面试清单!P:P,0)),"")</f>
        <v/>
      </c>
      <c r="D3422" s="11" t="s">
        <v>42</v>
      </c>
      <c r="E3422" s="11" t="s">
        <v>62</v>
      </c>
      <c r="F3422" s="11" t="s">
        <v>124</v>
      </c>
      <c r="G3422" s="15">
        <v>46163</v>
      </c>
      <c r="H3422" s="10" t="str">
        <f>IFERROR(INDEX(面试清单!H:H,MATCH(3421,面试清单!P:P,0)),"")</f>
        <v/>
      </c>
      <c r="I3422" s="13" t="s">
        <v>30</v>
      </c>
      <c r="J3422" s="10">
        <f ca="1" t="shared" si="160"/>
        <v>26</v>
      </c>
      <c r="K3422" s="10">
        <f ca="1" t="shared" si="161"/>
        <v>16</v>
      </c>
    </row>
    <row r="3423" ht="18" spans="1:11">
      <c r="A3423" s="14">
        <f t="shared" si="159"/>
        <v>3422</v>
      </c>
      <c r="B3423" s="11" t="s">
        <v>6576</v>
      </c>
      <c r="C3423" s="14" t="str">
        <f>IFERROR(INDEX(面试清单!D:D,MATCH(3422,面试清单!P:P,0)),"")</f>
        <v/>
      </c>
      <c r="D3423" s="11" t="s">
        <v>42</v>
      </c>
      <c r="E3423" s="11" t="s">
        <v>62</v>
      </c>
      <c r="F3423" s="11" t="s">
        <v>124</v>
      </c>
      <c r="G3423" s="15">
        <v>46163</v>
      </c>
      <c r="H3423" s="14" t="str">
        <f>IFERROR(INDEX(面试清单!H:H,MATCH(3422,面试清单!P:P,0)),"")</f>
        <v/>
      </c>
      <c r="I3423" s="13" t="s">
        <v>30</v>
      </c>
      <c r="J3423" s="14">
        <f ca="1" t="shared" si="160"/>
        <v>26</v>
      </c>
      <c r="K3423" s="14">
        <f ca="1" t="shared" si="161"/>
        <v>16</v>
      </c>
    </row>
    <row r="3424" ht="18" spans="1:11">
      <c r="A3424" s="10">
        <f t="shared" si="159"/>
        <v>3423</v>
      </c>
      <c r="B3424" s="11" t="s">
        <v>6577</v>
      </c>
      <c r="C3424" s="10" t="str">
        <f>IFERROR(INDEX(面试清单!D:D,MATCH(3423,面试清单!P:P,0)),"")</f>
        <v/>
      </c>
      <c r="D3424" s="11" t="s">
        <v>43</v>
      </c>
      <c r="E3424" s="11" t="s">
        <v>63</v>
      </c>
      <c r="F3424" s="11" t="s">
        <v>124</v>
      </c>
      <c r="G3424" s="15">
        <v>46163</v>
      </c>
      <c r="H3424" s="10" t="str">
        <f>IFERROR(INDEX(面试清单!H:H,MATCH(3423,面试清单!P:P,0)),"")</f>
        <v/>
      </c>
      <c r="I3424" s="13" t="s">
        <v>30</v>
      </c>
      <c r="J3424" s="10">
        <f ca="1" t="shared" si="160"/>
        <v>26</v>
      </c>
      <c r="K3424" s="10">
        <f ca="1" t="shared" si="161"/>
        <v>16</v>
      </c>
    </row>
    <row r="3425" ht="18" spans="1:11">
      <c r="A3425" s="14">
        <f t="shared" si="159"/>
        <v>3424</v>
      </c>
      <c r="B3425" s="11" t="s">
        <v>6578</v>
      </c>
      <c r="C3425" s="124" t="str">
        <f>IFERROR(INDEX(面试清单!D:D,MATCH(3424,面试清单!P:P,0)),"")</f>
        <v>0217</v>
      </c>
      <c r="D3425" s="11" t="s">
        <v>42</v>
      </c>
      <c r="E3425" s="11" t="s">
        <v>62</v>
      </c>
      <c r="F3425" s="11" t="s">
        <v>124</v>
      </c>
      <c r="G3425" s="15">
        <v>46163</v>
      </c>
      <c r="H3425" s="14" t="str">
        <f>IFERROR(INDEX(面试清单!H:H,MATCH(3424,面试清单!P:P,0)),"")</f>
        <v>线上</v>
      </c>
      <c r="I3425" s="13" t="s">
        <v>30</v>
      </c>
      <c r="J3425" s="14">
        <f ca="1" t="shared" si="160"/>
        <v>26</v>
      </c>
      <c r="K3425" s="14">
        <f ca="1" t="shared" si="161"/>
        <v>16</v>
      </c>
    </row>
    <row r="3426" ht="18" spans="1:11">
      <c r="A3426" s="10">
        <f t="shared" si="159"/>
        <v>3425</v>
      </c>
      <c r="B3426" s="11" t="s">
        <v>6579</v>
      </c>
      <c r="C3426" s="10" t="str">
        <f>IFERROR(INDEX(面试清单!D:D,MATCH(3425,面试清单!P:P,0)),"")</f>
        <v/>
      </c>
      <c r="D3426" s="11" t="s">
        <v>42</v>
      </c>
      <c r="E3426" s="11" t="s">
        <v>62</v>
      </c>
      <c r="F3426" s="11" t="s">
        <v>124</v>
      </c>
      <c r="G3426" s="15">
        <v>46163</v>
      </c>
      <c r="H3426" s="10" t="str">
        <f>IFERROR(INDEX(面试清单!H:H,MATCH(3425,面试清单!P:P,0)),"")</f>
        <v/>
      </c>
      <c r="I3426" s="13" t="s">
        <v>30</v>
      </c>
      <c r="J3426" s="10">
        <f ca="1" t="shared" si="160"/>
        <v>26</v>
      </c>
      <c r="K3426" s="10">
        <f ca="1" t="shared" si="161"/>
        <v>16</v>
      </c>
    </row>
    <row r="3427" ht="18" spans="1:11">
      <c r="A3427" s="14">
        <f t="shared" si="159"/>
        <v>3426</v>
      </c>
      <c r="B3427" s="11" t="s">
        <v>6580</v>
      </c>
      <c r="C3427" s="14" t="str">
        <f>IFERROR(INDEX(面试清单!D:D,MATCH(3426,面试清单!P:P,0)),"")</f>
        <v/>
      </c>
      <c r="D3427" s="11" t="s">
        <v>42</v>
      </c>
      <c r="E3427" s="11" t="s">
        <v>63</v>
      </c>
      <c r="F3427" s="11" t="s">
        <v>3826</v>
      </c>
      <c r="G3427" s="15">
        <v>46163</v>
      </c>
      <c r="H3427" s="14" t="str">
        <f>IFERROR(INDEX(面试清单!H:H,MATCH(3426,面试清单!P:P,0)),"")</f>
        <v/>
      </c>
      <c r="I3427" s="13" t="s">
        <v>30</v>
      </c>
      <c r="J3427" s="14">
        <f ca="1" t="shared" si="160"/>
        <v>26</v>
      </c>
      <c r="K3427" s="14">
        <f ca="1" t="shared" si="161"/>
        <v>16</v>
      </c>
    </row>
    <row r="3428" ht="18" spans="1:11">
      <c r="A3428" s="10">
        <f t="shared" si="159"/>
        <v>3427</v>
      </c>
      <c r="B3428" s="11" t="s">
        <v>6581</v>
      </c>
      <c r="C3428" s="10" t="str">
        <f>IFERROR(INDEX(面试清单!D:D,MATCH(3427,面试清单!P:P,0)),"")</f>
        <v/>
      </c>
      <c r="D3428" s="11" t="s">
        <v>42</v>
      </c>
      <c r="E3428" s="11" t="s">
        <v>63</v>
      </c>
      <c r="F3428" s="11" t="s">
        <v>3826</v>
      </c>
      <c r="G3428" s="15">
        <v>46163</v>
      </c>
      <c r="H3428" s="10" t="str">
        <f>IFERROR(INDEX(面试清单!H:H,MATCH(3427,面试清单!P:P,0)),"")</f>
        <v/>
      </c>
      <c r="I3428" s="13" t="s">
        <v>30</v>
      </c>
      <c r="J3428" s="10">
        <f ca="1" t="shared" si="160"/>
        <v>26</v>
      </c>
      <c r="K3428" s="10">
        <f ca="1" t="shared" si="161"/>
        <v>16</v>
      </c>
    </row>
    <row r="3429" ht="18" spans="1:11">
      <c r="A3429" s="14">
        <f t="shared" si="159"/>
        <v>3428</v>
      </c>
      <c r="B3429" s="11" t="s">
        <v>6582</v>
      </c>
      <c r="C3429" s="14" t="str">
        <f>IFERROR(INDEX(面试清单!D:D,MATCH(3428,面试清单!P:P,0)),"")</f>
        <v/>
      </c>
      <c r="D3429" s="11" t="s">
        <v>43</v>
      </c>
      <c r="E3429" s="11" t="s">
        <v>63</v>
      </c>
      <c r="F3429" s="11" t="s">
        <v>3826</v>
      </c>
      <c r="G3429" s="15">
        <v>46163</v>
      </c>
      <c r="H3429" s="14" t="str">
        <f>IFERROR(INDEX(面试清单!H:H,MATCH(3428,面试清单!P:P,0)),"")</f>
        <v/>
      </c>
      <c r="I3429" s="13" t="s">
        <v>30</v>
      </c>
      <c r="J3429" s="14">
        <f ca="1" t="shared" si="160"/>
        <v>26</v>
      </c>
      <c r="K3429" s="14">
        <f ca="1" t="shared" si="161"/>
        <v>16</v>
      </c>
    </row>
    <row r="3430" ht="18" spans="1:11">
      <c r="A3430" s="10">
        <f t="shared" si="159"/>
        <v>3429</v>
      </c>
      <c r="B3430" s="11" t="s">
        <v>6583</v>
      </c>
      <c r="C3430" s="10" t="str">
        <f>IFERROR(INDEX(面试清单!D:D,MATCH(3429,面试清单!P:P,0)),"")</f>
        <v/>
      </c>
      <c r="D3430" s="11" t="s">
        <v>42</v>
      </c>
      <c r="E3430" s="11" t="s">
        <v>62</v>
      </c>
      <c r="F3430" s="11" t="s">
        <v>2164</v>
      </c>
      <c r="G3430" s="15">
        <v>46163</v>
      </c>
      <c r="H3430" s="10" t="str">
        <f>IFERROR(INDEX(面试清单!H:H,MATCH(3429,面试清单!P:P,0)),"")</f>
        <v/>
      </c>
      <c r="I3430" s="13" t="s">
        <v>30</v>
      </c>
      <c r="J3430" s="10">
        <f ca="1" t="shared" si="160"/>
        <v>26</v>
      </c>
      <c r="K3430" s="10">
        <f ca="1" t="shared" si="161"/>
        <v>16</v>
      </c>
    </row>
    <row r="3431" ht="18" spans="1:11">
      <c r="A3431" s="14">
        <f t="shared" si="159"/>
        <v>3430</v>
      </c>
      <c r="B3431" s="11" t="s">
        <v>6584</v>
      </c>
      <c r="C3431" s="14" t="str">
        <f>IFERROR(INDEX(面试清单!D:D,MATCH(3430,面试清单!P:P,0)),"")</f>
        <v/>
      </c>
      <c r="D3431" s="11" t="s">
        <v>43</v>
      </c>
      <c r="E3431" s="11" t="s">
        <v>63</v>
      </c>
      <c r="F3431" s="11" t="s">
        <v>2164</v>
      </c>
      <c r="G3431" s="15">
        <v>46163</v>
      </c>
      <c r="H3431" s="14" t="str">
        <f>IFERROR(INDEX(面试清单!H:H,MATCH(3430,面试清单!P:P,0)),"")</f>
        <v/>
      </c>
      <c r="I3431" s="13" t="s">
        <v>30</v>
      </c>
      <c r="J3431" s="14">
        <f ca="1" t="shared" si="160"/>
        <v>26</v>
      </c>
      <c r="K3431" s="14">
        <f ca="1" t="shared" si="161"/>
        <v>16</v>
      </c>
    </row>
    <row r="3432" ht="18" spans="1:11">
      <c r="A3432" s="10">
        <f t="shared" si="159"/>
        <v>3431</v>
      </c>
      <c r="B3432" s="11" t="s">
        <v>6585</v>
      </c>
      <c r="C3432" s="10" t="str">
        <f>IFERROR(INDEX(面试清单!D:D,MATCH(3431,面试清单!P:P,0)),"")</f>
        <v/>
      </c>
      <c r="D3432" s="11" t="s">
        <v>42</v>
      </c>
      <c r="E3432" s="11" t="s">
        <v>63</v>
      </c>
      <c r="F3432" s="11" t="s">
        <v>2221</v>
      </c>
      <c r="G3432" s="15">
        <v>46163</v>
      </c>
      <c r="H3432" s="10" t="str">
        <f>IFERROR(INDEX(面试清单!H:H,MATCH(3431,面试清单!P:P,0)),"")</f>
        <v/>
      </c>
      <c r="I3432" s="13" t="s">
        <v>30</v>
      </c>
      <c r="J3432" s="10">
        <f ca="1" t="shared" si="160"/>
        <v>26</v>
      </c>
      <c r="K3432" s="10">
        <f ca="1" t="shared" si="161"/>
        <v>16</v>
      </c>
    </row>
    <row r="3433" ht="18" spans="1:11">
      <c r="A3433" s="14">
        <f t="shared" si="159"/>
        <v>3432</v>
      </c>
      <c r="B3433" s="11" t="s">
        <v>6586</v>
      </c>
      <c r="C3433" s="14" t="str">
        <f>IFERROR(INDEX(面试清单!D:D,MATCH(3432,面试清单!P:P,0)),"")</f>
        <v/>
      </c>
      <c r="D3433" s="11" t="s">
        <v>42</v>
      </c>
      <c r="E3433" s="11" t="s">
        <v>63</v>
      </c>
      <c r="F3433" s="11" t="s">
        <v>2221</v>
      </c>
      <c r="G3433" s="15">
        <v>46164</v>
      </c>
      <c r="H3433" s="14" t="str">
        <f>IFERROR(INDEX(面试清单!H:H,MATCH(3432,面试清单!P:P,0)),"")</f>
        <v/>
      </c>
      <c r="I3433" s="13" t="s">
        <v>30</v>
      </c>
      <c r="J3433" s="14">
        <f ca="1" t="shared" si="160"/>
        <v>25</v>
      </c>
      <c r="K3433" s="14">
        <f ca="1" t="shared" si="161"/>
        <v>16</v>
      </c>
    </row>
    <row r="3434" ht="18" spans="1:11">
      <c r="A3434" s="10">
        <f t="shared" si="159"/>
        <v>3433</v>
      </c>
      <c r="B3434" s="11" t="s">
        <v>6587</v>
      </c>
      <c r="C3434" s="10" t="str">
        <f>IFERROR(INDEX(面试清单!D:D,MATCH(3433,面试清单!P:P,0)),"")</f>
        <v/>
      </c>
      <c r="D3434" s="11" t="s">
        <v>42</v>
      </c>
      <c r="E3434" s="11" t="s">
        <v>62</v>
      </c>
      <c r="F3434" s="11" t="s">
        <v>2221</v>
      </c>
      <c r="G3434" s="15">
        <v>46164</v>
      </c>
      <c r="H3434" s="10" t="str">
        <f>IFERROR(INDEX(面试清单!H:H,MATCH(3433,面试清单!P:P,0)),"")</f>
        <v/>
      </c>
      <c r="I3434" s="13" t="s">
        <v>30</v>
      </c>
      <c r="J3434" s="10">
        <f ca="1" t="shared" si="160"/>
        <v>25</v>
      </c>
      <c r="K3434" s="10">
        <f ca="1" t="shared" si="161"/>
        <v>16</v>
      </c>
    </row>
    <row r="3435" ht="18" spans="1:11">
      <c r="A3435" s="14">
        <f t="shared" si="159"/>
        <v>3434</v>
      </c>
      <c r="B3435" s="11" t="s">
        <v>6588</v>
      </c>
      <c r="C3435" s="14" t="str">
        <f>IFERROR(INDEX(面试清单!D:D,MATCH(3434,面试清单!P:P,0)),"")</f>
        <v/>
      </c>
      <c r="D3435" s="11" t="s">
        <v>42</v>
      </c>
      <c r="E3435" s="11" t="s">
        <v>63</v>
      </c>
      <c r="F3435" s="11" t="s">
        <v>2221</v>
      </c>
      <c r="G3435" s="15">
        <v>46164</v>
      </c>
      <c r="H3435" s="14" t="str">
        <f>IFERROR(INDEX(面试清单!H:H,MATCH(3434,面试清单!P:P,0)),"")</f>
        <v/>
      </c>
      <c r="I3435" s="13" t="s">
        <v>30</v>
      </c>
      <c r="J3435" s="14">
        <f ca="1" t="shared" si="160"/>
        <v>25</v>
      </c>
      <c r="K3435" s="14">
        <f ca="1" t="shared" si="161"/>
        <v>16</v>
      </c>
    </row>
    <row r="3436" ht="18" spans="1:11">
      <c r="A3436" s="10">
        <f t="shared" si="159"/>
        <v>3435</v>
      </c>
      <c r="B3436" s="11" t="s">
        <v>6589</v>
      </c>
      <c r="C3436" s="10" t="str">
        <f>IFERROR(INDEX(面试清单!D:D,MATCH(3435,面试清单!P:P,0)),"")</f>
        <v/>
      </c>
      <c r="D3436" s="11" t="s">
        <v>42</v>
      </c>
      <c r="E3436" s="11" t="s">
        <v>62</v>
      </c>
      <c r="F3436" s="11" t="s">
        <v>3826</v>
      </c>
      <c r="G3436" s="15">
        <v>46164</v>
      </c>
      <c r="H3436" s="10" t="str">
        <f>IFERROR(INDEX(面试清单!H:H,MATCH(3435,面试清单!P:P,0)),"")</f>
        <v/>
      </c>
      <c r="I3436" s="13" t="s">
        <v>30</v>
      </c>
      <c r="J3436" s="10">
        <f ca="1" t="shared" si="160"/>
        <v>25</v>
      </c>
      <c r="K3436" s="10">
        <f ca="1" t="shared" si="161"/>
        <v>16</v>
      </c>
    </row>
    <row r="3437" ht="18" spans="1:11">
      <c r="A3437" s="14">
        <f t="shared" si="159"/>
        <v>3436</v>
      </c>
      <c r="B3437" s="11" t="s">
        <v>6590</v>
      </c>
      <c r="C3437" s="14" t="str">
        <f>IFERROR(INDEX(面试清单!D:D,MATCH(3436,面试清单!P:P,0)),"")</f>
        <v/>
      </c>
      <c r="D3437" s="11" t="s">
        <v>42</v>
      </c>
      <c r="E3437" s="11" t="s">
        <v>63</v>
      </c>
      <c r="F3437" s="11" t="s">
        <v>3826</v>
      </c>
      <c r="G3437" s="15">
        <v>46164</v>
      </c>
      <c r="H3437" s="14" t="str">
        <f>IFERROR(INDEX(面试清单!H:H,MATCH(3436,面试清单!P:P,0)),"")</f>
        <v/>
      </c>
      <c r="I3437" s="13" t="s">
        <v>30</v>
      </c>
      <c r="J3437" s="14">
        <f ca="1" t="shared" si="160"/>
        <v>25</v>
      </c>
      <c r="K3437" s="14">
        <f ca="1" t="shared" si="161"/>
        <v>16</v>
      </c>
    </row>
    <row r="3438" ht="18" spans="1:11">
      <c r="A3438" s="10">
        <f t="shared" si="159"/>
        <v>3437</v>
      </c>
      <c r="B3438" s="11" t="s">
        <v>6591</v>
      </c>
      <c r="C3438" s="10" t="str">
        <f>IFERROR(INDEX(面试清单!D:D,MATCH(3437,面试清单!P:P,0)),"")</f>
        <v/>
      </c>
      <c r="D3438" s="11" t="s">
        <v>43</v>
      </c>
      <c r="E3438" s="11" t="s">
        <v>62</v>
      </c>
      <c r="F3438" s="11" t="s">
        <v>2221</v>
      </c>
      <c r="G3438" s="15">
        <v>46164</v>
      </c>
      <c r="H3438" s="10" t="str">
        <f>IFERROR(INDEX(面试清单!H:H,MATCH(3437,面试清单!P:P,0)),"")</f>
        <v/>
      </c>
      <c r="I3438" s="13" t="s">
        <v>30</v>
      </c>
      <c r="J3438" s="10">
        <f ca="1" t="shared" si="160"/>
        <v>25</v>
      </c>
      <c r="K3438" s="10">
        <f ca="1" t="shared" si="161"/>
        <v>16</v>
      </c>
    </row>
    <row r="3439" ht="18" spans="1:11">
      <c r="A3439" s="14">
        <f t="shared" si="159"/>
        <v>3438</v>
      </c>
      <c r="B3439" s="11" t="s">
        <v>6592</v>
      </c>
      <c r="C3439" s="14" t="str">
        <f>IFERROR(INDEX(面试清单!D:D,MATCH(3438,面试清单!P:P,0)),"")</f>
        <v/>
      </c>
      <c r="D3439" s="11" t="s">
        <v>42</v>
      </c>
      <c r="E3439" s="11" t="s">
        <v>63</v>
      </c>
      <c r="F3439" s="11" t="s">
        <v>2221</v>
      </c>
      <c r="G3439" s="15">
        <v>46164</v>
      </c>
      <c r="H3439" s="14" t="str">
        <f>IFERROR(INDEX(面试清单!H:H,MATCH(3438,面试清单!P:P,0)),"")</f>
        <v/>
      </c>
      <c r="I3439" s="13" t="s">
        <v>30</v>
      </c>
      <c r="J3439" s="14">
        <f ca="1" t="shared" si="160"/>
        <v>25</v>
      </c>
      <c r="K3439" s="14">
        <f ca="1" t="shared" si="161"/>
        <v>16</v>
      </c>
    </row>
    <row r="3440" ht="18" spans="1:11">
      <c r="A3440" s="10">
        <f t="shared" si="159"/>
        <v>3439</v>
      </c>
      <c r="B3440" s="11" t="s">
        <v>6593</v>
      </c>
      <c r="C3440" s="10" t="str">
        <f>IFERROR(INDEX(面试清单!D:D,MATCH(3439,面试清单!P:P,0)),"")</f>
        <v/>
      </c>
      <c r="D3440" s="11" t="s">
        <v>42</v>
      </c>
      <c r="E3440" s="11" t="s">
        <v>63</v>
      </c>
      <c r="F3440" s="11" t="s">
        <v>2221</v>
      </c>
      <c r="G3440" s="15">
        <v>46164</v>
      </c>
      <c r="H3440" s="10" t="str">
        <f>IFERROR(INDEX(面试清单!H:H,MATCH(3439,面试清单!P:P,0)),"")</f>
        <v/>
      </c>
      <c r="I3440" s="13" t="s">
        <v>30</v>
      </c>
      <c r="J3440" s="10">
        <f ca="1" t="shared" si="160"/>
        <v>25</v>
      </c>
      <c r="K3440" s="10">
        <f ca="1" t="shared" si="161"/>
        <v>16</v>
      </c>
    </row>
    <row r="3441" ht="18" spans="1:11">
      <c r="A3441" s="14">
        <f t="shared" si="159"/>
        <v>3440</v>
      </c>
      <c r="B3441" s="11" t="s">
        <v>6594</v>
      </c>
      <c r="C3441" s="14" t="str">
        <f>IFERROR(INDEX(面试清单!D:D,MATCH(3440,面试清单!P:P,0)),"")</f>
        <v/>
      </c>
      <c r="D3441" s="11" t="s">
        <v>42</v>
      </c>
      <c r="E3441" s="11" t="s">
        <v>62</v>
      </c>
      <c r="F3441" s="11" t="s">
        <v>2221</v>
      </c>
      <c r="G3441" s="15">
        <v>46164</v>
      </c>
      <c r="H3441" s="14" t="str">
        <f>IFERROR(INDEX(面试清单!H:H,MATCH(3440,面试清单!P:P,0)),"")</f>
        <v/>
      </c>
      <c r="I3441" s="13" t="s">
        <v>30</v>
      </c>
      <c r="J3441" s="14">
        <f ca="1" t="shared" si="160"/>
        <v>25</v>
      </c>
      <c r="K3441" s="14">
        <f ca="1" t="shared" si="161"/>
        <v>16</v>
      </c>
    </row>
    <row r="3442" ht="18" spans="1:11">
      <c r="A3442" s="10">
        <f t="shared" si="159"/>
        <v>3441</v>
      </c>
      <c r="B3442" s="11" t="s">
        <v>6595</v>
      </c>
      <c r="C3442" s="10" t="str">
        <f>IFERROR(INDEX(面试清单!D:D,MATCH(3441,面试清单!P:P,0)),"")</f>
        <v/>
      </c>
      <c r="D3442" s="11" t="s">
        <v>42</v>
      </c>
      <c r="E3442" s="11" t="s">
        <v>62</v>
      </c>
      <c r="F3442" s="11" t="s">
        <v>307</v>
      </c>
      <c r="G3442" s="15">
        <v>46164</v>
      </c>
      <c r="H3442" s="10" t="str">
        <f>IFERROR(INDEX(面试清单!H:H,MATCH(3441,面试清单!P:P,0)),"")</f>
        <v/>
      </c>
      <c r="I3442" s="13" t="s">
        <v>30</v>
      </c>
      <c r="J3442" s="10">
        <f ca="1" t="shared" si="160"/>
        <v>25</v>
      </c>
      <c r="K3442" s="10">
        <f ca="1" t="shared" si="161"/>
        <v>16</v>
      </c>
    </row>
    <row r="3443" ht="18" spans="1:11">
      <c r="A3443" s="14">
        <f t="shared" si="159"/>
        <v>3442</v>
      </c>
      <c r="B3443" s="11" t="s">
        <v>6596</v>
      </c>
      <c r="C3443" s="14" t="str">
        <f>IFERROR(INDEX(面试清单!D:D,MATCH(3442,面试清单!P:P,0)),"")</f>
        <v/>
      </c>
      <c r="D3443" s="11" t="s">
        <v>43</v>
      </c>
      <c r="E3443" s="11" t="s">
        <v>63</v>
      </c>
      <c r="F3443" s="11" t="s">
        <v>148</v>
      </c>
      <c r="G3443" s="15">
        <v>46164</v>
      </c>
      <c r="H3443" s="14" t="str">
        <f>IFERROR(INDEX(面试清单!H:H,MATCH(3442,面试清单!P:P,0)),"")</f>
        <v/>
      </c>
      <c r="I3443" s="13" t="s">
        <v>30</v>
      </c>
      <c r="J3443" s="14">
        <f ca="1" t="shared" si="160"/>
        <v>25</v>
      </c>
      <c r="K3443" s="14">
        <f ca="1" t="shared" si="161"/>
        <v>16</v>
      </c>
    </row>
    <row r="3444" ht="18" spans="1:11">
      <c r="A3444" s="10">
        <f t="shared" si="159"/>
        <v>3443</v>
      </c>
      <c r="B3444" s="11" t="s">
        <v>6597</v>
      </c>
      <c r="C3444" s="10" t="str">
        <f>IFERROR(INDEX(面试清单!D:D,MATCH(3443,面试清单!P:P,0)),"")</f>
        <v/>
      </c>
      <c r="D3444" s="11" t="s">
        <v>43</v>
      </c>
      <c r="E3444" s="11" t="s">
        <v>63</v>
      </c>
      <c r="F3444" s="11" t="s">
        <v>148</v>
      </c>
      <c r="G3444" s="15">
        <v>46164</v>
      </c>
      <c r="H3444" s="10" t="str">
        <f>IFERROR(INDEX(面试清单!H:H,MATCH(3443,面试清单!P:P,0)),"")</f>
        <v/>
      </c>
      <c r="I3444" s="13" t="s">
        <v>30</v>
      </c>
      <c r="J3444" s="10">
        <f ca="1" t="shared" si="160"/>
        <v>25</v>
      </c>
      <c r="K3444" s="10">
        <f ca="1" t="shared" si="161"/>
        <v>16</v>
      </c>
    </row>
    <row r="3445" ht="18" spans="1:11">
      <c r="A3445" s="14">
        <f t="shared" si="159"/>
        <v>3444</v>
      </c>
      <c r="B3445" s="11" t="s">
        <v>6598</v>
      </c>
      <c r="C3445" s="14" t="str">
        <f>IFERROR(INDEX(面试清单!D:D,MATCH(3444,面试清单!P:P,0)),"")</f>
        <v/>
      </c>
      <c r="D3445" s="11" t="s">
        <v>42</v>
      </c>
      <c r="E3445" s="11" t="s">
        <v>63</v>
      </c>
      <c r="F3445" s="11" t="s">
        <v>124</v>
      </c>
      <c r="G3445" s="15">
        <v>46164</v>
      </c>
      <c r="H3445" s="14" t="str">
        <f>IFERROR(INDEX(面试清单!H:H,MATCH(3444,面试清单!P:P,0)),"")</f>
        <v/>
      </c>
      <c r="I3445" s="13" t="s">
        <v>30</v>
      </c>
      <c r="J3445" s="14">
        <f ca="1" t="shared" si="160"/>
        <v>25</v>
      </c>
      <c r="K3445" s="14">
        <f ca="1" t="shared" si="161"/>
        <v>16</v>
      </c>
    </row>
    <row r="3446" ht="18" spans="1:11">
      <c r="A3446" s="10">
        <f t="shared" si="159"/>
        <v>3445</v>
      </c>
      <c r="B3446" s="11" t="s">
        <v>6599</v>
      </c>
      <c r="C3446" s="10" t="str">
        <f>IFERROR(INDEX(面试清单!D:D,MATCH(3445,面试清单!P:P,0)),"")</f>
        <v/>
      </c>
      <c r="D3446" s="11" t="s">
        <v>42</v>
      </c>
      <c r="E3446" s="11" t="s">
        <v>63</v>
      </c>
      <c r="F3446" s="11" t="s">
        <v>124</v>
      </c>
      <c r="G3446" s="15">
        <v>46164</v>
      </c>
      <c r="H3446" s="10" t="str">
        <f>IFERROR(INDEX(面试清单!H:H,MATCH(3445,面试清单!P:P,0)),"")</f>
        <v/>
      </c>
      <c r="I3446" s="13" t="s">
        <v>30</v>
      </c>
      <c r="J3446" s="10">
        <f ca="1" t="shared" si="160"/>
        <v>25</v>
      </c>
      <c r="K3446" s="10">
        <f ca="1" t="shared" si="161"/>
        <v>16</v>
      </c>
    </row>
    <row r="3447" ht="18" spans="1:11">
      <c r="A3447" s="14">
        <f t="shared" si="159"/>
        <v>3446</v>
      </c>
      <c r="B3447" s="11" t="s">
        <v>6600</v>
      </c>
      <c r="C3447" s="14" t="str">
        <f>IFERROR(INDEX(面试清单!D:D,MATCH(3446,面试清单!P:P,0)),"")</f>
        <v/>
      </c>
      <c r="D3447" s="11" t="s">
        <v>42</v>
      </c>
      <c r="E3447" s="11" t="s">
        <v>63</v>
      </c>
      <c r="F3447" s="11" t="s">
        <v>124</v>
      </c>
      <c r="G3447" s="15">
        <v>46164</v>
      </c>
      <c r="H3447" s="14" t="str">
        <f>IFERROR(INDEX(面试清单!H:H,MATCH(3446,面试清单!P:P,0)),"")</f>
        <v/>
      </c>
      <c r="I3447" s="13" t="s">
        <v>30</v>
      </c>
      <c r="J3447" s="14">
        <f ca="1" t="shared" si="160"/>
        <v>25</v>
      </c>
      <c r="K3447" s="14">
        <f ca="1" t="shared" si="161"/>
        <v>16</v>
      </c>
    </row>
    <row r="3448" ht="18" spans="1:11">
      <c r="A3448" s="10">
        <f t="shared" si="159"/>
        <v>3447</v>
      </c>
      <c r="B3448" s="11" t="s">
        <v>6601</v>
      </c>
      <c r="C3448" s="10" t="str">
        <f>IFERROR(INDEX(面试清单!D:D,MATCH(3447,面试清单!P:P,0)),"")</f>
        <v/>
      </c>
      <c r="D3448" s="11" t="s">
        <v>42</v>
      </c>
      <c r="E3448" s="11" t="s">
        <v>62</v>
      </c>
      <c r="F3448" s="11" t="s">
        <v>2195</v>
      </c>
      <c r="G3448" s="15">
        <v>46164</v>
      </c>
      <c r="H3448" s="10" t="str">
        <f>IFERROR(INDEX(面试清单!H:H,MATCH(3447,面试清单!P:P,0)),"")</f>
        <v/>
      </c>
      <c r="I3448" s="13" t="s">
        <v>30</v>
      </c>
      <c r="J3448" s="10">
        <f ca="1" t="shared" si="160"/>
        <v>25</v>
      </c>
      <c r="K3448" s="10">
        <f ca="1" t="shared" si="161"/>
        <v>16</v>
      </c>
    </row>
    <row r="3449" ht="18" spans="1:11">
      <c r="A3449" s="14">
        <f t="shared" si="159"/>
        <v>3448</v>
      </c>
      <c r="B3449" s="11" t="s">
        <v>6602</v>
      </c>
      <c r="C3449" s="14" t="str">
        <f>IFERROR(INDEX(面试清单!D:D,MATCH(3448,面试清单!P:P,0)),"")</f>
        <v/>
      </c>
      <c r="D3449" s="11" t="s">
        <v>43</v>
      </c>
      <c r="E3449" s="11" t="s">
        <v>64</v>
      </c>
      <c r="F3449" s="11" t="s">
        <v>2181</v>
      </c>
      <c r="G3449" s="15">
        <v>46165</v>
      </c>
      <c r="H3449" s="14" t="str">
        <f>IFERROR(INDEX(面试清单!H:H,MATCH(3448,面试清单!P:P,0)),"")</f>
        <v/>
      </c>
      <c r="I3449" s="13" t="s">
        <v>30</v>
      </c>
      <c r="J3449" s="14">
        <f ca="1" t="shared" si="160"/>
        <v>24</v>
      </c>
      <c r="K3449" s="14">
        <f ca="1" t="shared" si="161"/>
        <v>16</v>
      </c>
    </row>
    <row r="3450" ht="18" spans="1:11">
      <c r="A3450" s="10">
        <f t="shared" si="159"/>
        <v>3449</v>
      </c>
      <c r="B3450" s="11" t="s">
        <v>6603</v>
      </c>
      <c r="C3450" s="10" t="str">
        <f>IFERROR(INDEX(面试清单!D:D,MATCH(3449,面试清单!P:P,0)),"")</f>
        <v/>
      </c>
      <c r="D3450" s="11" t="s">
        <v>42</v>
      </c>
      <c r="E3450" s="11" t="s">
        <v>63</v>
      </c>
      <c r="F3450" s="11" t="s">
        <v>148</v>
      </c>
      <c r="G3450" s="15">
        <v>46165</v>
      </c>
      <c r="H3450" s="10" t="str">
        <f>IFERROR(INDEX(面试清单!H:H,MATCH(3449,面试清单!P:P,0)),"")</f>
        <v/>
      </c>
      <c r="I3450" s="13" t="s">
        <v>30</v>
      </c>
      <c r="J3450" s="10">
        <f ca="1" t="shared" si="160"/>
        <v>24</v>
      </c>
      <c r="K3450" s="10">
        <f ca="1" t="shared" si="161"/>
        <v>16</v>
      </c>
    </row>
    <row r="3451" ht="18" spans="1:11">
      <c r="A3451" s="14">
        <f t="shared" si="159"/>
        <v>3450</v>
      </c>
      <c r="B3451" s="11" t="s">
        <v>6604</v>
      </c>
      <c r="C3451" s="14" t="str">
        <f>IFERROR(INDEX(面试清单!D:D,MATCH(3450,面试清单!P:P,0)),"")</f>
        <v/>
      </c>
      <c r="D3451" s="11" t="s">
        <v>42</v>
      </c>
      <c r="E3451" s="11" t="s">
        <v>63</v>
      </c>
      <c r="F3451" s="11" t="s">
        <v>3826</v>
      </c>
      <c r="G3451" s="15">
        <v>46165</v>
      </c>
      <c r="H3451" s="14" t="str">
        <f>IFERROR(INDEX(面试清单!H:H,MATCH(3450,面试清单!P:P,0)),"")</f>
        <v/>
      </c>
      <c r="I3451" s="13" t="s">
        <v>30</v>
      </c>
      <c r="J3451" s="14">
        <f ca="1" t="shared" si="160"/>
        <v>24</v>
      </c>
      <c r="K3451" s="14">
        <f ca="1" t="shared" si="161"/>
        <v>16</v>
      </c>
    </row>
    <row r="3452" ht="18" spans="1:11">
      <c r="A3452" s="10">
        <f t="shared" si="159"/>
        <v>3451</v>
      </c>
      <c r="B3452" s="11" t="s">
        <v>6605</v>
      </c>
      <c r="C3452" s="10" t="str">
        <f>IFERROR(INDEX(面试清单!D:D,MATCH(3451,面试清单!P:P,0)),"")</f>
        <v/>
      </c>
      <c r="D3452" s="11" t="s">
        <v>42</v>
      </c>
      <c r="E3452" s="11" t="s">
        <v>63</v>
      </c>
      <c r="F3452" s="11" t="s">
        <v>3826</v>
      </c>
      <c r="G3452" s="15">
        <v>46165</v>
      </c>
      <c r="H3452" s="10" t="str">
        <f>IFERROR(INDEX(面试清单!H:H,MATCH(3451,面试清单!P:P,0)),"")</f>
        <v/>
      </c>
      <c r="I3452" s="13" t="s">
        <v>30</v>
      </c>
      <c r="J3452" s="10">
        <f ca="1" t="shared" si="160"/>
        <v>24</v>
      </c>
      <c r="K3452" s="10">
        <f ca="1" t="shared" si="161"/>
        <v>16</v>
      </c>
    </row>
    <row r="3453" ht="18" spans="1:11">
      <c r="A3453" s="14">
        <f t="shared" si="159"/>
        <v>3452</v>
      </c>
      <c r="B3453" s="11" t="s">
        <v>6606</v>
      </c>
      <c r="C3453" s="14" t="str">
        <f>IFERROR(INDEX(面试清单!D:D,MATCH(3452,面试清单!P:P,0)),"")</f>
        <v/>
      </c>
      <c r="D3453" s="11" t="s">
        <v>43</v>
      </c>
      <c r="E3453" s="11" t="s">
        <v>62</v>
      </c>
      <c r="F3453" s="11" t="s">
        <v>3826</v>
      </c>
      <c r="G3453" s="15">
        <v>46165</v>
      </c>
      <c r="H3453" s="14" t="str">
        <f>IFERROR(INDEX(面试清单!H:H,MATCH(3452,面试清单!P:P,0)),"")</f>
        <v/>
      </c>
      <c r="I3453" s="13" t="s">
        <v>30</v>
      </c>
      <c r="J3453" s="14">
        <f ca="1" t="shared" si="160"/>
        <v>24</v>
      </c>
      <c r="K3453" s="14">
        <f ca="1" t="shared" si="161"/>
        <v>16</v>
      </c>
    </row>
    <row r="3454" ht="18" spans="1:11">
      <c r="A3454" s="10">
        <f t="shared" si="159"/>
        <v>3453</v>
      </c>
      <c r="B3454" s="11" t="s">
        <v>6607</v>
      </c>
      <c r="C3454" s="10" t="str">
        <f>IFERROR(INDEX(面试清单!D:D,MATCH(3453,面试清单!P:P,0)),"")</f>
        <v/>
      </c>
      <c r="D3454" s="11" t="s">
        <v>43</v>
      </c>
      <c r="E3454" s="11" t="s">
        <v>63</v>
      </c>
      <c r="F3454" s="11" t="s">
        <v>3826</v>
      </c>
      <c r="G3454" s="15">
        <v>46165</v>
      </c>
      <c r="H3454" s="10" t="str">
        <f>IFERROR(INDEX(面试清单!H:H,MATCH(3453,面试清单!P:P,0)),"")</f>
        <v/>
      </c>
      <c r="I3454" s="13" t="s">
        <v>30</v>
      </c>
      <c r="J3454" s="10">
        <f ca="1" t="shared" si="160"/>
        <v>24</v>
      </c>
      <c r="K3454" s="10">
        <f ca="1" t="shared" si="161"/>
        <v>16</v>
      </c>
    </row>
    <row r="3455" ht="18" spans="1:11">
      <c r="A3455" s="14">
        <f t="shared" si="159"/>
        <v>3454</v>
      </c>
      <c r="B3455" s="11" t="s">
        <v>6608</v>
      </c>
      <c r="C3455" s="14" t="str">
        <f>IFERROR(INDEX(面试清单!D:D,MATCH(3454,面试清单!P:P,0)),"")</f>
        <v/>
      </c>
      <c r="D3455" s="11" t="s">
        <v>43</v>
      </c>
      <c r="E3455" s="11" t="s">
        <v>63</v>
      </c>
      <c r="F3455" s="11" t="s">
        <v>3826</v>
      </c>
      <c r="G3455" s="15">
        <v>46165</v>
      </c>
      <c r="H3455" s="14" t="str">
        <f>IFERROR(INDEX(面试清单!H:H,MATCH(3454,面试清单!P:P,0)),"")</f>
        <v/>
      </c>
      <c r="I3455" s="13" t="s">
        <v>30</v>
      </c>
      <c r="J3455" s="14">
        <f ca="1" t="shared" si="160"/>
        <v>24</v>
      </c>
      <c r="K3455" s="14">
        <f ca="1" t="shared" si="161"/>
        <v>16</v>
      </c>
    </row>
    <row r="3456" ht="18" spans="1:11">
      <c r="A3456" s="10">
        <f t="shared" si="159"/>
        <v>3455</v>
      </c>
      <c r="B3456" s="11" t="s">
        <v>6609</v>
      </c>
      <c r="C3456" s="10" t="str">
        <f>IFERROR(INDEX(面试清单!D:D,MATCH(3455,面试清单!P:P,0)),"")</f>
        <v/>
      </c>
      <c r="D3456" s="11" t="s">
        <v>42</v>
      </c>
      <c r="E3456" s="11" t="s">
        <v>63</v>
      </c>
      <c r="F3456" s="11" t="s">
        <v>3826</v>
      </c>
      <c r="G3456" s="15">
        <v>46165</v>
      </c>
      <c r="H3456" s="10" t="str">
        <f>IFERROR(INDEX(面试清单!H:H,MATCH(3455,面试清单!P:P,0)),"")</f>
        <v/>
      </c>
      <c r="I3456" s="13" t="s">
        <v>30</v>
      </c>
      <c r="J3456" s="10">
        <f ca="1" t="shared" si="160"/>
        <v>24</v>
      </c>
      <c r="K3456" s="10">
        <f ca="1" t="shared" si="161"/>
        <v>16</v>
      </c>
    </row>
    <row r="3457" ht="18" spans="1:11">
      <c r="A3457" s="14">
        <f t="shared" si="159"/>
        <v>3456</v>
      </c>
      <c r="B3457" s="11" t="s">
        <v>6610</v>
      </c>
      <c r="C3457" s="14" t="str">
        <f>IFERROR(INDEX(面试清单!D:D,MATCH(3456,面试清单!P:P,0)),"")</f>
        <v/>
      </c>
      <c r="D3457" s="11" t="s">
        <v>42</v>
      </c>
      <c r="E3457" s="11" t="s">
        <v>62</v>
      </c>
      <c r="F3457" s="11" t="s">
        <v>2221</v>
      </c>
      <c r="G3457" s="15">
        <v>46165</v>
      </c>
      <c r="H3457" s="14" t="str">
        <f>IFERROR(INDEX(面试清单!H:H,MATCH(3456,面试清单!P:P,0)),"")</f>
        <v/>
      </c>
      <c r="I3457" s="13" t="s">
        <v>30</v>
      </c>
      <c r="J3457" s="14">
        <f ca="1" t="shared" si="160"/>
        <v>24</v>
      </c>
      <c r="K3457" s="14">
        <f ca="1" t="shared" si="161"/>
        <v>16</v>
      </c>
    </row>
    <row r="3458" ht="18" spans="1:11">
      <c r="A3458" s="10">
        <f t="shared" ref="A3458:A3521" si="162">IF(B3458&lt;&gt;"",ROW()-1,"")</f>
        <v>3457</v>
      </c>
      <c r="B3458" s="11" t="s">
        <v>3190</v>
      </c>
      <c r="C3458" s="10" t="str">
        <f>IFERROR(INDEX(面试清单!D:D,MATCH(3457,面试清单!P:P,0)),"")</f>
        <v/>
      </c>
      <c r="D3458" s="11" t="s">
        <v>42</v>
      </c>
      <c r="E3458" s="11" t="s">
        <v>62</v>
      </c>
      <c r="F3458" s="11" t="s">
        <v>2221</v>
      </c>
      <c r="G3458" s="15">
        <v>46165</v>
      </c>
      <c r="H3458" s="10" t="str">
        <f>IFERROR(INDEX(面试清单!H:H,MATCH(3457,面试清单!P:P,0)),"")</f>
        <v/>
      </c>
      <c r="I3458" s="13" t="s">
        <v>30</v>
      </c>
      <c r="J3458" s="10">
        <f ca="1" t="shared" ref="J3458:J3521" si="163">IF(G3458&lt;&gt;"",TODAY()-G3458,"")</f>
        <v>24</v>
      </c>
      <c r="K3458" s="10">
        <f ca="1" t="shared" ref="K3458:K3521" si="164">IF(G3458&lt;&gt;"",MAX(0,MIN(TODAY(),EOMONTH(TODAY(),0))-MAX(G3458,EOMONTH(TODAY(),-1)+1)+1),"")</f>
        <v>16</v>
      </c>
    </row>
    <row r="3459" ht="18" spans="1:11">
      <c r="A3459" s="14">
        <f t="shared" si="162"/>
        <v>3458</v>
      </c>
      <c r="B3459" s="11" t="s">
        <v>6611</v>
      </c>
      <c r="C3459" s="14" t="str">
        <f>IFERROR(INDEX(面试清单!D:D,MATCH(3458,面试清单!P:P,0)),"")</f>
        <v/>
      </c>
      <c r="D3459" s="11" t="s">
        <v>43</v>
      </c>
      <c r="E3459" s="11" t="s">
        <v>63</v>
      </c>
      <c r="F3459" s="11" t="s">
        <v>3826</v>
      </c>
      <c r="G3459" s="15">
        <v>46165</v>
      </c>
      <c r="H3459" s="14" t="str">
        <f>IFERROR(INDEX(面试清单!H:H,MATCH(3458,面试清单!P:P,0)),"")</f>
        <v/>
      </c>
      <c r="I3459" s="13" t="s">
        <v>30</v>
      </c>
      <c r="J3459" s="14">
        <f ca="1" t="shared" si="163"/>
        <v>24</v>
      </c>
      <c r="K3459" s="14">
        <f ca="1" t="shared" si="164"/>
        <v>16</v>
      </c>
    </row>
    <row r="3460" ht="18" spans="1:11">
      <c r="A3460" s="10">
        <f t="shared" si="162"/>
        <v>3459</v>
      </c>
      <c r="B3460" s="11" t="s">
        <v>6612</v>
      </c>
      <c r="C3460" s="125" t="str">
        <f>IFERROR(INDEX(面试清单!D:D,MATCH(3459,面试清单!P:P,0)),"")</f>
        <v>0214</v>
      </c>
      <c r="D3460" s="11" t="s">
        <v>42</v>
      </c>
      <c r="E3460" s="11" t="s">
        <v>63</v>
      </c>
      <c r="F3460" s="11" t="s">
        <v>2250</v>
      </c>
      <c r="G3460" s="15">
        <v>46165</v>
      </c>
      <c r="H3460" s="10" t="str">
        <f>IFERROR(INDEX(面试清单!H:H,MATCH(3459,面试清单!P:P,0)),"")</f>
        <v>线上</v>
      </c>
      <c r="I3460" s="13" t="s">
        <v>30</v>
      </c>
      <c r="J3460" s="10">
        <f ca="1" t="shared" si="163"/>
        <v>24</v>
      </c>
      <c r="K3460" s="10">
        <f ca="1" t="shared" si="164"/>
        <v>16</v>
      </c>
    </row>
    <row r="3461" ht="18" spans="1:11">
      <c r="A3461" s="14">
        <f t="shared" si="162"/>
        <v>3460</v>
      </c>
      <c r="B3461" s="11" t="s">
        <v>6613</v>
      </c>
      <c r="C3461" s="124" t="str">
        <f>IFERROR(INDEX(面试清单!D:D,MATCH(3460,面试清单!P:P,0)),"")</f>
        <v>0217</v>
      </c>
      <c r="D3461" s="11" t="s">
        <v>43</v>
      </c>
      <c r="E3461" s="11" t="s">
        <v>63</v>
      </c>
      <c r="F3461" s="11" t="s">
        <v>3826</v>
      </c>
      <c r="G3461" s="15">
        <v>46165</v>
      </c>
      <c r="H3461" s="14" t="str">
        <f>IFERROR(INDEX(面试清单!H:H,MATCH(3460,面试清单!P:P,0)),"")</f>
        <v>线上</v>
      </c>
      <c r="I3461" s="13" t="s">
        <v>30</v>
      </c>
      <c r="J3461" s="14">
        <f ca="1" t="shared" si="163"/>
        <v>24</v>
      </c>
      <c r="K3461" s="14">
        <f ca="1" t="shared" si="164"/>
        <v>16</v>
      </c>
    </row>
    <row r="3462" ht="18" spans="1:11">
      <c r="A3462" s="10">
        <f t="shared" si="162"/>
        <v>3461</v>
      </c>
      <c r="B3462" s="11" t="s">
        <v>6614</v>
      </c>
      <c r="C3462" s="10" t="str">
        <f>IFERROR(INDEX(面试清单!D:D,MATCH(3461,面试清单!P:P,0)),"")</f>
        <v/>
      </c>
      <c r="D3462" s="11" t="s">
        <v>42</v>
      </c>
      <c r="E3462" s="11" t="s">
        <v>63</v>
      </c>
      <c r="F3462" s="11" t="s">
        <v>3826</v>
      </c>
      <c r="G3462" s="15">
        <v>46165</v>
      </c>
      <c r="H3462" s="10" t="str">
        <f>IFERROR(INDEX(面试清单!H:H,MATCH(3461,面试清单!P:P,0)),"")</f>
        <v/>
      </c>
      <c r="I3462" s="13" t="s">
        <v>30</v>
      </c>
      <c r="J3462" s="10">
        <f ca="1" t="shared" si="163"/>
        <v>24</v>
      </c>
      <c r="K3462" s="10">
        <f ca="1" t="shared" si="164"/>
        <v>16</v>
      </c>
    </row>
    <row r="3463" ht="18" spans="1:11">
      <c r="A3463" s="14">
        <f t="shared" si="162"/>
        <v>3462</v>
      </c>
      <c r="B3463" s="11" t="s">
        <v>6615</v>
      </c>
      <c r="C3463" s="14" t="str">
        <f>IFERROR(INDEX(面试清单!D:D,MATCH(3462,面试清单!P:P,0)),"")</f>
        <v/>
      </c>
      <c r="D3463" s="11" t="s">
        <v>43</v>
      </c>
      <c r="E3463" s="11" t="s">
        <v>62</v>
      </c>
      <c r="F3463" s="11" t="s">
        <v>124</v>
      </c>
      <c r="G3463" s="15">
        <v>46166</v>
      </c>
      <c r="H3463" s="14" t="str">
        <f>IFERROR(INDEX(面试清单!H:H,MATCH(3462,面试清单!P:P,0)),"")</f>
        <v/>
      </c>
      <c r="I3463" s="13" t="s">
        <v>30</v>
      </c>
      <c r="J3463" s="14">
        <f ca="1" t="shared" si="163"/>
        <v>23</v>
      </c>
      <c r="K3463" s="14">
        <f ca="1" t="shared" si="164"/>
        <v>16</v>
      </c>
    </row>
    <row r="3464" ht="18" spans="1:11">
      <c r="A3464" s="10">
        <f t="shared" si="162"/>
        <v>3463</v>
      </c>
      <c r="B3464" s="11" t="s">
        <v>6616</v>
      </c>
      <c r="C3464" s="10" t="str">
        <f>IFERROR(INDEX(面试清单!D:D,MATCH(3463,面试清单!P:P,0)),"")</f>
        <v/>
      </c>
      <c r="D3464" s="11" t="s">
        <v>43</v>
      </c>
      <c r="E3464" s="11" t="s">
        <v>63</v>
      </c>
      <c r="F3464" s="11" t="s">
        <v>124</v>
      </c>
      <c r="G3464" s="15">
        <v>46166</v>
      </c>
      <c r="H3464" s="10" t="str">
        <f>IFERROR(INDEX(面试清单!H:H,MATCH(3463,面试清单!P:P,0)),"")</f>
        <v/>
      </c>
      <c r="I3464" s="13" t="s">
        <v>30</v>
      </c>
      <c r="J3464" s="10">
        <f ca="1" t="shared" si="163"/>
        <v>23</v>
      </c>
      <c r="K3464" s="10">
        <f ca="1" t="shared" si="164"/>
        <v>16</v>
      </c>
    </row>
    <row r="3465" ht="18" spans="1:11">
      <c r="A3465" s="14">
        <f t="shared" si="162"/>
        <v>3464</v>
      </c>
      <c r="B3465" s="11" t="s">
        <v>6617</v>
      </c>
      <c r="C3465" s="14" t="str">
        <f>IFERROR(INDEX(面试清单!D:D,MATCH(3464,面试清单!P:P,0)),"")</f>
        <v/>
      </c>
      <c r="D3465" s="11" t="s">
        <v>43</v>
      </c>
      <c r="E3465" s="11" t="s">
        <v>63</v>
      </c>
      <c r="F3465" s="11" t="s">
        <v>124</v>
      </c>
      <c r="G3465" s="15">
        <v>46166</v>
      </c>
      <c r="H3465" s="14" t="str">
        <f>IFERROR(INDEX(面试清单!H:H,MATCH(3464,面试清单!P:P,0)),"")</f>
        <v/>
      </c>
      <c r="I3465" s="13" t="s">
        <v>30</v>
      </c>
      <c r="J3465" s="14">
        <f ca="1" t="shared" si="163"/>
        <v>23</v>
      </c>
      <c r="K3465" s="14">
        <f ca="1" t="shared" si="164"/>
        <v>16</v>
      </c>
    </row>
    <row r="3466" ht="18" spans="1:11">
      <c r="A3466" s="10">
        <f t="shared" si="162"/>
        <v>3465</v>
      </c>
      <c r="B3466" s="11" t="s">
        <v>6618</v>
      </c>
      <c r="C3466" s="125" t="str">
        <f>IFERROR(INDEX(面试清单!D:D,MATCH(3465,面试清单!P:P,0)),"")</f>
        <v>0208</v>
      </c>
      <c r="D3466" s="11" t="s">
        <v>43</v>
      </c>
      <c r="E3466" s="11" t="s">
        <v>64</v>
      </c>
      <c r="F3466" s="11" t="s">
        <v>3826</v>
      </c>
      <c r="G3466" s="15">
        <v>46166</v>
      </c>
      <c r="H3466" s="10" t="str">
        <f>IFERROR(INDEX(面试清单!H:H,MATCH(3465,面试清单!P:P,0)),"")</f>
        <v>线上</v>
      </c>
      <c r="I3466" s="13" t="s">
        <v>30</v>
      </c>
      <c r="J3466" s="10">
        <f ca="1" t="shared" si="163"/>
        <v>23</v>
      </c>
      <c r="K3466" s="10">
        <f ca="1" t="shared" si="164"/>
        <v>16</v>
      </c>
    </row>
    <row r="3467" ht="18" spans="1:11">
      <c r="A3467" s="14">
        <f t="shared" si="162"/>
        <v>3466</v>
      </c>
      <c r="B3467" s="11" t="s">
        <v>6619</v>
      </c>
      <c r="C3467" s="14" t="str">
        <f>IFERROR(INDEX(面试清单!D:D,MATCH(3466,面试清单!P:P,0)),"")</f>
        <v/>
      </c>
      <c r="D3467" s="11" t="s">
        <v>42</v>
      </c>
      <c r="E3467" s="11" t="s">
        <v>62</v>
      </c>
      <c r="F3467" s="11" t="s">
        <v>3826</v>
      </c>
      <c r="G3467" s="15">
        <v>46166</v>
      </c>
      <c r="H3467" s="14" t="str">
        <f>IFERROR(INDEX(面试清单!H:H,MATCH(3466,面试清单!P:P,0)),"")</f>
        <v/>
      </c>
      <c r="I3467" s="13" t="s">
        <v>30</v>
      </c>
      <c r="J3467" s="14">
        <f ca="1" t="shared" si="163"/>
        <v>23</v>
      </c>
      <c r="K3467" s="14">
        <f ca="1" t="shared" si="164"/>
        <v>16</v>
      </c>
    </row>
    <row r="3468" ht="18" spans="1:11">
      <c r="A3468" s="10">
        <f t="shared" si="162"/>
        <v>3467</v>
      </c>
      <c r="B3468" s="11" t="s">
        <v>6620</v>
      </c>
      <c r="C3468" s="10" t="str">
        <f>IFERROR(INDEX(面试清单!D:D,MATCH(3467,面试清单!P:P,0)),"")</f>
        <v/>
      </c>
      <c r="D3468" s="11" t="s">
        <v>42</v>
      </c>
      <c r="E3468" s="11" t="s">
        <v>63</v>
      </c>
      <c r="F3468" s="11" t="s">
        <v>2181</v>
      </c>
      <c r="G3468" s="15">
        <v>46166</v>
      </c>
      <c r="H3468" s="10" t="str">
        <f>IFERROR(INDEX(面试清单!H:H,MATCH(3467,面试清单!P:P,0)),"")</f>
        <v/>
      </c>
      <c r="I3468" s="13" t="s">
        <v>30</v>
      </c>
      <c r="J3468" s="10">
        <f ca="1" t="shared" si="163"/>
        <v>23</v>
      </c>
      <c r="K3468" s="10">
        <f ca="1" t="shared" si="164"/>
        <v>16</v>
      </c>
    </row>
    <row r="3469" ht="18" spans="1:11">
      <c r="A3469" s="14">
        <f t="shared" si="162"/>
        <v>3468</v>
      </c>
      <c r="B3469" s="11" t="s">
        <v>6621</v>
      </c>
      <c r="C3469" s="14" t="str">
        <f>IFERROR(INDEX(面试清单!D:D,MATCH(3468,面试清单!P:P,0)),"")</f>
        <v/>
      </c>
      <c r="D3469" s="11" t="s">
        <v>42</v>
      </c>
      <c r="E3469" s="11" t="s">
        <v>62</v>
      </c>
      <c r="F3469" s="11" t="s">
        <v>148</v>
      </c>
      <c r="G3469" s="15">
        <v>46166</v>
      </c>
      <c r="H3469" s="14" t="str">
        <f>IFERROR(INDEX(面试清单!H:H,MATCH(3468,面试清单!P:P,0)),"")</f>
        <v/>
      </c>
      <c r="I3469" s="13" t="s">
        <v>30</v>
      </c>
      <c r="J3469" s="14">
        <f ca="1" t="shared" si="163"/>
        <v>23</v>
      </c>
      <c r="K3469" s="14">
        <f ca="1" t="shared" si="164"/>
        <v>16</v>
      </c>
    </row>
    <row r="3470" ht="18" spans="1:11">
      <c r="A3470" s="10">
        <f t="shared" si="162"/>
        <v>3469</v>
      </c>
      <c r="B3470" s="11" t="s">
        <v>2906</v>
      </c>
      <c r="C3470" s="10" t="str">
        <f>IFERROR(INDEX(面试清单!D:D,MATCH(3469,面试清单!P:P,0)),"")</f>
        <v/>
      </c>
      <c r="D3470" s="11" t="s">
        <v>42</v>
      </c>
      <c r="E3470" s="11" t="s">
        <v>63</v>
      </c>
      <c r="F3470" s="11" t="s">
        <v>3831</v>
      </c>
      <c r="G3470" s="15">
        <v>46167</v>
      </c>
      <c r="H3470" s="10" t="str">
        <f>IFERROR(INDEX(面试清单!H:H,MATCH(3469,面试清单!P:P,0)),"")</f>
        <v/>
      </c>
      <c r="I3470" s="13" t="s">
        <v>30</v>
      </c>
      <c r="J3470" s="10">
        <f ca="1" t="shared" si="163"/>
        <v>22</v>
      </c>
      <c r="K3470" s="10">
        <f ca="1" t="shared" si="164"/>
        <v>16</v>
      </c>
    </row>
    <row r="3471" ht="18" spans="1:11">
      <c r="A3471" s="14">
        <f t="shared" si="162"/>
        <v>3470</v>
      </c>
      <c r="B3471" s="11" t="s">
        <v>6622</v>
      </c>
      <c r="C3471" s="14" t="str">
        <f>IFERROR(INDEX(面试清单!D:D,MATCH(3470,面试清单!P:P,0)),"")</f>
        <v/>
      </c>
      <c r="D3471" s="11" t="s">
        <v>42</v>
      </c>
      <c r="E3471" s="11" t="s">
        <v>63</v>
      </c>
      <c r="F3471" s="11" t="s">
        <v>3831</v>
      </c>
      <c r="G3471" s="15">
        <v>46167</v>
      </c>
      <c r="H3471" s="14" t="str">
        <f>IFERROR(INDEX(面试清单!H:H,MATCH(3470,面试清单!P:P,0)),"")</f>
        <v/>
      </c>
      <c r="I3471" s="13" t="s">
        <v>30</v>
      </c>
      <c r="J3471" s="14">
        <f ca="1" t="shared" si="163"/>
        <v>22</v>
      </c>
      <c r="K3471" s="14">
        <f ca="1" t="shared" si="164"/>
        <v>16</v>
      </c>
    </row>
    <row r="3472" ht="18" spans="1:11">
      <c r="A3472" s="10">
        <f t="shared" si="162"/>
        <v>3471</v>
      </c>
      <c r="B3472" s="11" t="s">
        <v>6623</v>
      </c>
      <c r="C3472" s="10" t="str">
        <f>IFERROR(INDEX(面试清单!D:D,MATCH(3471,面试清单!P:P,0)),"")</f>
        <v/>
      </c>
      <c r="D3472" s="11" t="s">
        <v>43</v>
      </c>
      <c r="E3472" s="11" t="s">
        <v>63</v>
      </c>
      <c r="F3472" s="11" t="s">
        <v>3826</v>
      </c>
      <c r="G3472" s="15">
        <v>46167</v>
      </c>
      <c r="H3472" s="10" t="str">
        <f>IFERROR(INDEX(面试清单!H:H,MATCH(3471,面试清单!P:P,0)),"")</f>
        <v/>
      </c>
      <c r="I3472" s="13" t="s">
        <v>30</v>
      </c>
      <c r="J3472" s="10">
        <f ca="1" t="shared" si="163"/>
        <v>22</v>
      </c>
      <c r="K3472" s="10">
        <f ca="1" t="shared" si="164"/>
        <v>16</v>
      </c>
    </row>
    <row r="3473" ht="18" spans="1:11">
      <c r="A3473" s="14">
        <f t="shared" si="162"/>
        <v>3472</v>
      </c>
      <c r="B3473" s="11" t="s">
        <v>6624</v>
      </c>
      <c r="C3473" s="14" t="str">
        <f>IFERROR(INDEX(面试清单!D:D,MATCH(3472,面试清单!P:P,0)),"")</f>
        <v/>
      </c>
      <c r="D3473" s="11" t="s">
        <v>42</v>
      </c>
      <c r="E3473" s="11" t="s">
        <v>63</v>
      </c>
      <c r="F3473" s="11" t="s">
        <v>124</v>
      </c>
      <c r="G3473" s="15">
        <v>46167</v>
      </c>
      <c r="H3473" s="14" t="str">
        <f>IFERROR(INDEX(面试清单!H:H,MATCH(3472,面试清单!P:P,0)),"")</f>
        <v/>
      </c>
      <c r="I3473" s="13" t="s">
        <v>30</v>
      </c>
      <c r="J3473" s="14">
        <f ca="1" t="shared" si="163"/>
        <v>22</v>
      </c>
      <c r="K3473" s="14">
        <f ca="1" t="shared" si="164"/>
        <v>16</v>
      </c>
    </row>
    <row r="3474" ht="18" spans="1:11">
      <c r="A3474" s="10">
        <f t="shared" si="162"/>
        <v>3473</v>
      </c>
      <c r="B3474" s="11" t="s">
        <v>6625</v>
      </c>
      <c r="C3474" s="10" t="str">
        <f>IFERROR(INDEX(面试清单!D:D,MATCH(3473,面试清单!P:P,0)),"")</f>
        <v/>
      </c>
      <c r="D3474" s="11" t="s">
        <v>42</v>
      </c>
      <c r="E3474" s="11" t="s">
        <v>62</v>
      </c>
      <c r="F3474" s="11" t="s">
        <v>124</v>
      </c>
      <c r="G3474" s="15">
        <v>46167</v>
      </c>
      <c r="H3474" s="10" t="str">
        <f>IFERROR(INDEX(面试清单!H:H,MATCH(3473,面试清单!P:P,0)),"")</f>
        <v/>
      </c>
      <c r="I3474" s="13" t="s">
        <v>30</v>
      </c>
      <c r="J3474" s="10">
        <f ca="1" t="shared" si="163"/>
        <v>22</v>
      </c>
      <c r="K3474" s="10">
        <f ca="1" t="shared" si="164"/>
        <v>16</v>
      </c>
    </row>
    <row r="3475" ht="18" spans="1:11">
      <c r="A3475" s="14">
        <f t="shared" si="162"/>
        <v>3474</v>
      </c>
      <c r="B3475" s="11" t="s">
        <v>6626</v>
      </c>
      <c r="C3475" s="14" t="str">
        <f>IFERROR(INDEX(面试清单!D:D,MATCH(3474,面试清单!P:P,0)),"")</f>
        <v/>
      </c>
      <c r="D3475" s="11" t="s">
        <v>42</v>
      </c>
      <c r="E3475" s="11" t="s">
        <v>63</v>
      </c>
      <c r="F3475" s="11" t="s">
        <v>124</v>
      </c>
      <c r="G3475" s="15">
        <v>46167</v>
      </c>
      <c r="H3475" s="14" t="str">
        <f>IFERROR(INDEX(面试清单!H:H,MATCH(3474,面试清单!P:P,0)),"")</f>
        <v/>
      </c>
      <c r="I3475" s="13" t="s">
        <v>30</v>
      </c>
      <c r="J3475" s="14">
        <f ca="1" t="shared" si="163"/>
        <v>22</v>
      </c>
      <c r="K3475" s="14">
        <f ca="1" t="shared" si="164"/>
        <v>16</v>
      </c>
    </row>
    <row r="3476" ht="18" spans="1:11">
      <c r="A3476" s="10">
        <f t="shared" si="162"/>
        <v>3475</v>
      </c>
      <c r="B3476" s="11" t="s">
        <v>6627</v>
      </c>
      <c r="C3476" s="10" t="str">
        <f>IFERROR(INDEX(面试清单!D:D,MATCH(3475,面试清单!P:P,0)),"")</f>
        <v/>
      </c>
      <c r="D3476" s="11" t="s">
        <v>42</v>
      </c>
      <c r="E3476" s="11" t="s">
        <v>63</v>
      </c>
      <c r="F3476" s="11" t="s">
        <v>2164</v>
      </c>
      <c r="G3476" s="15">
        <v>46167</v>
      </c>
      <c r="H3476" s="10" t="str">
        <f>IFERROR(INDEX(面试清单!H:H,MATCH(3475,面试清单!P:P,0)),"")</f>
        <v/>
      </c>
      <c r="I3476" s="13" t="s">
        <v>30</v>
      </c>
      <c r="J3476" s="10">
        <f ca="1" t="shared" si="163"/>
        <v>22</v>
      </c>
      <c r="K3476" s="10">
        <f ca="1" t="shared" si="164"/>
        <v>16</v>
      </c>
    </row>
    <row r="3477" ht="18" spans="1:11">
      <c r="A3477" s="14">
        <f t="shared" si="162"/>
        <v>3476</v>
      </c>
      <c r="B3477" s="11" t="s">
        <v>6628</v>
      </c>
      <c r="C3477" s="124" t="str">
        <f>IFERROR(INDEX(面试清单!D:D,MATCH(3476,面试清单!P:P,0)),"")</f>
        <v>0209</v>
      </c>
      <c r="D3477" s="11" t="s">
        <v>43</v>
      </c>
      <c r="E3477" s="11" t="s">
        <v>62</v>
      </c>
      <c r="F3477" s="11" t="s">
        <v>2164</v>
      </c>
      <c r="G3477" s="15">
        <v>46167</v>
      </c>
      <c r="H3477" s="14" t="str">
        <f>IFERROR(INDEX(面试清单!H:H,MATCH(3476,面试清单!P:P,0)),"")</f>
        <v>线上</v>
      </c>
      <c r="I3477" s="13" t="s">
        <v>30</v>
      </c>
      <c r="J3477" s="14">
        <f ca="1" t="shared" si="163"/>
        <v>22</v>
      </c>
      <c r="K3477" s="14">
        <f ca="1" t="shared" si="164"/>
        <v>16</v>
      </c>
    </row>
    <row r="3478" ht="18" spans="1:11">
      <c r="A3478" s="10">
        <f t="shared" si="162"/>
        <v>3477</v>
      </c>
      <c r="B3478" s="11" t="s">
        <v>6629</v>
      </c>
      <c r="C3478" s="10" t="str">
        <f>IFERROR(INDEX(面试清单!D:D,MATCH(3477,面试清单!P:P,0)),"")</f>
        <v/>
      </c>
      <c r="D3478" s="11" t="s">
        <v>42</v>
      </c>
      <c r="E3478" s="11" t="s">
        <v>63</v>
      </c>
      <c r="F3478" s="11" t="s">
        <v>2164</v>
      </c>
      <c r="G3478" s="15">
        <v>46167</v>
      </c>
      <c r="H3478" s="10" t="str">
        <f>IFERROR(INDEX(面试清单!H:H,MATCH(3477,面试清单!P:P,0)),"")</f>
        <v/>
      </c>
      <c r="I3478" s="13" t="s">
        <v>30</v>
      </c>
      <c r="J3478" s="10">
        <f ca="1" t="shared" si="163"/>
        <v>22</v>
      </c>
      <c r="K3478" s="10">
        <f ca="1" t="shared" si="164"/>
        <v>16</v>
      </c>
    </row>
    <row r="3479" ht="18" spans="1:11">
      <c r="A3479" s="14">
        <f t="shared" si="162"/>
        <v>3478</v>
      </c>
      <c r="B3479" s="11" t="s">
        <v>1459</v>
      </c>
      <c r="C3479" s="14" t="str">
        <f>IFERROR(INDEX(面试清单!D:D,MATCH(3478,面试清单!P:P,0)),"")</f>
        <v/>
      </c>
      <c r="D3479" s="11" t="s">
        <v>43</v>
      </c>
      <c r="E3479" s="11" t="s">
        <v>62</v>
      </c>
      <c r="F3479" s="11" t="s">
        <v>2164</v>
      </c>
      <c r="G3479" s="15">
        <v>46167</v>
      </c>
      <c r="H3479" s="14" t="str">
        <f>IFERROR(INDEX(面试清单!H:H,MATCH(3478,面试清单!P:P,0)),"")</f>
        <v/>
      </c>
      <c r="I3479" s="13" t="s">
        <v>30</v>
      </c>
      <c r="J3479" s="14">
        <f ca="1" t="shared" si="163"/>
        <v>22</v>
      </c>
      <c r="K3479" s="14">
        <f ca="1" t="shared" si="164"/>
        <v>16</v>
      </c>
    </row>
    <row r="3480" ht="18" spans="1:11">
      <c r="A3480" s="10">
        <f t="shared" si="162"/>
        <v>3479</v>
      </c>
      <c r="B3480" s="11" t="s">
        <v>6630</v>
      </c>
      <c r="C3480" s="10" t="str">
        <f>IFERROR(INDEX(面试清单!D:D,MATCH(3479,面试清单!P:P,0)),"")</f>
        <v/>
      </c>
      <c r="D3480" s="11" t="s">
        <v>42</v>
      </c>
      <c r="E3480" s="11" t="s">
        <v>63</v>
      </c>
      <c r="F3480" s="11" t="s">
        <v>2164</v>
      </c>
      <c r="G3480" s="15">
        <v>46167</v>
      </c>
      <c r="H3480" s="10" t="str">
        <f>IFERROR(INDEX(面试清单!H:H,MATCH(3479,面试清单!P:P,0)),"")</f>
        <v/>
      </c>
      <c r="I3480" s="13" t="s">
        <v>30</v>
      </c>
      <c r="J3480" s="10">
        <f ca="1" t="shared" si="163"/>
        <v>22</v>
      </c>
      <c r="K3480" s="10">
        <f ca="1" t="shared" si="164"/>
        <v>16</v>
      </c>
    </row>
    <row r="3481" ht="18" spans="1:11">
      <c r="A3481" s="14">
        <f t="shared" si="162"/>
        <v>3480</v>
      </c>
      <c r="B3481" s="11" t="s">
        <v>6631</v>
      </c>
      <c r="C3481" s="14" t="str">
        <f>IFERROR(INDEX(面试清单!D:D,MATCH(3480,面试清单!P:P,0)),"")</f>
        <v/>
      </c>
      <c r="D3481" s="11" t="s">
        <v>42</v>
      </c>
      <c r="E3481" s="11" t="s">
        <v>63</v>
      </c>
      <c r="F3481" s="11" t="s">
        <v>2164</v>
      </c>
      <c r="G3481" s="15">
        <v>46167</v>
      </c>
      <c r="H3481" s="14" t="str">
        <f>IFERROR(INDEX(面试清单!H:H,MATCH(3480,面试清单!P:P,0)),"")</f>
        <v/>
      </c>
      <c r="I3481" s="13" t="s">
        <v>30</v>
      </c>
      <c r="J3481" s="14">
        <f ca="1" t="shared" si="163"/>
        <v>22</v>
      </c>
      <c r="K3481" s="14">
        <f ca="1" t="shared" si="164"/>
        <v>16</v>
      </c>
    </row>
    <row r="3482" ht="18" spans="1:11">
      <c r="A3482" s="10">
        <f t="shared" si="162"/>
        <v>3481</v>
      </c>
      <c r="B3482" s="11" t="s">
        <v>6632</v>
      </c>
      <c r="C3482" s="10" t="str">
        <f>IFERROR(INDEX(面试清单!D:D,MATCH(3481,面试清单!P:P,0)),"")</f>
        <v/>
      </c>
      <c r="D3482" s="11" t="s">
        <v>43</v>
      </c>
      <c r="E3482" s="11" t="s">
        <v>62</v>
      </c>
      <c r="F3482" s="11" t="s">
        <v>2164</v>
      </c>
      <c r="G3482" s="15">
        <v>46167</v>
      </c>
      <c r="H3482" s="10" t="str">
        <f>IFERROR(INDEX(面试清单!H:H,MATCH(3481,面试清单!P:P,0)),"")</f>
        <v/>
      </c>
      <c r="I3482" s="13" t="s">
        <v>30</v>
      </c>
      <c r="J3482" s="10">
        <f ca="1" t="shared" si="163"/>
        <v>22</v>
      </c>
      <c r="K3482" s="10">
        <f ca="1" t="shared" si="164"/>
        <v>16</v>
      </c>
    </row>
    <row r="3483" ht="18" spans="1:11">
      <c r="A3483" s="14">
        <f t="shared" si="162"/>
        <v>3482</v>
      </c>
      <c r="B3483" s="11" t="s">
        <v>6633</v>
      </c>
      <c r="C3483" s="14" t="str">
        <f>IFERROR(INDEX(面试清单!D:D,MATCH(3482,面试清单!P:P,0)),"")</f>
        <v/>
      </c>
      <c r="D3483" s="11" t="s">
        <v>42</v>
      </c>
      <c r="E3483" s="11" t="s">
        <v>63</v>
      </c>
      <c r="F3483" s="11" t="s">
        <v>6634</v>
      </c>
      <c r="G3483" s="15">
        <v>46167</v>
      </c>
      <c r="H3483" s="14" t="str">
        <f>IFERROR(INDEX(面试清单!H:H,MATCH(3482,面试清单!P:P,0)),"")</f>
        <v/>
      </c>
      <c r="I3483" s="13" t="s">
        <v>30</v>
      </c>
      <c r="J3483" s="14">
        <f ca="1" t="shared" si="163"/>
        <v>22</v>
      </c>
      <c r="K3483" s="14">
        <f ca="1" t="shared" si="164"/>
        <v>16</v>
      </c>
    </row>
    <row r="3484" ht="18" spans="1:11">
      <c r="A3484" s="10">
        <f t="shared" si="162"/>
        <v>3483</v>
      </c>
      <c r="B3484" s="11" t="s">
        <v>6635</v>
      </c>
      <c r="C3484" s="10" t="str">
        <f>IFERROR(INDEX(面试清单!D:D,MATCH(3483,面试清单!P:P,0)),"")</f>
        <v/>
      </c>
      <c r="D3484" s="11" t="s">
        <v>43</v>
      </c>
      <c r="E3484" s="11" t="s">
        <v>62</v>
      </c>
      <c r="F3484" s="11" t="s">
        <v>2181</v>
      </c>
      <c r="G3484" s="15">
        <v>46167</v>
      </c>
      <c r="H3484" s="10" t="str">
        <f>IFERROR(INDEX(面试清单!H:H,MATCH(3483,面试清单!P:P,0)),"")</f>
        <v/>
      </c>
      <c r="I3484" s="13" t="s">
        <v>30</v>
      </c>
      <c r="J3484" s="10">
        <f ca="1" t="shared" si="163"/>
        <v>22</v>
      </c>
      <c r="K3484" s="10">
        <f ca="1" t="shared" si="164"/>
        <v>16</v>
      </c>
    </row>
    <row r="3485" ht="18" spans="1:11">
      <c r="A3485" s="14">
        <f t="shared" si="162"/>
        <v>3484</v>
      </c>
      <c r="B3485" s="11" t="s">
        <v>6636</v>
      </c>
      <c r="C3485" s="14" t="str">
        <f>IFERROR(INDEX(面试清单!D:D,MATCH(3484,面试清单!P:P,0)),"")</f>
        <v/>
      </c>
      <c r="D3485" s="11" t="s">
        <v>43</v>
      </c>
      <c r="E3485" s="11" t="s">
        <v>63</v>
      </c>
      <c r="F3485" s="11" t="s">
        <v>2186</v>
      </c>
      <c r="G3485" s="15">
        <v>46167</v>
      </c>
      <c r="H3485" s="14" t="str">
        <f>IFERROR(INDEX(面试清单!H:H,MATCH(3484,面试清单!P:P,0)),"")</f>
        <v/>
      </c>
      <c r="I3485" s="13" t="s">
        <v>30</v>
      </c>
      <c r="J3485" s="14">
        <f ca="1" t="shared" si="163"/>
        <v>22</v>
      </c>
      <c r="K3485" s="14">
        <f ca="1" t="shared" si="164"/>
        <v>16</v>
      </c>
    </row>
    <row r="3486" ht="18" spans="1:11">
      <c r="A3486" s="10">
        <f t="shared" si="162"/>
        <v>3485</v>
      </c>
      <c r="B3486" s="11" t="s">
        <v>6637</v>
      </c>
      <c r="C3486" s="10" t="str">
        <f>IFERROR(INDEX(面试清单!D:D,MATCH(3485,面试清单!P:P,0)),"")</f>
        <v/>
      </c>
      <c r="D3486" s="11" t="s">
        <v>42</v>
      </c>
      <c r="E3486" s="11" t="s">
        <v>63</v>
      </c>
      <c r="F3486" s="11" t="s">
        <v>2181</v>
      </c>
      <c r="G3486" s="15">
        <v>46168</v>
      </c>
      <c r="H3486" s="10" t="str">
        <f>IFERROR(INDEX(面试清单!H:H,MATCH(3485,面试清单!P:P,0)),"")</f>
        <v/>
      </c>
      <c r="I3486" s="13" t="s">
        <v>30</v>
      </c>
      <c r="J3486" s="10">
        <f ca="1" t="shared" si="163"/>
        <v>21</v>
      </c>
      <c r="K3486" s="10">
        <f ca="1" t="shared" si="164"/>
        <v>16</v>
      </c>
    </row>
    <row r="3487" ht="18" spans="1:11">
      <c r="A3487" s="14">
        <f t="shared" si="162"/>
        <v>3486</v>
      </c>
      <c r="B3487" s="11" t="s">
        <v>6638</v>
      </c>
      <c r="C3487" s="14" t="str">
        <f>IFERROR(INDEX(面试清单!D:D,MATCH(3486,面试清单!P:P,0)),"")</f>
        <v/>
      </c>
      <c r="D3487" s="11" t="s">
        <v>43</v>
      </c>
      <c r="E3487" s="11" t="s">
        <v>64</v>
      </c>
      <c r="F3487" s="11" t="s">
        <v>148</v>
      </c>
      <c r="G3487" s="15">
        <v>46168</v>
      </c>
      <c r="H3487" s="14" t="str">
        <f>IFERROR(INDEX(面试清单!H:H,MATCH(3486,面试清单!P:P,0)),"")</f>
        <v/>
      </c>
      <c r="I3487" s="13" t="s">
        <v>30</v>
      </c>
      <c r="J3487" s="14">
        <f ca="1" t="shared" si="163"/>
        <v>21</v>
      </c>
      <c r="K3487" s="14">
        <f ca="1" t="shared" si="164"/>
        <v>16</v>
      </c>
    </row>
    <row r="3488" ht="18" spans="1:11">
      <c r="A3488" s="10">
        <f t="shared" si="162"/>
        <v>3487</v>
      </c>
      <c r="B3488" s="11" t="s">
        <v>6639</v>
      </c>
      <c r="C3488" s="10" t="str">
        <f>IFERROR(INDEX(面试清单!D:D,MATCH(3487,面试清单!P:P,0)),"")</f>
        <v/>
      </c>
      <c r="D3488" s="11" t="s">
        <v>42</v>
      </c>
      <c r="E3488" s="11" t="s">
        <v>64</v>
      </c>
      <c r="F3488" s="11" t="s">
        <v>124</v>
      </c>
      <c r="G3488" s="15">
        <v>46168</v>
      </c>
      <c r="H3488" s="10" t="str">
        <f>IFERROR(INDEX(面试清单!H:H,MATCH(3487,面试清单!P:P,0)),"")</f>
        <v/>
      </c>
      <c r="I3488" s="13" t="s">
        <v>30</v>
      </c>
      <c r="J3488" s="10">
        <f ca="1" t="shared" si="163"/>
        <v>21</v>
      </c>
      <c r="K3488" s="10">
        <f ca="1" t="shared" si="164"/>
        <v>16</v>
      </c>
    </row>
    <row r="3489" ht="18" spans="1:11">
      <c r="A3489" s="14">
        <f t="shared" si="162"/>
        <v>3488</v>
      </c>
      <c r="B3489" s="11" t="s">
        <v>6640</v>
      </c>
      <c r="C3489" s="14" t="str">
        <f>IFERROR(INDEX(面试清单!D:D,MATCH(3488,面试清单!P:P,0)),"")</f>
        <v/>
      </c>
      <c r="D3489" s="11" t="s">
        <v>43</v>
      </c>
      <c r="E3489" s="11" t="s">
        <v>63</v>
      </c>
      <c r="F3489" s="11" t="s">
        <v>3826</v>
      </c>
      <c r="G3489" s="15">
        <v>46168</v>
      </c>
      <c r="H3489" s="14" t="str">
        <f>IFERROR(INDEX(面试清单!H:H,MATCH(3488,面试清单!P:P,0)),"")</f>
        <v/>
      </c>
      <c r="I3489" s="13" t="s">
        <v>30</v>
      </c>
      <c r="J3489" s="14">
        <f ca="1" t="shared" si="163"/>
        <v>21</v>
      </c>
      <c r="K3489" s="14">
        <f ca="1" t="shared" si="164"/>
        <v>16</v>
      </c>
    </row>
    <row r="3490" ht="18" spans="1:11">
      <c r="A3490" s="10">
        <f t="shared" si="162"/>
        <v>3489</v>
      </c>
      <c r="B3490" s="11" t="s">
        <v>6641</v>
      </c>
      <c r="C3490" s="10" t="str">
        <f>IFERROR(INDEX(面试清单!D:D,MATCH(3489,面试清单!P:P,0)),"")</f>
        <v/>
      </c>
      <c r="D3490" s="11" t="s">
        <v>42</v>
      </c>
      <c r="E3490" s="11" t="s">
        <v>62</v>
      </c>
      <c r="F3490" s="11" t="s">
        <v>3826</v>
      </c>
      <c r="G3490" s="15">
        <v>46168</v>
      </c>
      <c r="H3490" s="10" t="str">
        <f>IFERROR(INDEX(面试清单!H:H,MATCH(3489,面试清单!P:P,0)),"")</f>
        <v/>
      </c>
      <c r="I3490" s="13" t="s">
        <v>30</v>
      </c>
      <c r="J3490" s="10">
        <f ca="1" t="shared" si="163"/>
        <v>21</v>
      </c>
      <c r="K3490" s="10">
        <f ca="1" t="shared" si="164"/>
        <v>16</v>
      </c>
    </row>
    <row r="3491" ht="18" spans="1:11">
      <c r="A3491" s="14">
        <f t="shared" si="162"/>
        <v>3490</v>
      </c>
      <c r="B3491" s="11" t="s">
        <v>6642</v>
      </c>
      <c r="C3491" s="14" t="str">
        <f>IFERROR(INDEX(面试清单!D:D,MATCH(3490,面试清单!P:P,0)),"")</f>
        <v/>
      </c>
      <c r="D3491" s="11" t="s">
        <v>43</v>
      </c>
      <c r="E3491" s="11" t="s">
        <v>62</v>
      </c>
      <c r="F3491" s="11" t="s">
        <v>3826</v>
      </c>
      <c r="G3491" s="15">
        <v>46168</v>
      </c>
      <c r="H3491" s="14" t="str">
        <f>IFERROR(INDEX(面试清单!H:H,MATCH(3490,面试清单!P:P,0)),"")</f>
        <v/>
      </c>
      <c r="I3491" s="13" t="s">
        <v>30</v>
      </c>
      <c r="J3491" s="14">
        <f ca="1" t="shared" si="163"/>
        <v>21</v>
      </c>
      <c r="K3491" s="14">
        <f ca="1" t="shared" si="164"/>
        <v>16</v>
      </c>
    </row>
    <row r="3492" ht="18" spans="1:11">
      <c r="A3492" s="10">
        <f t="shared" si="162"/>
        <v>3491</v>
      </c>
      <c r="B3492" s="11" t="s">
        <v>6643</v>
      </c>
      <c r="C3492" s="10" t="str">
        <f>IFERROR(INDEX(面试清单!D:D,MATCH(3491,面试清单!P:P,0)),"")</f>
        <v/>
      </c>
      <c r="D3492" s="11" t="s">
        <v>43</v>
      </c>
      <c r="E3492" s="11" t="s">
        <v>64</v>
      </c>
      <c r="F3492" s="11" t="s">
        <v>148</v>
      </c>
      <c r="G3492" s="15">
        <v>46169</v>
      </c>
      <c r="H3492" s="10" t="str">
        <f>IFERROR(INDEX(面试清单!H:H,MATCH(3491,面试清单!P:P,0)),"")</f>
        <v/>
      </c>
      <c r="I3492" s="13" t="s">
        <v>30</v>
      </c>
      <c r="J3492" s="10">
        <f ca="1" t="shared" si="163"/>
        <v>20</v>
      </c>
      <c r="K3492" s="10">
        <f ca="1" t="shared" si="164"/>
        <v>16</v>
      </c>
    </row>
    <row r="3493" ht="18" spans="1:11">
      <c r="A3493" s="14">
        <f t="shared" si="162"/>
        <v>3492</v>
      </c>
      <c r="B3493" s="11" t="s">
        <v>6644</v>
      </c>
      <c r="C3493" s="14" t="str">
        <f>IFERROR(INDEX(面试清单!D:D,MATCH(3492,面试清单!P:P,0)),"")</f>
        <v/>
      </c>
      <c r="D3493" s="11" t="s">
        <v>43</v>
      </c>
      <c r="E3493" s="11" t="s">
        <v>64</v>
      </c>
      <c r="F3493" s="11" t="s">
        <v>148</v>
      </c>
      <c r="G3493" s="15">
        <v>46169</v>
      </c>
      <c r="H3493" s="14" t="str">
        <f>IFERROR(INDEX(面试清单!H:H,MATCH(3492,面试清单!P:P,0)),"")</f>
        <v/>
      </c>
      <c r="I3493" s="13" t="s">
        <v>30</v>
      </c>
      <c r="J3493" s="14">
        <f ca="1" t="shared" si="163"/>
        <v>20</v>
      </c>
      <c r="K3493" s="14">
        <f ca="1" t="shared" si="164"/>
        <v>16</v>
      </c>
    </row>
    <row r="3494" ht="18" spans="1:11">
      <c r="A3494" s="10">
        <f t="shared" si="162"/>
        <v>3493</v>
      </c>
      <c r="B3494" s="11" t="s">
        <v>6645</v>
      </c>
      <c r="C3494" s="10" t="str">
        <f>IFERROR(INDEX(面试清单!D:D,MATCH(3493,面试清单!P:P,0)),"")</f>
        <v/>
      </c>
      <c r="D3494" s="11" t="s">
        <v>43</v>
      </c>
      <c r="E3494" s="11" t="s">
        <v>64</v>
      </c>
      <c r="F3494" s="11" t="s">
        <v>148</v>
      </c>
      <c r="G3494" s="15">
        <v>46169</v>
      </c>
      <c r="H3494" s="10" t="str">
        <f>IFERROR(INDEX(面试清单!H:H,MATCH(3493,面试清单!P:P,0)),"")</f>
        <v/>
      </c>
      <c r="I3494" s="13" t="s">
        <v>30</v>
      </c>
      <c r="J3494" s="10">
        <f ca="1" t="shared" si="163"/>
        <v>20</v>
      </c>
      <c r="K3494" s="10">
        <f ca="1" t="shared" si="164"/>
        <v>16</v>
      </c>
    </row>
    <row r="3495" ht="18" spans="1:11">
      <c r="A3495" s="14">
        <f t="shared" si="162"/>
        <v>3494</v>
      </c>
      <c r="B3495" s="11" t="s">
        <v>6646</v>
      </c>
      <c r="C3495" s="14" t="str">
        <f>IFERROR(INDEX(面试清单!D:D,MATCH(3494,面试清单!P:P,0)),"")</f>
        <v/>
      </c>
      <c r="D3495" s="11" t="s">
        <v>43</v>
      </c>
      <c r="E3495" s="11" t="s">
        <v>62</v>
      </c>
      <c r="F3495" s="11" t="s">
        <v>2221</v>
      </c>
      <c r="G3495" s="15">
        <v>46169</v>
      </c>
      <c r="H3495" s="14" t="str">
        <f>IFERROR(INDEX(面试清单!H:H,MATCH(3494,面试清单!P:P,0)),"")</f>
        <v/>
      </c>
      <c r="I3495" s="13" t="s">
        <v>30</v>
      </c>
      <c r="J3495" s="14">
        <f ca="1" t="shared" si="163"/>
        <v>20</v>
      </c>
      <c r="K3495" s="14">
        <f ca="1" t="shared" si="164"/>
        <v>16</v>
      </c>
    </row>
    <row r="3496" ht="18" spans="1:11">
      <c r="A3496" s="10">
        <f t="shared" si="162"/>
        <v>3495</v>
      </c>
      <c r="B3496" s="11" t="s">
        <v>6647</v>
      </c>
      <c r="C3496" s="10" t="str">
        <f>IFERROR(INDEX(面试清单!D:D,MATCH(3495,面试清单!P:P,0)),"")</f>
        <v/>
      </c>
      <c r="D3496" s="11" t="s">
        <v>43</v>
      </c>
      <c r="E3496" s="11" t="s">
        <v>63</v>
      </c>
      <c r="F3496" s="11" t="s">
        <v>3826</v>
      </c>
      <c r="G3496" s="15">
        <v>46169</v>
      </c>
      <c r="H3496" s="10" t="str">
        <f>IFERROR(INDEX(面试清单!H:H,MATCH(3495,面试清单!P:P,0)),"")</f>
        <v/>
      </c>
      <c r="I3496" s="13" t="s">
        <v>30</v>
      </c>
      <c r="J3496" s="10">
        <f ca="1" t="shared" si="163"/>
        <v>20</v>
      </c>
      <c r="K3496" s="10">
        <f ca="1" t="shared" si="164"/>
        <v>16</v>
      </c>
    </row>
    <row r="3497" ht="18" spans="1:11">
      <c r="A3497" s="14">
        <f t="shared" si="162"/>
        <v>3496</v>
      </c>
      <c r="B3497" s="11" t="s">
        <v>6648</v>
      </c>
      <c r="C3497" s="124" t="str">
        <f>IFERROR(INDEX(面试清单!D:D,MATCH(3496,面试清单!P:P,0)),"")</f>
        <v>0214</v>
      </c>
      <c r="D3497" s="11" t="s">
        <v>43</v>
      </c>
      <c r="E3497" s="11" t="s">
        <v>64</v>
      </c>
      <c r="F3497" s="11" t="s">
        <v>2250</v>
      </c>
      <c r="G3497" s="15">
        <v>46169</v>
      </c>
      <c r="H3497" s="14" t="str">
        <f>IFERROR(INDEX(面试清单!H:H,MATCH(3496,面试清单!P:P,0)),"")</f>
        <v>线上</v>
      </c>
      <c r="I3497" s="13" t="s">
        <v>30</v>
      </c>
      <c r="J3497" s="14">
        <f ca="1" t="shared" si="163"/>
        <v>20</v>
      </c>
      <c r="K3497" s="14">
        <f ca="1" t="shared" si="164"/>
        <v>16</v>
      </c>
    </row>
    <row r="3498" ht="18" spans="1:11">
      <c r="A3498" s="10">
        <f t="shared" si="162"/>
        <v>3497</v>
      </c>
      <c r="B3498" s="11" t="s">
        <v>6649</v>
      </c>
      <c r="C3498" s="10" t="str">
        <f>IFERROR(INDEX(面试清单!D:D,MATCH(3497,面试清单!P:P,0)),"")</f>
        <v/>
      </c>
      <c r="D3498" s="11" t="s">
        <v>43</v>
      </c>
      <c r="E3498" s="11" t="s">
        <v>64</v>
      </c>
      <c r="F3498" s="11" t="s">
        <v>103</v>
      </c>
      <c r="G3498" s="15">
        <v>46169</v>
      </c>
      <c r="H3498" s="10" t="str">
        <f>IFERROR(INDEX(面试清单!H:H,MATCH(3497,面试清单!P:P,0)),"")</f>
        <v/>
      </c>
      <c r="I3498" s="13" t="s">
        <v>30</v>
      </c>
      <c r="J3498" s="10">
        <f ca="1" t="shared" si="163"/>
        <v>20</v>
      </c>
      <c r="K3498" s="10">
        <f ca="1" t="shared" si="164"/>
        <v>16</v>
      </c>
    </row>
    <row r="3499" ht="18" spans="1:11">
      <c r="A3499" s="14">
        <f t="shared" si="162"/>
        <v>3498</v>
      </c>
      <c r="B3499" s="11" t="s">
        <v>6650</v>
      </c>
      <c r="C3499" s="14" t="str">
        <f>IFERROR(INDEX(面试清单!D:D,MATCH(3498,面试清单!P:P,0)),"")</f>
        <v/>
      </c>
      <c r="D3499" s="11" t="s">
        <v>43</v>
      </c>
      <c r="E3499" s="11" t="s">
        <v>64</v>
      </c>
      <c r="F3499" s="11" t="s">
        <v>103</v>
      </c>
      <c r="G3499" s="15">
        <v>46169</v>
      </c>
      <c r="H3499" s="14" t="str">
        <f>IFERROR(INDEX(面试清单!H:H,MATCH(3498,面试清单!P:P,0)),"")</f>
        <v/>
      </c>
      <c r="I3499" s="13" t="s">
        <v>30</v>
      </c>
      <c r="J3499" s="14">
        <f ca="1" t="shared" si="163"/>
        <v>20</v>
      </c>
      <c r="K3499" s="14">
        <f ca="1" t="shared" si="164"/>
        <v>16</v>
      </c>
    </row>
    <row r="3500" ht="18" spans="1:11">
      <c r="A3500" s="10">
        <f t="shared" si="162"/>
        <v>3499</v>
      </c>
      <c r="B3500" s="11" t="s">
        <v>6651</v>
      </c>
      <c r="C3500" s="10" t="str">
        <f>IFERROR(INDEX(面试清单!D:D,MATCH(3499,面试清单!P:P,0)),"")</f>
        <v/>
      </c>
      <c r="D3500" s="11" t="s">
        <v>43</v>
      </c>
      <c r="E3500" s="11" t="s">
        <v>64</v>
      </c>
      <c r="F3500" s="11" t="s">
        <v>2195</v>
      </c>
      <c r="G3500" s="15">
        <v>46169</v>
      </c>
      <c r="H3500" s="10" t="str">
        <f>IFERROR(INDEX(面试清单!H:H,MATCH(3499,面试清单!P:P,0)),"")</f>
        <v/>
      </c>
      <c r="I3500" s="13" t="s">
        <v>30</v>
      </c>
      <c r="J3500" s="10">
        <f ca="1" t="shared" si="163"/>
        <v>20</v>
      </c>
      <c r="K3500" s="10">
        <f ca="1" t="shared" si="164"/>
        <v>16</v>
      </c>
    </row>
    <row r="3501" ht="18" spans="1:11">
      <c r="A3501" s="14">
        <f t="shared" si="162"/>
        <v>3500</v>
      </c>
      <c r="B3501" s="11" t="s">
        <v>6652</v>
      </c>
      <c r="C3501" s="14" t="str">
        <f>IFERROR(INDEX(面试清单!D:D,MATCH(3500,面试清单!P:P,0)),"")</f>
        <v/>
      </c>
      <c r="D3501" s="11" t="s">
        <v>43</v>
      </c>
      <c r="E3501" s="11" t="s">
        <v>63</v>
      </c>
      <c r="F3501" s="11" t="s">
        <v>2186</v>
      </c>
      <c r="G3501" s="15">
        <v>46170</v>
      </c>
      <c r="H3501" s="14" t="str">
        <f>IFERROR(INDEX(面试清单!H:H,MATCH(3500,面试清单!P:P,0)),"")</f>
        <v/>
      </c>
      <c r="I3501" s="13" t="s">
        <v>30</v>
      </c>
      <c r="J3501" s="14">
        <f ca="1" t="shared" si="163"/>
        <v>19</v>
      </c>
      <c r="K3501" s="14">
        <f ca="1" t="shared" si="164"/>
        <v>16</v>
      </c>
    </row>
    <row r="3502" ht="18" spans="1:11">
      <c r="A3502" s="10">
        <f t="shared" si="162"/>
        <v>3501</v>
      </c>
      <c r="B3502" s="11" t="s">
        <v>6653</v>
      </c>
      <c r="C3502" s="10" t="str">
        <f>IFERROR(INDEX(面试清单!D:D,MATCH(3501,面试清单!P:P,0)),"")</f>
        <v/>
      </c>
      <c r="D3502" s="11" t="s">
        <v>42</v>
      </c>
      <c r="E3502" s="11" t="s">
        <v>63</v>
      </c>
      <c r="F3502" s="11" t="s">
        <v>6634</v>
      </c>
      <c r="G3502" s="15">
        <v>46170</v>
      </c>
      <c r="H3502" s="10" t="str">
        <f>IFERROR(INDEX(面试清单!H:H,MATCH(3501,面试清单!P:P,0)),"")</f>
        <v/>
      </c>
      <c r="I3502" s="13" t="s">
        <v>30</v>
      </c>
      <c r="J3502" s="10">
        <f ca="1" t="shared" si="163"/>
        <v>19</v>
      </c>
      <c r="K3502" s="10">
        <f ca="1" t="shared" si="164"/>
        <v>16</v>
      </c>
    </row>
    <row r="3503" ht="18" spans="1:11">
      <c r="A3503" s="14">
        <f t="shared" si="162"/>
        <v>3502</v>
      </c>
      <c r="B3503" s="11" t="s">
        <v>6654</v>
      </c>
      <c r="C3503" s="14" t="str">
        <f>IFERROR(INDEX(面试清单!D:D,MATCH(3502,面试清单!P:P,0)),"")</f>
        <v/>
      </c>
      <c r="D3503" s="11" t="s">
        <v>42</v>
      </c>
      <c r="E3503" s="11" t="s">
        <v>62</v>
      </c>
      <c r="F3503" s="11" t="s">
        <v>6634</v>
      </c>
      <c r="G3503" s="15">
        <v>46170</v>
      </c>
      <c r="H3503" s="14" t="str">
        <f>IFERROR(INDEX(面试清单!H:H,MATCH(3502,面试清单!P:P,0)),"")</f>
        <v/>
      </c>
      <c r="I3503" s="13" t="s">
        <v>30</v>
      </c>
      <c r="J3503" s="14">
        <f ca="1" t="shared" si="163"/>
        <v>19</v>
      </c>
      <c r="K3503" s="14">
        <f ca="1" t="shared" si="164"/>
        <v>16</v>
      </c>
    </row>
    <row r="3504" ht="18" spans="1:11">
      <c r="A3504" s="10">
        <f t="shared" si="162"/>
        <v>3503</v>
      </c>
      <c r="B3504" s="11" t="s">
        <v>6655</v>
      </c>
      <c r="C3504" s="10" t="str">
        <f>IFERROR(INDEX(面试清单!D:D,MATCH(3503,面试清单!P:P,0)),"")</f>
        <v/>
      </c>
      <c r="D3504" s="11" t="s">
        <v>43</v>
      </c>
      <c r="E3504" s="11" t="s">
        <v>63</v>
      </c>
      <c r="F3504" s="11" t="s">
        <v>148</v>
      </c>
      <c r="G3504" s="15">
        <v>46170</v>
      </c>
      <c r="H3504" s="10" t="str">
        <f>IFERROR(INDEX(面试清单!H:H,MATCH(3503,面试清单!P:P,0)),"")</f>
        <v/>
      </c>
      <c r="I3504" s="13" t="s">
        <v>30</v>
      </c>
      <c r="J3504" s="10">
        <f ca="1" t="shared" si="163"/>
        <v>19</v>
      </c>
      <c r="K3504" s="10">
        <f ca="1" t="shared" si="164"/>
        <v>16</v>
      </c>
    </row>
    <row r="3505" ht="18" spans="1:11">
      <c r="A3505" s="14">
        <f t="shared" si="162"/>
        <v>3504</v>
      </c>
      <c r="B3505" s="11" t="s">
        <v>6656</v>
      </c>
      <c r="C3505" s="14" t="str">
        <f>IFERROR(INDEX(面试清单!D:D,MATCH(3504,面试清单!P:P,0)),"")</f>
        <v/>
      </c>
      <c r="D3505" s="11" t="s">
        <v>43</v>
      </c>
      <c r="E3505" s="11" t="s">
        <v>63</v>
      </c>
      <c r="F3505" s="11" t="s">
        <v>148</v>
      </c>
      <c r="G3505" s="15">
        <v>46170</v>
      </c>
      <c r="H3505" s="14" t="str">
        <f>IFERROR(INDEX(面试清单!H:H,MATCH(3504,面试清单!P:P,0)),"")</f>
        <v/>
      </c>
      <c r="I3505" s="13" t="s">
        <v>30</v>
      </c>
      <c r="J3505" s="14">
        <f ca="1" t="shared" si="163"/>
        <v>19</v>
      </c>
      <c r="K3505" s="14">
        <f ca="1" t="shared" si="164"/>
        <v>16</v>
      </c>
    </row>
    <row r="3506" ht="18" spans="1:11">
      <c r="A3506" s="10">
        <f t="shared" si="162"/>
        <v>3505</v>
      </c>
      <c r="B3506" s="11" t="s">
        <v>6657</v>
      </c>
      <c r="C3506" s="10" t="str">
        <f>IFERROR(INDEX(面试清单!D:D,MATCH(3505,面试清单!P:P,0)),"")</f>
        <v/>
      </c>
      <c r="D3506" s="11" t="s">
        <v>42</v>
      </c>
      <c r="E3506" s="11" t="s">
        <v>63</v>
      </c>
      <c r="F3506" s="11" t="s">
        <v>103</v>
      </c>
      <c r="G3506" s="15">
        <v>46170</v>
      </c>
      <c r="H3506" s="10" t="str">
        <f>IFERROR(INDEX(面试清单!H:H,MATCH(3505,面试清单!P:P,0)),"")</f>
        <v/>
      </c>
      <c r="I3506" s="13" t="s">
        <v>30</v>
      </c>
      <c r="J3506" s="10">
        <f ca="1" t="shared" si="163"/>
        <v>19</v>
      </c>
      <c r="K3506" s="10">
        <f ca="1" t="shared" si="164"/>
        <v>16</v>
      </c>
    </row>
    <row r="3507" ht="18" spans="1:11">
      <c r="A3507" s="14">
        <f t="shared" si="162"/>
        <v>3506</v>
      </c>
      <c r="B3507" s="11" t="s">
        <v>6658</v>
      </c>
      <c r="C3507" s="14" t="str">
        <f>IFERROR(INDEX(面试清单!D:D,MATCH(3506,面试清单!P:P,0)),"")</f>
        <v/>
      </c>
      <c r="D3507" s="11" t="s">
        <v>43</v>
      </c>
      <c r="E3507" s="11" t="s">
        <v>63</v>
      </c>
      <c r="F3507" s="11" t="s">
        <v>124</v>
      </c>
      <c r="G3507" s="15">
        <v>46170</v>
      </c>
      <c r="H3507" s="14" t="str">
        <f>IFERROR(INDEX(面试清单!H:H,MATCH(3506,面试清单!P:P,0)),"")</f>
        <v/>
      </c>
      <c r="I3507" s="13" t="s">
        <v>30</v>
      </c>
      <c r="J3507" s="14">
        <f ca="1" t="shared" si="163"/>
        <v>19</v>
      </c>
      <c r="K3507" s="14">
        <f ca="1" t="shared" si="164"/>
        <v>16</v>
      </c>
    </row>
    <row r="3508" ht="18" spans="1:11">
      <c r="A3508" s="10">
        <f t="shared" si="162"/>
        <v>3507</v>
      </c>
      <c r="B3508" s="11" t="s">
        <v>6659</v>
      </c>
      <c r="C3508" s="10" t="str">
        <f>IFERROR(INDEX(面试清单!D:D,MATCH(3507,面试清单!P:P,0)),"")</f>
        <v/>
      </c>
      <c r="D3508" s="11" t="s">
        <v>43</v>
      </c>
      <c r="E3508" s="11" t="s">
        <v>62</v>
      </c>
      <c r="F3508" s="11" t="s">
        <v>124</v>
      </c>
      <c r="G3508" s="15">
        <v>46170</v>
      </c>
      <c r="H3508" s="10" t="str">
        <f>IFERROR(INDEX(面试清单!H:H,MATCH(3507,面试清单!P:P,0)),"")</f>
        <v/>
      </c>
      <c r="I3508" s="13" t="s">
        <v>30</v>
      </c>
      <c r="J3508" s="10">
        <f ca="1" t="shared" si="163"/>
        <v>19</v>
      </c>
      <c r="K3508" s="10">
        <f ca="1" t="shared" si="164"/>
        <v>16</v>
      </c>
    </row>
    <row r="3509" ht="18" spans="1:11">
      <c r="A3509" s="14">
        <f t="shared" si="162"/>
        <v>3508</v>
      </c>
      <c r="B3509" s="11" t="s">
        <v>6660</v>
      </c>
      <c r="C3509" s="14" t="str">
        <f>IFERROR(INDEX(面试清单!D:D,MATCH(3508,面试清单!P:P,0)),"")</f>
        <v/>
      </c>
      <c r="D3509" s="11" t="s">
        <v>43</v>
      </c>
      <c r="E3509" s="11" t="s">
        <v>64</v>
      </c>
      <c r="F3509" s="11" t="s">
        <v>3826</v>
      </c>
      <c r="G3509" s="15">
        <v>46170</v>
      </c>
      <c r="H3509" s="14" t="str">
        <f>IFERROR(INDEX(面试清单!H:H,MATCH(3508,面试清单!P:P,0)),"")</f>
        <v/>
      </c>
      <c r="I3509" s="13" t="s">
        <v>30</v>
      </c>
      <c r="J3509" s="14">
        <f ca="1" t="shared" si="163"/>
        <v>19</v>
      </c>
      <c r="K3509" s="14">
        <f ca="1" t="shared" si="164"/>
        <v>16</v>
      </c>
    </row>
    <row r="3510" ht="18" spans="1:11">
      <c r="A3510" s="10">
        <f t="shared" si="162"/>
        <v>3509</v>
      </c>
      <c r="B3510" s="11" t="s">
        <v>6661</v>
      </c>
      <c r="C3510" s="10" t="str">
        <f>IFERROR(INDEX(面试清单!D:D,MATCH(3509,面试清单!P:P,0)),"")</f>
        <v/>
      </c>
      <c r="D3510" s="11" t="s">
        <v>43</v>
      </c>
      <c r="E3510" s="11" t="s">
        <v>63</v>
      </c>
      <c r="F3510" s="11" t="s">
        <v>3826</v>
      </c>
      <c r="G3510" s="15">
        <v>46170</v>
      </c>
      <c r="H3510" s="10" t="str">
        <f>IFERROR(INDEX(面试清单!H:H,MATCH(3509,面试清单!P:P,0)),"")</f>
        <v/>
      </c>
      <c r="I3510" s="13" t="s">
        <v>30</v>
      </c>
      <c r="J3510" s="10">
        <f ca="1" t="shared" si="163"/>
        <v>19</v>
      </c>
      <c r="K3510" s="10">
        <f ca="1" t="shared" si="164"/>
        <v>16</v>
      </c>
    </row>
    <row r="3511" ht="18" spans="1:11">
      <c r="A3511" s="14">
        <f t="shared" si="162"/>
        <v>3510</v>
      </c>
      <c r="B3511" s="11" t="s">
        <v>6662</v>
      </c>
      <c r="C3511" s="14" t="str">
        <f>IFERROR(INDEX(面试清单!D:D,MATCH(3510,面试清单!P:P,0)),"")</f>
        <v/>
      </c>
      <c r="D3511" s="11" t="s">
        <v>42</v>
      </c>
      <c r="E3511" s="11" t="s">
        <v>62</v>
      </c>
      <c r="F3511" s="11" t="s">
        <v>2221</v>
      </c>
      <c r="G3511" s="15">
        <v>46170</v>
      </c>
      <c r="H3511" s="14" t="str">
        <f>IFERROR(INDEX(面试清单!H:H,MATCH(3510,面试清单!P:P,0)),"")</f>
        <v/>
      </c>
      <c r="I3511" s="13" t="s">
        <v>30</v>
      </c>
      <c r="J3511" s="14">
        <f ca="1" t="shared" si="163"/>
        <v>19</v>
      </c>
      <c r="K3511" s="14">
        <f ca="1" t="shared" si="164"/>
        <v>16</v>
      </c>
    </row>
    <row r="3512" ht="18" spans="1:11">
      <c r="A3512" s="10">
        <f t="shared" si="162"/>
        <v>3511</v>
      </c>
      <c r="B3512" s="11" t="s">
        <v>6663</v>
      </c>
      <c r="C3512" s="10" t="str">
        <f>IFERROR(INDEX(面试清单!D:D,MATCH(3511,面试清单!P:P,0)),"")</f>
        <v/>
      </c>
      <c r="D3512" s="11" t="s">
        <v>42</v>
      </c>
      <c r="E3512" s="11" t="s">
        <v>62</v>
      </c>
      <c r="F3512" s="11" t="s">
        <v>2221</v>
      </c>
      <c r="G3512" s="15">
        <v>46170</v>
      </c>
      <c r="H3512" s="10" t="str">
        <f>IFERROR(INDEX(面试清单!H:H,MATCH(3511,面试清单!P:P,0)),"")</f>
        <v/>
      </c>
      <c r="I3512" s="13" t="s">
        <v>30</v>
      </c>
      <c r="J3512" s="10">
        <f ca="1" t="shared" si="163"/>
        <v>19</v>
      </c>
      <c r="K3512" s="10">
        <f ca="1" t="shared" si="164"/>
        <v>16</v>
      </c>
    </row>
    <row r="3513" ht="18" spans="1:11">
      <c r="A3513" s="14">
        <f t="shared" si="162"/>
        <v>3512</v>
      </c>
      <c r="B3513" s="11" t="s">
        <v>6664</v>
      </c>
      <c r="C3513" s="14" t="str">
        <f>IFERROR(INDEX(面试清单!D:D,MATCH(3512,面试清单!P:P,0)),"")</f>
        <v/>
      </c>
      <c r="D3513" s="11" t="s">
        <v>42</v>
      </c>
      <c r="E3513" s="11" t="s">
        <v>63</v>
      </c>
      <c r="F3513" s="11" t="s">
        <v>2221</v>
      </c>
      <c r="G3513" s="15">
        <v>46170</v>
      </c>
      <c r="H3513" s="14" t="str">
        <f>IFERROR(INDEX(面试清单!H:H,MATCH(3512,面试清单!P:P,0)),"")</f>
        <v/>
      </c>
      <c r="I3513" s="13" t="s">
        <v>30</v>
      </c>
      <c r="J3513" s="14">
        <f ca="1" t="shared" si="163"/>
        <v>19</v>
      </c>
      <c r="K3513" s="14">
        <f ca="1" t="shared" si="164"/>
        <v>16</v>
      </c>
    </row>
    <row r="3514" ht="18" spans="1:11">
      <c r="A3514" s="10">
        <f t="shared" si="162"/>
        <v>3513</v>
      </c>
      <c r="B3514" s="11" t="s">
        <v>6665</v>
      </c>
      <c r="C3514" s="10" t="str">
        <f>IFERROR(INDEX(面试清单!D:D,MATCH(3513,面试清单!P:P,0)),"")</f>
        <v/>
      </c>
      <c r="D3514" s="11" t="s">
        <v>42</v>
      </c>
      <c r="E3514" s="11" t="s">
        <v>63</v>
      </c>
      <c r="F3514" s="11" t="s">
        <v>2164</v>
      </c>
      <c r="G3514" s="15">
        <v>46170</v>
      </c>
      <c r="H3514" s="10" t="str">
        <f>IFERROR(INDEX(面试清单!H:H,MATCH(3513,面试清单!P:P,0)),"")</f>
        <v/>
      </c>
      <c r="I3514" s="13" t="s">
        <v>30</v>
      </c>
      <c r="J3514" s="10">
        <f ca="1" t="shared" si="163"/>
        <v>19</v>
      </c>
      <c r="K3514" s="10">
        <f ca="1" t="shared" si="164"/>
        <v>16</v>
      </c>
    </row>
    <row r="3515" ht="18" spans="1:11">
      <c r="A3515" s="14">
        <f t="shared" si="162"/>
        <v>3514</v>
      </c>
      <c r="B3515" s="11" t="s">
        <v>6666</v>
      </c>
      <c r="C3515" s="14" t="str">
        <f>IFERROR(INDEX(面试清单!D:D,MATCH(3514,面试清单!P:P,0)),"")</f>
        <v/>
      </c>
      <c r="D3515" s="11" t="s">
        <v>43</v>
      </c>
      <c r="E3515" s="11" t="s">
        <v>64</v>
      </c>
      <c r="F3515" s="11" t="s">
        <v>2164</v>
      </c>
      <c r="G3515" s="15">
        <v>46170</v>
      </c>
      <c r="H3515" s="14" t="str">
        <f>IFERROR(INDEX(面试清单!H:H,MATCH(3514,面试清单!P:P,0)),"")</f>
        <v/>
      </c>
      <c r="I3515" s="13" t="s">
        <v>30</v>
      </c>
      <c r="J3515" s="14">
        <f ca="1" t="shared" si="163"/>
        <v>19</v>
      </c>
      <c r="K3515" s="14">
        <f ca="1" t="shared" si="164"/>
        <v>16</v>
      </c>
    </row>
    <row r="3516" ht="18" spans="1:11">
      <c r="A3516" s="10">
        <f t="shared" si="162"/>
        <v>3515</v>
      </c>
      <c r="B3516" s="11" t="s">
        <v>6667</v>
      </c>
      <c r="C3516" s="10" t="str">
        <f>IFERROR(INDEX(面试清单!D:D,MATCH(3515,面试清单!P:P,0)),"")</f>
        <v/>
      </c>
      <c r="D3516" s="11" t="s">
        <v>43</v>
      </c>
      <c r="E3516" s="11" t="s">
        <v>64</v>
      </c>
      <c r="F3516" s="11" t="s">
        <v>2164</v>
      </c>
      <c r="G3516" s="15">
        <v>46170</v>
      </c>
      <c r="H3516" s="10" t="str">
        <f>IFERROR(INDEX(面试清单!H:H,MATCH(3515,面试清单!P:P,0)),"")</f>
        <v/>
      </c>
      <c r="I3516" s="13" t="s">
        <v>30</v>
      </c>
      <c r="J3516" s="10">
        <f ca="1" t="shared" si="163"/>
        <v>19</v>
      </c>
      <c r="K3516" s="10">
        <f ca="1" t="shared" si="164"/>
        <v>16</v>
      </c>
    </row>
    <row r="3517" ht="18" spans="1:11">
      <c r="A3517" s="14">
        <f t="shared" si="162"/>
        <v>3516</v>
      </c>
      <c r="B3517" s="11" t="s">
        <v>6668</v>
      </c>
      <c r="C3517" s="14" t="str">
        <f>IFERROR(INDEX(面试清单!D:D,MATCH(3516,面试清单!P:P,0)),"")</f>
        <v/>
      </c>
      <c r="D3517" s="11" t="s">
        <v>42</v>
      </c>
      <c r="E3517" s="11" t="s">
        <v>62</v>
      </c>
      <c r="F3517" s="11" t="s">
        <v>148</v>
      </c>
      <c r="G3517" s="15">
        <v>46170</v>
      </c>
      <c r="H3517" s="14" t="str">
        <f>IFERROR(INDEX(面试清单!H:H,MATCH(3516,面试清单!P:P,0)),"")</f>
        <v/>
      </c>
      <c r="I3517" s="13" t="s">
        <v>30</v>
      </c>
      <c r="J3517" s="14">
        <f ca="1" t="shared" si="163"/>
        <v>19</v>
      </c>
      <c r="K3517" s="14">
        <f ca="1" t="shared" si="164"/>
        <v>16</v>
      </c>
    </row>
    <row r="3518" ht="18" spans="1:11">
      <c r="A3518" s="10">
        <f t="shared" si="162"/>
        <v>3517</v>
      </c>
      <c r="B3518" s="11" t="s">
        <v>6669</v>
      </c>
      <c r="C3518" s="125" t="str">
        <f>IFERROR(INDEX(面试清单!D:D,MATCH(3517,面试清单!P:P,0)),"")</f>
        <v>0220</v>
      </c>
      <c r="D3518" s="11" t="s">
        <v>43</v>
      </c>
      <c r="E3518" s="11" t="s">
        <v>64</v>
      </c>
      <c r="F3518" s="11" t="s">
        <v>124</v>
      </c>
      <c r="G3518" s="15">
        <v>46170</v>
      </c>
      <c r="H3518" s="10" t="str">
        <f>IFERROR(INDEX(面试清单!H:H,MATCH(3517,面试清单!P:P,0)),"")</f>
        <v>线上</v>
      </c>
      <c r="I3518" s="13" t="s">
        <v>30</v>
      </c>
      <c r="J3518" s="10">
        <f ca="1" t="shared" si="163"/>
        <v>19</v>
      </c>
      <c r="K3518" s="10">
        <f ca="1" t="shared" si="164"/>
        <v>16</v>
      </c>
    </row>
    <row r="3519" ht="18" spans="1:11">
      <c r="A3519" s="14">
        <f t="shared" si="162"/>
        <v>3518</v>
      </c>
      <c r="B3519" s="11" t="s">
        <v>6670</v>
      </c>
      <c r="C3519" s="124" t="str">
        <f>IFERROR(INDEX(面试清单!D:D,MATCH(3518,面试清单!P:P,0)),"")</f>
        <v>0221</v>
      </c>
      <c r="D3519" s="11" t="s">
        <v>42</v>
      </c>
      <c r="E3519" s="11" t="s">
        <v>63</v>
      </c>
      <c r="F3519" s="11" t="s">
        <v>124</v>
      </c>
      <c r="G3519" s="15">
        <v>46170</v>
      </c>
      <c r="H3519" s="14" t="str">
        <f>IFERROR(INDEX(面试清单!H:H,MATCH(3518,面试清单!P:P,0)),"")</f>
        <v>线下</v>
      </c>
      <c r="I3519" s="13" t="s">
        <v>30</v>
      </c>
      <c r="J3519" s="14">
        <f ca="1" t="shared" si="163"/>
        <v>19</v>
      </c>
      <c r="K3519" s="14">
        <f ca="1" t="shared" si="164"/>
        <v>16</v>
      </c>
    </row>
    <row r="3520" ht="18" spans="1:11">
      <c r="A3520" s="10">
        <f t="shared" si="162"/>
        <v>3519</v>
      </c>
      <c r="B3520" s="11" t="s">
        <v>6671</v>
      </c>
      <c r="C3520" s="10" t="str">
        <f>IFERROR(INDEX(面试清单!D:D,MATCH(3519,面试清单!P:P,0)),"")</f>
        <v/>
      </c>
      <c r="D3520" s="11" t="s">
        <v>42</v>
      </c>
      <c r="E3520" s="11" t="s">
        <v>62</v>
      </c>
      <c r="F3520" s="11" t="s">
        <v>148</v>
      </c>
      <c r="G3520" s="15">
        <v>46171</v>
      </c>
      <c r="H3520" s="10" t="str">
        <f>IFERROR(INDEX(面试清单!H:H,MATCH(3519,面试清单!P:P,0)),"")</f>
        <v/>
      </c>
      <c r="I3520" s="13" t="s">
        <v>30</v>
      </c>
      <c r="J3520" s="10">
        <f ca="1" t="shared" si="163"/>
        <v>18</v>
      </c>
      <c r="K3520" s="10">
        <f ca="1" t="shared" si="164"/>
        <v>16</v>
      </c>
    </row>
    <row r="3521" ht="18" spans="1:11">
      <c r="A3521" s="14">
        <f t="shared" si="162"/>
        <v>3520</v>
      </c>
      <c r="B3521" s="11" t="s">
        <v>6672</v>
      </c>
      <c r="C3521" s="14" t="str">
        <f>IFERROR(INDEX(面试清单!D:D,MATCH(3520,面试清单!P:P,0)),"")</f>
        <v/>
      </c>
      <c r="D3521" s="11" t="s">
        <v>42</v>
      </c>
      <c r="E3521" s="11" t="s">
        <v>63</v>
      </c>
      <c r="F3521" s="11" t="s">
        <v>148</v>
      </c>
      <c r="G3521" s="15">
        <v>46171</v>
      </c>
      <c r="H3521" s="14" t="str">
        <f>IFERROR(INDEX(面试清单!H:H,MATCH(3520,面试清单!P:P,0)),"")</f>
        <v/>
      </c>
      <c r="I3521" s="13" t="s">
        <v>30</v>
      </c>
      <c r="J3521" s="14">
        <f ca="1" t="shared" si="163"/>
        <v>18</v>
      </c>
      <c r="K3521" s="14">
        <f ca="1" t="shared" si="164"/>
        <v>16</v>
      </c>
    </row>
    <row r="3522" ht="18" spans="1:11">
      <c r="A3522" s="10">
        <f t="shared" ref="A3522:A3585" si="165">IF(B3522&lt;&gt;"",ROW()-1,"")</f>
        <v>3521</v>
      </c>
      <c r="B3522" s="11" t="s">
        <v>6673</v>
      </c>
      <c r="C3522" s="125" t="str">
        <f>IFERROR(INDEX(面试清单!D:D,MATCH(3521,面试清单!P:P,0)),"")</f>
        <v>0209</v>
      </c>
      <c r="D3522" s="11" t="s">
        <v>42</v>
      </c>
      <c r="E3522" s="11" t="s">
        <v>63</v>
      </c>
      <c r="F3522" s="11" t="s">
        <v>3826</v>
      </c>
      <c r="G3522" s="15">
        <v>46171</v>
      </c>
      <c r="H3522" s="10" t="str">
        <f>IFERROR(INDEX(面试清单!H:H,MATCH(3521,面试清单!P:P,0)),"")</f>
        <v>线下</v>
      </c>
      <c r="I3522" s="13" t="s">
        <v>30</v>
      </c>
      <c r="J3522" s="10">
        <f ca="1" t="shared" ref="J3522:J3585" si="166">IF(G3522&lt;&gt;"",TODAY()-G3522,"")</f>
        <v>18</v>
      </c>
      <c r="K3522" s="10">
        <f ca="1" t="shared" ref="K3522:K3585" si="167">IF(G3522&lt;&gt;"",MAX(0,MIN(TODAY(),EOMONTH(TODAY(),0))-MAX(G3522,EOMONTH(TODAY(),-1)+1)+1),"")</f>
        <v>16</v>
      </c>
    </row>
    <row r="3523" ht="18" spans="1:11">
      <c r="A3523" s="14">
        <f t="shared" si="165"/>
        <v>3522</v>
      </c>
      <c r="B3523" s="11" t="s">
        <v>6674</v>
      </c>
      <c r="C3523" s="14" t="str">
        <f>IFERROR(INDEX(面试清单!D:D,MATCH(3522,面试清单!P:P,0)),"")</f>
        <v/>
      </c>
      <c r="D3523" s="11" t="s">
        <v>42</v>
      </c>
      <c r="E3523" s="11" t="s">
        <v>63</v>
      </c>
      <c r="F3523" s="11" t="s">
        <v>3826</v>
      </c>
      <c r="G3523" s="15">
        <v>46171</v>
      </c>
      <c r="H3523" s="14" t="str">
        <f>IFERROR(INDEX(面试清单!H:H,MATCH(3522,面试清单!P:P,0)),"")</f>
        <v/>
      </c>
      <c r="I3523" s="13" t="s">
        <v>30</v>
      </c>
      <c r="J3523" s="14">
        <f ca="1" t="shared" si="166"/>
        <v>18</v>
      </c>
      <c r="K3523" s="14">
        <f ca="1" t="shared" si="167"/>
        <v>16</v>
      </c>
    </row>
    <row r="3524" ht="18" spans="1:11">
      <c r="A3524" s="10">
        <f t="shared" si="165"/>
        <v>3523</v>
      </c>
      <c r="B3524" s="11" t="s">
        <v>6675</v>
      </c>
      <c r="C3524" s="10" t="str">
        <f>IFERROR(INDEX(面试清单!D:D,MATCH(3523,面试清单!P:P,0)),"")</f>
        <v/>
      </c>
      <c r="D3524" s="11" t="s">
        <v>42</v>
      </c>
      <c r="E3524" s="11" t="s">
        <v>63</v>
      </c>
      <c r="F3524" s="11" t="s">
        <v>2153</v>
      </c>
      <c r="G3524" s="15">
        <v>46173</v>
      </c>
      <c r="H3524" s="10" t="str">
        <f>IFERROR(INDEX(面试清单!H:H,MATCH(3523,面试清单!P:P,0)),"")</f>
        <v/>
      </c>
      <c r="I3524" s="13" t="s">
        <v>30</v>
      </c>
      <c r="J3524" s="10">
        <f ca="1" t="shared" si="166"/>
        <v>16</v>
      </c>
      <c r="K3524" s="10">
        <f ca="1" t="shared" si="167"/>
        <v>16</v>
      </c>
    </row>
    <row r="3525" ht="18" spans="1:11">
      <c r="A3525" s="14">
        <f t="shared" si="165"/>
        <v>3524</v>
      </c>
      <c r="B3525" s="11" t="s">
        <v>6676</v>
      </c>
      <c r="C3525" s="14" t="str">
        <f>IFERROR(INDEX(面试清单!D:D,MATCH(3524,面试清单!P:P,0)),"")</f>
        <v/>
      </c>
      <c r="D3525" s="11" t="s">
        <v>43</v>
      </c>
      <c r="E3525" s="11" t="s">
        <v>63</v>
      </c>
      <c r="F3525" s="11" t="s">
        <v>2153</v>
      </c>
      <c r="G3525" s="15">
        <v>46173</v>
      </c>
      <c r="H3525" s="14" t="str">
        <f>IFERROR(INDEX(面试清单!H:H,MATCH(3524,面试清单!P:P,0)),"")</f>
        <v/>
      </c>
      <c r="I3525" s="13" t="s">
        <v>30</v>
      </c>
      <c r="J3525" s="14">
        <f ca="1" t="shared" si="166"/>
        <v>16</v>
      </c>
      <c r="K3525" s="14">
        <f ca="1" t="shared" si="167"/>
        <v>16</v>
      </c>
    </row>
    <row r="3526" ht="18" spans="1:11">
      <c r="A3526" s="10">
        <f t="shared" si="165"/>
        <v>3525</v>
      </c>
      <c r="B3526" s="11" t="s">
        <v>6677</v>
      </c>
      <c r="C3526" s="10" t="str">
        <f>IFERROR(INDEX(面试清单!D:D,MATCH(3525,面试清单!P:P,0)),"")</f>
        <v/>
      </c>
      <c r="D3526" s="11" t="s">
        <v>43</v>
      </c>
      <c r="E3526" s="11" t="s">
        <v>64</v>
      </c>
      <c r="F3526" s="11" t="s">
        <v>148</v>
      </c>
      <c r="G3526" s="15">
        <v>46173</v>
      </c>
      <c r="H3526" s="10" t="str">
        <f>IFERROR(INDEX(面试清单!H:H,MATCH(3525,面试清单!P:P,0)),"")</f>
        <v/>
      </c>
      <c r="I3526" s="13" t="s">
        <v>30</v>
      </c>
      <c r="J3526" s="10">
        <f ca="1" t="shared" si="166"/>
        <v>16</v>
      </c>
      <c r="K3526" s="10">
        <f ca="1" t="shared" si="167"/>
        <v>16</v>
      </c>
    </row>
    <row r="3527" ht="18" spans="1:11">
      <c r="A3527" s="14">
        <f t="shared" si="165"/>
        <v>3526</v>
      </c>
      <c r="B3527" s="11" t="s">
        <v>6678</v>
      </c>
      <c r="C3527" s="14" t="str">
        <f>IFERROR(INDEX(面试清单!D:D,MATCH(3526,面试清单!P:P,0)),"")</f>
        <v/>
      </c>
      <c r="D3527" s="11" t="s">
        <v>42</v>
      </c>
      <c r="E3527" s="11" t="s">
        <v>63</v>
      </c>
      <c r="F3527" s="11" t="s">
        <v>148</v>
      </c>
      <c r="G3527" s="15">
        <v>46173</v>
      </c>
      <c r="H3527" s="14" t="str">
        <f>IFERROR(INDEX(面试清单!H:H,MATCH(3526,面试清单!P:P,0)),"")</f>
        <v/>
      </c>
      <c r="I3527" s="13" t="s">
        <v>30</v>
      </c>
      <c r="J3527" s="14">
        <f ca="1" t="shared" si="166"/>
        <v>16</v>
      </c>
      <c r="K3527" s="14">
        <f ca="1" t="shared" si="167"/>
        <v>16</v>
      </c>
    </row>
    <row r="3528" ht="18" spans="1:11">
      <c r="A3528" s="10">
        <f t="shared" si="165"/>
        <v>3527</v>
      </c>
      <c r="B3528" s="11" t="s">
        <v>6679</v>
      </c>
      <c r="C3528" s="10" t="str">
        <f>IFERROR(INDEX(面试清单!D:D,MATCH(3527,面试清单!P:P,0)),"")</f>
        <v/>
      </c>
      <c r="D3528" s="11" t="s">
        <v>42</v>
      </c>
      <c r="E3528" s="11" t="s">
        <v>62</v>
      </c>
      <c r="F3528" s="11" t="s">
        <v>148</v>
      </c>
      <c r="G3528" s="15">
        <v>46173</v>
      </c>
      <c r="H3528" s="10" t="str">
        <f>IFERROR(INDEX(面试清单!H:H,MATCH(3527,面试清单!P:P,0)),"")</f>
        <v/>
      </c>
      <c r="I3528" s="13" t="s">
        <v>30</v>
      </c>
      <c r="J3528" s="10">
        <f ca="1" t="shared" si="166"/>
        <v>16</v>
      </c>
      <c r="K3528" s="10">
        <f ca="1" t="shared" si="167"/>
        <v>16</v>
      </c>
    </row>
    <row r="3529" ht="18" spans="1:11">
      <c r="A3529" s="14">
        <f t="shared" si="165"/>
        <v>3528</v>
      </c>
      <c r="B3529" s="11" t="s">
        <v>6680</v>
      </c>
      <c r="C3529" s="14" t="str">
        <f>IFERROR(INDEX(面试清单!D:D,MATCH(3528,面试清单!P:P,0)),"")</f>
        <v/>
      </c>
      <c r="D3529" s="11" t="s">
        <v>42</v>
      </c>
      <c r="E3529" s="11" t="s">
        <v>63</v>
      </c>
      <c r="F3529" s="11" t="s">
        <v>148</v>
      </c>
      <c r="G3529" s="15">
        <v>46173</v>
      </c>
      <c r="H3529" s="14" t="str">
        <f>IFERROR(INDEX(面试清单!H:H,MATCH(3528,面试清单!P:P,0)),"")</f>
        <v/>
      </c>
      <c r="I3529" s="13" t="s">
        <v>30</v>
      </c>
      <c r="J3529" s="14">
        <f ca="1" t="shared" si="166"/>
        <v>16</v>
      </c>
      <c r="K3529" s="14">
        <f ca="1" t="shared" si="167"/>
        <v>16</v>
      </c>
    </row>
    <row r="3530" ht="18" spans="1:11">
      <c r="A3530" s="10">
        <f t="shared" si="165"/>
        <v>3529</v>
      </c>
      <c r="B3530" s="11" t="s">
        <v>6681</v>
      </c>
      <c r="C3530" s="10" t="str">
        <f>IFERROR(INDEX(面试清单!D:D,MATCH(3529,面试清单!P:P,0)),"")</f>
        <v/>
      </c>
      <c r="D3530" s="11" t="s">
        <v>42</v>
      </c>
      <c r="E3530" s="11" t="s">
        <v>62</v>
      </c>
      <c r="F3530" s="11" t="s">
        <v>124</v>
      </c>
      <c r="G3530" s="15">
        <v>46173</v>
      </c>
      <c r="H3530" s="10" t="str">
        <f>IFERROR(INDEX(面试清单!H:H,MATCH(3529,面试清单!P:P,0)),"")</f>
        <v/>
      </c>
      <c r="I3530" s="13" t="s">
        <v>30</v>
      </c>
      <c r="J3530" s="10">
        <f ca="1" t="shared" si="166"/>
        <v>16</v>
      </c>
      <c r="K3530" s="10">
        <f ca="1" t="shared" si="167"/>
        <v>16</v>
      </c>
    </row>
    <row r="3531" ht="18" spans="1:11">
      <c r="A3531" s="14">
        <f t="shared" si="165"/>
        <v>3530</v>
      </c>
      <c r="B3531" s="11" t="s">
        <v>6682</v>
      </c>
      <c r="C3531" s="14" t="str">
        <f>IFERROR(INDEX(面试清单!D:D,MATCH(3530,面试清单!P:P,0)),"")</f>
        <v/>
      </c>
      <c r="D3531" s="11" t="s">
        <v>42</v>
      </c>
      <c r="E3531" s="11" t="s">
        <v>63</v>
      </c>
      <c r="F3531" s="11" t="s">
        <v>124</v>
      </c>
      <c r="G3531" s="15">
        <v>46173</v>
      </c>
      <c r="H3531" s="14" t="str">
        <f>IFERROR(INDEX(面试清单!H:H,MATCH(3530,面试清单!P:P,0)),"")</f>
        <v/>
      </c>
      <c r="I3531" s="13" t="s">
        <v>30</v>
      </c>
      <c r="J3531" s="14">
        <f ca="1" t="shared" si="166"/>
        <v>16</v>
      </c>
      <c r="K3531" s="14">
        <f ca="1" t="shared" si="167"/>
        <v>16</v>
      </c>
    </row>
    <row r="3532" ht="18" spans="1:11">
      <c r="A3532" s="10">
        <f t="shared" si="165"/>
        <v>3531</v>
      </c>
      <c r="B3532" s="11" t="s">
        <v>6683</v>
      </c>
      <c r="C3532" s="10" t="str">
        <f>IFERROR(INDEX(面试清单!D:D,MATCH(3531,面试清单!P:P,0)),"")</f>
        <v/>
      </c>
      <c r="D3532" s="11" t="s">
        <v>43</v>
      </c>
      <c r="E3532" s="11" t="s">
        <v>64</v>
      </c>
      <c r="F3532" s="11" t="s">
        <v>124</v>
      </c>
      <c r="G3532" s="15">
        <v>46173</v>
      </c>
      <c r="H3532" s="10" t="str">
        <f>IFERROR(INDEX(面试清单!H:H,MATCH(3531,面试清单!P:P,0)),"")</f>
        <v/>
      </c>
      <c r="I3532" s="13" t="s">
        <v>30</v>
      </c>
      <c r="J3532" s="10">
        <f ca="1" t="shared" si="166"/>
        <v>16</v>
      </c>
      <c r="K3532" s="10">
        <f ca="1" t="shared" si="167"/>
        <v>16</v>
      </c>
    </row>
    <row r="3533" ht="18" spans="1:11">
      <c r="A3533" s="14">
        <f t="shared" si="165"/>
        <v>3532</v>
      </c>
      <c r="B3533" s="11" t="s">
        <v>6684</v>
      </c>
      <c r="C3533" s="14" t="str">
        <f>IFERROR(INDEX(面试清单!D:D,MATCH(3532,面试清单!P:P,0)),"")</f>
        <v/>
      </c>
      <c r="D3533" s="11" t="s">
        <v>42</v>
      </c>
      <c r="E3533" s="11" t="s">
        <v>63</v>
      </c>
      <c r="F3533" s="11" t="s">
        <v>2164</v>
      </c>
      <c r="G3533" s="15">
        <v>46173</v>
      </c>
      <c r="H3533" s="14" t="str">
        <f>IFERROR(INDEX(面试清单!H:H,MATCH(3532,面试清单!P:P,0)),"")</f>
        <v/>
      </c>
      <c r="I3533" s="13" t="s">
        <v>30</v>
      </c>
      <c r="J3533" s="14">
        <f ca="1" t="shared" si="166"/>
        <v>16</v>
      </c>
      <c r="K3533" s="14">
        <f ca="1" t="shared" si="167"/>
        <v>16</v>
      </c>
    </row>
    <row r="3534" ht="18" spans="1:11">
      <c r="A3534" s="10">
        <f t="shared" si="165"/>
        <v>3533</v>
      </c>
      <c r="B3534" s="11" t="s">
        <v>6685</v>
      </c>
      <c r="C3534" s="10" t="str">
        <f>IFERROR(INDEX(面试清单!D:D,MATCH(3533,面试清单!P:P,0)),"")</f>
        <v/>
      </c>
      <c r="D3534" s="11" t="s">
        <v>43</v>
      </c>
      <c r="E3534" s="11" t="s">
        <v>62</v>
      </c>
      <c r="F3534" s="11" t="s">
        <v>233</v>
      </c>
      <c r="G3534" s="15">
        <v>46173</v>
      </c>
      <c r="H3534" s="10" t="str">
        <f>IFERROR(INDEX(面试清单!H:H,MATCH(3533,面试清单!P:P,0)),"")</f>
        <v/>
      </c>
      <c r="I3534" s="13" t="s">
        <v>30</v>
      </c>
      <c r="J3534" s="10">
        <f ca="1" t="shared" si="166"/>
        <v>16</v>
      </c>
      <c r="K3534" s="10">
        <f ca="1" t="shared" si="167"/>
        <v>16</v>
      </c>
    </row>
    <row r="3535" ht="18" spans="1:11">
      <c r="A3535" s="14">
        <f t="shared" si="165"/>
        <v>3534</v>
      </c>
      <c r="B3535" s="11" t="s">
        <v>6686</v>
      </c>
      <c r="C3535" s="14" t="str">
        <f>IFERROR(INDEX(面试清单!D:D,MATCH(3534,面试清单!P:P,0)),"")</f>
        <v/>
      </c>
      <c r="D3535" s="11" t="s">
        <v>42</v>
      </c>
      <c r="E3535" s="11" t="s">
        <v>63</v>
      </c>
      <c r="F3535" s="11" t="s">
        <v>233</v>
      </c>
      <c r="G3535" s="15">
        <v>46173</v>
      </c>
      <c r="H3535" s="14" t="str">
        <f>IFERROR(INDEX(面试清单!H:H,MATCH(3534,面试清单!P:P,0)),"")</f>
        <v/>
      </c>
      <c r="I3535" s="13" t="s">
        <v>30</v>
      </c>
      <c r="J3535" s="14">
        <f ca="1" t="shared" si="166"/>
        <v>16</v>
      </c>
      <c r="K3535" s="14">
        <f ca="1" t="shared" si="167"/>
        <v>16</v>
      </c>
    </row>
    <row r="3536" ht="18" spans="1:11">
      <c r="A3536" s="10">
        <f t="shared" si="165"/>
        <v>3535</v>
      </c>
      <c r="B3536" s="11" t="s">
        <v>6687</v>
      </c>
      <c r="C3536" s="10" t="str">
        <f>IFERROR(INDEX(面试清单!D:D,MATCH(3535,面试清单!P:P,0)),"")</f>
        <v/>
      </c>
      <c r="D3536" s="11" t="s">
        <v>43</v>
      </c>
      <c r="E3536" s="11" t="s">
        <v>63</v>
      </c>
      <c r="F3536" s="11" t="s">
        <v>2164</v>
      </c>
      <c r="G3536" s="15">
        <v>46173</v>
      </c>
      <c r="H3536" s="10" t="str">
        <f>IFERROR(INDEX(面试清单!H:H,MATCH(3535,面试清单!P:P,0)),"")</f>
        <v/>
      </c>
      <c r="I3536" s="13" t="s">
        <v>30</v>
      </c>
      <c r="J3536" s="10">
        <f ca="1" t="shared" si="166"/>
        <v>16</v>
      </c>
      <c r="K3536" s="10">
        <f ca="1" t="shared" si="167"/>
        <v>16</v>
      </c>
    </row>
    <row r="3537" ht="18" spans="1:11">
      <c r="A3537" s="14">
        <f t="shared" si="165"/>
        <v>3536</v>
      </c>
      <c r="B3537" s="11" t="s">
        <v>6688</v>
      </c>
      <c r="C3537" s="14" t="str">
        <f>IFERROR(INDEX(面试清单!D:D,MATCH(3536,面试清单!P:P,0)),"")</f>
        <v/>
      </c>
      <c r="D3537" s="11" t="s">
        <v>42</v>
      </c>
      <c r="E3537" s="11" t="s">
        <v>63</v>
      </c>
      <c r="F3537" s="11" t="s">
        <v>1511</v>
      </c>
      <c r="G3537" s="15">
        <v>46173</v>
      </c>
      <c r="H3537" s="14" t="str">
        <f>IFERROR(INDEX(面试清单!H:H,MATCH(3536,面试清单!P:P,0)),"")</f>
        <v/>
      </c>
      <c r="I3537" s="13" t="s">
        <v>30</v>
      </c>
      <c r="J3537" s="14">
        <f ca="1" t="shared" si="166"/>
        <v>16</v>
      </c>
      <c r="K3537" s="14">
        <f ca="1" t="shared" si="167"/>
        <v>16</v>
      </c>
    </row>
    <row r="3538" ht="18" spans="1:11">
      <c r="A3538" s="10">
        <f t="shared" si="165"/>
        <v>3537</v>
      </c>
      <c r="B3538" s="11" t="s">
        <v>6689</v>
      </c>
      <c r="C3538" s="10" t="str">
        <f>IFERROR(INDEX(面试清单!D:D,MATCH(3537,面试清单!P:P,0)),"")</f>
        <v/>
      </c>
      <c r="D3538" s="11" t="s">
        <v>43</v>
      </c>
      <c r="E3538" s="11" t="s">
        <v>62</v>
      </c>
      <c r="F3538" s="11" t="s">
        <v>179</v>
      </c>
      <c r="G3538" s="15">
        <v>46174</v>
      </c>
      <c r="H3538" s="10" t="str">
        <f>IFERROR(INDEX(面试清单!H:H,MATCH(3537,面试清单!P:P,0)),"")</f>
        <v/>
      </c>
      <c r="I3538" s="13" t="s">
        <v>30</v>
      </c>
      <c r="J3538" s="10">
        <f ca="1" t="shared" si="166"/>
        <v>15</v>
      </c>
      <c r="K3538" s="10">
        <f ca="1" t="shared" si="167"/>
        <v>16</v>
      </c>
    </row>
    <row r="3539" ht="18" spans="1:11">
      <c r="A3539" s="14">
        <f t="shared" si="165"/>
        <v>3538</v>
      </c>
      <c r="B3539" s="11" t="s">
        <v>6690</v>
      </c>
      <c r="C3539" s="14" t="str">
        <f>IFERROR(INDEX(面试清单!D:D,MATCH(3538,面试清单!P:P,0)),"")</f>
        <v/>
      </c>
      <c r="D3539" s="11" t="s">
        <v>43</v>
      </c>
      <c r="E3539" s="11" t="s">
        <v>64</v>
      </c>
      <c r="F3539" s="11" t="s">
        <v>233</v>
      </c>
      <c r="G3539" s="15">
        <v>46174</v>
      </c>
      <c r="H3539" s="14" t="str">
        <f>IFERROR(INDEX(面试清单!H:H,MATCH(3538,面试清单!P:P,0)),"")</f>
        <v/>
      </c>
      <c r="I3539" s="13" t="s">
        <v>30</v>
      </c>
      <c r="J3539" s="14">
        <f ca="1" t="shared" si="166"/>
        <v>15</v>
      </c>
      <c r="K3539" s="14">
        <f ca="1" t="shared" si="167"/>
        <v>16</v>
      </c>
    </row>
    <row r="3540" ht="18" spans="1:11">
      <c r="A3540" s="10">
        <f t="shared" si="165"/>
        <v>3539</v>
      </c>
      <c r="B3540" s="11" t="s">
        <v>6691</v>
      </c>
      <c r="C3540" s="10" t="str">
        <f>IFERROR(INDEX(面试清单!D:D,MATCH(3539,面试清单!P:P,0)),"")</f>
        <v/>
      </c>
      <c r="D3540" s="11" t="s">
        <v>42</v>
      </c>
      <c r="E3540" s="11" t="s">
        <v>62</v>
      </c>
      <c r="F3540" s="11" t="s">
        <v>124</v>
      </c>
      <c r="G3540" s="15">
        <v>46174</v>
      </c>
      <c r="H3540" s="10" t="str">
        <f>IFERROR(INDEX(面试清单!H:H,MATCH(3539,面试清单!P:P,0)),"")</f>
        <v/>
      </c>
      <c r="I3540" s="13" t="s">
        <v>30</v>
      </c>
      <c r="J3540" s="10">
        <f ca="1" t="shared" si="166"/>
        <v>15</v>
      </c>
      <c r="K3540" s="10">
        <f ca="1" t="shared" si="167"/>
        <v>16</v>
      </c>
    </row>
    <row r="3541" ht="18" spans="1:11">
      <c r="A3541" s="14">
        <f t="shared" si="165"/>
        <v>3540</v>
      </c>
      <c r="B3541" s="11" t="s">
        <v>6692</v>
      </c>
      <c r="C3541" s="14" t="str">
        <f>IFERROR(INDEX(面试清单!D:D,MATCH(3540,面试清单!P:P,0)),"")</f>
        <v/>
      </c>
      <c r="D3541" s="11" t="s">
        <v>42</v>
      </c>
      <c r="E3541" s="11" t="s">
        <v>62</v>
      </c>
      <c r="F3541" s="11" t="s">
        <v>124</v>
      </c>
      <c r="G3541" s="15">
        <v>46174</v>
      </c>
      <c r="H3541" s="14" t="str">
        <f>IFERROR(INDEX(面试清单!H:H,MATCH(3540,面试清单!P:P,0)),"")</f>
        <v/>
      </c>
      <c r="I3541" s="13" t="s">
        <v>30</v>
      </c>
      <c r="J3541" s="14">
        <f ca="1" t="shared" si="166"/>
        <v>15</v>
      </c>
      <c r="K3541" s="14">
        <f ca="1" t="shared" si="167"/>
        <v>16</v>
      </c>
    </row>
    <row r="3542" ht="18" spans="1:11">
      <c r="A3542" s="10">
        <f t="shared" si="165"/>
        <v>3541</v>
      </c>
      <c r="B3542" s="11" t="s">
        <v>6693</v>
      </c>
      <c r="C3542" s="10" t="str">
        <f>IFERROR(INDEX(面试清单!D:D,MATCH(3541,面试清单!P:P,0)),"")</f>
        <v/>
      </c>
      <c r="D3542" s="11" t="s">
        <v>43</v>
      </c>
      <c r="E3542" s="11" t="s">
        <v>62</v>
      </c>
      <c r="F3542" s="11" t="s">
        <v>124</v>
      </c>
      <c r="G3542" s="15">
        <v>46174</v>
      </c>
      <c r="H3542" s="10" t="str">
        <f>IFERROR(INDEX(面试清单!H:H,MATCH(3541,面试清单!P:P,0)),"")</f>
        <v/>
      </c>
      <c r="I3542" s="13" t="s">
        <v>30</v>
      </c>
      <c r="J3542" s="10">
        <f ca="1" t="shared" si="166"/>
        <v>15</v>
      </c>
      <c r="K3542" s="10">
        <f ca="1" t="shared" si="167"/>
        <v>16</v>
      </c>
    </row>
    <row r="3543" ht="18" spans="1:11">
      <c r="A3543" s="14">
        <f t="shared" si="165"/>
        <v>3542</v>
      </c>
      <c r="B3543" s="11" t="s">
        <v>2265</v>
      </c>
      <c r="C3543" s="14" t="str">
        <f>IFERROR(INDEX(面试清单!D:D,MATCH(3542,面试清单!P:P,0)),"")</f>
        <v/>
      </c>
      <c r="D3543" s="11" t="s">
        <v>42</v>
      </c>
      <c r="E3543" s="11" t="s">
        <v>64</v>
      </c>
      <c r="F3543" s="11" t="s">
        <v>124</v>
      </c>
      <c r="G3543" s="15">
        <v>46174</v>
      </c>
      <c r="H3543" s="14" t="str">
        <f>IFERROR(INDEX(面试清单!H:H,MATCH(3542,面试清单!P:P,0)),"")</f>
        <v/>
      </c>
      <c r="I3543" s="13" t="s">
        <v>30</v>
      </c>
      <c r="J3543" s="14">
        <f ca="1" t="shared" si="166"/>
        <v>15</v>
      </c>
      <c r="K3543" s="14">
        <f ca="1" t="shared" si="167"/>
        <v>16</v>
      </c>
    </row>
    <row r="3544" ht="18" spans="1:11">
      <c r="A3544" s="10">
        <f t="shared" si="165"/>
        <v>3543</v>
      </c>
      <c r="B3544" s="11" t="s">
        <v>6694</v>
      </c>
      <c r="C3544" s="10" t="str">
        <f>IFERROR(INDEX(面试清单!D:D,MATCH(3543,面试清单!P:P,0)),"")</f>
        <v/>
      </c>
      <c r="D3544" s="11" t="s">
        <v>42</v>
      </c>
      <c r="E3544" s="11" t="s">
        <v>63</v>
      </c>
      <c r="F3544" s="11" t="s">
        <v>124</v>
      </c>
      <c r="G3544" s="15">
        <v>46174</v>
      </c>
      <c r="H3544" s="10" t="str">
        <f>IFERROR(INDEX(面试清单!H:H,MATCH(3543,面试清单!P:P,0)),"")</f>
        <v/>
      </c>
      <c r="I3544" s="13" t="s">
        <v>30</v>
      </c>
      <c r="J3544" s="10">
        <f ca="1" t="shared" si="166"/>
        <v>15</v>
      </c>
      <c r="K3544" s="10">
        <f ca="1" t="shared" si="167"/>
        <v>16</v>
      </c>
    </row>
    <row r="3545" ht="18" spans="1:11">
      <c r="A3545" s="14">
        <f t="shared" si="165"/>
        <v>3544</v>
      </c>
      <c r="B3545" s="11" t="s">
        <v>6695</v>
      </c>
      <c r="C3545" s="14" t="str">
        <f>IFERROR(INDEX(面试清单!D:D,MATCH(3544,面试清单!P:P,0)),"")</f>
        <v/>
      </c>
      <c r="D3545" s="11" t="s">
        <v>42</v>
      </c>
      <c r="E3545" s="11" t="s">
        <v>63</v>
      </c>
      <c r="F3545" s="11" t="s">
        <v>124</v>
      </c>
      <c r="G3545" s="15">
        <v>46174</v>
      </c>
      <c r="H3545" s="14" t="str">
        <f>IFERROR(INDEX(面试清单!H:H,MATCH(3544,面试清单!P:P,0)),"")</f>
        <v/>
      </c>
      <c r="I3545" s="13" t="s">
        <v>30</v>
      </c>
      <c r="J3545" s="14">
        <f ca="1" t="shared" si="166"/>
        <v>15</v>
      </c>
      <c r="K3545" s="14">
        <f ca="1" t="shared" si="167"/>
        <v>16</v>
      </c>
    </row>
    <row r="3546" ht="18" spans="1:11">
      <c r="A3546" s="10">
        <f t="shared" si="165"/>
        <v>3545</v>
      </c>
      <c r="B3546" s="11" t="s">
        <v>6696</v>
      </c>
      <c r="C3546" s="10" t="str">
        <f>IFERROR(INDEX(面试清单!D:D,MATCH(3545,面试清单!P:P,0)),"")</f>
        <v/>
      </c>
      <c r="D3546" s="11" t="s">
        <v>42</v>
      </c>
      <c r="E3546" s="11" t="s">
        <v>63</v>
      </c>
      <c r="F3546" s="11" t="s">
        <v>124</v>
      </c>
      <c r="G3546" s="15">
        <v>46174</v>
      </c>
      <c r="H3546" s="10" t="str">
        <f>IFERROR(INDEX(面试清单!H:H,MATCH(3545,面试清单!P:P,0)),"")</f>
        <v/>
      </c>
      <c r="I3546" s="13" t="s">
        <v>30</v>
      </c>
      <c r="J3546" s="10">
        <f ca="1" t="shared" si="166"/>
        <v>15</v>
      </c>
      <c r="K3546" s="10">
        <f ca="1" t="shared" si="167"/>
        <v>16</v>
      </c>
    </row>
    <row r="3547" ht="18" spans="1:11">
      <c r="A3547" s="14">
        <f t="shared" si="165"/>
        <v>3546</v>
      </c>
      <c r="B3547" s="11" t="s">
        <v>6697</v>
      </c>
      <c r="C3547" s="14" t="str">
        <f>IFERROR(INDEX(面试清单!D:D,MATCH(3546,面试清单!P:P,0)),"")</f>
        <v/>
      </c>
      <c r="D3547" s="11" t="s">
        <v>43</v>
      </c>
      <c r="E3547" s="11" t="s">
        <v>62</v>
      </c>
      <c r="F3547" s="11" t="s">
        <v>3831</v>
      </c>
      <c r="G3547" s="15">
        <v>46174</v>
      </c>
      <c r="H3547" s="14" t="str">
        <f>IFERROR(INDEX(面试清单!H:H,MATCH(3546,面试清单!P:P,0)),"")</f>
        <v/>
      </c>
      <c r="I3547" s="13" t="s">
        <v>30</v>
      </c>
      <c r="J3547" s="14">
        <f ca="1" t="shared" si="166"/>
        <v>15</v>
      </c>
      <c r="K3547" s="14">
        <f ca="1" t="shared" si="167"/>
        <v>16</v>
      </c>
    </row>
    <row r="3548" ht="18" spans="1:11">
      <c r="A3548" s="10">
        <f t="shared" si="165"/>
        <v>3547</v>
      </c>
      <c r="B3548" s="11" t="s">
        <v>6698</v>
      </c>
      <c r="C3548" s="10" t="str">
        <f>IFERROR(INDEX(面试清单!D:D,MATCH(3547,面试清单!P:P,0)),"")</f>
        <v/>
      </c>
      <c r="D3548" s="11" t="s">
        <v>43</v>
      </c>
      <c r="E3548" s="11" t="s">
        <v>64</v>
      </c>
      <c r="F3548" s="11" t="s">
        <v>2250</v>
      </c>
      <c r="G3548" s="15">
        <v>46174</v>
      </c>
      <c r="H3548" s="10" t="str">
        <f>IFERROR(INDEX(面试清单!H:H,MATCH(3547,面试清单!P:P,0)),"")</f>
        <v/>
      </c>
      <c r="I3548" s="13" t="s">
        <v>30</v>
      </c>
      <c r="J3548" s="10">
        <f ca="1" t="shared" si="166"/>
        <v>15</v>
      </c>
      <c r="K3548" s="10">
        <f ca="1" t="shared" si="167"/>
        <v>16</v>
      </c>
    </row>
    <row r="3549" ht="18" spans="1:11">
      <c r="A3549" s="14">
        <f t="shared" si="165"/>
        <v>3548</v>
      </c>
      <c r="B3549" s="11" t="s">
        <v>6699</v>
      </c>
      <c r="C3549" s="14" t="str">
        <f>IFERROR(INDEX(面试清单!D:D,MATCH(3548,面试清单!P:P,0)),"")</f>
        <v/>
      </c>
      <c r="D3549" s="11" t="s">
        <v>43</v>
      </c>
      <c r="E3549" s="11" t="s">
        <v>62</v>
      </c>
      <c r="F3549" s="11" t="s">
        <v>3826</v>
      </c>
      <c r="G3549" s="15">
        <v>46174</v>
      </c>
      <c r="H3549" s="14" t="str">
        <f>IFERROR(INDEX(面试清单!H:H,MATCH(3548,面试清单!P:P,0)),"")</f>
        <v/>
      </c>
      <c r="I3549" s="13" t="s">
        <v>30</v>
      </c>
      <c r="J3549" s="14">
        <f ca="1" t="shared" si="166"/>
        <v>15</v>
      </c>
      <c r="K3549" s="14">
        <f ca="1" t="shared" si="167"/>
        <v>16</v>
      </c>
    </row>
    <row r="3550" ht="18" spans="1:11">
      <c r="A3550" s="10">
        <f t="shared" si="165"/>
        <v>3549</v>
      </c>
      <c r="B3550" s="11" t="s">
        <v>6700</v>
      </c>
      <c r="C3550" s="10" t="str">
        <f>IFERROR(INDEX(面试清单!D:D,MATCH(3549,面试清单!P:P,0)),"")</f>
        <v/>
      </c>
      <c r="D3550" s="11" t="s">
        <v>43</v>
      </c>
      <c r="E3550" s="11" t="s">
        <v>63</v>
      </c>
      <c r="F3550" s="11" t="s">
        <v>3826</v>
      </c>
      <c r="G3550" s="15">
        <v>46174</v>
      </c>
      <c r="H3550" s="10" t="str">
        <f>IFERROR(INDEX(面试清单!H:H,MATCH(3549,面试清单!P:P,0)),"")</f>
        <v/>
      </c>
      <c r="I3550" s="13" t="s">
        <v>30</v>
      </c>
      <c r="J3550" s="10">
        <f ca="1" t="shared" si="166"/>
        <v>15</v>
      </c>
      <c r="K3550" s="10">
        <f ca="1" t="shared" si="167"/>
        <v>16</v>
      </c>
    </row>
    <row r="3551" ht="18" spans="1:11">
      <c r="A3551" s="14">
        <f t="shared" si="165"/>
        <v>3550</v>
      </c>
      <c r="B3551" s="11" t="s">
        <v>6701</v>
      </c>
      <c r="C3551" s="14" t="str">
        <f>IFERROR(INDEX(面试清单!D:D,MATCH(3550,面试清单!P:P,0)),"")</f>
        <v/>
      </c>
      <c r="D3551" s="11" t="s">
        <v>42</v>
      </c>
      <c r="E3551" s="11" t="s">
        <v>62</v>
      </c>
      <c r="F3551" s="11" t="s">
        <v>2164</v>
      </c>
      <c r="G3551" s="15">
        <v>46174</v>
      </c>
      <c r="H3551" s="14" t="str">
        <f>IFERROR(INDEX(面试清单!H:H,MATCH(3550,面试清单!P:P,0)),"")</f>
        <v/>
      </c>
      <c r="I3551" s="13" t="s">
        <v>30</v>
      </c>
      <c r="J3551" s="14">
        <f ca="1" t="shared" si="166"/>
        <v>15</v>
      </c>
      <c r="K3551" s="14">
        <f ca="1" t="shared" si="167"/>
        <v>16</v>
      </c>
    </row>
    <row r="3552" ht="18" spans="1:11">
      <c r="A3552" s="10">
        <f t="shared" si="165"/>
        <v>3551</v>
      </c>
      <c r="B3552" s="11" t="s">
        <v>6702</v>
      </c>
      <c r="C3552" s="10" t="str">
        <f>IFERROR(INDEX(面试清单!D:D,MATCH(3551,面试清单!P:P,0)),"")</f>
        <v/>
      </c>
      <c r="D3552" s="11" t="s">
        <v>43</v>
      </c>
      <c r="E3552" s="11" t="s">
        <v>62</v>
      </c>
      <c r="F3552" s="11" t="s">
        <v>2164</v>
      </c>
      <c r="G3552" s="15">
        <v>46174</v>
      </c>
      <c r="H3552" s="10" t="str">
        <f>IFERROR(INDEX(面试清单!H:H,MATCH(3551,面试清单!P:P,0)),"")</f>
        <v/>
      </c>
      <c r="I3552" s="13" t="s">
        <v>30</v>
      </c>
      <c r="J3552" s="10">
        <f ca="1" t="shared" si="166"/>
        <v>15</v>
      </c>
      <c r="K3552" s="10">
        <f ca="1" t="shared" si="167"/>
        <v>16</v>
      </c>
    </row>
    <row r="3553" ht="18" spans="1:11">
      <c r="A3553" s="14">
        <f t="shared" si="165"/>
        <v>3552</v>
      </c>
      <c r="B3553" s="11" t="s">
        <v>6703</v>
      </c>
      <c r="C3553" s="14" t="str">
        <f>IFERROR(INDEX(面试清单!D:D,MATCH(3552,面试清单!P:P,0)),"")</f>
        <v/>
      </c>
      <c r="D3553" s="11" t="s">
        <v>43</v>
      </c>
      <c r="E3553" s="11" t="s">
        <v>63</v>
      </c>
      <c r="F3553" s="11" t="s">
        <v>2164</v>
      </c>
      <c r="G3553" s="15">
        <v>46174</v>
      </c>
      <c r="H3553" s="14" t="str">
        <f>IFERROR(INDEX(面试清单!H:H,MATCH(3552,面试清单!P:P,0)),"")</f>
        <v/>
      </c>
      <c r="I3553" s="13" t="s">
        <v>30</v>
      </c>
      <c r="J3553" s="14">
        <f ca="1" t="shared" si="166"/>
        <v>15</v>
      </c>
      <c r="K3553" s="14">
        <f ca="1" t="shared" si="167"/>
        <v>16</v>
      </c>
    </row>
    <row r="3554" ht="18" spans="1:11">
      <c r="A3554" s="10">
        <f t="shared" si="165"/>
        <v>3553</v>
      </c>
      <c r="B3554" s="11" t="s">
        <v>6704</v>
      </c>
      <c r="C3554" s="10" t="str">
        <f>IFERROR(INDEX(面试清单!D:D,MATCH(3553,面试清单!P:P,0)),"")</f>
        <v/>
      </c>
      <c r="D3554" s="11" t="s">
        <v>42</v>
      </c>
      <c r="E3554" s="11" t="s">
        <v>63</v>
      </c>
      <c r="F3554" s="11" t="s">
        <v>2164</v>
      </c>
      <c r="G3554" s="15">
        <v>46174</v>
      </c>
      <c r="H3554" s="10" t="str">
        <f>IFERROR(INDEX(面试清单!H:H,MATCH(3553,面试清单!P:P,0)),"")</f>
        <v/>
      </c>
      <c r="I3554" s="13" t="s">
        <v>30</v>
      </c>
      <c r="J3554" s="10">
        <f ca="1" t="shared" si="166"/>
        <v>15</v>
      </c>
      <c r="K3554" s="10">
        <f ca="1" t="shared" si="167"/>
        <v>16</v>
      </c>
    </row>
    <row r="3555" ht="18" spans="1:11">
      <c r="A3555" s="14">
        <f t="shared" si="165"/>
        <v>3554</v>
      </c>
      <c r="B3555" s="11" t="s">
        <v>6705</v>
      </c>
      <c r="C3555" s="14" t="str">
        <f>IFERROR(INDEX(面试清单!D:D,MATCH(3554,面试清单!P:P,0)),"")</f>
        <v/>
      </c>
      <c r="D3555" s="11" t="s">
        <v>43</v>
      </c>
      <c r="E3555" s="11" t="s">
        <v>64</v>
      </c>
      <c r="F3555" s="11" t="s">
        <v>148</v>
      </c>
      <c r="G3555" s="15">
        <v>46174</v>
      </c>
      <c r="H3555" s="14" t="str">
        <f>IFERROR(INDEX(面试清单!H:H,MATCH(3554,面试清单!P:P,0)),"")</f>
        <v/>
      </c>
      <c r="I3555" s="13" t="s">
        <v>30</v>
      </c>
      <c r="J3555" s="14">
        <f ca="1" t="shared" si="166"/>
        <v>15</v>
      </c>
      <c r="K3555" s="14">
        <f ca="1" t="shared" si="167"/>
        <v>16</v>
      </c>
    </row>
    <row r="3556" ht="18" spans="1:11">
      <c r="A3556" s="10">
        <f t="shared" si="165"/>
        <v>3555</v>
      </c>
      <c r="B3556" s="11" t="s">
        <v>6706</v>
      </c>
      <c r="C3556" s="10" t="str">
        <f>IFERROR(INDEX(面试清单!D:D,MATCH(3555,面试清单!P:P,0)),"")</f>
        <v/>
      </c>
      <c r="D3556" s="11" t="s">
        <v>42</v>
      </c>
      <c r="E3556" s="11" t="s">
        <v>62</v>
      </c>
      <c r="F3556" s="11" t="s">
        <v>148</v>
      </c>
      <c r="G3556" s="15">
        <v>46174</v>
      </c>
      <c r="H3556" s="10" t="str">
        <f>IFERROR(INDEX(面试清单!H:H,MATCH(3555,面试清单!P:P,0)),"")</f>
        <v/>
      </c>
      <c r="I3556" s="13" t="s">
        <v>30</v>
      </c>
      <c r="J3556" s="10">
        <f ca="1" t="shared" si="166"/>
        <v>15</v>
      </c>
      <c r="K3556" s="10">
        <f ca="1" t="shared" si="167"/>
        <v>16</v>
      </c>
    </row>
    <row r="3557" ht="18" spans="1:11">
      <c r="A3557" s="14">
        <f t="shared" si="165"/>
        <v>3556</v>
      </c>
      <c r="B3557" s="11" t="s">
        <v>6707</v>
      </c>
      <c r="C3557" s="14" t="str">
        <f>IFERROR(INDEX(面试清单!D:D,MATCH(3556,面试清单!P:P,0)),"")</f>
        <v/>
      </c>
      <c r="D3557" s="11" t="s">
        <v>42</v>
      </c>
      <c r="E3557" s="11" t="s">
        <v>63</v>
      </c>
      <c r="F3557" s="11" t="s">
        <v>148</v>
      </c>
      <c r="G3557" s="15">
        <v>46174</v>
      </c>
      <c r="H3557" s="14" t="str">
        <f>IFERROR(INDEX(面试清单!H:H,MATCH(3556,面试清单!P:P,0)),"")</f>
        <v/>
      </c>
      <c r="I3557" s="13" t="s">
        <v>30</v>
      </c>
      <c r="J3557" s="14">
        <f ca="1" t="shared" si="166"/>
        <v>15</v>
      </c>
      <c r="K3557" s="14">
        <f ca="1" t="shared" si="167"/>
        <v>16</v>
      </c>
    </row>
    <row r="3558" ht="18" spans="1:11">
      <c r="A3558" s="10">
        <f t="shared" si="165"/>
        <v>3557</v>
      </c>
      <c r="B3558" s="11" t="s">
        <v>6708</v>
      </c>
      <c r="C3558" s="10" t="str">
        <f>IFERROR(INDEX(面试清单!D:D,MATCH(3557,面试清单!P:P,0)),"")</f>
        <v/>
      </c>
      <c r="D3558" s="11" t="s">
        <v>42</v>
      </c>
      <c r="E3558" s="11" t="s">
        <v>63</v>
      </c>
      <c r="F3558" s="11" t="s">
        <v>148</v>
      </c>
      <c r="G3558" s="15">
        <v>46174</v>
      </c>
      <c r="H3558" s="10" t="str">
        <f>IFERROR(INDEX(面试清单!H:H,MATCH(3557,面试清单!P:P,0)),"")</f>
        <v/>
      </c>
      <c r="I3558" s="13" t="s">
        <v>30</v>
      </c>
      <c r="J3558" s="10">
        <f ca="1" t="shared" si="166"/>
        <v>15</v>
      </c>
      <c r="K3558" s="10">
        <f ca="1" t="shared" si="167"/>
        <v>16</v>
      </c>
    </row>
    <row r="3559" ht="18" spans="1:11">
      <c r="A3559" s="14">
        <f t="shared" si="165"/>
        <v>3558</v>
      </c>
      <c r="B3559" s="11" t="s">
        <v>6709</v>
      </c>
      <c r="C3559" s="14" t="str">
        <f>IFERROR(INDEX(面试清单!D:D,MATCH(3558,面试清单!P:P,0)),"")</f>
        <v/>
      </c>
      <c r="D3559" s="11" t="s">
        <v>43</v>
      </c>
      <c r="E3559" s="11" t="s">
        <v>64</v>
      </c>
      <c r="F3559" s="11" t="s">
        <v>148</v>
      </c>
      <c r="G3559" s="15">
        <v>46174</v>
      </c>
      <c r="H3559" s="14" t="str">
        <f>IFERROR(INDEX(面试清单!H:H,MATCH(3558,面试清单!P:P,0)),"")</f>
        <v/>
      </c>
      <c r="I3559" s="13" t="s">
        <v>30</v>
      </c>
      <c r="J3559" s="14">
        <f ca="1" t="shared" si="166"/>
        <v>15</v>
      </c>
      <c r="K3559" s="14">
        <f ca="1" t="shared" si="167"/>
        <v>16</v>
      </c>
    </row>
    <row r="3560" ht="18" spans="1:11">
      <c r="A3560" s="10">
        <f t="shared" si="165"/>
        <v>3559</v>
      </c>
      <c r="B3560" s="11" t="s">
        <v>6710</v>
      </c>
      <c r="C3560" s="10" t="str">
        <f>IFERROR(INDEX(面试清单!D:D,MATCH(3559,面试清单!P:P,0)),"")</f>
        <v/>
      </c>
      <c r="D3560" s="11" t="s">
        <v>43</v>
      </c>
      <c r="E3560" s="11" t="s">
        <v>63</v>
      </c>
      <c r="F3560" s="11" t="s">
        <v>148</v>
      </c>
      <c r="G3560" s="15">
        <v>46174</v>
      </c>
      <c r="H3560" s="10" t="str">
        <f>IFERROR(INDEX(面试清单!H:H,MATCH(3559,面试清单!P:P,0)),"")</f>
        <v/>
      </c>
      <c r="I3560" s="13" t="s">
        <v>30</v>
      </c>
      <c r="J3560" s="10">
        <f ca="1" t="shared" si="166"/>
        <v>15</v>
      </c>
      <c r="K3560" s="10">
        <f ca="1" t="shared" si="167"/>
        <v>16</v>
      </c>
    </row>
    <row r="3561" ht="18" spans="1:11">
      <c r="A3561" s="14">
        <f t="shared" si="165"/>
        <v>3560</v>
      </c>
      <c r="B3561" s="11" t="s">
        <v>6711</v>
      </c>
      <c r="C3561" s="14" t="str">
        <f>IFERROR(INDEX(面试清单!D:D,MATCH(3560,面试清单!P:P,0)),"")</f>
        <v/>
      </c>
      <c r="D3561" s="11" t="s">
        <v>42</v>
      </c>
      <c r="E3561" s="11" t="s">
        <v>62</v>
      </c>
      <c r="F3561" s="11" t="s">
        <v>148</v>
      </c>
      <c r="G3561" s="15">
        <v>46174</v>
      </c>
      <c r="H3561" s="14" t="str">
        <f>IFERROR(INDEX(面试清单!H:H,MATCH(3560,面试清单!P:P,0)),"")</f>
        <v/>
      </c>
      <c r="I3561" s="13" t="s">
        <v>30</v>
      </c>
      <c r="J3561" s="14">
        <f ca="1" t="shared" si="166"/>
        <v>15</v>
      </c>
      <c r="K3561" s="14">
        <f ca="1" t="shared" si="167"/>
        <v>16</v>
      </c>
    </row>
    <row r="3562" ht="18" spans="1:11">
      <c r="A3562" s="10">
        <f t="shared" si="165"/>
        <v>3561</v>
      </c>
      <c r="B3562" s="11" t="s">
        <v>6712</v>
      </c>
      <c r="C3562" s="10" t="str">
        <f>IFERROR(INDEX(面试清单!D:D,MATCH(3561,面试清单!P:P,0)),"")</f>
        <v/>
      </c>
      <c r="D3562" s="11" t="s">
        <v>42</v>
      </c>
      <c r="E3562" s="11" t="s">
        <v>63</v>
      </c>
      <c r="F3562" s="11" t="s">
        <v>148</v>
      </c>
      <c r="G3562" s="15">
        <v>46174</v>
      </c>
      <c r="H3562" s="10" t="str">
        <f>IFERROR(INDEX(面试清单!H:H,MATCH(3561,面试清单!P:P,0)),"")</f>
        <v/>
      </c>
      <c r="I3562" s="13" t="s">
        <v>30</v>
      </c>
      <c r="J3562" s="10">
        <f ca="1" t="shared" si="166"/>
        <v>15</v>
      </c>
      <c r="K3562" s="10">
        <f ca="1" t="shared" si="167"/>
        <v>16</v>
      </c>
    </row>
    <row r="3563" ht="18" spans="1:11">
      <c r="A3563" s="14">
        <f t="shared" si="165"/>
        <v>3562</v>
      </c>
      <c r="B3563" s="11" t="s">
        <v>6713</v>
      </c>
      <c r="C3563" s="14" t="str">
        <f>IFERROR(INDEX(面试清单!D:D,MATCH(3562,面试清单!P:P,0)),"")</f>
        <v/>
      </c>
      <c r="D3563" s="11" t="s">
        <v>43</v>
      </c>
      <c r="E3563" s="11" t="s">
        <v>63</v>
      </c>
      <c r="F3563" s="11" t="s">
        <v>6634</v>
      </c>
      <c r="G3563" s="15">
        <v>46174</v>
      </c>
      <c r="H3563" s="14" t="str">
        <f>IFERROR(INDEX(面试清单!H:H,MATCH(3562,面试清单!P:P,0)),"")</f>
        <v/>
      </c>
      <c r="I3563" s="13" t="s">
        <v>30</v>
      </c>
      <c r="J3563" s="14">
        <f ca="1" t="shared" si="166"/>
        <v>15</v>
      </c>
      <c r="K3563" s="14">
        <f ca="1" t="shared" si="167"/>
        <v>16</v>
      </c>
    </row>
    <row r="3564" ht="18" spans="1:11">
      <c r="A3564" s="10">
        <f t="shared" si="165"/>
        <v>3563</v>
      </c>
      <c r="B3564" s="11" t="s">
        <v>1736</v>
      </c>
      <c r="C3564" s="10" t="str">
        <f>IFERROR(INDEX(面试清单!D:D,MATCH(3563,面试清单!P:P,0)),"")</f>
        <v/>
      </c>
      <c r="D3564" s="11" t="s">
        <v>43</v>
      </c>
      <c r="E3564" s="11" t="s">
        <v>63</v>
      </c>
      <c r="F3564" s="11" t="s">
        <v>103</v>
      </c>
      <c r="G3564" s="15">
        <v>46174</v>
      </c>
      <c r="H3564" s="10" t="str">
        <f>IFERROR(INDEX(面试清单!H:H,MATCH(3563,面试清单!P:P,0)),"")</f>
        <v/>
      </c>
      <c r="I3564" s="13" t="s">
        <v>30</v>
      </c>
      <c r="J3564" s="10">
        <f ca="1" t="shared" si="166"/>
        <v>15</v>
      </c>
      <c r="K3564" s="10">
        <f ca="1" t="shared" si="167"/>
        <v>16</v>
      </c>
    </row>
    <row r="3565" ht="18" spans="1:11">
      <c r="A3565" s="14">
        <f t="shared" si="165"/>
        <v>3564</v>
      </c>
      <c r="B3565" s="11" t="s">
        <v>6714</v>
      </c>
      <c r="C3565" s="14" t="str">
        <f>IFERROR(INDEX(面试清单!D:D,MATCH(3564,面试清单!P:P,0)),"")</f>
        <v/>
      </c>
      <c r="D3565" s="11" t="s">
        <v>42</v>
      </c>
      <c r="E3565" s="11" t="s">
        <v>63</v>
      </c>
      <c r="F3565" s="11" t="s">
        <v>2349</v>
      </c>
      <c r="G3565" s="15">
        <v>46174</v>
      </c>
      <c r="H3565" s="14" t="str">
        <f>IFERROR(INDEX(面试清单!H:H,MATCH(3564,面试清单!P:P,0)),"")</f>
        <v/>
      </c>
      <c r="I3565" s="13" t="s">
        <v>30</v>
      </c>
      <c r="J3565" s="14">
        <f ca="1" t="shared" si="166"/>
        <v>15</v>
      </c>
      <c r="K3565" s="14">
        <f ca="1" t="shared" si="167"/>
        <v>16</v>
      </c>
    </row>
    <row r="3566" ht="18" spans="1:11">
      <c r="A3566" s="10">
        <f t="shared" si="165"/>
        <v>3565</v>
      </c>
      <c r="B3566" s="11" t="s">
        <v>6715</v>
      </c>
      <c r="C3566" s="10" t="str">
        <f>IFERROR(INDEX(面试清单!D:D,MATCH(3565,面试清单!P:P,0)),"")</f>
        <v/>
      </c>
      <c r="D3566" s="11" t="s">
        <v>42</v>
      </c>
      <c r="E3566" s="11" t="s">
        <v>63</v>
      </c>
      <c r="F3566" s="11" t="s">
        <v>2349</v>
      </c>
      <c r="G3566" s="15">
        <v>46174</v>
      </c>
      <c r="H3566" s="10" t="str">
        <f>IFERROR(INDEX(面试清单!H:H,MATCH(3565,面试清单!P:P,0)),"")</f>
        <v/>
      </c>
      <c r="I3566" s="13" t="s">
        <v>30</v>
      </c>
      <c r="J3566" s="10">
        <f ca="1" t="shared" si="166"/>
        <v>15</v>
      </c>
      <c r="K3566" s="10">
        <f ca="1" t="shared" si="167"/>
        <v>16</v>
      </c>
    </row>
    <row r="3567" ht="18" spans="1:11">
      <c r="A3567" s="14">
        <f t="shared" si="165"/>
        <v>3566</v>
      </c>
      <c r="B3567" s="11" t="s">
        <v>2163</v>
      </c>
      <c r="C3567" s="14" t="str">
        <f>IFERROR(INDEX(面试清单!D:D,MATCH(3566,面试清单!P:P,0)),"")</f>
        <v/>
      </c>
      <c r="D3567" s="11" t="s">
        <v>42</v>
      </c>
      <c r="E3567" s="11" t="s">
        <v>62</v>
      </c>
      <c r="F3567" s="11" t="s">
        <v>2164</v>
      </c>
      <c r="G3567" s="15">
        <v>46174</v>
      </c>
      <c r="H3567" s="14" t="str">
        <f>IFERROR(INDEX(面试清单!H:H,MATCH(3566,面试清单!P:P,0)),"")</f>
        <v/>
      </c>
      <c r="I3567" s="13" t="s">
        <v>30</v>
      </c>
      <c r="J3567" s="14">
        <f ca="1" t="shared" si="166"/>
        <v>15</v>
      </c>
      <c r="K3567" s="14">
        <f ca="1" t="shared" si="167"/>
        <v>16</v>
      </c>
    </row>
    <row r="3568" ht="18" spans="1:11">
      <c r="A3568" s="10">
        <f t="shared" si="165"/>
        <v>3567</v>
      </c>
      <c r="B3568" s="11" t="s">
        <v>2165</v>
      </c>
      <c r="C3568" s="10" t="str">
        <f>IFERROR(INDEX(面试清单!D:D,MATCH(3567,面试清单!P:P,0)),"")</f>
        <v/>
      </c>
      <c r="D3568" s="11" t="s">
        <v>42</v>
      </c>
      <c r="E3568" s="11" t="s">
        <v>62</v>
      </c>
      <c r="F3568" s="11" t="s">
        <v>2166</v>
      </c>
      <c r="G3568" s="15">
        <v>46174</v>
      </c>
      <c r="H3568" s="10" t="str">
        <f>IFERROR(INDEX(面试清单!H:H,MATCH(3567,面试清单!P:P,0)),"")</f>
        <v/>
      </c>
      <c r="I3568" s="13" t="s">
        <v>30</v>
      </c>
      <c r="J3568" s="10">
        <f ca="1" t="shared" si="166"/>
        <v>15</v>
      </c>
      <c r="K3568" s="10">
        <f ca="1" t="shared" si="167"/>
        <v>16</v>
      </c>
    </row>
    <row r="3569" ht="18" spans="1:11">
      <c r="A3569" s="14">
        <f t="shared" si="165"/>
        <v>3568</v>
      </c>
      <c r="B3569" s="11" t="s">
        <v>2167</v>
      </c>
      <c r="C3569" s="14" t="str">
        <f>IFERROR(INDEX(面试清单!D:D,MATCH(3568,面试清单!P:P,0)),"")</f>
        <v/>
      </c>
      <c r="D3569" s="11" t="s">
        <v>42</v>
      </c>
      <c r="E3569" s="11" t="s">
        <v>62</v>
      </c>
      <c r="F3569" s="11" t="s">
        <v>2166</v>
      </c>
      <c r="G3569" s="15">
        <v>46174</v>
      </c>
      <c r="H3569" s="14" t="str">
        <f>IFERROR(INDEX(面试清单!H:H,MATCH(3568,面试清单!P:P,0)),"")</f>
        <v/>
      </c>
      <c r="I3569" s="13" t="s">
        <v>30</v>
      </c>
      <c r="J3569" s="14">
        <f ca="1" t="shared" si="166"/>
        <v>15</v>
      </c>
      <c r="K3569" s="14">
        <f ca="1" t="shared" si="167"/>
        <v>16</v>
      </c>
    </row>
    <row r="3570" ht="18" spans="1:11">
      <c r="A3570" s="10">
        <f t="shared" si="165"/>
        <v>3569</v>
      </c>
      <c r="B3570" s="11" t="s">
        <v>2177</v>
      </c>
      <c r="C3570" s="10" t="str">
        <f>IFERROR(INDEX(面试清单!D:D,MATCH(3569,面试清单!P:P,0)),"")</f>
        <v/>
      </c>
      <c r="D3570" s="11" t="s">
        <v>42</v>
      </c>
      <c r="E3570" s="11" t="s">
        <v>63</v>
      </c>
      <c r="F3570" s="11" t="s">
        <v>148</v>
      </c>
      <c r="G3570" s="15">
        <v>46174</v>
      </c>
      <c r="H3570" s="10" t="str">
        <f>IFERROR(INDEX(面试清单!H:H,MATCH(3569,面试清单!P:P,0)),"")</f>
        <v/>
      </c>
      <c r="I3570" s="13" t="s">
        <v>30</v>
      </c>
      <c r="J3570" s="10">
        <f ca="1" t="shared" si="166"/>
        <v>15</v>
      </c>
      <c r="K3570" s="10">
        <f ca="1" t="shared" si="167"/>
        <v>16</v>
      </c>
    </row>
    <row r="3571" ht="18" spans="1:11">
      <c r="A3571" s="14">
        <f t="shared" si="165"/>
        <v>3570</v>
      </c>
      <c r="B3571" s="11" t="s">
        <v>6716</v>
      </c>
      <c r="C3571" s="14" t="str">
        <f>IFERROR(INDEX(面试清单!D:D,MATCH(3570,面试清单!P:P,0)),"")</f>
        <v/>
      </c>
      <c r="D3571" s="11" t="s">
        <v>42</v>
      </c>
      <c r="E3571" s="11" t="s">
        <v>64</v>
      </c>
      <c r="F3571" s="11" t="s">
        <v>2164</v>
      </c>
      <c r="G3571" s="15">
        <v>46175</v>
      </c>
      <c r="H3571" s="14" t="str">
        <f>IFERROR(INDEX(面试清单!H:H,MATCH(3570,面试清单!P:P,0)),"")</f>
        <v/>
      </c>
      <c r="I3571" s="13" t="s">
        <v>30</v>
      </c>
      <c r="J3571" s="14">
        <f ca="1" t="shared" si="166"/>
        <v>14</v>
      </c>
      <c r="K3571" s="14">
        <f ca="1" t="shared" si="167"/>
        <v>15</v>
      </c>
    </row>
    <row r="3572" ht="18" spans="1:11">
      <c r="A3572" s="10">
        <f t="shared" si="165"/>
        <v>3571</v>
      </c>
      <c r="B3572" s="11" t="s">
        <v>6717</v>
      </c>
      <c r="C3572" s="10" t="str">
        <f>IFERROR(INDEX(面试清单!D:D,MATCH(3571,面试清单!P:P,0)),"")</f>
        <v/>
      </c>
      <c r="D3572" s="11" t="s">
        <v>42</v>
      </c>
      <c r="E3572" s="11" t="s">
        <v>63</v>
      </c>
      <c r="F3572" s="11" t="s">
        <v>233</v>
      </c>
      <c r="G3572" s="15">
        <v>46175</v>
      </c>
      <c r="H3572" s="10" t="str">
        <f>IFERROR(INDEX(面试清单!H:H,MATCH(3571,面试清单!P:P,0)),"")</f>
        <v/>
      </c>
      <c r="I3572" s="13" t="s">
        <v>30</v>
      </c>
      <c r="J3572" s="10">
        <f ca="1" t="shared" si="166"/>
        <v>14</v>
      </c>
      <c r="K3572" s="10">
        <f ca="1" t="shared" si="167"/>
        <v>15</v>
      </c>
    </row>
    <row r="3573" ht="18" spans="1:11">
      <c r="A3573" s="14">
        <f t="shared" si="165"/>
        <v>3572</v>
      </c>
      <c r="B3573" s="11" t="s">
        <v>6718</v>
      </c>
      <c r="C3573" s="14" t="str">
        <f>IFERROR(INDEX(面试清单!D:D,MATCH(3572,面试清单!P:P,0)),"")</f>
        <v/>
      </c>
      <c r="D3573" s="11" t="s">
        <v>43</v>
      </c>
      <c r="E3573" s="11" t="s">
        <v>64</v>
      </c>
      <c r="F3573" s="11" t="s">
        <v>148</v>
      </c>
      <c r="G3573" s="15">
        <v>46175</v>
      </c>
      <c r="H3573" s="14" t="str">
        <f>IFERROR(INDEX(面试清单!H:H,MATCH(3572,面试清单!P:P,0)),"")</f>
        <v/>
      </c>
      <c r="I3573" s="13" t="s">
        <v>30</v>
      </c>
      <c r="J3573" s="14">
        <f ca="1" t="shared" si="166"/>
        <v>14</v>
      </c>
      <c r="K3573" s="14">
        <f ca="1" t="shared" si="167"/>
        <v>15</v>
      </c>
    </row>
    <row r="3574" ht="18" spans="1:11">
      <c r="A3574" s="10">
        <f t="shared" si="165"/>
        <v>3573</v>
      </c>
      <c r="B3574" s="11" t="s">
        <v>6719</v>
      </c>
      <c r="C3574" s="10" t="str">
        <f>IFERROR(INDEX(面试清单!D:D,MATCH(3573,面试清单!P:P,0)),"")</f>
        <v/>
      </c>
      <c r="D3574" s="11" t="s">
        <v>43</v>
      </c>
      <c r="E3574" s="11" t="s">
        <v>64</v>
      </c>
      <c r="F3574" s="11" t="s">
        <v>148</v>
      </c>
      <c r="G3574" s="15">
        <v>46175</v>
      </c>
      <c r="H3574" s="10" t="str">
        <f>IFERROR(INDEX(面试清单!H:H,MATCH(3573,面试清单!P:P,0)),"")</f>
        <v/>
      </c>
      <c r="I3574" s="13" t="s">
        <v>30</v>
      </c>
      <c r="J3574" s="10">
        <f ca="1" t="shared" si="166"/>
        <v>14</v>
      </c>
      <c r="K3574" s="10">
        <f ca="1" t="shared" si="167"/>
        <v>15</v>
      </c>
    </row>
    <row r="3575" ht="18" spans="1:11">
      <c r="A3575" s="14">
        <f t="shared" si="165"/>
        <v>3574</v>
      </c>
      <c r="B3575" s="11" t="s">
        <v>6720</v>
      </c>
      <c r="C3575" s="14" t="str">
        <f>IFERROR(INDEX(面试清单!D:D,MATCH(3574,面试清单!P:P,0)),"")</f>
        <v/>
      </c>
      <c r="D3575" s="11" t="s">
        <v>43</v>
      </c>
      <c r="E3575" s="11" t="s">
        <v>64</v>
      </c>
      <c r="F3575" s="11" t="s">
        <v>148</v>
      </c>
      <c r="G3575" s="15">
        <v>46175</v>
      </c>
      <c r="H3575" s="14" t="str">
        <f>IFERROR(INDEX(面试清单!H:H,MATCH(3574,面试清单!P:P,0)),"")</f>
        <v/>
      </c>
      <c r="I3575" s="13" t="s">
        <v>30</v>
      </c>
      <c r="J3575" s="14">
        <f ca="1" t="shared" si="166"/>
        <v>14</v>
      </c>
      <c r="K3575" s="14">
        <f ca="1" t="shared" si="167"/>
        <v>15</v>
      </c>
    </row>
    <row r="3576" ht="18" spans="1:11">
      <c r="A3576" s="10">
        <f t="shared" si="165"/>
        <v>3575</v>
      </c>
      <c r="B3576" s="11" t="s">
        <v>6721</v>
      </c>
      <c r="C3576" s="10" t="str">
        <f>IFERROR(INDEX(面试清单!D:D,MATCH(3575,面试清单!P:P,0)),"")</f>
        <v/>
      </c>
      <c r="D3576" s="11" t="s">
        <v>43</v>
      </c>
      <c r="E3576" s="11" t="s">
        <v>62</v>
      </c>
      <c r="F3576" s="11" t="s">
        <v>148</v>
      </c>
      <c r="G3576" s="15">
        <v>46175</v>
      </c>
      <c r="H3576" s="10" t="str">
        <f>IFERROR(INDEX(面试清单!H:H,MATCH(3575,面试清单!P:P,0)),"")</f>
        <v/>
      </c>
      <c r="I3576" s="13" t="s">
        <v>30</v>
      </c>
      <c r="J3576" s="10">
        <f ca="1" t="shared" si="166"/>
        <v>14</v>
      </c>
      <c r="K3576" s="10">
        <f ca="1" t="shared" si="167"/>
        <v>15</v>
      </c>
    </row>
    <row r="3577" ht="18" spans="1:11">
      <c r="A3577" s="14">
        <f t="shared" si="165"/>
        <v>3576</v>
      </c>
      <c r="B3577" s="11" t="s">
        <v>6722</v>
      </c>
      <c r="C3577" s="124" t="str">
        <f>IFERROR(INDEX(面试清单!D:D,MATCH(3576,面试清单!P:P,0)),"")</f>
        <v>0209</v>
      </c>
      <c r="D3577" s="11" t="s">
        <v>43</v>
      </c>
      <c r="E3577" s="11" t="s">
        <v>64</v>
      </c>
      <c r="F3577" s="11" t="s">
        <v>148</v>
      </c>
      <c r="G3577" s="15">
        <v>46175</v>
      </c>
      <c r="H3577" s="14" t="str">
        <f>IFERROR(INDEX(面试清单!H:H,MATCH(3576,面试清单!P:P,0)),"")</f>
        <v>线上</v>
      </c>
      <c r="I3577" s="13" t="s">
        <v>30</v>
      </c>
      <c r="J3577" s="14">
        <f ca="1" t="shared" si="166"/>
        <v>14</v>
      </c>
      <c r="K3577" s="14">
        <f ca="1" t="shared" si="167"/>
        <v>15</v>
      </c>
    </row>
    <row r="3578" ht="18" spans="1:11">
      <c r="A3578" s="10">
        <f t="shared" si="165"/>
        <v>3577</v>
      </c>
      <c r="B3578" s="11" t="s">
        <v>2216</v>
      </c>
      <c r="C3578" s="10" t="str">
        <f>IFERROR(INDEX(面试清单!D:D,MATCH(3577,面试清单!P:P,0)),"")</f>
        <v/>
      </c>
      <c r="D3578" s="11" t="s">
        <v>42</v>
      </c>
      <c r="E3578" s="11" t="s">
        <v>63</v>
      </c>
      <c r="F3578" s="11" t="s">
        <v>148</v>
      </c>
      <c r="G3578" s="15">
        <v>46175</v>
      </c>
      <c r="H3578" s="10" t="str">
        <f>IFERROR(INDEX(面试清单!H:H,MATCH(3577,面试清单!P:P,0)),"")</f>
        <v/>
      </c>
      <c r="I3578" s="13" t="s">
        <v>30</v>
      </c>
      <c r="J3578" s="10">
        <f ca="1" t="shared" si="166"/>
        <v>14</v>
      </c>
      <c r="K3578" s="10">
        <f ca="1" t="shared" si="167"/>
        <v>15</v>
      </c>
    </row>
    <row r="3579" ht="18" spans="1:11">
      <c r="A3579" s="14">
        <f t="shared" si="165"/>
        <v>3578</v>
      </c>
      <c r="B3579" s="11" t="s">
        <v>6723</v>
      </c>
      <c r="C3579" s="14" t="str">
        <f>IFERROR(INDEX(面试清单!D:D,MATCH(3578,面试清单!P:P,0)),"")</f>
        <v/>
      </c>
      <c r="D3579" s="11" t="s">
        <v>42</v>
      </c>
      <c r="E3579" s="11" t="s">
        <v>63</v>
      </c>
      <c r="F3579" s="11" t="s">
        <v>148</v>
      </c>
      <c r="G3579" s="15">
        <v>46175</v>
      </c>
      <c r="H3579" s="14" t="str">
        <f>IFERROR(INDEX(面试清单!H:H,MATCH(3578,面试清单!P:P,0)),"")</f>
        <v/>
      </c>
      <c r="I3579" s="13" t="s">
        <v>30</v>
      </c>
      <c r="J3579" s="14">
        <f ca="1" t="shared" si="166"/>
        <v>14</v>
      </c>
      <c r="K3579" s="14">
        <f ca="1" t="shared" si="167"/>
        <v>15</v>
      </c>
    </row>
    <row r="3580" ht="18" spans="1:11">
      <c r="A3580" s="10">
        <f t="shared" si="165"/>
        <v>3579</v>
      </c>
      <c r="B3580" s="11" t="s">
        <v>2220</v>
      </c>
      <c r="C3580" s="10" t="str">
        <f>IFERROR(INDEX(面试清单!D:D,MATCH(3579,面试清单!P:P,0)),"")</f>
        <v/>
      </c>
      <c r="D3580" s="11" t="s">
        <v>42</v>
      </c>
      <c r="E3580" s="11" t="s">
        <v>62</v>
      </c>
      <c r="F3580" s="11" t="s">
        <v>2221</v>
      </c>
      <c r="G3580" s="15">
        <v>46175</v>
      </c>
      <c r="H3580" s="10" t="str">
        <f>IFERROR(INDEX(面试清单!H:H,MATCH(3579,面试清单!P:P,0)),"")</f>
        <v/>
      </c>
      <c r="I3580" s="13" t="s">
        <v>30</v>
      </c>
      <c r="J3580" s="10">
        <f ca="1" t="shared" si="166"/>
        <v>14</v>
      </c>
      <c r="K3580" s="10">
        <f ca="1" t="shared" si="167"/>
        <v>15</v>
      </c>
    </row>
    <row r="3581" ht="18" spans="1:11">
      <c r="A3581" s="14">
        <f t="shared" si="165"/>
        <v>3580</v>
      </c>
      <c r="B3581" s="11" t="s">
        <v>6724</v>
      </c>
      <c r="C3581" s="14" t="str">
        <f>IFERROR(INDEX(面试清单!D:D,MATCH(3580,面试清单!P:P,0)),"")</f>
        <v/>
      </c>
      <c r="D3581" s="11" t="s">
        <v>43</v>
      </c>
      <c r="E3581" s="11" t="s">
        <v>62</v>
      </c>
      <c r="F3581" s="11" t="s">
        <v>2181</v>
      </c>
      <c r="G3581" s="15">
        <v>46175</v>
      </c>
      <c r="H3581" s="14" t="str">
        <f>IFERROR(INDEX(面试清单!H:H,MATCH(3580,面试清单!P:P,0)),"")</f>
        <v/>
      </c>
      <c r="I3581" s="13" t="s">
        <v>30</v>
      </c>
      <c r="J3581" s="14">
        <f ca="1" t="shared" si="166"/>
        <v>14</v>
      </c>
      <c r="K3581" s="14">
        <f ca="1" t="shared" si="167"/>
        <v>15</v>
      </c>
    </row>
    <row r="3582" ht="18" spans="1:11">
      <c r="A3582" s="10">
        <f t="shared" si="165"/>
        <v>3581</v>
      </c>
      <c r="B3582" s="11" t="s">
        <v>2172</v>
      </c>
      <c r="C3582" s="10" t="str">
        <f>IFERROR(INDEX(面试清单!D:D,MATCH(3581,面试清单!P:P,0)),"")</f>
        <v/>
      </c>
      <c r="D3582" s="11" t="s">
        <v>42</v>
      </c>
      <c r="E3582" s="11" t="s">
        <v>63</v>
      </c>
      <c r="F3582" s="11" t="s">
        <v>2166</v>
      </c>
      <c r="G3582" s="15">
        <v>46175</v>
      </c>
      <c r="H3582" s="10" t="str">
        <f>IFERROR(INDEX(面试清单!H:H,MATCH(3581,面试清单!P:P,0)),"")</f>
        <v/>
      </c>
      <c r="I3582" s="13" t="s">
        <v>30</v>
      </c>
      <c r="J3582" s="10">
        <f ca="1" t="shared" si="166"/>
        <v>14</v>
      </c>
      <c r="K3582" s="10">
        <f ca="1" t="shared" si="167"/>
        <v>15</v>
      </c>
    </row>
    <row r="3583" ht="18" spans="1:11">
      <c r="A3583" s="14">
        <f t="shared" si="165"/>
        <v>3582</v>
      </c>
      <c r="B3583" s="11" t="s">
        <v>2289</v>
      </c>
      <c r="C3583" s="14" t="str">
        <f>IFERROR(INDEX(面试清单!D:D,MATCH(3582,面试清单!P:P,0)),"")</f>
        <v/>
      </c>
      <c r="D3583" s="11" t="s">
        <v>43</v>
      </c>
      <c r="E3583" s="11" t="s">
        <v>64</v>
      </c>
      <c r="F3583" s="11" t="s">
        <v>2250</v>
      </c>
      <c r="G3583" s="15">
        <v>46175</v>
      </c>
      <c r="H3583" s="14" t="str">
        <f>IFERROR(INDEX(面试清单!H:H,MATCH(3582,面试清单!P:P,0)),"")</f>
        <v/>
      </c>
      <c r="I3583" s="13" t="s">
        <v>30</v>
      </c>
      <c r="J3583" s="14">
        <f ca="1" t="shared" si="166"/>
        <v>14</v>
      </c>
      <c r="K3583" s="14">
        <f ca="1" t="shared" si="167"/>
        <v>15</v>
      </c>
    </row>
    <row r="3584" ht="18" spans="1:11">
      <c r="A3584" s="10">
        <f t="shared" si="165"/>
        <v>3583</v>
      </c>
      <c r="B3584" s="11" t="s">
        <v>2161</v>
      </c>
      <c r="C3584" s="10" t="str">
        <f>IFERROR(INDEX(面试清单!D:D,MATCH(3583,面试清单!P:P,0)),"")</f>
        <v/>
      </c>
      <c r="D3584" s="11" t="s">
        <v>43</v>
      </c>
      <c r="E3584" s="11" t="s">
        <v>64</v>
      </c>
      <c r="F3584" s="11" t="s">
        <v>124</v>
      </c>
      <c r="G3584" s="15">
        <v>46175</v>
      </c>
      <c r="H3584" s="10" t="str">
        <f>IFERROR(INDEX(面试清单!H:H,MATCH(3583,面试清单!P:P,0)),"")</f>
        <v/>
      </c>
      <c r="I3584" s="13" t="s">
        <v>30</v>
      </c>
      <c r="J3584" s="10">
        <f ca="1" t="shared" si="166"/>
        <v>14</v>
      </c>
      <c r="K3584" s="10">
        <f ca="1" t="shared" si="167"/>
        <v>15</v>
      </c>
    </row>
    <row r="3585" ht="18" spans="1:11">
      <c r="A3585" s="14">
        <f t="shared" si="165"/>
        <v>3584</v>
      </c>
      <c r="B3585" s="11" t="s">
        <v>2299</v>
      </c>
      <c r="C3585" s="14" t="str">
        <f>IFERROR(INDEX(面试清单!D:D,MATCH(3584,面试清单!P:P,0)),"")</f>
        <v/>
      </c>
      <c r="D3585" s="11" t="s">
        <v>43</v>
      </c>
      <c r="E3585" s="11" t="s">
        <v>64</v>
      </c>
      <c r="F3585" s="11" t="s">
        <v>124</v>
      </c>
      <c r="G3585" s="15">
        <v>46175</v>
      </c>
      <c r="H3585" s="14" t="str">
        <f>IFERROR(INDEX(面试清单!H:H,MATCH(3584,面试清单!P:P,0)),"")</f>
        <v/>
      </c>
      <c r="I3585" s="13" t="s">
        <v>30</v>
      </c>
      <c r="J3585" s="14">
        <f ca="1" t="shared" si="166"/>
        <v>14</v>
      </c>
      <c r="K3585" s="14">
        <f ca="1" t="shared" si="167"/>
        <v>15</v>
      </c>
    </row>
    <row r="3586" ht="18" spans="1:11">
      <c r="A3586" s="10">
        <f t="shared" ref="A3586:A3649" si="168">IF(B3586&lt;&gt;"",ROW()-1,"")</f>
        <v>3585</v>
      </c>
      <c r="B3586" s="11" t="s">
        <v>6725</v>
      </c>
      <c r="C3586" s="10" t="str">
        <f>IFERROR(INDEX(面试清单!D:D,MATCH(3585,面试清单!P:P,0)),"")</f>
        <v/>
      </c>
      <c r="D3586" s="11" t="s">
        <v>42</v>
      </c>
      <c r="E3586" s="11" t="s">
        <v>64</v>
      </c>
      <c r="F3586" s="11" t="s">
        <v>124</v>
      </c>
      <c r="G3586" s="15">
        <v>46175</v>
      </c>
      <c r="H3586" s="10" t="str">
        <f>IFERROR(INDEX(面试清单!H:H,MATCH(3585,面试清单!P:P,0)),"")</f>
        <v/>
      </c>
      <c r="I3586" s="13" t="s">
        <v>30</v>
      </c>
      <c r="J3586" s="10">
        <f ca="1" t="shared" ref="J3586:J3649" si="169">IF(G3586&lt;&gt;"",TODAY()-G3586,"")</f>
        <v>14</v>
      </c>
      <c r="K3586" s="10">
        <f ca="1" t="shared" ref="K3586:K3649" si="170">IF(G3586&lt;&gt;"",MAX(0,MIN(TODAY(),EOMONTH(TODAY(),0))-MAX(G3586,EOMONTH(TODAY(),-1)+1)+1),"")</f>
        <v>15</v>
      </c>
    </row>
    <row r="3587" ht="18" spans="1:11">
      <c r="A3587" s="14">
        <f t="shared" si="168"/>
        <v>3586</v>
      </c>
      <c r="B3587" s="11" t="s">
        <v>2235</v>
      </c>
      <c r="C3587" s="14" t="str">
        <f>IFERROR(INDEX(面试清单!D:D,MATCH(3586,面试清单!P:P,0)),"")</f>
        <v/>
      </c>
      <c r="D3587" s="11" t="s">
        <v>42</v>
      </c>
      <c r="E3587" s="11" t="s">
        <v>62</v>
      </c>
      <c r="F3587" s="11" t="s">
        <v>2181</v>
      </c>
      <c r="G3587" s="15">
        <v>46176</v>
      </c>
      <c r="H3587" s="14" t="str">
        <f>IFERROR(INDEX(面试清单!H:H,MATCH(3586,面试清单!P:P,0)),"")</f>
        <v/>
      </c>
      <c r="I3587" s="13" t="s">
        <v>30</v>
      </c>
      <c r="J3587" s="14">
        <f ca="1" t="shared" si="169"/>
        <v>13</v>
      </c>
      <c r="K3587" s="14">
        <f ca="1" t="shared" si="170"/>
        <v>14</v>
      </c>
    </row>
    <row r="3588" ht="18" spans="1:11">
      <c r="A3588" s="10">
        <f t="shared" si="168"/>
        <v>3587</v>
      </c>
      <c r="B3588" s="11" t="s">
        <v>2201</v>
      </c>
      <c r="C3588" s="10" t="str">
        <f>IFERROR(INDEX(面试清单!D:D,MATCH(3587,面试清单!P:P,0)),"")</f>
        <v/>
      </c>
      <c r="D3588" s="11" t="s">
        <v>42</v>
      </c>
      <c r="E3588" s="11" t="s">
        <v>62</v>
      </c>
      <c r="F3588" s="11" t="s">
        <v>124</v>
      </c>
      <c r="G3588" s="15">
        <v>46176</v>
      </c>
      <c r="H3588" s="10" t="str">
        <f>IFERROR(INDEX(面试清单!H:H,MATCH(3587,面试清单!P:P,0)),"")</f>
        <v/>
      </c>
      <c r="I3588" s="13" t="s">
        <v>30</v>
      </c>
      <c r="J3588" s="10">
        <f ca="1" t="shared" si="169"/>
        <v>13</v>
      </c>
      <c r="K3588" s="10">
        <f ca="1" t="shared" si="170"/>
        <v>14</v>
      </c>
    </row>
    <row r="3589" ht="18" spans="1:11">
      <c r="A3589" s="14">
        <f t="shared" si="168"/>
        <v>3588</v>
      </c>
      <c r="B3589" s="11" t="s">
        <v>2188</v>
      </c>
      <c r="C3589" s="14" t="str">
        <f>IFERROR(INDEX(面试清单!D:D,MATCH(3588,面试清单!P:P,0)),"")</f>
        <v/>
      </c>
      <c r="D3589" s="11" t="s">
        <v>42</v>
      </c>
      <c r="E3589" s="11" t="s">
        <v>63</v>
      </c>
      <c r="F3589" s="11" t="s">
        <v>1511</v>
      </c>
      <c r="G3589" s="15">
        <v>46176</v>
      </c>
      <c r="H3589" s="14" t="str">
        <f>IFERROR(INDEX(面试清单!H:H,MATCH(3588,面试清单!P:P,0)),"")</f>
        <v/>
      </c>
      <c r="I3589" s="13" t="s">
        <v>30</v>
      </c>
      <c r="J3589" s="14">
        <f ca="1" t="shared" si="169"/>
        <v>13</v>
      </c>
      <c r="K3589" s="14">
        <f ca="1" t="shared" si="170"/>
        <v>14</v>
      </c>
    </row>
    <row r="3590" ht="18" spans="1:11">
      <c r="A3590" s="10">
        <f t="shared" si="168"/>
        <v>3589</v>
      </c>
      <c r="B3590" s="11" t="s">
        <v>2267</v>
      </c>
      <c r="C3590" s="10" t="str">
        <f>IFERROR(INDEX(面试清单!D:D,MATCH(3589,面试清单!P:P,0)),"")</f>
        <v/>
      </c>
      <c r="D3590" s="11" t="s">
        <v>42</v>
      </c>
      <c r="E3590" s="11" t="s">
        <v>62</v>
      </c>
      <c r="F3590" s="11" t="s">
        <v>2221</v>
      </c>
      <c r="G3590" s="15">
        <v>46176</v>
      </c>
      <c r="H3590" s="10" t="str">
        <f>IFERROR(INDEX(面试清单!H:H,MATCH(3589,面试清单!P:P,0)),"")</f>
        <v/>
      </c>
      <c r="I3590" s="13" t="s">
        <v>30</v>
      </c>
      <c r="J3590" s="10">
        <f ca="1" t="shared" si="169"/>
        <v>13</v>
      </c>
      <c r="K3590" s="10">
        <f ca="1" t="shared" si="170"/>
        <v>14</v>
      </c>
    </row>
    <row r="3591" ht="18" spans="1:11">
      <c r="A3591" s="14">
        <f t="shared" si="168"/>
        <v>3590</v>
      </c>
      <c r="B3591" s="11" t="s">
        <v>2294</v>
      </c>
      <c r="C3591" s="14" t="str">
        <f>IFERROR(INDEX(面试清单!D:D,MATCH(3590,面试清单!P:P,0)),"")</f>
        <v/>
      </c>
      <c r="D3591" s="11" t="s">
        <v>43</v>
      </c>
      <c r="E3591" s="11" t="s">
        <v>62</v>
      </c>
      <c r="F3591" s="11" t="s">
        <v>148</v>
      </c>
      <c r="G3591" s="15">
        <v>46176</v>
      </c>
      <c r="H3591" s="14" t="str">
        <f>IFERROR(INDEX(面试清单!H:H,MATCH(3590,面试清单!P:P,0)),"")</f>
        <v/>
      </c>
      <c r="I3591" s="13" t="s">
        <v>30</v>
      </c>
      <c r="J3591" s="14">
        <f ca="1" t="shared" si="169"/>
        <v>13</v>
      </c>
      <c r="K3591" s="14">
        <f ca="1" t="shared" si="170"/>
        <v>14</v>
      </c>
    </row>
    <row r="3592" ht="18" spans="1:11">
      <c r="A3592" s="10">
        <f t="shared" si="168"/>
        <v>3591</v>
      </c>
      <c r="B3592" s="11" t="s">
        <v>2282</v>
      </c>
      <c r="C3592" s="10" t="str">
        <f>IFERROR(INDEX(面试清单!D:D,MATCH(3591,面试清单!P:P,0)),"")</f>
        <v/>
      </c>
      <c r="D3592" s="11" t="s">
        <v>43</v>
      </c>
      <c r="E3592" s="11" t="s">
        <v>64</v>
      </c>
      <c r="F3592" s="11" t="s">
        <v>148</v>
      </c>
      <c r="G3592" s="15">
        <v>46176</v>
      </c>
      <c r="H3592" s="10" t="str">
        <f>IFERROR(INDEX(面试清单!H:H,MATCH(3591,面试清单!P:P,0)),"")</f>
        <v/>
      </c>
      <c r="I3592" s="13" t="s">
        <v>30</v>
      </c>
      <c r="J3592" s="10">
        <f ca="1" t="shared" si="169"/>
        <v>13</v>
      </c>
      <c r="K3592" s="10">
        <f ca="1" t="shared" si="170"/>
        <v>14</v>
      </c>
    </row>
    <row r="3593" ht="18" spans="1:11">
      <c r="A3593" s="14">
        <f t="shared" si="168"/>
        <v>3592</v>
      </c>
      <c r="B3593" s="11" t="s">
        <v>2218</v>
      </c>
      <c r="C3593" s="14" t="str">
        <f>IFERROR(INDEX(面试清单!D:D,MATCH(3592,面试清单!P:P,0)),"")</f>
        <v/>
      </c>
      <c r="D3593" s="11" t="s">
        <v>42</v>
      </c>
      <c r="E3593" s="11" t="s">
        <v>63</v>
      </c>
      <c r="F3593" s="11" t="s">
        <v>148</v>
      </c>
      <c r="G3593" s="15">
        <v>46176</v>
      </c>
      <c r="H3593" s="14" t="str">
        <f>IFERROR(INDEX(面试清单!H:H,MATCH(3592,面试清单!P:P,0)),"")</f>
        <v/>
      </c>
      <c r="I3593" s="13" t="s">
        <v>30</v>
      </c>
      <c r="J3593" s="14">
        <f ca="1" t="shared" si="169"/>
        <v>13</v>
      </c>
      <c r="K3593" s="14">
        <f ca="1" t="shared" si="170"/>
        <v>14</v>
      </c>
    </row>
    <row r="3594" ht="18" spans="1:11">
      <c r="A3594" s="10">
        <f t="shared" si="168"/>
        <v>3593</v>
      </c>
      <c r="B3594" s="11" t="s">
        <v>1115</v>
      </c>
      <c r="C3594" s="10" t="str">
        <f>IFERROR(INDEX(面试清单!D:D,MATCH(3593,面试清单!P:P,0)),"")</f>
        <v/>
      </c>
      <c r="D3594" s="11" t="s">
        <v>43</v>
      </c>
      <c r="E3594" s="11" t="s">
        <v>63</v>
      </c>
      <c r="F3594" s="11" t="s">
        <v>3826</v>
      </c>
      <c r="G3594" s="15">
        <v>46176</v>
      </c>
      <c r="H3594" s="10" t="str">
        <f>IFERROR(INDEX(面试清单!H:H,MATCH(3593,面试清单!P:P,0)),"")</f>
        <v/>
      </c>
      <c r="I3594" s="13" t="s">
        <v>30</v>
      </c>
      <c r="J3594" s="10">
        <f ca="1" t="shared" si="169"/>
        <v>13</v>
      </c>
      <c r="K3594" s="10">
        <f ca="1" t="shared" si="170"/>
        <v>14</v>
      </c>
    </row>
    <row r="3595" ht="18" spans="1:11">
      <c r="A3595" s="14">
        <f t="shared" si="168"/>
        <v>3594</v>
      </c>
      <c r="B3595" s="11" t="s">
        <v>2212</v>
      </c>
      <c r="C3595" s="14" t="str">
        <f>IFERROR(INDEX(面试清单!D:D,MATCH(3594,面试清单!P:P,0)),"")</f>
        <v/>
      </c>
      <c r="D3595" s="11" t="s">
        <v>42</v>
      </c>
      <c r="E3595" s="11" t="s">
        <v>63</v>
      </c>
      <c r="F3595" s="11" t="s">
        <v>3826</v>
      </c>
      <c r="G3595" s="15">
        <v>46176</v>
      </c>
      <c r="H3595" s="14" t="str">
        <f>IFERROR(INDEX(面试清单!H:H,MATCH(3594,面试清单!P:P,0)),"")</f>
        <v/>
      </c>
      <c r="I3595" s="13" t="s">
        <v>30</v>
      </c>
      <c r="J3595" s="14">
        <f ca="1" t="shared" si="169"/>
        <v>13</v>
      </c>
      <c r="K3595" s="14">
        <f ca="1" t="shared" si="170"/>
        <v>14</v>
      </c>
    </row>
    <row r="3596" ht="18" spans="1:11">
      <c r="A3596" s="10">
        <f t="shared" si="168"/>
        <v>3595</v>
      </c>
      <c r="B3596" s="11" t="s">
        <v>6726</v>
      </c>
      <c r="C3596" s="10" t="str">
        <f>IFERROR(INDEX(面试清单!D:D,MATCH(3595,面试清单!P:P,0)),"")</f>
        <v/>
      </c>
      <c r="D3596" s="11" t="s">
        <v>43</v>
      </c>
      <c r="E3596" s="11" t="s">
        <v>62</v>
      </c>
      <c r="F3596" s="11" t="s">
        <v>2164</v>
      </c>
      <c r="G3596" s="15">
        <v>46176</v>
      </c>
      <c r="H3596" s="10" t="str">
        <f>IFERROR(INDEX(面试清单!H:H,MATCH(3595,面试清单!P:P,0)),"")</f>
        <v/>
      </c>
      <c r="I3596" s="13" t="s">
        <v>30</v>
      </c>
      <c r="J3596" s="10">
        <f ca="1" t="shared" si="169"/>
        <v>13</v>
      </c>
      <c r="K3596" s="10">
        <f ca="1" t="shared" si="170"/>
        <v>14</v>
      </c>
    </row>
    <row r="3597" ht="18" spans="1:11">
      <c r="A3597" s="14">
        <f t="shared" si="168"/>
        <v>3596</v>
      </c>
      <c r="B3597" s="11" t="s">
        <v>2208</v>
      </c>
      <c r="C3597" s="14" t="str">
        <f>IFERROR(INDEX(面试清单!D:D,MATCH(3596,面试清单!P:P,0)),"")</f>
        <v/>
      </c>
      <c r="D3597" s="11" t="s">
        <v>42</v>
      </c>
      <c r="E3597" s="11" t="s">
        <v>63</v>
      </c>
      <c r="F3597" s="11" t="s">
        <v>2164</v>
      </c>
      <c r="G3597" s="15">
        <v>46176</v>
      </c>
      <c r="H3597" s="14" t="str">
        <f>IFERROR(INDEX(面试清单!H:H,MATCH(3596,面试清单!P:P,0)),"")</f>
        <v/>
      </c>
      <c r="I3597" s="13" t="s">
        <v>30</v>
      </c>
      <c r="J3597" s="14">
        <f ca="1" t="shared" si="169"/>
        <v>13</v>
      </c>
      <c r="K3597" s="14">
        <f ca="1" t="shared" si="170"/>
        <v>14</v>
      </c>
    </row>
    <row r="3598" ht="18" spans="1:11">
      <c r="A3598" s="10">
        <f t="shared" si="168"/>
        <v>3597</v>
      </c>
      <c r="B3598" s="11" t="s">
        <v>2209</v>
      </c>
      <c r="C3598" s="10" t="str">
        <f>IFERROR(INDEX(面试清单!D:D,MATCH(3597,面试清单!P:P,0)),"")</f>
        <v/>
      </c>
      <c r="D3598" s="11" t="s">
        <v>42</v>
      </c>
      <c r="E3598" s="11" t="s">
        <v>64</v>
      </c>
      <c r="F3598" s="11" t="s">
        <v>2164</v>
      </c>
      <c r="G3598" s="15">
        <v>46176</v>
      </c>
      <c r="H3598" s="10" t="str">
        <f>IFERROR(INDEX(面试清单!H:H,MATCH(3597,面试清单!P:P,0)),"")</f>
        <v/>
      </c>
      <c r="I3598" s="13" t="s">
        <v>30</v>
      </c>
      <c r="J3598" s="10">
        <f ca="1" t="shared" si="169"/>
        <v>13</v>
      </c>
      <c r="K3598" s="10">
        <f ca="1" t="shared" si="170"/>
        <v>14</v>
      </c>
    </row>
    <row r="3599" ht="18" spans="1:11">
      <c r="A3599" s="14">
        <f t="shared" si="168"/>
        <v>3598</v>
      </c>
      <c r="B3599" s="11" t="s">
        <v>6727</v>
      </c>
      <c r="C3599" s="14" t="str">
        <f>IFERROR(INDEX(面试清单!D:D,MATCH(3598,面试清单!P:P,0)),"")</f>
        <v/>
      </c>
      <c r="D3599" s="11" t="s">
        <v>43</v>
      </c>
      <c r="E3599" s="11" t="s">
        <v>62</v>
      </c>
      <c r="F3599" s="11" t="s">
        <v>2164</v>
      </c>
      <c r="G3599" s="15">
        <v>46176</v>
      </c>
      <c r="H3599" s="14" t="str">
        <f>IFERROR(INDEX(面试清单!H:H,MATCH(3598,面试清单!P:P,0)),"")</f>
        <v/>
      </c>
      <c r="I3599" s="13" t="s">
        <v>30</v>
      </c>
      <c r="J3599" s="14">
        <f ca="1" t="shared" si="169"/>
        <v>13</v>
      </c>
      <c r="K3599" s="14">
        <f ca="1" t="shared" si="170"/>
        <v>14</v>
      </c>
    </row>
    <row r="3600" ht="18" spans="1:11">
      <c r="A3600" s="10">
        <f t="shared" si="168"/>
        <v>3599</v>
      </c>
      <c r="B3600" s="11" t="s">
        <v>2256</v>
      </c>
      <c r="C3600" s="10" t="str">
        <f>IFERROR(INDEX(面试清单!D:D,MATCH(3599,面试清单!P:P,0)),"")</f>
        <v/>
      </c>
      <c r="D3600" s="11" t="s">
        <v>42</v>
      </c>
      <c r="E3600" s="11" t="s">
        <v>63</v>
      </c>
      <c r="F3600" s="11" t="s">
        <v>2166</v>
      </c>
      <c r="G3600" s="15">
        <v>46176</v>
      </c>
      <c r="H3600" s="10" t="str">
        <f>IFERROR(INDEX(面试清单!H:H,MATCH(3599,面试清单!P:P,0)),"")</f>
        <v/>
      </c>
      <c r="I3600" s="13" t="s">
        <v>30</v>
      </c>
      <c r="J3600" s="10">
        <f ca="1" t="shared" si="169"/>
        <v>13</v>
      </c>
      <c r="K3600" s="10">
        <f ca="1" t="shared" si="170"/>
        <v>14</v>
      </c>
    </row>
    <row r="3601" ht="18" spans="1:11">
      <c r="A3601" s="14">
        <f t="shared" si="168"/>
        <v>3600</v>
      </c>
      <c r="B3601" s="11" t="s">
        <v>2199</v>
      </c>
      <c r="C3601" s="14" t="str">
        <f>IFERROR(INDEX(面试清单!D:D,MATCH(3600,面试清单!P:P,0)),"")</f>
        <v/>
      </c>
      <c r="D3601" s="11" t="s">
        <v>42</v>
      </c>
      <c r="E3601" s="11" t="s">
        <v>62</v>
      </c>
      <c r="F3601" s="11" t="s">
        <v>2153</v>
      </c>
      <c r="G3601" s="15">
        <v>46176</v>
      </c>
      <c r="H3601" s="14" t="str">
        <f>IFERROR(INDEX(面试清单!H:H,MATCH(3600,面试清单!P:P,0)),"")</f>
        <v/>
      </c>
      <c r="I3601" s="13" t="s">
        <v>30</v>
      </c>
      <c r="J3601" s="14">
        <f ca="1" t="shared" si="169"/>
        <v>13</v>
      </c>
      <c r="K3601" s="14">
        <f ca="1" t="shared" si="170"/>
        <v>14</v>
      </c>
    </row>
    <row r="3602" ht="18" spans="1:11">
      <c r="A3602" s="10">
        <f t="shared" si="168"/>
        <v>3601</v>
      </c>
      <c r="B3602" s="11" t="s">
        <v>6728</v>
      </c>
      <c r="C3602" s="10" t="str">
        <f>IFERROR(INDEX(面试清单!D:D,MATCH(3601,面试清单!P:P,0)),"")</f>
        <v/>
      </c>
      <c r="D3602" s="11" t="s">
        <v>42</v>
      </c>
      <c r="E3602" s="11" t="s">
        <v>63</v>
      </c>
      <c r="F3602" s="11" t="s">
        <v>2153</v>
      </c>
      <c r="G3602" s="15">
        <v>46176</v>
      </c>
      <c r="H3602" s="10" t="str">
        <f>IFERROR(INDEX(面试清单!H:H,MATCH(3601,面试清单!P:P,0)),"")</f>
        <v/>
      </c>
      <c r="I3602" s="13" t="s">
        <v>30</v>
      </c>
      <c r="J3602" s="10">
        <f ca="1" t="shared" si="169"/>
        <v>13</v>
      </c>
      <c r="K3602" s="10">
        <f ca="1" t="shared" si="170"/>
        <v>14</v>
      </c>
    </row>
    <row r="3603" ht="18" spans="1:11">
      <c r="A3603" s="14">
        <f t="shared" si="168"/>
        <v>3602</v>
      </c>
      <c r="B3603" s="11" t="s">
        <v>2207</v>
      </c>
      <c r="C3603" s="14" t="str">
        <f>IFERROR(INDEX(面试清单!D:D,MATCH(3602,面试清单!P:P,0)),"")</f>
        <v/>
      </c>
      <c r="D3603" s="11" t="s">
        <v>42</v>
      </c>
      <c r="E3603" s="11" t="s">
        <v>63</v>
      </c>
      <c r="F3603" s="11" t="s">
        <v>2179</v>
      </c>
      <c r="G3603" s="15">
        <v>46176</v>
      </c>
      <c r="H3603" s="14" t="str">
        <f>IFERROR(INDEX(面试清单!H:H,MATCH(3602,面试清单!P:P,0)),"")</f>
        <v/>
      </c>
      <c r="I3603" s="13" t="s">
        <v>30</v>
      </c>
      <c r="J3603" s="14">
        <f ca="1" t="shared" si="169"/>
        <v>13</v>
      </c>
      <c r="K3603" s="14">
        <f ca="1" t="shared" si="170"/>
        <v>14</v>
      </c>
    </row>
    <row r="3604" ht="18" spans="1:11">
      <c r="A3604" s="10">
        <f t="shared" si="168"/>
        <v>3603</v>
      </c>
      <c r="B3604" s="11" t="s">
        <v>2158</v>
      </c>
      <c r="C3604" s="10" t="str">
        <f>IFERROR(INDEX(面试清单!D:D,MATCH(3603,面试清单!P:P,0)),"")</f>
        <v/>
      </c>
      <c r="D3604" s="11" t="s">
        <v>43</v>
      </c>
      <c r="E3604" s="11" t="s">
        <v>63</v>
      </c>
      <c r="F3604" s="11" t="s">
        <v>179</v>
      </c>
      <c r="G3604" s="15">
        <v>46176</v>
      </c>
      <c r="H3604" s="10" t="str">
        <f>IFERROR(INDEX(面试清单!H:H,MATCH(3603,面试清单!P:P,0)),"")</f>
        <v/>
      </c>
      <c r="I3604" s="13" t="s">
        <v>30</v>
      </c>
      <c r="J3604" s="10">
        <f ca="1" t="shared" si="169"/>
        <v>13</v>
      </c>
      <c r="K3604" s="10">
        <f ca="1" t="shared" si="170"/>
        <v>14</v>
      </c>
    </row>
    <row r="3605" ht="18" spans="1:11">
      <c r="A3605" s="14">
        <f t="shared" si="168"/>
        <v>3604</v>
      </c>
      <c r="B3605" s="11" t="s">
        <v>2366</v>
      </c>
      <c r="C3605" s="14" t="str">
        <f>IFERROR(INDEX(面试清单!D:D,MATCH(3604,面试清单!P:P,0)),"")</f>
        <v/>
      </c>
      <c r="D3605" s="11" t="s">
        <v>43</v>
      </c>
      <c r="E3605" s="11" t="s">
        <v>62</v>
      </c>
      <c r="F3605" s="11" t="s">
        <v>179</v>
      </c>
      <c r="G3605" s="15">
        <v>46176</v>
      </c>
      <c r="H3605" s="14" t="str">
        <f>IFERROR(INDEX(面试清单!H:H,MATCH(3604,面试清单!P:P,0)),"")</f>
        <v/>
      </c>
      <c r="I3605" s="13" t="s">
        <v>30</v>
      </c>
      <c r="J3605" s="14">
        <f ca="1" t="shared" si="169"/>
        <v>13</v>
      </c>
      <c r="K3605" s="14">
        <f ca="1" t="shared" si="170"/>
        <v>14</v>
      </c>
    </row>
    <row r="3606" ht="18" spans="1:11">
      <c r="A3606" s="10">
        <f t="shared" si="168"/>
        <v>3605</v>
      </c>
      <c r="B3606" s="11" t="s">
        <v>1751</v>
      </c>
      <c r="C3606" s="10" t="str">
        <f>IFERROR(INDEX(面试清单!D:D,MATCH(3605,面试清单!P:P,0)),"")</f>
        <v/>
      </c>
      <c r="D3606" s="11" t="s">
        <v>43</v>
      </c>
      <c r="E3606" s="11" t="s">
        <v>63</v>
      </c>
      <c r="F3606" s="11" t="s">
        <v>2166</v>
      </c>
      <c r="G3606" s="15">
        <v>46176</v>
      </c>
      <c r="H3606" s="10" t="str">
        <f>IFERROR(INDEX(面试清单!H:H,MATCH(3605,面试清单!P:P,0)),"")</f>
        <v/>
      </c>
      <c r="I3606" s="13" t="s">
        <v>30</v>
      </c>
      <c r="J3606" s="10">
        <f ca="1" t="shared" si="169"/>
        <v>13</v>
      </c>
      <c r="K3606" s="10">
        <f ca="1" t="shared" si="170"/>
        <v>14</v>
      </c>
    </row>
    <row r="3607" ht="18" spans="1:11">
      <c r="A3607" s="14">
        <f t="shared" si="168"/>
        <v>3606</v>
      </c>
      <c r="B3607" s="11" t="s">
        <v>2327</v>
      </c>
      <c r="C3607" s="14" t="str">
        <f>IFERROR(INDEX(面试清单!D:D,MATCH(3606,面试清单!P:P,0)),"")</f>
        <v/>
      </c>
      <c r="D3607" s="11" t="s">
        <v>42</v>
      </c>
      <c r="E3607" s="11" t="s">
        <v>64</v>
      </c>
      <c r="F3607" s="11" t="s">
        <v>2166</v>
      </c>
      <c r="G3607" s="15">
        <v>46176</v>
      </c>
      <c r="H3607" s="14" t="str">
        <f>IFERROR(INDEX(面试清单!H:H,MATCH(3606,面试清单!P:P,0)),"")</f>
        <v/>
      </c>
      <c r="I3607" s="13" t="s">
        <v>30</v>
      </c>
      <c r="J3607" s="14">
        <f ca="1" t="shared" si="169"/>
        <v>13</v>
      </c>
      <c r="K3607" s="14">
        <f ca="1" t="shared" si="170"/>
        <v>14</v>
      </c>
    </row>
    <row r="3608" ht="18" spans="1:11">
      <c r="A3608" s="10">
        <f t="shared" si="168"/>
        <v>3607</v>
      </c>
      <c r="B3608" s="11" t="s">
        <v>2328</v>
      </c>
      <c r="C3608" s="10" t="str">
        <f>IFERROR(INDEX(面试清单!D:D,MATCH(3607,面试清单!P:P,0)),"")</f>
        <v/>
      </c>
      <c r="D3608" s="11" t="s">
        <v>42</v>
      </c>
      <c r="E3608" s="11" t="s">
        <v>63</v>
      </c>
      <c r="F3608" s="11" t="s">
        <v>2166</v>
      </c>
      <c r="G3608" s="15">
        <v>46176</v>
      </c>
      <c r="H3608" s="10" t="str">
        <f>IFERROR(INDEX(面试清单!H:H,MATCH(3607,面试清单!P:P,0)),"")</f>
        <v/>
      </c>
      <c r="I3608" s="13" t="s">
        <v>30</v>
      </c>
      <c r="J3608" s="10">
        <f ca="1" t="shared" si="169"/>
        <v>13</v>
      </c>
      <c r="K3608" s="10">
        <f ca="1" t="shared" si="170"/>
        <v>14</v>
      </c>
    </row>
    <row r="3609" ht="18" spans="1:11">
      <c r="A3609" s="14">
        <f t="shared" si="168"/>
        <v>3608</v>
      </c>
      <c r="B3609" s="11" t="s">
        <v>2329</v>
      </c>
      <c r="C3609" s="124" t="str">
        <f>IFERROR(INDEX(面试清单!D:D,MATCH(3608,面试清单!P:P,0)),"")</f>
        <v>0218</v>
      </c>
      <c r="D3609" s="11" t="s">
        <v>42</v>
      </c>
      <c r="E3609" s="11" t="s">
        <v>63</v>
      </c>
      <c r="F3609" s="11" t="s">
        <v>103</v>
      </c>
      <c r="G3609" s="15">
        <v>46176</v>
      </c>
      <c r="H3609" s="14" t="str">
        <f>IFERROR(INDEX(面试清单!H:H,MATCH(3608,面试清单!P:P,0)),"")</f>
        <v>线下</v>
      </c>
      <c r="I3609" s="13" t="s">
        <v>30</v>
      </c>
      <c r="J3609" s="14">
        <f ca="1" t="shared" si="169"/>
        <v>13</v>
      </c>
      <c r="K3609" s="14">
        <f ca="1" t="shared" si="170"/>
        <v>14</v>
      </c>
    </row>
    <row r="3610" ht="18" spans="1:11">
      <c r="A3610" s="10">
        <f t="shared" si="168"/>
        <v>3609</v>
      </c>
      <c r="B3610" s="11" t="s">
        <v>6729</v>
      </c>
      <c r="C3610" s="10" t="str">
        <f>IFERROR(INDEX(面试清单!D:D,MATCH(3609,面试清单!P:P,0)),"")</f>
        <v/>
      </c>
      <c r="D3610" s="11" t="s">
        <v>42</v>
      </c>
      <c r="E3610" s="11" t="s">
        <v>62</v>
      </c>
      <c r="F3610" s="11" t="s">
        <v>124</v>
      </c>
      <c r="G3610" s="15">
        <v>46176</v>
      </c>
      <c r="H3610" s="10" t="str">
        <f>IFERROR(INDEX(面试清单!H:H,MATCH(3609,面试清单!P:P,0)),"")</f>
        <v/>
      </c>
      <c r="I3610" s="13" t="s">
        <v>30</v>
      </c>
      <c r="J3610" s="10">
        <f ca="1" t="shared" si="169"/>
        <v>13</v>
      </c>
      <c r="K3610" s="10">
        <f ca="1" t="shared" si="170"/>
        <v>14</v>
      </c>
    </row>
    <row r="3611" ht="18" spans="1:11">
      <c r="A3611" s="14">
        <f t="shared" si="168"/>
        <v>3610</v>
      </c>
      <c r="B3611" s="11" t="s">
        <v>2330</v>
      </c>
      <c r="C3611" s="14" t="str">
        <f>IFERROR(INDEX(面试清单!D:D,MATCH(3610,面试清单!P:P,0)),"")</f>
        <v/>
      </c>
      <c r="D3611" s="11" t="s">
        <v>42</v>
      </c>
      <c r="E3611" s="11" t="s">
        <v>63</v>
      </c>
      <c r="F3611" s="11" t="s">
        <v>2166</v>
      </c>
      <c r="G3611" s="15">
        <v>46176</v>
      </c>
      <c r="H3611" s="14" t="str">
        <f>IFERROR(INDEX(面试清单!H:H,MATCH(3610,面试清单!P:P,0)),"")</f>
        <v/>
      </c>
      <c r="I3611" s="13" t="s">
        <v>30</v>
      </c>
      <c r="J3611" s="14">
        <f ca="1" t="shared" si="169"/>
        <v>13</v>
      </c>
      <c r="K3611" s="14">
        <f ca="1" t="shared" si="170"/>
        <v>14</v>
      </c>
    </row>
    <row r="3612" ht="18" spans="1:11">
      <c r="A3612" s="10">
        <f t="shared" si="168"/>
        <v>3611</v>
      </c>
      <c r="B3612" s="11" t="s">
        <v>2331</v>
      </c>
      <c r="C3612" s="10" t="str">
        <f>IFERROR(INDEX(面试清单!D:D,MATCH(3611,面试清单!P:P,0)),"")</f>
        <v/>
      </c>
      <c r="D3612" s="11" t="s">
        <v>42</v>
      </c>
      <c r="E3612" s="11" t="s">
        <v>64</v>
      </c>
      <c r="F3612" s="11" t="s">
        <v>124</v>
      </c>
      <c r="G3612" s="15">
        <v>46176</v>
      </c>
      <c r="H3612" s="10" t="str">
        <f>IFERROR(INDEX(面试清单!H:H,MATCH(3611,面试清单!P:P,0)),"")</f>
        <v/>
      </c>
      <c r="I3612" s="13" t="s">
        <v>30</v>
      </c>
      <c r="J3612" s="10">
        <f ca="1" t="shared" si="169"/>
        <v>13</v>
      </c>
      <c r="K3612" s="10">
        <f ca="1" t="shared" si="170"/>
        <v>14</v>
      </c>
    </row>
    <row r="3613" ht="18" spans="1:11">
      <c r="A3613" s="14">
        <f t="shared" si="168"/>
        <v>3612</v>
      </c>
      <c r="B3613" s="11" t="s">
        <v>2364</v>
      </c>
      <c r="C3613" s="14" t="str">
        <f>IFERROR(INDEX(面试清单!D:D,MATCH(3612,面试清单!P:P,0)),"")</f>
        <v/>
      </c>
      <c r="D3613" s="11" t="s">
        <v>43</v>
      </c>
      <c r="E3613" s="11" t="s">
        <v>62</v>
      </c>
      <c r="F3613" s="11" t="s">
        <v>124</v>
      </c>
      <c r="G3613" s="15">
        <v>46176</v>
      </c>
      <c r="H3613" s="14" t="str">
        <f>IFERROR(INDEX(面试清单!H:H,MATCH(3612,面试清单!P:P,0)),"")</f>
        <v/>
      </c>
      <c r="I3613" s="13" t="s">
        <v>30</v>
      </c>
      <c r="J3613" s="14">
        <f ca="1" t="shared" si="169"/>
        <v>13</v>
      </c>
      <c r="K3613" s="14">
        <f ca="1" t="shared" si="170"/>
        <v>14</v>
      </c>
    </row>
    <row r="3614" ht="18" spans="1:11">
      <c r="A3614" s="10">
        <f t="shared" si="168"/>
        <v>3613</v>
      </c>
      <c r="B3614" s="11" t="s">
        <v>2173</v>
      </c>
      <c r="C3614" s="10" t="str">
        <f>IFERROR(INDEX(面试清单!D:D,MATCH(3613,面试清单!P:P,0)),"")</f>
        <v/>
      </c>
      <c r="D3614" s="11" t="s">
        <v>42</v>
      </c>
      <c r="E3614" s="11" t="s">
        <v>63</v>
      </c>
      <c r="F3614" s="11" t="s">
        <v>6634</v>
      </c>
      <c r="G3614" s="15">
        <v>46177</v>
      </c>
      <c r="H3614" s="10" t="str">
        <f>IFERROR(INDEX(面试清单!H:H,MATCH(3613,面试清单!P:P,0)),"")</f>
        <v/>
      </c>
      <c r="I3614" s="13" t="s">
        <v>30</v>
      </c>
      <c r="J3614" s="10">
        <f ca="1" t="shared" si="169"/>
        <v>12</v>
      </c>
      <c r="K3614" s="10">
        <f ca="1" t="shared" si="170"/>
        <v>13</v>
      </c>
    </row>
    <row r="3615" ht="18" spans="1:11">
      <c r="A3615" s="14">
        <f t="shared" si="168"/>
        <v>3614</v>
      </c>
      <c r="B3615" s="11" t="s">
        <v>2298</v>
      </c>
      <c r="C3615" s="14" t="str">
        <f>IFERROR(INDEX(面试清单!D:D,MATCH(3614,面试清单!P:P,0)),"")</f>
        <v/>
      </c>
      <c r="D3615" s="11" t="s">
        <v>43</v>
      </c>
      <c r="E3615" s="11" t="s">
        <v>62</v>
      </c>
      <c r="F3615" s="11" t="s">
        <v>124</v>
      </c>
      <c r="G3615" s="15">
        <v>46177</v>
      </c>
      <c r="H3615" s="14" t="str">
        <f>IFERROR(INDEX(面试清单!H:H,MATCH(3614,面试清单!P:P,0)),"")</f>
        <v/>
      </c>
      <c r="I3615" s="13" t="s">
        <v>30</v>
      </c>
      <c r="J3615" s="14">
        <f ca="1" t="shared" si="169"/>
        <v>12</v>
      </c>
      <c r="K3615" s="14">
        <f ca="1" t="shared" si="170"/>
        <v>13</v>
      </c>
    </row>
    <row r="3616" ht="18" spans="1:11">
      <c r="A3616" s="10">
        <f t="shared" si="168"/>
        <v>3615</v>
      </c>
      <c r="B3616" s="11" t="s">
        <v>2230</v>
      </c>
      <c r="C3616" s="10" t="str">
        <f>IFERROR(INDEX(面试清单!D:D,MATCH(3615,面试清单!P:P,0)),"")</f>
        <v/>
      </c>
      <c r="D3616" s="11" t="s">
        <v>42</v>
      </c>
      <c r="E3616" s="11" t="s">
        <v>63</v>
      </c>
      <c r="F3616" s="11" t="s">
        <v>1511</v>
      </c>
      <c r="G3616" s="15">
        <v>46177</v>
      </c>
      <c r="H3616" s="10" t="str">
        <f>IFERROR(INDEX(面试清单!H:H,MATCH(3615,面试清单!P:P,0)),"")</f>
        <v/>
      </c>
      <c r="I3616" s="13" t="s">
        <v>30</v>
      </c>
      <c r="J3616" s="10">
        <f ca="1" t="shared" si="169"/>
        <v>12</v>
      </c>
      <c r="K3616" s="10">
        <f ca="1" t="shared" si="170"/>
        <v>13</v>
      </c>
    </row>
    <row r="3617" ht="18" spans="1:11">
      <c r="A3617" s="14">
        <f t="shared" si="168"/>
        <v>3616</v>
      </c>
      <c r="B3617" s="11" t="s">
        <v>2159</v>
      </c>
      <c r="C3617" s="14" t="str">
        <f>IFERROR(INDEX(面试清单!D:D,MATCH(3616,面试清单!P:P,0)),"")</f>
        <v/>
      </c>
      <c r="D3617" s="11" t="s">
        <v>43</v>
      </c>
      <c r="E3617" s="11" t="s">
        <v>64</v>
      </c>
      <c r="F3617" s="11" t="s">
        <v>148</v>
      </c>
      <c r="G3617" s="15">
        <v>46177</v>
      </c>
      <c r="H3617" s="14" t="str">
        <f>IFERROR(INDEX(面试清单!H:H,MATCH(3616,面试清单!P:P,0)),"")</f>
        <v/>
      </c>
      <c r="I3617" s="13" t="s">
        <v>30</v>
      </c>
      <c r="J3617" s="14">
        <f ca="1" t="shared" si="169"/>
        <v>12</v>
      </c>
      <c r="K3617" s="14">
        <f ca="1" t="shared" si="170"/>
        <v>13</v>
      </c>
    </row>
    <row r="3618" ht="18" spans="1:11">
      <c r="A3618" s="10">
        <f t="shared" si="168"/>
        <v>3617</v>
      </c>
      <c r="B3618" s="11" t="s">
        <v>2281</v>
      </c>
      <c r="C3618" s="10" t="str">
        <f>IFERROR(INDEX(面试清单!D:D,MATCH(3617,面试清单!P:P,0)),"")</f>
        <v/>
      </c>
      <c r="D3618" s="11" t="s">
        <v>43</v>
      </c>
      <c r="E3618" s="11" t="s">
        <v>63</v>
      </c>
      <c r="F3618" s="11" t="s">
        <v>148</v>
      </c>
      <c r="G3618" s="15">
        <v>46177</v>
      </c>
      <c r="H3618" s="10" t="str">
        <f>IFERROR(INDEX(面试清单!H:H,MATCH(3617,面试清单!P:P,0)),"")</f>
        <v/>
      </c>
      <c r="I3618" s="13" t="s">
        <v>30</v>
      </c>
      <c r="J3618" s="10">
        <f ca="1" t="shared" si="169"/>
        <v>12</v>
      </c>
      <c r="K3618" s="10">
        <f ca="1" t="shared" si="170"/>
        <v>13</v>
      </c>
    </row>
    <row r="3619" ht="18" spans="1:11">
      <c r="A3619" s="14">
        <f t="shared" si="168"/>
        <v>3618</v>
      </c>
      <c r="B3619" s="11" t="s">
        <v>2283</v>
      </c>
      <c r="C3619" s="14" t="str">
        <f>IFERROR(INDEX(面试清单!D:D,MATCH(3618,面试清单!P:P,0)),"")</f>
        <v/>
      </c>
      <c r="D3619" s="11" t="s">
        <v>43</v>
      </c>
      <c r="E3619" s="11" t="s">
        <v>63</v>
      </c>
      <c r="F3619" s="11" t="s">
        <v>148</v>
      </c>
      <c r="G3619" s="15">
        <v>46177</v>
      </c>
      <c r="H3619" s="14" t="str">
        <f>IFERROR(INDEX(面试清单!H:H,MATCH(3618,面试清单!P:P,0)),"")</f>
        <v/>
      </c>
      <c r="I3619" s="13" t="s">
        <v>30</v>
      </c>
      <c r="J3619" s="14">
        <f ca="1" t="shared" si="169"/>
        <v>12</v>
      </c>
      <c r="K3619" s="14">
        <f ca="1" t="shared" si="170"/>
        <v>13</v>
      </c>
    </row>
    <row r="3620" ht="18" spans="1:11">
      <c r="A3620" s="10">
        <f t="shared" si="168"/>
        <v>3619</v>
      </c>
      <c r="B3620" s="11" t="s">
        <v>2373</v>
      </c>
      <c r="C3620" s="10" t="str">
        <f>IFERROR(INDEX(面试清单!D:D,MATCH(3619,面试清单!P:P,0)),"")</f>
        <v/>
      </c>
      <c r="D3620" s="11" t="s">
        <v>43</v>
      </c>
      <c r="E3620" s="11" t="s">
        <v>64</v>
      </c>
      <c r="F3620" s="11" t="s">
        <v>148</v>
      </c>
      <c r="G3620" s="15">
        <v>46177</v>
      </c>
      <c r="H3620" s="10" t="str">
        <f>IFERROR(INDEX(面试清单!H:H,MATCH(3619,面试清单!P:P,0)),"")</f>
        <v/>
      </c>
      <c r="I3620" s="13" t="s">
        <v>30</v>
      </c>
      <c r="J3620" s="10">
        <f ca="1" t="shared" si="169"/>
        <v>12</v>
      </c>
      <c r="K3620" s="10">
        <f ca="1" t="shared" si="170"/>
        <v>13</v>
      </c>
    </row>
    <row r="3621" ht="18" spans="1:11">
      <c r="A3621" s="14">
        <f t="shared" si="168"/>
        <v>3620</v>
      </c>
      <c r="B3621" s="11" t="s">
        <v>2375</v>
      </c>
      <c r="C3621" s="14" t="str">
        <f>IFERROR(INDEX(面试清单!D:D,MATCH(3620,面试清单!P:P,0)),"")</f>
        <v/>
      </c>
      <c r="D3621" s="11" t="s">
        <v>43</v>
      </c>
      <c r="E3621" s="11" t="s">
        <v>64</v>
      </c>
      <c r="F3621" s="11" t="s">
        <v>148</v>
      </c>
      <c r="G3621" s="15">
        <v>46177</v>
      </c>
      <c r="H3621" s="14" t="str">
        <f>IFERROR(INDEX(面试清单!H:H,MATCH(3620,面试清单!P:P,0)),"")</f>
        <v/>
      </c>
      <c r="I3621" s="13" t="s">
        <v>30</v>
      </c>
      <c r="J3621" s="14">
        <f ca="1" t="shared" si="169"/>
        <v>12</v>
      </c>
      <c r="K3621" s="14">
        <f ca="1" t="shared" si="170"/>
        <v>13</v>
      </c>
    </row>
    <row r="3622" ht="18" spans="1:11">
      <c r="A3622" s="10">
        <f t="shared" si="168"/>
        <v>3621</v>
      </c>
      <c r="B3622" s="11" t="s">
        <v>2252</v>
      </c>
      <c r="C3622" s="10" t="str">
        <f>IFERROR(INDEX(面试清单!D:D,MATCH(3621,面试清单!P:P,0)),"")</f>
        <v/>
      </c>
      <c r="D3622" s="11" t="s">
        <v>42</v>
      </c>
      <c r="E3622" s="11" t="s">
        <v>63</v>
      </c>
      <c r="F3622" s="11" t="s">
        <v>148</v>
      </c>
      <c r="G3622" s="15">
        <v>46177</v>
      </c>
      <c r="H3622" s="10" t="str">
        <f>IFERROR(INDEX(面试清单!H:H,MATCH(3621,面试清单!P:P,0)),"")</f>
        <v/>
      </c>
      <c r="I3622" s="13" t="s">
        <v>30</v>
      </c>
      <c r="J3622" s="10">
        <f ca="1" t="shared" si="169"/>
        <v>12</v>
      </c>
      <c r="K3622" s="10">
        <f ca="1" t="shared" si="170"/>
        <v>13</v>
      </c>
    </row>
    <row r="3623" ht="18" spans="1:11">
      <c r="A3623" s="14">
        <f t="shared" si="168"/>
        <v>3622</v>
      </c>
      <c r="B3623" s="11" t="s">
        <v>2308</v>
      </c>
      <c r="C3623" s="14" t="str">
        <f>IFERROR(INDEX(面试清单!D:D,MATCH(3622,面试清单!P:P,0)),"")</f>
        <v/>
      </c>
      <c r="D3623" s="11" t="s">
        <v>42</v>
      </c>
      <c r="E3623" s="11" t="s">
        <v>63</v>
      </c>
      <c r="F3623" s="11" t="s">
        <v>2221</v>
      </c>
      <c r="G3623" s="15">
        <v>46177</v>
      </c>
      <c r="H3623" s="14" t="str">
        <f>IFERROR(INDEX(面试清单!H:H,MATCH(3622,面试清单!P:P,0)),"")</f>
        <v/>
      </c>
      <c r="I3623" s="13" t="s">
        <v>30</v>
      </c>
      <c r="J3623" s="14">
        <f ca="1" t="shared" si="169"/>
        <v>12</v>
      </c>
      <c r="K3623" s="14">
        <f ca="1" t="shared" si="170"/>
        <v>13</v>
      </c>
    </row>
    <row r="3624" ht="18" spans="1:11">
      <c r="A3624" s="10">
        <f t="shared" si="168"/>
        <v>3623</v>
      </c>
      <c r="B3624" s="11" t="s">
        <v>2336</v>
      </c>
      <c r="C3624" s="10" t="str">
        <f>IFERROR(INDEX(面试清单!D:D,MATCH(3623,面试清单!P:P,0)),"")</f>
        <v/>
      </c>
      <c r="D3624" s="11" t="s">
        <v>43</v>
      </c>
      <c r="E3624" s="11" t="s">
        <v>63</v>
      </c>
      <c r="F3624" s="11" t="s">
        <v>2164</v>
      </c>
      <c r="G3624" s="15">
        <v>46177</v>
      </c>
      <c r="H3624" s="10" t="str">
        <f>IFERROR(INDEX(面试清单!H:H,MATCH(3623,面试清单!P:P,0)),"")</f>
        <v/>
      </c>
      <c r="I3624" s="13" t="s">
        <v>30</v>
      </c>
      <c r="J3624" s="10">
        <f ca="1" t="shared" si="169"/>
        <v>12</v>
      </c>
      <c r="K3624" s="10">
        <f ca="1" t="shared" si="170"/>
        <v>13</v>
      </c>
    </row>
    <row r="3625" ht="18" spans="1:11">
      <c r="A3625" s="14">
        <f t="shared" si="168"/>
        <v>3624</v>
      </c>
      <c r="B3625" s="11" t="s">
        <v>6730</v>
      </c>
      <c r="C3625" s="14" t="str">
        <f>IFERROR(INDEX(面试清单!D:D,MATCH(3624,面试清单!P:P,0)),"")</f>
        <v/>
      </c>
      <c r="D3625" s="11" t="s">
        <v>42</v>
      </c>
      <c r="E3625" s="11" t="s">
        <v>63</v>
      </c>
      <c r="F3625" s="11" t="s">
        <v>2164</v>
      </c>
      <c r="G3625" s="15">
        <v>46177</v>
      </c>
      <c r="H3625" s="14" t="str">
        <f>IFERROR(INDEX(面试清单!H:H,MATCH(3624,面试清单!P:P,0)),"")</f>
        <v/>
      </c>
      <c r="I3625" s="13" t="s">
        <v>30</v>
      </c>
      <c r="J3625" s="14">
        <f ca="1" t="shared" si="169"/>
        <v>12</v>
      </c>
      <c r="K3625" s="14">
        <f ca="1" t="shared" si="170"/>
        <v>13</v>
      </c>
    </row>
    <row r="3626" ht="18" spans="1:11">
      <c r="A3626" s="10">
        <f t="shared" si="168"/>
        <v>3625</v>
      </c>
      <c r="B3626" s="11" t="s">
        <v>2243</v>
      </c>
      <c r="C3626" s="10" t="str">
        <f>IFERROR(INDEX(面试清单!D:D,MATCH(3625,面试清单!P:P,0)),"")</f>
        <v/>
      </c>
      <c r="D3626" s="11" t="s">
        <v>42</v>
      </c>
      <c r="E3626" s="11" t="s">
        <v>63</v>
      </c>
      <c r="F3626" s="11" t="s">
        <v>3826</v>
      </c>
      <c r="G3626" s="15">
        <v>46177</v>
      </c>
      <c r="H3626" s="10" t="str">
        <f>IFERROR(INDEX(面试清单!H:H,MATCH(3625,面试清单!P:P,0)),"")</f>
        <v/>
      </c>
      <c r="I3626" s="13" t="s">
        <v>30</v>
      </c>
      <c r="J3626" s="10">
        <f ca="1" t="shared" si="169"/>
        <v>12</v>
      </c>
      <c r="K3626" s="10">
        <f ca="1" t="shared" si="170"/>
        <v>13</v>
      </c>
    </row>
    <row r="3627" ht="18" spans="1:11">
      <c r="A3627" s="14">
        <f t="shared" si="168"/>
        <v>3626</v>
      </c>
      <c r="B3627" s="11" t="s">
        <v>2239</v>
      </c>
      <c r="C3627" s="14" t="str">
        <f>IFERROR(INDEX(面试清单!D:D,MATCH(3626,面试清单!P:P,0)),"")</f>
        <v/>
      </c>
      <c r="D3627" s="11" t="s">
        <v>42</v>
      </c>
      <c r="E3627" s="11" t="s">
        <v>62</v>
      </c>
      <c r="F3627" s="11" t="s">
        <v>3826</v>
      </c>
      <c r="G3627" s="15">
        <v>46177</v>
      </c>
      <c r="H3627" s="14" t="str">
        <f>IFERROR(INDEX(面试清单!H:H,MATCH(3626,面试清单!P:P,0)),"")</f>
        <v/>
      </c>
      <c r="I3627" s="13" t="s">
        <v>30</v>
      </c>
      <c r="J3627" s="14">
        <f ca="1" t="shared" si="169"/>
        <v>12</v>
      </c>
      <c r="K3627" s="14">
        <f ca="1" t="shared" si="170"/>
        <v>13</v>
      </c>
    </row>
    <row r="3628" ht="18" spans="1:11">
      <c r="A3628" s="10">
        <f t="shared" si="168"/>
        <v>3627</v>
      </c>
      <c r="B3628" s="11" t="s">
        <v>2325</v>
      </c>
      <c r="C3628" s="10" t="str">
        <f>IFERROR(INDEX(面试清单!D:D,MATCH(3627,面试清单!P:P,0)),"")</f>
        <v/>
      </c>
      <c r="D3628" s="11" t="s">
        <v>42</v>
      </c>
      <c r="E3628" s="11" t="s">
        <v>63</v>
      </c>
      <c r="F3628" s="11" t="s">
        <v>2195</v>
      </c>
      <c r="G3628" s="15">
        <v>46177</v>
      </c>
      <c r="H3628" s="10" t="str">
        <f>IFERROR(INDEX(面试清单!H:H,MATCH(3627,面试清单!P:P,0)),"")</f>
        <v/>
      </c>
      <c r="I3628" s="13" t="s">
        <v>30</v>
      </c>
      <c r="J3628" s="10">
        <f ca="1" t="shared" si="169"/>
        <v>12</v>
      </c>
      <c r="K3628" s="10">
        <f ca="1" t="shared" si="170"/>
        <v>13</v>
      </c>
    </row>
    <row r="3629" ht="18" spans="1:11">
      <c r="A3629" s="14">
        <f t="shared" si="168"/>
        <v>3628</v>
      </c>
      <c r="B3629" s="11" t="s">
        <v>2290</v>
      </c>
      <c r="C3629" s="14" t="str">
        <f>IFERROR(INDEX(面试清单!D:D,MATCH(3628,面试清单!P:P,0)),"")</f>
        <v/>
      </c>
      <c r="D3629" s="11" t="s">
        <v>43</v>
      </c>
      <c r="E3629" s="11" t="s">
        <v>63</v>
      </c>
      <c r="F3629" s="11" t="s">
        <v>2250</v>
      </c>
      <c r="G3629" s="15">
        <v>46177</v>
      </c>
      <c r="H3629" s="14" t="str">
        <f>IFERROR(INDEX(面试清单!H:H,MATCH(3628,面试清单!P:P,0)),"")</f>
        <v/>
      </c>
      <c r="I3629" s="13" t="s">
        <v>30</v>
      </c>
      <c r="J3629" s="14">
        <f ca="1" t="shared" si="169"/>
        <v>12</v>
      </c>
      <c r="K3629" s="14">
        <f ca="1" t="shared" si="170"/>
        <v>13</v>
      </c>
    </row>
    <row r="3630" ht="18" spans="1:11">
      <c r="A3630" s="10">
        <f t="shared" si="168"/>
        <v>3629</v>
      </c>
      <c r="B3630" s="11" t="s">
        <v>6731</v>
      </c>
      <c r="C3630" s="10" t="str">
        <f>IFERROR(INDEX(面试清单!D:D,MATCH(3629,面试清单!P:P,0)),"")</f>
        <v/>
      </c>
      <c r="D3630" s="11" t="s">
        <v>43</v>
      </c>
      <c r="E3630" s="11" t="s">
        <v>62</v>
      </c>
      <c r="F3630" s="11" t="s">
        <v>179</v>
      </c>
      <c r="G3630" s="15">
        <v>46177</v>
      </c>
      <c r="H3630" s="10" t="str">
        <f>IFERROR(INDEX(面试清单!H:H,MATCH(3629,面试清单!P:P,0)),"")</f>
        <v/>
      </c>
      <c r="I3630" s="13" t="s">
        <v>30</v>
      </c>
      <c r="J3630" s="10">
        <f ca="1" t="shared" si="169"/>
        <v>12</v>
      </c>
      <c r="K3630" s="10">
        <f ca="1" t="shared" si="170"/>
        <v>13</v>
      </c>
    </row>
    <row r="3631" ht="18" spans="1:11">
      <c r="A3631" s="14">
        <f t="shared" si="168"/>
        <v>3630</v>
      </c>
      <c r="B3631" s="11" t="s">
        <v>6732</v>
      </c>
      <c r="C3631" s="14" t="str">
        <f>IFERROR(INDEX(面试清单!D:D,MATCH(3630,面试清单!P:P,0)),"")</f>
        <v/>
      </c>
      <c r="D3631" s="11" t="s">
        <v>43</v>
      </c>
      <c r="E3631" s="11" t="s">
        <v>62</v>
      </c>
      <c r="F3631" s="11" t="s">
        <v>179</v>
      </c>
      <c r="G3631" s="15">
        <v>46177</v>
      </c>
      <c r="H3631" s="14" t="str">
        <f>IFERROR(INDEX(面试清单!H:H,MATCH(3630,面试清单!P:P,0)),"")</f>
        <v/>
      </c>
      <c r="I3631" s="13" t="s">
        <v>30</v>
      </c>
      <c r="J3631" s="14">
        <f ca="1" t="shared" si="169"/>
        <v>12</v>
      </c>
      <c r="K3631" s="14">
        <f ca="1" t="shared" si="170"/>
        <v>13</v>
      </c>
    </row>
    <row r="3632" ht="18" spans="1:11">
      <c r="A3632" s="10">
        <f t="shared" si="168"/>
        <v>3631</v>
      </c>
      <c r="B3632" s="11" t="s">
        <v>2168</v>
      </c>
      <c r="C3632" s="10" t="str">
        <f>IFERROR(INDEX(面试清单!D:D,MATCH(3631,面试清单!P:P,0)),"")</f>
        <v/>
      </c>
      <c r="D3632" s="11" t="s">
        <v>42</v>
      </c>
      <c r="E3632" s="11" t="s">
        <v>63</v>
      </c>
      <c r="F3632" s="11" t="s">
        <v>2166</v>
      </c>
      <c r="G3632" s="15">
        <v>46177</v>
      </c>
      <c r="H3632" s="10" t="str">
        <f>IFERROR(INDEX(面试清单!H:H,MATCH(3631,面试清单!P:P,0)),"")</f>
        <v/>
      </c>
      <c r="I3632" s="13" t="s">
        <v>30</v>
      </c>
      <c r="J3632" s="10">
        <f ca="1" t="shared" si="169"/>
        <v>12</v>
      </c>
      <c r="K3632" s="10">
        <f ca="1" t="shared" si="170"/>
        <v>13</v>
      </c>
    </row>
    <row r="3633" ht="18" spans="1:11">
      <c r="A3633" s="14">
        <f t="shared" si="168"/>
        <v>3632</v>
      </c>
      <c r="B3633" s="11" t="s">
        <v>2169</v>
      </c>
      <c r="C3633" s="14" t="str">
        <f>IFERROR(INDEX(面试清单!D:D,MATCH(3632,面试清单!P:P,0)),"")</f>
        <v/>
      </c>
      <c r="D3633" s="11" t="s">
        <v>42</v>
      </c>
      <c r="E3633" s="11" t="s">
        <v>63</v>
      </c>
      <c r="F3633" s="11" t="s">
        <v>2166</v>
      </c>
      <c r="G3633" s="15">
        <v>46177</v>
      </c>
      <c r="H3633" s="14" t="str">
        <f>IFERROR(INDEX(面试清单!H:H,MATCH(3632,面试清单!P:P,0)),"")</f>
        <v/>
      </c>
      <c r="I3633" s="13" t="s">
        <v>30</v>
      </c>
      <c r="J3633" s="14">
        <f ca="1" t="shared" si="169"/>
        <v>12</v>
      </c>
      <c r="K3633" s="14">
        <f ca="1" t="shared" si="170"/>
        <v>13</v>
      </c>
    </row>
    <row r="3634" ht="18" spans="1:11">
      <c r="A3634" s="10">
        <f t="shared" si="168"/>
        <v>3633</v>
      </c>
      <c r="B3634" s="11" t="s">
        <v>2406</v>
      </c>
      <c r="C3634" s="10" t="str">
        <f>IFERROR(INDEX(面试清单!D:D,MATCH(3633,面试清单!P:P,0)),"")</f>
        <v/>
      </c>
      <c r="D3634" s="11" t="s">
        <v>42</v>
      </c>
      <c r="E3634" s="11" t="s">
        <v>63</v>
      </c>
      <c r="F3634" s="11" t="s">
        <v>2166</v>
      </c>
      <c r="G3634" s="15">
        <v>46177</v>
      </c>
      <c r="H3634" s="10" t="str">
        <f>IFERROR(INDEX(面试清单!H:H,MATCH(3633,面试清单!P:P,0)),"")</f>
        <v/>
      </c>
      <c r="I3634" s="13" t="s">
        <v>30</v>
      </c>
      <c r="J3634" s="10">
        <f ca="1" t="shared" si="169"/>
        <v>12</v>
      </c>
      <c r="K3634" s="10">
        <f ca="1" t="shared" si="170"/>
        <v>13</v>
      </c>
    </row>
    <row r="3635" ht="18" spans="1:11">
      <c r="A3635" s="14">
        <f t="shared" si="168"/>
        <v>3634</v>
      </c>
      <c r="B3635" s="11" t="s">
        <v>6733</v>
      </c>
      <c r="C3635" s="14" t="str">
        <f>IFERROR(INDEX(面试清单!D:D,MATCH(3634,面试清单!P:P,0)),"")</f>
        <v/>
      </c>
      <c r="D3635" s="11" t="s">
        <v>43</v>
      </c>
      <c r="E3635" s="11" t="s">
        <v>62</v>
      </c>
      <c r="F3635" s="11" t="s">
        <v>124</v>
      </c>
      <c r="G3635" s="15">
        <v>46177</v>
      </c>
      <c r="H3635" s="14" t="str">
        <f>IFERROR(INDEX(面试清单!H:H,MATCH(3634,面试清单!P:P,0)),"")</f>
        <v/>
      </c>
      <c r="I3635" s="13" t="s">
        <v>30</v>
      </c>
      <c r="J3635" s="14">
        <f ca="1" t="shared" si="169"/>
        <v>12</v>
      </c>
      <c r="K3635" s="14">
        <f ca="1" t="shared" si="170"/>
        <v>13</v>
      </c>
    </row>
    <row r="3636" ht="18" spans="1:11">
      <c r="A3636" s="10">
        <f t="shared" si="168"/>
        <v>3635</v>
      </c>
      <c r="B3636" s="11" t="s">
        <v>2387</v>
      </c>
      <c r="C3636" s="10" t="str">
        <f>IFERROR(INDEX(面试清单!D:D,MATCH(3635,面试清单!P:P,0)),"")</f>
        <v/>
      </c>
      <c r="D3636" s="11" t="s">
        <v>42</v>
      </c>
      <c r="E3636" s="11" t="s">
        <v>64</v>
      </c>
      <c r="F3636" s="11" t="s">
        <v>148</v>
      </c>
      <c r="G3636" s="15">
        <v>46177</v>
      </c>
      <c r="H3636" s="10" t="str">
        <f>IFERROR(INDEX(面试清单!H:H,MATCH(3635,面试清单!P:P,0)),"")</f>
        <v/>
      </c>
      <c r="I3636" s="13" t="s">
        <v>30</v>
      </c>
      <c r="J3636" s="10">
        <f ca="1" t="shared" si="169"/>
        <v>12</v>
      </c>
      <c r="K3636" s="10">
        <f ca="1" t="shared" si="170"/>
        <v>13</v>
      </c>
    </row>
    <row r="3637" ht="18" spans="1:11">
      <c r="A3637" s="14">
        <f t="shared" si="168"/>
        <v>3636</v>
      </c>
      <c r="B3637" s="11" t="s">
        <v>6734</v>
      </c>
      <c r="C3637" s="14" t="str">
        <f>IFERROR(INDEX(面试清单!D:D,MATCH(3636,面试清单!P:P,0)),"")</f>
        <v/>
      </c>
      <c r="D3637" s="11" t="s">
        <v>43</v>
      </c>
      <c r="E3637" s="11" t="s">
        <v>63</v>
      </c>
      <c r="F3637" s="11" t="s">
        <v>2250</v>
      </c>
      <c r="G3637" s="15">
        <v>46177</v>
      </c>
      <c r="H3637" s="14" t="str">
        <f>IFERROR(INDEX(面试清单!H:H,MATCH(3636,面试清单!P:P,0)),"")</f>
        <v/>
      </c>
      <c r="I3637" s="13" t="s">
        <v>30</v>
      </c>
      <c r="J3637" s="14">
        <f ca="1" t="shared" si="169"/>
        <v>12</v>
      </c>
      <c r="K3637" s="14">
        <f ca="1" t="shared" si="170"/>
        <v>13</v>
      </c>
    </row>
    <row r="3638" ht="18" spans="1:11">
      <c r="A3638" s="10">
        <f t="shared" si="168"/>
        <v>3637</v>
      </c>
      <c r="B3638" s="11" t="s">
        <v>2291</v>
      </c>
      <c r="C3638" s="10" t="str">
        <f>IFERROR(INDEX(面试清单!D:D,MATCH(3637,面试清单!P:P,0)),"")</f>
        <v/>
      </c>
      <c r="D3638" s="11" t="s">
        <v>43</v>
      </c>
      <c r="E3638" s="11" t="s">
        <v>63</v>
      </c>
      <c r="F3638" s="11" t="s">
        <v>2250</v>
      </c>
      <c r="G3638" s="15">
        <v>46177</v>
      </c>
      <c r="H3638" s="10" t="str">
        <f>IFERROR(INDEX(面试清单!H:H,MATCH(3637,面试清单!P:P,0)),"")</f>
        <v/>
      </c>
      <c r="I3638" s="13" t="s">
        <v>30</v>
      </c>
      <c r="J3638" s="10">
        <f ca="1" t="shared" si="169"/>
        <v>12</v>
      </c>
      <c r="K3638" s="10">
        <f ca="1" t="shared" si="170"/>
        <v>13</v>
      </c>
    </row>
    <row r="3639" ht="18" spans="1:11">
      <c r="A3639" s="14">
        <f t="shared" si="168"/>
        <v>3638</v>
      </c>
      <c r="B3639" s="11" t="s">
        <v>2380</v>
      </c>
      <c r="C3639" s="14" t="str">
        <f>IFERROR(INDEX(面试清单!D:D,MATCH(3638,面试清单!P:P,0)),"")</f>
        <v/>
      </c>
      <c r="D3639" s="11" t="s">
        <v>42</v>
      </c>
      <c r="E3639" s="11" t="s">
        <v>63</v>
      </c>
      <c r="F3639" s="11" t="s">
        <v>2195</v>
      </c>
      <c r="G3639" s="15">
        <v>46177</v>
      </c>
      <c r="H3639" s="14" t="str">
        <f>IFERROR(INDEX(面试清单!H:H,MATCH(3638,面试清单!P:P,0)),"")</f>
        <v/>
      </c>
      <c r="I3639" s="13" t="s">
        <v>30</v>
      </c>
      <c r="J3639" s="14">
        <f ca="1" t="shared" si="169"/>
        <v>12</v>
      </c>
      <c r="K3639" s="14">
        <f ca="1" t="shared" si="170"/>
        <v>13</v>
      </c>
    </row>
    <row r="3640" ht="18" spans="1:11">
      <c r="A3640" s="10">
        <f t="shared" si="168"/>
        <v>3639</v>
      </c>
      <c r="B3640" s="11" t="s">
        <v>2408</v>
      </c>
      <c r="C3640" s="10" t="str">
        <f>IFERROR(INDEX(面试清单!D:D,MATCH(3639,面试清单!P:P,0)),"")</f>
        <v/>
      </c>
      <c r="D3640" s="11" t="s">
        <v>42</v>
      </c>
      <c r="E3640" s="11" t="s">
        <v>64</v>
      </c>
      <c r="F3640" s="11" t="s">
        <v>124</v>
      </c>
      <c r="G3640" s="15">
        <v>46177</v>
      </c>
      <c r="H3640" s="10" t="str">
        <f>IFERROR(INDEX(面试清单!H:H,MATCH(3639,面试清单!P:P,0)),"")</f>
        <v/>
      </c>
      <c r="I3640" s="13" t="s">
        <v>30</v>
      </c>
      <c r="J3640" s="10">
        <f ca="1" t="shared" si="169"/>
        <v>12</v>
      </c>
      <c r="K3640" s="10">
        <f ca="1" t="shared" si="170"/>
        <v>13</v>
      </c>
    </row>
    <row r="3641" ht="18" spans="1:11">
      <c r="A3641" s="14">
        <f t="shared" si="168"/>
        <v>3640</v>
      </c>
      <c r="B3641" s="11" t="s">
        <v>2407</v>
      </c>
      <c r="C3641" s="14" t="str">
        <f>IFERROR(INDEX(面试清单!D:D,MATCH(3640,面试清单!P:P,0)),"")</f>
        <v/>
      </c>
      <c r="D3641" s="11" t="s">
        <v>42</v>
      </c>
      <c r="E3641" s="11" t="s">
        <v>64</v>
      </c>
      <c r="F3641" s="11" t="s">
        <v>124</v>
      </c>
      <c r="G3641" s="15">
        <v>46177</v>
      </c>
      <c r="H3641" s="14" t="str">
        <f>IFERROR(INDEX(面试清单!H:H,MATCH(3640,面试清单!P:P,0)),"")</f>
        <v/>
      </c>
      <c r="I3641" s="13" t="s">
        <v>30</v>
      </c>
      <c r="J3641" s="14">
        <f ca="1" t="shared" si="169"/>
        <v>12</v>
      </c>
      <c r="K3641" s="14">
        <f ca="1" t="shared" si="170"/>
        <v>13</v>
      </c>
    </row>
    <row r="3642" ht="18" spans="1:11">
      <c r="A3642" s="10">
        <f t="shared" si="168"/>
        <v>3641</v>
      </c>
      <c r="B3642" s="11" t="s">
        <v>2346</v>
      </c>
      <c r="C3642" s="10" t="str">
        <f>IFERROR(INDEX(面试清单!D:D,MATCH(3641,面试清单!P:P,0)),"")</f>
        <v/>
      </c>
      <c r="D3642" s="11" t="s">
        <v>43</v>
      </c>
      <c r="E3642" s="11" t="s">
        <v>63</v>
      </c>
      <c r="F3642" s="11" t="s">
        <v>2250</v>
      </c>
      <c r="G3642" s="15">
        <v>46178</v>
      </c>
      <c r="H3642" s="10" t="str">
        <f>IFERROR(INDEX(面试清单!H:H,MATCH(3641,面试清单!P:P,0)),"")</f>
        <v/>
      </c>
      <c r="I3642" s="13" t="s">
        <v>30</v>
      </c>
      <c r="J3642" s="10">
        <f ca="1" t="shared" si="169"/>
        <v>11</v>
      </c>
      <c r="K3642" s="10">
        <f ca="1" t="shared" si="170"/>
        <v>12</v>
      </c>
    </row>
    <row r="3643" ht="18" spans="1:11">
      <c r="A3643" s="14">
        <f t="shared" si="168"/>
        <v>3642</v>
      </c>
      <c r="B3643" s="11" t="s">
        <v>1973</v>
      </c>
      <c r="C3643" s="14" t="str">
        <f>IFERROR(INDEX(面试清单!D:D,MATCH(3642,面试清单!P:P,0)),"")</f>
        <v/>
      </c>
      <c r="D3643" s="11" t="s">
        <v>43</v>
      </c>
      <c r="E3643" s="11" t="s">
        <v>63</v>
      </c>
      <c r="F3643" s="11" t="s">
        <v>2250</v>
      </c>
      <c r="G3643" s="15">
        <v>46178</v>
      </c>
      <c r="H3643" s="14" t="str">
        <f>IFERROR(INDEX(面试清单!H:H,MATCH(3642,面试清单!P:P,0)),"")</f>
        <v/>
      </c>
      <c r="I3643" s="13" t="s">
        <v>30</v>
      </c>
      <c r="J3643" s="14">
        <f ca="1" t="shared" si="169"/>
        <v>11</v>
      </c>
      <c r="K3643" s="14">
        <f ca="1" t="shared" si="170"/>
        <v>12</v>
      </c>
    </row>
    <row r="3644" ht="18" spans="1:11">
      <c r="A3644" s="10">
        <f t="shared" si="168"/>
        <v>3643</v>
      </c>
      <c r="B3644" s="11" t="s">
        <v>2471</v>
      </c>
      <c r="C3644" s="10" t="str">
        <f>IFERROR(INDEX(面试清单!D:D,MATCH(3643,面试清单!P:P,0)),"")</f>
        <v/>
      </c>
      <c r="D3644" s="11" t="s">
        <v>43</v>
      </c>
      <c r="E3644" s="11" t="s">
        <v>63</v>
      </c>
      <c r="F3644" s="11" t="s">
        <v>2250</v>
      </c>
      <c r="G3644" s="15">
        <v>46178</v>
      </c>
      <c r="H3644" s="10" t="str">
        <f>IFERROR(INDEX(面试清单!H:H,MATCH(3643,面试清单!P:P,0)),"")</f>
        <v/>
      </c>
      <c r="I3644" s="13" t="s">
        <v>30</v>
      </c>
      <c r="J3644" s="10">
        <f ca="1" t="shared" si="169"/>
        <v>11</v>
      </c>
      <c r="K3644" s="10">
        <f ca="1" t="shared" si="170"/>
        <v>12</v>
      </c>
    </row>
    <row r="3645" ht="18" spans="1:11">
      <c r="A3645" s="14">
        <f t="shared" si="168"/>
        <v>3644</v>
      </c>
      <c r="B3645" s="11" t="s">
        <v>2450</v>
      </c>
      <c r="C3645" s="14" t="str">
        <f>IFERROR(INDEX(面试清单!D:D,MATCH(3644,面试清单!P:P,0)),"")</f>
        <v/>
      </c>
      <c r="D3645" s="11" t="s">
        <v>42</v>
      </c>
      <c r="E3645" s="11" t="s">
        <v>63</v>
      </c>
      <c r="F3645" s="11" t="s">
        <v>2195</v>
      </c>
      <c r="G3645" s="15">
        <v>46178</v>
      </c>
      <c r="H3645" s="14" t="str">
        <f>IFERROR(INDEX(面试清单!H:H,MATCH(3644,面试清单!P:P,0)),"")</f>
        <v/>
      </c>
      <c r="I3645" s="13" t="s">
        <v>30</v>
      </c>
      <c r="J3645" s="14">
        <f ca="1" t="shared" si="169"/>
        <v>11</v>
      </c>
      <c r="K3645" s="14">
        <f ca="1" t="shared" si="170"/>
        <v>12</v>
      </c>
    </row>
    <row r="3646" ht="18" spans="1:11">
      <c r="A3646" s="10">
        <f t="shared" si="168"/>
        <v>3645</v>
      </c>
      <c r="B3646" s="11" t="s">
        <v>2443</v>
      </c>
      <c r="C3646" s="10" t="str">
        <f>IFERROR(INDEX(面试清单!D:D,MATCH(3645,面试清单!P:P,0)),"")</f>
        <v/>
      </c>
      <c r="D3646" s="11" t="s">
        <v>42</v>
      </c>
      <c r="E3646" s="11" t="s">
        <v>63</v>
      </c>
      <c r="F3646" s="11" t="s">
        <v>2195</v>
      </c>
      <c r="G3646" s="15">
        <v>46178</v>
      </c>
      <c r="H3646" s="10" t="str">
        <f>IFERROR(INDEX(面试清单!H:H,MATCH(3645,面试清单!P:P,0)),"")</f>
        <v/>
      </c>
      <c r="I3646" s="13" t="s">
        <v>30</v>
      </c>
      <c r="J3646" s="10">
        <f ca="1" t="shared" si="169"/>
        <v>11</v>
      </c>
      <c r="K3646" s="10">
        <f ca="1" t="shared" si="170"/>
        <v>12</v>
      </c>
    </row>
    <row r="3647" ht="18" spans="1:11">
      <c r="A3647" s="14">
        <f t="shared" si="168"/>
        <v>3646</v>
      </c>
      <c r="B3647" s="11" t="s">
        <v>6735</v>
      </c>
      <c r="C3647" s="14" t="str">
        <f>IFERROR(INDEX(面试清单!D:D,MATCH(3646,面试清单!P:P,0)),"")</f>
        <v/>
      </c>
      <c r="D3647" s="11" t="s">
        <v>42</v>
      </c>
      <c r="E3647" s="11" t="s">
        <v>63</v>
      </c>
      <c r="F3647" s="11" t="s">
        <v>2221</v>
      </c>
      <c r="G3647" s="15">
        <v>46178</v>
      </c>
      <c r="H3647" s="14" t="str">
        <f>IFERROR(INDEX(面试清单!H:H,MATCH(3646,面试清单!P:P,0)),"")</f>
        <v/>
      </c>
      <c r="I3647" s="13" t="s">
        <v>30</v>
      </c>
      <c r="J3647" s="14">
        <f ca="1" t="shared" si="169"/>
        <v>11</v>
      </c>
      <c r="K3647" s="14">
        <f ca="1" t="shared" si="170"/>
        <v>12</v>
      </c>
    </row>
    <row r="3648" ht="18" spans="1:11">
      <c r="A3648" s="10">
        <f t="shared" si="168"/>
        <v>3647</v>
      </c>
      <c r="B3648" s="11" t="s">
        <v>2429</v>
      </c>
      <c r="C3648" s="10" t="str">
        <f>IFERROR(INDEX(面试清单!D:D,MATCH(3647,面试清单!P:P,0)),"")</f>
        <v/>
      </c>
      <c r="D3648" s="11" t="s">
        <v>42</v>
      </c>
      <c r="E3648" s="11" t="s">
        <v>63</v>
      </c>
      <c r="F3648" s="11" t="s">
        <v>148</v>
      </c>
      <c r="G3648" s="15">
        <v>46178</v>
      </c>
      <c r="H3648" s="10" t="str">
        <f>IFERROR(INDEX(面试清单!H:H,MATCH(3647,面试清单!P:P,0)),"")</f>
        <v/>
      </c>
      <c r="I3648" s="13" t="s">
        <v>30</v>
      </c>
      <c r="J3648" s="10">
        <f ca="1" t="shared" si="169"/>
        <v>11</v>
      </c>
      <c r="K3648" s="10">
        <f ca="1" t="shared" si="170"/>
        <v>12</v>
      </c>
    </row>
    <row r="3649" ht="18" spans="1:11">
      <c r="A3649" s="14">
        <f t="shared" si="168"/>
        <v>3648</v>
      </c>
      <c r="B3649" s="11" t="s">
        <v>2206</v>
      </c>
      <c r="C3649" s="14" t="str">
        <f>IFERROR(INDEX(面试清单!D:D,MATCH(3648,面试清单!P:P,0)),"")</f>
        <v/>
      </c>
      <c r="D3649" s="11" t="s">
        <v>42</v>
      </c>
      <c r="E3649" s="11" t="s">
        <v>63</v>
      </c>
      <c r="F3649" s="11" t="s">
        <v>148</v>
      </c>
      <c r="G3649" s="15">
        <v>46178</v>
      </c>
      <c r="H3649" s="14" t="str">
        <f>IFERROR(INDEX(面试清单!H:H,MATCH(3648,面试清单!P:P,0)),"")</f>
        <v/>
      </c>
      <c r="I3649" s="13" t="s">
        <v>30</v>
      </c>
      <c r="J3649" s="14">
        <f ca="1" t="shared" si="169"/>
        <v>11</v>
      </c>
      <c r="K3649" s="14">
        <f ca="1" t="shared" si="170"/>
        <v>12</v>
      </c>
    </row>
    <row r="3650" ht="18" spans="1:11">
      <c r="A3650" s="10">
        <f t="shared" ref="A3650:A3713" si="171">IF(B3650&lt;&gt;"",ROW()-1,"")</f>
        <v>3649</v>
      </c>
      <c r="B3650" s="11" t="s">
        <v>2311</v>
      </c>
      <c r="C3650" s="10" t="str">
        <f>IFERROR(INDEX(面试清单!D:D,MATCH(3649,面试清单!P:P,0)),"")</f>
        <v/>
      </c>
      <c r="D3650" s="11" t="s">
        <v>42</v>
      </c>
      <c r="E3650" s="11" t="s">
        <v>62</v>
      </c>
      <c r="F3650" s="11" t="s">
        <v>2164</v>
      </c>
      <c r="G3650" s="15">
        <v>46178</v>
      </c>
      <c r="H3650" s="10" t="str">
        <f>IFERROR(INDEX(面试清单!H:H,MATCH(3649,面试清单!P:P,0)),"")</f>
        <v/>
      </c>
      <c r="I3650" s="13" t="s">
        <v>30</v>
      </c>
      <c r="J3650" s="10">
        <f ca="1" t="shared" ref="J3650:J3713" si="172">IF(G3650&lt;&gt;"",TODAY()-G3650,"")</f>
        <v>11</v>
      </c>
      <c r="K3650" s="10">
        <f ca="1" t="shared" ref="K3650:K3713" si="173">IF(G3650&lt;&gt;"",MAX(0,MIN(TODAY(),EOMONTH(TODAY(),0))-MAX(G3650,EOMONTH(TODAY(),-1)+1)+1),"")</f>
        <v>12</v>
      </c>
    </row>
    <row r="3651" ht="18" spans="1:11">
      <c r="A3651" s="14">
        <f t="shared" si="171"/>
        <v>3650</v>
      </c>
      <c r="B3651" s="11" t="s">
        <v>6736</v>
      </c>
      <c r="C3651" s="14" t="str">
        <f>IFERROR(INDEX(面试清单!D:D,MATCH(3650,面试清单!P:P,0)),"")</f>
        <v/>
      </c>
      <c r="D3651" s="11" t="s">
        <v>42</v>
      </c>
      <c r="E3651" s="11" t="s">
        <v>63</v>
      </c>
      <c r="F3651" s="11" t="s">
        <v>1511</v>
      </c>
      <c r="G3651" s="15">
        <v>46178</v>
      </c>
      <c r="H3651" s="14" t="str">
        <f>IFERROR(INDEX(面试清单!H:H,MATCH(3650,面试清单!P:P,0)),"")</f>
        <v/>
      </c>
      <c r="I3651" s="13" t="s">
        <v>30</v>
      </c>
      <c r="J3651" s="14">
        <f ca="1" t="shared" si="172"/>
        <v>11</v>
      </c>
      <c r="K3651" s="14">
        <f ca="1" t="shared" si="173"/>
        <v>12</v>
      </c>
    </row>
    <row r="3652" ht="18" spans="1:11">
      <c r="A3652" s="10">
        <f t="shared" si="171"/>
        <v>3651</v>
      </c>
      <c r="B3652" s="11" t="s">
        <v>2396</v>
      </c>
      <c r="C3652" s="10" t="str">
        <f>IFERROR(INDEX(面试清单!D:D,MATCH(3651,面试清单!P:P,0)),"")</f>
        <v/>
      </c>
      <c r="D3652" s="11" t="s">
        <v>42</v>
      </c>
      <c r="E3652" s="11" t="s">
        <v>63</v>
      </c>
      <c r="F3652" s="11" t="s">
        <v>1511</v>
      </c>
      <c r="G3652" s="15">
        <v>46178</v>
      </c>
      <c r="H3652" s="10" t="str">
        <f>IFERROR(INDEX(面试清单!H:H,MATCH(3651,面试清单!P:P,0)),"")</f>
        <v/>
      </c>
      <c r="I3652" s="13" t="s">
        <v>30</v>
      </c>
      <c r="J3652" s="10">
        <f ca="1" t="shared" si="172"/>
        <v>11</v>
      </c>
      <c r="K3652" s="10">
        <f ca="1" t="shared" si="173"/>
        <v>12</v>
      </c>
    </row>
    <row r="3653" ht="18" spans="1:11">
      <c r="A3653" s="14">
        <f t="shared" si="171"/>
        <v>3652</v>
      </c>
      <c r="B3653" s="11" t="s">
        <v>2320</v>
      </c>
      <c r="C3653" s="14" t="str">
        <f>IFERROR(INDEX(面试清单!D:D,MATCH(3652,面试清单!P:P,0)),"")</f>
        <v/>
      </c>
      <c r="D3653" s="11" t="s">
        <v>42</v>
      </c>
      <c r="E3653" s="11" t="s">
        <v>63</v>
      </c>
      <c r="F3653" s="11" t="s">
        <v>1511</v>
      </c>
      <c r="G3653" s="15">
        <v>46178</v>
      </c>
      <c r="H3653" s="14" t="str">
        <f>IFERROR(INDEX(面试清单!H:H,MATCH(3652,面试清单!P:P,0)),"")</f>
        <v/>
      </c>
      <c r="I3653" s="13" t="s">
        <v>30</v>
      </c>
      <c r="J3653" s="14">
        <f ca="1" t="shared" si="172"/>
        <v>11</v>
      </c>
      <c r="K3653" s="14">
        <f ca="1" t="shared" si="173"/>
        <v>12</v>
      </c>
    </row>
    <row r="3654" ht="18" spans="1:11">
      <c r="A3654" s="10">
        <f t="shared" si="171"/>
        <v>3653</v>
      </c>
      <c r="B3654" s="11" t="s">
        <v>2314</v>
      </c>
      <c r="C3654" s="10" t="str">
        <f>IFERROR(INDEX(面试清单!D:D,MATCH(3653,面试清单!P:P,0)),"")</f>
        <v/>
      </c>
      <c r="D3654" s="11" t="s">
        <v>42</v>
      </c>
      <c r="E3654" s="11" t="s">
        <v>63</v>
      </c>
      <c r="F3654" s="11" t="s">
        <v>3826</v>
      </c>
      <c r="G3654" s="15">
        <v>46178</v>
      </c>
      <c r="H3654" s="10" t="str">
        <f>IFERROR(INDEX(面试清单!H:H,MATCH(3653,面试清单!P:P,0)),"")</f>
        <v/>
      </c>
      <c r="I3654" s="13" t="s">
        <v>30</v>
      </c>
      <c r="J3654" s="10">
        <f ca="1" t="shared" si="172"/>
        <v>11</v>
      </c>
      <c r="K3654" s="10">
        <f ca="1" t="shared" si="173"/>
        <v>12</v>
      </c>
    </row>
    <row r="3655" ht="18" spans="1:11">
      <c r="A3655" s="14">
        <f t="shared" si="171"/>
        <v>3654</v>
      </c>
      <c r="B3655" s="11" t="s">
        <v>2360</v>
      </c>
      <c r="C3655" s="14" t="str">
        <f>IFERROR(INDEX(面试清单!D:D,MATCH(3654,面试清单!P:P,0)),"")</f>
        <v/>
      </c>
      <c r="D3655" s="11" t="s">
        <v>43</v>
      </c>
      <c r="E3655" s="11" t="s">
        <v>63</v>
      </c>
      <c r="F3655" s="11" t="s">
        <v>3826</v>
      </c>
      <c r="G3655" s="15">
        <v>46178</v>
      </c>
      <c r="H3655" s="14" t="str">
        <f>IFERROR(INDEX(面试清单!H:H,MATCH(3654,面试清单!P:P,0)),"")</f>
        <v/>
      </c>
      <c r="I3655" s="13" t="s">
        <v>30</v>
      </c>
      <c r="J3655" s="14">
        <f ca="1" t="shared" si="172"/>
        <v>11</v>
      </c>
      <c r="K3655" s="14">
        <f ca="1" t="shared" si="173"/>
        <v>12</v>
      </c>
    </row>
    <row r="3656" ht="18" spans="1:11">
      <c r="A3656" s="10">
        <f t="shared" si="171"/>
        <v>3655</v>
      </c>
      <c r="B3656" s="11" t="s">
        <v>2444</v>
      </c>
      <c r="C3656" s="10" t="str">
        <f>IFERROR(INDEX(面试清单!D:D,MATCH(3655,面试清单!P:P,0)),"")</f>
        <v/>
      </c>
      <c r="D3656" s="11" t="s">
        <v>42</v>
      </c>
      <c r="E3656" s="11" t="s">
        <v>63</v>
      </c>
      <c r="F3656" s="11" t="s">
        <v>3826</v>
      </c>
      <c r="G3656" s="15">
        <v>46178</v>
      </c>
      <c r="H3656" s="10" t="str">
        <f>IFERROR(INDEX(面试清单!H:H,MATCH(3655,面试清单!P:P,0)),"")</f>
        <v/>
      </c>
      <c r="I3656" s="13" t="s">
        <v>30</v>
      </c>
      <c r="J3656" s="10">
        <f ca="1" t="shared" si="172"/>
        <v>11</v>
      </c>
      <c r="K3656" s="10">
        <f ca="1" t="shared" si="173"/>
        <v>12</v>
      </c>
    </row>
    <row r="3657" ht="18" spans="1:11">
      <c r="A3657" s="14">
        <f t="shared" si="171"/>
        <v>3656</v>
      </c>
      <c r="B3657" s="11" t="s">
        <v>2446</v>
      </c>
      <c r="C3657" s="14" t="str">
        <f>IFERROR(INDEX(面试清单!D:D,MATCH(3656,面试清单!P:P,0)),"")</f>
        <v/>
      </c>
      <c r="D3657" s="11" t="s">
        <v>42</v>
      </c>
      <c r="E3657" s="11" t="s">
        <v>63</v>
      </c>
      <c r="F3657" s="11" t="s">
        <v>3826</v>
      </c>
      <c r="G3657" s="15">
        <v>46178</v>
      </c>
      <c r="H3657" s="14" t="str">
        <f>IFERROR(INDEX(面试清单!H:H,MATCH(3656,面试清单!P:P,0)),"")</f>
        <v/>
      </c>
      <c r="I3657" s="13" t="s">
        <v>30</v>
      </c>
      <c r="J3657" s="14">
        <f ca="1" t="shared" si="172"/>
        <v>11</v>
      </c>
      <c r="K3657" s="14">
        <f ca="1" t="shared" si="173"/>
        <v>12</v>
      </c>
    </row>
    <row r="3658" ht="18" spans="1:11">
      <c r="A3658" s="10">
        <f t="shared" si="171"/>
        <v>3657</v>
      </c>
      <c r="B3658" s="11" t="s">
        <v>2368</v>
      </c>
      <c r="C3658" s="10" t="str">
        <f>IFERROR(INDEX(面试清单!D:D,MATCH(3657,面试清单!P:P,0)),"")</f>
        <v/>
      </c>
      <c r="D3658" s="11" t="s">
        <v>43</v>
      </c>
      <c r="E3658" s="11" t="s">
        <v>63</v>
      </c>
      <c r="F3658" s="11" t="s">
        <v>2181</v>
      </c>
      <c r="G3658" s="15">
        <v>46178</v>
      </c>
      <c r="H3658" s="10" t="str">
        <f>IFERROR(INDEX(面试清单!H:H,MATCH(3657,面试清单!P:P,0)),"")</f>
        <v/>
      </c>
      <c r="I3658" s="13" t="s">
        <v>30</v>
      </c>
      <c r="J3658" s="10">
        <f ca="1" t="shared" si="172"/>
        <v>11</v>
      </c>
      <c r="K3658" s="10">
        <f ca="1" t="shared" si="173"/>
        <v>12</v>
      </c>
    </row>
    <row r="3659" ht="18" spans="1:11">
      <c r="A3659" s="14">
        <f t="shared" si="171"/>
        <v>3658</v>
      </c>
      <c r="B3659" s="11" t="s">
        <v>2494</v>
      </c>
      <c r="C3659" s="14" t="str">
        <f>IFERROR(INDEX(面试清单!D:D,MATCH(3658,面试清单!P:P,0)),"")</f>
        <v/>
      </c>
      <c r="D3659" s="11" t="s">
        <v>42</v>
      </c>
      <c r="E3659" s="11" t="s">
        <v>62</v>
      </c>
      <c r="F3659" s="11" t="s">
        <v>2166</v>
      </c>
      <c r="G3659" s="15">
        <v>46178</v>
      </c>
      <c r="H3659" s="14" t="str">
        <f>IFERROR(INDEX(面试清单!H:H,MATCH(3658,面试清单!P:P,0)),"")</f>
        <v/>
      </c>
      <c r="I3659" s="13" t="s">
        <v>30</v>
      </c>
      <c r="J3659" s="14">
        <f ca="1" t="shared" si="172"/>
        <v>11</v>
      </c>
      <c r="K3659" s="14">
        <f ca="1" t="shared" si="173"/>
        <v>12</v>
      </c>
    </row>
    <row r="3660" ht="18" spans="1:11">
      <c r="A3660" s="10">
        <f t="shared" si="171"/>
        <v>3659</v>
      </c>
      <c r="B3660" s="11" t="s">
        <v>2495</v>
      </c>
      <c r="C3660" s="10" t="str">
        <f>IFERROR(INDEX(面试清单!D:D,MATCH(3659,面试清单!P:P,0)),"")</f>
        <v/>
      </c>
      <c r="D3660" s="11" t="s">
        <v>42</v>
      </c>
      <c r="E3660" s="11" t="s">
        <v>62</v>
      </c>
      <c r="F3660" s="11" t="s">
        <v>2166</v>
      </c>
      <c r="G3660" s="15">
        <v>46178</v>
      </c>
      <c r="H3660" s="10" t="str">
        <f>IFERROR(INDEX(面试清单!H:H,MATCH(3659,面试清单!P:P,0)),"")</f>
        <v/>
      </c>
      <c r="I3660" s="13" t="s">
        <v>30</v>
      </c>
      <c r="J3660" s="10">
        <f ca="1" t="shared" si="172"/>
        <v>11</v>
      </c>
      <c r="K3660" s="10">
        <f ca="1" t="shared" si="173"/>
        <v>12</v>
      </c>
    </row>
    <row r="3661" ht="18" spans="1:11">
      <c r="A3661" s="14">
        <f t="shared" si="171"/>
        <v>3660</v>
      </c>
      <c r="B3661" s="11" t="s">
        <v>2496</v>
      </c>
      <c r="C3661" s="14" t="str">
        <f>IFERROR(INDEX(面试清单!D:D,MATCH(3660,面试清单!P:P,0)),"")</f>
        <v/>
      </c>
      <c r="D3661" s="11" t="s">
        <v>42</v>
      </c>
      <c r="E3661" s="11" t="s">
        <v>62</v>
      </c>
      <c r="F3661" s="11" t="s">
        <v>2166</v>
      </c>
      <c r="G3661" s="15">
        <v>46178</v>
      </c>
      <c r="H3661" s="14" t="str">
        <f>IFERROR(INDEX(面试清单!H:H,MATCH(3660,面试清单!P:P,0)),"")</f>
        <v/>
      </c>
      <c r="I3661" s="13" t="s">
        <v>30</v>
      </c>
      <c r="J3661" s="14">
        <f ca="1" t="shared" si="172"/>
        <v>11</v>
      </c>
      <c r="K3661" s="14">
        <f ca="1" t="shared" si="173"/>
        <v>12</v>
      </c>
    </row>
    <row r="3662" ht="18" spans="1:11">
      <c r="A3662" s="10">
        <f t="shared" si="171"/>
        <v>3661</v>
      </c>
      <c r="B3662" s="11" t="s">
        <v>2497</v>
      </c>
      <c r="C3662" s="10" t="str">
        <f>IFERROR(INDEX(面试清单!D:D,MATCH(3661,面试清单!P:P,0)),"")</f>
        <v/>
      </c>
      <c r="D3662" s="11" t="s">
        <v>42</v>
      </c>
      <c r="E3662" s="11" t="s">
        <v>63</v>
      </c>
      <c r="F3662" s="11" t="s">
        <v>2166</v>
      </c>
      <c r="G3662" s="15">
        <v>46178</v>
      </c>
      <c r="H3662" s="10" t="str">
        <f>IFERROR(INDEX(面试清单!H:H,MATCH(3661,面试清单!P:P,0)),"")</f>
        <v/>
      </c>
      <c r="I3662" s="13" t="s">
        <v>30</v>
      </c>
      <c r="J3662" s="10">
        <f ca="1" t="shared" si="172"/>
        <v>11</v>
      </c>
      <c r="K3662" s="10">
        <f ca="1" t="shared" si="173"/>
        <v>12</v>
      </c>
    </row>
    <row r="3663" ht="18" spans="1:11">
      <c r="A3663" s="14">
        <f t="shared" si="171"/>
        <v>3662</v>
      </c>
      <c r="B3663" s="11" t="s">
        <v>1171</v>
      </c>
      <c r="C3663" s="14" t="str">
        <f>IFERROR(INDEX(面试清单!D:D,MATCH(3662,面试清单!P:P,0)),"")</f>
        <v/>
      </c>
      <c r="D3663" s="11" t="s">
        <v>43</v>
      </c>
      <c r="E3663" s="11" t="s">
        <v>62</v>
      </c>
      <c r="F3663" s="11" t="s">
        <v>148</v>
      </c>
      <c r="G3663" s="15">
        <v>46178</v>
      </c>
      <c r="H3663" s="14" t="str">
        <f>IFERROR(INDEX(面试清单!H:H,MATCH(3662,面试清单!P:P,0)),"")</f>
        <v/>
      </c>
      <c r="I3663" s="13" t="s">
        <v>30</v>
      </c>
      <c r="J3663" s="14">
        <f ca="1" t="shared" si="172"/>
        <v>11</v>
      </c>
      <c r="K3663" s="14">
        <f ca="1" t="shared" si="173"/>
        <v>12</v>
      </c>
    </row>
    <row r="3664" ht="18" spans="1:11">
      <c r="A3664" s="10">
        <f t="shared" si="171"/>
        <v>3663</v>
      </c>
      <c r="B3664" s="11" t="s">
        <v>2371</v>
      </c>
      <c r="C3664" s="10" t="str">
        <f>IFERROR(INDEX(面试清单!D:D,MATCH(3663,面试清单!P:P,0)),"")</f>
        <v/>
      </c>
      <c r="D3664" s="11" t="s">
        <v>43</v>
      </c>
      <c r="E3664" s="11" t="s">
        <v>63</v>
      </c>
      <c r="F3664" s="11" t="s">
        <v>2370</v>
      </c>
      <c r="G3664" s="15">
        <v>46178</v>
      </c>
      <c r="H3664" s="10" t="str">
        <f>IFERROR(INDEX(面试清单!H:H,MATCH(3663,面试清单!P:P,0)),"")</f>
        <v/>
      </c>
      <c r="I3664" s="13" t="s">
        <v>30</v>
      </c>
      <c r="J3664" s="10">
        <f ca="1" t="shared" si="172"/>
        <v>11</v>
      </c>
      <c r="K3664" s="10">
        <f ca="1" t="shared" si="173"/>
        <v>12</v>
      </c>
    </row>
    <row r="3665" ht="18" spans="1:11">
      <c r="A3665" s="14">
        <f t="shared" si="171"/>
        <v>3664</v>
      </c>
      <c r="B3665" s="11" t="s">
        <v>2394</v>
      </c>
      <c r="C3665" s="14" t="str">
        <f>IFERROR(INDEX(面试清单!D:D,MATCH(3664,面试清单!P:P,0)),"")</f>
        <v/>
      </c>
      <c r="D3665" s="11" t="s">
        <v>42</v>
      </c>
      <c r="E3665" s="11" t="s">
        <v>64</v>
      </c>
      <c r="F3665" s="11" t="s">
        <v>2370</v>
      </c>
      <c r="G3665" s="15">
        <v>46178</v>
      </c>
      <c r="H3665" s="14" t="str">
        <f>IFERROR(INDEX(面试清单!H:H,MATCH(3664,面试清单!P:P,0)),"")</f>
        <v/>
      </c>
      <c r="I3665" s="13" t="s">
        <v>30</v>
      </c>
      <c r="J3665" s="14">
        <f ca="1" t="shared" si="172"/>
        <v>11</v>
      </c>
      <c r="K3665" s="14">
        <f ca="1" t="shared" si="173"/>
        <v>12</v>
      </c>
    </row>
    <row r="3666" ht="18" spans="1:11">
      <c r="A3666" s="10">
        <f t="shared" si="171"/>
        <v>3665</v>
      </c>
      <c r="B3666" s="11" t="s">
        <v>2468</v>
      </c>
      <c r="C3666" s="10" t="str">
        <f>IFERROR(INDEX(面试清单!D:D,MATCH(3665,面试清单!P:P,0)),"")</f>
        <v/>
      </c>
      <c r="D3666" s="11" t="s">
        <v>43</v>
      </c>
      <c r="E3666" s="11" t="s">
        <v>64</v>
      </c>
      <c r="F3666" s="11" t="s">
        <v>2370</v>
      </c>
      <c r="G3666" s="15">
        <v>46178</v>
      </c>
      <c r="H3666" s="10" t="str">
        <f>IFERROR(INDEX(面试清单!H:H,MATCH(3665,面试清单!P:P,0)),"")</f>
        <v/>
      </c>
      <c r="I3666" s="13" t="s">
        <v>30</v>
      </c>
      <c r="J3666" s="10">
        <f ca="1" t="shared" si="172"/>
        <v>11</v>
      </c>
      <c r="K3666" s="10">
        <f ca="1" t="shared" si="173"/>
        <v>12</v>
      </c>
    </row>
    <row r="3667" ht="18" spans="1:11">
      <c r="A3667" s="14">
        <f t="shared" si="171"/>
        <v>3666</v>
      </c>
      <c r="B3667" s="11" t="s">
        <v>2249</v>
      </c>
      <c r="C3667" s="14" t="str">
        <f>IFERROR(INDEX(面试清单!D:D,MATCH(3666,面试清单!P:P,0)),"")</f>
        <v/>
      </c>
      <c r="D3667" s="11" t="s">
        <v>42</v>
      </c>
      <c r="E3667" s="11" t="s">
        <v>62</v>
      </c>
      <c r="F3667" s="11" t="s">
        <v>2250</v>
      </c>
      <c r="G3667" s="15">
        <v>46178</v>
      </c>
      <c r="H3667" s="14" t="str">
        <f>IFERROR(INDEX(面试清单!H:H,MATCH(3666,面试清单!P:P,0)),"")</f>
        <v/>
      </c>
      <c r="I3667" s="13" t="s">
        <v>30</v>
      </c>
      <c r="J3667" s="14">
        <f ca="1" t="shared" si="172"/>
        <v>11</v>
      </c>
      <c r="K3667" s="14">
        <f ca="1" t="shared" si="173"/>
        <v>12</v>
      </c>
    </row>
    <row r="3668" ht="36" spans="1:11">
      <c r="A3668" s="10">
        <f t="shared" si="171"/>
        <v>3667</v>
      </c>
      <c r="B3668" s="11" t="s">
        <v>2514</v>
      </c>
      <c r="C3668" s="10" t="str">
        <f>IFERROR(INDEX(面试清单!D:D,MATCH(3667,面试清单!P:P,0)),"")</f>
        <v/>
      </c>
      <c r="D3668" s="11" t="s">
        <v>43</v>
      </c>
      <c r="E3668" s="11" t="s">
        <v>63</v>
      </c>
      <c r="F3668" s="11" t="s">
        <v>2513</v>
      </c>
      <c r="G3668" s="15">
        <v>46178</v>
      </c>
      <c r="H3668" s="10" t="str">
        <f>IFERROR(INDEX(面试清单!H:H,MATCH(3667,面试清单!P:P,0)),"")</f>
        <v/>
      </c>
      <c r="I3668" s="13" t="s">
        <v>30</v>
      </c>
      <c r="J3668" s="10">
        <f ca="1" t="shared" si="172"/>
        <v>11</v>
      </c>
      <c r="K3668" s="10">
        <f ca="1" t="shared" si="173"/>
        <v>12</v>
      </c>
    </row>
    <row r="3669" ht="18" spans="1:11">
      <c r="A3669" s="14">
        <f t="shared" si="171"/>
        <v>3668</v>
      </c>
      <c r="B3669" s="11" t="s">
        <v>2457</v>
      </c>
      <c r="C3669" s="14" t="str">
        <f>IFERROR(INDEX(面试清单!D:D,MATCH(3668,面试清单!P:P,0)),"")</f>
        <v/>
      </c>
      <c r="D3669" s="11" t="s">
        <v>42</v>
      </c>
      <c r="E3669" s="11" t="s">
        <v>64</v>
      </c>
      <c r="F3669" s="11" t="s">
        <v>124</v>
      </c>
      <c r="G3669" s="15">
        <v>46178</v>
      </c>
      <c r="H3669" s="14" t="str">
        <f>IFERROR(INDEX(面试清单!H:H,MATCH(3668,面试清单!P:P,0)),"")</f>
        <v/>
      </c>
      <c r="I3669" s="13" t="s">
        <v>30</v>
      </c>
      <c r="J3669" s="14">
        <f ca="1" t="shared" si="172"/>
        <v>11</v>
      </c>
      <c r="K3669" s="14">
        <f ca="1" t="shared" si="173"/>
        <v>12</v>
      </c>
    </row>
    <row r="3670" ht="18" spans="1:11">
      <c r="A3670" s="10">
        <f t="shared" si="171"/>
        <v>3669</v>
      </c>
      <c r="B3670" s="11" t="s">
        <v>2456</v>
      </c>
      <c r="C3670" s="10" t="str">
        <f>IFERROR(INDEX(面试清单!D:D,MATCH(3669,面试清单!P:P,0)),"")</f>
        <v/>
      </c>
      <c r="D3670" s="11" t="s">
        <v>42</v>
      </c>
      <c r="E3670" s="11" t="s">
        <v>62</v>
      </c>
      <c r="F3670" s="11" t="s">
        <v>124</v>
      </c>
      <c r="G3670" s="15">
        <v>46178</v>
      </c>
      <c r="H3670" s="10" t="str">
        <f>IFERROR(INDEX(面试清单!H:H,MATCH(3669,面试清单!P:P,0)),"")</f>
        <v/>
      </c>
      <c r="I3670" s="13" t="s">
        <v>30</v>
      </c>
      <c r="J3670" s="10">
        <f ca="1" t="shared" si="172"/>
        <v>11</v>
      </c>
      <c r="K3670" s="10">
        <f ca="1" t="shared" si="173"/>
        <v>12</v>
      </c>
    </row>
    <row r="3671" ht="18" spans="1:11">
      <c r="A3671" s="14">
        <f t="shared" si="171"/>
        <v>3670</v>
      </c>
      <c r="B3671" s="11" t="s">
        <v>2260</v>
      </c>
      <c r="C3671" s="14" t="str">
        <f>IFERROR(INDEX(面试清单!D:D,MATCH(3670,面试清单!P:P,0)),"")</f>
        <v/>
      </c>
      <c r="D3671" s="11" t="s">
        <v>42</v>
      </c>
      <c r="E3671" s="11" t="s">
        <v>63</v>
      </c>
      <c r="F3671" s="11" t="s">
        <v>148</v>
      </c>
      <c r="G3671" s="15">
        <v>46178</v>
      </c>
      <c r="H3671" s="14" t="str">
        <f>IFERROR(INDEX(面试清单!H:H,MATCH(3670,面试清单!P:P,0)),"")</f>
        <v/>
      </c>
      <c r="I3671" s="13" t="s">
        <v>30</v>
      </c>
      <c r="J3671" s="14">
        <f ca="1" t="shared" si="172"/>
        <v>11</v>
      </c>
      <c r="K3671" s="14">
        <f ca="1" t="shared" si="173"/>
        <v>12</v>
      </c>
    </row>
    <row r="3672" ht="18" spans="1:11">
      <c r="A3672" s="10">
        <f t="shared" si="171"/>
        <v>3671</v>
      </c>
      <c r="B3672" s="11" t="s">
        <v>2261</v>
      </c>
      <c r="C3672" s="10" t="str">
        <f>IFERROR(INDEX(面试清单!D:D,MATCH(3671,面试清单!P:P,0)),"")</f>
        <v/>
      </c>
      <c r="D3672" s="11" t="s">
        <v>42</v>
      </c>
      <c r="E3672" s="11" t="s">
        <v>63</v>
      </c>
      <c r="F3672" s="11" t="s">
        <v>148</v>
      </c>
      <c r="G3672" s="15">
        <v>46178</v>
      </c>
      <c r="H3672" s="10" t="str">
        <f>IFERROR(INDEX(面试清单!H:H,MATCH(3671,面试清单!P:P,0)),"")</f>
        <v/>
      </c>
      <c r="I3672" s="13" t="s">
        <v>30</v>
      </c>
      <c r="J3672" s="10">
        <f ca="1" t="shared" si="172"/>
        <v>11</v>
      </c>
      <c r="K3672" s="10">
        <f ca="1" t="shared" si="173"/>
        <v>12</v>
      </c>
    </row>
    <row r="3673" ht="18" spans="1:11">
      <c r="A3673" s="14">
        <f t="shared" si="171"/>
        <v>3672</v>
      </c>
      <c r="B3673" s="11" t="s">
        <v>2262</v>
      </c>
      <c r="C3673" s="14" t="str">
        <f>IFERROR(INDEX(面试清单!D:D,MATCH(3672,面试清单!P:P,0)),"")</f>
        <v/>
      </c>
      <c r="D3673" s="11" t="s">
        <v>42</v>
      </c>
      <c r="E3673" s="11" t="s">
        <v>63</v>
      </c>
      <c r="F3673" s="11" t="s">
        <v>148</v>
      </c>
      <c r="G3673" s="15">
        <v>46178</v>
      </c>
      <c r="H3673" s="14" t="str">
        <f>IFERROR(INDEX(面试清单!H:H,MATCH(3672,面试清单!P:P,0)),"")</f>
        <v/>
      </c>
      <c r="I3673" s="13" t="s">
        <v>30</v>
      </c>
      <c r="J3673" s="14">
        <f ca="1" t="shared" si="172"/>
        <v>11</v>
      </c>
      <c r="K3673" s="14">
        <f ca="1" t="shared" si="173"/>
        <v>12</v>
      </c>
    </row>
    <row r="3674" ht="18" spans="1:11">
      <c r="A3674" s="10">
        <f t="shared" si="171"/>
        <v>3673</v>
      </c>
      <c r="B3674" s="11" t="s">
        <v>2263</v>
      </c>
      <c r="C3674" s="10" t="str">
        <f>IFERROR(INDEX(面试清单!D:D,MATCH(3673,面试清单!P:P,0)),"")</f>
        <v/>
      </c>
      <c r="D3674" s="11" t="s">
        <v>42</v>
      </c>
      <c r="E3674" s="11" t="s">
        <v>63</v>
      </c>
      <c r="F3674" s="11" t="s">
        <v>148</v>
      </c>
      <c r="G3674" s="15">
        <v>46178</v>
      </c>
      <c r="H3674" s="10" t="str">
        <f>IFERROR(INDEX(面试清单!H:H,MATCH(3673,面试清单!P:P,0)),"")</f>
        <v/>
      </c>
      <c r="I3674" s="13" t="s">
        <v>30</v>
      </c>
      <c r="J3674" s="10">
        <f ca="1" t="shared" si="172"/>
        <v>11</v>
      </c>
      <c r="K3674" s="10">
        <f ca="1" t="shared" si="173"/>
        <v>12</v>
      </c>
    </row>
    <row r="3675" ht="18" spans="1:11">
      <c r="A3675" s="14">
        <f t="shared" si="171"/>
        <v>3674</v>
      </c>
      <c r="B3675" s="11" t="s">
        <v>2295</v>
      </c>
      <c r="C3675" s="14" t="str">
        <f>IFERROR(INDEX(面试清单!D:D,MATCH(3674,面试清单!P:P,0)),"")</f>
        <v/>
      </c>
      <c r="D3675" s="11" t="s">
        <v>43</v>
      </c>
      <c r="E3675" s="11" t="s">
        <v>63</v>
      </c>
      <c r="F3675" s="11" t="s">
        <v>148</v>
      </c>
      <c r="G3675" s="15">
        <v>46178</v>
      </c>
      <c r="H3675" s="14" t="str">
        <f>IFERROR(INDEX(面试清单!H:H,MATCH(3674,面试清单!P:P,0)),"")</f>
        <v/>
      </c>
      <c r="I3675" s="13" t="s">
        <v>30</v>
      </c>
      <c r="J3675" s="14">
        <f ca="1" t="shared" si="172"/>
        <v>11</v>
      </c>
      <c r="K3675" s="14">
        <f ca="1" t="shared" si="173"/>
        <v>12</v>
      </c>
    </row>
    <row r="3676" ht="18" spans="1:11">
      <c r="A3676" s="10">
        <f t="shared" si="171"/>
        <v>3675</v>
      </c>
      <c r="B3676" s="11" t="s">
        <v>2297</v>
      </c>
      <c r="C3676" s="10" t="str">
        <f>IFERROR(INDEX(面试清单!D:D,MATCH(3675,面试清单!P:P,0)),"")</f>
        <v/>
      </c>
      <c r="D3676" s="11" t="s">
        <v>43</v>
      </c>
      <c r="E3676" s="11" t="s">
        <v>63</v>
      </c>
      <c r="F3676" s="11" t="s">
        <v>148</v>
      </c>
      <c r="G3676" s="15">
        <v>46178</v>
      </c>
      <c r="H3676" s="10" t="str">
        <f>IFERROR(INDEX(面试清单!H:H,MATCH(3675,面试清单!P:P,0)),"")</f>
        <v/>
      </c>
      <c r="I3676" s="13" t="s">
        <v>30</v>
      </c>
      <c r="J3676" s="10">
        <f ca="1" t="shared" si="172"/>
        <v>11</v>
      </c>
      <c r="K3676" s="10">
        <f ca="1" t="shared" si="173"/>
        <v>12</v>
      </c>
    </row>
    <row r="3677" ht="18" spans="1:11">
      <c r="A3677" s="14">
        <f t="shared" si="171"/>
        <v>3676</v>
      </c>
      <c r="B3677" s="11" t="s">
        <v>2296</v>
      </c>
      <c r="C3677" s="14" t="str">
        <f>IFERROR(INDEX(面试清单!D:D,MATCH(3676,面试清单!P:P,0)),"")</f>
        <v/>
      </c>
      <c r="D3677" s="11" t="s">
        <v>43</v>
      </c>
      <c r="E3677" s="11" t="s">
        <v>63</v>
      </c>
      <c r="F3677" s="11" t="s">
        <v>148</v>
      </c>
      <c r="G3677" s="15">
        <v>46178</v>
      </c>
      <c r="H3677" s="14" t="str">
        <f>IFERROR(INDEX(面试清单!H:H,MATCH(3676,面试清单!P:P,0)),"")</f>
        <v/>
      </c>
      <c r="I3677" s="13" t="s">
        <v>30</v>
      </c>
      <c r="J3677" s="14">
        <f ca="1" t="shared" si="172"/>
        <v>11</v>
      </c>
      <c r="K3677" s="14">
        <f ca="1" t="shared" si="173"/>
        <v>12</v>
      </c>
    </row>
    <row r="3678" ht="18" spans="1:11">
      <c r="A3678" s="10">
        <f t="shared" si="171"/>
        <v>3677</v>
      </c>
      <c r="B3678" s="11" t="s">
        <v>2334</v>
      </c>
      <c r="C3678" s="10" t="str">
        <f>IFERROR(INDEX(面试清单!D:D,MATCH(3677,面试清单!P:P,0)),"")</f>
        <v/>
      </c>
      <c r="D3678" s="11" t="s">
        <v>43</v>
      </c>
      <c r="E3678" s="11" t="s">
        <v>63</v>
      </c>
      <c r="F3678" s="11" t="s">
        <v>2164</v>
      </c>
      <c r="G3678" s="15">
        <v>46179</v>
      </c>
      <c r="H3678" s="10" t="str">
        <f>IFERROR(INDEX(面试清单!H:H,MATCH(3677,面试清单!P:P,0)),"")</f>
        <v/>
      </c>
      <c r="I3678" s="13" t="s">
        <v>30</v>
      </c>
      <c r="J3678" s="10">
        <f ca="1" t="shared" si="172"/>
        <v>10</v>
      </c>
      <c r="K3678" s="10">
        <f ca="1" t="shared" si="173"/>
        <v>11</v>
      </c>
    </row>
    <row r="3679" ht="18" spans="1:11">
      <c r="A3679" s="14">
        <f t="shared" si="171"/>
        <v>3678</v>
      </c>
      <c r="B3679" s="11" t="s">
        <v>2509</v>
      </c>
      <c r="C3679" s="14" t="str">
        <f>IFERROR(INDEX(面试清单!D:D,MATCH(3678,面试清单!P:P,0)),"")</f>
        <v/>
      </c>
      <c r="D3679" s="11" t="s">
        <v>43</v>
      </c>
      <c r="E3679" s="11" t="s">
        <v>63</v>
      </c>
      <c r="F3679" s="11" t="s">
        <v>2221</v>
      </c>
      <c r="G3679" s="15">
        <v>46179</v>
      </c>
      <c r="H3679" s="14" t="str">
        <f>IFERROR(INDEX(面试清单!H:H,MATCH(3678,面试清单!P:P,0)),"")</f>
        <v/>
      </c>
      <c r="I3679" s="13" t="s">
        <v>30</v>
      </c>
      <c r="J3679" s="14">
        <f ca="1" t="shared" si="172"/>
        <v>10</v>
      </c>
      <c r="K3679" s="14">
        <f ca="1" t="shared" si="173"/>
        <v>11</v>
      </c>
    </row>
    <row r="3680" ht="18" spans="1:11">
      <c r="A3680" s="10">
        <f t="shared" si="171"/>
        <v>3679</v>
      </c>
      <c r="B3680" s="11" t="s">
        <v>1899</v>
      </c>
      <c r="C3680" s="10" t="str">
        <f>IFERROR(INDEX(面试清单!D:D,MATCH(3679,面试清单!P:P,0)),"")</f>
        <v/>
      </c>
      <c r="D3680" s="11" t="s">
        <v>42</v>
      </c>
      <c r="E3680" s="11" t="s">
        <v>63</v>
      </c>
      <c r="F3680" s="11" t="s">
        <v>148</v>
      </c>
      <c r="G3680" s="15">
        <v>46179</v>
      </c>
      <c r="H3680" s="10" t="str">
        <f>IFERROR(INDEX(面试清单!H:H,MATCH(3679,面试清单!P:P,0)),"")</f>
        <v/>
      </c>
      <c r="I3680" s="13" t="s">
        <v>30</v>
      </c>
      <c r="J3680" s="10">
        <f ca="1" t="shared" si="172"/>
        <v>10</v>
      </c>
      <c r="K3680" s="10">
        <f ca="1" t="shared" si="173"/>
        <v>11</v>
      </c>
    </row>
    <row r="3681" ht="18" spans="1:11">
      <c r="A3681" s="14">
        <f t="shared" si="171"/>
        <v>3680</v>
      </c>
      <c r="B3681" s="11" t="s">
        <v>2162</v>
      </c>
      <c r="C3681" s="14" t="str">
        <f>IFERROR(INDEX(面试清单!D:D,MATCH(3680,面试清单!P:P,0)),"")</f>
        <v/>
      </c>
      <c r="D3681" s="11" t="s">
        <v>43</v>
      </c>
      <c r="E3681" s="11" t="s">
        <v>64</v>
      </c>
      <c r="F3681" s="11" t="s">
        <v>148</v>
      </c>
      <c r="G3681" s="15">
        <v>46179</v>
      </c>
      <c r="H3681" s="14" t="str">
        <f>IFERROR(INDEX(面试清单!H:H,MATCH(3680,面试清单!P:P,0)),"")</f>
        <v/>
      </c>
      <c r="I3681" s="13" t="s">
        <v>30</v>
      </c>
      <c r="J3681" s="14">
        <f ca="1" t="shared" si="172"/>
        <v>10</v>
      </c>
      <c r="K3681" s="14">
        <f ca="1" t="shared" si="173"/>
        <v>11</v>
      </c>
    </row>
    <row r="3682" ht="18" spans="1:11">
      <c r="A3682" s="10">
        <f t="shared" si="171"/>
        <v>3681</v>
      </c>
      <c r="B3682" s="11" t="s">
        <v>2427</v>
      </c>
      <c r="C3682" s="10" t="str">
        <f>IFERROR(INDEX(面试清单!D:D,MATCH(3681,面试清单!P:P,0)),"")</f>
        <v/>
      </c>
      <c r="D3682" s="11" t="s">
        <v>42</v>
      </c>
      <c r="E3682" s="11" t="s">
        <v>63</v>
      </c>
      <c r="F3682" s="11" t="s">
        <v>148</v>
      </c>
      <c r="G3682" s="15">
        <v>46179</v>
      </c>
      <c r="H3682" s="10" t="str">
        <f>IFERROR(INDEX(面试清单!H:H,MATCH(3681,面试清单!P:P,0)),"")</f>
        <v/>
      </c>
      <c r="I3682" s="13" t="s">
        <v>30</v>
      </c>
      <c r="J3682" s="10">
        <f ca="1" t="shared" si="172"/>
        <v>10</v>
      </c>
      <c r="K3682" s="10">
        <f ca="1" t="shared" si="173"/>
        <v>11</v>
      </c>
    </row>
    <row r="3683" ht="18" spans="1:11">
      <c r="A3683" s="14">
        <f t="shared" si="171"/>
        <v>3682</v>
      </c>
      <c r="B3683" s="11" t="s">
        <v>2312</v>
      </c>
      <c r="C3683" s="14" t="str">
        <f>IFERROR(INDEX(面试清单!D:D,MATCH(3682,面试清单!P:P,0)),"")</f>
        <v/>
      </c>
      <c r="D3683" s="11" t="s">
        <v>42</v>
      </c>
      <c r="E3683" s="11" t="s">
        <v>63</v>
      </c>
      <c r="F3683" s="11" t="s">
        <v>2164</v>
      </c>
      <c r="G3683" s="15">
        <v>46179</v>
      </c>
      <c r="H3683" s="14" t="str">
        <f>IFERROR(INDEX(面试清单!H:H,MATCH(3682,面试清单!P:P,0)),"")</f>
        <v/>
      </c>
      <c r="I3683" s="13" t="s">
        <v>30</v>
      </c>
      <c r="J3683" s="14">
        <f ca="1" t="shared" si="172"/>
        <v>10</v>
      </c>
      <c r="K3683" s="14">
        <f ca="1" t="shared" si="173"/>
        <v>11</v>
      </c>
    </row>
    <row r="3684" ht="18" spans="1:11">
      <c r="A3684" s="10">
        <f t="shared" si="171"/>
        <v>3683</v>
      </c>
      <c r="B3684" s="11" t="s">
        <v>2228</v>
      </c>
      <c r="C3684" s="10" t="str">
        <f>IFERROR(INDEX(面试清单!D:D,MATCH(3683,面试清单!P:P,0)),"")</f>
        <v/>
      </c>
      <c r="D3684" s="11" t="s">
        <v>42</v>
      </c>
      <c r="E3684" s="11" t="s">
        <v>63</v>
      </c>
      <c r="F3684" s="11" t="s">
        <v>2164</v>
      </c>
      <c r="G3684" s="15">
        <v>46179</v>
      </c>
      <c r="H3684" s="10" t="str">
        <f>IFERROR(INDEX(面试清单!H:H,MATCH(3683,面试清单!P:P,0)),"")</f>
        <v/>
      </c>
      <c r="I3684" s="13" t="s">
        <v>30</v>
      </c>
      <c r="J3684" s="10">
        <f ca="1" t="shared" si="172"/>
        <v>10</v>
      </c>
      <c r="K3684" s="10">
        <f ca="1" t="shared" si="173"/>
        <v>11</v>
      </c>
    </row>
    <row r="3685" ht="18" spans="1:11">
      <c r="A3685" s="14">
        <f t="shared" si="171"/>
        <v>3684</v>
      </c>
      <c r="B3685" s="11" t="s">
        <v>6737</v>
      </c>
      <c r="C3685" s="14" t="str">
        <f>IFERROR(INDEX(面试清单!D:D,MATCH(3684,面试清单!P:P,0)),"")</f>
        <v/>
      </c>
      <c r="D3685" s="11" t="s">
        <v>43</v>
      </c>
      <c r="E3685" s="11" t="s">
        <v>63</v>
      </c>
      <c r="F3685" s="11" t="s">
        <v>2181</v>
      </c>
      <c r="G3685" s="15">
        <v>46179</v>
      </c>
      <c r="H3685" s="14" t="str">
        <f>IFERROR(INDEX(面试清单!H:H,MATCH(3684,面试清单!P:P,0)),"")</f>
        <v/>
      </c>
      <c r="I3685" s="13" t="s">
        <v>30</v>
      </c>
      <c r="J3685" s="14">
        <f ca="1" t="shared" si="172"/>
        <v>10</v>
      </c>
      <c r="K3685" s="14">
        <f ca="1" t="shared" si="173"/>
        <v>11</v>
      </c>
    </row>
    <row r="3686" ht="18" spans="1:11">
      <c r="A3686" s="10">
        <f t="shared" si="171"/>
        <v>3685</v>
      </c>
      <c r="B3686" s="11" t="s">
        <v>2355</v>
      </c>
      <c r="C3686" s="10" t="str">
        <f>IFERROR(INDEX(面试清单!D:D,MATCH(3685,面试清单!P:P,0)),"")</f>
        <v/>
      </c>
      <c r="D3686" s="11" t="s">
        <v>43</v>
      </c>
      <c r="E3686" s="11" t="s">
        <v>63</v>
      </c>
      <c r="F3686" s="11" t="s">
        <v>6634</v>
      </c>
      <c r="G3686" s="15">
        <v>46179</v>
      </c>
      <c r="H3686" s="10" t="str">
        <f>IFERROR(INDEX(面试清单!H:H,MATCH(3685,面试清单!P:P,0)),"")</f>
        <v/>
      </c>
      <c r="I3686" s="13" t="s">
        <v>30</v>
      </c>
      <c r="J3686" s="10">
        <f ca="1" t="shared" si="172"/>
        <v>10</v>
      </c>
      <c r="K3686" s="10">
        <f ca="1" t="shared" si="173"/>
        <v>11</v>
      </c>
    </row>
    <row r="3687" ht="18" spans="1:11">
      <c r="A3687" s="14">
        <f t="shared" si="171"/>
        <v>3686</v>
      </c>
      <c r="B3687" s="11" t="s">
        <v>6738</v>
      </c>
      <c r="C3687" s="14" t="str">
        <f>IFERROR(INDEX(面试清单!D:D,MATCH(3686,面试清单!P:P,0)),"")</f>
        <v/>
      </c>
      <c r="D3687" s="11" t="s">
        <v>43</v>
      </c>
      <c r="E3687" s="11" t="s">
        <v>63</v>
      </c>
      <c r="F3687" s="11" t="s">
        <v>6634</v>
      </c>
      <c r="G3687" s="15">
        <v>46179</v>
      </c>
      <c r="H3687" s="14" t="str">
        <f>IFERROR(INDEX(面试清单!H:H,MATCH(3686,面试清单!P:P,0)),"")</f>
        <v/>
      </c>
      <c r="I3687" s="13" t="s">
        <v>30</v>
      </c>
      <c r="J3687" s="14">
        <f ca="1" t="shared" si="172"/>
        <v>10</v>
      </c>
      <c r="K3687" s="14">
        <f ca="1" t="shared" si="173"/>
        <v>11</v>
      </c>
    </row>
    <row r="3688" ht="18" spans="1:11">
      <c r="A3688" s="10">
        <f t="shared" si="171"/>
        <v>3687</v>
      </c>
      <c r="B3688" s="11" t="s">
        <v>2455</v>
      </c>
      <c r="C3688" s="10" t="str">
        <f>IFERROR(INDEX(面试清单!D:D,MATCH(3687,面试清单!P:P,0)),"")</f>
        <v/>
      </c>
      <c r="D3688" s="11" t="s">
        <v>42</v>
      </c>
      <c r="E3688" s="11" t="s">
        <v>62</v>
      </c>
      <c r="F3688" s="11" t="s">
        <v>124</v>
      </c>
      <c r="G3688" s="15">
        <v>46179</v>
      </c>
      <c r="H3688" s="10" t="str">
        <f>IFERROR(INDEX(面试清单!H:H,MATCH(3687,面试清单!P:P,0)),"")</f>
        <v/>
      </c>
      <c r="I3688" s="13" t="s">
        <v>30</v>
      </c>
      <c r="J3688" s="10">
        <f ca="1" t="shared" si="172"/>
        <v>10</v>
      </c>
      <c r="K3688" s="10">
        <f ca="1" t="shared" si="173"/>
        <v>11</v>
      </c>
    </row>
    <row r="3689" ht="18" spans="1:11">
      <c r="A3689" s="14">
        <f t="shared" si="171"/>
        <v>3688</v>
      </c>
      <c r="B3689" s="11" t="s">
        <v>2402</v>
      </c>
      <c r="C3689" s="14" t="str">
        <f>IFERROR(INDEX(面试清单!D:D,MATCH(3688,面试清单!P:P,0)),"")</f>
        <v/>
      </c>
      <c r="D3689" s="11" t="s">
        <v>42</v>
      </c>
      <c r="E3689" s="11" t="s">
        <v>63</v>
      </c>
      <c r="F3689" s="11" t="s">
        <v>2156</v>
      </c>
      <c r="G3689" s="15">
        <v>46179</v>
      </c>
      <c r="H3689" s="14" t="str">
        <f>IFERROR(INDEX(面试清单!H:H,MATCH(3688,面试清单!P:P,0)),"")</f>
        <v/>
      </c>
      <c r="I3689" s="13" t="s">
        <v>30</v>
      </c>
      <c r="J3689" s="14">
        <f ca="1" t="shared" si="172"/>
        <v>10</v>
      </c>
      <c r="K3689" s="14">
        <f ca="1" t="shared" si="173"/>
        <v>11</v>
      </c>
    </row>
    <row r="3690" ht="18" spans="1:11">
      <c r="A3690" s="10">
        <f t="shared" si="171"/>
        <v>3689</v>
      </c>
      <c r="B3690" s="11" t="s">
        <v>2268</v>
      </c>
      <c r="C3690" s="10" t="str">
        <f>IFERROR(INDEX(面试清单!D:D,MATCH(3689,面试清单!P:P,0)),"")</f>
        <v/>
      </c>
      <c r="D3690" s="11" t="s">
        <v>42</v>
      </c>
      <c r="E3690" s="11" t="s">
        <v>63</v>
      </c>
      <c r="F3690" s="11" t="s">
        <v>2221</v>
      </c>
      <c r="G3690" s="15">
        <v>46179</v>
      </c>
      <c r="H3690" s="10" t="str">
        <f>IFERROR(INDEX(面试清单!H:H,MATCH(3689,面试清单!P:P,0)),"")</f>
        <v/>
      </c>
      <c r="I3690" s="13" t="s">
        <v>30</v>
      </c>
      <c r="J3690" s="10">
        <f ca="1" t="shared" si="172"/>
        <v>10</v>
      </c>
      <c r="K3690" s="10">
        <f ca="1" t="shared" si="173"/>
        <v>11</v>
      </c>
    </row>
    <row r="3691" ht="18" spans="1:11">
      <c r="A3691" s="14">
        <f t="shared" si="171"/>
        <v>3690</v>
      </c>
      <c r="B3691" s="11" t="s">
        <v>2391</v>
      </c>
      <c r="C3691" s="14" t="str">
        <f>IFERROR(INDEX(面试清单!D:D,MATCH(3690,面试清单!P:P,0)),"")</f>
        <v/>
      </c>
      <c r="D3691" s="11" t="s">
        <v>42</v>
      </c>
      <c r="E3691" s="11" t="s">
        <v>63</v>
      </c>
      <c r="F3691" s="11" t="s">
        <v>2153</v>
      </c>
      <c r="G3691" s="15">
        <v>46179</v>
      </c>
      <c r="H3691" s="14" t="str">
        <f>IFERROR(INDEX(面试清单!H:H,MATCH(3690,面试清单!P:P,0)),"")</f>
        <v/>
      </c>
      <c r="I3691" s="13" t="s">
        <v>30</v>
      </c>
      <c r="J3691" s="14">
        <f ca="1" t="shared" si="172"/>
        <v>10</v>
      </c>
      <c r="K3691" s="14">
        <f ca="1" t="shared" si="173"/>
        <v>11</v>
      </c>
    </row>
    <row r="3692" ht="18" spans="1:11">
      <c r="A3692" s="10">
        <f t="shared" si="171"/>
        <v>3691</v>
      </c>
      <c r="B3692" s="11" t="s">
        <v>2264</v>
      </c>
      <c r="C3692" s="10" t="str">
        <f>IFERROR(INDEX(面试清单!D:D,MATCH(3691,面试清单!P:P,0)),"")</f>
        <v/>
      </c>
      <c r="D3692" s="11" t="s">
        <v>42</v>
      </c>
      <c r="E3692" s="11" t="s">
        <v>62</v>
      </c>
      <c r="F3692" s="11" t="s">
        <v>3826</v>
      </c>
      <c r="G3692" s="15">
        <v>46179</v>
      </c>
      <c r="H3692" s="10" t="str">
        <f>IFERROR(INDEX(面试清单!H:H,MATCH(3691,面试清单!P:P,0)),"")</f>
        <v/>
      </c>
      <c r="I3692" s="13" t="s">
        <v>30</v>
      </c>
      <c r="J3692" s="10">
        <f ca="1" t="shared" si="172"/>
        <v>10</v>
      </c>
      <c r="K3692" s="10">
        <f ca="1" t="shared" si="173"/>
        <v>11</v>
      </c>
    </row>
    <row r="3693" ht="18" spans="1:11">
      <c r="A3693" s="14">
        <f t="shared" si="171"/>
        <v>3692</v>
      </c>
      <c r="B3693" s="11" t="s">
        <v>2595</v>
      </c>
      <c r="C3693" s="14" t="str">
        <f>IFERROR(INDEX(面试清单!D:D,MATCH(3692,面试清单!P:P,0)),"")</f>
        <v/>
      </c>
      <c r="D3693" s="11" t="s">
        <v>42</v>
      </c>
      <c r="E3693" s="11" t="s">
        <v>62</v>
      </c>
      <c r="F3693" s="11" t="s">
        <v>2166</v>
      </c>
      <c r="G3693" s="15">
        <v>46179</v>
      </c>
      <c r="H3693" s="14" t="str">
        <f>IFERROR(INDEX(面试清单!H:H,MATCH(3692,面试清单!P:P,0)),"")</f>
        <v/>
      </c>
      <c r="I3693" s="13" t="s">
        <v>30</v>
      </c>
      <c r="J3693" s="14">
        <f ca="1" t="shared" si="172"/>
        <v>10</v>
      </c>
      <c r="K3693" s="14">
        <f ca="1" t="shared" si="173"/>
        <v>11</v>
      </c>
    </row>
    <row r="3694" ht="18" spans="1:11">
      <c r="A3694" s="10">
        <f t="shared" si="171"/>
        <v>3693</v>
      </c>
      <c r="B3694" s="11" t="s">
        <v>2596</v>
      </c>
      <c r="C3694" s="10" t="str">
        <f>IFERROR(INDEX(面试清单!D:D,MATCH(3693,面试清单!P:P,0)),"")</f>
        <v/>
      </c>
      <c r="D3694" s="11" t="s">
        <v>42</v>
      </c>
      <c r="E3694" s="11" t="s">
        <v>63</v>
      </c>
      <c r="F3694" s="11" t="s">
        <v>2166</v>
      </c>
      <c r="G3694" s="15">
        <v>46179</v>
      </c>
      <c r="H3694" s="10" t="str">
        <f>IFERROR(INDEX(面试清单!H:H,MATCH(3693,面试清单!P:P,0)),"")</f>
        <v/>
      </c>
      <c r="I3694" s="13" t="s">
        <v>30</v>
      </c>
      <c r="J3694" s="10">
        <f ca="1" t="shared" si="172"/>
        <v>10</v>
      </c>
      <c r="K3694" s="10">
        <f ca="1" t="shared" si="173"/>
        <v>11</v>
      </c>
    </row>
    <row r="3695" ht="18" spans="1:11">
      <c r="A3695" s="14">
        <f t="shared" si="171"/>
        <v>3694</v>
      </c>
      <c r="B3695" s="11" t="s">
        <v>2597</v>
      </c>
      <c r="C3695" s="14" t="str">
        <f>IFERROR(INDEX(面试清单!D:D,MATCH(3694,面试清单!P:P,0)),"")</f>
        <v/>
      </c>
      <c r="D3695" s="11" t="s">
        <v>42</v>
      </c>
      <c r="E3695" s="11" t="s">
        <v>63</v>
      </c>
      <c r="F3695" s="11" t="s">
        <v>2166</v>
      </c>
      <c r="G3695" s="15">
        <v>46179</v>
      </c>
      <c r="H3695" s="14" t="str">
        <f>IFERROR(INDEX(面试清单!H:H,MATCH(3694,面试清单!P:P,0)),"")</f>
        <v/>
      </c>
      <c r="I3695" s="13" t="s">
        <v>30</v>
      </c>
      <c r="J3695" s="14">
        <f ca="1" t="shared" si="172"/>
        <v>10</v>
      </c>
      <c r="K3695" s="14">
        <f ca="1" t="shared" si="173"/>
        <v>11</v>
      </c>
    </row>
    <row r="3696" ht="18" spans="1:11">
      <c r="A3696" s="10">
        <f t="shared" si="171"/>
        <v>3695</v>
      </c>
      <c r="B3696" s="11" t="s">
        <v>2404</v>
      </c>
      <c r="C3696" s="10" t="str">
        <f>IFERROR(INDEX(面试清单!D:D,MATCH(3695,面试清单!P:P,0)),"")</f>
        <v/>
      </c>
      <c r="D3696" s="11" t="s">
        <v>42</v>
      </c>
      <c r="E3696" s="11" t="s">
        <v>63</v>
      </c>
      <c r="F3696" s="11" t="s">
        <v>2166</v>
      </c>
      <c r="G3696" s="15">
        <v>46179</v>
      </c>
      <c r="H3696" s="10" t="str">
        <f>IFERROR(INDEX(面试清单!H:H,MATCH(3695,面试清单!P:P,0)),"")</f>
        <v/>
      </c>
      <c r="I3696" s="13" t="s">
        <v>30</v>
      </c>
      <c r="J3696" s="10">
        <f ca="1" t="shared" si="172"/>
        <v>10</v>
      </c>
      <c r="K3696" s="10">
        <f ca="1" t="shared" si="173"/>
        <v>11</v>
      </c>
    </row>
    <row r="3697" ht="18" spans="1:11">
      <c r="A3697" s="14">
        <f t="shared" si="171"/>
        <v>3696</v>
      </c>
      <c r="B3697" s="11" t="s">
        <v>2300</v>
      </c>
      <c r="C3697" s="14" t="str">
        <f>IFERROR(INDEX(面试清单!D:D,MATCH(3696,面试清单!P:P,0)),"")</f>
        <v/>
      </c>
      <c r="D3697" s="11" t="s">
        <v>43</v>
      </c>
      <c r="E3697" s="11" t="s">
        <v>64</v>
      </c>
      <c r="F3697" s="11" t="s">
        <v>148</v>
      </c>
      <c r="G3697" s="15">
        <v>46179</v>
      </c>
      <c r="H3697" s="14" t="str">
        <f>IFERROR(INDEX(面试清单!H:H,MATCH(3696,面试清单!P:P,0)),"")</f>
        <v/>
      </c>
      <c r="I3697" s="13" t="s">
        <v>30</v>
      </c>
      <c r="J3697" s="14">
        <f ca="1" t="shared" si="172"/>
        <v>10</v>
      </c>
      <c r="K3697" s="14">
        <f ca="1" t="shared" si="173"/>
        <v>11</v>
      </c>
    </row>
    <row r="3698" ht="18" spans="1:11">
      <c r="A3698" s="10">
        <f t="shared" si="171"/>
        <v>3697</v>
      </c>
      <c r="B3698" s="11" t="s">
        <v>2420</v>
      </c>
      <c r="C3698" s="10" t="str">
        <f>IFERROR(INDEX(面试清单!D:D,MATCH(3697,面试清单!P:P,0)),"")</f>
        <v/>
      </c>
      <c r="D3698" s="11" t="s">
        <v>43</v>
      </c>
      <c r="E3698" s="11" t="s">
        <v>63</v>
      </c>
      <c r="F3698" s="11" t="s">
        <v>2164</v>
      </c>
      <c r="G3698" s="15">
        <v>46180</v>
      </c>
      <c r="H3698" s="10" t="str">
        <f>IFERROR(INDEX(面试清单!H:H,MATCH(3697,面试清单!P:P,0)),"")</f>
        <v/>
      </c>
      <c r="I3698" s="13" t="s">
        <v>30</v>
      </c>
      <c r="J3698" s="10">
        <f ca="1" t="shared" si="172"/>
        <v>9</v>
      </c>
      <c r="K3698" s="10">
        <f ca="1" t="shared" si="173"/>
        <v>10</v>
      </c>
    </row>
    <row r="3699" ht="18" spans="1:11">
      <c r="A3699" s="14">
        <f t="shared" si="171"/>
        <v>3698</v>
      </c>
      <c r="B3699" s="11" t="s">
        <v>2606</v>
      </c>
      <c r="C3699" s="14" t="str">
        <f>IFERROR(INDEX(面试清单!D:D,MATCH(3698,面试清单!P:P,0)),"")</f>
        <v/>
      </c>
      <c r="D3699" s="11" t="s">
        <v>42</v>
      </c>
      <c r="E3699" s="11" t="s">
        <v>62</v>
      </c>
      <c r="F3699" s="11" t="s">
        <v>3826</v>
      </c>
      <c r="G3699" s="15">
        <v>46180</v>
      </c>
      <c r="H3699" s="14" t="str">
        <f>IFERROR(INDEX(面试清单!H:H,MATCH(3698,面试清单!P:P,0)),"")</f>
        <v/>
      </c>
      <c r="I3699" s="13" t="s">
        <v>30</v>
      </c>
      <c r="J3699" s="14">
        <f ca="1" t="shared" si="172"/>
        <v>9</v>
      </c>
      <c r="K3699" s="14">
        <f ca="1" t="shared" si="173"/>
        <v>10</v>
      </c>
    </row>
    <row r="3700" ht="18" spans="1:11">
      <c r="A3700" s="10">
        <f t="shared" si="171"/>
        <v>3699</v>
      </c>
      <c r="B3700" s="11" t="s">
        <v>2507</v>
      </c>
      <c r="C3700" s="10" t="str">
        <f>IFERROR(INDEX(面试清单!D:D,MATCH(3699,面试清单!P:P,0)),"")</f>
        <v/>
      </c>
      <c r="D3700" s="11" t="s">
        <v>43</v>
      </c>
      <c r="E3700" s="11" t="s">
        <v>63</v>
      </c>
      <c r="F3700" s="11" t="s">
        <v>3826</v>
      </c>
      <c r="G3700" s="15">
        <v>46180</v>
      </c>
      <c r="H3700" s="10" t="str">
        <f>IFERROR(INDEX(面试清单!H:H,MATCH(3699,面试清单!P:P,0)),"")</f>
        <v/>
      </c>
      <c r="I3700" s="13" t="s">
        <v>30</v>
      </c>
      <c r="J3700" s="10">
        <f ca="1" t="shared" si="172"/>
        <v>9</v>
      </c>
      <c r="K3700" s="10">
        <f ca="1" t="shared" si="173"/>
        <v>10</v>
      </c>
    </row>
    <row r="3701" ht="18" spans="1:11">
      <c r="A3701" s="14">
        <f t="shared" si="171"/>
        <v>3700</v>
      </c>
      <c r="B3701" s="11" t="s">
        <v>2651</v>
      </c>
      <c r="C3701" s="14" t="str">
        <f>IFERROR(INDEX(面试清单!D:D,MATCH(3700,面试清单!P:P,0)),"")</f>
        <v/>
      </c>
      <c r="D3701" s="11" t="s">
        <v>43</v>
      </c>
      <c r="E3701" s="11" t="s">
        <v>63</v>
      </c>
      <c r="F3701" s="11" t="s">
        <v>3831</v>
      </c>
      <c r="G3701" s="15">
        <v>46180</v>
      </c>
      <c r="H3701" s="14" t="str">
        <f>IFERROR(INDEX(面试清单!H:H,MATCH(3700,面试清单!P:P,0)),"")</f>
        <v/>
      </c>
      <c r="I3701" s="13" t="s">
        <v>30</v>
      </c>
      <c r="J3701" s="14">
        <f ca="1" t="shared" si="172"/>
        <v>9</v>
      </c>
      <c r="K3701" s="14">
        <f ca="1" t="shared" si="173"/>
        <v>10</v>
      </c>
    </row>
    <row r="3702" ht="18" spans="1:11">
      <c r="A3702" s="10">
        <f t="shared" si="171"/>
        <v>3701</v>
      </c>
      <c r="B3702" s="11" t="s">
        <v>2453</v>
      </c>
      <c r="C3702" s="10" t="str">
        <f>IFERROR(INDEX(面试清单!D:D,MATCH(3701,面试清单!P:P,0)),"")</f>
        <v/>
      </c>
      <c r="D3702" s="11" t="s">
        <v>42</v>
      </c>
      <c r="E3702" s="11" t="s">
        <v>62</v>
      </c>
      <c r="F3702" s="11" t="s">
        <v>2349</v>
      </c>
      <c r="G3702" s="15">
        <v>46180</v>
      </c>
      <c r="H3702" s="10" t="str">
        <f>IFERROR(INDEX(面试清单!H:H,MATCH(3701,面试清单!P:P,0)),"")</f>
        <v/>
      </c>
      <c r="I3702" s="13" t="s">
        <v>30</v>
      </c>
      <c r="J3702" s="10">
        <f ca="1" t="shared" si="172"/>
        <v>9</v>
      </c>
      <c r="K3702" s="10">
        <f ca="1" t="shared" si="173"/>
        <v>10</v>
      </c>
    </row>
    <row r="3703" ht="18" spans="1:11">
      <c r="A3703" s="14">
        <f t="shared" si="171"/>
        <v>3702</v>
      </c>
      <c r="B3703" s="11" t="s">
        <v>2227</v>
      </c>
      <c r="C3703" s="14" t="str">
        <f>IFERROR(INDEX(面试清单!D:D,MATCH(3702,面试清单!P:P,0)),"")</f>
        <v/>
      </c>
      <c r="D3703" s="11" t="s">
        <v>42</v>
      </c>
      <c r="E3703" s="11" t="s">
        <v>63</v>
      </c>
      <c r="F3703" s="11" t="s">
        <v>148</v>
      </c>
      <c r="G3703" s="15">
        <v>46180</v>
      </c>
      <c r="H3703" s="14" t="str">
        <f>IFERROR(INDEX(面试清单!H:H,MATCH(3702,面试清单!P:P,0)),"")</f>
        <v/>
      </c>
      <c r="I3703" s="13" t="s">
        <v>30</v>
      </c>
      <c r="J3703" s="14">
        <f ca="1" t="shared" si="172"/>
        <v>9</v>
      </c>
      <c r="K3703" s="14">
        <f ca="1" t="shared" si="173"/>
        <v>10</v>
      </c>
    </row>
    <row r="3704" ht="18" spans="1:11">
      <c r="A3704" s="10">
        <f t="shared" si="171"/>
        <v>3703</v>
      </c>
      <c r="B3704" s="11" t="s">
        <v>6739</v>
      </c>
      <c r="C3704" s="10" t="str">
        <f>IFERROR(INDEX(面试清单!D:D,MATCH(3703,面试清单!P:P,0)),"")</f>
        <v/>
      </c>
      <c r="D3704" s="11" t="s">
        <v>42</v>
      </c>
      <c r="E3704" s="11" t="s">
        <v>62</v>
      </c>
      <c r="F3704" s="11" t="s">
        <v>148</v>
      </c>
      <c r="G3704" s="15">
        <v>46180</v>
      </c>
      <c r="H3704" s="10" t="str">
        <f>IFERROR(INDEX(面试清单!H:H,MATCH(3703,面试清单!P:P,0)),"")</f>
        <v/>
      </c>
      <c r="I3704" s="13" t="s">
        <v>30</v>
      </c>
      <c r="J3704" s="10">
        <f ca="1" t="shared" si="172"/>
        <v>9</v>
      </c>
      <c r="K3704" s="10">
        <f ca="1" t="shared" si="173"/>
        <v>10</v>
      </c>
    </row>
    <row r="3705" ht="18" spans="1:11">
      <c r="A3705" s="14">
        <f t="shared" si="171"/>
        <v>3704</v>
      </c>
      <c r="B3705" s="11" t="s">
        <v>2354</v>
      </c>
      <c r="C3705" s="14" t="str">
        <f>IFERROR(INDEX(面试清单!D:D,MATCH(3704,面试清单!P:P,0)),"")</f>
        <v/>
      </c>
      <c r="D3705" s="11" t="s">
        <v>43</v>
      </c>
      <c r="E3705" s="11" t="s">
        <v>62</v>
      </c>
      <c r="F3705" s="11" t="s">
        <v>233</v>
      </c>
      <c r="G3705" s="15">
        <v>46180</v>
      </c>
      <c r="H3705" s="14" t="str">
        <f>IFERROR(INDEX(面试清单!H:H,MATCH(3704,面试清单!P:P,0)),"")</f>
        <v/>
      </c>
      <c r="I3705" s="13" t="s">
        <v>30</v>
      </c>
      <c r="J3705" s="14">
        <f ca="1" t="shared" si="172"/>
        <v>9</v>
      </c>
      <c r="K3705" s="14">
        <f ca="1" t="shared" si="173"/>
        <v>10</v>
      </c>
    </row>
    <row r="3706" ht="18" spans="1:11">
      <c r="A3706" s="10">
        <f t="shared" si="171"/>
        <v>3705</v>
      </c>
      <c r="B3706" s="11" t="s">
        <v>2293</v>
      </c>
      <c r="C3706" s="10" t="str">
        <f>IFERROR(INDEX(面试清单!D:D,MATCH(3705,面试清单!P:P,0)),"")</f>
        <v/>
      </c>
      <c r="D3706" s="11" t="s">
        <v>43</v>
      </c>
      <c r="E3706" s="11" t="s">
        <v>63</v>
      </c>
      <c r="F3706" s="11" t="s">
        <v>2370</v>
      </c>
      <c r="G3706" s="15">
        <v>46180</v>
      </c>
      <c r="H3706" s="10" t="str">
        <f>IFERROR(INDEX(面试清单!H:H,MATCH(3705,面试清单!P:P,0)),"")</f>
        <v/>
      </c>
      <c r="I3706" s="13" t="s">
        <v>30</v>
      </c>
      <c r="J3706" s="10">
        <f ca="1" t="shared" si="172"/>
        <v>9</v>
      </c>
      <c r="K3706" s="10">
        <f ca="1" t="shared" si="173"/>
        <v>10</v>
      </c>
    </row>
    <row r="3707" ht="18" spans="1:11">
      <c r="A3707" s="14">
        <f t="shared" si="171"/>
        <v>3706</v>
      </c>
      <c r="B3707" s="11" t="s">
        <v>2307</v>
      </c>
      <c r="C3707" s="14" t="str">
        <f>IFERROR(INDEX(面试清单!D:D,MATCH(3706,面试清单!P:P,0)),"")</f>
        <v/>
      </c>
      <c r="D3707" s="11" t="s">
        <v>42</v>
      </c>
      <c r="E3707" s="11" t="s">
        <v>62</v>
      </c>
      <c r="F3707" s="11" t="s">
        <v>2221</v>
      </c>
      <c r="G3707" s="15">
        <v>46180</v>
      </c>
      <c r="H3707" s="14" t="str">
        <f>IFERROR(INDEX(面试清单!H:H,MATCH(3706,面试清单!P:P,0)),"")</f>
        <v/>
      </c>
      <c r="I3707" s="13" t="s">
        <v>30</v>
      </c>
      <c r="J3707" s="14">
        <f ca="1" t="shared" si="172"/>
        <v>9</v>
      </c>
      <c r="K3707" s="14">
        <f ca="1" t="shared" si="173"/>
        <v>10</v>
      </c>
    </row>
    <row r="3708" ht="18" spans="1:11">
      <c r="A3708" s="10">
        <f t="shared" si="171"/>
        <v>3707</v>
      </c>
      <c r="B3708" s="11" t="s">
        <v>2480</v>
      </c>
      <c r="C3708" s="10" t="str">
        <f>IFERROR(INDEX(面试清单!D:D,MATCH(3707,面试清单!P:P,0)),"")</f>
        <v/>
      </c>
      <c r="D3708" s="11" t="s">
        <v>43</v>
      </c>
      <c r="E3708" s="11" t="s">
        <v>63</v>
      </c>
      <c r="F3708" s="11" t="s">
        <v>2250</v>
      </c>
      <c r="G3708" s="15">
        <v>46180</v>
      </c>
      <c r="H3708" s="10" t="str">
        <f>IFERROR(INDEX(面试清单!H:H,MATCH(3707,面试清单!P:P,0)),"")</f>
        <v/>
      </c>
      <c r="I3708" s="13" t="s">
        <v>30</v>
      </c>
      <c r="J3708" s="10">
        <f ca="1" t="shared" si="172"/>
        <v>9</v>
      </c>
      <c r="K3708" s="10">
        <f ca="1" t="shared" si="173"/>
        <v>10</v>
      </c>
    </row>
    <row r="3709" ht="18" spans="1:11">
      <c r="A3709" s="14">
        <f t="shared" si="171"/>
        <v>3708</v>
      </c>
      <c r="B3709" s="11" t="s">
        <v>2586</v>
      </c>
      <c r="C3709" s="14" t="str">
        <f>IFERROR(INDEX(面试清单!D:D,MATCH(3708,面试清单!P:P,0)),"")</f>
        <v/>
      </c>
      <c r="D3709" s="11" t="s">
        <v>43</v>
      </c>
      <c r="E3709" s="11" t="s">
        <v>63</v>
      </c>
      <c r="F3709" s="11" t="s">
        <v>2250</v>
      </c>
      <c r="G3709" s="15">
        <v>46180</v>
      </c>
      <c r="H3709" s="14" t="str">
        <f>IFERROR(INDEX(面试清单!H:H,MATCH(3708,面试清单!P:P,0)),"")</f>
        <v/>
      </c>
      <c r="I3709" s="13" t="s">
        <v>30</v>
      </c>
      <c r="J3709" s="14">
        <f ca="1" t="shared" si="172"/>
        <v>9</v>
      </c>
      <c r="K3709" s="14">
        <f ca="1" t="shared" si="173"/>
        <v>10</v>
      </c>
    </row>
    <row r="3710" ht="18" spans="1:11">
      <c r="A3710" s="10">
        <f t="shared" si="171"/>
        <v>3709</v>
      </c>
      <c r="B3710" s="11" t="s">
        <v>2491</v>
      </c>
      <c r="C3710" s="10" t="str">
        <f>IFERROR(INDEX(面试清单!D:D,MATCH(3709,面试清单!P:P,0)),"")</f>
        <v/>
      </c>
      <c r="D3710" s="11" t="s">
        <v>42</v>
      </c>
      <c r="E3710" s="11" t="s">
        <v>63</v>
      </c>
      <c r="F3710" s="11" t="s">
        <v>2166</v>
      </c>
      <c r="G3710" s="15">
        <v>46180</v>
      </c>
      <c r="H3710" s="10" t="str">
        <f>IFERROR(INDEX(面试清单!H:H,MATCH(3709,面试清单!P:P,0)),"")</f>
        <v/>
      </c>
      <c r="I3710" s="13" t="s">
        <v>30</v>
      </c>
      <c r="J3710" s="10">
        <f ca="1" t="shared" si="172"/>
        <v>9</v>
      </c>
      <c r="K3710" s="10">
        <f ca="1" t="shared" si="173"/>
        <v>10</v>
      </c>
    </row>
    <row r="3711" ht="18" spans="1:11">
      <c r="A3711" s="14">
        <f t="shared" si="171"/>
        <v>3710</v>
      </c>
      <c r="B3711" s="11" t="s">
        <v>6740</v>
      </c>
      <c r="C3711" s="14" t="str">
        <f>IFERROR(INDEX(面试清单!D:D,MATCH(3710,面试清单!P:P,0)),"")</f>
        <v/>
      </c>
      <c r="D3711" s="11" t="s">
        <v>42</v>
      </c>
      <c r="E3711" s="11" t="s">
        <v>62</v>
      </c>
      <c r="F3711" s="11" t="s">
        <v>2166</v>
      </c>
      <c r="G3711" s="15">
        <v>46180</v>
      </c>
      <c r="H3711" s="14" t="str">
        <f>IFERROR(INDEX(面试清单!H:H,MATCH(3710,面试清单!P:P,0)),"")</f>
        <v/>
      </c>
      <c r="I3711" s="13" t="s">
        <v>30</v>
      </c>
      <c r="J3711" s="14">
        <f ca="1" t="shared" si="172"/>
        <v>9</v>
      </c>
      <c r="K3711" s="14">
        <f ca="1" t="shared" si="173"/>
        <v>10</v>
      </c>
    </row>
    <row r="3712" ht="18" spans="1:11">
      <c r="A3712" s="10">
        <f t="shared" si="171"/>
        <v>3711</v>
      </c>
      <c r="B3712" s="11" t="s">
        <v>6741</v>
      </c>
      <c r="C3712" s="10" t="str">
        <f>IFERROR(INDEX(面试清单!D:D,MATCH(3711,面试清单!P:P,0)),"")</f>
        <v/>
      </c>
      <c r="D3712" s="11" t="s">
        <v>42</v>
      </c>
      <c r="E3712" s="11" t="s">
        <v>63</v>
      </c>
      <c r="F3712" s="11" t="s">
        <v>2153</v>
      </c>
      <c r="G3712" s="15">
        <v>46181</v>
      </c>
      <c r="H3712" s="10" t="str">
        <f>IFERROR(INDEX(面试清单!H:H,MATCH(3711,面试清单!P:P,0)),"")</f>
        <v/>
      </c>
      <c r="I3712" s="13" t="s">
        <v>30</v>
      </c>
      <c r="J3712" s="10">
        <f ca="1" t="shared" si="172"/>
        <v>8</v>
      </c>
      <c r="K3712" s="10">
        <f ca="1" t="shared" si="173"/>
        <v>9</v>
      </c>
    </row>
    <row r="3713" ht="18" spans="1:11">
      <c r="A3713" s="14">
        <f t="shared" si="171"/>
        <v>3712</v>
      </c>
      <c r="B3713" s="11" t="s">
        <v>2583</v>
      </c>
      <c r="C3713" s="14" t="str">
        <f>IFERROR(INDEX(面试清单!D:D,MATCH(3712,面试清单!P:P,0)),"")</f>
        <v/>
      </c>
      <c r="D3713" s="11" t="s">
        <v>43</v>
      </c>
      <c r="E3713" s="11" t="s">
        <v>62</v>
      </c>
      <c r="F3713" s="11" t="s">
        <v>2153</v>
      </c>
      <c r="G3713" s="15">
        <v>46181</v>
      </c>
      <c r="H3713" s="14" t="str">
        <f>IFERROR(INDEX(面试清单!H:H,MATCH(3712,面试清单!P:P,0)),"")</f>
        <v/>
      </c>
      <c r="I3713" s="13" t="s">
        <v>30</v>
      </c>
      <c r="J3713" s="14">
        <f ca="1" t="shared" si="172"/>
        <v>8</v>
      </c>
      <c r="K3713" s="14">
        <f ca="1" t="shared" si="173"/>
        <v>9</v>
      </c>
    </row>
    <row r="3714" ht="18" spans="1:11">
      <c r="A3714" s="10">
        <f t="shared" ref="A3714:A3777" si="174">IF(B3714&lt;&gt;"",ROW()-1,"")</f>
        <v>3713</v>
      </c>
      <c r="B3714" s="11" t="s">
        <v>2302</v>
      </c>
      <c r="C3714" s="10" t="str">
        <f>IFERROR(INDEX(面试清单!D:D,MATCH(3713,面试清单!P:P,0)),"")</f>
        <v/>
      </c>
      <c r="D3714" s="11" t="s">
        <v>43</v>
      </c>
      <c r="E3714" s="11" t="s">
        <v>62</v>
      </c>
      <c r="F3714" s="11" t="s">
        <v>103</v>
      </c>
      <c r="G3714" s="15">
        <v>46181</v>
      </c>
      <c r="H3714" s="10" t="str">
        <f>IFERROR(INDEX(面试清单!H:H,MATCH(3713,面试清单!P:P,0)),"")</f>
        <v/>
      </c>
      <c r="I3714" s="13" t="s">
        <v>30</v>
      </c>
      <c r="J3714" s="10">
        <f ca="1" t="shared" ref="J3714:J3777" si="175">IF(G3714&lt;&gt;"",TODAY()-G3714,"")</f>
        <v>8</v>
      </c>
      <c r="K3714" s="10">
        <f ca="1" t="shared" ref="K3714:K3777" si="176">IF(G3714&lt;&gt;"",MAX(0,MIN(TODAY(),EOMONTH(TODAY(),0))-MAX(G3714,EOMONTH(TODAY(),-1)+1)+1),"")</f>
        <v>9</v>
      </c>
    </row>
    <row r="3715" ht="18" spans="1:11">
      <c r="A3715" s="14">
        <f t="shared" si="174"/>
        <v>3714</v>
      </c>
      <c r="B3715" s="11" t="s">
        <v>2619</v>
      </c>
      <c r="C3715" s="14" t="str">
        <f>IFERROR(INDEX(面试清单!D:D,MATCH(3714,面试清单!P:P,0)),"")</f>
        <v/>
      </c>
      <c r="D3715" s="11" t="s">
        <v>42</v>
      </c>
      <c r="E3715" s="11" t="s">
        <v>62</v>
      </c>
      <c r="F3715" s="11" t="s">
        <v>233</v>
      </c>
      <c r="G3715" s="15">
        <v>46181</v>
      </c>
      <c r="H3715" s="14" t="str">
        <f>IFERROR(INDEX(面试清单!H:H,MATCH(3714,面试清单!P:P,0)),"")</f>
        <v/>
      </c>
      <c r="I3715" s="13" t="s">
        <v>30</v>
      </c>
      <c r="J3715" s="14">
        <f ca="1" t="shared" si="175"/>
        <v>8</v>
      </c>
      <c r="K3715" s="14">
        <f ca="1" t="shared" si="176"/>
        <v>9</v>
      </c>
    </row>
    <row r="3716" ht="18" spans="1:11">
      <c r="A3716" s="10">
        <f t="shared" si="174"/>
        <v>3715</v>
      </c>
      <c r="B3716" s="11" t="s">
        <v>2415</v>
      </c>
      <c r="C3716" s="10" t="str">
        <f>IFERROR(INDEX(面试清单!D:D,MATCH(3715,面试清单!P:P,0)),"")</f>
        <v/>
      </c>
      <c r="D3716" s="11" t="s">
        <v>43</v>
      </c>
      <c r="E3716" s="11" t="s">
        <v>63</v>
      </c>
      <c r="F3716" s="11" t="s">
        <v>233</v>
      </c>
      <c r="G3716" s="15">
        <v>46181</v>
      </c>
      <c r="H3716" s="10" t="str">
        <f>IFERROR(INDEX(面试清单!H:H,MATCH(3715,面试清单!P:P,0)),"")</f>
        <v/>
      </c>
      <c r="I3716" s="13" t="s">
        <v>30</v>
      </c>
      <c r="J3716" s="10">
        <f ca="1" t="shared" si="175"/>
        <v>8</v>
      </c>
      <c r="K3716" s="10">
        <f ca="1" t="shared" si="176"/>
        <v>9</v>
      </c>
    </row>
    <row r="3717" ht="18" spans="1:11">
      <c r="A3717" s="14">
        <f t="shared" si="174"/>
        <v>3716</v>
      </c>
      <c r="B3717" s="11" t="s">
        <v>2544</v>
      </c>
      <c r="C3717" s="14" t="str">
        <f>IFERROR(INDEX(面试清单!D:D,MATCH(3716,面试清单!P:P,0)),"")</f>
        <v/>
      </c>
      <c r="D3717" s="11" t="s">
        <v>42</v>
      </c>
      <c r="E3717" s="11" t="s">
        <v>62</v>
      </c>
      <c r="F3717" s="11" t="s">
        <v>124</v>
      </c>
      <c r="G3717" s="15">
        <v>46181</v>
      </c>
      <c r="H3717" s="14" t="str">
        <f>IFERROR(INDEX(面试清单!H:H,MATCH(3716,面试清单!P:P,0)),"")</f>
        <v/>
      </c>
      <c r="I3717" s="13" t="s">
        <v>30</v>
      </c>
      <c r="J3717" s="14">
        <f ca="1" t="shared" si="175"/>
        <v>8</v>
      </c>
      <c r="K3717" s="14">
        <f ca="1" t="shared" si="176"/>
        <v>9</v>
      </c>
    </row>
    <row r="3718" ht="18" spans="1:11">
      <c r="A3718" s="10">
        <f t="shared" si="174"/>
        <v>3717</v>
      </c>
      <c r="B3718" s="11" t="s">
        <v>2675</v>
      </c>
      <c r="C3718" s="10" t="str">
        <f>IFERROR(INDEX(面试清单!D:D,MATCH(3717,面试清单!P:P,0)),"")</f>
        <v/>
      </c>
      <c r="D3718" s="11" t="s">
        <v>42</v>
      </c>
      <c r="E3718" s="11" t="s">
        <v>62</v>
      </c>
      <c r="F3718" s="11" t="s">
        <v>124</v>
      </c>
      <c r="G3718" s="15">
        <v>46181</v>
      </c>
      <c r="H3718" s="10" t="str">
        <f>IFERROR(INDEX(面试清单!H:H,MATCH(3717,面试清单!P:P,0)),"")</f>
        <v/>
      </c>
      <c r="I3718" s="13" t="s">
        <v>30</v>
      </c>
      <c r="J3718" s="10">
        <f ca="1" t="shared" si="175"/>
        <v>8</v>
      </c>
      <c r="K3718" s="10">
        <f ca="1" t="shared" si="176"/>
        <v>9</v>
      </c>
    </row>
    <row r="3719" ht="18" spans="1:11">
      <c r="A3719" s="14">
        <f t="shared" si="174"/>
        <v>3718</v>
      </c>
      <c r="B3719" s="11" t="s">
        <v>2510</v>
      </c>
      <c r="C3719" s="14" t="str">
        <f>IFERROR(INDEX(面试清单!D:D,MATCH(3718,面试清单!P:P,0)),"")</f>
        <v/>
      </c>
      <c r="D3719" s="11" t="s">
        <v>43</v>
      </c>
      <c r="E3719" s="11" t="s">
        <v>62</v>
      </c>
      <c r="F3719" s="11" t="s">
        <v>2221</v>
      </c>
      <c r="G3719" s="15">
        <v>46181</v>
      </c>
      <c r="H3719" s="14" t="str">
        <f>IFERROR(INDEX(面试清单!H:H,MATCH(3718,面试清单!P:P,0)),"")</f>
        <v/>
      </c>
      <c r="I3719" s="13" t="s">
        <v>30</v>
      </c>
      <c r="J3719" s="14">
        <f ca="1" t="shared" si="175"/>
        <v>8</v>
      </c>
      <c r="K3719" s="14">
        <f ca="1" t="shared" si="176"/>
        <v>9</v>
      </c>
    </row>
    <row r="3720" ht="18" spans="1:11">
      <c r="A3720" s="10">
        <f t="shared" si="174"/>
        <v>3719</v>
      </c>
      <c r="B3720" s="11" t="s">
        <v>2538</v>
      </c>
      <c r="C3720" s="10" t="str">
        <f>IFERROR(INDEX(面试清单!D:D,MATCH(3719,面试清单!P:P,0)),"")</f>
        <v/>
      </c>
      <c r="D3720" s="11" t="s">
        <v>43</v>
      </c>
      <c r="E3720" s="11" t="s">
        <v>63</v>
      </c>
      <c r="F3720" s="11" t="s">
        <v>2250</v>
      </c>
      <c r="G3720" s="15">
        <v>46181</v>
      </c>
      <c r="H3720" s="10" t="str">
        <f>IFERROR(INDEX(面试清单!H:H,MATCH(3719,面试清单!P:P,0)),"")</f>
        <v/>
      </c>
      <c r="I3720" s="13" t="s">
        <v>30</v>
      </c>
      <c r="J3720" s="10">
        <f ca="1" t="shared" si="175"/>
        <v>8</v>
      </c>
      <c r="K3720" s="10">
        <f ca="1" t="shared" si="176"/>
        <v>9</v>
      </c>
    </row>
    <row r="3721" ht="18" spans="1:11">
      <c r="A3721" s="14">
        <f t="shared" si="174"/>
        <v>3720</v>
      </c>
      <c r="B3721" s="11" t="s">
        <v>2650</v>
      </c>
      <c r="C3721" s="14" t="str">
        <f>IFERROR(INDEX(面试清单!D:D,MATCH(3720,面试清单!P:P,0)),"")</f>
        <v/>
      </c>
      <c r="D3721" s="11" t="s">
        <v>43</v>
      </c>
      <c r="E3721" s="11" t="s">
        <v>62</v>
      </c>
      <c r="F3721" s="11" t="s">
        <v>2250</v>
      </c>
      <c r="G3721" s="15">
        <v>46181</v>
      </c>
      <c r="H3721" s="14" t="str">
        <f>IFERROR(INDEX(面试清单!H:H,MATCH(3720,面试清单!P:P,0)),"")</f>
        <v/>
      </c>
      <c r="I3721" s="13" t="s">
        <v>30</v>
      </c>
      <c r="J3721" s="14">
        <f ca="1" t="shared" si="175"/>
        <v>8</v>
      </c>
      <c r="K3721" s="14">
        <f ca="1" t="shared" si="176"/>
        <v>9</v>
      </c>
    </row>
    <row r="3722" ht="18" spans="1:11">
      <c r="A3722" s="10">
        <f t="shared" si="174"/>
        <v>3721</v>
      </c>
      <c r="B3722" s="11" t="s">
        <v>2488</v>
      </c>
      <c r="C3722" s="10" t="str">
        <f>IFERROR(INDEX(面试清单!D:D,MATCH(3721,面试清单!P:P,0)),"")</f>
        <v/>
      </c>
      <c r="D3722" s="11" t="s">
        <v>42</v>
      </c>
      <c r="E3722" s="11" t="s">
        <v>63</v>
      </c>
      <c r="F3722" s="11" t="s">
        <v>2250</v>
      </c>
      <c r="G3722" s="15">
        <v>46181</v>
      </c>
      <c r="H3722" s="10" t="str">
        <f>IFERROR(INDEX(面试清单!H:H,MATCH(3721,面试清单!P:P,0)),"")</f>
        <v/>
      </c>
      <c r="I3722" s="13" t="s">
        <v>30</v>
      </c>
      <c r="J3722" s="10">
        <f ca="1" t="shared" si="175"/>
        <v>8</v>
      </c>
      <c r="K3722" s="10">
        <f ca="1" t="shared" si="176"/>
        <v>9</v>
      </c>
    </row>
    <row r="3723" ht="18" spans="1:11">
      <c r="A3723" s="14">
        <f t="shared" si="174"/>
        <v>3722</v>
      </c>
      <c r="B3723" s="11" t="s">
        <v>1726</v>
      </c>
      <c r="C3723" s="14" t="str">
        <f>IFERROR(INDEX(面试清单!D:D,MATCH(3722,面试清单!P:P,0)),"")</f>
        <v/>
      </c>
      <c r="D3723" s="11" t="s">
        <v>43</v>
      </c>
      <c r="E3723" s="11" t="s">
        <v>62</v>
      </c>
      <c r="F3723" s="11" t="s">
        <v>2349</v>
      </c>
      <c r="G3723" s="15">
        <v>46181</v>
      </c>
      <c r="H3723" s="14" t="str">
        <f>IFERROR(INDEX(面试清单!H:H,MATCH(3722,面试清单!P:P,0)),"")</f>
        <v/>
      </c>
      <c r="I3723" s="13" t="s">
        <v>30</v>
      </c>
      <c r="J3723" s="14">
        <f ca="1" t="shared" si="175"/>
        <v>8</v>
      </c>
      <c r="K3723" s="14">
        <f ca="1" t="shared" si="176"/>
        <v>9</v>
      </c>
    </row>
    <row r="3724" ht="18" spans="1:11">
      <c r="A3724" s="10">
        <f t="shared" si="174"/>
        <v>3723</v>
      </c>
      <c r="B3724" s="11" t="s">
        <v>2762</v>
      </c>
      <c r="C3724" s="10" t="str">
        <f>IFERROR(INDEX(面试清单!D:D,MATCH(3723,面试清单!P:P,0)),"")</f>
        <v/>
      </c>
      <c r="D3724" s="11" t="s">
        <v>43</v>
      </c>
      <c r="E3724" s="11" t="s">
        <v>63</v>
      </c>
      <c r="F3724" s="11" t="s">
        <v>103</v>
      </c>
      <c r="G3724" s="15">
        <v>46181</v>
      </c>
      <c r="H3724" s="10" t="str">
        <f>IFERROR(INDEX(面试清单!H:H,MATCH(3723,面试清单!P:P,0)),"")</f>
        <v/>
      </c>
      <c r="I3724" s="13" t="s">
        <v>30</v>
      </c>
      <c r="J3724" s="10">
        <f ca="1" t="shared" si="175"/>
        <v>8</v>
      </c>
      <c r="K3724" s="10">
        <f ca="1" t="shared" si="176"/>
        <v>9</v>
      </c>
    </row>
    <row r="3725" ht="18" spans="1:11">
      <c r="A3725" s="14">
        <f t="shared" si="174"/>
        <v>3724</v>
      </c>
      <c r="B3725" s="11" t="s">
        <v>2519</v>
      </c>
      <c r="C3725" s="14" t="str">
        <f>IFERROR(INDEX(面试清单!D:D,MATCH(3724,面试清单!P:P,0)),"")</f>
        <v/>
      </c>
      <c r="D3725" s="11" t="s">
        <v>42</v>
      </c>
      <c r="E3725" s="11" t="s">
        <v>63</v>
      </c>
      <c r="F3725" s="11" t="s">
        <v>148</v>
      </c>
      <c r="G3725" s="15">
        <v>46181</v>
      </c>
      <c r="H3725" s="14" t="str">
        <f>IFERROR(INDEX(面试清单!H:H,MATCH(3724,面试清单!P:P,0)),"")</f>
        <v/>
      </c>
      <c r="I3725" s="13" t="s">
        <v>30</v>
      </c>
      <c r="J3725" s="14">
        <f ca="1" t="shared" si="175"/>
        <v>8</v>
      </c>
      <c r="K3725" s="14">
        <f ca="1" t="shared" si="176"/>
        <v>9</v>
      </c>
    </row>
    <row r="3726" ht="18" spans="1:11">
      <c r="A3726" s="10">
        <f t="shared" si="174"/>
        <v>3725</v>
      </c>
      <c r="B3726" s="11" t="s">
        <v>2578</v>
      </c>
      <c r="C3726" s="10" t="str">
        <f>IFERROR(INDEX(面试清单!D:D,MATCH(3725,面试清单!P:P,0)),"")</f>
        <v/>
      </c>
      <c r="D3726" s="11" t="s">
        <v>43</v>
      </c>
      <c r="E3726" s="11" t="s">
        <v>63</v>
      </c>
      <c r="F3726" s="11" t="s">
        <v>148</v>
      </c>
      <c r="G3726" s="15">
        <v>46181</v>
      </c>
      <c r="H3726" s="10" t="str">
        <f>IFERROR(INDEX(面试清单!H:H,MATCH(3725,面试清单!P:P,0)),"")</f>
        <v/>
      </c>
      <c r="I3726" s="13" t="s">
        <v>30</v>
      </c>
      <c r="J3726" s="10">
        <f ca="1" t="shared" si="175"/>
        <v>8</v>
      </c>
      <c r="K3726" s="10">
        <f ca="1" t="shared" si="176"/>
        <v>9</v>
      </c>
    </row>
    <row r="3727" ht="18" spans="1:11">
      <c r="A3727" s="14">
        <f t="shared" si="174"/>
        <v>3726</v>
      </c>
      <c r="B3727" s="11" t="s">
        <v>2482</v>
      </c>
      <c r="C3727" s="14" t="str">
        <f>IFERROR(INDEX(面试清单!D:D,MATCH(3726,面试清单!P:P,0)),"")</f>
        <v/>
      </c>
      <c r="D3727" s="11" t="s">
        <v>43</v>
      </c>
      <c r="E3727" s="11" t="s">
        <v>63</v>
      </c>
      <c r="F3727" s="11" t="s">
        <v>148</v>
      </c>
      <c r="G3727" s="15">
        <v>46181</v>
      </c>
      <c r="H3727" s="14" t="str">
        <f>IFERROR(INDEX(面试清单!H:H,MATCH(3726,面试清单!P:P,0)),"")</f>
        <v/>
      </c>
      <c r="I3727" s="13" t="s">
        <v>30</v>
      </c>
      <c r="J3727" s="14">
        <f ca="1" t="shared" si="175"/>
        <v>8</v>
      </c>
      <c r="K3727" s="14">
        <f ca="1" t="shared" si="176"/>
        <v>9</v>
      </c>
    </row>
    <row r="3728" ht="18" spans="1:11">
      <c r="A3728" s="10">
        <f t="shared" si="174"/>
        <v>3727</v>
      </c>
      <c r="B3728" s="11" t="s">
        <v>2711</v>
      </c>
      <c r="C3728" s="10" t="str">
        <f>IFERROR(INDEX(面试清单!D:D,MATCH(3727,面试清单!P:P,0)),"")</f>
        <v/>
      </c>
      <c r="D3728" s="11" t="s">
        <v>42</v>
      </c>
      <c r="E3728" s="11" t="s">
        <v>63</v>
      </c>
      <c r="F3728" s="11" t="s">
        <v>3826</v>
      </c>
      <c r="G3728" s="15">
        <v>46182</v>
      </c>
      <c r="H3728" s="10" t="str">
        <f>IFERROR(INDEX(面试清单!H:H,MATCH(3727,面试清单!P:P,0)),"")</f>
        <v/>
      </c>
      <c r="I3728" s="13" t="s">
        <v>30</v>
      </c>
      <c r="J3728" s="10">
        <f ca="1" t="shared" si="175"/>
        <v>7</v>
      </c>
      <c r="K3728" s="10">
        <f ca="1" t="shared" si="176"/>
        <v>8</v>
      </c>
    </row>
    <row r="3729" ht="18" spans="1:11">
      <c r="A3729" s="14">
        <f t="shared" si="174"/>
        <v>3728</v>
      </c>
      <c r="B3729" s="11" t="s">
        <v>2607</v>
      </c>
      <c r="C3729" s="14" t="str">
        <f>IFERROR(INDEX(面试清单!D:D,MATCH(3728,面试清单!P:P,0)),"")</f>
        <v/>
      </c>
      <c r="D3729" s="11" t="s">
        <v>42</v>
      </c>
      <c r="E3729" s="11" t="s">
        <v>62</v>
      </c>
      <c r="F3729" s="11" t="s">
        <v>3826</v>
      </c>
      <c r="G3729" s="15">
        <v>46182</v>
      </c>
      <c r="H3729" s="14" t="str">
        <f>IFERROR(INDEX(面试清单!H:H,MATCH(3728,面试清单!P:P,0)),"")</f>
        <v/>
      </c>
      <c r="I3729" s="13" t="s">
        <v>30</v>
      </c>
      <c r="J3729" s="14">
        <f ca="1" t="shared" si="175"/>
        <v>7</v>
      </c>
      <c r="K3729" s="14">
        <f ca="1" t="shared" si="176"/>
        <v>8</v>
      </c>
    </row>
    <row r="3730" ht="18" spans="1:11">
      <c r="A3730" s="10">
        <f t="shared" si="174"/>
        <v>3729</v>
      </c>
      <c r="B3730" s="11" t="s">
        <v>2653</v>
      </c>
      <c r="C3730" s="10" t="str">
        <f>IFERROR(INDEX(面试清单!D:D,MATCH(3729,面试清单!P:P,0)),"")</f>
        <v/>
      </c>
      <c r="D3730" s="11" t="s">
        <v>43</v>
      </c>
      <c r="E3730" s="11" t="s">
        <v>63</v>
      </c>
      <c r="F3730" s="11" t="s">
        <v>3826</v>
      </c>
      <c r="G3730" s="15">
        <v>46182</v>
      </c>
      <c r="H3730" s="10" t="str">
        <f>IFERROR(INDEX(面试清单!H:H,MATCH(3729,面试清单!P:P,0)),"")</f>
        <v/>
      </c>
      <c r="I3730" s="13" t="s">
        <v>30</v>
      </c>
      <c r="J3730" s="10">
        <f ca="1" t="shared" si="175"/>
        <v>7</v>
      </c>
      <c r="K3730" s="10">
        <f ca="1" t="shared" si="176"/>
        <v>8</v>
      </c>
    </row>
    <row r="3731" ht="18" spans="1:11">
      <c r="A3731" s="14">
        <f t="shared" si="174"/>
        <v>3730</v>
      </c>
      <c r="B3731" s="11" t="s">
        <v>2625</v>
      </c>
      <c r="C3731" s="14" t="str">
        <f>IFERROR(INDEX(面试清单!D:D,MATCH(3730,面试清单!P:P,0)),"")</f>
        <v/>
      </c>
      <c r="D3731" s="11" t="s">
        <v>42</v>
      </c>
      <c r="E3731" s="11" t="s">
        <v>63</v>
      </c>
      <c r="F3731" s="11" t="s">
        <v>148</v>
      </c>
      <c r="G3731" s="15">
        <v>46182</v>
      </c>
      <c r="H3731" s="14" t="str">
        <f>IFERROR(INDEX(面试清单!H:H,MATCH(3730,面试清单!P:P,0)),"")</f>
        <v/>
      </c>
      <c r="I3731" s="13" t="s">
        <v>30</v>
      </c>
      <c r="J3731" s="14">
        <f ca="1" t="shared" si="175"/>
        <v>7</v>
      </c>
      <c r="K3731" s="14">
        <f ca="1" t="shared" si="176"/>
        <v>8</v>
      </c>
    </row>
    <row r="3732" ht="18" spans="1:11">
      <c r="A3732" s="10">
        <f t="shared" si="174"/>
        <v>3731</v>
      </c>
      <c r="B3732" s="11" t="s">
        <v>2626</v>
      </c>
      <c r="C3732" s="10" t="str">
        <f>IFERROR(INDEX(面试清单!D:D,MATCH(3731,面试清单!P:P,0)),"")</f>
        <v/>
      </c>
      <c r="D3732" s="11" t="s">
        <v>42</v>
      </c>
      <c r="E3732" s="11" t="s">
        <v>63</v>
      </c>
      <c r="F3732" s="11" t="s">
        <v>148</v>
      </c>
      <c r="G3732" s="15">
        <v>46182</v>
      </c>
      <c r="H3732" s="10" t="str">
        <f>IFERROR(INDEX(面试清单!H:H,MATCH(3731,面试清单!P:P,0)),"")</f>
        <v/>
      </c>
      <c r="I3732" s="13" t="s">
        <v>30</v>
      </c>
      <c r="J3732" s="10">
        <f ca="1" t="shared" si="175"/>
        <v>7</v>
      </c>
      <c r="K3732" s="10">
        <f ca="1" t="shared" si="176"/>
        <v>8</v>
      </c>
    </row>
    <row r="3733" ht="18" spans="1:11">
      <c r="A3733" s="14">
        <f t="shared" si="174"/>
        <v>3732</v>
      </c>
      <c r="B3733" s="11" t="s">
        <v>6742</v>
      </c>
      <c r="C3733" s="14" t="str">
        <f>IFERROR(INDEX(面试清单!D:D,MATCH(3732,面试清单!P:P,0)),"")</f>
        <v/>
      </c>
      <c r="D3733" s="11" t="s">
        <v>42</v>
      </c>
      <c r="E3733" s="11" t="s">
        <v>62</v>
      </c>
      <c r="F3733" s="11" t="s">
        <v>124</v>
      </c>
      <c r="G3733" s="15">
        <v>46182</v>
      </c>
      <c r="H3733" s="14" t="str">
        <f>IFERROR(INDEX(面试清单!H:H,MATCH(3732,面试清单!P:P,0)),"")</f>
        <v/>
      </c>
      <c r="I3733" s="13" t="s">
        <v>30</v>
      </c>
      <c r="J3733" s="14">
        <f ca="1" t="shared" si="175"/>
        <v>7</v>
      </c>
      <c r="K3733" s="14">
        <f ca="1" t="shared" si="176"/>
        <v>8</v>
      </c>
    </row>
    <row r="3734" ht="18" spans="1:11">
      <c r="A3734" s="10">
        <f t="shared" si="174"/>
        <v>3733</v>
      </c>
      <c r="B3734" s="11" t="s">
        <v>2664</v>
      </c>
      <c r="C3734" s="10" t="str">
        <f>IFERROR(INDEX(面试清单!D:D,MATCH(3733,面试清单!P:P,0)),"")</f>
        <v/>
      </c>
      <c r="D3734" s="11" t="s">
        <v>43</v>
      </c>
      <c r="E3734" s="11" t="s">
        <v>63</v>
      </c>
      <c r="F3734" s="11" t="s">
        <v>1056</v>
      </c>
      <c r="G3734" s="15">
        <v>46182</v>
      </c>
      <c r="H3734" s="10" t="str">
        <f>IFERROR(INDEX(面试清单!H:H,MATCH(3733,面试清单!P:P,0)),"")</f>
        <v/>
      </c>
      <c r="I3734" s="13" t="s">
        <v>30</v>
      </c>
      <c r="J3734" s="10">
        <f ca="1" t="shared" si="175"/>
        <v>7</v>
      </c>
      <c r="K3734" s="10">
        <f ca="1" t="shared" si="176"/>
        <v>8</v>
      </c>
    </row>
    <row r="3735" ht="18" spans="1:11">
      <c r="A3735" s="14">
        <f t="shared" si="174"/>
        <v>3734</v>
      </c>
      <c r="B3735" s="11" t="s">
        <v>6743</v>
      </c>
      <c r="C3735" s="14" t="str">
        <f>IFERROR(INDEX(面试清单!D:D,MATCH(3734,面试清单!P:P,0)),"")</f>
        <v/>
      </c>
      <c r="D3735" s="11" t="s">
        <v>43</v>
      </c>
      <c r="E3735" s="11" t="s">
        <v>63</v>
      </c>
      <c r="F3735" s="11" t="s">
        <v>179</v>
      </c>
      <c r="G3735" s="15">
        <v>46182</v>
      </c>
      <c r="H3735" s="14" t="str">
        <f>IFERROR(INDEX(面试清单!H:H,MATCH(3734,面试清单!P:P,0)),"")</f>
        <v/>
      </c>
      <c r="I3735" s="13" t="s">
        <v>30</v>
      </c>
      <c r="J3735" s="14">
        <f ca="1" t="shared" si="175"/>
        <v>7</v>
      </c>
      <c r="K3735" s="14">
        <f ca="1" t="shared" si="176"/>
        <v>8</v>
      </c>
    </row>
    <row r="3736" ht="18" spans="1:11">
      <c r="A3736" s="10">
        <f t="shared" si="174"/>
        <v>3735</v>
      </c>
      <c r="B3736" s="11" t="s">
        <v>2648</v>
      </c>
      <c r="C3736" s="10" t="str">
        <f>IFERROR(INDEX(面试清单!D:D,MATCH(3735,面试清单!P:P,0)),"")</f>
        <v/>
      </c>
      <c r="D3736" s="11" t="s">
        <v>43</v>
      </c>
      <c r="E3736" s="11" t="s">
        <v>63</v>
      </c>
      <c r="F3736" s="11" t="s">
        <v>2164</v>
      </c>
      <c r="G3736" s="15">
        <v>46182</v>
      </c>
      <c r="H3736" s="10" t="str">
        <f>IFERROR(INDEX(面试清单!H:H,MATCH(3735,面试清单!P:P,0)),"")</f>
        <v/>
      </c>
      <c r="I3736" s="13" t="s">
        <v>30</v>
      </c>
      <c r="J3736" s="10">
        <f ca="1" t="shared" si="175"/>
        <v>7</v>
      </c>
      <c r="K3736" s="10">
        <f ca="1" t="shared" si="176"/>
        <v>8</v>
      </c>
    </row>
    <row r="3737" ht="18" spans="1:11">
      <c r="A3737" s="14">
        <f t="shared" si="174"/>
        <v>3736</v>
      </c>
      <c r="B3737" s="11" t="s">
        <v>2442</v>
      </c>
      <c r="C3737" s="14" t="str">
        <f>IFERROR(INDEX(面试清单!D:D,MATCH(3736,面试清单!P:P,0)),"")</f>
        <v/>
      </c>
      <c r="D3737" s="11" t="s">
        <v>42</v>
      </c>
      <c r="E3737" s="11" t="s">
        <v>63</v>
      </c>
      <c r="F3737" s="11" t="s">
        <v>3831</v>
      </c>
      <c r="G3737" s="15">
        <v>46182</v>
      </c>
      <c r="H3737" s="14" t="str">
        <f>IFERROR(INDEX(面试清单!H:H,MATCH(3736,面试清单!P:P,0)),"")</f>
        <v/>
      </c>
      <c r="I3737" s="13" t="s">
        <v>30</v>
      </c>
      <c r="J3737" s="14">
        <f ca="1" t="shared" si="175"/>
        <v>7</v>
      </c>
      <c r="K3737" s="14">
        <f ca="1" t="shared" si="176"/>
        <v>8</v>
      </c>
    </row>
    <row r="3738" ht="18" spans="1:11">
      <c r="A3738" s="10">
        <f t="shared" si="174"/>
        <v>3737</v>
      </c>
      <c r="B3738" s="11" t="s">
        <v>6744</v>
      </c>
      <c r="C3738" s="10" t="str">
        <f>IFERROR(INDEX(面试清单!D:D,MATCH(3737,面试清单!P:P,0)),"")</f>
        <v/>
      </c>
      <c r="D3738" s="11" t="s">
        <v>42</v>
      </c>
      <c r="E3738" s="11" t="s">
        <v>63</v>
      </c>
      <c r="F3738" s="11" t="s">
        <v>2250</v>
      </c>
      <c r="G3738" s="15">
        <v>46182</v>
      </c>
      <c r="H3738" s="10" t="str">
        <f>IFERROR(INDEX(面试清单!H:H,MATCH(3737,面试清单!P:P,0)),"")</f>
        <v/>
      </c>
      <c r="I3738" s="13" t="s">
        <v>30</v>
      </c>
      <c r="J3738" s="10">
        <f ca="1" t="shared" si="175"/>
        <v>7</v>
      </c>
      <c r="K3738" s="10">
        <f ca="1" t="shared" si="176"/>
        <v>8</v>
      </c>
    </row>
    <row r="3739" ht="18" spans="1:11">
      <c r="A3739" s="14">
        <f t="shared" si="174"/>
        <v>3738</v>
      </c>
      <c r="B3739" s="11" t="s">
        <v>2485</v>
      </c>
      <c r="C3739" s="14" t="str">
        <f>IFERROR(INDEX(面试清单!D:D,MATCH(3738,面试清单!P:P,0)),"")</f>
        <v/>
      </c>
      <c r="D3739" s="11" t="s">
        <v>43</v>
      </c>
      <c r="E3739" s="11" t="s">
        <v>63</v>
      </c>
      <c r="F3739" s="11" t="s">
        <v>2164</v>
      </c>
      <c r="G3739" s="15">
        <v>46182</v>
      </c>
      <c r="H3739" s="14" t="str">
        <f>IFERROR(INDEX(面试清单!H:H,MATCH(3738,面试清单!P:P,0)),"")</f>
        <v/>
      </c>
      <c r="I3739" s="13" t="s">
        <v>30</v>
      </c>
      <c r="J3739" s="14">
        <f ca="1" t="shared" si="175"/>
        <v>7</v>
      </c>
      <c r="K3739" s="14">
        <f ca="1" t="shared" si="176"/>
        <v>8</v>
      </c>
    </row>
    <row r="3740" ht="18" spans="1:11">
      <c r="A3740" s="10">
        <f t="shared" si="174"/>
        <v>3739</v>
      </c>
      <c r="B3740" s="11" t="s">
        <v>2744</v>
      </c>
      <c r="C3740" s="10" t="str">
        <f>IFERROR(INDEX(面试清单!D:D,MATCH(3739,面试清单!P:P,0)),"")</f>
        <v/>
      </c>
      <c r="D3740" s="11" t="s">
        <v>42</v>
      </c>
      <c r="E3740" s="11" t="s">
        <v>63</v>
      </c>
      <c r="F3740" s="11" t="s">
        <v>148</v>
      </c>
      <c r="G3740" s="15">
        <v>46183</v>
      </c>
      <c r="H3740" s="10" t="str">
        <f>IFERROR(INDEX(面试清单!H:H,MATCH(3739,面试清单!P:P,0)),"")</f>
        <v/>
      </c>
      <c r="I3740" s="13" t="s">
        <v>30</v>
      </c>
      <c r="J3740" s="10">
        <f ca="1" t="shared" si="175"/>
        <v>6</v>
      </c>
      <c r="K3740" s="10">
        <f ca="1" t="shared" si="176"/>
        <v>7</v>
      </c>
    </row>
    <row r="3741" ht="18" spans="1:11">
      <c r="A3741" s="14">
        <f t="shared" si="174"/>
        <v>3740</v>
      </c>
      <c r="B3741" s="11" t="s">
        <v>2479</v>
      </c>
      <c r="C3741" s="14" t="str">
        <f>IFERROR(INDEX(面试清单!D:D,MATCH(3740,面试清单!P:P,0)),"")</f>
        <v/>
      </c>
      <c r="D3741" s="11" t="s">
        <v>43</v>
      </c>
      <c r="E3741" s="11" t="s">
        <v>62</v>
      </c>
      <c r="F3741" s="11" t="s">
        <v>148</v>
      </c>
      <c r="G3741" s="15">
        <v>46183</v>
      </c>
      <c r="H3741" s="14" t="str">
        <f>IFERROR(INDEX(面试清单!H:H,MATCH(3740,面试清单!P:P,0)),"")</f>
        <v/>
      </c>
      <c r="I3741" s="13" t="s">
        <v>30</v>
      </c>
      <c r="J3741" s="14">
        <f ca="1" t="shared" si="175"/>
        <v>6</v>
      </c>
      <c r="K3741" s="14">
        <f ca="1" t="shared" si="176"/>
        <v>7</v>
      </c>
    </row>
    <row r="3742" ht="18" spans="1:11">
      <c r="A3742" s="10">
        <f t="shared" si="174"/>
        <v>3741</v>
      </c>
      <c r="B3742" s="11" t="s">
        <v>2654</v>
      </c>
      <c r="C3742" s="10" t="str">
        <f>IFERROR(INDEX(面试清单!D:D,MATCH(3741,面试清单!P:P,0)),"")</f>
        <v/>
      </c>
      <c r="D3742" s="11" t="s">
        <v>43</v>
      </c>
      <c r="E3742" s="11" t="s">
        <v>63</v>
      </c>
      <c r="F3742" s="11" t="s">
        <v>3826</v>
      </c>
      <c r="G3742" s="15">
        <v>46183</v>
      </c>
      <c r="H3742" s="10" t="str">
        <f>IFERROR(INDEX(面试清单!H:H,MATCH(3741,面试清单!P:P,0)),"")</f>
        <v/>
      </c>
      <c r="I3742" s="13" t="s">
        <v>30</v>
      </c>
      <c r="J3742" s="10">
        <f ca="1" t="shared" si="175"/>
        <v>6</v>
      </c>
      <c r="K3742" s="10">
        <f ca="1" t="shared" si="176"/>
        <v>7</v>
      </c>
    </row>
    <row r="3743" ht="18" spans="1:11">
      <c r="A3743" s="14">
        <f t="shared" si="174"/>
        <v>3742</v>
      </c>
      <c r="B3743" s="11" t="s">
        <v>2817</v>
      </c>
      <c r="C3743" s="14" t="str">
        <f>IFERROR(INDEX(面试清单!D:D,MATCH(3742,面试清单!P:P,0)),"")</f>
        <v/>
      </c>
      <c r="D3743" s="11" t="s">
        <v>43</v>
      </c>
      <c r="E3743" s="11" t="s">
        <v>63</v>
      </c>
      <c r="F3743" s="11" t="s">
        <v>3826</v>
      </c>
      <c r="G3743" s="15">
        <v>46183</v>
      </c>
      <c r="H3743" s="14" t="str">
        <f>IFERROR(INDEX(面试清单!H:H,MATCH(3742,面试清单!P:P,0)),"")</f>
        <v/>
      </c>
      <c r="I3743" s="13" t="s">
        <v>30</v>
      </c>
      <c r="J3743" s="14">
        <f ca="1" t="shared" si="175"/>
        <v>6</v>
      </c>
      <c r="K3743" s="14">
        <f ca="1" t="shared" si="176"/>
        <v>7</v>
      </c>
    </row>
    <row r="3744" ht="18" spans="1:11">
      <c r="A3744" s="10">
        <f t="shared" si="174"/>
        <v>3743</v>
      </c>
      <c r="B3744" s="11" t="s">
        <v>2659</v>
      </c>
      <c r="C3744" s="10" t="str">
        <f>IFERROR(INDEX(面试清单!D:D,MATCH(3743,面试清单!P:P,0)),"")</f>
        <v/>
      </c>
      <c r="D3744" s="11" t="s">
        <v>43</v>
      </c>
      <c r="E3744" s="11" t="s">
        <v>64</v>
      </c>
      <c r="F3744" s="11" t="s">
        <v>2164</v>
      </c>
      <c r="G3744" s="15">
        <v>46183</v>
      </c>
      <c r="H3744" s="10" t="str">
        <f>IFERROR(INDEX(面试清单!H:H,MATCH(3743,面试清单!P:P,0)),"")</f>
        <v/>
      </c>
      <c r="I3744" s="13" t="s">
        <v>30</v>
      </c>
      <c r="J3744" s="10">
        <f ca="1" t="shared" si="175"/>
        <v>6</v>
      </c>
      <c r="K3744" s="10">
        <f ca="1" t="shared" si="176"/>
        <v>7</v>
      </c>
    </row>
    <row r="3745" ht="18" spans="1:11">
      <c r="A3745" s="14">
        <f t="shared" si="174"/>
        <v>3744</v>
      </c>
      <c r="B3745" s="11" t="s">
        <v>2758</v>
      </c>
      <c r="C3745" s="14" t="str">
        <f>IFERROR(INDEX(面试清单!D:D,MATCH(3744,面试清单!P:P,0)),"")</f>
        <v/>
      </c>
      <c r="D3745" s="11" t="s">
        <v>42</v>
      </c>
      <c r="E3745" s="11" t="s">
        <v>62</v>
      </c>
      <c r="F3745" s="11" t="s">
        <v>2221</v>
      </c>
      <c r="G3745" s="15">
        <v>46183</v>
      </c>
      <c r="H3745" s="14" t="str">
        <f>IFERROR(INDEX(面试清单!H:H,MATCH(3744,面试清单!P:P,0)),"")</f>
        <v/>
      </c>
      <c r="I3745" s="13" t="s">
        <v>30</v>
      </c>
      <c r="J3745" s="14">
        <f ca="1" t="shared" si="175"/>
        <v>6</v>
      </c>
      <c r="K3745" s="14">
        <f ca="1" t="shared" si="176"/>
        <v>7</v>
      </c>
    </row>
    <row r="3746" ht="18" spans="1:11">
      <c r="A3746" s="10">
        <f t="shared" si="174"/>
        <v>3745</v>
      </c>
      <c r="B3746" s="11" t="s">
        <v>2699</v>
      </c>
      <c r="C3746" s="10" t="str">
        <f>IFERROR(INDEX(面试清单!D:D,MATCH(3745,面试清单!P:P,0)),"")</f>
        <v/>
      </c>
      <c r="D3746" s="11" t="s">
        <v>43</v>
      </c>
      <c r="E3746" s="11" t="s">
        <v>62</v>
      </c>
      <c r="F3746" s="11" t="s">
        <v>307</v>
      </c>
      <c r="G3746" s="15">
        <v>46183</v>
      </c>
      <c r="H3746" s="10" t="str">
        <f>IFERROR(INDEX(面试清单!H:H,MATCH(3745,面试清单!P:P,0)),"")</f>
        <v/>
      </c>
      <c r="I3746" s="13" t="s">
        <v>30</v>
      </c>
      <c r="J3746" s="10">
        <f ca="1" t="shared" si="175"/>
        <v>6</v>
      </c>
      <c r="K3746" s="10">
        <f ca="1" t="shared" si="176"/>
        <v>7</v>
      </c>
    </row>
    <row r="3747" ht="18" spans="1:11">
      <c r="A3747" s="14">
        <f t="shared" si="174"/>
        <v>3746</v>
      </c>
      <c r="B3747" s="11" t="s">
        <v>2374</v>
      </c>
      <c r="C3747" s="14" t="str">
        <f>IFERROR(INDEX(面试清单!D:D,MATCH(3746,面试清单!P:P,0)),"")</f>
        <v/>
      </c>
      <c r="D3747" s="11" t="s">
        <v>43</v>
      </c>
      <c r="E3747" s="11" t="s">
        <v>63</v>
      </c>
      <c r="F3747" s="11" t="s">
        <v>179</v>
      </c>
      <c r="G3747" s="15">
        <v>46183</v>
      </c>
      <c r="H3747" s="14" t="str">
        <f>IFERROR(INDEX(面试清单!H:H,MATCH(3746,面试清单!P:P,0)),"")</f>
        <v/>
      </c>
      <c r="I3747" s="13" t="s">
        <v>30</v>
      </c>
      <c r="J3747" s="14">
        <f ca="1" t="shared" si="175"/>
        <v>6</v>
      </c>
      <c r="K3747" s="14">
        <f ca="1" t="shared" si="176"/>
        <v>7</v>
      </c>
    </row>
    <row r="3748" ht="18" spans="1:11">
      <c r="A3748" s="10">
        <f t="shared" si="174"/>
        <v>3747</v>
      </c>
      <c r="B3748" s="11" t="s">
        <v>2680</v>
      </c>
      <c r="C3748" s="10" t="str">
        <f>IFERROR(INDEX(面试清单!D:D,MATCH(3747,面试清单!P:P,0)),"")</f>
        <v/>
      </c>
      <c r="D3748" s="11" t="s">
        <v>42</v>
      </c>
      <c r="E3748" s="11" t="s">
        <v>63</v>
      </c>
      <c r="F3748" s="11" t="s">
        <v>1056</v>
      </c>
      <c r="G3748" s="15">
        <v>46183</v>
      </c>
      <c r="H3748" s="10" t="str">
        <f>IFERROR(INDEX(面试清单!H:H,MATCH(3747,面试清单!P:P,0)),"")</f>
        <v/>
      </c>
      <c r="I3748" s="13" t="s">
        <v>30</v>
      </c>
      <c r="J3748" s="10">
        <f ca="1" t="shared" si="175"/>
        <v>6</v>
      </c>
      <c r="K3748" s="10">
        <f ca="1" t="shared" si="176"/>
        <v>7</v>
      </c>
    </row>
    <row r="3749" ht="18" spans="1:11">
      <c r="A3749" s="14">
        <f t="shared" si="174"/>
        <v>3748</v>
      </c>
      <c r="B3749" s="11" t="s">
        <v>2728</v>
      </c>
      <c r="C3749" s="14" t="str">
        <f>IFERROR(INDEX(面试清单!D:D,MATCH(3748,面试清单!P:P,0)),"")</f>
        <v/>
      </c>
      <c r="D3749" s="11" t="s">
        <v>43</v>
      </c>
      <c r="E3749" s="11" t="s">
        <v>63</v>
      </c>
      <c r="F3749" s="11" t="s">
        <v>1056</v>
      </c>
      <c r="G3749" s="15">
        <v>46183</v>
      </c>
      <c r="H3749" s="14" t="str">
        <f>IFERROR(INDEX(面试清单!H:H,MATCH(3748,面试清单!P:P,0)),"")</f>
        <v/>
      </c>
      <c r="I3749" s="13" t="s">
        <v>30</v>
      </c>
      <c r="J3749" s="14">
        <f ca="1" t="shared" si="175"/>
        <v>6</v>
      </c>
      <c r="K3749" s="14">
        <f ca="1" t="shared" si="176"/>
        <v>7</v>
      </c>
    </row>
    <row r="3750" ht="18" spans="1:11">
      <c r="A3750" s="10">
        <f t="shared" si="174"/>
        <v>3749</v>
      </c>
      <c r="B3750" s="11" t="s">
        <v>2734</v>
      </c>
      <c r="C3750" s="10" t="str">
        <f>IFERROR(INDEX(面试清单!D:D,MATCH(3749,面试清单!P:P,0)),"")</f>
        <v/>
      </c>
      <c r="D3750" s="11" t="s">
        <v>42</v>
      </c>
      <c r="E3750" s="11" t="s">
        <v>63</v>
      </c>
      <c r="F3750" s="11" t="s">
        <v>2181</v>
      </c>
      <c r="G3750" s="15">
        <v>46183</v>
      </c>
      <c r="H3750" s="10" t="str">
        <f>IFERROR(INDEX(面试清单!H:H,MATCH(3749,面试清单!P:P,0)),"")</f>
        <v/>
      </c>
      <c r="I3750" s="13" t="s">
        <v>30</v>
      </c>
      <c r="J3750" s="10">
        <f ca="1" t="shared" si="175"/>
        <v>6</v>
      </c>
      <c r="K3750" s="10">
        <f ca="1" t="shared" si="176"/>
        <v>7</v>
      </c>
    </row>
    <row r="3751" ht="18" spans="1:11">
      <c r="A3751" s="14">
        <f t="shared" si="174"/>
        <v>3750</v>
      </c>
      <c r="B3751" s="11" t="s">
        <v>1510</v>
      </c>
      <c r="C3751" s="14" t="str">
        <f>IFERROR(INDEX(面试清单!D:D,MATCH(3750,面试清单!P:P,0)),"")</f>
        <v/>
      </c>
      <c r="D3751" s="11" t="s">
        <v>42</v>
      </c>
      <c r="E3751" s="11" t="s">
        <v>64</v>
      </c>
      <c r="F3751" s="11" t="s">
        <v>2166</v>
      </c>
      <c r="G3751" s="15">
        <v>46183</v>
      </c>
      <c r="H3751" s="14" t="str">
        <f>IFERROR(INDEX(面试清单!H:H,MATCH(3750,面试清单!P:P,0)),"")</f>
        <v/>
      </c>
      <c r="I3751" s="13" t="s">
        <v>30</v>
      </c>
      <c r="J3751" s="14">
        <f ca="1" t="shared" si="175"/>
        <v>6</v>
      </c>
      <c r="K3751" s="14">
        <f ca="1" t="shared" si="176"/>
        <v>7</v>
      </c>
    </row>
    <row r="3752" ht="18" spans="1:11">
      <c r="A3752" s="10">
        <f t="shared" si="174"/>
        <v>3751</v>
      </c>
      <c r="B3752" s="11" t="s">
        <v>2750</v>
      </c>
      <c r="C3752" s="10" t="str">
        <f>IFERROR(INDEX(面试清单!D:D,MATCH(3751,面试清单!P:P,0)),"")</f>
        <v/>
      </c>
      <c r="D3752" s="11" t="s">
        <v>42</v>
      </c>
      <c r="E3752" s="11" t="s">
        <v>63</v>
      </c>
      <c r="F3752" s="11" t="s">
        <v>148</v>
      </c>
      <c r="G3752" s="15">
        <v>46183</v>
      </c>
      <c r="H3752" s="10" t="str">
        <f>IFERROR(INDEX(面试清单!H:H,MATCH(3751,面试清单!P:P,0)),"")</f>
        <v/>
      </c>
      <c r="I3752" s="13" t="s">
        <v>30</v>
      </c>
      <c r="J3752" s="10">
        <f ca="1" t="shared" si="175"/>
        <v>6</v>
      </c>
      <c r="K3752" s="10">
        <f ca="1" t="shared" si="176"/>
        <v>7</v>
      </c>
    </row>
    <row r="3753" ht="18" spans="1:11">
      <c r="A3753" s="14">
        <f t="shared" si="174"/>
        <v>3752</v>
      </c>
      <c r="B3753" s="11" t="s">
        <v>2273</v>
      </c>
      <c r="C3753" s="14" t="str">
        <f>IFERROR(INDEX(面试清单!D:D,MATCH(3752,面试清单!P:P,0)),"")</f>
        <v/>
      </c>
      <c r="D3753" s="11" t="s">
        <v>42</v>
      </c>
      <c r="E3753" s="11" t="s">
        <v>63</v>
      </c>
      <c r="F3753" s="11" t="s">
        <v>2156</v>
      </c>
      <c r="G3753" s="15">
        <v>46183</v>
      </c>
      <c r="H3753" s="14" t="str">
        <f>IFERROR(INDEX(面试清单!H:H,MATCH(3752,面试清单!P:P,0)),"")</f>
        <v/>
      </c>
      <c r="I3753" s="13" t="s">
        <v>30</v>
      </c>
      <c r="J3753" s="14">
        <f ca="1" t="shared" si="175"/>
        <v>6</v>
      </c>
      <c r="K3753" s="14">
        <f ca="1" t="shared" si="176"/>
        <v>7</v>
      </c>
    </row>
    <row r="3754" ht="18" spans="1:11">
      <c r="A3754" s="10">
        <f t="shared" si="174"/>
        <v>3753</v>
      </c>
      <c r="B3754" s="11" t="s">
        <v>2910</v>
      </c>
      <c r="C3754" s="10" t="str">
        <f>IFERROR(INDEX(面试清单!D:D,MATCH(3753,面试清单!P:P,0)),"")</f>
        <v/>
      </c>
      <c r="D3754" s="11" t="s">
        <v>43</v>
      </c>
      <c r="E3754" s="11" t="s">
        <v>63</v>
      </c>
      <c r="F3754" s="11" t="s">
        <v>124</v>
      </c>
      <c r="G3754" s="15">
        <v>46183</v>
      </c>
      <c r="H3754" s="10" t="str">
        <f>IFERROR(INDEX(面试清单!H:H,MATCH(3753,面试清单!P:P,0)),"")</f>
        <v/>
      </c>
      <c r="I3754" s="13" t="s">
        <v>30</v>
      </c>
      <c r="J3754" s="10">
        <f ca="1" t="shared" si="175"/>
        <v>6</v>
      </c>
      <c r="K3754" s="10">
        <f ca="1" t="shared" si="176"/>
        <v>7</v>
      </c>
    </row>
    <row r="3755" ht="18" spans="1:11">
      <c r="A3755" s="14">
        <f t="shared" si="174"/>
        <v>3754</v>
      </c>
      <c r="B3755" s="11" t="s">
        <v>6745</v>
      </c>
      <c r="C3755" s="14" t="str">
        <f>IFERROR(INDEX(面试清单!D:D,MATCH(3754,面试清单!P:P,0)),"")</f>
        <v/>
      </c>
      <c r="D3755" s="11" t="s">
        <v>42</v>
      </c>
      <c r="E3755" s="11" t="s">
        <v>62</v>
      </c>
      <c r="F3755" s="11" t="s">
        <v>148</v>
      </c>
      <c r="G3755" s="15">
        <v>46183</v>
      </c>
      <c r="H3755" s="14" t="str">
        <f>IFERROR(INDEX(面试清单!H:H,MATCH(3754,面试清单!P:P,0)),"")</f>
        <v/>
      </c>
      <c r="I3755" s="13" t="s">
        <v>30</v>
      </c>
      <c r="J3755" s="14">
        <f ca="1" t="shared" si="175"/>
        <v>6</v>
      </c>
      <c r="K3755" s="14">
        <f ca="1" t="shared" si="176"/>
        <v>7</v>
      </c>
    </row>
    <row r="3756" ht="18" spans="1:11">
      <c r="A3756" s="10">
        <f t="shared" si="174"/>
        <v>3755</v>
      </c>
      <c r="B3756" s="11" t="s">
        <v>398</v>
      </c>
      <c r="C3756" s="10" t="str">
        <f>IFERROR(INDEX(面试清单!D:D,MATCH(3755,面试清单!P:P,0)),"")</f>
        <v/>
      </c>
      <c r="D3756" s="11" t="s">
        <v>42</v>
      </c>
      <c r="E3756" s="11" t="s">
        <v>63</v>
      </c>
      <c r="F3756" s="11" t="s">
        <v>124</v>
      </c>
      <c r="G3756" s="15">
        <v>46183</v>
      </c>
      <c r="H3756" s="10" t="str">
        <f>IFERROR(INDEX(面试清单!H:H,MATCH(3755,面试清单!P:P,0)),"")</f>
        <v/>
      </c>
      <c r="I3756" s="13" t="s">
        <v>30</v>
      </c>
      <c r="J3756" s="10">
        <f ca="1" t="shared" si="175"/>
        <v>6</v>
      </c>
      <c r="K3756" s="10">
        <f ca="1" t="shared" si="176"/>
        <v>7</v>
      </c>
    </row>
    <row r="3757" ht="18" spans="1:11">
      <c r="A3757" s="14">
        <f t="shared" si="174"/>
        <v>3756</v>
      </c>
      <c r="B3757" s="11" t="s">
        <v>2769</v>
      </c>
      <c r="C3757" s="14" t="str">
        <f>IFERROR(INDEX(面试清单!D:D,MATCH(3756,面试清单!P:P,0)),"")</f>
        <v/>
      </c>
      <c r="D3757" s="11" t="s">
        <v>42</v>
      </c>
      <c r="E3757" s="11" t="s">
        <v>63</v>
      </c>
      <c r="F3757" s="11" t="s">
        <v>1056</v>
      </c>
      <c r="G3757" s="15">
        <v>46184</v>
      </c>
      <c r="H3757" s="14" t="str">
        <f>IFERROR(INDEX(面试清单!H:H,MATCH(3756,面试清单!P:P,0)),"")</f>
        <v/>
      </c>
      <c r="I3757" s="13" t="s">
        <v>30</v>
      </c>
      <c r="J3757" s="14">
        <f ca="1" t="shared" si="175"/>
        <v>5</v>
      </c>
      <c r="K3757" s="14">
        <f ca="1" t="shared" si="176"/>
        <v>6</v>
      </c>
    </row>
    <row r="3758" ht="18" spans="1:11">
      <c r="A3758" s="10">
        <f t="shared" si="174"/>
        <v>3757</v>
      </c>
      <c r="B3758" s="11" t="s">
        <v>2286</v>
      </c>
      <c r="C3758" s="10" t="str">
        <f>IFERROR(INDEX(面试清单!D:D,MATCH(3757,面试清单!P:P,0)),"")</f>
        <v/>
      </c>
      <c r="D3758" s="11" t="s">
        <v>43</v>
      </c>
      <c r="E3758" s="11" t="s">
        <v>63</v>
      </c>
      <c r="F3758" s="11" t="s">
        <v>3826</v>
      </c>
      <c r="G3758" s="15">
        <v>46184</v>
      </c>
      <c r="H3758" s="10" t="str">
        <f>IFERROR(INDEX(面试清单!H:H,MATCH(3757,面试清单!P:P,0)),"")</f>
        <v/>
      </c>
      <c r="I3758" s="13" t="s">
        <v>30</v>
      </c>
      <c r="J3758" s="10">
        <f ca="1" t="shared" si="175"/>
        <v>5</v>
      </c>
      <c r="K3758" s="10">
        <f ca="1" t="shared" si="176"/>
        <v>6</v>
      </c>
    </row>
    <row r="3759" ht="18" spans="1:11">
      <c r="A3759" s="14">
        <f t="shared" si="174"/>
        <v>3758</v>
      </c>
      <c r="B3759" s="11" t="s">
        <v>6746</v>
      </c>
      <c r="C3759" s="14" t="str">
        <f>IFERROR(INDEX(面试清单!D:D,MATCH(3758,面试清单!P:P,0)),"")</f>
        <v/>
      </c>
      <c r="D3759" s="11" t="s">
        <v>42</v>
      </c>
      <c r="E3759" s="11" t="s">
        <v>63</v>
      </c>
      <c r="F3759" s="11" t="s">
        <v>3826</v>
      </c>
      <c r="G3759" s="15">
        <v>46184</v>
      </c>
      <c r="H3759" s="14" t="str">
        <f>IFERROR(INDEX(面试清单!H:H,MATCH(3758,面试清单!P:P,0)),"")</f>
        <v/>
      </c>
      <c r="I3759" s="13" t="s">
        <v>30</v>
      </c>
      <c r="J3759" s="14">
        <f ca="1" t="shared" si="175"/>
        <v>5</v>
      </c>
      <c r="K3759" s="14">
        <f ca="1" t="shared" si="176"/>
        <v>6</v>
      </c>
    </row>
    <row r="3760" ht="18" spans="1:11">
      <c r="A3760" s="10">
        <f t="shared" si="174"/>
        <v>3759</v>
      </c>
      <c r="B3760" s="11" t="s">
        <v>2652</v>
      </c>
      <c r="C3760" s="10" t="str">
        <f>IFERROR(INDEX(面试清单!D:D,MATCH(3759,面试清单!P:P,0)),"")</f>
        <v/>
      </c>
      <c r="D3760" s="11" t="s">
        <v>43</v>
      </c>
      <c r="E3760" s="11" t="s">
        <v>63</v>
      </c>
      <c r="F3760" s="11" t="s">
        <v>3826</v>
      </c>
      <c r="G3760" s="15">
        <v>46184</v>
      </c>
      <c r="H3760" s="10" t="str">
        <f>IFERROR(INDEX(面试清单!H:H,MATCH(3759,面试清单!P:P,0)),"")</f>
        <v/>
      </c>
      <c r="I3760" s="13" t="s">
        <v>30</v>
      </c>
      <c r="J3760" s="10">
        <f ca="1" t="shared" si="175"/>
        <v>5</v>
      </c>
      <c r="K3760" s="10">
        <f ca="1" t="shared" si="176"/>
        <v>6</v>
      </c>
    </row>
    <row r="3761" ht="18" spans="1:11">
      <c r="A3761" s="14">
        <f t="shared" si="174"/>
        <v>3760</v>
      </c>
      <c r="B3761" s="11" t="s">
        <v>2724</v>
      </c>
      <c r="C3761" s="14" t="str">
        <f>IFERROR(INDEX(面试清单!D:D,MATCH(3760,面试清单!P:P,0)),"")</f>
        <v/>
      </c>
      <c r="D3761" s="11" t="s">
        <v>43</v>
      </c>
      <c r="E3761" s="11" t="s">
        <v>63</v>
      </c>
      <c r="F3761" s="11" t="s">
        <v>2250</v>
      </c>
      <c r="G3761" s="15">
        <v>46184</v>
      </c>
      <c r="H3761" s="14" t="str">
        <f>IFERROR(INDEX(面试清单!H:H,MATCH(3760,面试清单!P:P,0)),"")</f>
        <v/>
      </c>
      <c r="I3761" s="13" t="s">
        <v>30</v>
      </c>
      <c r="J3761" s="14">
        <f ca="1" t="shared" si="175"/>
        <v>5</v>
      </c>
      <c r="K3761" s="14">
        <f ca="1" t="shared" si="176"/>
        <v>6</v>
      </c>
    </row>
    <row r="3762" ht="18" spans="1:11">
      <c r="A3762" s="10">
        <f t="shared" si="174"/>
        <v>3761</v>
      </c>
      <c r="B3762" s="11" t="s">
        <v>2183</v>
      </c>
      <c r="C3762" s="10" t="str">
        <f>IFERROR(INDEX(面试清单!D:D,MATCH(3761,面试清单!P:P,0)),"")</f>
        <v/>
      </c>
      <c r="D3762" s="11" t="s">
        <v>43</v>
      </c>
      <c r="E3762" s="11" t="s">
        <v>64</v>
      </c>
      <c r="F3762" s="11" t="s">
        <v>2250</v>
      </c>
      <c r="G3762" s="15">
        <v>46184</v>
      </c>
      <c r="H3762" s="10" t="str">
        <f>IFERROR(INDEX(面试清单!H:H,MATCH(3761,面试清单!P:P,0)),"")</f>
        <v/>
      </c>
      <c r="I3762" s="13" t="s">
        <v>30</v>
      </c>
      <c r="J3762" s="10">
        <f ca="1" t="shared" si="175"/>
        <v>5</v>
      </c>
      <c r="K3762" s="10">
        <f ca="1" t="shared" si="176"/>
        <v>6</v>
      </c>
    </row>
    <row r="3763" ht="18" spans="1:11">
      <c r="A3763" s="14">
        <f t="shared" si="174"/>
        <v>3762</v>
      </c>
      <c r="B3763" s="11" t="s">
        <v>2811</v>
      </c>
      <c r="C3763" s="14" t="str">
        <f>IFERROR(INDEX(面试清单!D:D,MATCH(3762,面试清单!P:P,0)),"")</f>
        <v/>
      </c>
      <c r="D3763" s="11" t="s">
        <v>42</v>
      </c>
      <c r="E3763" s="11" t="s">
        <v>63</v>
      </c>
      <c r="F3763" s="11" t="s">
        <v>124</v>
      </c>
      <c r="G3763" s="15">
        <v>46184</v>
      </c>
      <c r="H3763" s="14" t="str">
        <f>IFERROR(INDEX(面试清单!H:H,MATCH(3762,面试清单!P:P,0)),"")</f>
        <v/>
      </c>
      <c r="I3763" s="13" t="s">
        <v>30</v>
      </c>
      <c r="J3763" s="14">
        <f ca="1" t="shared" si="175"/>
        <v>5</v>
      </c>
      <c r="K3763" s="14">
        <f ca="1" t="shared" si="176"/>
        <v>6</v>
      </c>
    </row>
    <row r="3764" ht="18" spans="1:11">
      <c r="A3764" s="10">
        <f t="shared" si="174"/>
        <v>3763</v>
      </c>
      <c r="B3764" s="11" t="s">
        <v>2828</v>
      </c>
      <c r="C3764" s="10" t="str">
        <f>IFERROR(INDEX(面试清单!D:D,MATCH(3763,面试清单!P:P,0)),"")</f>
        <v/>
      </c>
      <c r="D3764" s="11" t="s">
        <v>43</v>
      </c>
      <c r="E3764" s="11" t="s">
        <v>63</v>
      </c>
      <c r="F3764" s="11" t="s">
        <v>124</v>
      </c>
      <c r="G3764" s="15">
        <v>46184</v>
      </c>
      <c r="H3764" s="10" t="str">
        <f>IFERROR(INDEX(面试清单!H:H,MATCH(3763,面试清单!P:P,0)),"")</f>
        <v/>
      </c>
      <c r="I3764" s="13" t="s">
        <v>30</v>
      </c>
      <c r="J3764" s="10">
        <f ca="1" t="shared" si="175"/>
        <v>5</v>
      </c>
      <c r="K3764" s="10">
        <f ca="1" t="shared" si="176"/>
        <v>6</v>
      </c>
    </row>
    <row r="3765" ht="18" spans="1:11">
      <c r="A3765" s="14">
        <f t="shared" si="174"/>
        <v>3764</v>
      </c>
      <c r="B3765" s="11" t="s">
        <v>2829</v>
      </c>
      <c r="C3765" s="14" t="str">
        <f>IFERROR(INDEX(面试清单!D:D,MATCH(3764,面试清单!P:P,0)),"")</f>
        <v/>
      </c>
      <c r="D3765" s="11" t="s">
        <v>43</v>
      </c>
      <c r="E3765" s="11" t="s">
        <v>63</v>
      </c>
      <c r="F3765" s="11" t="s">
        <v>124</v>
      </c>
      <c r="G3765" s="15">
        <v>46184</v>
      </c>
      <c r="H3765" s="14" t="str">
        <f>IFERROR(INDEX(面试清单!H:H,MATCH(3764,面试清单!P:P,0)),"")</f>
        <v/>
      </c>
      <c r="I3765" s="13" t="s">
        <v>30</v>
      </c>
      <c r="J3765" s="14">
        <f ca="1" t="shared" si="175"/>
        <v>5</v>
      </c>
      <c r="K3765" s="14">
        <f ca="1" t="shared" si="176"/>
        <v>6</v>
      </c>
    </row>
    <row r="3766" ht="18" spans="1:11">
      <c r="A3766" s="10">
        <f t="shared" si="174"/>
        <v>3765</v>
      </c>
      <c r="B3766" s="11" t="s">
        <v>2810</v>
      </c>
      <c r="C3766" s="10" t="str">
        <f>IFERROR(INDEX(面试清单!D:D,MATCH(3765,面试清单!P:P,0)),"")</f>
        <v/>
      </c>
      <c r="D3766" s="11" t="s">
        <v>42</v>
      </c>
      <c r="E3766" s="11" t="s">
        <v>62</v>
      </c>
      <c r="F3766" s="11" t="s">
        <v>124</v>
      </c>
      <c r="G3766" s="15">
        <v>46184</v>
      </c>
      <c r="H3766" s="10" t="str">
        <f>IFERROR(INDEX(面试清单!H:H,MATCH(3765,面试清单!P:P,0)),"")</f>
        <v/>
      </c>
      <c r="I3766" s="13" t="s">
        <v>30</v>
      </c>
      <c r="J3766" s="10">
        <f ca="1" t="shared" si="175"/>
        <v>5</v>
      </c>
      <c r="K3766" s="10">
        <f ca="1" t="shared" si="176"/>
        <v>6</v>
      </c>
    </row>
    <row r="3767" ht="18" spans="1:11">
      <c r="A3767" s="14">
        <f t="shared" si="174"/>
        <v>3766</v>
      </c>
      <c r="B3767" s="11" t="s">
        <v>3906</v>
      </c>
      <c r="C3767" s="14" t="str">
        <f>IFERROR(INDEX(面试清单!D:D,MATCH(3766,面试清单!P:P,0)),"")</f>
        <v/>
      </c>
      <c r="D3767" s="11" t="s">
        <v>42</v>
      </c>
      <c r="E3767" s="11" t="s">
        <v>62</v>
      </c>
      <c r="F3767" s="11" t="s">
        <v>124</v>
      </c>
      <c r="G3767" s="15">
        <v>46184</v>
      </c>
      <c r="H3767" s="14" t="str">
        <f>IFERROR(INDEX(面试清单!H:H,MATCH(3766,面试清单!P:P,0)),"")</f>
        <v/>
      </c>
      <c r="I3767" s="13" t="s">
        <v>30</v>
      </c>
      <c r="J3767" s="14">
        <f ca="1" t="shared" si="175"/>
        <v>5</v>
      </c>
      <c r="K3767" s="14">
        <f ca="1" t="shared" si="176"/>
        <v>6</v>
      </c>
    </row>
    <row r="3768" ht="18" spans="1:11">
      <c r="A3768" s="10">
        <f t="shared" si="174"/>
        <v>3767</v>
      </c>
      <c r="B3768" s="11" t="s">
        <v>2807</v>
      </c>
      <c r="C3768" s="10" t="str">
        <f>IFERROR(INDEX(面试清单!D:D,MATCH(3767,面试清单!P:P,0)),"")</f>
        <v/>
      </c>
      <c r="D3768" s="11" t="s">
        <v>42</v>
      </c>
      <c r="E3768" s="11" t="s">
        <v>63</v>
      </c>
      <c r="F3768" s="11" t="s">
        <v>148</v>
      </c>
      <c r="G3768" s="15">
        <v>46184</v>
      </c>
      <c r="H3768" s="10" t="str">
        <f>IFERROR(INDEX(面试清单!H:H,MATCH(3767,面试清单!P:P,0)),"")</f>
        <v/>
      </c>
      <c r="I3768" s="13" t="s">
        <v>30</v>
      </c>
      <c r="J3768" s="10">
        <f ca="1" t="shared" si="175"/>
        <v>5</v>
      </c>
      <c r="K3768" s="10">
        <f ca="1" t="shared" si="176"/>
        <v>6</v>
      </c>
    </row>
    <row r="3769" ht="18" spans="1:11">
      <c r="A3769" s="14">
        <f t="shared" si="174"/>
        <v>3768</v>
      </c>
      <c r="B3769" s="11" t="s">
        <v>2919</v>
      </c>
      <c r="C3769" s="14" t="str">
        <f>IFERROR(INDEX(面试清单!D:D,MATCH(3768,面试清单!P:P,0)),"")</f>
        <v/>
      </c>
      <c r="D3769" s="11" t="s">
        <v>43</v>
      </c>
      <c r="E3769" s="11" t="s">
        <v>62</v>
      </c>
      <c r="F3769" s="11" t="s">
        <v>2153</v>
      </c>
      <c r="G3769" s="15">
        <v>46184</v>
      </c>
      <c r="H3769" s="14" t="str">
        <f>IFERROR(INDEX(面试清单!H:H,MATCH(3768,面试清单!P:P,0)),"")</f>
        <v/>
      </c>
      <c r="I3769" s="13" t="s">
        <v>30</v>
      </c>
      <c r="J3769" s="14">
        <f ca="1" t="shared" si="175"/>
        <v>5</v>
      </c>
      <c r="K3769" s="14">
        <f ca="1" t="shared" si="176"/>
        <v>6</v>
      </c>
    </row>
    <row r="3770" ht="18" spans="1:11">
      <c r="A3770" s="10">
        <f t="shared" si="174"/>
        <v>3769</v>
      </c>
      <c r="B3770" s="11" t="s">
        <v>2824</v>
      </c>
      <c r="C3770" s="10" t="str">
        <f>IFERROR(INDEX(面试清单!D:D,MATCH(3769,面试清单!P:P,0)),"")</f>
        <v/>
      </c>
      <c r="D3770" s="11" t="s">
        <v>43</v>
      </c>
      <c r="E3770" s="11" t="s">
        <v>63</v>
      </c>
      <c r="F3770" s="11" t="s">
        <v>2250</v>
      </c>
      <c r="G3770" s="15">
        <v>46185</v>
      </c>
      <c r="H3770" s="10" t="str">
        <f>IFERROR(INDEX(面试清单!H:H,MATCH(3769,面试清单!P:P,0)),"")</f>
        <v/>
      </c>
      <c r="I3770" s="13" t="s">
        <v>30</v>
      </c>
      <c r="J3770" s="10">
        <f ca="1" t="shared" si="175"/>
        <v>4</v>
      </c>
      <c r="K3770" s="10">
        <f ca="1" t="shared" si="176"/>
        <v>5</v>
      </c>
    </row>
    <row r="3771" ht="18" spans="1:11">
      <c r="A3771" s="14">
        <f t="shared" si="174"/>
        <v>3770</v>
      </c>
      <c r="B3771" s="11" t="s">
        <v>2584</v>
      </c>
      <c r="C3771" s="14" t="str">
        <f>IFERROR(INDEX(面试清单!D:D,MATCH(3770,面试清单!P:P,0)),"")</f>
        <v/>
      </c>
      <c r="D3771" s="11" t="s">
        <v>43</v>
      </c>
      <c r="E3771" s="11" t="s">
        <v>63</v>
      </c>
      <c r="F3771" s="11" t="s">
        <v>2250</v>
      </c>
      <c r="G3771" s="15">
        <v>46185</v>
      </c>
      <c r="H3771" s="14" t="str">
        <f>IFERROR(INDEX(面试清单!H:H,MATCH(3770,面试清单!P:P,0)),"")</f>
        <v/>
      </c>
      <c r="I3771" s="13" t="s">
        <v>30</v>
      </c>
      <c r="J3771" s="14">
        <f ca="1" t="shared" si="175"/>
        <v>4</v>
      </c>
      <c r="K3771" s="14">
        <f ca="1" t="shared" si="176"/>
        <v>5</v>
      </c>
    </row>
    <row r="3772" ht="18" spans="1:11">
      <c r="A3772" s="10">
        <f t="shared" si="174"/>
        <v>3771</v>
      </c>
      <c r="B3772" s="11" t="s">
        <v>2950</v>
      </c>
      <c r="C3772" s="10" t="str">
        <f>IFERROR(INDEX(面试清单!D:D,MATCH(3771,面试清单!P:P,0)),"")</f>
        <v/>
      </c>
      <c r="D3772" s="11" t="s">
        <v>42</v>
      </c>
      <c r="E3772" s="11" t="s">
        <v>63</v>
      </c>
      <c r="F3772" s="11" t="s">
        <v>2250</v>
      </c>
      <c r="G3772" s="15">
        <v>46185</v>
      </c>
      <c r="H3772" s="10" t="str">
        <f>IFERROR(INDEX(面试清单!H:H,MATCH(3771,面试清单!P:P,0)),"")</f>
        <v/>
      </c>
      <c r="I3772" s="13" t="s">
        <v>30</v>
      </c>
      <c r="J3772" s="10">
        <f ca="1" t="shared" si="175"/>
        <v>4</v>
      </c>
      <c r="K3772" s="10">
        <f ca="1" t="shared" si="176"/>
        <v>5</v>
      </c>
    </row>
    <row r="3773" ht="18" spans="1:11">
      <c r="A3773" s="14">
        <f t="shared" si="174"/>
        <v>3772</v>
      </c>
      <c r="B3773" s="11" t="s">
        <v>2757</v>
      </c>
      <c r="C3773" s="14" t="str">
        <f>IFERROR(INDEX(面试清单!D:D,MATCH(3772,面试清单!P:P,0)),"")</f>
        <v/>
      </c>
      <c r="D3773" s="11" t="s">
        <v>42</v>
      </c>
      <c r="E3773" s="11" t="s">
        <v>62</v>
      </c>
      <c r="F3773" s="11" t="s">
        <v>2221</v>
      </c>
      <c r="G3773" s="15">
        <v>46185</v>
      </c>
      <c r="H3773" s="14" t="str">
        <f>IFERROR(INDEX(面试清单!H:H,MATCH(3772,面试清单!P:P,0)),"")</f>
        <v/>
      </c>
      <c r="I3773" s="13" t="s">
        <v>30</v>
      </c>
      <c r="J3773" s="14">
        <f ca="1" t="shared" si="175"/>
        <v>4</v>
      </c>
      <c r="K3773" s="14">
        <f ca="1" t="shared" si="176"/>
        <v>5</v>
      </c>
    </row>
    <row r="3774" ht="18" spans="1:11">
      <c r="A3774" s="10">
        <f t="shared" si="174"/>
        <v>3773</v>
      </c>
      <c r="B3774" s="11" t="s">
        <v>2649</v>
      </c>
      <c r="C3774" s="10" t="str">
        <f>IFERROR(INDEX(面试清单!D:D,MATCH(3773,面试清单!P:P,0)),"")</f>
        <v/>
      </c>
      <c r="D3774" s="11" t="s">
        <v>43</v>
      </c>
      <c r="E3774" s="11" t="s">
        <v>63</v>
      </c>
      <c r="F3774" s="11" t="s">
        <v>2181</v>
      </c>
      <c r="G3774" s="15">
        <v>46185</v>
      </c>
      <c r="H3774" s="10" t="str">
        <f>IFERROR(INDEX(面试清单!H:H,MATCH(3773,面试清单!P:P,0)),"")</f>
        <v/>
      </c>
      <c r="I3774" s="13" t="s">
        <v>30</v>
      </c>
      <c r="J3774" s="10">
        <f ca="1" t="shared" si="175"/>
        <v>4</v>
      </c>
      <c r="K3774" s="10">
        <f ca="1" t="shared" si="176"/>
        <v>5</v>
      </c>
    </row>
    <row r="3775" ht="18" spans="1:11">
      <c r="A3775" s="14">
        <f t="shared" si="174"/>
        <v>3774</v>
      </c>
      <c r="B3775" s="11" t="s">
        <v>2991</v>
      </c>
      <c r="C3775" s="14" t="str">
        <f>IFERROR(INDEX(面试清单!D:D,MATCH(3774,面试清单!P:P,0)),"")</f>
        <v/>
      </c>
      <c r="D3775" s="11" t="s">
        <v>43</v>
      </c>
      <c r="E3775" s="11" t="s">
        <v>63</v>
      </c>
      <c r="F3775" s="11" t="s">
        <v>2181</v>
      </c>
      <c r="G3775" s="15">
        <v>46185</v>
      </c>
      <c r="H3775" s="14" t="str">
        <f>IFERROR(INDEX(面试清单!H:H,MATCH(3774,面试清单!P:P,0)),"")</f>
        <v/>
      </c>
      <c r="I3775" s="13" t="s">
        <v>30</v>
      </c>
      <c r="J3775" s="14">
        <f ca="1" t="shared" si="175"/>
        <v>4</v>
      </c>
      <c r="K3775" s="14">
        <f ca="1" t="shared" si="176"/>
        <v>5</v>
      </c>
    </row>
    <row r="3776" ht="18" spans="1:11">
      <c r="A3776" s="10">
        <f t="shared" si="174"/>
        <v>3775</v>
      </c>
      <c r="B3776" s="11" t="s">
        <v>2843</v>
      </c>
      <c r="C3776" s="10" t="str">
        <f>IFERROR(INDEX(面试清单!D:D,MATCH(3775,面试清单!P:P,0)),"")</f>
        <v/>
      </c>
      <c r="D3776" s="11" t="s">
        <v>42</v>
      </c>
      <c r="E3776" s="11" t="s">
        <v>62</v>
      </c>
      <c r="F3776" s="11" t="s">
        <v>2181</v>
      </c>
      <c r="G3776" s="15">
        <v>46185</v>
      </c>
      <c r="H3776" s="10" t="str">
        <f>IFERROR(INDEX(面试清单!H:H,MATCH(3775,面试清单!P:P,0)),"")</f>
        <v/>
      </c>
      <c r="I3776" s="13" t="s">
        <v>30</v>
      </c>
      <c r="J3776" s="10">
        <f ca="1" t="shared" si="175"/>
        <v>4</v>
      </c>
      <c r="K3776" s="10">
        <f ca="1" t="shared" si="176"/>
        <v>5</v>
      </c>
    </row>
    <row r="3777" ht="18" spans="1:11">
      <c r="A3777" s="14">
        <f t="shared" si="174"/>
        <v>3776</v>
      </c>
      <c r="B3777" s="11" t="s">
        <v>2997</v>
      </c>
      <c r="C3777" s="14" t="str">
        <f>IFERROR(INDEX(面试清单!D:D,MATCH(3776,面试清单!P:P,0)),"")</f>
        <v/>
      </c>
      <c r="D3777" s="11" t="s">
        <v>43</v>
      </c>
      <c r="E3777" s="11" t="s">
        <v>63</v>
      </c>
      <c r="F3777" s="11" t="s">
        <v>3826</v>
      </c>
      <c r="G3777" s="15">
        <v>46185</v>
      </c>
      <c r="H3777" s="14" t="str">
        <f>IFERROR(INDEX(面试清单!H:H,MATCH(3776,面试清单!P:P,0)),"")</f>
        <v/>
      </c>
      <c r="I3777" s="13" t="s">
        <v>30</v>
      </c>
      <c r="J3777" s="14">
        <f ca="1" t="shared" si="175"/>
        <v>4</v>
      </c>
      <c r="K3777" s="14">
        <f ca="1" t="shared" si="176"/>
        <v>5</v>
      </c>
    </row>
    <row r="3778" ht="18" spans="1:11">
      <c r="A3778" s="10">
        <f t="shared" ref="A3778:A3841" si="177">IF(B3778&lt;&gt;"",ROW()-1,"")</f>
        <v>3777</v>
      </c>
      <c r="B3778" s="11" t="s">
        <v>3000</v>
      </c>
      <c r="C3778" s="10" t="str">
        <f>IFERROR(INDEX(面试清单!D:D,MATCH(3777,面试清单!P:P,0)),"")</f>
        <v/>
      </c>
      <c r="D3778" s="11" t="s">
        <v>43</v>
      </c>
      <c r="E3778" s="11" t="s">
        <v>63</v>
      </c>
      <c r="F3778" s="11" t="s">
        <v>3826</v>
      </c>
      <c r="G3778" s="15">
        <v>46185</v>
      </c>
      <c r="H3778" s="10" t="str">
        <f>IFERROR(INDEX(面试清单!H:H,MATCH(3777,面试清单!P:P,0)),"")</f>
        <v/>
      </c>
      <c r="I3778" s="13" t="s">
        <v>30</v>
      </c>
      <c r="J3778" s="10">
        <f ca="1" t="shared" ref="J3778:J3841" si="178">IF(G3778&lt;&gt;"",TODAY()-G3778,"")</f>
        <v>4</v>
      </c>
      <c r="K3778" s="10">
        <f ca="1" t="shared" ref="K3778:K3841" si="179">IF(G3778&lt;&gt;"",MAX(0,MIN(TODAY(),EOMONTH(TODAY(),0))-MAX(G3778,EOMONTH(TODAY(),-1)+1)+1),"")</f>
        <v>5</v>
      </c>
    </row>
    <row r="3779" ht="18" spans="1:11">
      <c r="A3779" s="14">
        <f t="shared" si="177"/>
        <v>3778</v>
      </c>
      <c r="B3779" s="11" t="s">
        <v>2929</v>
      </c>
      <c r="C3779" s="14" t="str">
        <f>IFERROR(INDEX(面试清单!D:D,MATCH(3778,面试清单!P:P,0)),"")</f>
        <v/>
      </c>
      <c r="D3779" s="11" t="s">
        <v>42</v>
      </c>
      <c r="E3779" s="11" t="s">
        <v>63</v>
      </c>
      <c r="F3779" s="11" t="s">
        <v>2164</v>
      </c>
      <c r="G3779" s="15">
        <v>46185</v>
      </c>
      <c r="H3779" s="14" t="str">
        <f>IFERROR(INDEX(面试清单!H:H,MATCH(3778,面试清单!P:P,0)),"")</f>
        <v/>
      </c>
      <c r="I3779" s="13" t="s">
        <v>30</v>
      </c>
      <c r="J3779" s="14">
        <f ca="1" t="shared" si="178"/>
        <v>4</v>
      </c>
      <c r="K3779" s="14">
        <f ca="1" t="shared" si="179"/>
        <v>5</v>
      </c>
    </row>
    <row r="3780" ht="18" spans="1:11">
      <c r="A3780" s="10">
        <f t="shared" si="177"/>
        <v>3779</v>
      </c>
      <c r="B3780" s="11" t="s">
        <v>2681</v>
      </c>
      <c r="C3780" s="10" t="str">
        <f>IFERROR(INDEX(面试清单!D:D,MATCH(3779,面试清单!P:P,0)),"")</f>
        <v/>
      </c>
      <c r="D3780" s="11" t="s">
        <v>42</v>
      </c>
      <c r="E3780" s="11" t="s">
        <v>63</v>
      </c>
      <c r="F3780" s="11" t="s">
        <v>2164</v>
      </c>
      <c r="G3780" s="15">
        <v>46185</v>
      </c>
      <c r="H3780" s="10" t="str">
        <f>IFERROR(INDEX(面试清单!H:H,MATCH(3779,面试清单!P:P,0)),"")</f>
        <v/>
      </c>
      <c r="I3780" s="13" t="s">
        <v>30</v>
      </c>
      <c r="J3780" s="10">
        <f ca="1" t="shared" si="178"/>
        <v>4</v>
      </c>
      <c r="K3780" s="10">
        <f ca="1" t="shared" si="179"/>
        <v>5</v>
      </c>
    </row>
    <row r="3781" ht="18" spans="1:11">
      <c r="A3781" s="14">
        <f t="shared" si="177"/>
        <v>3780</v>
      </c>
      <c r="B3781" s="11" t="s">
        <v>2516</v>
      </c>
      <c r="C3781" s="14" t="str">
        <f>IFERROR(INDEX(面试清单!D:D,MATCH(3780,面试清单!P:P,0)),"")</f>
        <v/>
      </c>
      <c r="D3781" s="11" t="s">
        <v>43</v>
      </c>
      <c r="E3781" s="11" t="s">
        <v>64</v>
      </c>
      <c r="F3781" s="11" t="s">
        <v>124</v>
      </c>
      <c r="G3781" s="15">
        <v>46185</v>
      </c>
      <c r="H3781" s="14" t="str">
        <f>IFERROR(INDEX(面试清单!H:H,MATCH(3780,面试清单!P:P,0)),"")</f>
        <v/>
      </c>
      <c r="I3781" s="13" t="s">
        <v>30</v>
      </c>
      <c r="J3781" s="14">
        <f ca="1" t="shared" si="178"/>
        <v>4</v>
      </c>
      <c r="K3781" s="14">
        <f ca="1" t="shared" si="179"/>
        <v>5</v>
      </c>
    </row>
    <row r="3782" ht="18" spans="1:11">
      <c r="A3782" s="10">
        <f t="shared" si="177"/>
        <v>3781</v>
      </c>
      <c r="B3782" s="11" t="s">
        <v>2871</v>
      </c>
      <c r="C3782" s="10" t="str">
        <f>IFERROR(INDEX(面试清单!D:D,MATCH(3781,面试清单!P:P,0)),"")</f>
        <v/>
      </c>
      <c r="D3782" s="11" t="s">
        <v>42</v>
      </c>
      <c r="E3782" s="11" t="s">
        <v>63</v>
      </c>
      <c r="F3782" s="11" t="s">
        <v>2370</v>
      </c>
      <c r="G3782" s="15">
        <v>46185</v>
      </c>
      <c r="H3782" s="10" t="str">
        <f>IFERROR(INDEX(面试清单!H:H,MATCH(3781,面试清单!P:P,0)),"")</f>
        <v/>
      </c>
      <c r="I3782" s="13" t="s">
        <v>30</v>
      </c>
      <c r="J3782" s="10">
        <f ca="1" t="shared" si="178"/>
        <v>4</v>
      </c>
      <c r="K3782" s="10">
        <f ca="1" t="shared" si="179"/>
        <v>5</v>
      </c>
    </row>
    <row r="3783" ht="18" spans="1:11">
      <c r="A3783" s="14">
        <f t="shared" si="177"/>
        <v>3782</v>
      </c>
      <c r="B3783" s="11" t="s">
        <v>2405</v>
      </c>
      <c r="C3783" s="14" t="str">
        <f>IFERROR(INDEX(面试清单!D:D,MATCH(3782,面试清单!P:P,0)),"")</f>
        <v/>
      </c>
      <c r="D3783" s="11" t="s">
        <v>42</v>
      </c>
      <c r="E3783" s="11" t="s">
        <v>63</v>
      </c>
      <c r="F3783" s="11" t="s">
        <v>2166</v>
      </c>
      <c r="G3783" s="15">
        <v>46185</v>
      </c>
      <c r="H3783" s="14" t="str">
        <f>IFERROR(INDEX(面试清单!H:H,MATCH(3782,面试清单!P:P,0)),"")</f>
        <v/>
      </c>
      <c r="I3783" s="13" t="s">
        <v>30</v>
      </c>
      <c r="J3783" s="14">
        <f ca="1" t="shared" si="178"/>
        <v>4</v>
      </c>
      <c r="K3783" s="14">
        <f ca="1" t="shared" si="179"/>
        <v>5</v>
      </c>
    </row>
    <row r="3784" ht="18" spans="1:11">
      <c r="A3784" s="10">
        <f t="shared" si="177"/>
        <v>3783</v>
      </c>
      <c r="B3784" s="11" t="s">
        <v>3051</v>
      </c>
      <c r="C3784" s="10" t="str">
        <f>IFERROR(INDEX(面试清单!D:D,MATCH(3783,面试清单!P:P,0)),"")</f>
        <v/>
      </c>
      <c r="D3784" s="11" t="s">
        <v>42</v>
      </c>
      <c r="E3784" s="11" t="s">
        <v>62</v>
      </c>
      <c r="F3784" s="11" t="s">
        <v>2166</v>
      </c>
      <c r="G3784" s="15">
        <v>46185</v>
      </c>
      <c r="H3784" s="10" t="str">
        <f>IFERROR(INDEX(面试清单!H:H,MATCH(3783,面试清单!P:P,0)),"")</f>
        <v/>
      </c>
      <c r="I3784" s="13" t="s">
        <v>30</v>
      </c>
      <c r="J3784" s="10">
        <f ca="1" t="shared" si="178"/>
        <v>4</v>
      </c>
      <c r="K3784" s="10">
        <f ca="1" t="shared" si="179"/>
        <v>5</v>
      </c>
    </row>
    <row r="3785" ht="18" spans="1:11">
      <c r="A3785" s="14">
        <f t="shared" si="177"/>
        <v>3784</v>
      </c>
      <c r="B3785" s="11" t="s">
        <v>3054</v>
      </c>
      <c r="C3785" s="14" t="str">
        <f>IFERROR(INDEX(面试清单!D:D,MATCH(3784,面试清单!P:P,0)),"")</f>
        <v/>
      </c>
      <c r="D3785" s="11" t="s">
        <v>42</v>
      </c>
      <c r="E3785" s="11" t="s">
        <v>63</v>
      </c>
      <c r="F3785" s="11" t="s">
        <v>2166</v>
      </c>
      <c r="G3785" s="15">
        <v>46185</v>
      </c>
      <c r="H3785" s="14" t="str">
        <f>IFERROR(INDEX(面试清单!H:H,MATCH(3784,面试清单!P:P,0)),"")</f>
        <v/>
      </c>
      <c r="I3785" s="13" t="s">
        <v>30</v>
      </c>
      <c r="J3785" s="14">
        <f ca="1" t="shared" si="178"/>
        <v>4</v>
      </c>
      <c r="K3785" s="14">
        <f ca="1" t="shared" si="179"/>
        <v>5</v>
      </c>
    </row>
    <row r="3786" ht="18" spans="1:11">
      <c r="A3786" s="10">
        <f t="shared" si="177"/>
        <v>3785</v>
      </c>
      <c r="B3786" s="11" t="s">
        <v>2694</v>
      </c>
      <c r="C3786" s="10" t="str">
        <f>IFERROR(INDEX(面试清单!D:D,MATCH(3785,面试清单!P:P,0)),"")</f>
        <v/>
      </c>
      <c r="D3786" s="11" t="s">
        <v>42</v>
      </c>
      <c r="E3786" s="11" t="s">
        <v>63</v>
      </c>
      <c r="F3786" s="11" t="s">
        <v>2164</v>
      </c>
      <c r="G3786" s="15">
        <v>46185</v>
      </c>
      <c r="H3786" s="10" t="str">
        <f>IFERROR(INDEX(面试清单!H:H,MATCH(3785,面试清单!P:P,0)),"")</f>
        <v/>
      </c>
      <c r="I3786" s="13" t="s">
        <v>30</v>
      </c>
      <c r="J3786" s="10">
        <f ca="1" t="shared" si="178"/>
        <v>4</v>
      </c>
      <c r="K3786" s="10">
        <f ca="1" t="shared" si="179"/>
        <v>5</v>
      </c>
    </row>
    <row r="3787" ht="18" spans="1:11">
      <c r="A3787" s="14">
        <f t="shared" si="177"/>
        <v>3786</v>
      </c>
      <c r="B3787" s="11" t="s">
        <v>2789</v>
      </c>
      <c r="C3787" s="14" t="str">
        <f>IFERROR(INDEX(面试清单!D:D,MATCH(3786,面试清单!P:P,0)),"")</f>
        <v/>
      </c>
      <c r="D3787" s="11" t="s">
        <v>42</v>
      </c>
      <c r="E3787" s="11" t="s">
        <v>62</v>
      </c>
      <c r="F3787" s="11" t="s">
        <v>2166</v>
      </c>
      <c r="G3787" s="15">
        <v>46185</v>
      </c>
      <c r="H3787" s="14" t="str">
        <f>IFERROR(INDEX(面试清单!H:H,MATCH(3786,面试清单!P:P,0)),"")</f>
        <v/>
      </c>
      <c r="I3787" s="13" t="s">
        <v>30</v>
      </c>
      <c r="J3787" s="14">
        <f ca="1" t="shared" si="178"/>
        <v>4</v>
      </c>
      <c r="K3787" s="14">
        <f ca="1" t="shared" si="179"/>
        <v>5</v>
      </c>
    </row>
    <row r="3788" ht="18" spans="1:11">
      <c r="A3788" s="10">
        <f t="shared" si="177"/>
        <v>3787</v>
      </c>
      <c r="B3788" s="11" t="s">
        <v>6747</v>
      </c>
      <c r="C3788" s="10" t="str">
        <f>IFERROR(INDEX(面试清单!D:D,MATCH(3787,面试清单!P:P,0)),"")</f>
        <v/>
      </c>
      <c r="D3788" s="11" t="s">
        <v>43</v>
      </c>
      <c r="E3788" s="11" t="s">
        <v>64</v>
      </c>
      <c r="F3788" s="11" t="s">
        <v>2692</v>
      </c>
      <c r="G3788" s="15">
        <v>46186</v>
      </c>
      <c r="H3788" s="10" t="str">
        <f>IFERROR(INDEX(面试清单!H:H,MATCH(3787,面试清单!P:P,0)),"")</f>
        <v/>
      </c>
      <c r="I3788" s="13" t="s">
        <v>30</v>
      </c>
      <c r="J3788" s="10">
        <f ca="1" t="shared" si="178"/>
        <v>3</v>
      </c>
      <c r="K3788" s="10">
        <f ca="1" t="shared" si="179"/>
        <v>4</v>
      </c>
    </row>
    <row r="3789" ht="18" spans="1:11">
      <c r="A3789" s="14">
        <f t="shared" si="177"/>
        <v>3788</v>
      </c>
      <c r="B3789" s="11" t="s">
        <v>2821</v>
      </c>
      <c r="C3789" s="14" t="str">
        <f>IFERROR(INDEX(面试清单!D:D,MATCH(3788,面试清单!P:P,0)),"")</f>
        <v/>
      </c>
      <c r="D3789" s="11" t="s">
        <v>43</v>
      </c>
      <c r="E3789" s="11" t="s">
        <v>63</v>
      </c>
      <c r="F3789" s="11" t="s">
        <v>233</v>
      </c>
      <c r="G3789" s="15">
        <v>46186</v>
      </c>
      <c r="H3789" s="14" t="str">
        <f>IFERROR(INDEX(面试清单!H:H,MATCH(3788,面试清单!P:P,0)),"")</f>
        <v/>
      </c>
      <c r="I3789" s="13" t="s">
        <v>30</v>
      </c>
      <c r="J3789" s="14">
        <f ca="1" t="shared" si="178"/>
        <v>3</v>
      </c>
      <c r="K3789" s="14">
        <f ca="1" t="shared" si="179"/>
        <v>4</v>
      </c>
    </row>
    <row r="3790" ht="18" spans="1:11">
      <c r="A3790" s="10">
        <f t="shared" si="177"/>
        <v>3789</v>
      </c>
      <c r="B3790" s="11" t="s">
        <v>2886</v>
      </c>
      <c r="C3790" s="10" t="str">
        <f>IFERROR(INDEX(面试清单!D:D,MATCH(3789,面试清单!P:P,0)),"")</f>
        <v/>
      </c>
      <c r="D3790" s="11" t="s">
        <v>43</v>
      </c>
      <c r="E3790" s="11" t="s">
        <v>62</v>
      </c>
      <c r="F3790" s="11" t="s">
        <v>1056</v>
      </c>
      <c r="G3790" s="15">
        <v>46186</v>
      </c>
      <c r="H3790" s="10" t="str">
        <f>IFERROR(INDEX(面试清单!H:H,MATCH(3789,面试清单!P:P,0)),"")</f>
        <v/>
      </c>
      <c r="I3790" s="13" t="s">
        <v>30</v>
      </c>
      <c r="J3790" s="10">
        <f ca="1" t="shared" si="178"/>
        <v>3</v>
      </c>
      <c r="K3790" s="10">
        <f ca="1" t="shared" si="179"/>
        <v>4</v>
      </c>
    </row>
    <row r="3791" ht="18" spans="1:11">
      <c r="A3791" s="14">
        <f t="shared" si="177"/>
        <v>3790</v>
      </c>
      <c r="B3791" s="11" t="s">
        <v>2523</v>
      </c>
      <c r="C3791" s="14" t="str">
        <f>IFERROR(INDEX(面试清单!D:D,MATCH(3790,面试清单!P:P,0)),"")</f>
        <v/>
      </c>
      <c r="D3791" s="11" t="s">
        <v>43</v>
      </c>
      <c r="E3791" s="11" t="s">
        <v>64</v>
      </c>
      <c r="F3791" s="11" t="s">
        <v>148</v>
      </c>
      <c r="G3791" s="15">
        <v>46186</v>
      </c>
      <c r="H3791" s="14" t="str">
        <f>IFERROR(INDEX(面试清单!H:H,MATCH(3790,面试清单!P:P,0)),"")</f>
        <v/>
      </c>
      <c r="I3791" s="13" t="s">
        <v>30</v>
      </c>
      <c r="J3791" s="14">
        <f ca="1" t="shared" si="178"/>
        <v>3</v>
      </c>
      <c r="K3791" s="14">
        <f ca="1" t="shared" si="179"/>
        <v>4</v>
      </c>
    </row>
    <row r="3792" ht="18" spans="1:11">
      <c r="A3792" s="10">
        <f t="shared" si="177"/>
        <v>3791</v>
      </c>
      <c r="B3792" s="11" t="s">
        <v>2873</v>
      </c>
      <c r="C3792" s="10" t="str">
        <f>IFERROR(INDEX(面试清单!D:D,MATCH(3791,面试清单!P:P,0)),"")</f>
        <v/>
      </c>
      <c r="D3792" s="11" t="s">
        <v>42</v>
      </c>
      <c r="E3792" s="11" t="s">
        <v>63</v>
      </c>
      <c r="F3792" s="11" t="s">
        <v>148</v>
      </c>
      <c r="G3792" s="15">
        <v>46186</v>
      </c>
      <c r="H3792" s="10" t="str">
        <f>IFERROR(INDEX(面试清单!H:H,MATCH(3791,面试清单!P:P,0)),"")</f>
        <v/>
      </c>
      <c r="I3792" s="13" t="s">
        <v>30</v>
      </c>
      <c r="J3792" s="10">
        <f ca="1" t="shared" si="178"/>
        <v>3</v>
      </c>
      <c r="K3792" s="10">
        <f ca="1" t="shared" si="179"/>
        <v>4</v>
      </c>
    </row>
    <row r="3793" ht="18" spans="1:11">
      <c r="A3793" s="14">
        <f t="shared" si="177"/>
        <v>3792</v>
      </c>
      <c r="B3793" s="11" t="s">
        <v>2841</v>
      </c>
      <c r="C3793" s="14" t="str">
        <f>IFERROR(INDEX(面试清单!D:D,MATCH(3792,面试清单!P:P,0)),"")</f>
        <v/>
      </c>
      <c r="D3793" s="11" t="s">
        <v>42</v>
      </c>
      <c r="E3793" s="11" t="s">
        <v>63</v>
      </c>
      <c r="F3793" s="11" t="s">
        <v>148</v>
      </c>
      <c r="G3793" s="15">
        <v>46186</v>
      </c>
      <c r="H3793" s="14" t="str">
        <f>IFERROR(INDEX(面试清单!H:H,MATCH(3792,面试清单!P:P,0)),"")</f>
        <v/>
      </c>
      <c r="I3793" s="13" t="s">
        <v>30</v>
      </c>
      <c r="J3793" s="14">
        <f ca="1" t="shared" si="178"/>
        <v>3</v>
      </c>
      <c r="K3793" s="14">
        <f ca="1" t="shared" si="179"/>
        <v>4</v>
      </c>
    </row>
    <row r="3794" ht="18" spans="1:11">
      <c r="A3794" s="10">
        <f t="shared" si="177"/>
        <v>3793</v>
      </c>
      <c r="B3794" s="11" t="s">
        <v>2874</v>
      </c>
      <c r="C3794" s="10" t="str">
        <f>IFERROR(INDEX(面试清单!D:D,MATCH(3793,面试清单!P:P,0)),"")</f>
        <v/>
      </c>
      <c r="D3794" s="11" t="s">
        <v>42</v>
      </c>
      <c r="E3794" s="11" t="s">
        <v>63</v>
      </c>
      <c r="F3794" s="11" t="s">
        <v>148</v>
      </c>
      <c r="G3794" s="15">
        <v>46186</v>
      </c>
      <c r="H3794" s="10" t="str">
        <f>IFERROR(INDEX(面试清单!H:H,MATCH(3793,面试清单!P:P,0)),"")</f>
        <v/>
      </c>
      <c r="I3794" s="13" t="s">
        <v>30</v>
      </c>
      <c r="J3794" s="10">
        <f ca="1" t="shared" si="178"/>
        <v>3</v>
      </c>
      <c r="K3794" s="10">
        <f ca="1" t="shared" si="179"/>
        <v>4</v>
      </c>
    </row>
    <row r="3795" ht="18" spans="1:11">
      <c r="A3795" s="14">
        <f t="shared" si="177"/>
        <v>3794</v>
      </c>
      <c r="B3795" s="11" t="s">
        <v>2753</v>
      </c>
      <c r="C3795" s="14" t="str">
        <f>IFERROR(INDEX(面试清单!D:D,MATCH(3794,面试清单!P:P,0)),"")</f>
        <v/>
      </c>
      <c r="D3795" s="11" t="s">
        <v>42</v>
      </c>
      <c r="E3795" s="11" t="s">
        <v>63</v>
      </c>
      <c r="F3795" s="11" t="s">
        <v>148</v>
      </c>
      <c r="G3795" s="15">
        <v>46186</v>
      </c>
      <c r="H3795" s="14" t="str">
        <f>IFERROR(INDEX(面试清单!H:H,MATCH(3794,面试清单!P:P,0)),"")</f>
        <v/>
      </c>
      <c r="I3795" s="13" t="s">
        <v>30</v>
      </c>
      <c r="J3795" s="14">
        <f ca="1" t="shared" si="178"/>
        <v>3</v>
      </c>
      <c r="K3795" s="14">
        <f ca="1" t="shared" si="179"/>
        <v>4</v>
      </c>
    </row>
    <row r="3796" ht="18" spans="1:11">
      <c r="A3796" s="10">
        <f t="shared" si="177"/>
        <v>3795</v>
      </c>
      <c r="B3796" s="11" t="s">
        <v>2940</v>
      </c>
      <c r="C3796" s="10" t="str">
        <f>IFERROR(INDEX(面试清单!D:D,MATCH(3795,面试清单!P:P,0)),"")</f>
        <v/>
      </c>
      <c r="D3796" s="11" t="s">
        <v>43</v>
      </c>
      <c r="E3796" s="11" t="s">
        <v>62</v>
      </c>
      <c r="F3796" s="11" t="s">
        <v>148</v>
      </c>
      <c r="G3796" s="15">
        <v>46186</v>
      </c>
      <c r="H3796" s="10" t="str">
        <f>IFERROR(INDEX(面试清单!H:H,MATCH(3795,面试清单!P:P,0)),"")</f>
        <v/>
      </c>
      <c r="I3796" s="13" t="s">
        <v>30</v>
      </c>
      <c r="J3796" s="10">
        <f ca="1" t="shared" si="178"/>
        <v>3</v>
      </c>
      <c r="K3796" s="10">
        <f ca="1" t="shared" si="179"/>
        <v>4</v>
      </c>
    </row>
    <row r="3797" ht="18" spans="1:11">
      <c r="A3797" s="14">
        <f t="shared" si="177"/>
        <v>3796</v>
      </c>
      <c r="B3797" s="11" t="s">
        <v>2998</v>
      </c>
      <c r="C3797" s="14" t="str">
        <f>IFERROR(INDEX(面试清单!D:D,MATCH(3796,面试清单!P:P,0)),"")</f>
        <v/>
      </c>
      <c r="D3797" s="11" t="s">
        <v>43</v>
      </c>
      <c r="E3797" s="11" t="s">
        <v>63</v>
      </c>
      <c r="F3797" s="11" t="s">
        <v>3826</v>
      </c>
      <c r="G3797" s="15">
        <v>46186</v>
      </c>
      <c r="H3797" s="14" t="str">
        <f>IFERROR(INDEX(面试清单!H:H,MATCH(3796,面试清单!P:P,0)),"")</f>
        <v/>
      </c>
      <c r="I3797" s="13" t="s">
        <v>30</v>
      </c>
      <c r="J3797" s="14">
        <f ca="1" t="shared" si="178"/>
        <v>3</v>
      </c>
      <c r="K3797" s="14">
        <f ca="1" t="shared" si="179"/>
        <v>4</v>
      </c>
    </row>
    <row r="3798" ht="18" spans="1:11">
      <c r="A3798" s="10">
        <f t="shared" si="177"/>
        <v>3797</v>
      </c>
      <c r="B3798" s="11" t="s">
        <v>2999</v>
      </c>
      <c r="C3798" s="10" t="str">
        <f>IFERROR(INDEX(面试清单!D:D,MATCH(3797,面试清单!P:P,0)),"")</f>
        <v/>
      </c>
      <c r="D3798" s="11" t="s">
        <v>43</v>
      </c>
      <c r="E3798" s="11" t="s">
        <v>64</v>
      </c>
      <c r="F3798" s="11" t="s">
        <v>3826</v>
      </c>
      <c r="G3798" s="15">
        <v>46186</v>
      </c>
      <c r="H3798" s="10" t="str">
        <f>IFERROR(INDEX(面试清单!H:H,MATCH(3797,面试清单!P:P,0)),"")</f>
        <v/>
      </c>
      <c r="I3798" s="13" t="s">
        <v>30</v>
      </c>
      <c r="J3798" s="10">
        <f ca="1" t="shared" si="178"/>
        <v>3</v>
      </c>
      <c r="K3798" s="10">
        <f ca="1" t="shared" si="179"/>
        <v>4</v>
      </c>
    </row>
    <row r="3799" ht="18" spans="1:11">
      <c r="A3799" s="14">
        <f t="shared" si="177"/>
        <v>3798</v>
      </c>
      <c r="B3799" s="11" t="s">
        <v>3022</v>
      </c>
      <c r="C3799" s="14" t="str">
        <f>IFERROR(INDEX(面试清单!D:D,MATCH(3798,面试清单!P:P,0)),"")</f>
        <v/>
      </c>
      <c r="D3799" s="11" t="s">
        <v>43</v>
      </c>
      <c r="E3799" s="11" t="s">
        <v>62</v>
      </c>
      <c r="F3799" s="11" t="s">
        <v>2195</v>
      </c>
      <c r="G3799" s="15">
        <v>46186</v>
      </c>
      <c r="H3799" s="14" t="str">
        <f>IFERROR(INDEX(面试清单!H:H,MATCH(3798,面试清单!P:P,0)),"")</f>
        <v/>
      </c>
      <c r="I3799" s="13" t="s">
        <v>30</v>
      </c>
      <c r="J3799" s="14">
        <f ca="1" t="shared" si="178"/>
        <v>3</v>
      </c>
      <c r="K3799" s="14">
        <f ca="1" t="shared" si="179"/>
        <v>4</v>
      </c>
    </row>
    <row r="3800" ht="18" spans="1:11">
      <c r="A3800" s="10">
        <f t="shared" si="177"/>
        <v>3799</v>
      </c>
      <c r="B3800" s="11" t="s">
        <v>3080</v>
      </c>
      <c r="C3800" s="10" t="str">
        <f>IFERROR(INDEX(面试清单!D:D,MATCH(3799,面试清单!P:P,0)),"")</f>
        <v/>
      </c>
      <c r="D3800" s="11" t="s">
        <v>42</v>
      </c>
      <c r="E3800" s="11" t="s">
        <v>62</v>
      </c>
      <c r="F3800" s="11" t="s">
        <v>2181</v>
      </c>
      <c r="G3800" s="15">
        <v>46186</v>
      </c>
      <c r="H3800" s="10" t="str">
        <f>IFERROR(INDEX(面试清单!H:H,MATCH(3799,面试清单!P:P,0)),"")</f>
        <v/>
      </c>
      <c r="I3800" s="13" t="s">
        <v>30</v>
      </c>
      <c r="J3800" s="10">
        <f ca="1" t="shared" si="178"/>
        <v>3</v>
      </c>
      <c r="K3800" s="10">
        <f ca="1" t="shared" si="179"/>
        <v>4</v>
      </c>
    </row>
    <row r="3801" ht="18" spans="1:11">
      <c r="A3801" s="14">
        <f t="shared" si="177"/>
        <v>3800</v>
      </c>
      <c r="B3801" s="11" t="s">
        <v>3071</v>
      </c>
      <c r="C3801" s="14" t="str">
        <f>IFERROR(INDEX(面试清单!D:D,MATCH(3800,面试清单!P:P,0)),"")</f>
        <v/>
      </c>
      <c r="D3801" s="11" t="s">
        <v>42</v>
      </c>
      <c r="E3801" s="11" t="s">
        <v>63</v>
      </c>
      <c r="F3801" s="11" t="s">
        <v>2370</v>
      </c>
      <c r="G3801" s="15">
        <v>46186</v>
      </c>
      <c r="H3801" s="14" t="str">
        <f>IFERROR(INDEX(面试清单!H:H,MATCH(3800,面试清单!P:P,0)),"")</f>
        <v/>
      </c>
      <c r="I3801" s="13" t="s">
        <v>30</v>
      </c>
      <c r="J3801" s="14">
        <f ca="1" t="shared" si="178"/>
        <v>3</v>
      </c>
      <c r="K3801" s="14">
        <f ca="1" t="shared" si="179"/>
        <v>4</v>
      </c>
    </row>
    <row r="3802" ht="18" spans="1:11">
      <c r="A3802" s="10">
        <f t="shared" si="177"/>
        <v>3801</v>
      </c>
      <c r="B3802" s="11" t="s">
        <v>2786</v>
      </c>
      <c r="C3802" s="10" t="str">
        <f>IFERROR(INDEX(面试清单!D:D,MATCH(3801,面试清单!P:P,0)),"")</f>
        <v/>
      </c>
      <c r="D3802" s="11" t="s">
        <v>42</v>
      </c>
      <c r="E3802" s="11" t="s">
        <v>63</v>
      </c>
      <c r="F3802" s="11" t="s">
        <v>3826</v>
      </c>
      <c r="G3802" s="15">
        <v>46186</v>
      </c>
      <c r="H3802" s="10" t="str">
        <f>IFERROR(INDEX(面试清单!H:H,MATCH(3801,面试清单!P:P,0)),"")</f>
        <v/>
      </c>
      <c r="I3802" s="13" t="s">
        <v>30</v>
      </c>
      <c r="J3802" s="10">
        <f ca="1" t="shared" si="178"/>
        <v>3</v>
      </c>
      <c r="K3802" s="10">
        <f ca="1" t="shared" si="179"/>
        <v>4</v>
      </c>
    </row>
    <row r="3803" ht="18" spans="1:11">
      <c r="A3803" s="14">
        <f t="shared" si="177"/>
        <v>3802</v>
      </c>
      <c r="B3803" s="11" t="s">
        <v>2787</v>
      </c>
      <c r="C3803" s="14" t="str">
        <f>IFERROR(INDEX(面试清单!D:D,MATCH(3802,面试清单!P:P,0)),"")</f>
        <v/>
      </c>
      <c r="D3803" s="11" t="s">
        <v>42</v>
      </c>
      <c r="E3803" s="11" t="s">
        <v>63</v>
      </c>
      <c r="F3803" s="11" t="s">
        <v>3826</v>
      </c>
      <c r="G3803" s="15">
        <v>46186</v>
      </c>
      <c r="H3803" s="14" t="str">
        <f>IFERROR(INDEX(面试清单!H:H,MATCH(3802,面试清单!P:P,0)),"")</f>
        <v/>
      </c>
      <c r="I3803" s="13" t="s">
        <v>30</v>
      </c>
      <c r="J3803" s="14">
        <f ca="1" t="shared" si="178"/>
        <v>3</v>
      </c>
      <c r="K3803" s="14">
        <f ca="1" t="shared" si="179"/>
        <v>4</v>
      </c>
    </row>
    <row r="3804" ht="18" spans="1:11">
      <c r="A3804" s="10">
        <f t="shared" si="177"/>
        <v>3803</v>
      </c>
      <c r="B3804" s="11" t="s">
        <v>3099</v>
      </c>
      <c r="C3804" s="10" t="str">
        <f>IFERROR(INDEX(面试清单!D:D,MATCH(3803,面试清单!P:P,0)),"")</f>
        <v/>
      </c>
      <c r="D3804" s="11" t="s">
        <v>42</v>
      </c>
      <c r="E3804" s="11" t="s">
        <v>63</v>
      </c>
      <c r="F3804" s="11" t="s">
        <v>2166</v>
      </c>
      <c r="G3804" s="15">
        <v>46186</v>
      </c>
      <c r="H3804" s="10" t="str">
        <f>IFERROR(INDEX(面试清单!H:H,MATCH(3803,面试清单!P:P,0)),"")</f>
        <v/>
      </c>
      <c r="I3804" s="13" t="s">
        <v>30</v>
      </c>
      <c r="J3804" s="10">
        <f ca="1" t="shared" si="178"/>
        <v>3</v>
      </c>
      <c r="K3804" s="10">
        <f ca="1" t="shared" si="179"/>
        <v>4</v>
      </c>
    </row>
    <row r="3805" ht="18" spans="1:11">
      <c r="A3805" s="14">
        <f t="shared" si="177"/>
        <v>3804</v>
      </c>
      <c r="B3805" s="11" t="s">
        <v>3098</v>
      </c>
      <c r="C3805" s="14" t="str">
        <f>IFERROR(INDEX(面试清单!D:D,MATCH(3804,面试清单!P:P,0)),"")</f>
        <v/>
      </c>
      <c r="D3805" s="11" t="s">
        <v>42</v>
      </c>
      <c r="E3805" s="11" t="s">
        <v>63</v>
      </c>
      <c r="F3805" s="11" t="s">
        <v>2166</v>
      </c>
      <c r="G3805" s="15">
        <v>46186</v>
      </c>
      <c r="H3805" s="14" t="str">
        <f>IFERROR(INDEX(面试清单!H:H,MATCH(3804,面试清单!P:P,0)),"")</f>
        <v/>
      </c>
      <c r="I3805" s="13" t="s">
        <v>30</v>
      </c>
      <c r="J3805" s="14">
        <f ca="1" t="shared" si="178"/>
        <v>3</v>
      </c>
      <c r="K3805" s="14">
        <f ca="1" t="shared" si="179"/>
        <v>4</v>
      </c>
    </row>
    <row r="3806" ht="18" spans="1:11">
      <c r="A3806" s="10">
        <f t="shared" si="177"/>
        <v>3805</v>
      </c>
      <c r="B3806" s="11" t="s">
        <v>3100</v>
      </c>
      <c r="C3806" s="10" t="str">
        <f>IFERROR(INDEX(面试清单!D:D,MATCH(3805,面试清单!P:P,0)),"")</f>
        <v/>
      </c>
      <c r="D3806" s="11" t="s">
        <v>42</v>
      </c>
      <c r="E3806" s="11" t="s">
        <v>63</v>
      </c>
      <c r="F3806" s="11" t="s">
        <v>2166</v>
      </c>
      <c r="G3806" s="15">
        <v>46186</v>
      </c>
      <c r="H3806" s="10" t="str">
        <f>IFERROR(INDEX(面试清单!H:H,MATCH(3805,面试清单!P:P,0)),"")</f>
        <v/>
      </c>
      <c r="I3806" s="13" t="s">
        <v>30</v>
      </c>
      <c r="J3806" s="10">
        <f ca="1" t="shared" si="178"/>
        <v>3</v>
      </c>
      <c r="K3806" s="10">
        <f ca="1" t="shared" si="179"/>
        <v>4</v>
      </c>
    </row>
    <row r="3807" ht="18" spans="1:11">
      <c r="A3807" s="14">
        <f t="shared" si="177"/>
        <v>3806</v>
      </c>
      <c r="B3807" s="11" t="s">
        <v>6748</v>
      </c>
      <c r="C3807" s="14" t="str">
        <f>IFERROR(INDEX(面试清单!D:D,MATCH(3806,面试清单!P:P,0)),"")</f>
        <v/>
      </c>
      <c r="D3807" s="11" t="s">
        <v>42</v>
      </c>
      <c r="E3807" s="11" t="s">
        <v>64</v>
      </c>
      <c r="F3807" s="11" t="s">
        <v>148</v>
      </c>
      <c r="G3807" s="15">
        <v>46186</v>
      </c>
      <c r="H3807" s="14" t="str">
        <f>IFERROR(INDEX(面试清单!H:H,MATCH(3806,面试清单!P:P,0)),"")</f>
        <v/>
      </c>
      <c r="I3807" s="13" t="s">
        <v>30</v>
      </c>
      <c r="J3807" s="14">
        <f ca="1" t="shared" si="178"/>
        <v>3</v>
      </c>
      <c r="K3807" s="14">
        <f ca="1" t="shared" si="179"/>
        <v>4</v>
      </c>
    </row>
    <row r="3808" ht="18" spans="1:11">
      <c r="A3808" s="10">
        <f t="shared" si="177"/>
        <v>3807</v>
      </c>
      <c r="B3808" s="11" t="s">
        <v>3033</v>
      </c>
      <c r="C3808" s="10" t="str">
        <f>IFERROR(INDEX(面试清单!D:D,MATCH(3807,面试清单!P:P,0)),"")</f>
        <v/>
      </c>
      <c r="D3808" s="11" t="s">
        <v>43</v>
      </c>
      <c r="E3808" s="11" t="s">
        <v>63</v>
      </c>
      <c r="F3808" s="11" t="s">
        <v>2221</v>
      </c>
      <c r="G3808" s="15">
        <v>46186</v>
      </c>
      <c r="H3808" s="10" t="str">
        <f>IFERROR(INDEX(面试清单!H:H,MATCH(3807,面试清单!P:P,0)),"")</f>
        <v/>
      </c>
      <c r="I3808" s="13" t="s">
        <v>30</v>
      </c>
      <c r="J3808" s="10">
        <f ca="1" t="shared" si="178"/>
        <v>3</v>
      </c>
      <c r="K3808" s="10">
        <f ca="1" t="shared" si="179"/>
        <v>4</v>
      </c>
    </row>
    <row r="3809" ht="18" spans="1:11">
      <c r="A3809" s="14">
        <f t="shared" si="177"/>
        <v>3808</v>
      </c>
      <c r="B3809" s="11" t="s">
        <v>3192</v>
      </c>
      <c r="C3809" s="14" t="str">
        <f>IFERROR(INDEX(面试清单!D:D,MATCH(3808,面试清单!P:P,0)),"")</f>
        <v/>
      </c>
      <c r="D3809" s="11" t="s">
        <v>42</v>
      </c>
      <c r="E3809" s="11" t="s">
        <v>64</v>
      </c>
      <c r="F3809" s="11" t="s">
        <v>124</v>
      </c>
      <c r="G3809" s="15">
        <v>46186</v>
      </c>
      <c r="H3809" s="14" t="str">
        <f>IFERROR(INDEX(面试清单!H:H,MATCH(3808,面试清单!P:P,0)),"")</f>
        <v/>
      </c>
      <c r="I3809" s="13" t="s">
        <v>30</v>
      </c>
      <c r="J3809" s="14">
        <f ca="1" t="shared" si="178"/>
        <v>3</v>
      </c>
      <c r="K3809" s="14">
        <f ca="1" t="shared" si="179"/>
        <v>4</v>
      </c>
    </row>
    <row r="3810" ht="18" spans="1:11">
      <c r="A3810" s="10">
        <f t="shared" si="177"/>
        <v>3809</v>
      </c>
      <c r="B3810" s="11" t="s">
        <v>6749</v>
      </c>
      <c r="C3810" s="10" t="str">
        <f>IFERROR(INDEX(面试清单!D:D,MATCH(3809,面试清单!P:P,0)),"")</f>
        <v/>
      </c>
      <c r="D3810" s="11" t="s">
        <v>42</v>
      </c>
      <c r="E3810" s="11" t="s">
        <v>64</v>
      </c>
      <c r="F3810" s="11" t="s">
        <v>124</v>
      </c>
      <c r="G3810" s="15">
        <v>46186</v>
      </c>
      <c r="H3810" s="10" t="str">
        <f>IFERROR(INDEX(面试清单!H:H,MATCH(3809,面试清单!P:P,0)),"")</f>
        <v/>
      </c>
      <c r="I3810" s="13" t="s">
        <v>30</v>
      </c>
      <c r="J3810" s="10">
        <f ca="1" t="shared" si="178"/>
        <v>3</v>
      </c>
      <c r="K3810" s="10">
        <f ca="1" t="shared" si="179"/>
        <v>4</v>
      </c>
    </row>
    <row r="3811" ht="18" spans="1:11">
      <c r="A3811" s="14">
        <f t="shared" si="177"/>
        <v>3810</v>
      </c>
      <c r="B3811" s="11" t="s">
        <v>6750</v>
      </c>
      <c r="C3811" s="14" t="str">
        <f>IFERROR(INDEX(面试清单!D:D,MATCH(3810,面试清单!P:P,0)),"")</f>
        <v/>
      </c>
      <c r="D3811" s="11" t="s">
        <v>42</v>
      </c>
      <c r="E3811" s="11" t="s">
        <v>64</v>
      </c>
      <c r="F3811" s="11" t="s">
        <v>148</v>
      </c>
      <c r="G3811" s="15">
        <v>46186</v>
      </c>
      <c r="H3811" s="14" t="str">
        <f>IFERROR(INDEX(面试清单!H:H,MATCH(3810,面试清单!P:P,0)),"")</f>
        <v/>
      </c>
      <c r="I3811" s="13" t="s">
        <v>30</v>
      </c>
      <c r="J3811" s="14">
        <f ca="1" t="shared" si="178"/>
        <v>3</v>
      </c>
      <c r="K3811" s="14">
        <f ca="1" t="shared" si="179"/>
        <v>4</v>
      </c>
    </row>
    <row r="3812" ht="18" spans="1:11">
      <c r="A3812" s="10">
        <f t="shared" si="177"/>
        <v>3811</v>
      </c>
      <c r="B3812" s="11" t="s">
        <v>6751</v>
      </c>
      <c r="C3812" s="10" t="str">
        <f>IFERROR(INDEX(面试清单!D:D,MATCH(3811,面试清单!P:P,0)),"")</f>
        <v/>
      </c>
      <c r="D3812" s="11" t="s">
        <v>42</v>
      </c>
      <c r="E3812" s="11" t="s">
        <v>64</v>
      </c>
      <c r="F3812" s="11" t="s">
        <v>148</v>
      </c>
      <c r="G3812" s="15">
        <v>46186</v>
      </c>
      <c r="H3812" s="10" t="str">
        <f>IFERROR(INDEX(面试清单!H:H,MATCH(3811,面试清单!P:P,0)),"")</f>
        <v/>
      </c>
      <c r="I3812" s="13" t="s">
        <v>30</v>
      </c>
      <c r="J3812" s="10">
        <f ca="1" t="shared" si="178"/>
        <v>3</v>
      </c>
      <c r="K3812" s="10">
        <f ca="1" t="shared" si="179"/>
        <v>4</v>
      </c>
    </row>
    <row r="3813" ht="18" spans="1:11">
      <c r="A3813" s="14">
        <f t="shared" si="177"/>
        <v>3812</v>
      </c>
      <c r="B3813" s="11" t="s">
        <v>1037</v>
      </c>
      <c r="C3813" s="14" t="str">
        <f>IFERROR(INDEX(面试清单!D:D,MATCH(3812,面试清单!P:P,0)),"")</f>
        <v/>
      </c>
      <c r="D3813" s="11" t="s">
        <v>42</v>
      </c>
      <c r="E3813" s="11" t="s">
        <v>64</v>
      </c>
      <c r="F3813" s="11" t="s">
        <v>148</v>
      </c>
      <c r="G3813" s="15">
        <v>46186</v>
      </c>
      <c r="H3813" s="14" t="str">
        <f>IFERROR(INDEX(面试清单!H:H,MATCH(3812,面试清单!P:P,0)),"")</f>
        <v/>
      </c>
      <c r="I3813" s="13" t="s">
        <v>30</v>
      </c>
      <c r="J3813" s="14">
        <f ca="1" t="shared" si="178"/>
        <v>3</v>
      </c>
      <c r="K3813" s="14">
        <f ca="1" t="shared" si="179"/>
        <v>4</v>
      </c>
    </row>
    <row r="3814" ht="18" spans="1:11">
      <c r="A3814" s="10">
        <f t="shared" si="177"/>
        <v>3813</v>
      </c>
      <c r="B3814" s="11" t="s">
        <v>3158</v>
      </c>
      <c r="C3814" s="10" t="str">
        <f>IFERROR(INDEX(面试清单!D:D,MATCH(3813,面试清单!P:P,0)),"")</f>
        <v/>
      </c>
      <c r="D3814" s="11" t="s">
        <v>43</v>
      </c>
      <c r="E3814" s="11" t="s">
        <v>62</v>
      </c>
      <c r="F3814" s="11" t="s">
        <v>2195</v>
      </c>
      <c r="G3814" s="15">
        <v>46187</v>
      </c>
      <c r="H3814" s="10" t="str">
        <f>IFERROR(INDEX(面试清单!H:H,MATCH(3813,面试清单!P:P,0)),"")</f>
        <v/>
      </c>
      <c r="I3814" s="13" t="s">
        <v>30</v>
      </c>
      <c r="J3814" s="10">
        <f ca="1" t="shared" si="178"/>
        <v>2</v>
      </c>
      <c r="K3814" s="10">
        <f ca="1" t="shared" si="179"/>
        <v>3</v>
      </c>
    </row>
    <row r="3815" ht="18" spans="1:11">
      <c r="A3815" s="14">
        <f t="shared" si="177"/>
        <v>3814</v>
      </c>
      <c r="B3815" s="11" t="s">
        <v>3028</v>
      </c>
      <c r="C3815" s="14" t="str">
        <f>IFERROR(INDEX(面试清单!D:D,MATCH(3814,面试清单!P:P,0)),"")</f>
        <v/>
      </c>
      <c r="D3815" s="11" t="s">
        <v>43</v>
      </c>
      <c r="E3815" s="11" t="s">
        <v>63</v>
      </c>
      <c r="F3815" s="11" t="s">
        <v>6634</v>
      </c>
      <c r="G3815" s="15">
        <v>46187</v>
      </c>
      <c r="H3815" s="14" t="str">
        <f>IFERROR(INDEX(面试清单!H:H,MATCH(3814,面试清单!P:P,0)),"")</f>
        <v/>
      </c>
      <c r="I3815" s="13" t="s">
        <v>30</v>
      </c>
      <c r="J3815" s="14">
        <f ca="1" t="shared" si="178"/>
        <v>2</v>
      </c>
      <c r="K3815" s="14">
        <f ca="1" t="shared" si="179"/>
        <v>3</v>
      </c>
    </row>
    <row r="3816" ht="18" spans="1:11">
      <c r="A3816" s="10">
        <f t="shared" si="177"/>
        <v>3815</v>
      </c>
      <c r="B3816" s="11" t="s">
        <v>3026</v>
      </c>
      <c r="C3816" s="10" t="str">
        <f>IFERROR(INDEX(面试清单!D:D,MATCH(3815,面试清单!P:P,0)),"")</f>
        <v/>
      </c>
      <c r="D3816" s="11" t="s">
        <v>43</v>
      </c>
      <c r="E3816" s="11" t="s">
        <v>63</v>
      </c>
      <c r="F3816" s="11" t="s">
        <v>6634</v>
      </c>
      <c r="G3816" s="15">
        <v>46187</v>
      </c>
      <c r="H3816" s="10" t="str">
        <f>IFERROR(INDEX(面试清单!H:H,MATCH(3815,面试清单!P:P,0)),"")</f>
        <v/>
      </c>
      <c r="I3816" s="13" t="s">
        <v>30</v>
      </c>
      <c r="J3816" s="10">
        <f ca="1" t="shared" si="178"/>
        <v>2</v>
      </c>
      <c r="K3816" s="10">
        <f ca="1" t="shared" si="179"/>
        <v>3</v>
      </c>
    </row>
    <row r="3817" ht="18" spans="1:11">
      <c r="A3817" s="14">
        <f t="shared" si="177"/>
        <v>3816</v>
      </c>
      <c r="B3817" s="11" t="s">
        <v>3025</v>
      </c>
      <c r="C3817" s="14" t="str">
        <f>IFERROR(INDEX(面试清单!D:D,MATCH(3816,面试清单!P:P,0)),"")</f>
        <v/>
      </c>
      <c r="D3817" s="11" t="s">
        <v>43</v>
      </c>
      <c r="E3817" s="11" t="s">
        <v>62</v>
      </c>
      <c r="F3817" s="11" t="s">
        <v>6634</v>
      </c>
      <c r="G3817" s="15">
        <v>46187</v>
      </c>
      <c r="H3817" s="14" t="str">
        <f>IFERROR(INDEX(面试清单!H:H,MATCH(3816,面试清单!P:P,0)),"")</f>
        <v/>
      </c>
      <c r="I3817" s="13" t="s">
        <v>30</v>
      </c>
      <c r="J3817" s="14">
        <f ca="1" t="shared" si="178"/>
        <v>2</v>
      </c>
      <c r="K3817" s="14">
        <f ca="1" t="shared" si="179"/>
        <v>3</v>
      </c>
    </row>
    <row r="3818" ht="18" spans="1:11">
      <c r="A3818" s="10">
        <f t="shared" si="177"/>
        <v>3817</v>
      </c>
      <c r="B3818" s="11" t="s">
        <v>6752</v>
      </c>
      <c r="C3818" s="10" t="str">
        <f>IFERROR(INDEX(面试清单!D:D,MATCH(3817,面试清单!P:P,0)),"")</f>
        <v/>
      </c>
      <c r="D3818" s="11" t="s">
        <v>43</v>
      </c>
      <c r="E3818" s="11" t="s">
        <v>62</v>
      </c>
      <c r="F3818" s="11" t="s">
        <v>6634</v>
      </c>
      <c r="G3818" s="15">
        <v>46187</v>
      </c>
      <c r="H3818" s="10" t="str">
        <f>IFERROR(INDEX(面试清单!H:H,MATCH(3817,面试清单!P:P,0)),"")</f>
        <v/>
      </c>
      <c r="I3818" s="13" t="s">
        <v>30</v>
      </c>
      <c r="J3818" s="10">
        <f ca="1" t="shared" si="178"/>
        <v>2</v>
      </c>
      <c r="K3818" s="10">
        <f ca="1" t="shared" si="179"/>
        <v>3</v>
      </c>
    </row>
    <row r="3819" ht="18" spans="1:11">
      <c r="A3819" s="14">
        <f t="shared" si="177"/>
        <v>3818</v>
      </c>
      <c r="B3819" s="11" t="s">
        <v>6753</v>
      </c>
      <c r="C3819" s="14" t="str">
        <f>IFERROR(INDEX(面试清单!D:D,MATCH(3818,面试清单!P:P,0)),"")</f>
        <v/>
      </c>
      <c r="D3819" s="11" t="s">
        <v>43</v>
      </c>
      <c r="E3819" s="11" t="s">
        <v>63</v>
      </c>
      <c r="F3819" s="11" t="s">
        <v>2164</v>
      </c>
      <c r="G3819" s="15">
        <v>46187</v>
      </c>
      <c r="H3819" s="14" t="str">
        <f>IFERROR(INDEX(面试清单!H:H,MATCH(3818,面试清单!P:P,0)),"")</f>
        <v/>
      </c>
      <c r="I3819" s="13" t="s">
        <v>30</v>
      </c>
      <c r="J3819" s="14">
        <f ca="1" t="shared" si="178"/>
        <v>2</v>
      </c>
      <c r="K3819" s="14">
        <f ca="1" t="shared" si="179"/>
        <v>3</v>
      </c>
    </row>
    <row r="3820" ht="18" spans="1:11">
      <c r="A3820" s="10">
        <f t="shared" si="177"/>
        <v>3819</v>
      </c>
      <c r="B3820" s="11" t="s">
        <v>2640</v>
      </c>
      <c r="C3820" s="10" t="str">
        <f>IFERROR(INDEX(面试清单!D:D,MATCH(3819,面试清单!P:P,0)),"")</f>
        <v/>
      </c>
      <c r="D3820" s="11" t="s">
        <v>43</v>
      </c>
      <c r="E3820" s="11" t="s">
        <v>62</v>
      </c>
      <c r="F3820" s="11" t="s">
        <v>2164</v>
      </c>
      <c r="G3820" s="15">
        <v>46187</v>
      </c>
      <c r="H3820" s="10" t="str">
        <f>IFERROR(INDEX(面试清单!H:H,MATCH(3819,面试清单!P:P,0)),"")</f>
        <v/>
      </c>
      <c r="I3820" s="13" t="s">
        <v>30</v>
      </c>
      <c r="J3820" s="10">
        <f ca="1" t="shared" si="178"/>
        <v>2</v>
      </c>
      <c r="K3820" s="10">
        <f ca="1" t="shared" si="179"/>
        <v>3</v>
      </c>
    </row>
    <row r="3821" ht="18" spans="1:11">
      <c r="A3821" s="14">
        <f t="shared" si="177"/>
        <v>3820</v>
      </c>
      <c r="B3821" s="11" t="s">
        <v>2983</v>
      </c>
      <c r="C3821" s="14" t="str">
        <f>IFERROR(INDEX(面试清单!D:D,MATCH(3820,面试清单!P:P,0)),"")</f>
        <v/>
      </c>
      <c r="D3821" s="11" t="s">
        <v>42</v>
      </c>
      <c r="E3821" s="11" t="s">
        <v>63</v>
      </c>
      <c r="F3821" s="11" t="s">
        <v>2164</v>
      </c>
      <c r="G3821" s="15">
        <v>46187</v>
      </c>
      <c r="H3821" s="14" t="str">
        <f>IFERROR(INDEX(面试清单!H:H,MATCH(3820,面试清单!P:P,0)),"")</f>
        <v/>
      </c>
      <c r="I3821" s="13" t="s">
        <v>30</v>
      </c>
      <c r="J3821" s="14">
        <f ca="1" t="shared" si="178"/>
        <v>2</v>
      </c>
      <c r="K3821" s="14">
        <f ca="1" t="shared" si="179"/>
        <v>3</v>
      </c>
    </row>
    <row r="3822" ht="18" spans="1:11">
      <c r="A3822" s="10">
        <f t="shared" si="177"/>
        <v>3821</v>
      </c>
      <c r="B3822" s="11" t="s">
        <v>3081</v>
      </c>
      <c r="C3822" s="10" t="str">
        <f>IFERROR(INDEX(面试清单!D:D,MATCH(3821,面试清单!P:P,0)),"")</f>
        <v/>
      </c>
      <c r="D3822" s="11" t="s">
        <v>42</v>
      </c>
      <c r="E3822" s="11" t="s">
        <v>63</v>
      </c>
      <c r="F3822" s="11" t="s">
        <v>2181</v>
      </c>
      <c r="G3822" s="15">
        <v>46187</v>
      </c>
      <c r="H3822" s="10" t="str">
        <f>IFERROR(INDEX(面试清单!H:H,MATCH(3821,面试清单!P:P,0)),"")</f>
        <v/>
      </c>
      <c r="I3822" s="13" t="s">
        <v>30</v>
      </c>
      <c r="J3822" s="10">
        <f ca="1" t="shared" si="178"/>
        <v>2</v>
      </c>
      <c r="K3822" s="10">
        <f ca="1" t="shared" si="179"/>
        <v>3</v>
      </c>
    </row>
    <row r="3823" ht="18" spans="1:11">
      <c r="A3823" s="14">
        <f t="shared" si="177"/>
        <v>3822</v>
      </c>
      <c r="B3823" s="11" t="s">
        <v>1771</v>
      </c>
      <c r="C3823" s="14" t="str">
        <f>IFERROR(INDEX(面试清单!D:D,MATCH(3822,面试清单!P:P,0)),"")</f>
        <v/>
      </c>
      <c r="D3823" s="11" t="s">
        <v>42</v>
      </c>
      <c r="E3823" s="11" t="s">
        <v>62</v>
      </c>
      <c r="F3823" s="11" t="s">
        <v>2181</v>
      </c>
      <c r="G3823" s="15">
        <v>46187</v>
      </c>
      <c r="H3823" s="14" t="str">
        <f>IFERROR(INDEX(面试清单!H:H,MATCH(3822,面试清单!P:P,0)),"")</f>
        <v/>
      </c>
      <c r="I3823" s="13" t="s">
        <v>30</v>
      </c>
      <c r="J3823" s="14">
        <f ca="1" t="shared" si="178"/>
        <v>2</v>
      </c>
      <c r="K3823" s="14">
        <f ca="1" t="shared" si="179"/>
        <v>3</v>
      </c>
    </row>
    <row r="3824" ht="18" spans="1:11">
      <c r="A3824" s="10">
        <f t="shared" si="177"/>
        <v>3823</v>
      </c>
      <c r="B3824" s="11" t="s">
        <v>1772</v>
      </c>
      <c r="C3824" s="10" t="str">
        <f>IFERROR(INDEX(面试清单!D:D,MATCH(3823,面试清单!P:P,0)),"")</f>
        <v/>
      </c>
      <c r="D3824" s="11" t="s">
        <v>42</v>
      </c>
      <c r="E3824" s="11" t="s">
        <v>63</v>
      </c>
      <c r="F3824" s="11" t="s">
        <v>2181</v>
      </c>
      <c r="G3824" s="15">
        <v>46187</v>
      </c>
      <c r="H3824" s="10" t="str">
        <f>IFERROR(INDEX(面试清单!H:H,MATCH(3823,面试清单!P:P,0)),"")</f>
        <v/>
      </c>
      <c r="I3824" s="13" t="s">
        <v>30</v>
      </c>
      <c r="J3824" s="10">
        <f ca="1" t="shared" si="178"/>
        <v>2</v>
      </c>
      <c r="K3824" s="10">
        <f ca="1" t="shared" si="179"/>
        <v>3</v>
      </c>
    </row>
    <row r="3825" ht="18" spans="1:11">
      <c r="A3825" s="14">
        <f t="shared" si="177"/>
        <v>3824</v>
      </c>
      <c r="B3825" s="11" t="s">
        <v>2618</v>
      </c>
      <c r="C3825" s="14" t="str">
        <f>IFERROR(INDEX(面试清单!D:D,MATCH(3824,面试清单!P:P,0)),"")</f>
        <v/>
      </c>
      <c r="D3825" s="11" t="s">
        <v>42</v>
      </c>
      <c r="E3825" s="11" t="s">
        <v>63</v>
      </c>
      <c r="F3825" s="11" t="s">
        <v>2250</v>
      </c>
      <c r="G3825" s="15">
        <v>46187</v>
      </c>
      <c r="H3825" s="14" t="str">
        <f>IFERROR(INDEX(面试清单!H:H,MATCH(3824,面试清单!P:P,0)),"")</f>
        <v/>
      </c>
      <c r="I3825" s="13" t="s">
        <v>30</v>
      </c>
      <c r="J3825" s="14">
        <f ca="1" t="shared" si="178"/>
        <v>2</v>
      </c>
      <c r="K3825" s="14">
        <f ca="1" t="shared" si="179"/>
        <v>3</v>
      </c>
    </row>
    <row r="3826" ht="18" spans="1:11">
      <c r="A3826" s="10">
        <f t="shared" si="177"/>
        <v>3825</v>
      </c>
      <c r="B3826" s="11" t="s">
        <v>3017</v>
      </c>
      <c r="C3826" s="10" t="str">
        <f>IFERROR(INDEX(面试清单!D:D,MATCH(3825,面试清单!P:P,0)),"")</f>
        <v/>
      </c>
      <c r="D3826" s="11" t="s">
        <v>43</v>
      </c>
      <c r="E3826" s="11" t="s">
        <v>62</v>
      </c>
      <c r="F3826" s="11" t="s">
        <v>2166</v>
      </c>
      <c r="G3826" s="15">
        <v>46187</v>
      </c>
      <c r="H3826" s="10" t="str">
        <f>IFERROR(INDEX(面试清单!H:H,MATCH(3825,面试清单!P:P,0)),"")</f>
        <v/>
      </c>
      <c r="I3826" s="13" t="s">
        <v>30</v>
      </c>
      <c r="J3826" s="10">
        <f ca="1" t="shared" si="178"/>
        <v>2</v>
      </c>
      <c r="K3826" s="10">
        <f ca="1" t="shared" si="179"/>
        <v>3</v>
      </c>
    </row>
    <row r="3827" ht="18" spans="1:11">
      <c r="A3827" s="14">
        <f t="shared" si="177"/>
        <v>3826</v>
      </c>
      <c r="B3827" s="11" t="s">
        <v>582</v>
      </c>
      <c r="C3827" s="14" t="str">
        <f>IFERROR(INDEX(面试清单!D:D,MATCH(3826,面试清单!P:P,0)),"")</f>
        <v/>
      </c>
      <c r="D3827" s="11" t="s">
        <v>42</v>
      </c>
      <c r="E3827" s="11" t="s">
        <v>63</v>
      </c>
      <c r="F3827" s="11" t="s">
        <v>148</v>
      </c>
      <c r="G3827" s="15">
        <v>46187</v>
      </c>
      <c r="H3827" s="14" t="str">
        <f>IFERROR(INDEX(面试清单!H:H,MATCH(3826,面试清单!P:P,0)),"")</f>
        <v/>
      </c>
      <c r="I3827" s="13" t="s">
        <v>30</v>
      </c>
      <c r="J3827" s="14">
        <f ca="1" t="shared" si="178"/>
        <v>2</v>
      </c>
      <c r="K3827" s="14">
        <f ca="1" t="shared" si="179"/>
        <v>3</v>
      </c>
    </row>
    <row r="3828" ht="18" spans="1:11">
      <c r="A3828" s="10">
        <f t="shared" si="177"/>
        <v>3827</v>
      </c>
      <c r="B3828" s="11" t="s">
        <v>3194</v>
      </c>
      <c r="C3828" s="10" t="str">
        <f>IFERROR(INDEX(面试清单!D:D,MATCH(3827,面试清单!P:P,0)),"")</f>
        <v/>
      </c>
      <c r="D3828" s="11" t="s">
        <v>42</v>
      </c>
      <c r="E3828" s="11" t="s">
        <v>63</v>
      </c>
      <c r="F3828" s="11" t="s">
        <v>2166</v>
      </c>
      <c r="G3828" s="15">
        <v>46187</v>
      </c>
      <c r="H3828" s="10" t="str">
        <f>IFERROR(INDEX(面试清单!H:H,MATCH(3827,面试清单!P:P,0)),"")</f>
        <v/>
      </c>
      <c r="I3828" s="13" t="s">
        <v>30</v>
      </c>
      <c r="J3828" s="10">
        <f ca="1" t="shared" si="178"/>
        <v>2</v>
      </c>
      <c r="K3828" s="10">
        <f ca="1" t="shared" si="179"/>
        <v>3</v>
      </c>
    </row>
    <row r="3829" ht="18" spans="1:11">
      <c r="A3829" s="14">
        <f t="shared" si="177"/>
        <v>3828</v>
      </c>
      <c r="B3829" s="11" t="s">
        <v>3191</v>
      </c>
      <c r="C3829" s="14" t="str">
        <f>IFERROR(INDEX(面试清单!D:D,MATCH(3828,面试清单!P:P,0)),"")</f>
        <v/>
      </c>
      <c r="D3829" s="11" t="s">
        <v>43</v>
      </c>
      <c r="E3829" s="11" t="s">
        <v>63</v>
      </c>
      <c r="F3829" s="11" t="s">
        <v>2164</v>
      </c>
      <c r="G3829" s="15">
        <v>46187</v>
      </c>
      <c r="H3829" s="14" t="str">
        <f>IFERROR(INDEX(面试清单!H:H,MATCH(3828,面试清单!P:P,0)),"")</f>
        <v/>
      </c>
      <c r="I3829" s="13" t="s">
        <v>30</v>
      </c>
      <c r="J3829" s="14">
        <f ca="1" t="shared" si="178"/>
        <v>2</v>
      </c>
      <c r="K3829" s="14">
        <f ca="1" t="shared" si="179"/>
        <v>3</v>
      </c>
    </row>
    <row r="3830" ht="18" spans="1:11">
      <c r="A3830" s="10">
        <f t="shared" si="177"/>
        <v>3829</v>
      </c>
      <c r="B3830" s="11" t="s">
        <v>2928</v>
      </c>
      <c r="C3830" s="10" t="str">
        <f>IFERROR(INDEX(面试清单!D:D,MATCH(3829,面试清单!P:P,0)),"")</f>
        <v/>
      </c>
      <c r="D3830" s="11" t="s">
        <v>42</v>
      </c>
      <c r="E3830" s="11" t="s">
        <v>63</v>
      </c>
      <c r="F3830" s="11" t="s">
        <v>148</v>
      </c>
      <c r="G3830" s="15">
        <v>46187</v>
      </c>
      <c r="H3830" s="10" t="str">
        <f>IFERROR(INDEX(面试清单!H:H,MATCH(3829,面试清单!P:P,0)),"")</f>
        <v/>
      </c>
      <c r="I3830" s="13" t="s">
        <v>30</v>
      </c>
      <c r="J3830" s="10">
        <f ca="1" t="shared" si="178"/>
        <v>2</v>
      </c>
      <c r="K3830" s="10">
        <f ca="1" t="shared" si="179"/>
        <v>3</v>
      </c>
    </row>
    <row r="3831" ht="18" spans="1:11">
      <c r="A3831" s="14">
        <f t="shared" si="177"/>
        <v>3830</v>
      </c>
      <c r="B3831" s="11" t="s">
        <v>1716</v>
      </c>
      <c r="C3831" s="14" t="str">
        <f>IFERROR(INDEX(面试清单!D:D,MATCH(3830,面试清单!P:P,0)),"")</f>
        <v/>
      </c>
      <c r="D3831" s="11" t="s">
        <v>43</v>
      </c>
      <c r="E3831" s="11" t="s">
        <v>63</v>
      </c>
      <c r="F3831" s="11" t="s">
        <v>148</v>
      </c>
      <c r="G3831" s="15">
        <v>46187</v>
      </c>
      <c r="H3831" s="14" t="str">
        <f>IFERROR(INDEX(面试清单!H:H,MATCH(3830,面试清单!P:P,0)),"")</f>
        <v/>
      </c>
      <c r="I3831" s="13" t="s">
        <v>30</v>
      </c>
      <c r="J3831" s="14">
        <f ca="1" t="shared" si="178"/>
        <v>2</v>
      </c>
      <c r="K3831" s="14">
        <f ca="1" t="shared" si="179"/>
        <v>3</v>
      </c>
    </row>
    <row r="3832" ht="18" spans="1:11">
      <c r="A3832" s="10">
        <f t="shared" si="177"/>
        <v>3831</v>
      </c>
      <c r="B3832" s="11" t="s">
        <v>3045</v>
      </c>
      <c r="C3832" s="10" t="str">
        <f>IFERROR(INDEX(面试清单!D:D,MATCH(3831,面试清单!P:P,0)),"")</f>
        <v/>
      </c>
      <c r="D3832" s="11" t="s">
        <v>43</v>
      </c>
      <c r="E3832" s="11" t="s">
        <v>62</v>
      </c>
      <c r="F3832" s="11" t="s">
        <v>2164</v>
      </c>
      <c r="G3832" s="15">
        <v>46187</v>
      </c>
      <c r="H3832" s="10" t="str">
        <f>IFERROR(INDEX(面试清单!H:H,MATCH(3831,面试清单!P:P,0)),"")</f>
        <v/>
      </c>
      <c r="I3832" s="13" t="s">
        <v>30</v>
      </c>
      <c r="J3832" s="10">
        <f ca="1" t="shared" si="178"/>
        <v>2</v>
      </c>
      <c r="K3832" s="10">
        <f ca="1" t="shared" si="179"/>
        <v>3</v>
      </c>
    </row>
    <row r="3833" spans="1:11">
      <c r="A3833" s="14" t="str">
        <f t="shared" si="177"/>
        <v/>
      </c>
      <c r="C3833" s="14" t="str">
        <f>IFERROR(INDEX(面试清单!D:D,MATCH(3832,面试清单!P:P,0)),"")</f>
        <v/>
      </c>
      <c r="H3833" s="14" t="str">
        <f>IFERROR(INDEX(面试清单!H:H,MATCH(3832,面试清单!P:P,0)),"")</f>
        <v/>
      </c>
      <c r="J3833" s="14" t="str">
        <f ca="1" t="shared" si="178"/>
        <v/>
      </c>
      <c r="K3833" s="14" t="str">
        <f ca="1" t="shared" si="179"/>
        <v/>
      </c>
    </row>
    <row r="3834" spans="1:11">
      <c r="A3834" s="10" t="str">
        <f t="shared" si="177"/>
        <v/>
      </c>
      <c r="C3834" s="10" t="str">
        <f>IFERROR(INDEX(面试清单!D:D,MATCH(3833,面试清单!P:P,0)),"")</f>
        <v/>
      </c>
      <c r="H3834" s="10" t="str">
        <f>IFERROR(INDEX(面试清单!H:H,MATCH(3833,面试清单!P:P,0)),"")</f>
        <v/>
      </c>
      <c r="J3834" s="10" t="str">
        <f ca="1" t="shared" si="178"/>
        <v/>
      </c>
      <c r="K3834" s="10" t="str">
        <f ca="1" t="shared" si="179"/>
        <v/>
      </c>
    </row>
    <row r="3835" spans="1:11">
      <c r="A3835" s="14" t="str">
        <f t="shared" si="177"/>
        <v/>
      </c>
      <c r="C3835" s="14" t="str">
        <f>IFERROR(INDEX(面试清单!D:D,MATCH(3834,面试清单!P:P,0)),"")</f>
        <v/>
      </c>
      <c r="H3835" s="14" t="str">
        <f>IFERROR(INDEX(面试清单!H:H,MATCH(3834,面试清单!P:P,0)),"")</f>
        <v/>
      </c>
      <c r="J3835" s="14" t="str">
        <f ca="1" t="shared" si="178"/>
        <v/>
      </c>
      <c r="K3835" s="14" t="str">
        <f ca="1" t="shared" si="179"/>
        <v/>
      </c>
    </row>
    <row r="3836" spans="1:11">
      <c r="A3836" s="10" t="str">
        <f t="shared" si="177"/>
        <v/>
      </c>
      <c r="C3836" s="10" t="str">
        <f>IFERROR(INDEX(面试清单!D:D,MATCH(3835,面试清单!P:P,0)),"")</f>
        <v/>
      </c>
      <c r="H3836" s="10" t="str">
        <f>IFERROR(INDEX(面试清单!H:H,MATCH(3835,面试清单!P:P,0)),"")</f>
        <v/>
      </c>
      <c r="J3836" s="10" t="str">
        <f ca="1" t="shared" si="178"/>
        <v/>
      </c>
      <c r="K3836" s="10" t="str">
        <f ca="1" t="shared" si="179"/>
        <v/>
      </c>
    </row>
    <row r="3837" spans="1:11">
      <c r="A3837" s="14" t="str">
        <f t="shared" si="177"/>
        <v/>
      </c>
      <c r="C3837" s="14" t="str">
        <f>IFERROR(INDEX(面试清单!D:D,MATCH(3836,面试清单!P:P,0)),"")</f>
        <v/>
      </c>
      <c r="H3837" s="14" t="str">
        <f>IFERROR(INDEX(面试清单!H:H,MATCH(3836,面试清单!P:P,0)),"")</f>
        <v/>
      </c>
      <c r="J3837" s="14" t="str">
        <f ca="1" t="shared" si="178"/>
        <v/>
      </c>
      <c r="K3837" s="14" t="str">
        <f ca="1" t="shared" si="179"/>
        <v/>
      </c>
    </row>
    <row r="3838" spans="1:11">
      <c r="A3838" s="10" t="str">
        <f t="shared" si="177"/>
        <v/>
      </c>
      <c r="C3838" s="10" t="str">
        <f>IFERROR(INDEX(面试清单!D:D,MATCH(3837,面试清单!P:P,0)),"")</f>
        <v/>
      </c>
      <c r="H3838" s="10" t="str">
        <f>IFERROR(INDEX(面试清单!H:H,MATCH(3837,面试清单!P:P,0)),"")</f>
        <v/>
      </c>
      <c r="J3838" s="10" t="str">
        <f ca="1" t="shared" si="178"/>
        <v/>
      </c>
      <c r="K3838" s="10" t="str">
        <f ca="1" t="shared" si="179"/>
        <v/>
      </c>
    </row>
    <row r="3839" spans="1:11">
      <c r="A3839" s="14" t="str">
        <f t="shared" si="177"/>
        <v/>
      </c>
      <c r="C3839" s="14" t="str">
        <f>IFERROR(INDEX(面试清单!D:D,MATCH(3838,面试清单!P:P,0)),"")</f>
        <v/>
      </c>
      <c r="H3839" s="14" t="str">
        <f>IFERROR(INDEX(面试清单!H:H,MATCH(3838,面试清单!P:P,0)),"")</f>
        <v/>
      </c>
      <c r="J3839" s="14" t="str">
        <f ca="1" t="shared" si="178"/>
        <v/>
      </c>
      <c r="K3839" s="14" t="str">
        <f ca="1" t="shared" si="179"/>
        <v/>
      </c>
    </row>
    <row r="3840" spans="1:11">
      <c r="A3840" s="10" t="str">
        <f t="shared" si="177"/>
        <v/>
      </c>
      <c r="C3840" s="10" t="str">
        <f>IFERROR(INDEX(面试清单!D:D,MATCH(3839,面试清单!P:P,0)),"")</f>
        <v/>
      </c>
      <c r="H3840" s="10" t="str">
        <f>IFERROR(INDEX(面试清单!H:H,MATCH(3839,面试清单!P:P,0)),"")</f>
        <v/>
      </c>
      <c r="J3840" s="10" t="str">
        <f ca="1" t="shared" si="178"/>
        <v/>
      </c>
      <c r="K3840" s="10" t="str">
        <f ca="1" t="shared" si="179"/>
        <v/>
      </c>
    </row>
    <row r="3841" spans="1:11">
      <c r="A3841" s="14" t="str">
        <f t="shared" si="177"/>
        <v/>
      </c>
      <c r="C3841" s="14" t="str">
        <f>IFERROR(INDEX(面试清单!D:D,MATCH(3840,面试清单!P:P,0)),"")</f>
        <v/>
      </c>
      <c r="H3841" s="14" t="str">
        <f>IFERROR(INDEX(面试清单!H:H,MATCH(3840,面试清单!P:P,0)),"")</f>
        <v/>
      </c>
      <c r="J3841" s="14" t="str">
        <f ca="1" t="shared" si="178"/>
        <v/>
      </c>
      <c r="K3841" s="14" t="str">
        <f ca="1" t="shared" si="179"/>
        <v/>
      </c>
    </row>
    <row r="3842" spans="1:11">
      <c r="A3842" s="10" t="str">
        <f t="shared" ref="A3842:A3905" si="180">IF(B3842&lt;&gt;"",ROW()-1,"")</f>
        <v/>
      </c>
      <c r="C3842" s="10" t="str">
        <f>IFERROR(INDEX(面试清单!D:D,MATCH(3841,面试清单!P:P,0)),"")</f>
        <v/>
      </c>
      <c r="H3842" s="10" t="str">
        <f>IFERROR(INDEX(面试清单!H:H,MATCH(3841,面试清单!P:P,0)),"")</f>
        <v/>
      </c>
      <c r="J3842" s="10" t="str">
        <f ca="1" t="shared" ref="J3842:J3905" si="181">IF(G3842&lt;&gt;"",TODAY()-G3842,"")</f>
        <v/>
      </c>
      <c r="K3842" s="10" t="str">
        <f ca="1" t="shared" ref="K3842:K3905" si="182">IF(G3842&lt;&gt;"",MAX(0,MIN(TODAY(),EOMONTH(TODAY(),0))-MAX(G3842,EOMONTH(TODAY(),-1)+1)+1),"")</f>
        <v/>
      </c>
    </row>
    <row r="3843" spans="1:11">
      <c r="A3843" s="14" t="str">
        <f t="shared" si="180"/>
        <v/>
      </c>
      <c r="C3843" s="14" t="str">
        <f>IFERROR(INDEX(面试清单!D:D,MATCH(3842,面试清单!P:P,0)),"")</f>
        <v/>
      </c>
      <c r="H3843" s="14" t="str">
        <f>IFERROR(INDEX(面试清单!H:H,MATCH(3842,面试清单!P:P,0)),"")</f>
        <v/>
      </c>
      <c r="J3843" s="14" t="str">
        <f ca="1" t="shared" si="181"/>
        <v/>
      </c>
      <c r="K3843" s="14" t="str">
        <f ca="1" t="shared" si="182"/>
        <v/>
      </c>
    </row>
    <row r="3844" spans="1:11">
      <c r="A3844" s="10" t="str">
        <f t="shared" si="180"/>
        <v/>
      </c>
      <c r="C3844" s="10" t="str">
        <f>IFERROR(INDEX(面试清单!D:D,MATCH(3843,面试清单!P:P,0)),"")</f>
        <v/>
      </c>
      <c r="H3844" s="10" t="str">
        <f>IFERROR(INDEX(面试清单!H:H,MATCH(3843,面试清单!P:P,0)),"")</f>
        <v/>
      </c>
      <c r="J3844" s="10" t="str">
        <f ca="1" t="shared" si="181"/>
        <v/>
      </c>
      <c r="K3844" s="10" t="str">
        <f ca="1" t="shared" si="182"/>
        <v/>
      </c>
    </row>
    <row r="3845" spans="1:11">
      <c r="A3845" s="14" t="str">
        <f t="shared" si="180"/>
        <v/>
      </c>
      <c r="C3845" s="14" t="str">
        <f>IFERROR(INDEX(面试清单!D:D,MATCH(3844,面试清单!P:P,0)),"")</f>
        <v/>
      </c>
      <c r="H3845" s="14" t="str">
        <f>IFERROR(INDEX(面试清单!H:H,MATCH(3844,面试清单!P:P,0)),"")</f>
        <v/>
      </c>
      <c r="J3845" s="14" t="str">
        <f ca="1" t="shared" si="181"/>
        <v/>
      </c>
      <c r="K3845" s="14" t="str">
        <f ca="1" t="shared" si="182"/>
        <v/>
      </c>
    </row>
    <row r="3846" spans="1:11">
      <c r="A3846" s="10" t="str">
        <f t="shared" si="180"/>
        <v/>
      </c>
      <c r="C3846" s="10" t="str">
        <f>IFERROR(INDEX(面试清单!D:D,MATCH(3845,面试清单!P:P,0)),"")</f>
        <v/>
      </c>
      <c r="H3846" s="10" t="str">
        <f>IFERROR(INDEX(面试清单!H:H,MATCH(3845,面试清单!P:P,0)),"")</f>
        <v/>
      </c>
      <c r="J3846" s="10" t="str">
        <f ca="1" t="shared" si="181"/>
        <v/>
      </c>
      <c r="K3846" s="10" t="str">
        <f ca="1" t="shared" si="182"/>
        <v/>
      </c>
    </row>
    <row r="3847" spans="1:11">
      <c r="A3847" s="14" t="str">
        <f t="shared" si="180"/>
        <v/>
      </c>
      <c r="C3847" s="14" t="str">
        <f>IFERROR(INDEX(面试清单!D:D,MATCH(3846,面试清单!P:P,0)),"")</f>
        <v/>
      </c>
      <c r="H3847" s="14" t="str">
        <f>IFERROR(INDEX(面试清单!H:H,MATCH(3846,面试清单!P:P,0)),"")</f>
        <v/>
      </c>
      <c r="J3847" s="14" t="str">
        <f ca="1" t="shared" si="181"/>
        <v/>
      </c>
      <c r="K3847" s="14" t="str">
        <f ca="1" t="shared" si="182"/>
        <v/>
      </c>
    </row>
    <row r="3848" spans="1:11">
      <c r="A3848" s="10" t="str">
        <f t="shared" si="180"/>
        <v/>
      </c>
      <c r="C3848" s="10" t="str">
        <f>IFERROR(INDEX(面试清单!D:D,MATCH(3847,面试清单!P:P,0)),"")</f>
        <v/>
      </c>
      <c r="H3848" s="10" t="str">
        <f>IFERROR(INDEX(面试清单!H:H,MATCH(3847,面试清单!P:P,0)),"")</f>
        <v/>
      </c>
      <c r="J3848" s="10" t="str">
        <f ca="1" t="shared" si="181"/>
        <v/>
      </c>
      <c r="K3848" s="10" t="str">
        <f ca="1" t="shared" si="182"/>
        <v/>
      </c>
    </row>
    <row r="3849" spans="1:11">
      <c r="A3849" s="14" t="str">
        <f t="shared" si="180"/>
        <v/>
      </c>
      <c r="C3849" s="14" t="str">
        <f>IFERROR(INDEX(面试清单!D:D,MATCH(3848,面试清单!P:P,0)),"")</f>
        <v/>
      </c>
      <c r="H3849" s="14" t="str">
        <f>IFERROR(INDEX(面试清单!H:H,MATCH(3848,面试清单!P:P,0)),"")</f>
        <v/>
      </c>
      <c r="J3849" s="14" t="str">
        <f ca="1" t="shared" si="181"/>
        <v/>
      </c>
      <c r="K3849" s="14" t="str">
        <f ca="1" t="shared" si="182"/>
        <v/>
      </c>
    </row>
    <row r="3850" spans="1:11">
      <c r="A3850" s="10" t="str">
        <f t="shared" si="180"/>
        <v/>
      </c>
      <c r="C3850" s="10" t="str">
        <f>IFERROR(INDEX(面试清单!D:D,MATCH(3849,面试清单!P:P,0)),"")</f>
        <v/>
      </c>
      <c r="H3850" s="10" t="str">
        <f>IFERROR(INDEX(面试清单!H:H,MATCH(3849,面试清单!P:P,0)),"")</f>
        <v/>
      </c>
      <c r="J3850" s="10" t="str">
        <f ca="1" t="shared" si="181"/>
        <v/>
      </c>
      <c r="K3850" s="10" t="str">
        <f ca="1" t="shared" si="182"/>
        <v/>
      </c>
    </row>
    <row r="3851" spans="1:11">
      <c r="A3851" s="14" t="str">
        <f t="shared" si="180"/>
        <v/>
      </c>
      <c r="C3851" s="14" t="str">
        <f>IFERROR(INDEX(面试清单!D:D,MATCH(3850,面试清单!P:P,0)),"")</f>
        <v/>
      </c>
      <c r="H3851" s="14" t="str">
        <f>IFERROR(INDEX(面试清单!H:H,MATCH(3850,面试清单!P:P,0)),"")</f>
        <v/>
      </c>
      <c r="J3851" s="14" t="str">
        <f ca="1" t="shared" si="181"/>
        <v/>
      </c>
      <c r="K3851" s="14" t="str">
        <f ca="1" t="shared" si="182"/>
        <v/>
      </c>
    </row>
    <row r="3852" spans="1:11">
      <c r="A3852" s="10" t="str">
        <f t="shared" si="180"/>
        <v/>
      </c>
      <c r="C3852" s="10" t="str">
        <f>IFERROR(INDEX(面试清单!D:D,MATCH(3851,面试清单!P:P,0)),"")</f>
        <v/>
      </c>
      <c r="H3852" s="10" t="str">
        <f>IFERROR(INDEX(面试清单!H:H,MATCH(3851,面试清单!P:P,0)),"")</f>
        <v/>
      </c>
      <c r="J3852" s="10" t="str">
        <f ca="1" t="shared" si="181"/>
        <v/>
      </c>
      <c r="K3852" s="10" t="str">
        <f ca="1" t="shared" si="182"/>
        <v/>
      </c>
    </row>
    <row r="3853" spans="1:11">
      <c r="A3853" s="14" t="str">
        <f t="shared" si="180"/>
        <v/>
      </c>
      <c r="C3853" s="14" t="str">
        <f>IFERROR(INDEX(面试清单!D:D,MATCH(3852,面试清单!P:P,0)),"")</f>
        <v/>
      </c>
      <c r="H3853" s="14" t="str">
        <f>IFERROR(INDEX(面试清单!H:H,MATCH(3852,面试清单!P:P,0)),"")</f>
        <v/>
      </c>
      <c r="J3853" s="14" t="str">
        <f ca="1" t="shared" si="181"/>
        <v/>
      </c>
      <c r="K3853" s="14" t="str">
        <f ca="1" t="shared" si="182"/>
        <v/>
      </c>
    </row>
    <row r="3854" spans="1:11">
      <c r="A3854" s="10" t="str">
        <f t="shared" si="180"/>
        <v/>
      </c>
      <c r="C3854" s="10" t="str">
        <f>IFERROR(INDEX(面试清单!D:D,MATCH(3853,面试清单!P:P,0)),"")</f>
        <v/>
      </c>
      <c r="H3854" s="10" t="str">
        <f>IFERROR(INDEX(面试清单!H:H,MATCH(3853,面试清单!P:P,0)),"")</f>
        <v/>
      </c>
      <c r="J3854" s="10" t="str">
        <f ca="1" t="shared" si="181"/>
        <v/>
      </c>
      <c r="K3854" s="10" t="str">
        <f ca="1" t="shared" si="182"/>
        <v/>
      </c>
    </row>
    <row r="3855" spans="1:11">
      <c r="A3855" s="14" t="str">
        <f t="shared" si="180"/>
        <v/>
      </c>
      <c r="C3855" s="14" t="str">
        <f>IFERROR(INDEX(面试清单!D:D,MATCH(3854,面试清单!P:P,0)),"")</f>
        <v/>
      </c>
      <c r="H3855" s="14" t="str">
        <f>IFERROR(INDEX(面试清单!H:H,MATCH(3854,面试清单!P:P,0)),"")</f>
        <v/>
      </c>
      <c r="J3855" s="14" t="str">
        <f ca="1" t="shared" si="181"/>
        <v/>
      </c>
      <c r="K3855" s="14" t="str">
        <f ca="1" t="shared" si="182"/>
        <v/>
      </c>
    </row>
    <row r="3856" spans="1:11">
      <c r="A3856" s="10" t="str">
        <f t="shared" si="180"/>
        <v/>
      </c>
      <c r="C3856" s="10" t="str">
        <f>IFERROR(INDEX(面试清单!D:D,MATCH(3855,面试清单!P:P,0)),"")</f>
        <v/>
      </c>
      <c r="H3856" s="10" t="str">
        <f>IFERROR(INDEX(面试清单!H:H,MATCH(3855,面试清单!P:P,0)),"")</f>
        <v/>
      </c>
      <c r="J3856" s="10" t="str">
        <f ca="1" t="shared" si="181"/>
        <v/>
      </c>
      <c r="K3856" s="10" t="str">
        <f ca="1" t="shared" si="182"/>
        <v/>
      </c>
    </row>
    <row r="3857" spans="1:11">
      <c r="A3857" s="14" t="str">
        <f t="shared" si="180"/>
        <v/>
      </c>
      <c r="C3857" s="14" t="str">
        <f>IFERROR(INDEX(面试清单!D:D,MATCH(3856,面试清单!P:P,0)),"")</f>
        <v/>
      </c>
      <c r="H3857" s="14" t="str">
        <f>IFERROR(INDEX(面试清单!H:H,MATCH(3856,面试清单!P:P,0)),"")</f>
        <v/>
      </c>
      <c r="J3857" s="14" t="str">
        <f ca="1" t="shared" si="181"/>
        <v/>
      </c>
      <c r="K3857" s="14" t="str">
        <f ca="1" t="shared" si="182"/>
        <v/>
      </c>
    </row>
    <row r="3858" spans="1:11">
      <c r="A3858" s="10" t="str">
        <f t="shared" si="180"/>
        <v/>
      </c>
      <c r="C3858" s="10" t="str">
        <f>IFERROR(INDEX(面试清单!D:D,MATCH(3857,面试清单!P:P,0)),"")</f>
        <v/>
      </c>
      <c r="H3858" s="10" t="str">
        <f>IFERROR(INDEX(面试清单!H:H,MATCH(3857,面试清单!P:P,0)),"")</f>
        <v/>
      </c>
      <c r="J3858" s="10" t="str">
        <f ca="1" t="shared" si="181"/>
        <v/>
      </c>
      <c r="K3858" s="10" t="str">
        <f ca="1" t="shared" si="182"/>
        <v/>
      </c>
    </row>
    <row r="3859" spans="1:11">
      <c r="A3859" s="14" t="str">
        <f t="shared" si="180"/>
        <v/>
      </c>
      <c r="C3859" s="14" t="str">
        <f>IFERROR(INDEX(面试清单!D:D,MATCH(3858,面试清单!P:P,0)),"")</f>
        <v/>
      </c>
      <c r="H3859" s="14" t="str">
        <f>IFERROR(INDEX(面试清单!H:H,MATCH(3858,面试清单!P:P,0)),"")</f>
        <v/>
      </c>
      <c r="J3859" s="14" t="str">
        <f ca="1" t="shared" si="181"/>
        <v/>
      </c>
      <c r="K3859" s="14" t="str">
        <f ca="1" t="shared" si="182"/>
        <v/>
      </c>
    </row>
    <row r="3860" spans="1:11">
      <c r="A3860" s="10" t="str">
        <f t="shared" si="180"/>
        <v/>
      </c>
      <c r="C3860" s="10" t="str">
        <f>IFERROR(INDEX(面试清单!D:D,MATCH(3859,面试清单!P:P,0)),"")</f>
        <v/>
      </c>
      <c r="H3860" s="10" t="str">
        <f>IFERROR(INDEX(面试清单!H:H,MATCH(3859,面试清单!P:P,0)),"")</f>
        <v/>
      </c>
      <c r="J3860" s="10" t="str">
        <f ca="1" t="shared" si="181"/>
        <v/>
      </c>
      <c r="K3860" s="10" t="str">
        <f ca="1" t="shared" si="182"/>
        <v/>
      </c>
    </row>
    <row r="3861" spans="1:11">
      <c r="A3861" s="14" t="str">
        <f t="shared" si="180"/>
        <v/>
      </c>
      <c r="C3861" s="14" t="str">
        <f>IFERROR(INDEX(面试清单!D:D,MATCH(3860,面试清单!P:P,0)),"")</f>
        <v/>
      </c>
      <c r="H3861" s="14" t="str">
        <f>IFERROR(INDEX(面试清单!H:H,MATCH(3860,面试清单!P:P,0)),"")</f>
        <v/>
      </c>
      <c r="J3861" s="14" t="str">
        <f ca="1" t="shared" si="181"/>
        <v/>
      </c>
      <c r="K3861" s="14" t="str">
        <f ca="1" t="shared" si="182"/>
        <v/>
      </c>
    </row>
    <row r="3862" spans="1:11">
      <c r="A3862" s="10" t="str">
        <f t="shared" si="180"/>
        <v/>
      </c>
      <c r="C3862" s="10" t="str">
        <f>IFERROR(INDEX(面试清单!D:D,MATCH(3861,面试清单!P:P,0)),"")</f>
        <v/>
      </c>
      <c r="H3862" s="10" t="str">
        <f>IFERROR(INDEX(面试清单!H:H,MATCH(3861,面试清单!P:P,0)),"")</f>
        <v/>
      </c>
      <c r="J3862" s="10" t="str">
        <f ca="1" t="shared" si="181"/>
        <v/>
      </c>
      <c r="K3862" s="10" t="str">
        <f ca="1" t="shared" si="182"/>
        <v/>
      </c>
    </row>
    <row r="3863" spans="1:11">
      <c r="A3863" s="14" t="str">
        <f t="shared" si="180"/>
        <v/>
      </c>
      <c r="C3863" s="14" t="str">
        <f>IFERROR(INDEX(面试清单!D:D,MATCH(3862,面试清单!P:P,0)),"")</f>
        <v/>
      </c>
      <c r="H3863" s="14" t="str">
        <f>IFERROR(INDEX(面试清单!H:H,MATCH(3862,面试清单!P:P,0)),"")</f>
        <v/>
      </c>
      <c r="J3863" s="14" t="str">
        <f ca="1" t="shared" si="181"/>
        <v/>
      </c>
      <c r="K3863" s="14" t="str">
        <f ca="1" t="shared" si="182"/>
        <v/>
      </c>
    </row>
    <row r="3864" spans="1:11">
      <c r="A3864" s="10" t="str">
        <f t="shared" si="180"/>
        <v/>
      </c>
      <c r="C3864" s="10" t="str">
        <f>IFERROR(INDEX(面试清单!D:D,MATCH(3863,面试清单!P:P,0)),"")</f>
        <v/>
      </c>
      <c r="H3864" s="10" t="str">
        <f>IFERROR(INDEX(面试清单!H:H,MATCH(3863,面试清单!P:P,0)),"")</f>
        <v/>
      </c>
      <c r="J3864" s="10" t="str">
        <f ca="1" t="shared" si="181"/>
        <v/>
      </c>
      <c r="K3864" s="10" t="str">
        <f ca="1" t="shared" si="182"/>
        <v/>
      </c>
    </row>
    <row r="3865" spans="1:11">
      <c r="A3865" s="14" t="str">
        <f t="shared" si="180"/>
        <v/>
      </c>
      <c r="C3865" s="14" t="str">
        <f>IFERROR(INDEX(面试清单!D:D,MATCH(3864,面试清单!P:P,0)),"")</f>
        <v/>
      </c>
      <c r="H3865" s="14" t="str">
        <f>IFERROR(INDEX(面试清单!H:H,MATCH(3864,面试清单!P:P,0)),"")</f>
        <v/>
      </c>
      <c r="J3865" s="14" t="str">
        <f ca="1" t="shared" si="181"/>
        <v/>
      </c>
      <c r="K3865" s="14" t="str">
        <f ca="1" t="shared" si="182"/>
        <v/>
      </c>
    </row>
    <row r="3866" spans="1:11">
      <c r="A3866" s="10" t="str">
        <f t="shared" si="180"/>
        <v/>
      </c>
      <c r="C3866" s="10" t="str">
        <f>IFERROR(INDEX(面试清单!D:D,MATCH(3865,面试清单!P:P,0)),"")</f>
        <v/>
      </c>
      <c r="H3866" s="10" t="str">
        <f>IFERROR(INDEX(面试清单!H:H,MATCH(3865,面试清单!P:P,0)),"")</f>
        <v/>
      </c>
      <c r="J3866" s="10" t="str">
        <f ca="1" t="shared" si="181"/>
        <v/>
      </c>
      <c r="K3866" s="10" t="str">
        <f ca="1" t="shared" si="182"/>
        <v/>
      </c>
    </row>
    <row r="3867" spans="1:11">
      <c r="A3867" s="14" t="str">
        <f t="shared" si="180"/>
        <v/>
      </c>
      <c r="C3867" s="14" t="str">
        <f>IFERROR(INDEX(面试清单!D:D,MATCH(3866,面试清单!P:P,0)),"")</f>
        <v/>
      </c>
      <c r="H3867" s="14" t="str">
        <f>IFERROR(INDEX(面试清单!H:H,MATCH(3866,面试清单!P:P,0)),"")</f>
        <v/>
      </c>
      <c r="J3867" s="14" t="str">
        <f ca="1" t="shared" si="181"/>
        <v/>
      </c>
      <c r="K3867" s="14" t="str">
        <f ca="1" t="shared" si="182"/>
        <v/>
      </c>
    </row>
    <row r="3868" spans="1:11">
      <c r="A3868" s="10" t="str">
        <f t="shared" si="180"/>
        <v/>
      </c>
      <c r="C3868" s="10" t="str">
        <f>IFERROR(INDEX(面试清单!D:D,MATCH(3867,面试清单!P:P,0)),"")</f>
        <v/>
      </c>
      <c r="H3868" s="10" t="str">
        <f>IFERROR(INDEX(面试清单!H:H,MATCH(3867,面试清单!P:P,0)),"")</f>
        <v/>
      </c>
      <c r="J3868" s="10" t="str">
        <f ca="1" t="shared" si="181"/>
        <v/>
      </c>
      <c r="K3868" s="10" t="str">
        <f ca="1" t="shared" si="182"/>
        <v/>
      </c>
    </row>
    <row r="3869" spans="1:11">
      <c r="A3869" s="14" t="str">
        <f t="shared" si="180"/>
        <v/>
      </c>
      <c r="C3869" s="14" t="str">
        <f>IFERROR(INDEX(面试清单!D:D,MATCH(3868,面试清单!P:P,0)),"")</f>
        <v/>
      </c>
      <c r="H3869" s="14" t="str">
        <f>IFERROR(INDEX(面试清单!H:H,MATCH(3868,面试清单!P:P,0)),"")</f>
        <v/>
      </c>
      <c r="J3869" s="14" t="str">
        <f ca="1" t="shared" si="181"/>
        <v/>
      </c>
      <c r="K3869" s="14" t="str">
        <f ca="1" t="shared" si="182"/>
        <v/>
      </c>
    </row>
    <row r="3870" spans="1:11">
      <c r="A3870" s="10" t="str">
        <f t="shared" si="180"/>
        <v/>
      </c>
      <c r="C3870" s="10" t="str">
        <f>IFERROR(INDEX(面试清单!D:D,MATCH(3869,面试清单!P:P,0)),"")</f>
        <v/>
      </c>
      <c r="H3870" s="10" t="str">
        <f>IFERROR(INDEX(面试清单!H:H,MATCH(3869,面试清单!P:P,0)),"")</f>
        <v/>
      </c>
      <c r="J3870" s="10" t="str">
        <f ca="1" t="shared" si="181"/>
        <v/>
      </c>
      <c r="K3870" s="10" t="str">
        <f ca="1" t="shared" si="182"/>
        <v/>
      </c>
    </row>
    <row r="3871" spans="1:11">
      <c r="A3871" s="14" t="str">
        <f t="shared" si="180"/>
        <v/>
      </c>
      <c r="C3871" s="14" t="str">
        <f>IFERROR(INDEX(面试清单!D:D,MATCH(3870,面试清单!P:P,0)),"")</f>
        <v/>
      </c>
      <c r="H3871" s="14" t="str">
        <f>IFERROR(INDEX(面试清单!H:H,MATCH(3870,面试清单!P:P,0)),"")</f>
        <v/>
      </c>
      <c r="J3871" s="14" t="str">
        <f ca="1" t="shared" si="181"/>
        <v/>
      </c>
      <c r="K3871" s="14" t="str">
        <f ca="1" t="shared" si="182"/>
        <v/>
      </c>
    </row>
    <row r="3872" spans="1:11">
      <c r="A3872" s="10" t="str">
        <f t="shared" si="180"/>
        <v/>
      </c>
      <c r="C3872" s="10" t="str">
        <f>IFERROR(INDEX(面试清单!D:D,MATCH(3871,面试清单!P:P,0)),"")</f>
        <v/>
      </c>
      <c r="H3872" s="10" t="str">
        <f>IFERROR(INDEX(面试清单!H:H,MATCH(3871,面试清单!P:P,0)),"")</f>
        <v/>
      </c>
      <c r="J3872" s="10" t="str">
        <f ca="1" t="shared" si="181"/>
        <v/>
      </c>
      <c r="K3872" s="10" t="str">
        <f ca="1" t="shared" si="182"/>
        <v/>
      </c>
    </row>
    <row r="3873" spans="1:11">
      <c r="A3873" s="14" t="str">
        <f t="shared" si="180"/>
        <v/>
      </c>
      <c r="C3873" s="14" t="str">
        <f>IFERROR(INDEX(面试清单!D:D,MATCH(3872,面试清单!P:P,0)),"")</f>
        <v/>
      </c>
      <c r="H3873" s="14" t="str">
        <f>IFERROR(INDEX(面试清单!H:H,MATCH(3872,面试清单!P:P,0)),"")</f>
        <v/>
      </c>
      <c r="J3873" s="14" t="str">
        <f ca="1" t="shared" si="181"/>
        <v/>
      </c>
      <c r="K3873" s="14" t="str">
        <f ca="1" t="shared" si="182"/>
        <v/>
      </c>
    </row>
    <row r="3874" spans="1:11">
      <c r="A3874" s="10" t="str">
        <f t="shared" si="180"/>
        <v/>
      </c>
      <c r="C3874" s="10" t="str">
        <f>IFERROR(INDEX(面试清单!D:D,MATCH(3873,面试清单!P:P,0)),"")</f>
        <v/>
      </c>
      <c r="H3874" s="10" t="str">
        <f>IFERROR(INDEX(面试清单!H:H,MATCH(3873,面试清单!P:P,0)),"")</f>
        <v/>
      </c>
      <c r="J3874" s="10" t="str">
        <f ca="1" t="shared" si="181"/>
        <v/>
      </c>
      <c r="K3874" s="10" t="str">
        <f ca="1" t="shared" si="182"/>
        <v/>
      </c>
    </row>
    <row r="3875" spans="1:11">
      <c r="A3875" s="14" t="str">
        <f t="shared" si="180"/>
        <v/>
      </c>
      <c r="C3875" s="14" t="str">
        <f>IFERROR(INDEX(面试清单!D:D,MATCH(3874,面试清单!P:P,0)),"")</f>
        <v/>
      </c>
      <c r="H3875" s="14" t="str">
        <f>IFERROR(INDEX(面试清单!H:H,MATCH(3874,面试清单!P:P,0)),"")</f>
        <v/>
      </c>
      <c r="J3875" s="14" t="str">
        <f ca="1" t="shared" si="181"/>
        <v/>
      </c>
      <c r="K3875" s="14" t="str">
        <f ca="1" t="shared" si="182"/>
        <v/>
      </c>
    </row>
    <row r="3876" spans="1:11">
      <c r="A3876" s="10" t="str">
        <f t="shared" si="180"/>
        <v/>
      </c>
      <c r="C3876" s="10" t="str">
        <f>IFERROR(INDEX(面试清单!D:D,MATCH(3875,面试清单!P:P,0)),"")</f>
        <v/>
      </c>
      <c r="H3876" s="10" t="str">
        <f>IFERROR(INDEX(面试清单!H:H,MATCH(3875,面试清单!P:P,0)),"")</f>
        <v/>
      </c>
      <c r="J3876" s="10" t="str">
        <f ca="1" t="shared" si="181"/>
        <v/>
      </c>
      <c r="K3876" s="10" t="str">
        <f ca="1" t="shared" si="182"/>
        <v/>
      </c>
    </row>
    <row r="3877" spans="1:11">
      <c r="A3877" s="14" t="str">
        <f t="shared" si="180"/>
        <v/>
      </c>
      <c r="C3877" s="14" t="str">
        <f>IFERROR(INDEX(面试清单!D:D,MATCH(3876,面试清单!P:P,0)),"")</f>
        <v/>
      </c>
      <c r="H3877" s="14" t="str">
        <f>IFERROR(INDEX(面试清单!H:H,MATCH(3876,面试清单!P:P,0)),"")</f>
        <v/>
      </c>
      <c r="J3877" s="14" t="str">
        <f ca="1" t="shared" si="181"/>
        <v/>
      </c>
      <c r="K3877" s="14" t="str">
        <f ca="1" t="shared" si="182"/>
        <v/>
      </c>
    </row>
    <row r="3878" spans="1:11">
      <c r="A3878" s="10" t="str">
        <f t="shared" si="180"/>
        <v/>
      </c>
      <c r="C3878" s="10" t="str">
        <f>IFERROR(INDEX(面试清单!D:D,MATCH(3877,面试清单!P:P,0)),"")</f>
        <v/>
      </c>
      <c r="H3878" s="10" t="str">
        <f>IFERROR(INDEX(面试清单!H:H,MATCH(3877,面试清单!P:P,0)),"")</f>
        <v/>
      </c>
      <c r="J3878" s="10" t="str">
        <f ca="1" t="shared" si="181"/>
        <v/>
      </c>
      <c r="K3878" s="10" t="str">
        <f ca="1" t="shared" si="182"/>
        <v/>
      </c>
    </row>
    <row r="3879" spans="1:11">
      <c r="A3879" s="14" t="str">
        <f t="shared" si="180"/>
        <v/>
      </c>
      <c r="C3879" s="14" t="str">
        <f>IFERROR(INDEX(面试清单!D:D,MATCH(3878,面试清单!P:P,0)),"")</f>
        <v/>
      </c>
      <c r="H3879" s="14" t="str">
        <f>IFERROR(INDEX(面试清单!H:H,MATCH(3878,面试清单!P:P,0)),"")</f>
        <v/>
      </c>
      <c r="J3879" s="14" t="str">
        <f ca="1" t="shared" si="181"/>
        <v/>
      </c>
      <c r="K3879" s="14" t="str">
        <f ca="1" t="shared" si="182"/>
        <v/>
      </c>
    </row>
    <row r="3880" spans="1:11">
      <c r="A3880" s="10" t="str">
        <f t="shared" si="180"/>
        <v/>
      </c>
      <c r="C3880" s="10" t="str">
        <f>IFERROR(INDEX(面试清单!D:D,MATCH(3879,面试清单!P:P,0)),"")</f>
        <v/>
      </c>
      <c r="H3880" s="10" t="str">
        <f>IFERROR(INDEX(面试清单!H:H,MATCH(3879,面试清单!P:P,0)),"")</f>
        <v/>
      </c>
      <c r="J3880" s="10" t="str">
        <f ca="1" t="shared" si="181"/>
        <v/>
      </c>
      <c r="K3880" s="10" t="str">
        <f ca="1" t="shared" si="182"/>
        <v/>
      </c>
    </row>
    <row r="3881" spans="1:11">
      <c r="A3881" s="14" t="str">
        <f t="shared" si="180"/>
        <v/>
      </c>
      <c r="C3881" s="14" t="str">
        <f>IFERROR(INDEX(面试清单!D:D,MATCH(3880,面试清单!P:P,0)),"")</f>
        <v/>
      </c>
      <c r="H3881" s="14" t="str">
        <f>IFERROR(INDEX(面试清单!H:H,MATCH(3880,面试清单!P:P,0)),"")</f>
        <v/>
      </c>
      <c r="J3881" s="14" t="str">
        <f ca="1" t="shared" si="181"/>
        <v/>
      </c>
      <c r="K3881" s="14" t="str">
        <f ca="1" t="shared" si="182"/>
        <v/>
      </c>
    </row>
    <row r="3882" spans="1:11">
      <c r="A3882" s="10" t="str">
        <f t="shared" si="180"/>
        <v/>
      </c>
      <c r="C3882" s="10" t="str">
        <f>IFERROR(INDEX(面试清单!D:D,MATCH(3881,面试清单!P:P,0)),"")</f>
        <v/>
      </c>
      <c r="H3882" s="10" t="str">
        <f>IFERROR(INDEX(面试清单!H:H,MATCH(3881,面试清单!P:P,0)),"")</f>
        <v/>
      </c>
      <c r="J3882" s="10" t="str">
        <f ca="1" t="shared" si="181"/>
        <v/>
      </c>
      <c r="K3882" s="10" t="str">
        <f ca="1" t="shared" si="182"/>
        <v/>
      </c>
    </row>
    <row r="3883" spans="1:11">
      <c r="A3883" s="14" t="str">
        <f t="shared" si="180"/>
        <v/>
      </c>
      <c r="C3883" s="14" t="str">
        <f>IFERROR(INDEX(面试清单!D:D,MATCH(3882,面试清单!P:P,0)),"")</f>
        <v/>
      </c>
      <c r="H3883" s="14" t="str">
        <f>IFERROR(INDEX(面试清单!H:H,MATCH(3882,面试清单!P:P,0)),"")</f>
        <v/>
      </c>
      <c r="J3883" s="14" t="str">
        <f ca="1" t="shared" si="181"/>
        <v/>
      </c>
      <c r="K3883" s="14" t="str">
        <f ca="1" t="shared" si="182"/>
        <v/>
      </c>
    </row>
    <row r="3884" spans="1:11">
      <c r="A3884" s="10" t="str">
        <f t="shared" si="180"/>
        <v/>
      </c>
      <c r="C3884" s="10" t="str">
        <f>IFERROR(INDEX(面试清单!D:D,MATCH(3883,面试清单!P:P,0)),"")</f>
        <v/>
      </c>
      <c r="H3884" s="10" t="str">
        <f>IFERROR(INDEX(面试清单!H:H,MATCH(3883,面试清单!P:P,0)),"")</f>
        <v/>
      </c>
      <c r="J3884" s="10" t="str">
        <f ca="1" t="shared" si="181"/>
        <v/>
      </c>
      <c r="K3884" s="10" t="str">
        <f ca="1" t="shared" si="182"/>
        <v/>
      </c>
    </row>
    <row r="3885" spans="1:11">
      <c r="A3885" s="14" t="str">
        <f t="shared" si="180"/>
        <v/>
      </c>
      <c r="C3885" s="14" t="str">
        <f>IFERROR(INDEX(面试清单!D:D,MATCH(3884,面试清单!P:P,0)),"")</f>
        <v/>
      </c>
      <c r="H3885" s="14" t="str">
        <f>IFERROR(INDEX(面试清单!H:H,MATCH(3884,面试清单!P:P,0)),"")</f>
        <v/>
      </c>
      <c r="J3885" s="14" t="str">
        <f ca="1" t="shared" si="181"/>
        <v/>
      </c>
      <c r="K3885" s="14" t="str">
        <f ca="1" t="shared" si="182"/>
        <v/>
      </c>
    </row>
    <row r="3886" spans="1:11">
      <c r="A3886" s="10" t="str">
        <f t="shared" si="180"/>
        <v/>
      </c>
      <c r="C3886" s="10" t="str">
        <f>IFERROR(INDEX(面试清单!D:D,MATCH(3885,面试清单!P:P,0)),"")</f>
        <v/>
      </c>
      <c r="H3886" s="10" t="str">
        <f>IFERROR(INDEX(面试清单!H:H,MATCH(3885,面试清单!P:P,0)),"")</f>
        <v/>
      </c>
      <c r="J3886" s="10" t="str">
        <f ca="1" t="shared" si="181"/>
        <v/>
      </c>
      <c r="K3886" s="10" t="str">
        <f ca="1" t="shared" si="182"/>
        <v/>
      </c>
    </row>
    <row r="3887" spans="1:11">
      <c r="A3887" s="14" t="str">
        <f t="shared" si="180"/>
        <v/>
      </c>
      <c r="C3887" s="14" t="str">
        <f>IFERROR(INDEX(面试清单!D:D,MATCH(3886,面试清单!P:P,0)),"")</f>
        <v/>
      </c>
      <c r="H3887" s="14" t="str">
        <f>IFERROR(INDEX(面试清单!H:H,MATCH(3886,面试清单!P:P,0)),"")</f>
        <v/>
      </c>
      <c r="J3887" s="14" t="str">
        <f ca="1" t="shared" si="181"/>
        <v/>
      </c>
      <c r="K3887" s="14" t="str">
        <f ca="1" t="shared" si="182"/>
        <v/>
      </c>
    </row>
    <row r="3888" spans="1:11">
      <c r="A3888" s="10" t="str">
        <f t="shared" si="180"/>
        <v/>
      </c>
      <c r="C3888" s="10" t="str">
        <f>IFERROR(INDEX(面试清单!D:D,MATCH(3887,面试清单!P:P,0)),"")</f>
        <v/>
      </c>
      <c r="H3888" s="10" t="str">
        <f>IFERROR(INDEX(面试清单!H:H,MATCH(3887,面试清单!P:P,0)),"")</f>
        <v/>
      </c>
      <c r="J3888" s="10" t="str">
        <f ca="1" t="shared" si="181"/>
        <v/>
      </c>
      <c r="K3888" s="10" t="str">
        <f ca="1" t="shared" si="182"/>
        <v/>
      </c>
    </row>
    <row r="3889" spans="1:11">
      <c r="A3889" s="14" t="str">
        <f t="shared" si="180"/>
        <v/>
      </c>
      <c r="C3889" s="14" t="str">
        <f>IFERROR(INDEX(面试清单!D:D,MATCH(3888,面试清单!P:P,0)),"")</f>
        <v/>
      </c>
      <c r="H3889" s="14" t="str">
        <f>IFERROR(INDEX(面试清单!H:H,MATCH(3888,面试清单!P:P,0)),"")</f>
        <v/>
      </c>
      <c r="J3889" s="14" t="str">
        <f ca="1" t="shared" si="181"/>
        <v/>
      </c>
      <c r="K3889" s="14" t="str">
        <f ca="1" t="shared" si="182"/>
        <v/>
      </c>
    </row>
    <row r="3890" spans="1:11">
      <c r="A3890" s="10" t="str">
        <f t="shared" si="180"/>
        <v/>
      </c>
      <c r="C3890" s="10" t="str">
        <f>IFERROR(INDEX(面试清单!D:D,MATCH(3889,面试清单!P:P,0)),"")</f>
        <v/>
      </c>
      <c r="H3890" s="10" t="str">
        <f>IFERROR(INDEX(面试清单!H:H,MATCH(3889,面试清单!P:P,0)),"")</f>
        <v/>
      </c>
      <c r="J3890" s="10" t="str">
        <f ca="1" t="shared" si="181"/>
        <v/>
      </c>
      <c r="K3890" s="10" t="str">
        <f ca="1" t="shared" si="182"/>
        <v/>
      </c>
    </row>
    <row r="3891" spans="1:11">
      <c r="A3891" s="14" t="str">
        <f t="shared" si="180"/>
        <v/>
      </c>
      <c r="C3891" s="14" t="str">
        <f>IFERROR(INDEX(面试清单!D:D,MATCH(3890,面试清单!P:P,0)),"")</f>
        <v/>
      </c>
      <c r="H3891" s="14" t="str">
        <f>IFERROR(INDEX(面试清单!H:H,MATCH(3890,面试清单!P:P,0)),"")</f>
        <v/>
      </c>
      <c r="J3891" s="14" t="str">
        <f ca="1" t="shared" si="181"/>
        <v/>
      </c>
      <c r="K3891" s="14" t="str">
        <f ca="1" t="shared" si="182"/>
        <v/>
      </c>
    </row>
    <row r="3892" spans="1:11">
      <c r="A3892" s="10" t="str">
        <f t="shared" si="180"/>
        <v/>
      </c>
      <c r="C3892" s="10" t="str">
        <f>IFERROR(INDEX(面试清单!D:D,MATCH(3891,面试清单!P:P,0)),"")</f>
        <v/>
      </c>
      <c r="H3892" s="10" t="str">
        <f>IFERROR(INDEX(面试清单!H:H,MATCH(3891,面试清单!P:P,0)),"")</f>
        <v/>
      </c>
      <c r="J3892" s="10" t="str">
        <f ca="1" t="shared" si="181"/>
        <v/>
      </c>
      <c r="K3892" s="10" t="str">
        <f ca="1" t="shared" si="182"/>
        <v/>
      </c>
    </row>
    <row r="3893" spans="1:11">
      <c r="A3893" s="14" t="str">
        <f t="shared" si="180"/>
        <v/>
      </c>
      <c r="C3893" s="14" t="str">
        <f>IFERROR(INDEX(面试清单!D:D,MATCH(3892,面试清单!P:P,0)),"")</f>
        <v/>
      </c>
      <c r="H3893" s="14" t="str">
        <f>IFERROR(INDEX(面试清单!H:H,MATCH(3892,面试清单!P:P,0)),"")</f>
        <v/>
      </c>
      <c r="J3893" s="14" t="str">
        <f ca="1" t="shared" si="181"/>
        <v/>
      </c>
      <c r="K3893" s="14" t="str">
        <f ca="1" t="shared" si="182"/>
        <v/>
      </c>
    </row>
    <row r="3894" spans="1:11">
      <c r="A3894" s="10" t="str">
        <f t="shared" si="180"/>
        <v/>
      </c>
      <c r="C3894" s="10" t="str">
        <f>IFERROR(INDEX(面试清单!D:D,MATCH(3893,面试清单!P:P,0)),"")</f>
        <v/>
      </c>
      <c r="H3894" s="10" t="str">
        <f>IFERROR(INDEX(面试清单!H:H,MATCH(3893,面试清单!P:P,0)),"")</f>
        <v/>
      </c>
      <c r="J3894" s="10" t="str">
        <f ca="1" t="shared" si="181"/>
        <v/>
      </c>
      <c r="K3894" s="10" t="str">
        <f ca="1" t="shared" si="182"/>
        <v/>
      </c>
    </row>
    <row r="3895" spans="1:11">
      <c r="A3895" s="14" t="str">
        <f t="shared" si="180"/>
        <v/>
      </c>
      <c r="C3895" s="14" t="str">
        <f>IFERROR(INDEX(面试清单!D:D,MATCH(3894,面试清单!P:P,0)),"")</f>
        <v/>
      </c>
      <c r="H3895" s="14" t="str">
        <f>IFERROR(INDEX(面试清单!H:H,MATCH(3894,面试清单!P:P,0)),"")</f>
        <v/>
      </c>
      <c r="J3895" s="14" t="str">
        <f ca="1" t="shared" si="181"/>
        <v/>
      </c>
      <c r="K3895" s="14" t="str">
        <f ca="1" t="shared" si="182"/>
        <v/>
      </c>
    </row>
    <row r="3896" spans="1:11">
      <c r="A3896" s="10" t="str">
        <f t="shared" si="180"/>
        <v/>
      </c>
      <c r="C3896" s="10" t="str">
        <f>IFERROR(INDEX(面试清单!D:D,MATCH(3895,面试清单!P:P,0)),"")</f>
        <v/>
      </c>
      <c r="H3896" s="10" t="str">
        <f>IFERROR(INDEX(面试清单!H:H,MATCH(3895,面试清单!P:P,0)),"")</f>
        <v/>
      </c>
      <c r="J3896" s="10" t="str">
        <f ca="1" t="shared" si="181"/>
        <v/>
      </c>
      <c r="K3896" s="10" t="str">
        <f ca="1" t="shared" si="182"/>
        <v/>
      </c>
    </row>
    <row r="3897" spans="1:11">
      <c r="A3897" s="14" t="str">
        <f t="shared" si="180"/>
        <v/>
      </c>
      <c r="C3897" s="14" t="str">
        <f>IFERROR(INDEX(面试清单!D:D,MATCH(3896,面试清单!P:P,0)),"")</f>
        <v/>
      </c>
      <c r="H3897" s="14" t="str">
        <f>IFERROR(INDEX(面试清单!H:H,MATCH(3896,面试清单!P:P,0)),"")</f>
        <v/>
      </c>
      <c r="J3897" s="14" t="str">
        <f ca="1" t="shared" si="181"/>
        <v/>
      </c>
      <c r="K3897" s="14" t="str">
        <f ca="1" t="shared" si="182"/>
        <v/>
      </c>
    </row>
    <row r="3898" spans="1:11">
      <c r="A3898" s="10" t="str">
        <f t="shared" si="180"/>
        <v/>
      </c>
      <c r="C3898" s="10" t="str">
        <f>IFERROR(INDEX(面试清单!D:D,MATCH(3897,面试清单!P:P,0)),"")</f>
        <v/>
      </c>
      <c r="H3898" s="10" t="str">
        <f>IFERROR(INDEX(面试清单!H:H,MATCH(3897,面试清单!P:P,0)),"")</f>
        <v/>
      </c>
      <c r="J3898" s="10" t="str">
        <f ca="1" t="shared" si="181"/>
        <v/>
      </c>
      <c r="K3898" s="10" t="str">
        <f ca="1" t="shared" si="182"/>
        <v/>
      </c>
    </row>
    <row r="3899" spans="1:11">
      <c r="A3899" s="14" t="str">
        <f t="shared" si="180"/>
        <v/>
      </c>
      <c r="C3899" s="14" t="str">
        <f>IFERROR(INDEX(面试清单!D:D,MATCH(3898,面试清单!P:P,0)),"")</f>
        <v/>
      </c>
      <c r="H3899" s="14" t="str">
        <f>IFERROR(INDEX(面试清单!H:H,MATCH(3898,面试清单!P:P,0)),"")</f>
        <v/>
      </c>
      <c r="J3899" s="14" t="str">
        <f ca="1" t="shared" si="181"/>
        <v/>
      </c>
      <c r="K3899" s="14" t="str">
        <f ca="1" t="shared" si="182"/>
        <v/>
      </c>
    </row>
    <row r="3900" spans="1:11">
      <c r="A3900" s="10" t="str">
        <f t="shared" si="180"/>
        <v/>
      </c>
      <c r="C3900" s="10" t="str">
        <f>IFERROR(INDEX(面试清单!D:D,MATCH(3899,面试清单!P:P,0)),"")</f>
        <v/>
      </c>
      <c r="H3900" s="10" t="str">
        <f>IFERROR(INDEX(面试清单!H:H,MATCH(3899,面试清单!P:P,0)),"")</f>
        <v/>
      </c>
      <c r="J3900" s="10" t="str">
        <f ca="1" t="shared" si="181"/>
        <v/>
      </c>
      <c r="K3900" s="10" t="str">
        <f ca="1" t="shared" si="182"/>
        <v/>
      </c>
    </row>
    <row r="3901" spans="1:11">
      <c r="A3901" s="14" t="str">
        <f t="shared" si="180"/>
        <v/>
      </c>
      <c r="C3901" s="14" t="str">
        <f>IFERROR(INDEX(面试清单!D:D,MATCH(3900,面试清单!P:P,0)),"")</f>
        <v/>
      </c>
      <c r="H3901" s="14" t="str">
        <f>IFERROR(INDEX(面试清单!H:H,MATCH(3900,面试清单!P:P,0)),"")</f>
        <v/>
      </c>
      <c r="J3901" s="14" t="str">
        <f ca="1" t="shared" si="181"/>
        <v/>
      </c>
      <c r="K3901" s="14" t="str">
        <f ca="1" t="shared" si="182"/>
        <v/>
      </c>
    </row>
    <row r="3902" spans="1:11">
      <c r="A3902" s="10" t="str">
        <f t="shared" si="180"/>
        <v/>
      </c>
      <c r="C3902" s="10" t="str">
        <f>IFERROR(INDEX(面试清单!D:D,MATCH(3901,面试清单!P:P,0)),"")</f>
        <v/>
      </c>
      <c r="H3902" s="10" t="str">
        <f>IFERROR(INDEX(面试清单!H:H,MATCH(3901,面试清单!P:P,0)),"")</f>
        <v/>
      </c>
      <c r="J3902" s="10" t="str">
        <f ca="1" t="shared" si="181"/>
        <v/>
      </c>
      <c r="K3902" s="10" t="str">
        <f ca="1" t="shared" si="182"/>
        <v/>
      </c>
    </row>
    <row r="3903" spans="1:11">
      <c r="A3903" s="14" t="str">
        <f t="shared" si="180"/>
        <v/>
      </c>
      <c r="C3903" s="14" t="str">
        <f>IFERROR(INDEX(面试清单!D:D,MATCH(3902,面试清单!P:P,0)),"")</f>
        <v/>
      </c>
      <c r="H3903" s="14" t="str">
        <f>IFERROR(INDEX(面试清单!H:H,MATCH(3902,面试清单!P:P,0)),"")</f>
        <v/>
      </c>
      <c r="J3903" s="14" t="str">
        <f ca="1" t="shared" si="181"/>
        <v/>
      </c>
      <c r="K3903" s="14" t="str">
        <f ca="1" t="shared" si="182"/>
        <v/>
      </c>
    </row>
    <row r="3904" spans="1:11">
      <c r="A3904" s="10" t="str">
        <f t="shared" si="180"/>
        <v/>
      </c>
      <c r="C3904" s="10" t="str">
        <f>IFERROR(INDEX(面试清单!D:D,MATCH(3903,面试清单!P:P,0)),"")</f>
        <v/>
      </c>
      <c r="H3904" s="10" t="str">
        <f>IFERROR(INDEX(面试清单!H:H,MATCH(3903,面试清单!P:P,0)),"")</f>
        <v/>
      </c>
      <c r="J3904" s="10" t="str">
        <f ca="1" t="shared" si="181"/>
        <v/>
      </c>
      <c r="K3904" s="10" t="str">
        <f ca="1" t="shared" si="182"/>
        <v/>
      </c>
    </row>
    <row r="3905" spans="1:11">
      <c r="A3905" s="14" t="str">
        <f t="shared" si="180"/>
        <v/>
      </c>
      <c r="C3905" s="14" t="str">
        <f>IFERROR(INDEX(面试清单!D:D,MATCH(3904,面试清单!P:P,0)),"")</f>
        <v/>
      </c>
      <c r="H3905" s="14" t="str">
        <f>IFERROR(INDEX(面试清单!H:H,MATCH(3904,面试清单!P:P,0)),"")</f>
        <v/>
      </c>
      <c r="J3905" s="14" t="str">
        <f ca="1" t="shared" si="181"/>
        <v/>
      </c>
      <c r="K3905" s="14" t="str">
        <f ca="1" t="shared" si="182"/>
        <v/>
      </c>
    </row>
    <row r="3906" spans="1:11">
      <c r="A3906" s="10" t="str">
        <f t="shared" ref="A3906:A3969" si="183">IF(B3906&lt;&gt;"",ROW()-1,"")</f>
        <v/>
      </c>
      <c r="C3906" s="10" t="str">
        <f>IFERROR(INDEX(面试清单!D:D,MATCH(3905,面试清单!P:P,0)),"")</f>
        <v/>
      </c>
      <c r="H3906" s="10" t="str">
        <f>IFERROR(INDEX(面试清单!H:H,MATCH(3905,面试清单!P:P,0)),"")</f>
        <v/>
      </c>
      <c r="J3906" s="10" t="str">
        <f ca="1" t="shared" ref="J3906:J3969" si="184">IF(G3906&lt;&gt;"",TODAY()-G3906,"")</f>
        <v/>
      </c>
      <c r="K3906" s="10" t="str">
        <f ca="1" t="shared" ref="K3906:K3969" si="185">IF(G3906&lt;&gt;"",MAX(0,MIN(TODAY(),EOMONTH(TODAY(),0))-MAX(G3906,EOMONTH(TODAY(),-1)+1)+1),"")</f>
        <v/>
      </c>
    </row>
    <row r="3907" spans="1:11">
      <c r="A3907" s="14" t="str">
        <f t="shared" si="183"/>
        <v/>
      </c>
      <c r="C3907" s="14" t="str">
        <f>IFERROR(INDEX(面试清单!D:D,MATCH(3906,面试清单!P:P,0)),"")</f>
        <v/>
      </c>
      <c r="H3907" s="14" t="str">
        <f>IFERROR(INDEX(面试清单!H:H,MATCH(3906,面试清单!P:P,0)),"")</f>
        <v/>
      </c>
      <c r="J3907" s="14" t="str">
        <f ca="1" t="shared" si="184"/>
        <v/>
      </c>
      <c r="K3907" s="14" t="str">
        <f ca="1" t="shared" si="185"/>
        <v/>
      </c>
    </row>
    <row r="3908" spans="1:11">
      <c r="A3908" s="10" t="str">
        <f t="shared" si="183"/>
        <v/>
      </c>
      <c r="C3908" s="10" t="str">
        <f>IFERROR(INDEX(面试清单!D:D,MATCH(3907,面试清单!P:P,0)),"")</f>
        <v/>
      </c>
      <c r="H3908" s="10" t="str">
        <f>IFERROR(INDEX(面试清单!H:H,MATCH(3907,面试清单!P:P,0)),"")</f>
        <v/>
      </c>
      <c r="J3908" s="10" t="str">
        <f ca="1" t="shared" si="184"/>
        <v/>
      </c>
      <c r="K3908" s="10" t="str">
        <f ca="1" t="shared" si="185"/>
        <v/>
      </c>
    </row>
    <row r="3909" spans="1:11">
      <c r="A3909" s="14" t="str">
        <f t="shared" si="183"/>
        <v/>
      </c>
      <c r="C3909" s="14" t="str">
        <f>IFERROR(INDEX(面试清单!D:D,MATCH(3908,面试清单!P:P,0)),"")</f>
        <v/>
      </c>
      <c r="H3909" s="14" t="str">
        <f>IFERROR(INDEX(面试清单!H:H,MATCH(3908,面试清单!P:P,0)),"")</f>
        <v/>
      </c>
      <c r="J3909" s="14" t="str">
        <f ca="1" t="shared" si="184"/>
        <v/>
      </c>
      <c r="K3909" s="14" t="str">
        <f ca="1" t="shared" si="185"/>
        <v/>
      </c>
    </row>
    <row r="3910" spans="1:11">
      <c r="A3910" s="10" t="str">
        <f t="shared" si="183"/>
        <v/>
      </c>
      <c r="C3910" s="10" t="str">
        <f>IFERROR(INDEX(面试清单!D:D,MATCH(3909,面试清单!P:P,0)),"")</f>
        <v/>
      </c>
      <c r="H3910" s="10" t="str">
        <f>IFERROR(INDEX(面试清单!H:H,MATCH(3909,面试清单!P:P,0)),"")</f>
        <v/>
      </c>
      <c r="J3910" s="10" t="str">
        <f ca="1" t="shared" si="184"/>
        <v/>
      </c>
      <c r="K3910" s="10" t="str">
        <f ca="1" t="shared" si="185"/>
        <v/>
      </c>
    </row>
    <row r="3911" spans="1:11">
      <c r="A3911" s="14" t="str">
        <f t="shared" si="183"/>
        <v/>
      </c>
      <c r="C3911" s="14" t="str">
        <f>IFERROR(INDEX(面试清单!D:D,MATCH(3910,面试清单!P:P,0)),"")</f>
        <v/>
      </c>
      <c r="H3911" s="14" t="str">
        <f>IFERROR(INDEX(面试清单!H:H,MATCH(3910,面试清单!P:P,0)),"")</f>
        <v/>
      </c>
      <c r="J3911" s="14" t="str">
        <f ca="1" t="shared" si="184"/>
        <v/>
      </c>
      <c r="K3911" s="14" t="str">
        <f ca="1" t="shared" si="185"/>
        <v/>
      </c>
    </row>
    <row r="3912" spans="1:11">
      <c r="A3912" s="10" t="str">
        <f t="shared" si="183"/>
        <v/>
      </c>
      <c r="C3912" s="10" t="str">
        <f>IFERROR(INDEX(面试清单!D:D,MATCH(3911,面试清单!P:P,0)),"")</f>
        <v/>
      </c>
      <c r="H3912" s="10" t="str">
        <f>IFERROR(INDEX(面试清单!H:H,MATCH(3911,面试清单!P:P,0)),"")</f>
        <v/>
      </c>
      <c r="J3912" s="10" t="str">
        <f ca="1" t="shared" si="184"/>
        <v/>
      </c>
      <c r="K3912" s="10" t="str">
        <f ca="1" t="shared" si="185"/>
        <v/>
      </c>
    </row>
    <row r="3913" spans="1:11">
      <c r="A3913" s="14" t="str">
        <f t="shared" si="183"/>
        <v/>
      </c>
      <c r="C3913" s="14" t="str">
        <f>IFERROR(INDEX(面试清单!D:D,MATCH(3912,面试清单!P:P,0)),"")</f>
        <v/>
      </c>
      <c r="H3913" s="14" t="str">
        <f>IFERROR(INDEX(面试清单!H:H,MATCH(3912,面试清单!P:P,0)),"")</f>
        <v/>
      </c>
      <c r="J3913" s="14" t="str">
        <f ca="1" t="shared" si="184"/>
        <v/>
      </c>
      <c r="K3913" s="14" t="str">
        <f ca="1" t="shared" si="185"/>
        <v/>
      </c>
    </row>
    <row r="3914" spans="1:11">
      <c r="A3914" s="10" t="str">
        <f t="shared" si="183"/>
        <v/>
      </c>
      <c r="C3914" s="10" t="str">
        <f>IFERROR(INDEX(面试清单!D:D,MATCH(3913,面试清单!P:P,0)),"")</f>
        <v/>
      </c>
      <c r="H3914" s="10" t="str">
        <f>IFERROR(INDEX(面试清单!H:H,MATCH(3913,面试清单!P:P,0)),"")</f>
        <v/>
      </c>
      <c r="J3914" s="10" t="str">
        <f ca="1" t="shared" si="184"/>
        <v/>
      </c>
      <c r="K3914" s="10" t="str">
        <f ca="1" t="shared" si="185"/>
        <v/>
      </c>
    </row>
    <row r="3915" spans="1:11">
      <c r="A3915" s="14" t="str">
        <f t="shared" si="183"/>
        <v/>
      </c>
      <c r="C3915" s="14" t="str">
        <f>IFERROR(INDEX(面试清单!D:D,MATCH(3914,面试清单!P:P,0)),"")</f>
        <v/>
      </c>
      <c r="H3915" s="14" t="str">
        <f>IFERROR(INDEX(面试清单!H:H,MATCH(3914,面试清单!P:P,0)),"")</f>
        <v/>
      </c>
      <c r="J3915" s="14" t="str">
        <f ca="1" t="shared" si="184"/>
        <v/>
      </c>
      <c r="K3915" s="14" t="str">
        <f ca="1" t="shared" si="185"/>
        <v/>
      </c>
    </row>
    <row r="3916" spans="1:11">
      <c r="A3916" s="10" t="str">
        <f t="shared" si="183"/>
        <v/>
      </c>
      <c r="C3916" s="10" t="str">
        <f>IFERROR(INDEX(面试清单!D:D,MATCH(3915,面试清单!P:P,0)),"")</f>
        <v/>
      </c>
      <c r="H3916" s="10" t="str">
        <f>IFERROR(INDEX(面试清单!H:H,MATCH(3915,面试清单!P:P,0)),"")</f>
        <v/>
      </c>
      <c r="J3916" s="10" t="str">
        <f ca="1" t="shared" si="184"/>
        <v/>
      </c>
      <c r="K3916" s="10" t="str">
        <f ca="1" t="shared" si="185"/>
        <v/>
      </c>
    </row>
    <row r="3917" spans="1:11">
      <c r="A3917" s="14" t="str">
        <f t="shared" si="183"/>
        <v/>
      </c>
      <c r="C3917" s="14" t="str">
        <f>IFERROR(INDEX(面试清单!D:D,MATCH(3916,面试清单!P:P,0)),"")</f>
        <v/>
      </c>
      <c r="H3917" s="14" t="str">
        <f>IFERROR(INDEX(面试清单!H:H,MATCH(3916,面试清单!P:P,0)),"")</f>
        <v/>
      </c>
      <c r="J3917" s="14" t="str">
        <f ca="1" t="shared" si="184"/>
        <v/>
      </c>
      <c r="K3917" s="14" t="str">
        <f ca="1" t="shared" si="185"/>
        <v/>
      </c>
    </row>
    <row r="3918" spans="1:11">
      <c r="A3918" s="10" t="str">
        <f t="shared" si="183"/>
        <v/>
      </c>
      <c r="C3918" s="10" t="str">
        <f>IFERROR(INDEX(面试清单!D:D,MATCH(3917,面试清单!P:P,0)),"")</f>
        <v/>
      </c>
      <c r="H3918" s="10" t="str">
        <f>IFERROR(INDEX(面试清单!H:H,MATCH(3917,面试清单!P:P,0)),"")</f>
        <v/>
      </c>
      <c r="J3918" s="10" t="str">
        <f ca="1" t="shared" si="184"/>
        <v/>
      </c>
      <c r="K3918" s="10" t="str">
        <f ca="1" t="shared" si="185"/>
        <v/>
      </c>
    </row>
    <row r="3919" spans="1:11">
      <c r="A3919" s="14" t="str">
        <f t="shared" si="183"/>
        <v/>
      </c>
      <c r="C3919" s="14" t="str">
        <f>IFERROR(INDEX(面试清单!D:D,MATCH(3918,面试清单!P:P,0)),"")</f>
        <v/>
      </c>
      <c r="H3919" s="14" t="str">
        <f>IFERROR(INDEX(面试清单!H:H,MATCH(3918,面试清单!P:P,0)),"")</f>
        <v/>
      </c>
      <c r="J3919" s="14" t="str">
        <f ca="1" t="shared" si="184"/>
        <v/>
      </c>
      <c r="K3919" s="14" t="str">
        <f ca="1" t="shared" si="185"/>
        <v/>
      </c>
    </row>
    <row r="3920" spans="1:11">
      <c r="A3920" s="10" t="str">
        <f t="shared" si="183"/>
        <v/>
      </c>
      <c r="C3920" s="10" t="str">
        <f>IFERROR(INDEX(面试清单!D:D,MATCH(3919,面试清单!P:P,0)),"")</f>
        <v/>
      </c>
      <c r="H3920" s="10" t="str">
        <f>IFERROR(INDEX(面试清单!H:H,MATCH(3919,面试清单!P:P,0)),"")</f>
        <v/>
      </c>
      <c r="J3920" s="10" t="str">
        <f ca="1" t="shared" si="184"/>
        <v/>
      </c>
      <c r="K3920" s="10" t="str">
        <f ca="1" t="shared" si="185"/>
        <v/>
      </c>
    </row>
    <row r="3921" spans="1:11">
      <c r="A3921" s="14" t="str">
        <f t="shared" si="183"/>
        <v/>
      </c>
      <c r="C3921" s="14" t="str">
        <f>IFERROR(INDEX(面试清单!D:D,MATCH(3920,面试清单!P:P,0)),"")</f>
        <v/>
      </c>
      <c r="H3921" s="14" t="str">
        <f>IFERROR(INDEX(面试清单!H:H,MATCH(3920,面试清单!P:P,0)),"")</f>
        <v/>
      </c>
      <c r="J3921" s="14" t="str">
        <f ca="1" t="shared" si="184"/>
        <v/>
      </c>
      <c r="K3921" s="14" t="str">
        <f ca="1" t="shared" si="185"/>
        <v/>
      </c>
    </row>
    <row r="3922" spans="1:11">
      <c r="A3922" s="10" t="str">
        <f t="shared" si="183"/>
        <v/>
      </c>
      <c r="C3922" s="10" t="str">
        <f>IFERROR(INDEX(面试清单!D:D,MATCH(3921,面试清单!P:P,0)),"")</f>
        <v/>
      </c>
      <c r="H3922" s="10" t="str">
        <f>IFERROR(INDEX(面试清单!H:H,MATCH(3921,面试清单!P:P,0)),"")</f>
        <v/>
      </c>
      <c r="J3922" s="10" t="str">
        <f ca="1" t="shared" si="184"/>
        <v/>
      </c>
      <c r="K3922" s="10" t="str">
        <f ca="1" t="shared" si="185"/>
        <v/>
      </c>
    </row>
    <row r="3923" spans="1:11">
      <c r="A3923" s="14" t="str">
        <f t="shared" si="183"/>
        <v/>
      </c>
      <c r="C3923" s="14" t="str">
        <f>IFERROR(INDEX(面试清单!D:D,MATCH(3922,面试清单!P:P,0)),"")</f>
        <v/>
      </c>
      <c r="H3923" s="14" t="str">
        <f>IFERROR(INDEX(面试清单!H:H,MATCH(3922,面试清单!P:P,0)),"")</f>
        <v/>
      </c>
      <c r="J3923" s="14" t="str">
        <f ca="1" t="shared" si="184"/>
        <v/>
      </c>
      <c r="K3923" s="14" t="str">
        <f ca="1" t="shared" si="185"/>
        <v/>
      </c>
    </row>
    <row r="3924" spans="1:11">
      <c r="A3924" s="10" t="str">
        <f t="shared" si="183"/>
        <v/>
      </c>
      <c r="C3924" s="10" t="str">
        <f>IFERROR(INDEX(面试清单!D:D,MATCH(3923,面试清单!P:P,0)),"")</f>
        <v/>
      </c>
      <c r="H3924" s="10" t="str">
        <f>IFERROR(INDEX(面试清单!H:H,MATCH(3923,面试清单!P:P,0)),"")</f>
        <v/>
      </c>
      <c r="J3924" s="10" t="str">
        <f ca="1" t="shared" si="184"/>
        <v/>
      </c>
      <c r="K3924" s="10" t="str">
        <f ca="1" t="shared" si="185"/>
        <v/>
      </c>
    </row>
    <row r="3925" spans="1:11">
      <c r="A3925" s="14" t="str">
        <f t="shared" si="183"/>
        <v/>
      </c>
      <c r="C3925" s="14" t="str">
        <f>IFERROR(INDEX(面试清单!D:D,MATCH(3924,面试清单!P:P,0)),"")</f>
        <v/>
      </c>
      <c r="H3925" s="14" t="str">
        <f>IFERROR(INDEX(面试清单!H:H,MATCH(3924,面试清单!P:P,0)),"")</f>
        <v/>
      </c>
      <c r="J3925" s="14" t="str">
        <f ca="1" t="shared" si="184"/>
        <v/>
      </c>
      <c r="K3925" s="14" t="str">
        <f ca="1" t="shared" si="185"/>
        <v/>
      </c>
    </row>
    <row r="3926" spans="1:11">
      <c r="A3926" s="10" t="str">
        <f t="shared" si="183"/>
        <v/>
      </c>
      <c r="C3926" s="10" t="str">
        <f>IFERROR(INDEX(面试清单!D:D,MATCH(3925,面试清单!P:P,0)),"")</f>
        <v/>
      </c>
      <c r="H3926" s="10" t="str">
        <f>IFERROR(INDEX(面试清单!H:H,MATCH(3925,面试清单!P:P,0)),"")</f>
        <v/>
      </c>
      <c r="J3926" s="10" t="str">
        <f ca="1" t="shared" si="184"/>
        <v/>
      </c>
      <c r="K3926" s="10" t="str">
        <f ca="1" t="shared" si="185"/>
        <v/>
      </c>
    </row>
    <row r="3927" spans="1:11">
      <c r="A3927" s="14" t="str">
        <f t="shared" si="183"/>
        <v/>
      </c>
      <c r="C3927" s="14" t="str">
        <f>IFERROR(INDEX(面试清单!D:D,MATCH(3926,面试清单!P:P,0)),"")</f>
        <v/>
      </c>
      <c r="H3927" s="14" t="str">
        <f>IFERROR(INDEX(面试清单!H:H,MATCH(3926,面试清单!P:P,0)),"")</f>
        <v/>
      </c>
      <c r="J3927" s="14" t="str">
        <f ca="1" t="shared" si="184"/>
        <v/>
      </c>
      <c r="K3927" s="14" t="str">
        <f ca="1" t="shared" si="185"/>
        <v/>
      </c>
    </row>
    <row r="3928" spans="1:11">
      <c r="A3928" s="10" t="str">
        <f t="shared" si="183"/>
        <v/>
      </c>
      <c r="C3928" s="10" t="str">
        <f>IFERROR(INDEX(面试清单!D:D,MATCH(3927,面试清单!P:P,0)),"")</f>
        <v/>
      </c>
      <c r="H3928" s="10" t="str">
        <f>IFERROR(INDEX(面试清单!H:H,MATCH(3927,面试清单!P:P,0)),"")</f>
        <v/>
      </c>
      <c r="J3928" s="10" t="str">
        <f ca="1" t="shared" si="184"/>
        <v/>
      </c>
      <c r="K3928" s="10" t="str">
        <f ca="1" t="shared" si="185"/>
        <v/>
      </c>
    </row>
    <row r="3929" spans="1:11">
      <c r="A3929" s="14" t="str">
        <f t="shared" si="183"/>
        <v/>
      </c>
      <c r="C3929" s="14" t="str">
        <f>IFERROR(INDEX(面试清单!D:D,MATCH(3928,面试清单!P:P,0)),"")</f>
        <v/>
      </c>
      <c r="H3929" s="14" t="str">
        <f>IFERROR(INDEX(面试清单!H:H,MATCH(3928,面试清单!P:P,0)),"")</f>
        <v/>
      </c>
      <c r="J3929" s="14" t="str">
        <f ca="1" t="shared" si="184"/>
        <v/>
      </c>
      <c r="K3929" s="14" t="str">
        <f ca="1" t="shared" si="185"/>
        <v/>
      </c>
    </row>
    <row r="3930" spans="1:11">
      <c r="A3930" s="10" t="str">
        <f t="shared" si="183"/>
        <v/>
      </c>
      <c r="C3930" s="10" t="str">
        <f>IFERROR(INDEX(面试清单!D:D,MATCH(3929,面试清单!P:P,0)),"")</f>
        <v/>
      </c>
      <c r="H3930" s="10" t="str">
        <f>IFERROR(INDEX(面试清单!H:H,MATCH(3929,面试清单!P:P,0)),"")</f>
        <v/>
      </c>
      <c r="J3930" s="10" t="str">
        <f ca="1" t="shared" si="184"/>
        <v/>
      </c>
      <c r="K3930" s="10" t="str">
        <f ca="1" t="shared" si="185"/>
        <v/>
      </c>
    </row>
    <row r="3931" spans="1:11">
      <c r="A3931" s="14" t="str">
        <f t="shared" si="183"/>
        <v/>
      </c>
      <c r="C3931" s="14" t="str">
        <f>IFERROR(INDEX(面试清单!D:D,MATCH(3930,面试清单!P:P,0)),"")</f>
        <v/>
      </c>
      <c r="H3931" s="14" t="str">
        <f>IFERROR(INDEX(面试清单!H:H,MATCH(3930,面试清单!P:P,0)),"")</f>
        <v/>
      </c>
      <c r="J3931" s="14" t="str">
        <f ca="1" t="shared" si="184"/>
        <v/>
      </c>
      <c r="K3931" s="14" t="str">
        <f ca="1" t="shared" si="185"/>
        <v/>
      </c>
    </row>
    <row r="3932" spans="1:11">
      <c r="A3932" s="10" t="str">
        <f t="shared" si="183"/>
        <v/>
      </c>
      <c r="C3932" s="10" t="str">
        <f>IFERROR(INDEX(面试清单!D:D,MATCH(3931,面试清单!P:P,0)),"")</f>
        <v/>
      </c>
      <c r="H3932" s="10" t="str">
        <f>IFERROR(INDEX(面试清单!H:H,MATCH(3931,面试清单!P:P,0)),"")</f>
        <v/>
      </c>
      <c r="J3932" s="10" t="str">
        <f ca="1" t="shared" si="184"/>
        <v/>
      </c>
      <c r="K3932" s="10" t="str">
        <f ca="1" t="shared" si="185"/>
        <v/>
      </c>
    </row>
    <row r="3933" spans="1:11">
      <c r="A3933" s="14" t="str">
        <f t="shared" si="183"/>
        <v/>
      </c>
      <c r="C3933" s="14" t="str">
        <f>IFERROR(INDEX(面试清单!D:D,MATCH(3932,面试清单!P:P,0)),"")</f>
        <v/>
      </c>
      <c r="H3933" s="14" t="str">
        <f>IFERROR(INDEX(面试清单!H:H,MATCH(3932,面试清单!P:P,0)),"")</f>
        <v/>
      </c>
      <c r="J3933" s="14" t="str">
        <f ca="1" t="shared" si="184"/>
        <v/>
      </c>
      <c r="K3933" s="14" t="str">
        <f ca="1" t="shared" si="185"/>
        <v/>
      </c>
    </row>
    <row r="3934" spans="1:11">
      <c r="A3934" s="10" t="str">
        <f t="shared" si="183"/>
        <v/>
      </c>
      <c r="C3934" s="10" t="str">
        <f>IFERROR(INDEX(面试清单!D:D,MATCH(3933,面试清单!P:P,0)),"")</f>
        <v/>
      </c>
      <c r="H3934" s="10" t="str">
        <f>IFERROR(INDEX(面试清单!H:H,MATCH(3933,面试清单!P:P,0)),"")</f>
        <v/>
      </c>
      <c r="J3934" s="10" t="str">
        <f ca="1" t="shared" si="184"/>
        <v/>
      </c>
      <c r="K3934" s="10" t="str">
        <f ca="1" t="shared" si="185"/>
        <v/>
      </c>
    </row>
    <row r="3935" spans="1:11">
      <c r="A3935" s="14" t="str">
        <f t="shared" si="183"/>
        <v/>
      </c>
      <c r="C3935" s="14" t="str">
        <f>IFERROR(INDEX(面试清单!D:D,MATCH(3934,面试清单!P:P,0)),"")</f>
        <v/>
      </c>
      <c r="H3935" s="14" t="str">
        <f>IFERROR(INDEX(面试清单!H:H,MATCH(3934,面试清单!P:P,0)),"")</f>
        <v/>
      </c>
      <c r="J3935" s="14" t="str">
        <f ca="1" t="shared" si="184"/>
        <v/>
      </c>
      <c r="K3935" s="14" t="str">
        <f ca="1" t="shared" si="185"/>
        <v/>
      </c>
    </row>
    <row r="3936" spans="1:11">
      <c r="A3936" s="10" t="str">
        <f t="shared" si="183"/>
        <v/>
      </c>
      <c r="C3936" s="10" t="str">
        <f>IFERROR(INDEX(面试清单!D:D,MATCH(3935,面试清单!P:P,0)),"")</f>
        <v/>
      </c>
      <c r="H3936" s="10" t="str">
        <f>IFERROR(INDEX(面试清单!H:H,MATCH(3935,面试清单!P:P,0)),"")</f>
        <v/>
      </c>
      <c r="J3936" s="10" t="str">
        <f ca="1" t="shared" si="184"/>
        <v/>
      </c>
      <c r="K3936" s="10" t="str">
        <f ca="1" t="shared" si="185"/>
        <v/>
      </c>
    </row>
    <row r="3937" spans="1:11">
      <c r="A3937" s="14" t="str">
        <f t="shared" si="183"/>
        <v/>
      </c>
      <c r="C3937" s="14" t="str">
        <f>IFERROR(INDEX(面试清单!D:D,MATCH(3936,面试清单!P:P,0)),"")</f>
        <v/>
      </c>
      <c r="H3937" s="14" t="str">
        <f>IFERROR(INDEX(面试清单!H:H,MATCH(3936,面试清单!P:P,0)),"")</f>
        <v/>
      </c>
      <c r="J3937" s="14" t="str">
        <f ca="1" t="shared" si="184"/>
        <v/>
      </c>
      <c r="K3937" s="14" t="str">
        <f ca="1" t="shared" si="185"/>
        <v/>
      </c>
    </row>
    <row r="3938" spans="1:11">
      <c r="A3938" s="10" t="str">
        <f t="shared" si="183"/>
        <v/>
      </c>
      <c r="C3938" s="10" t="str">
        <f>IFERROR(INDEX(面试清单!D:D,MATCH(3937,面试清单!P:P,0)),"")</f>
        <v/>
      </c>
      <c r="H3938" s="10" t="str">
        <f>IFERROR(INDEX(面试清单!H:H,MATCH(3937,面试清单!P:P,0)),"")</f>
        <v/>
      </c>
      <c r="J3938" s="10" t="str">
        <f ca="1" t="shared" si="184"/>
        <v/>
      </c>
      <c r="K3938" s="10" t="str">
        <f ca="1" t="shared" si="185"/>
        <v/>
      </c>
    </row>
    <row r="3939" spans="1:11">
      <c r="A3939" s="14" t="str">
        <f t="shared" si="183"/>
        <v/>
      </c>
      <c r="C3939" s="14" t="str">
        <f>IFERROR(INDEX(面试清单!D:D,MATCH(3938,面试清单!P:P,0)),"")</f>
        <v/>
      </c>
      <c r="H3939" s="14" t="str">
        <f>IFERROR(INDEX(面试清单!H:H,MATCH(3938,面试清单!P:P,0)),"")</f>
        <v/>
      </c>
      <c r="J3939" s="14" t="str">
        <f ca="1" t="shared" si="184"/>
        <v/>
      </c>
      <c r="K3939" s="14" t="str">
        <f ca="1" t="shared" si="185"/>
        <v/>
      </c>
    </row>
    <row r="3940" spans="1:11">
      <c r="A3940" s="10" t="str">
        <f t="shared" si="183"/>
        <v/>
      </c>
      <c r="C3940" s="10" t="str">
        <f>IFERROR(INDEX(面试清单!D:D,MATCH(3939,面试清单!P:P,0)),"")</f>
        <v/>
      </c>
      <c r="H3940" s="10" t="str">
        <f>IFERROR(INDEX(面试清单!H:H,MATCH(3939,面试清单!P:P,0)),"")</f>
        <v/>
      </c>
      <c r="J3940" s="10" t="str">
        <f ca="1" t="shared" si="184"/>
        <v/>
      </c>
      <c r="K3940" s="10" t="str">
        <f ca="1" t="shared" si="185"/>
        <v/>
      </c>
    </row>
    <row r="3941" spans="1:11">
      <c r="A3941" s="14" t="str">
        <f t="shared" si="183"/>
        <v/>
      </c>
      <c r="C3941" s="14" t="str">
        <f>IFERROR(INDEX(面试清单!D:D,MATCH(3940,面试清单!P:P,0)),"")</f>
        <v/>
      </c>
      <c r="H3941" s="14" t="str">
        <f>IFERROR(INDEX(面试清单!H:H,MATCH(3940,面试清单!P:P,0)),"")</f>
        <v/>
      </c>
      <c r="J3941" s="14" t="str">
        <f ca="1" t="shared" si="184"/>
        <v/>
      </c>
      <c r="K3941" s="14" t="str">
        <f ca="1" t="shared" si="185"/>
        <v/>
      </c>
    </row>
    <row r="3942" spans="1:11">
      <c r="A3942" s="10" t="str">
        <f t="shared" si="183"/>
        <v/>
      </c>
      <c r="C3942" s="10" t="str">
        <f>IFERROR(INDEX(面试清单!D:D,MATCH(3941,面试清单!P:P,0)),"")</f>
        <v/>
      </c>
      <c r="H3942" s="10" t="str">
        <f>IFERROR(INDEX(面试清单!H:H,MATCH(3941,面试清单!P:P,0)),"")</f>
        <v/>
      </c>
      <c r="J3942" s="10" t="str">
        <f ca="1" t="shared" si="184"/>
        <v/>
      </c>
      <c r="K3942" s="10" t="str">
        <f ca="1" t="shared" si="185"/>
        <v/>
      </c>
    </row>
    <row r="3943" spans="1:11">
      <c r="A3943" s="14" t="str">
        <f t="shared" si="183"/>
        <v/>
      </c>
      <c r="C3943" s="14" t="str">
        <f>IFERROR(INDEX(面试清单!D:D,MATCH(3942,面试清单!P:P,0)),"")</f>
        <v/>
      </c>
      <c r="H3943" s="14" t="str">
        <f>IFERROR(INDEX(面试清单!H:H,MATCH(3942,面试清单!P:P,0)),"")</f>
        <v/>
      </c>
      <c r="J3943" s="14" t="str">
        <f ca="1" t="shared" si="184"/>
        <v/>
      </c>
      <c r="K3943" s="14" t="str">
        <f ca="1" t="shared" si="185"/>
        <v/>
      </c>
    </row>
    <row r="3944" spans="1:11">
      <c r="A3944" s="10" t="str">
        <f t="shared" si="183"/>
        <v/>
      </c>
      <c r="C3944" s="10" t="str">
        <f>IFERROR(INDEX(面试清单!D:D,MATCH(3943,面试清单!P:P,0)),"")</f>
        <v/>
      </c>
      <c r="H3944" s="10" t="str">
        <f>IFERROR(INDEX(面试清单!H:H,MATCH(3943,面试清单!P:P,0)),"")</f>
        <v/>
      </c>
      <c r="J3944" s="10" t="str">
        <f ca="1" t="shared" si="184"/>
        <v/>
      </c>
      <c r="K3944" s="10" t="str">
        <f ca="1" t="shared" si="185"/>
        <v/>
      </c>
    </row>
    <row r="3945" spans="1:11">
      <c r="A3945" s="14" t="str">
        <f t="shared" si="183"/>
        <v/>
      </c>
      <c r="C3945" s="14" t="str">
        <f>IFERROR(INDEX(面试清单!D:D,MATCH(3944,面试清单!P:P,0)),"")</f>
        <v/>
      </c>
      <c r="H3945" s="14" t="str">
        <f>IFERROR(INDEX(面试清单!H:H,MATCH(3944,面试清单!P:P,0)),"")</f>
        <v/>
      </c>
      <c r="J3945" s="14" t="str">
        <f ca="1" t="shared" si="184"/>
        <v/>
      </c>
      <c r="K3945" s="14" t="str">
        <f ca="1" t="shared" si="185"/>
        <v/>
      </c>
    </row>
    <row r="3946" spans="1:11">
      <c r="A3946" s="10" t="str">
        <f t="shared" si="183"/>
        <v/>
      </c>
      <c r="C3946" s="10" t="str">
        <f>IFERROR(INDEX(面试清单!D:D,MATCH(3945,面试清单!P:P,0)),"")</f>
        <v/>
      </c>
      <c r="H3946" s="10" t="str">
        <f>IFERROR(INDEX(面试清单!H:H,MATCH(3945,面试清单!P:P,0)),"")</f>
        <v/>
      </c>
      <c r="J3946" s="10" t="str">
        <f ca="1" t="shared" si="184"/>
        <v/>
      </c>
      <c r="K3946" s="10" t="str">
        <f ca="1" t="shared" si="185"/>
        <v/>
      </c>
    </row>
    <row r="3947" spans="1:11">
      <c r="A3947" s="14" t="str">
        <f t="shared" si="183"/>
        <v/>
      </c>
      <c r="C3947" s="14" t="str">
        <f>IFERROR(INDEX(面试清单!D:D,MATCH(3946,面试清单!P:P,0)),"")</f>
        <v/>
      </c>
      <c r="H3947" s="14" t="str">
        <f>IFERROR(INDEX(面试清单!H:H,MATCH(3946,面试清单!P:P,0)),"")</f>
        <v/>
      </c>
      <c r="J3947" s="14" t="str">
        <f ca="1" t="shared" si="184"/>
        <v/>
      </c>
      <c r="K3947" s="14" t="str">
        <f ca="1" t="shared" si="185"/>
        <v/>
      </c>
    </row>
    <row r="3948" spans="1:11">
      <c r="A3948" s="10" t="str">
        <f t="shared" si="183"/>
        <v/>
      </c>
      <c r="C3948" s="10" t="str">
        <f>IFERROR(INDEX(面试清单!D:D,MATCH(3947,面试清单!P:P,0)),"")</f>
        <v/>
      </c>
      <c r="H3948" s="10" t="str">
        <f>IFERROR(INDEX(面试清单!H:H,MATCH(3947,面试清单!P:P,0)),"")</f>
        <v/>
      </c>
      <c r="J3948" s="10" t="str">
        <f ca="1" t="shared" si="184"/>
        <v/>
      </c>
      <c r="K3948" s="10" t="str">
        <f ca="1" t="shared" si="185"/>
        <v/>
      </c>
    </row>
    <row r="3949" spans="1:11">
      <c r="A3949" s="14" t="str">
        <f t="shared" si="183"/>
        <v/>
      </c>
      <c r="C3949" s="14" t="str">
        <f>IFERROR(INDEX(面试清单!D:D,MATCH(3948,面试清单!P:P,0)),"")</f>
        <v/>
      </c>
      <c r="H3949" s="14" t="str">
        <f>IFERROR(INDEX(面试清单!H:H,MATCH(3948,面试清单!P:P,0)),"")</f>
        <v/>
      </c>
      <c r="J3949" s="14" t="str">
        <f ca="1" t="shared" si="184"/>
        <v/>
      </c>
      <c r="K3949" s="14" t="str">
        <f ca="1" t="shared" si="185"/>
        <v/>
      </c>
    </row>
    <row r="3950" spans="1:11">
      <c r="A3950" s="10" t="str">
        <f t="shared" si="183"/>
        <v/>
      </c>
      <c r="C3950" s="10" t="str">
        <f>IFERROR(INDEX(面试清单!D:D,MATCH(3949,面试清单!P:P,0)),"")</f>
        <v/>
      </c>
      <c r="H3950" s="10" t="str">
        <f>IFERROR(INDEX(面试清单!H:H,MATCH(3949,面试清单!P:P,0)),"")</f>
        <v/>
      </c>
      <c r="J3950" s="10" t="str">
        <f ca="1" t="shared" si="184"/>
        <v/>
      </c>
      <c r="K3950" s="10" t="str">
        <f ca="1" t="shared" si="185"/>
        <v/>
      </c>
    </row>
    <row r="3951" spans="1:11">
      <c r="A3951" s="14" t="str">
        <f t="shared" si="183"/>
        <v/>
      </c>
      <c r="C3951" s="14" t="str">
        <f>IFERROR(INDEX(面试清单!D:D,MATCH(3950,面试清单!P:P,0)),"")</f>
        <v/>
      </c>
      <c r="H3951" s="14" t="str">
        <f>IFERROR(INDEX(面试清单!H:H,MATCH(3950,面试清单!P:P,0)),"")</f>
        <v/>
      </c>
      <c r="J3951" s="14" t="str">
        <f ca="1" t="shared" si="184"/>
        <v/>
      </c>
      <c r="K3951" s="14" t="str">
        <f ca="1" t="shared" si="185"/>
        <v/>
      </c>
    </row>
    <row r="3952" spans="1:11">
      <c r="A3952" s="10" t="str">
        <f t="shared" si="183"/>
        <v/>
      </c>
      <c r="C3952" s="10" t="str">
        <f>IFERROR(INDEX(面试清单!D:D,MATCH(3951,面试清单!P:P,0)),"")</f>
        <v/>
      </c>
      <c r="H3952" s="10" t="str">
        <f>IFERROR(INDEX(面试清单!H:H,MATCH(3951,面试清单!P:P,0)),"")</f>
        <v/>
      </c>
      <c r="J3952" s="10" t="str">
        <f ca="1" t="shared" si="184"/>
        <v/>
      </c>
      <c r="K3952" s="10" t="str">
        <f ca="1" t="shared" si="185"/>
        <v/>
      </c>
    </row>
    <row r="3953" spans="1:11">
      <c r="A3953" s="14" t="str">
        <f t="shared" si="183"/>
        <v/>
      </c>
      <c r="C3953" s="14" t="str">
        <f>IFERROR(INDEX(面试清单!D:D,MATCH(3952,面试清单!P:P,0)),"")</f>
        <v/>
      </c>
      <c r="H3953" s="14" t="str">
        <f>IFERROR(INDEX(面试清单!H:H,MATCH(3952,面试清单!P:P,0)),"")</f>
        <v/>
      </c>
      <c r="J3953" s="14" t="str">
        <f ca="1" t="shared" si="184"/>
        <v/>
      </c>
      <c r="K3953" s="14" t="str">
        <f ca="1" t="shared" si="185"/>
        <v/>
      </c>
    </row>
    <row r="3954" spans="1:11">
      <c r="A3954" s="10" t="str">
        <f t="shared" si="183"/>
        <v/>
      </c>
      <c r="C3954" s="10" t="str">
        <f>IFERROR(INDEX(面试清单!D:D,MATCH(3953,面试清单!P:P,0)),"")</f>
        <v/>
      </c>
      <c r="H3954" s="10" t="str">
        <f>IFERROR(INDEX(面试清单!H:H,MATCH(3953,面试清单!P:P,0)),"")</f>
        <v/>
      </c>
      <c r="J3954" s="10" t="str">
        <f ca="1" t="shared" si="184"/>
        <v/>
      </c>
      <c r="K3954" s="10" t="str">
        <f ca="1" t="shared" si="185"/>
        <v/>
      </c>
    </row>
    <row r="3955" spans="1:11">
      <c r="A3955" s="14" t="str">
        <f t="shared" si="183"/>
        <v/>
      </c>
      <c r="C3955" s="14" t="str">
        <f>IFERROR(INDEX(面试清单!D:D,MATCH(3954,面试清单!P:P,0)),"")</f>
        <v/>
      </c>
      <c r="H3955" s="14" t="str">
        <f>IFERROR(INDEX(面试清单!H:H,MATCH(3954,面试清单!P:P,0)),"")</f>
        <v/>
      </c>
      <c r="J3955" s="14" t="str">
        <f ca="1" t="shared" si="184"/>
        <v/>
      </c>
      <c r="K3955" s="14" t="str">
        <f ca="1" t="shared" si="185"/>
        <v/>
      </c>
    </row>
    <row r="3956" spans="1:11">
      <c r="A3956" s="10" t="str">
        <f t="shared" si="183"/>
        <v/>
      </c>
      <c r="C3956" s="10" t="str">
        <f>IFERROR(INDEX(面试清单!D:D,MATCH(3955,面试清单!P:P,0)),"")</f>
        <v/>
      </c>
      <c r="H3956" s="10" t="str">
        <f>IFERROR(INDEX(面试清单!H:H,MATCH(3955,面试清单!P:P,0)),"")</f>
        <v/>
      </c>
      <c r="J3956" s="10" t="str">
        <f ca="1" t="shared" si="184"/>
        <v/>
      </c>
      <c r="K3956" s="10" t="str">
        <f ca="1" t="shared" si="185"/>
        <v/>
      </c>
    </row>
    <row r="3957" spans="1:11">
      <c r="A3957" s="14" t="str">
        <f t="shared" si="183"/>
        <v/>
      </c>
      <c r="C3957" s="14" t="str">
        <f>IFERROR(INDEX(面试清单!D:D,MATCH(3956,面试清单!P:P,0)),"")</f>
        <v/>
      </c>
      <c r="H3957" s="14" t="str">
        <f>IFERROR(INDEX(面试清单!H:H,MATCH(3956,面试清单!P:P,0)),"")</f>
        <v/>
      </c>
      <c r="J3957" s="14" t="str">
        <f ca="1" t="shared" si="184"/>
        <v/>
      </c>
      <c r="K3957" s="14" t="str">
        <f ca="1" t="shared" si="185"/>
        <v/>
      </c>
    </row>
    <row r="3958" spans="1:11">
      <c r="A3958" s="10" t="str">
        <f t="shared" si="183"/>
        <v/>
      </c>
      <c r="C3958" s="10" t="str">
        <f>IFERROR(INDEX(面试清单!D:D,MATCH(3957,面试清单!P:P,0)),"")</f>
        <v/>
      </c>
      <c r="H3958" s="10" t="str">
        <f>IFERROR(INDEX(面试清单!H:H,MATCH(3957,面试清单!P:P,0)),"")</f>
        <v/>
      </c>
      <c r="J3958" s="10" t="str">
        <f ca="1" t="shared" si="184"/>
        <v/>
      </c>
      <c r="K3958" s="10" t="str">
        <f ca="1" t="shared" si="185"/>
        <v/>
      </c>
    </row>
    <row r="3959" spans="1:11">
      <c r="A3959" s="14" t="str">
        <f t="shared" si="183"/>
        <v/>
      </c>
      <c r="C3959" s="14" t="str">
        <f>IFERROR(INDEX(面试清单!D:D,MATCH(3958,面试清单!P:P,0)),"")</f>
        <v/>
      </c>
      <c r="H3959" s="14" t="str">
        <f>IFERROR(INDEX(面试清单!H:H,MATCH(3958,面试清单!P:P,0)),"")</f>
        <v/>
      </c>
      <c r="J3959" s="14" t="str">
        <f ca="1" t="shared" si="184"/>
        <v/>
      </c>
      <c r="K3959" s="14" t="str">
        <f ca="1" t="shared" si="185"/>
        <v/>
      </c>
    </row>
    <row r="3960" spans="1:11">
      <c r="A3960" s="10" t="str">
        <f t="shared" si="183"/>
        <v/>
      </c>
      <c r="C3960" s="10" t="str">
        <f>IFERROR(INDEX(面试清单!D:D,MATCH(3959,面试清单!P:P,0)),"")</f>
        <v/>
      </c>
      <c r="H3960" s="10" t="str">
        <f>IFERROR(INDEX(面试清单!H:H,MATCH(3959,面试清单!P:P,0)),"")</f>
        <v/>
      </c>
      <c r="J3960" s="10" t="str">
        <f ca="1" t="shared" si="184"/>
        <v/>
      </c>
      <c r="K3960" s="10" t="str">
        <f ca="1" t="shared" si="185"/>
        <v/>
      </c>
    </row>
    <row r="3961" spans="1:11">
      <c r="A3961" s="14" t="str">
        <f t="shared" si="183"/>
        <v/>
      </c>
      <c r="C3961" s="14" t="str">
        <f>IFERROR(INDEX(面试清单!D:D,MATCH(3960,面试清单!P:P,0)),"")</f>
        <v/>
      </c>
      <c r="H3961" s="14" t="str">
        <f>IFERROR(INDEX(面试清单!H:H,MATCH(3960,面试清单!P:P,0)),"")</f>
        <v/>
      </c>
      <c r="J3961" s="14" t="str">
        <f ca="1" t="shared" si="184"/>
        <v/>
      </c>
      <c r="K3961" s="14" t="str">
        <f ca="1" t="shared" si="185"/>
        <v/>
      </c>
    </row>
    <row r="3962" spans="1:11">
      <c r="A3962" s="10" t="str">
        <f t="shared" si="183"/>
        <v/>
      </c>
      <c r="C3962" s="10" t="str">
        <f>IFERROR(INDEX(面试清单!D:D,MATCH(3961,面试清单!P:P,0)),"")</f>
        <v/>
      </c>
      <c r="H3962" s="10" t="str">
        <f>IFERROR(INDEX(面试清单!H:H,MATCH(3961,面试清单!P:P,0)),"")</f>
        <v/>
      </c>
      <c r="J3962" s="10" t="str">
        <f ca="1" t="shared" si="184"/>
        <v/>
      </c>
      <c r="K3962" s="10" t="str">
        <f ca="1" t="shared" si="185"/>
        <v/>
      </c>
    </row>
    <row r="3963" spans="1:11">
      <c r="A3963" s="14" t="str">
        <f t="shared" si="183"/>
        <v/>
      </c>
      <c r="C3963" s="14" t="str">
        <f>IFERROR(INDEX(面试清单!D:D,MATCH(3962,面试清单!P:P,0)),"")</f>
        <v/>
      </c>
      <c r="H3963" s="14" t="str">
        <f>IFERROR(INDEX(面试清单!H:H,MATCH(3962,面试清单!P:P,0)),"")</f>
        <v/>
      </c>
      <c r="J3963" s="14" t="str">
        <f ca="1" t="shared" si="184"/>
        <v/>
      </c>
      <c r="K3963" s="14" t="str">
        <f ca="1" t="shared" si="185"/>
        <v/>
      </c>
    </row>
    <row r="3964" spans="1:11">
      <c r="A3964" s="10" t="str">
        <f t="shared" si="183"/>
        <v/>
      </c>
      <c r="C3964" s="10" t="str">
        <f>IFERROR(INDEX(面试清单!D:D,MATCH(3963,面试清单!P:P,0)),"")</f>
        <v/>
      </c>
      <c r="H3964" s="10" t="str">
        <f>IFERROR(INDEX(面试清单!H:H,MATCH(3963,面试清单!P:P,0)),"")</f>
        <v/>
      </c>
      <c r="J3964" s="10" t="str">
        <f ca="1" t="shared" si="184"/>
        <v/>
      </c>
      <c r="K3964" s="10" t="str">
        <f ca="1" t="shared" si="185"/>
        <v/>
      </c>
    </row>
    <row r="3965" spans="1:11">
      <c r="A3965" s="14" t="str">
        <f t="shared" si="183"/>
        <v/>
      </c>
      <c r="C3965" s="14" t="str">
        <f>IFERROR(INDEX(面试清单!D:D,MATCH(3964,面试清单!P:P,0)),"")</f>
        <v/>
      </c>
      <c r="H3965" s="14" t="str">
        <f>IFERROR(INDEX(面试清单!H:H,MATCH(3964,面试清单!P:P,0)),"")</f>
        <v/>
      </c>
      <c r="J3965" s="14" t="str">
        <f ca="1" t="shared" si="184"/>
        <v/>
      </c>
      <c r="K3965" s="14" t="str">
        <f ca="1" t="shared" si="185"/>
        <v/>
      </c>
    </row>
    <row r="3966" spans="1:11">
      <c r="A3966" s="10" t="str">
        <f t="shared" si="183"/>
        <v/>
      </c>
      <c r="C3966" s="10" t="str">
        <f>IFERROR(INDEX(面试清单!D:D,MATCH(3965,面试清单!P:P,0)),"")</f>
        <v/>
      </c>
      <c r="H3966" s="10" t="str">
        <f>IFERROR(INDEX(面试清单!H:H,MATCH(3965,面试清单!P:P,0)),"")</f>
        <v/>
      </c>
      <c r="J3966" s="10" t="str">
        <f ca="1" t="shared" si="184"/>
        <v/>
      </c>
      <c r="K3966" s="10" t="str">
        <f ca="1" t="shared" si="185"/>
        <v/>
      </c>
    </row>
    <row r="3967" spans="1:11">
      <c r="A3967" s="14" t="str">
        <f t="shared" si="183"/>
        <v/>
      </c>
      <c r="C3967" s="14" t="str">
        <f>IFERROR(INDEX(面试清单!D:D,MATCH(3966,面试清单!P:P,0)),"")</f>
        <v/>
      </c>
      <c r="H3967" s="14" t="str">
        <f>IFERROR(INDEX(面试清单!H:H,MATCH(3966,面试清单!P:P,0)),"")</f>
        <v/>
      </c>
      <c r="J3967" s="14" t="str">
        <f ca="1" t="shared" si="184"/>
        <v/>
      </c>
      <c r="K3967" s="14" t="str">
        <f ca="1" t="shared" si="185"/>
        <v/>
      </c>
    </row>
    <row r="3968" spans="1:11">
      <c r="A3968" s="10" t="str">
        <f t="shared" si="183"/>
        <v/>
      </c>
      <c r="C3968" s="10" t="str">
        <f>IFERROR(INDEX(面试清单!D:D,MATCH(3967,面试清单!P:P,0)),"")</f>
        <v/>
      </c>
      <c r="H3968" s="10" t="str">
        <f>IFERROR(INDEX(面试清单!H:H,MATCH(3967,面试清单!P:P,0)),"")</f>
        <v/>
      </c>
      <c r="J3968" s="10" t="str">
        <f ca="1" t="shared" si="184"/>
        <v/>
      </c>
      <c r="K3968" s="10" t="str">
        <f ca="1" t="shared" si="185"/>
        <v/>
      </c>
    </row>
    <row r="3969" spans="1:11">
      <c r="A3969" s="14" t="str">
        <f t="shared" si="183"/>
        <v/>
      </c>
      <c r="C3969" s="14" t="str">
        <f>IFERROR(INDEX(面试清单!D:D,MATCH(3968,面试清单!P:P,0)),"")</f>
        <v/>
      </c>
      <c r="H3969" s="14" t="str">
        <f>IFERROR(INDEX(面试清单!H:H,MATCH(3968,面试清单!P:P,0)),"")</f>
        <v/>
      </c>
      <c r="J3969" s="14" t="str">
        <f ca="1" t="shared" si="184"/>
        <v/>
      </c>
      <c r="K3969" s="14" t="str">
        <f ca="1" t="shared" si="185"/>
        <v/>
      </c>
    </row>
    <row r="3970" spans="1:11">
      <c r="A3970" s="10" t="str">
        <f t="shared" ref="A3970:A4033" si="186">IF(B3970&lt;&gt;"",ROW()-1,"")</f>
        <v/>
      </c>
      <c r="C3970" s="10" t="str">
        <f>IFERROR(INDEX(面试清单!D:D,MATCH(3969,面试清单!P:P,0)),"")</f>
        <v/>
      </c>
      <c r="H3970" s="10" t="str">
        <f>IFERROR(INDEX(面试清单!H:H,MATCH(3969,面试清单!P:P,0)),"")</f>
        <v/>
      </c>
      <c r="J3970" s="10" t="str">
        <f ca="1" t="shared" ref="J3970:J4033" si="187">IF(G3970&lt;&gt;"",TODAY()-G3970,"")</f>
        <v/>
      </c>
      <c r="K3970" s="10" t="str">
        <f ca="1" t="shared" ref="K3970:K4033" si="188">IF(G3970&lt;&gt;"",MAX(0,MIN(TODAY(),EOMONTH(TODAY(),0))-MAX(G3970,EOMONTH(TODAY(),-1)+1)+1),"")</f>
        <v/>
      </c>
    </row>
    <row r="3971" spans="1:11">
      <c r="A3971" s="14" t="str">
        <f t="shared" si="186"/>
        <v/>
      </c>
      <c r="C3971" s="14" t="str">
        <f>IFERROR(INDEX(面试清单!D:D,MATCH(3970,面试清单!P:P,0)),"")</f>
        <v/>
      </c>
      <c r="H3971" s="14" t="str">
        <f>IFERROR(INDEX(面试清单!H:H,MATCH(3970,面试清单!P:P,0)),"")</f>
        <v/>
      </c>
      <c r="J3971" s="14" t="str">
        <f ca="1" t="shared" si="187"/>
        <v/>
      </c>
      <c r="K3971" s="14" t="str">
        <f ca="1" t="shared" si="188"/>
        <v/>
      </c>
    </row>
    <row r="3972" spans="1:11">
      <c r="A3972" s="10" t="str">
        <f t="shared" si="186"/>
        <v/>
      </c>
      <c r="C3972" s="10" t="str">
        <f>IFERROR(INDEX(面试清单!D:D,MATCH(3971,面试清单!P:P,0)),"")</f>
        <v/>
      </c>
      <c r="H3972" s="10" t="str">
        <f>IFERROR(INDEX(面试清单!H:H,MATCH(3971,面试清单!P:P,0)),"")</f>
        <v/>
      </c>
      <c r="J3972" s="10" t="str">
        <f ca="1" t="shared" si="187"/>
        <v/>
      </c>
      <c r="K3972" s="10" t="str">
        <f ca="1" t="shared" si="188"/>
        <v/>
      </c>
    </row>
    <row r="3973" spans="1:11">
      <c r="A3973" s="14" t="str">
        <f t="shared" si="186"/>
        <v/>
      </c>
      <c r="C3973" s="14" t="str">
        <f>IFERROR(INDEX(面试清单!D:D,MATCH(3972,面试清单!P:P,0)),"")</f>
        <v/>
      </c>
      <c r="H3973" s="14" t="str">
        <f>IFERROR(INDEX(面试清单!H:H,MATCH(3972,面试清单!P:P,0)),"")</f>
        <v/>
      </c>
      <c r="J3973" s="14" t="str">
        <f ca="1" t="shared" si="187"/>
        <v/>
      </c>
      <c r="K3973" s="14" t="str">
        <f ca="1" t="shared" si="188"/>
        <v/>
      </c>
    </row>
    <row r="3974" spans="1:11">
      <c r="A3974" s="10" t="str">
        <f t="shared" si="186"/>
        <v/>
      </c>
      <c r="C3974" s="10" t="str">
        <f>IFERROR(INDEX(面试清单!D:D,MATCH(3973,面试清单!P:P,0)),"")</f>
        <v/>
      </c>
      <c r="H3974" s="10" t="str">
        <f>IFERROR(INDEX(面试清单!H:H,MATCH(3973,面试清单!P:P,0)),"")</f>
        <v/>
      </c>
      <c r="J3974" s="10" t="str">
        <f ca="1" t="shared" si="187"/>
        <v/>
      </c>
      <c r="K3974" s="10" t="str">
        <f ca="1" t="shared" si="188"/>
        <v/>
      </c>
    </row>
    <row r="3975" spans="1:11">
      <c r="A3975" s="14" t="str">
        <f t="shared" si="186"/>
        <v/>
      </c>
      <c r="C3975" s="14" t="str">
        <f>IFERROR(INDEX(面试清单!D:D,MATCH(3974,面试清单!P:P,0)),"")</f>
        <v/>
      </c>
      <c r="H3975" s="14" t="str">
        <f>IFERROR(INDEX(面试清单!H:H,MATCH(3974,面试清单!P:P,0)),"")</f>
        <v/>
      </c>
      <c r="J3975" s="14" t="str">
        <f ca="1" t="shared" si="187"/>
        <v/>
      </c>
      <c r="K3975" s="14" t="str">
        <f ca="1" t="shared" si="188"/>
        <v/>
      </c>
    </row>
    <row r="3976" spans="1:11">
      <c r="A3976" s="10" t="str">
        <f t="shared" si="186"/>
        <v/>
      </c>
      <c r="C3976" s="10" t="str">
        <f>IFERROR(INDEX(面试清单!D:D,MATCH(3975,面试清单!P:P,0)),"")</f>
        <v/>
      </c>
      <c r="H3976" s="10" t="str">
        <f>IFERROR(INDEX(面试清单!H:H,MATCH(3975,面试清单!P:P,0)),"")</f>
        <v/>
      </c>
      <c r="J3976" s="10" t="str">
        <f ca="1" t="shared" si="187"/>
        <v/>
      </c>
      <c r="K3976" s="10" t="str">
        <f ca="1" t="shared" si="188"/>
        <v/>
      </c>
    </row>
    <row r="3977" spans="1:11">
      <c r="A3977" s="14" t="str">
        <f t="shared" si="186"/>
        <v/>
      </c>
      <c r="C3977" s="14" t="str">
        <f>IFERROR(INDEX(面试清单!D:D,MATCH(3976,面试清单!P:P,0)),"")</f>
        <v/>
      </c>
      <c r="H3977" s="14" t="str">
        <f>IFERROR(INDEX(面试清单!H:H,MATCH(3976,面试清单!P:P,0)),"")</f>
        <v/>
      </c>
      <c r="J3977" s="14" t="str">
        <f ca="1" t="shared" si="187"/>
        <v/>
      </c>
      <c r="K3977" s="14" t="str">
        <f ca="1" t="shared" si="188"/>
        <v/>
      </c>
    </row>
    <row r="3978" spans="1:11">
      <c r="A3978" s="10" t="str">
        <f t="shared" si="186"/>
        <v/>
      </c>
      <c r="C3978" s="10" t="str">
        <f>IFERROR(INDEX(面试清单!D:D,MATCH(3977,面试清单!P:P,0)),"")</f>
        <v/>
      </c>
      <c r="H3978" s="10" t="str">
        <f>IFERROR(INDEX(面试清单!H:H,MATCH(3977,面试清单!P:P,0)),"")</f>
        <v/>
      </c>
      <c r="J3978" s="10" t="str">
        <f ca="1" t="shared" si="187"/>
        <v/>
      </c>
      <c r="K3978" s="10" t="str">
        <f ca="1" t="shared" si="188"/>
        <v/>
      </c>
    </row>
    <row r="3979" spans="1:11">
      <c r="A3979" s="14" t="str">
        <f t="shared" si="186"/>
        <v/>
      </c>
      <c r="C3979" s="14" t="str">
        <f>IFERROR(INDEX(面试清单!D:D,MATCH(3978,面试清单!P:P,0)),"")</f>
        <v/>
      </c>
      <c r="H3979" s="14" t="str">
        <f>IFERROR(INDEX(面试清单!H:H,MATCH(3978,面试清单!P:P,0)),"")</f>
        <v/>
      </c>
      <c r="J3979" s="14" t="str">
        <f ca="1" t="shared" si="187"/>
        <v/>
      </c>
      <c r="K3979" s="14" t="str">
        <f ca="1" t="shared" si="188"/>
        <v/>
      </c>
    </row>
    <row r="3980" spans="1:11">
      <c r="A3980" s="10" t="str">
        <f t="shared" si="186"/>
        <v/>
      </c>
      <c r="C3980" s="10" t="str">
        <f>IFERROR(INDEX(面试清单!D:D,MATCH(3979,面试清单!P:P,0)),"")</f>
        <v/>
      </c>
      <c r="H3980" s="10" t="str">
        <f>IFERROR(INDEX(面试清单!H:H,MATCH(3979,面试清单!P:P,0)),"")</f>
        <v/>
      </c>
      <c r="J3980" s="10" t="str">
        <f ca="1" t="shared" si="187"/>
        <v/>
      </c>
      <c r="K3980" s="10" t="str">
        <f ca="1" t="shared" si="188"/>
        <v/>
      </c>
    </row>
    <row r="3981" spans="1:11">
      <c r="A3981" s="14" t="str">
        <f t="shared" si="186"/>
        <v/>
      </c>
      <c r="C3981" s="14" t="str">
        <f>IFERROR(INDEX(面试清单!D:D,MATCH(3980,面试清单!P:P,0)),"")</f>
        <v/>
      </c>
      <c r="H3981" s="14" t="str">
        <f>IFERROR(INDEX(面试清单!H:H,MATCH(3980,面试清单!P:P,0)),"")</f>
        <v/>
      </c>
      <c r="J3981" s="14" t="str">
        <f ca="1" t="shared" si="187"/>
        <v/>
      </c>
      <c r="K3981" s="14" t="str">
        <f ca="1" t="shared" si="188"/>
        <v/>
      </c>
    </row>
    <row r="3982" spans="1:11">
      <c r="A3982" s="10" t="str">
        <f t="shared" si="186"/>
        <v/>
      </c>
      <c r="C3982" s="10" t="str">
        <f>IFERROR(INDEX(面试清单!D:D,MATCH(3981,面试清单!P:P,0)),"")</f>
        <v/>
      </c>
      <c r="H3982" s="10" t="str">
        <f>IFERROR(INDEX(面试清单!H:H,MATCH(3981,面试清单!P:P,0)),"")</f>
        <v/>
      </c>
      <c r="J3982" s="10" t="str">
        <f ca="1" t="shared" si="187"/>
        <v/>
      </c>
      <c r="K3982" s="10" t="str">
        <f ca="1" t="shared" si="188"/>
        <v/>
      </c>
    </row>
    <row r="3983" spans="1:11">
      <c r="A3983" s="14" t="str">
        <f t="shared" si="186"/>
        <v/>
      </c>
      <c r="C3983" s="14" t="str">
        <f>IFERROR(INDEX(面试清单!D:D,MATCH(3982,面试清单!P:P,0)),"")</f>
        <v/>
      </c>
      <c r="H3983" s="14" t="str">
        <f>IFERROR(INDEX(面试清单!H:H,MATCH(3982,面试清单!P:P,0)),"")</f>
        <v/>
      </c>
      <c r="J3983" s="14" t="str">
        <f ca="1" t="shared" si="187"/>
        <v/>
      </c>
      <c r="K3983" s="14" t="str">
        <f ca="1" t="shared" si="188"/>
        <v/>
      </c>
    </row>
    <row r="3984" spans="1:11">
      <c r="A3984" s="10" t="str">
        <f t="shared" si="186"/>
        <v/>
      </c>
      <c r="C3984" s="10" t="str">
        <f>IFERROR(INDEX(面试清单!D:D,MATCH(3983,面试清单!P:P,0)),"")</f>
        <v/>
      </c>
      <c r="H3984" s="10" t="str">
        <f>IFERROR(INDEX(面试清单!H:H,MATCH(3983,面试清单!P:P,0)),"")</f>
        <v/>
      </c>
      <c r="J3984" s="10" t="str">
        <f ca="1" t="shared" si="187"/>
        <v/>
      </c>
      <c r="K3984" s="10" t="str">
        <f ca="1" t="shared" si="188"/>
        <v/>
      </c>
    </row>
    <row r="3985" spans="1:11">
      <c r="A3985" s="14" t="str">
        <f t="shared" si="186"/>
        <v/>
      </c>
      <c r="C3985" s="14" t="str">
        <f>IFERROR(INDEX(面试清单!D:D,MATCH(3984,面试清单!P:P,0)),"")</f>
        <v/>
      </c>
      <c r="H3985" s="14" t="str">
        <f>IFERROR(INDEX(面试清单!H:H,MATCH(3984,面试清单!P:P,0)),"")</f>
        <v/>
      </c>
      <c r="J3985" s="14" t="str">
        <f ca="1" t="shared" si="187"/>
        <v/>
      </c>
      <c r="K3985" s="14" t="str">
        <f ca="1" t="shared" si="188"/>
        <v/>
      </c>
    </row>
    <row r="3986" spans="1:11">
      <c r="A3986" s="10" t="str">
        <f t="shared" si="186"/>
        <v/>
      </c>
      <c r="C3986" s="10" t="str">
        <f>IFERROR(INDEX(面试清单!D:D,MATCH(3985,面试清单!P:P,0)),"")</f>
        <v/>
      </c>
      <c r="H3986" s="10" t="str">
        <f>IFERROR(INDEX(面试清单!H:H,MATCH(3985,面试清单!P:P,0)),"")</f>
        <v/>
      </c>
      <c r="J3986" s="10" t="str">
        <f ca="1" t="shared" si="187"/>
        <v/>
      </c>
      <c r="K3986" s="10" t="str">
        <f ca="1" t="shared" si="188"/>
        <v/>
      </c>
    </row>
    <row r="3987" spans="1:11">
      <c r="A3987" s="14" t="str">
        <f t="shared" si="186"/>
        <v/>
      </c>
      <c r="C3987" s="14" t="str">
        <f>IFERROR(INDEX(面试清单!D:D,MATCH(3986,面试清单!P:P,0)),"")</f>
        <v/>
      </c>
      <c r="H3987" s="14" t="str">
        <f>IFERROR(INDEX(面试清单!H:H,MATCH(3986,面试清单!P:P,0)),"")</f>
        <v/>
      </c>
      <c r="J3987" s="14" t="str">
        <f ca="1" t="shared" si="187"/>
        <v/>
      </c>
      <c r="K3987" s="14" t="str">
        <f ca="1" t="shared" si="188"/>
        <v/>
      </c>
    </row>
    <row r="3988" spans="1:11">
      <c r="A3988" s="10" t="str">
        <f t="shared" si="186"/>
        <v/>
      </c>
      <c r="C3988" s="10" t="str">
        <f>IFERROR(INDEX(面试清单!D:D,MATCH(3987,面试清单!P:P,0)),"")</f>
        <v/>
      </c>
      <c r="H3988" s="10" t="str">
        <f>IFERROR(INDEX(面试清单!H:H,MATCH(3987,面试清单!P:P,0)),"")</f>
        <v/>
      </c>
      <c r="J3988" s="10" t="str">
        <f ca="1" t="shared" si="187"/>
        <v/>
      </c>
      <c r="K3988" s="10" t="str">
        <f ca="1" t="shared" si="188"/>
        <v/>
      </c>
    </row>
    <row r="3989" spans="1:11">
      <c r="A3989" s="14" t="str">
        <f t="shared" si="186"/>
        <v/>
      </c>
      <c r="C3989" s="14" t="str">
        <f>IFERROR(INDEX(面试清单!D:D,MATCH(3988,面试清单!P:P,0)),"")</f>
        <v/>
      </c>
      <c r="H3989" s="14" t="str">
        <f>IFERROR(INDEX(面试清单!H:H,MATCH(3988,面试清单!P:P,0)),"")</f>
        <v/>
      </c>
      <c r="J3989" s="14" t="str">
        <f ca="1" t="shared" si="187"/>
        <v/>
      </c>
      <c r="K3989" s="14" t="str">
        <f ca="1" t="shared" si="188"/>
        <v/>
      </c>
    </row>
    <row r="3990" spans="1:11">
      <c r="A3990" s="10" t="str">
        <f t="shared" si="186"/>
        <v/>
      </c>
      <c r="C3990" s="10" t="str">
        <f>IFERROR(INDEX(面试清单!D:D,MATCH(3989,面试清单!P:P,0)),"")</f>
        <v/>
      </c>
      <c r="H3990" s="10" t="str">
        <f>IFERROR(INDEX(面试清单!H:H,MATCH(3989,面试清单!P:P,0)),"")</f>
        <v/>
      </c>
      <c r="J3990" s="10" t="str">
        <f ca="1" t="shared" si="187"/>
        <v/>
      </c>
      <c r="K3990" s="10" t="str">
        <f ca="1" t="shared" si="188"/>
        <v/>
      </c>
    </row>
    <row r="3991" spans="1:11">
      <c r="A3991" s="14" t="str">
        <f t="shared" si="186"/>
        <v/>
      </c>
      <c r="C3991" s="14" t="str">
        <f>IFERROR(INDEX(面试清单!D:D,MATCH(3990,面试清单!P:P,0)),"")</f>
        <v/>
      </c>
      <c r="H3991" s="14" t="str">
        <f>IFERROR(INDEX(面试清单!H:H,MATCH(3990,面试清单!P:P,0)),"")</f>
        <v/>
      </c>
      <c r="J3991" s="14" t="str">
        <f ca="1" t="shared" si="187"/>
        <v/>
      </c>
      <c r="K3991" s="14" t="str">
        <f ca="1" t="shared" si="188"/>
        <v/>
      </c>
    </row>
    <row r="3992" spans="1:11">
      <c r="A3992" s="10" t="str">
        <f t="shared" si="186"/>
        <v/>
      </c>
      <c r="C3992" s="10" t="str">
        <f>IFERROR(INDEX(面试清单!D:D,MATCH(3991,面试清单!P:P,0)),"")</f>
        <v/>
      </c>
      <c r="H3992" s="10" t="str">
        <f>IFERROR(INDEX(面试清单!H:H,MATCH(3991,面试清单!P:P,0)),"")</f>
        <v/>
      </c>
      <c r="J3992" s="10" t="str">
        <f ca="1" t="shared" si="187"/>
        <v/>
      </c>
      <c r="K3992" s="10" t="str">
        <f ca="1" t="shared" si="188"/>
        <v/>
      </c>
    </row>
    <row r="3993" spans="1:11">
      <c r="A3993" s="14" t="str">
        <f t="shared" si="186"/>
        <v/>
      </c>
      <c r="C3993" s="14" t="str">
        <f>IFERROR(INDEX(面试清单!D:D,MATCH(3992,面试清单!P:P,0)),"")</f>
        <v/>
      </c>
      <c r="H3993" s="14" t="str">
        <f>IFERROR(INDEX(面试清单!H:H,MATCH(3992,面试清单!P:P,0)),"")</f>
        <v/>
      </c>
      <c r="J3993" s="14" t="str">
        <f ca="1" t="shared" si="187"/>
        <v/>
      </c>
      <c r="K3993" s="14" t="str">
        <f ca="1" t="shared" si="188"/>
        <v/>
      </c>
    </row>
    <row r="3994" spans="1:11">
      <c r="A3994" s="10" t="str">
        <f t="shared" si="186"/>
        <v/>
      </c>
      <c r="C3994" s="10" t="str">
        <f>IFERROR(INDEX(面试清单!D:D,MATCH(3993,面试清单!P:P,0)),"")</f>
        <v/>
      </c>
      <c r="H3994" s="10" t="str">
        <f>IFERROR(INDEX(面试清单!H:H,MATCH(3993,面试清单!P:P,0)),"")</f>
        <v/>
      </c>
      <c r="J3994" s="10" t="str">
        <f ca="1" t="shared" si="187"/>
        <v/>
      </c>
      <c r="K3994" s="10" t="str">
        <f ca="1" t="shared" si="188"/>
        <v/>
      </c>
    </row>
    <row r="3995" spans="1:11">
      <c r="A3995" s="14" t="str">
        <f t="shared" si="186"/>
        <v/>
      </c>
      <c r="C3995" s="14" t="str">
        <f>IFERROR(INDEX(面试清单!D:D,MATCH(3994,面试清单!P:P,0)),"")</f>
        <v/>
      </c>
      <c r="H3995" s="14" t="str">
        <f>IFERROR(INDEX(面试清单!H:H,MATCH(3994,面试清单!P:P,0)),"")</f>
        <v/>
      </c>
      <c r="J3995" s="14" t="str">
        <f ca="1" t="shared" si="187"/>
        <v/>
      </c>
      <c r="K3995" s="14" t="str">
        <f ca="1" t="shared" si="188"/>
        <v/>
      </c>
    </row>
    <row r="3996" spans="1:11">
      <c r="A3996" s="10" t="str">
        <f t="shared" si="186"/>
        <v/>
      </c>
      <c r="C3996" s="10" t="str">
        <f>IFERROR(INDEX(面试清单!D:D,MATCH(3995,面试清单!P:P,0)),"")</f>
        <v/>
      </c>
      <c r="H3996" s="10" t="str">
        <f>IFERROR(INDEX(面试清单!H:H,MATCH(3995,面试清单!P:P,0)),"")</f>
        <v/>
      </c>
      <c r="J3996" s="10" t="str">
        <f ca="1" t="shared" si="187"/>
        <v/>
      </c>
      <c r="K3996" s="10" t="str">
        <f ca="1" t="shared" si="188"/>
        <v/>
      </c>
    </row>
    <row r="3997" spans="1:11">
      <c r="A3997" s="14" t="str">
        <f t="shared" si="186"/>
        <v/>
      </c>
      <c r="C3997" s="14" t="str">
        <f>IFERROR(INDEX(面试清单!D:D,MATCH(3996,面试清单!P:P,0)),"")</f>
        <v/>
      </c>
      <c r="H3997" s="14" t="str">
        <f>IFERROR(INDEX(面试清单!H:H,MATCH(3996,面试清单!P:P,0)),"")</f>
        <v/>
      </c>
      <c r="J3997" s="14" t="str">
        <f ca="1" t="shared" si="187"/>
        <v/>
      </c>
      <c r="K3997" s="14" t="str">
        <f ca="1" t="shared" si="188"/>
        <v/>
      </c>
    </row>
    <row r="3998" spans="1:11">
      <c r="A3998" s="10" t="str">
        <f t="shared" si="186"/>
        <v/>
      </c>
      <c r="C3998" s="10" t="str">
        <f>IFERROR(INDEX(面试清单!D:D,MATCH(3997,面试清单!P:P,0)),"")</f>
        <v/>
      </c>
      <c r="H3998" s="10" t="str">
        <f>IFERROR(INDEX(面试清单!H:H,MATCH(3997,面试清单!P:P,0)),"")</f>
        <v/>
      </c>
      <c r="J3998" s="10" t="str">
        <f ca="1" t="shared" si="187"/>
        <v/>
      </c>
      <c r="K3998" s="10" t="str">
        <f ca="1" t="shared" si="188"/>
        <v/>
      </c>
    </row>
    <row r="3999" spans="1:11">
      <c r="A3999" s="14" t="str">
        <f t="shared" si="186"/>
        <v/>
      </c>
      <c r="C3999" s="14" t="str">
        <f>IFERROR(INDEX(面试清单!D:D,MATCH(3998,面试清单!P:P,0)),"")</f>
        <v/>
      </c>
      <c r="H3999" s="14" t="str">
        <f>IFERROR(INDEX(面试清单!H:H,MATCH(3998,面试清单!P:P,0)),"")</f>
        <v/>
      </c>
      <c r="J3999" s="14" t="str">
        <f ca="1" t="shared" si="187"/>
        <v/>
      </c>
      <c r="K3999" s="14" t="str">
        <f ca="1" t="shared" si="188"/>
        <v/>
      </c>
    </row>
    <row r="4000" spans="1:11">
      <c r="A4000" s="10" t="str">
        <f t="shared" si="186"/>
        <v/>
      </c>
      <c r="C4000" s="10" t="str">
        <f>IFERROR(INDEX(面试清单!D:D,MATCH(3999,面试清单!P:P,0)),"")</f>
        <v/>
      </c>
      <c r="H4000" s="10" t="str">
        <f>IFERROR(INDEX(面试清单!H:H,MATCH(3999,面试清单!P:P,0)),"")</f>
        <v/>
      </c>
      <c r="J4000" s="10" t="str">
        <f ca="1" t="shared" si="187"/>
        <v/>
      </c>
      <c r="K4000" s="10" t="str">
        <f ca="1" t="shared" si="188"/>
        <v/>
      </c>
    </row>
    <row r="4001" spans="1:11">
      <c r="A4001" s="14" t="str">
        <f t="shared" si="186"/>
        <v/>
      </c>
      <c r="C4001" s="14" t="str">
        <f>IFERROR(INDEX(面试清单!D:D,MATCH(4000,面试清单!P:P,0)),"")</f>
        <v/>
      </c>
      <c r="H4001" s="14" t="str">
        <f>IFERROR(INDEX(面试清单!H:H,MATCH(4000,面试清单!P:P,0)),"")</f>
        <v/>
      </c>
      <c r="J4001" s="14" t="str">
        <f ca="1" t="shared" si="187"/>
        <v/>
      </c>
      <c r="K4001" s="14" t="str">
        <f ca="1" t="shared" si="188"/>
        <v/>
      </c>
    </row>
    <row r="4002" spans="1:11">
      <c r="A4002" s="10" t="str">
        <f t="shared" si="186"/>
        <v/>
      </c>
      <c r="C4002" s="10" t="str">
        <f>IFERROR(INDEX(面试清单!D:D,MATCH(4001,面试清单!P:P,0)),"")</f>
        <v/>
      </c>
      <c r="H4002" s="10" t="str">
        <f>IFERROR(INDEX(面试清单!H:H,MATCH(4001,面试清单!P:P,0)),"")</f>
        <v/>
      </c>
      <c r="J4002" s="10" t="str">
        <f ca="1" t="shared" si="187"/>
        <v/>
      </c>
      <c r="K4002" s="10" t="str">
        <f ca="1" t="shared" si="188"/>
        <v/>
      </c>
    </row>
    <row r="4003" spans="1:11">
      <c r="A4003" s="14" t="str">
        <f t="shared" si="186"/>
        <v/>
      </c>
      <c r="C4003" s="14" t="str">
        <f>IFERROR(INDEX(面试清单!D:D,MATCH(4002,面试清单!P:P,0)),"")</f>
        <v/>
      </c>
      <c r="H4003" s="14" t="str">
        <f>IFERROR(INDEX(面试清单!H:H,MATCH(4002,面试清单!P:P,0)),"")</f>
        <v/>
      </c>
      <c r="J4003" s="14" t="str">
        <f ca="1" t="shared" si="187"/>
        <v/>
      </c>
      <c r="K4003" s="14" t="str">
        <f ca="1" t="shared" si="188"/>
        <v/>
      </c>
    </row>
    <row r="4004" spans="1:11">
      <c r="A4004" s="10" t="str">
        <f t="shared" si="186"/>
        <v/>
      </c>
      <c r="C4004" s="10" t="str">
        <f>IFERROR(INDEX(面试清单!D:D,MATCH(4003,面试清单!P:P,0)),"")</f>
        <v/>
      </c>
      <c r="H4004" s="10" t="str">
        <f>IFERROR(INDEX(面试清单!H:H,MATCH(4003,面试清单!P:P,0)),"")</f>
        <v/>
      </c>
      <c r="J4004" s="10" t="str">
        <f ca="1" t="shared" si="187"/>
        <v/>
      </c>
      <c r="K4004" s="10" t="str">
        <f ca="1" t="shared" si="188"/>
        <v/>
      </c>
    </row>
    <row r="4005" spans="1:11">
      <c r="A4005" s="14" t="str">
        <f t="shared" si="186"/>
        <v/>
      </c>
      <c r="C4005" s="14" t="str">
        <f>IFERROR(INDEX(面试清单!D:D,MATCH(4004,面试清单!P:P,0)),"")</f>
        <v/>
      </c>
      <c r="H4005" s="14" t="str">
        <f>IFERROR(INDEX(面试清单!H:H,MATCH(4004,面试清单!P:P,0)),"")</f>
        <v/>
      </c>
      <c r="J4005" s="14" t="str">
        <f ca="1" t="shared" si="187"/>
        <v/>
      </c>
      <c r="K4005" s="14" t="str">
        <f ca="1" t="shared" si="188"/>
        <v/>
      </c>
    </row>
    <row r="4006" spans="1:11">
      <c r="A4006" s="10" t="str">
        <f t="shared" si="186"/>
        <v/>
      </c>
      <c r="C4006" s="10" t="str">
        <f>IFERROR(INDEX(面试清单!D:D,MATCH(4005,面试清单!P:P,0)),"")</f>
        <v/>
      </c>
      <c r="H4006" s="10" t="str">
        <f>IFERROR(INDEX(面试清单!H:H,MATCH(4005,面试清单!P:P,0)),"")</f>
        <v/>
      </c>
      <c r="J4006" s="10" t="str">
        <f ca="1" t="shared" si="187"/>
        <v/>
      </c>
      <c r="K4006" s="10" t="str">
        <f ca="1" t="shared" si="188"/>
        <v/>
      </c>
    </row>
    <row r="4007" spans="1:11">
      <c r="A4007" s="14" t="str">
        <f t="shared" si="186"/>
        <v/>
      </c>
      <c r="C4007" s="14" t="str">
        <f>IFERROR(INDEX(面试清单!D:D,MATCH(4006,面试清单!P:P,0)),"")</f>
        <v/>
      </c>
      <c r="H4007" s="14" t="str">
        <f>IFERROR(INDEX(面试清单!H:H,MATCH(4006,面试清单!P:P,0)),"")</f>
        <v/>
      </c>
      <c r="J4007" s="14" t="str">
        <f ca="1" t="shared" si="187"/>
        <v/>
      </c>
      <c r="K4007" s="14" t="str">
        <f ca="1" t="shared" si="188"/>
        <v/>
      </c>
    </row>
    <row r="4008" spans="1:11">
      <c r="A4008" s="10" t="str">
        <f t="shared" si="186"/>
        <v/>
      </c>
      <c r="C4008" s="10" t="str">
        <f>IFERROR(INDEX(面试清单!D:D,MATCH(4007,面试清单!P:P,0)),"")</f>
        <v/>
      </c>
      <c r="H4008" s="10" t="str">
        <f>IFERROR(INDEX(面试清单!H:H,MATCH(4007,面试清单!P:P,0)),"")</f>
        <v/>
      </c>
      <c r="J4008" s="10" t="str">
        <f ca="1" t="shared" si="187"/>
        <v/>
      </c>
      <c r="K4008" s="10" t="str">
        <f ca="1" t="shared" si="188"/>
        <v/>
      </c>
    </row>
    <row r="4009" spans="1:11">
      <c r="A4009" s="14" t="str">
        <f t="shared" si="186"/>
        <v/>
      </c>
      <c r="C4009" s="14" t="str">
        <f>IFERROR(INDEX(面试清单!D:D,MATCH(4008,面试清单!P:P,0)),"")</f>
        <v/>
      </c>
      <c r="H4009" s="14" t="str">
        <f>IFERROR(INDEX(面试清单!H:H,MATCH(4008,面试清单!P:P,0)),"")</f>
        <v/>
      </c>
      <c r="J4009" s="14" t="str">
        <f ca="1" t="shared" si="187"/>
        <v/>
      </c>
      <c r="K4009" s="14" t="str">
        <f ca="1" t="shared" si="188"/>
        <v/>
      </c>
    </row>
    <row r="4010" spans="1:11">
      <c r="A4010" s="10" t="str">
        <f t="shared" si="186"/>
        <v/>
      </c>
      <c r="C4010" s="10" t="str">
        <f>IFERROR(INDEX(面试清单!D:D,MATCH(4009,面试清单!P:P,0)),"")</f>
        <v/>
      </c>
      <c r="H4010" s="10" t="str">
        <f>IFERROR(INDEX(面试清单!H:H,MATCH(4009,面试清单!P:P,0)),"")</f>
        <v/>
      </c>
      <c r="J4010" s="10" t="str">
        <f ca="1" t="shared" si="187"/>
        <v/>
      </c>
      <c r="K4010" s="10" t="str">
        <f ca="1" t="shared" si="188"/>
        <v/>
      </c>
    </row>
    <row r="4011" spans="1:11">
      <c r="A4011" s="14" t="str">
        <f t="shared" si="186"/>
        <v/>
      </c>
      <c r="C4011" s="14" t="str">
        <f>IFERROR(INDEX(面试清单!D:D,MATCH(4010,面试清单!P:P,0)),"")</f>
        <v/>
      </c>
      <c r="H4011" s="14" t="str">
        <f>IFERROR(INDEX(面试清单!H:H,MATCH(4010,面试清单!P:P,0)),"")</f>
        <v/>
      </c>
      <c r="J4011" s="14" t="str">
        <f ca="1" t="shared" si="187"/>
        <v/>
      </c>
      <c r="K4011" s="14" t="str">
        <f ca="1" t="shared" si="188"/>
        <v/>
      </c>
    </row>
    <row r="4012" spans="1:11">
      <c r="A4012" s="10" t="str">
        <f t="shared" si="186"/>
        <v/>
      </c>
      <c r="C4012" s="10" t="str">
        <f>IFERROR(INDEX(面试清单!D:D,MATCH(4011,面试清单!P:P,0)),"")</f>
        <v/>
      </c>
      <c r="H4012" s="10" t="str">
        <f>IFERROR(INDEX(面试清单!H:H,MATCH(4011,面试清单!P:P,0)),"")</f>
        <v/>
      </c>
      <c r="J4012" s="10" t="str">
        <f ca="1" t="shared" si="187"/>
        <v/>
      </c>
      <c r="K4012" s="10" t="str">
        <f ca="1" t="shared" si="188"/>
        <v/>
      </c>
    </row>
    <row r="4013" spans="1:11">
      <c r="A4013" s="14" t="str">
        <f t="shared" si="186"/>
        <v/>
      </c>
      <c r="C4013" s="14" t="str">
        <f>IFERROR(INDEX(面试清单!D:D,MATCH(4012,面试清单!P:P,0)),"")</f>
        <v/>
      </c>
      <c r="H4013" s="14" t="str">
        <f>IFERROR(INDEX(面试清单!H:H,MATCH(4012,面试清单!P:P,0)),"")</f>
        <v/>
      </c>
      <c r="J4013" s="14" t="str">
        <f ca="1" t="shared" si="187"/>
        <v/>
      </c>
      <c r="K4013" s="14" t="str">
        <f ca="1" t="shared" si="188"/>
        <v/>
      </c>
    </row>
    <row r="4014" spans="1:11">
      <c r="A4014" s="10" t="str">
        <f t="shared" si="186"/>
        <v/>
      </c>
      <c r="C4014" s="10" t="str">
        <f>IFERROR(INDEX(面试清单!D:D,MATCH(4013,面试清单!P:P,0)),"")</f>
        <v/>
      </c>
      <c r="H4014" s="10" t="str">
        <f>IFERROR(INDEX(面试清单!H:H,MATCH(4013,面试清单!P:P,0)),"")</f>
        <v/>
      </c>
      <c r="J4014" s="10" t="str">
        <f ca="1" t="shared" si="187"/>
        <v/>
      </c>
      <c r="K4014" s="10" t="str">
        <f ca="1" t="shared" si="188"/>
        <v/>
      </c>
    </row>
    <row r="4015" spans="1:11">
      <c r="A4015" s="14" t="str">
        <f t="shared" si="186"/>
        <v/>
      </c>
      <c r="C4015" s="14" t="str">
        <f>IFERROR(INDEX(面试清单!D:D,MATCH(4014,面试清单!P:P,0)),"")</f>
        <v/>
      </c>
      <c r="H4015" s="14" t="str">
        <f>IFERROR(INDEX(面试清单!H:H,MATCH(4014,面试清单!P:P,0)),"")</f>
        <v/>
      </c>
      <c r="J4015" s="14" t="str">
        <f ca="1" t="shared" si="187"/>
        <v/>
      </c>
      <c r="K4015" s="14" t="str">
        <f ca="1" t="shared" si="188"/>
        <v/>
      </c>
    </row>
    <row r="4016" spans="1:11">
      <c r="A4016" s="10" t="str">
        <f t="shared" si="186"/>
        <v/>
      </c>
      <c r="C4016" s="10" t="str">
        <f>IFERROR(INDEX(面试清单!D:D,MATCH(4015,面试清单!P:P,0)),"")</f>
        <v/>
      </c>
      <c r="H4016" s="10" t="str">
        <f>IFERROR(INDEX(面试清单!H:H,MATCH(4015,面试清单!P:P,0)),"")</f>
        <v/>
      </c>
      <c r="J4016" s="10" t="str">
        <f ca="1" t="shared" si="187"/>
        <v/>
      </c>
      <c r="K4016" s="10" t="str">
        <f ca="1" t="shared" si="188"/>
        <v/>
      </c>
    </row>
    <row r="4017" spans="1:11">
      <c r="A4017" s="14" t="str">
        <f t="shared" si="186"/>
        <v/>
      </c>
      <c r="C4017" s="14" t="str">
        <f>IFERROR(INDEX(面试清单!D:D,MATCH(4016,面试清单!P:P,0)),"")</f>
        <v/>
      </c>
      <c r="H4017" s="14" t="str">
        <f>IFERROR(INDEX(面试清单!H:H,MATCH(4016,面试清单!P:P,0)),"")</f>
        <v/>
      </c>
      <c r="J4017" s="14" t="str">
        <f ca="1" t="shared" si="187"/>
        <v/>
      </c>
      <c r="K4017" s="14" t="str">
        <f ca="1" t="shared" si="188"/>
        <v/>
      </c>
    </row>
    <row r="4018" spans="1:11">
      <c r="A4018" s="10" t="str">
        <f t="shared" si="186"/>
        <v/>
      </c>
      <c r="C4018" s="10" t="str">
        <f>IFERROR(INDEX(面试清单!D:D,MATCH(4017,面试清单!P:P,0)),"")</f>
        <v/>
      </c>
      <c r="H4018" s="10" t="str">
        <f>IFERROR(INDEX(面试清单!H:H,MATCH(4017,面试清单!P:P,0)),"")</f>
        <v/>
      </c>
      <c r="J4018" s="10" t="str">
        <f ca="1" t="shared" si="187"/>
        <v/>
      </c>
      <c r="K4018" s="10" t="str">
        <f ca="1" t="shared" si="188"/>
        <v/>
      </c>
    </row>
    <row r="4019" spans="1:11">
      <c r="A4019" s="14" t="str">
        <f t="shared" si="186"/>
        <v/>
      </c>
      <c r="C4019" s="14" t="str">
        <f>IFERROR(INDEX(面试清单!D:D,MATCH(4018,面试清单!P:P,0)),"")</f>
        <v/>
      </c>
      <c r="H4019" s="14" t="str">
        <f>IFERROR(INDEX(面试清单!H:H,MATCH(4018,面试清单!P:P,0)),"")</f>
        <v/>
      </c>
      <c r="J4019" s="14" t="str">
        <f ca="1" t="shared" si="187"/>
        <v/>
      </c>
      <c r="K4019" s="14" t="str">
        <f ca="1" t="shared" si="188"/>
        <v/>
      </c>
    </row>
    <row r="4020" spans="1:11">
      <c r="A4020" s="10" t="str">
        <f t="shared" si="186"/>
        <v/>
      </c>
      <c r="C4020" s="10" t="str">
        <f>IFERROR(INDEX(面试清单!D:D,MATCH(4019,面试清单!P:P,0)),"")</f>
        <v/>
      </c>
      <c r="H4020" s="10" t="str">
        <f>IFERROR(INDEX(面试清单!H:H,MATCH(4019,面试清单!P:P,0)),"")</f>
        <v/>
      </c>
      <c r="J4020" s="10" t="str">
        <f ca="1" t="shared" si="187"/>
        <v/>
      </c>
      <c r="K4020" s="10" t="str">
        <f ca="1" t="shared" si="188"/>
        <v/>
      </c>
    </row>
    <row r="4021" spans="1:11">
      <c r="A4021" s="14" t="str">
        <f t="shared" si="186"/>
        <v/>
      </c>
      <c r="C4021" s="14" t="str">
        <f>IFERROR(INDEX(面试清单!D:D,MATCH(4020,面试清单!P:P,0)),"")</f>
        <v/>
      </c>
      <c r="H4021" s="14" t="str">
        <f>IFERROR(INDEX(面试清单!H:H,MATCH(4020,面试清单!P:P,0)),"")</f>
        <v/>
      </c>
      <c r="J4021" s="14" t="str">
        <f ca="1" t="shared" si="187"/>
        <v/>
      </c>
      <c r="K4021" s="14" t="str">
        <f ca="1" t="shared" si="188"/>
        <v/>
      </c>
    </row>
    <row r="4022" spans="1:11">
      <c r="A4022" s="10" t="str">
        <f t="shared" si="186"/>
        <v/>
      </c>
      <c r="C4022" s="10" t="str">
        <f>IFERROR(INDEX(面试清单!D:D,MATCH(4021,面试清单!P:P,0)),"")</f>
        <v/>
      </c>
      <c r="H4022" s="10" t="str">
        <f>IFERROR(INDEX(面试清单!H:H,MATCH(4021,面试清单!P:P,0)),"")</f>
        <v/>
      </c>
      <c r="J4022" s="10" t="str">
        <f ca="1" t="shared" si="187"/>
        <v/>
      </c>
      <c r="K4022" s="10" t="str">
        <f ca="1" t="shared" si="188"/>
        <v/>
      </c>
    </row>
    <row r="4023" spans="1:11">
      <c r="A4023" s="14" t="str">
        <f t="shared" si="186"/>
        <v/>
      </c>
      <c r="C4023" s="14" t="str">
        <f>IFERROR(INDEX(面试清单!D:D,MATCH(4022,面试清单!P:P,0)),"")</f>
        <v/>
      </c>
      <c r="H4023" s="14" t="str">
        <f>IFERROR(INDEX(面试清单!H:H,MATCH(4022,面试清单!P:P,0)),"")</f>
        <v/>
      </c>
      <c r="J4023" s="14" t="str">
        <f ca="1" t="shared" si="187"/>
        <v/>
      </c>
      <c r="K4023" s="14" t="str">
        <f ca="1" t="shared" si="188"/>
        <v/>
      </c>
    </row>
    <row r="4024" spans="1:11">
      <c r="A4024" s="10" t="str">
        <f t="shared" si="186"/>
        <v/>
      </c>
      <c r="C4024" s="10" t="str">
        <f>IFERROR(INDEX(面试清单!D:D,MATCH(4023,面试清单!P:P,0)),"")</f>
        <v/>
      </c>
      <c r="H4024" s="10" t="str">
        <f>IFERROR(INDEX(面试清单!H:H,MATCH(4023,面试清单!P:P,0)),"")</f>
        <v/>
      </c>
      <c r="J4024" s="10" t="str">
        <f ca="1" t="shared" si="187"/>
        <v/>
      </c>
      <c r="K4024" s="10" t="str">
        <f ca="1" t="shared" si="188"/>
        <v/>
      </c>
    </row>
    <row r="4025" spans="1:11">
      <c r="A4025" s="14" t="str">
        <f t="shared" si="186"/>
        <v/>
      </c>
      <c r="C4025" s="14" t="str">
        <f>IFERROR(INDEX(面试清单!D:D,MATCH(4024,面试清单!P:P,0)),"")</f>
        <v/>
      </c>
      <c r="H4025" s="14" t="str">
        <f>IFERROR(INDEX(面试清单!H:H,MATCH(4024,面试清单!P:P,0)),"")</f>
        <v/>
      </c>
      <c r="J4025" s="14" t="str">
        <f ca="1" t="shared" si="187"/>
        <v/>
      </c>
      <c r="K4025" s="14" t="str">
        <f ca="1" t="shared" si="188"/>
        <v/>
      </c>
    </row>
    <row r="4026" spans="1:11">
      <c r="A4026" s="10" t="str">
        <f t="shared" si="186"/>
        <v/>
      </c>
      <c r="C4026" s="10" t="str">
        <f>IFERROR(INDEX(面试清单!D:D,MATCH(4025,面试清单!P:P,0)),"")</f>
        <v/>
      </c>
      <c r="H4026" s="10" t="str">
        <f>IFERROR(INDEX(面试清单!H:H,MATCH(4025,面试清单!P:P,0)),"")</f>
        <v/>
      </c>
      <c r="J4026" s="10" t="str">
        <f ca="1" t="shared" si="187"/>
        <v/>
      </c>
      <c r="K4026" s="10" t="str">
        <f ca="1" t="shared" si="188"/>
        <v/>
      </c>
    </row>
    <row r="4027" spans="1:11">
      <c r="A4027" s="14" t="str">
        <f t="shared" si="186"/>
        <v/>
      </c>
      <c r="C4027" s="14" t="str">
        <f>IFERROR(INDEX(面试清单!D:D,MATCH(4026,面试清单!P:P,0)),"")</f>
        <v/>
      </c>
      <c r="H4027" s="14" t="str">
        <f>IFERROR(INDEX(面试清单!H:H,MATCH(4026,面试清单!P:P,0)),"")</f>
        <v/>
      </c>
      <c r="J4027" s="14" t="str">
        <f ca="1" t="shared" si="187"/>
        <v/>
      </c>
      <c r="K4027" s="14" t="str">
        <f ca="1" t="shared" si="188"/>
        <v/>
      </c>
    </row>
    <row r="4028" spans="1:11">
      <c r="A4028" s="10" t="str">
        <f t="shared" si="186"/>
        <v/>
      </c>
      <c r="C4028" s="10" t="str">
        <f>IFERROR(INDEX(面试清单!D:D,MATCH(4027,面试清单!P:P,0)),"")</f>
        <v/>
      </c>
      <c r="H4028" s="10" t="str">
        <f>IFERROR(INDEX(面试清单!H:H,MATCH(4027,面试清单!P:P,0)),"")</f>
        <v/>
      </c>
      <c r="J4028" s="10" t="str">
        <f ca="1" t="shared" si="187"/>
        <v/>
      </c>
      <c r="K4028" s="10" t="str">
        <f ca="1" t="shared" si="188"/>
        <v/>
      </c>
    </row>
    <row r="4029" spans="1:11">
      <c r="A4029" s="14" t="str">
        <f t="shared" si="186"/>
        <v/>
      </c>
      <c r="C4029" s="14" t="str">
        <f>IFERROR(INDEX(面试清单!D:D,MATCH(4028,面试清单!P:P,0)),"")</f>
        <v/>
      </c>
      <c r="H4029" s="14" t="str">
        <f>IFERROR(INDEX(面试清单!H:H,MATCH(4028,面试清单!P:P,0)),"")</f>
        <v/>
      </c>
      <c r="J4029" s="14" t="str">
        <f ca="1" t="shared" si="187"/>
        <v/>
      </c>
      <c r="K4029" s="14" t="str">
        <f ca="1" t="shared" si="188"/>
        <v/>
      </c>
    </row>
    <row r="4030" spans="1:11">
      <c r="A4030" s="10" t="str">
        <f t="shared" si="186"/>
        <v/>
      </c>
      <c r="C4030" s="10" t="str">
        <f>IFERROR(INDEX(面试清单!D:D,MATCH(4029,面试清单!P:P,0)),"")</f>
        <v/>
      </c>
      <c r="H4030" s="10" t="str">
        <f>IFERROR(INDEX(面试清单!H:H,MATCH(4029,面试清单!P:P,0)),"")</f>
        <v/>
      </c>
      <c r="J4030" s="10" t="str">
        <f ca="1" t="shared" si="187"/>
        <v/>
      </c>
      <c r="K4030" s="10" t="str">
        <f ca="1" t="shared" si="188"/>
        <v/>
      </c>
    </row>
    <row r="4031" spans="1:11">
      <c r="A4031" s="14" t="str">
        <f t="shared" si="186"/>
        <v/>
      </c>
      <c r="C4031" s="14" t="str">
        <f>IFERROR(INDEX(面试清单!D:D,MATCH(4030,面试清单!P:P,0)),"")</f>
        <v/>
      </c>
      <c r="H4031" s="14" t="str">
        <f>IFERROR(INDEX(面试清单!H:H,MATCH(4030,面试清单!P:P,0)),"")</f>
        <v/>
      </c>
      <c r="J4031" s="14" t="str">
        <f ca="1" t="shared" si="187"/>
        <v/>
      </c>
      <c r="K4031" s="14" t="str">
        <f ca="1" t="shared" si="188"/>
        <v/>
      </c>
    </row>
    <row r="4032" spans="1:11">
      <c r="A4032" s="10" t="str">
        <f t="shared" si="186"/>
        <v/>
      </c>
      <c r="C4032" s="10" t="str">
        <f>IFERROR(INDEX(面试清单!D:D,MATCH(4031,面试清单!P:P,0)),"")</f>
        <v/>
      </c>
      <c r="H4032" s="10" t="str">
        <f>IFERROR(INDEX(面试清单!H:H,MATCH(4031,面试清单!P:P,0)),"")</f>
        <v/>
      </c>
      <c r="J4032" s="10" t="str">
        <f ca="1" t="shared" si="187"/>
        <v/>
      </c>
      <c r="K4032" s="10" t="str">
        <f ca="1" t="shared" si="188"/>
        <v/>
      </c>
    </row>
    <row r="4033" spans="1:11">
      <c r="A4033" s="14" t="str">
        <f t="shared" si="186"/>
        <v/>
      </c>
      <c r="C4033" s="14" t="str">
        <f>IFERROR(INDEX(面试清单!D:D,MATCH(4032,面试清单!P:P,0)),"")</f>
        <v/>
      </c>
      <c r="H4033" s="14" t="str">
        <f>IFERROR(INDEX(面试清单!H:H,MATCH(4032,面试清单!P:P,0)),"")</f>
        <v/>
      </c>
      <c r="J4033" s="14" t="str">
        <f ca="1" t="shared" si="187"/>
        <v/>
      </c>
      <c r="K4033" s="14" t="str">
        <f ca="1" t="shared" si="188"/>
        <v/>
      </c>
    </row>
    <row r="4034" spans="1:11">
      <c r="A4034" s="10" t="str">
        <f t="shared" ref="A4034:A4097" si="189">IF(B4034&lt;&gt;"",ROW()-1,"")</f>
        <v/>
      </c>
      <c r="C4034" s="10" t="str">
        <f>IFERROR(INDEX(面试清单!D:D,MATCH(4033,面试清单!P:P,0)),"")</f>
        <v/>
      </c>
      <c r="H4034" s="10" t="str">
        <f>IFERROR(INDEX(面试清单!H:H,MATCH(4033,面试清单!P:P,0)),"")</f>
        <v/>
      </c>
      <c r="J4034" s="10" t="str">
        <f ca="1" t="shared" ref="J4034:J4097" si="190">IF(G4034&lt;&gt;"",TODAY()-G4034,"")</f>
        <v/>
      </c>
      <c r="K4034" s="10" t="str">
        <f ca="1" t="shared" ref="K4034:K4097" si="191">IF(G4034&lt;&gt;"",MAX(0,MIN(TODAY(),EOMONTH(TODAY(),0))-MAX(G4034,EOMONTH(TODAY(),-1)+1)+1),"")</f>
        <v/>
      </c>
    </row>
    <row r="4035" spans="1:11">
      <c r="A4035" s="14" t="str">
        <f t="shared" si="189"/>
        <v/>
      </c>
      <c r="C4035" s="14" t="str">
        <f>IFERROR(INDEX(面试清单!D:D,MATCH(4034,面试清单!P:P,0)),"")</f>
        <v/>
      </c>
      <c r="H4035" s="14" t="str">
        <f>IFERROR(INDEX(面试清单!H:H,MATCH(4034,面试清单!P:P,0)),"")</f>
        <v/>
      </c>
      <c r="J4035" s="14" t="str">
        <f ca="1" t="shared" si="190"/>
        <v/>
      </c>
      <c r="K4035" s="14" t="str">
        <f ca="1" t="shared" si="191"/>
        <v/>
      </c>
    </row>
    <row r="4036" spans="1:11">
      <c r="A4036" s="10" t="str">
        <f t="shared" si="189"/>
        <v/>
      </c>
      <c r="C4036" s="10" t="str">
        <f>IFERROR(INDEX(面试清单!D:D,MATCH(4035,面试清单!P:P,0)),"")</f>
        <v/>
      </c>
      <c r="H4036" s="10" t="str">
        <f>IFERROR(INDEX(面试清单!H:H,MATCH(4035,面试清单!P:P,0)),"")</f>
        <v/>
      </c>
      <c r="J4036" s="10" t="str">
        <f ca="1" t="shared" si="190"/>
        <v/>
      </c>
      <c r="K4036" s="10" t="str">
        <f ca="1" t="shared" si="191"/>
        <v/>
      </c>
    </row>
    <row r="4037" spans="1:11">
      <c r="A4037" s="14" t="str">
        <f t="shared" si="189"/>
        <v/>
      </c>
      <c r="C4037" s="14" t="str">
        <f>IFERROR(INDEX(面试清单!D:D,MATCH(4036,面试清单!P:P,0)),"")</f>
        <v/>
      </c>
      <c r="H4037" s="14" t="str">
        <f>IFERROR(INDEX(面试清单!H:H,MATCH(4036,面试清单!P:P,0)),"")</f>
        <v/>
      </c>
      <c r="J4037" s="14" t="str">
        <f ca="1" t="shared" si="190"/>
        <v/>
      </c>
      <c r="K4037" s="14" t="str">
        <f ca="1" t="shared" si="191"/>
        <v/>
      </c>
    </row>
    <row r="4038" spans="1:11">
      <c r="A4038" s="10" t="str">
        <f t="shared" si="189"/>
        <v/>
      </c>
      <c r="C4038" s="10" t="str">
        <f>IFERROR(INDEX(面试清单!D:D,MATCH(4037,面试清单!P:P,0)),"")</f>
        <v/>
      </c>
      <c r="H4038" s="10" t="str">
        <f>IFERROR(INDEX(面试清单!H:H,MATCH(4037,面试清单!P:P,0)),"")</f>
        <v/>
      </c>
      <c r="J4038" s="10" t="str">
        <f ca="1" t="shared" si="190"/>
        <v/>
      </c>
      <c r="K4038" s="10" t="str">
        <f ca="1" t="shared" si="191"/>
        <v/>
      </c>
    </row>
    <row r="4039" spans="1:11">
      <c r="A4039" s="14" t="str">
        <f t="shared" si="189"/>
        <v/>
      </c>
      <c r="C4039" s="14" t="str">
        <f>IFERROR(INDEX(面试清单!D:D,MATCH(4038,面试清单!P:P,0)),"")</f>
        <v/>
      </c>
      <c r="H4039" s="14" t="str">
        <f>IFERROR(INDEX(面试清单!H:H,MATCH(4038,面试清单!P:P,0)),"")</f>
        <v/>
      </c>
      <c r="J4039" s="14" t="str">
        <f ca="1" t="shared" si="190"/>
        <v/>
      </c>
      <c r="K4039" s="14" t="str">
        <f ca="1" t="shared" si="191"/>
        <v/>
      </c>
    </row>
    <row r="4040" spans="1:11">
      <c r="A4040" s="10" t="str">
        <f t="shared" si="189"/>
        <v/>
      </c>
      <c r="C4040" s="10" t="str">
        <f>IFERROR(INDEX(面试清单!D:D,MATCH(4039,面试清单!P:P,0)),"")</f>
        <v/>
      </c>
      <c r="H4040" s="10" t="str">
        <f>IFERROR(INDEX(面试清单!H:H,MATCH(4039,面试清单!P:P,0)),"")</f>
        <v/>
      </c>
      <c r="J4040" s="10" t="str">
        <f ca="1" t="shared" si="190"/>
        <v/>
      </c>
      <c r="K4040" s="10" t="str">
        <f ca="1" t="shared" si="191"/>
        <v/>
      </c>
    </row>
    <row r="4041" spans="1:11">
      <c r="A4041" s="14" t="str">
        <f t="shared" si="189"/>
        <v/>
      </c>
      <c r="C4041" s="14" t="str">
        <f>IFERROR(INDEX(面试清单!D:D,MATCH(4040,面试清单!P:P,0)),"")</f>
        <v/>
      </c>
      <c r="H4041" s="14" t="str">
        <f>IFERROR(INDEX(面试清单!H:H,MATCH(4040,面试清单!P:P,0)),"")</f>
        <v/>
      </c>
      <c r="J4041" s="14" t="str">
        <f ca="1" t="shared" si="190"/>
        <v/>
      </c>
      <c r="K4041" s="14" t="str">
        <f ca="1" t="shared" si="191"/>
        <v/>
      </c>
    </row>
    <row r="4042" spans="1:11">
      <c r="A4042" s="10" t="str">
        <f t="shared" si="189"/>
        <v/>
      </c>
      <c r="C4042" s="10" t="str">
        <f>IFERROR(INDEX(面试清单!D:D,MATCH(4041,面试清单!P:P,0)),"")</f>
        <v/>
      </c>
      <c r="H4042" s="10" t="str">
        <f>IFERROR(INDEX(面试清单!H:H,MATCH(4041,面试清单!P:P,0)),"")</f>
        <v/>
      </c>
      <c r="J4042" s="10" t="str">
        <f ca="1" t="shared" si="190"/>
        <v/>
      </c>
      <c r="K4042" s="10" t="str">
        <f ca="1" t="shared" si="191"/>
        <v/>
      </c>
    </row>
    <row r="4043" spans="1:11">
      <c r="A4043" s="14" t="str">
        <f t="shared" si="189"/>
        <v/>
      </c>
      <c r="C4043" s="14" t="str">
        <f>IFERROR(INDEX(面试清单!D:D,MATCH(4042,面试清单!P:P,0)),"")</f>
        <v/>
      </c>
      <c r="H4043" s="14" t="str">
        <f>IFERROR(INDEX(面试清单!H:H,MATCH(4042,面试清单!P:P,0)),"")</f>
        <v/>
      </c>
      <c r="J4043" s="14" t="str">
        <f ca="1" t="shared" si="190"/>
        <v/>
      </c>
      <c r="K4043" s="14" t="str">
        <f ca="1" t="shared" si="191"/>
        <v/>
      </c>
    </row>
    <row r="4044" spans="1:11">
      <c r="A4044" s="10" t="str">
        <f t="shared" si="189"/>
        <v/>
      </c>
      <c r="C4044" s="10" t="str">
        <f>IFERROR(INDEX(面试清单!D:D,MATCH(4043,面试清单!P:P,0)),"")</f>
        <v/>
      </c>
      <c r="H4044" s="10" t="str">
        <f>IFERROR(INDEX(面试清单!H:H,MATCH(4043,面试清单!P:P,0)),"")</f>
        <v/>
      </c>
      <c r="J4044" s="10" t="str">
        <f ca="1" t="shared" si="190"/>
        <v/>
      </c>
      <c r="K4044" s="10" t="str">
        <f ca="1" t="shared" si="191"/>
        <v/>
      </c>
    </row>
    <row r="4045" spans="1:11">
      <c r="A4045" s="14" t="str">
        <f t="shared" si="189"/>
        <v/>
      </c>
      <c r="C4045" s="14" t="str">
        <f>IFERROR(INDEX(面试清单!D:D,MATCH(4044,面试清单!P:P,0)),"")</f>
        <v/>
      </c>
      <c r="H4045" s="14" t="str">
        <f>IFERROR(INDEX(面试清单!H:H,MATCH(4044,面试清单!P:P,0)),"")</f>
        <v/>
      </c>
      <c r="J4045" s="14" t="str">
        <f ca="1" t="shared" si="190"/>
        <v/>
      </c>
      <c r="K4045" s="14" t="str">
        <f ca="1" t="shared" si="191"/>
        <v/>
      </c>
    </row>
    <row r="4046" spans="1:11">
      <c r="A4046" s="10" t="str">
        <f t="shared" si="189"/>
        <v/>
      </c>
      <c r="C4046" s="10" t="str">
        <f>IFERROR(INDEX(面试清单!D:D,MATCH(4045,面试清单!P:P,0)),"")</f>
        <v/>
      </c>
      <c r="H4046" s="10" t="str">
        <f>IFERROR(INDEX(面试清单!H:H,MATCH(4045,面试清单!P:P,0)),"")</f>
        <v/>
      </c>
      <c r="J4046" s="10" t="str">
        <f ca="1" t="shared" si="190"/>
        <v/>
      </c>
      <c r="K4046" s="10" t="str">
        <f ca="1" t="shared" si="191"/>
        <v/>
      </c>
    </row>
    <row r="4047" spans="1:11">
      <c r="A4047" s="14" t="str">
        <f t="shared" si="189"/>
        <v/>
      </c>
      <c r="C4047" s="14" t="str">
        <f>IFERROR(INDEX(面试清单!D:D,MATCH(4046,面试清单!P:P,0)),"")</f>
        <v/>
      </c>
      <c r="H4047" s="14" t="str">
        <f>IFERROR(INDEX(面试清单!H:H,MATCH(4046,面试清单!P:P,0)),"")</f>
        <v/>
      </c>
      <c r="J4047" s="14" t="str">
        <f ca="1" t="shared" si="190"/>
        <v/>
      </c>
      <c r="K4047" s="14" t="str">
        <f ca="1" t="shared" si="191"/>
        <v/>
      </c>
    </row>
    <row r="4048" spans="1:11">
      <c r="A4048" s="10" t="str">
        <f t="shared" si="189"/>
        <v/>
      </c>
      <c r="C4048" s="10" t="str">
        <f>IFERROR(INDEX(面试清单!D:D,MATCH(4047,面试清单!P:P,0)),"")</f>
        <v/>
      </c>
      <c r="H4048" s="10" t="str">
        <f>IFERROR(INDEX(面试清单!H:H,MATCH(4047,面试清单!P:P,0)),"")</f>
        <v/>
      </c>
      <c r="J4048" s="10" t="str">
        <f ca="1" t="shared" si="190"/>
        <v/>
      </c>
      <c r="K4048" s="10" t="str">
        <f ca="1" t="shared" si="191"/>
        <v/>
      </c>
    </row>
    <row r="4049" spans="1:11">
      <c r="A4049" s="14" t="str">
        <f t="shared" si="189"/>
        <v/>
      </c>
      <c r="C4049" s="14" t="str">
        <f>IFERROR(INDEX(面试清单!D:D,MATCH(4048,面试清单!P:P,0)),"")</f>
        <v/>
      </c>
      <c r="H4049" s="14" t="str">
        <f>IFERROR(INDEX(面试清单!H:H,MATCH(4048,面试清单!P:P,0)),"")</f>
        <v/>
      </c>
      <c r="J4049" s="14" t="str">
        <f ca="1" t="shared" si="190"/>
        <v/>
      </c>
      <c r="K4049" s="14" t="str">
        <f ca="1" t="shared" si="191"/>
        <v/>
      </c>
    </row>
    <row r="4050" spans="1:11">
      <c r="A4050" s="10" t="str">
        <f t="shared" si="189"/>
        <v/>
      </c>
      <c r="C4050" s="10" t="str">
        <f>IFERROR(INDEX(面试清单!D:D,MATCH(4049,面试清单!P:P,0)),"")</f>
        <v/>
      </c>
      <c r="H4050" s="10" t="str">
        <f>IFERROR(INDEX(面试清单!H:H,MATCH(4049,面试清单!P:P,0)),"")</f>
        <v/>
      </c>
      <c r="J4050" s="10" t="str">
        <f ca="1" t="shared" si="190"/>
        <v/>
      </c>
      <c r="K4050" s="10" t="str">
        <f ca="1" t="shared" si="191"/>
        <v/>
      </c>
    </row>
    <row r="4051" spans="1:11">
      <c r="A4051" s="14" t="str">
        <f t="shared" si="189"/>
        <v/>
      </c>
      <c r="C4051" s="14" t="str">
        <f>IFERROR(INDEX(面试清单!D:D,MATCH(4050,面试清单!P:P,0)),"")</f>
        <v/>
      </c>
      <c r="H4051" s="14" t="str">
        <f>IFERROR(INDEX(面试清单!H:H,MATCH(4050,面试清单!P:P,0)),"")</f>
        <v/>
      </c>
      <c r="J4051" s="14" t="str">
        <f ca="1" t="shared" si="190"/>
        <v/>
      </c>
      <c r="K4051" s="14" t="str">
        <f ca="1" t="shared" si="191"/>
        <v/>
      </c>
    </row>
    <row r="4052" spans="1:11">
      <c r="A4052" s="10" t="str">
        <f t="shared" si="189"/>
        <v/>
      </c>
      <c r="C4052" s="10" t="str">
        <f>IFERROR(INDEX(面试清单!D:D,MATCH(4051,面试清单!P:P,0)),"")</f>
        <v/>
      </c>
      <c r="H4052" s="10" t="str">
        <f>IFERROR(INDEX(面试清单!H:H,MATCH(4051,面试清单!P:P,0)),"")</f>
        <v/>
      </c>
      <c r="J4052" s="10" t="str">
        <f ca="1" t="shared" si="190"/>
        <v/>
      </c>
      <c r="K4052" s="10" t="str">
        <f ca="1" t="shared" si="191"/>
        <v/>
      </c>
    </row>
    <row r="4053" spans="1:11">
      <c r="A4053" s="14" t="str">
        <f t="shared" si="189"/>
        <v/>
      </c>
      <c r="C4053" s="14" t="str">
        <f>IFERROR(INDEX(面试清单!D:D,MATCH(4052,面试清单!P:P,0)),"")</f>
        <v/>
      </c>
      <c r="H4053" s="14" t="str">
        <f>IFERROR(INDEX(面试清单!H:H,MATCH(4052,面试清单!P:P,0)),"")</f>
        <v/>
      </c>
      <c r="J4053" s="14" t="str">
        <f ca="1" t="shared" si="190"/>
        <v/>
      </c>
      <c r="K4053" s="14" t="str">
        <f ca="1" t="shared" si="191"/>
        <v/>
      </c>
    </row>
    <row r="4054" spans="1:11">
      <c r="A4054" s="10" t="str">
        <f t="shared" si="189"/>
        <v/>
      </c>
      <c r="C4054" s="10" t="str">
        <f>IFERROR(INDEX(面试清单!D:D,MATCH(4053,面试清单!P:P,0)),"")</f>
        <v/>
      </c>
      <c r="H4054" s="10" t="str">
        <f>IFERROR(INDEX(面试清单!H:H,MATCH(4053,面试清单!P:P,0)),"")</f>
        <v/>
      </c>
      <c r="J4054" s="10" t="str">
        <f ca="1" t="shared" si="190"/>
        <v/>
      </c>
      <c r="K4054" s="10" t="str">
        <f ca="1" t="shared" si="191"/>
        <v/>
      </c>
    </row>
    <row r="4055" spans="1:11">
      <c r="A4055" s="14" t="str">
        <f t="shared" si="189"/>
        <v/>
      </c>
      <c r="C4055" s="14" t="str">
        <f>IFERROR(INDEX(面试清单!D:D,MATCH(4054,面试清单!P:P,0)),"")</f>
        <v/>
      </c>
      <c r="H4055" s="14" t="str">
        <f>IFERROR(INDEX(面试清单!H:H,MATCH(4054,面试清单!P:P,0)),"")</f>
        <v/>
      </c>
      <c r="J4055" s="14" t="str">
        <f ca="1" t="shared" si="190"/>
        <v/>
      </c>
      <c r="K4055" s="14" t="str">
        <f ca="1" t="shared" si="191"/>
        <v/>
      </c>
    </row>
    <row r="4056" spans="1:11">
      <c r="A4056" s="10" t="str">
        <f t="shared" si="189"/>
        <v/>
      </c>
      <c r="C4056" s="10" t="str">
        <f>IFERROR(INDEX(面试清单!D:D,MATCH(4055,面试清单!P:P,0)),"")</f>
        <v/>
      </c>
      <c r="H4056" s="10" t="str">
        <f>IFERROR(INDEX(面试清单!H:H,MATCH(4055,面试清单!P:P,0)),"")</f>
        <v/>
      </c>
      <c r="J4056" s="10" t="str">
        <f ca="1" t="shared" si="190"/>
        <v/>
      </c>
      <c r="K4056" s="10" t="str">
        <f ca="1" t="shared" si="191"/>
        <v/>
      </c>
    </row>
    <row r="4057" spans="1:11">
      <c r="A4057" s="14" t="str">
        <f t="shared" si="189"/>
        <v/>
      </c>
      <c r="C4057" s="14" t="str">
        <f>IFERROR(INDEX(面试清单!D:D,MATCH(4056,面试清单!P:P,0)),"")</f>
        <v/>
      </c>
      <c r="H4057" s="14" t="str">
        <f>IFERROR(INDEX(面试清单!H:H,MATCH(4056,面试清单!P:P,0)),"")</f>
        <v/>
      </c>
      <c r="J4057" s="14" t="str">
        <f ca="1" t="shared" si="190"/>
        <v/>
      </c>
      <c r="K4057" s="14" t="str">
        <f ca="1" t="shared" si="191"/>
        <v/>
      </c>
    </row>
    <row r="4058" spans="1:11">
      <c r="A4058" s="10" t="str">
        <f t="shared" si="189"/>
        <v/>
      </c>
      <c r="C4058" s="10" t="str">
        <f>IFERROR(INDEX(面试清单!D:D,MATCH(4057,面试清单!P:P,0)),"")</f>
        <v/>
      </c>
      <c r="H4058" s="10" t="str">
        <f>IFERROR(INDEX(面试清单!H:H,MATCH(4057,面试清单!P:P,0)),"")</f>
        <v/>
      </c>
      <c r="J4058" s="10" t="str">
        <f ca="1" t="shared" si="190"/>
        <v/>
      </c>
      <c r="K4058" s="10" t="str">
        <f ca="1" t="shared" si="191"/>
        <v/>
      </c>
    </row>
    <row r="4059" spans="1:11">
      <c r="A4059" s="14" t="str">
        <f t="shared" si="189"/>
        <v/>
      </c>
      <c r="C4059" s="14" t="str">
        <f>IFERROR(INDEX(面试清单!D:D,MATCH(4058,面试清单!P:P,0)),"")</f>
        <v/>
      </c>
      <c r="H4059" s="14" t="str">
        <f>IFERROR(INDEX(面试清单!H:H,MATCH(4058,面试清单!P:P,0)),"")</f>
        <v/>
      </c>
      <c r="J4059" s="14" t="str">
        <f ca="1" t="shared" si="190"/>
        <v/>
      </c>
      <c r="K4059" s="14" t="str">
        <f ca="1" t="shared" si="191"/>
        <v/>
      </c>
    </row>
    <row r="4060" spans="1:11">
      <c r="A4060" s="10" t="str">
        <f t="shared" si="189"/>
        <v/>
      </c>
      <c r="C4060" s="10" t="str">
        <f>IFERROR(INDEX(面试清单!D:D,MATCH(4059,面试清单!P:P,0)),"")</f>
        <v/>
      </c>
      <c r="H4060" s="10" t="str">
        <f>IFERROR(INDEX(面试清单!H:H,MATCH(4059,面试清单!P:P,0)),"")</f>
        <v/>
      </c>
      <c r="J4060" s="10" t="str">
        <f ca="1" t="shared" si="190"/>
        <v/>
      </c>
      <c r="K4060" s="10" t="str">
        <f ca="1" t="shared" si="191"/>
        <v/>
      </c>
    </row>
    <row r="4061" spans="1:11">
      <c r="A4061" s="14" t="str">
        <f t="shared" si="189"/>
        <v/>
      </c>
      <c r="C4061" s="14" t="str">
        <f>IFERROR(INDEX(面试清单!D:D,MATCH(4060,面试清单!P:P,0)),"")</f>
        <v/>
      </c>
      <c r="H4061" s="14" t="str">
        <f>IFERROR(INDEX(面试清单!H:H,MATCH(4060,面试清单!P:P,0)),"")</f>
        <v/>
      </c>
      <c r="J4061" s="14" t="str">
        <f ca="1" t="shared" si="190"/>
        <v/>
      </c>
      <c r="K4061" s="14" t="str">
        <f ca="1" t="shared" si="191"/>
        <v/>
      </c>
    </row>
    <row r="4062" spans="1:11">
      <c r="A4062" s="10" t="str">
        <f t="shared" si="189"/>
        <v/>
      </c>
      <c r="C4062" s="10" t="str">
        <f>IFERROR(INDEX(面试清单!D:D,MATCH(4061,面试清单!P:P,0)),"")</f>
        <v/>
      </c>
      <c r="H4062" s="10" t="str">
        <f>IFERROR(INDEX(面试清单!H:H,MATCH(4061,面试清单!P:P,0)),"")</f>
        <v/>
      </c>
      <c r="J4062" s="10" t="str">
        <f ca="1" t="shared" si="190"/>
        <v/>
      </c>
      <c r="K4062" s="10" t="str">
        <f ca="1" t="shared" si="191"/>
        <v/>
      </c>
    </row>
    <row r="4063" spans="1:11">
      <c r="A4063" s="14" t="str">
        <f t="shared" si="189"/>
        <v/>
      </c>
      <c r="C4063" s="14" t="str">
        <f>IFERROR(INDEX(面试清单!D:D,MATCH(4062,面试清单!P:P,0)),"")</f>
        <v/>
      </c>
      <c r="H4063" s="14" t="str">
        <f>IFERROR(INDEX(面试清单!H:H,MATCH(4062,面试清单!P:P,0)),"")</f>
        <v/>
      </c>
      <c r="J4063" s="14" t="str">
        <f ca="1" t="shared" si="190"/>
        <v/>
      </c>
      <c r="K4063" s="14" t="str">
        <f ca="1" t="shared" si="191"/>
        <v/>
      </c>
    </row>
    <row r="4064" spans="1:11">
      <c r="A4064" s="10" t="str">
        <f t="shared" si="189"/>
        <v/>
      </c>
      <c r="C4064" s="10" t="str">
        <f>IFERROR(INDEX(面试清单!D:D,MATCH(4063,面试清单!P:P,0)),"")</f>
        <v/>
      </c>
      <c r="H4064" s="10" t="str">
        <f>IFERROR(INDEX(面试清单!H:H,MATCH(4063,面试清单!P:P,0)),"")</f>
        <v/>
      </c>
      <c r="J4064" s="10" t="str">
        <f ca="1" t="shared" si="190"/>
        <v/>
      </c>
      <c r="K4064" s="10" t="str">
        <f ca="1" t="shared" si="191"/>
        <v/>
      </c>
    </row>
    <row r="4065" spans="1:11">
      <c r="A4065" s="14" t="str">
        <f t="shared" si="189"/>
        <v/>
      </c>
      <c r="C4065" s="14" t="str">
        <f>IFERROR(INDEX(面试清单!D:D,MATCH(4064,面试清单!P:P,0)),"")</f>
        <v/>
      </c>
      <c r="H4065" s="14" t="str">
        <f>IFERROR(INDEX(面试清单!H:H,MATCH(4064,面试清单!P:P,0)),"")</f>
        <v/>
      </c>
      <c r="J4065" s="14" t="str">
        <f ca="1" t="shared" si="190"/>
        <v/>
      </c>
      <c r="K4065" s="14" t="str">
        <f ca="1" t="shared" si="191"/>
        <v/>
      </c>
    </row>
    <row r="4066" spans="1:11">
      <c r="A4066" s="10" t="str">
        <f t="shared" si="189"/>
        <v/>
      </c>
      <c r="C4066" s="10" t="str">
        <f>IFERROR(INDEX(面试清单!D:D,MATCH(4065,面试清单!P:P,0)),"")</f>
        <v/>
      </c>
      <c r="H4066" s="10" t="str">
        <f>IFERROR(INDEX(面试清单!H:H,MATCH(4065,面试清单!P:P,0)),"")</f>
        <v/>
      </c>
      <c r="J4066" s="10" t="str">
        <f ca="1" t="shared" si="190"/>
        <v/>
      </c>
      <c r="K4066" s="10" t="str">
        <f ca="1" t="shared" si="191"/>
        <v/>
      </c>
    </row>
    <row r="4067" spans="1:11">
      <c r="A4067" s="14" t="str">
        <f t="shared" si="189"/>
        <v/>
      </c>
      <c r="C4067" s="14" t="str">
        <f>IFERROR(INDEX(面试清单!D:D,MATCH(4066,面试清单!P:P,0)),"")</f>
        <v/>
      </c>
      <c r="H4067" s="14" t="str">
        <f>IFERROR(INDEX(面试清单!H:H,MATCH(4066,面试清单!P:P,0)),"")</f>
        <v/>
      </c>
      <c r="J4067" s="14" t="str">
        <f ca="1" t="shared" si="190"/>
        <v/>
      </c>
      <c r="K4067" s="14" t="str">
        <f ca="1" t="shared" si="191"/>
        <v/>
      </c>
    </row>
    <row r="4068" spans="1:11">
      <c r="A4068" s="10" t="str">
        <f t="shared" si="189"/>
        <v/>
      </c>
      <c r="C4068" s="10" t="str">
        <f>IFERROR(INDEX(面试清单!D:D,MATCH(4067,面试清单!P:P,0)),"")</f>
        <v/>
      </c>
      <c r="H4068" s="10" t="str">
        <f>IFERROR(INDEX(面试清单!H:H,MATCH(4067,面试清单!P:P,0)),"")</f>
        <v/>
      </c>
      <c r="J4068" s="10" t="str">
        <f ca="1" t="shared" si="190"/>
        <v/>
      </c>
      <c r="K4068" s="10" t="str">
        <f ca="1" t="shared" si="191"/>
        <v/>
      </c>
    </row>
    <row r="4069" spans="1:11">
      <c r="A4069" s="14" t="str">
        <f t="shared" si="189"/>
        <v/>
      </c>
      <c r="C4069" s="14" t="str">
        <f>IFERROR(INDEX(面试清单!D:D,MATCH(4068,面试清单!P:P,0)),"")</f>
        <v/>
      </c>
      <c r="H4069" s="14" t="str">
        <f>IFERROR(INDEX(面试清单!H:H,MATCH(4068,面试清单!P:P,0)),"")</f>
        <v/>
      </c>
      <c r="J4069" s="14" t="str">
        <f ca="1" t="shared" si="190"/>
        <v/>
      </c>
      <c r="K4069" s="14" t="str">
        <f ca="1" t="shared" si="191"/>
        <v/>
      </c>
    </row>
    <row r="4070" spans="1:11">
      <c r="A4070" s="10" t="str">
        <f t="shared" si="189"/>
        <v/>
      </c>
      <c r="C4070" s="10" t="str">
        <f>IFERROR(INDEX(面试清单!D:D,MATCH(4069,面试清单!P:P,0)),"")</f>
        <v/>
      </c>
      <c r="H4070" s="10" t="str">
        <f>IFERROR(INDEX(面试清单!H:H,MATCH(4069,面试清单!P:P,0)),"")</f>
        <v/>
      </c>
      <c r="J4070" s="10" t="str">
        <f ca="1" t="shared" si="190"/>
        <v/>
      </c>
      <c r="K4070" s="10" t="str">
        <f ca="1" t="shared" si="191"/>
        <v/>
      </c>
    </row>
    <row r="4071" spans="1:11">
      <c r="A4071" s="14" t="str">
        <f t="shared" si="189"/>
        <v/>
      </c>
      <c r="C4071" s="14" t="str">
        <f>IFERROR(INDEX(面试清单!D:D,MATCH(4070,面试清单!P:P,0)),"")</f>
        <v/>
      </c>
      <c r="H4071" s="14" t="str">
        <f>IFERROR(INDEX(面试清单!H:H,MATCH(4070,面试清单!P:P,0)),"")</f>
        <v/>
      </c>
      <c r="J4071" s="14" t="str">
        <f ca="1" t="shared" si="190"/>
        <v/>
      </c>
      <c r="K4071" s="14" t="str">
        <f ca="1" t="shared" si="191"/>
        <v/>
      </c>
    </row>
    <row r="4072" spans="1:11">
      <c r="A4072" s="10" t="str">
        <f t="shared" si="189"/>
        <v/>
      </c>
      <c r="C4072" s="10" t="str">
        <f>IFERROR(INDEX(面试清单!D:D,MATCH(4071,面试清单!P:P,0)),"")</f>
        <v/>
      </c>
      <c r="H4072" s="10" t="str">
        <f>IFERROR(INDEX(面试清单!H:H,MATCH(4071,面试清单!P:P,0)),"")</f>
        <v/>
      </c>
      <c r="J4072" s="10" t="str">
        <f ca="1" t="shared" si="190"/>
        <v/>
      </c>
      <c r="K4072" s="10" t="str">
        <f ca="1" t="shared" si="191"/>
        <v/>
      </c>
    </row>
    <row r="4073" spans="1:11">
      <c r="A4073" s="14" t="str">
        <f t="shared" si="189"/>
        <v/>
      </c>
      <c r="C4073" s="14" t="str">
        <f>IFERROR(INDEX(面试清单!D:D,MATCH(4072,面试清单!P:P,0)),"")</f>
        <v/>
      </c>
      <c r="H4073" s="14" t="str">
        <f>IFERROR(INDEX(面试清单!H:H,MATCH(4072,面试清单!P:P,0)),"")</f>
        <v/>
      </c>
      <c r="J4073" s="14" t="str">
        <f ca="1" t="shared" si="190"/>
        <v/>
      </c>
      <c r="K4073" s="14" t="str">
        <f ca="1" t="shared" si="191"/>
        <v/>
      </c>
    </row>
    <row r="4074" spans="1:11">
      <c r="A4074" s="10" t="str">
        <f t="shared" si="189"/>
        <v/>
      </c>
      <c r="C4074" s="10" t="str">
        <f>IFERROR(INDEX(面试清单!D:D,MATCH(4073,面试清单!P:P,0)),"")</f>
        <v/>
      </c>
      <c r="H4074" s="10" t="str">
        <f>IFERROR(INDEX(面试清单!H:H,MATCH(4073,面试清单!P:P,0)),"")</f>
        <v/>
      </c>
      <c r="J4074" s="10" t="str">
        <f ca="1" t="shared" si="190"/>
        <v/>
      </c>
      <c r="K4074" s="10" t="str">
        <f ca="1" t="shared" si="191"/>
        <v/>
      </c>
    </row>
    <row r="4075" spans="1:11">
      <c r="A4075" s="14" t="str">
        <f t="shared" si="189"/>
        <v/>
      </c>
      <c r="C4075" s="14" t="str">
        <f>IFERROR(INDEX(面试清单!D:D,MATCH(4074,面试清单!P:P,0)),"")</f>
        <v/>
      </c>
      <c r="H4075" s="14" t="str">
        <f>IFERROR(INDEX(面试清单!H:H,MATCH(4074,面试清单!P:P,0)),"")</f>
        <v/>
      </c>
      <c r="J4075" s="14" t="str">
        <f ca="1" t="shared" si="190"/>
        <v/>
      </c>
      <c r="K4075" s="14" t="str">
        <f ca="1" t="shared" si="191"/>
        <v/>
      </c>
    </row>
    <row r="4076" spans="1:11">
      <c r="A4076" s="10" t="str">
        <f t="shared" si="189"/>
        <v/>
      </c>
      <c r="C4076" s="10" t="str">
        <f>IFERROR(INDEX(面试清单!D:D,MATCH(4075,面试清单!P:P,0)),"")</f>
        <v/>
      </c>
      <c r="H4076" s="10" t="str">
        <f>IFERROR(INDEX(面试清单!H:H,MATCH(4075,面试清单!P:P,0)),"")</f>
        <v/>
      </c>
      <c r="J4076" s="10" t="str">
        <f ca="1" t="shared" si="190"/>
        <v/>
      </c>
      <c r="K4076" s="10" t="str">
        <f ca="1" t="shared" si="191"/>
        <v/>
      </c>
    </row>
    <row r="4077" spans="1:11">
      <c r="A4077" s="14" t="str">
        <f t="shared" si="189"/>
        <v/>
      </c>
      <c r="C4077" s="14" t="str">
        <f>IFERROR(INDEX(面试清单!D:D,MATCH(4076,面试清单!P:P,0)),"")</f>
        <v/>
      </c>
      <c r="H4077" s="14" t="str">
        <f>IFERROR(INDEX(面试清单!H:H,MATCH(4076,面试清单!P:P,0)),"")</f>
        <v/>
      </c>
      <c r="J4077" s="14" t="str">
        <f ca="1" t="shared" si="190"/>
        <v/>
      </c>
      <c r="K4077" s="14" t="str">
        <f ca="1" t="shared" si="191"/>
        <v/>
      </c>
    </row>
    <row r="4078" spans="1:11">
      <c r="A4078" s="10" t="str">
        <f t="shared" si="189"/>
        <v/>
      </c>
      <c r="C4078" s="10" t="str">
        <f>IFERROR(INDEX(面试清单!D:D,MATCH(4077,面试清单!P:P,0)),"")</f>
        <v/>
      </c>
      <c r="H4078" s="10" t="str">
        <f>IFERROR(INDEX(面试清单!H:H,MATCH(4077,面试清单!P:P,0)),"")</f>
        <v/>
      </c>
      <c r="J4078" s="10" t="str">
        <f ca="1" t="shared" si="190"/>
        <v/>
      </c>
      <c r="K4078" s="10" t="str">
        <f ca="1" t="shared" si="191"/>
        <v/>
      </c>
    </row>
    <row r="4079" spans="1:11">
      <c r="A4079" s="14" t="str">
        <f t="shared" si="189"/>
        <v/>
      </c>
      <c r="C4079" s="14" t="str">
        <f>IFERROR(INDEX(面试清单!D:D,MATCH(4078,面试清单!P:P,0)),"")</f>
        <v/>
      </c>
      <c r="H4079" s="14" t="str">
        <f>IFERROR(INDEX(面试清单!H:H,MATCH(4078,面试清单!P:P,0)),"")</f>
        <v/>
      </c>
      <c r="J4079" s="14" t="str">
        <f ca="1" t="shared" si="190"/>
        <v/>
      </c>
      <c r="K4079" s="14" t="str">
        <f ca="1" t="shared" si="191"/>
        <v/>
      </c>
    </row>
    <row r="4080" spans="1:11">
      <c r="A4080" s="10" t="str">
        <f t="shared" si="189"/>
        <v/>
      </c>
      <c r="C4080" s="10" t="str">
        <f>IFERROR(INDEX(面试清单!D:D,MATCH(4079,面试清单!P:P,0)),"")</f>
        <v/>
      </c>
      <c r="H4080" s="10" t="str">
        <f>IFERROR(INDEX(面试清单!H:H,MATCH(4079,面试清单!P:P,0)),"")</f>
        <v/>
      </c>
      <c r="J4080" s="10" t="str">
        <f ca="1" t="shared" si="190"/>
        <v/>
      </c>
      <c r="K4080" s="10" t="str">
        <f ca="1" t="shared" si="191"/>
        <v/>
      </c>
    </row>
    <row r="4081" spans="1:11">
      <c r="A4081" s="14" t="str">
        <f t="shared" si="189"/>
        <v/>
      </c>
      <c r="C4081" s="14" t="str">
        <f>IFERROR(INDEX(面试清单!D:D,MATCH(4080,面试清单!P:P,0)),"")</f>
        <v/>
      </c>
      <c r="H4081" s="14" t="str">
        <f>IFERROR(INDEX(面试清单!H:H,MATCH(4080,面试清单!P:P,0)),"")</f>
        <v/>
      </c>
      <c r="J4081" s="14" t="str">
        <f ca="1" t="shared" si="190"/>
        <v/>
      </c>
      <c r="K4081" s="14" t="str">
        <f ca="1" t="shared" si="191"/>
        <v/>
      </c>
    </row>
    <row r="4082" spans="1:11">
      <c r="A4082" s="10" t="str">
        <f t="shared" si="189"/>
        <v/>
      </c>
      <c r="C4082" s="10" t="str">
        <f>IFERROR(INDEX(面试清单!D:D,MATCH(4081,面试清单!P:P,0)),"")</f>
        <v/>
      </c>
      <c r="H4082" s="10" t="str">
        <f>IFERROR(INDEX(面试清单!H:H,MATCH(4081,面试清单!P:P,0)),"")</f>
        <v/>
      </c>
      <c r="J4082" s="10" t="str">
        <f ca="1" t="shared" si="190"/>
        <v/>
      </c>
      <c r="K4082" s="10" t="str">
        <f ca="1" t="shared" si="191"/>
        <v/>
      </c>
    </row>
    <row r="4083" spans="1:11">
      <c r="A4083" s="14" t="str">
        <f t="shared" si="189"/>
        <v/>
      </c>
      <c r="C4083" s="14" t="str">
        <f>IFERROR(INDEX(面试清单!D:D,MATCH(4082,面试清单!P:P,0)),"")</f>
        <v/>
      </c>
      <c r="H4083" s="14" t="str">
        <f>IFERROR(INDEX(面试清单!H:H,MATCH(4082,面试清单!P:P,0)),"")</f>
        <v/>
      </c>
      <c r="J4083" s="14" t="str">
        <f ca="1" t="shared" si="190"/>
        <v/>
      </c>
      <c r="K4083" s="14" t="str">
        <f ca="1" t="shared" si="191"/>
        <v/>
      </c>
    </row>
    <row r="4084" spans="1:11">
      <c r="A4084" s="10" t="str">
        <f t="shared" si="189"/>
        <v/>
      </c>
      <c r="C4084" s="10" t="str">
        <f>IFERROR(INDEX(面试清单!D:D,MATCH(4083,面试清单!P:P,0)),"")</f>
        <v/>
      </c>
      <c r="H4084" s="10" t="str">
        <f>IFERROR(INDEX(面试清单!H:H,MATCH(4083,面试清单!P:P,0)),"")</f>
        <v/>
      </c>
      <c r="J4084" s="10" t="str">
        <f ca="1" t="shared" si="190"/>
        <v/>
      </c>
      <c r="K4084" s="10" t="str">
        <f ca="1" t="shared" si="191"/>
        <v/>
      </c>
    </row>
    <row r="4085" spans="1:11">
      <c r="A4085" s="14" t="str">
        <f t="shared" si="189"/>
        <v/>
      </c>
      <c r="C4085" s="14" t="str">
        <f>IFERROR(INDEX(面试清单!D:D,MATCH(4084,面试清单!P:P,0)),"")</f>
        <v/>
      </c>
      <c r="H4085" s="14" t="str">
        <f>IFERROR(INDEX(面试清单!H:H,MATCH(4084,面试清单!P:P,0)),"")</f>
        <v/>
      </c>
      <c r="J4085" s="14" t="str">
        <f ca="1" t="shared" si="190"/>
        <v/>
      </c>
      <c r="K4085" s="14" t="str">
        <f ca="1" t="shared" si="191"/>
        <v/>
      </c>
    </row>
    <row r="4086" spans="1:11">
      <c r="A4086" s="10" t="str">
        <f t="shared" si="189"/>
        <v/>
      </c>
      <c r="C4086" s="10" t="str">
        <f>IFERROR(INDEX(面试清单!D:D,MATCH(4085,面试清单!P:P,0)),"")</f>
        <v/>
      </c>
      <c r="H4086" s="10" t="str">
        <f>IFERROR(INDEX(面试清单!H:H,MATCH(4085,面试清单!P:P,0)),"")</f>
        <v/>
      </c>
      <c r="J4086" s="10" t="str">
        <f ca="1" t="shared" si="190"/>
        <v/>
      </c>
      <c r="K4086" s="10" t="str">
        <f ca="1" t="shared" si="191"/>
        <v/>
      </c>
    </row>
    <row r="4087" spans="1:11">
      <c r="A4087" s="14" t="str">
        <f t="shared" si="189"/>
        <v/>
      </c>
      <c r="C4087" s="14" t="str">
        <f>IFERROR(INDEX(面试清单!D:D,MATCH(4086,面试清单!P:P,0)),"")</f>
        <v/>
      </c>
      <c r="H4087" s="14" t="str">
        <f>IFERROR(INDEX(面试清单!H:H,MATCH(4086,面试清单!P:P,0)),"")</f>
        <v/>
      </c>
      <c r="J4087" s="14" t="str">
        <f ca="1" t="shared" si="190"/>
        <v/>
      </c>
      <c r="K4087" s="14" t="str">
        <f ca="1" t="shared" si="191"/>
        <v/>
      </c>
    </row>
    <row r="4088" spans="1:11">
      <c r="A4088" s="10" t="str">
        <f t="shared" si="189"/>
        <v/>
      </c>
      <c r="C4088" s="10" t="str">
        <f>IFERROR(INDEX(面试清单!D:D,MATCH(4087,面试清单!P:P,0)),"")</f>
        <v/>
      </c>
      <c r="H4088" s="10" t="str">
        <f>IFERROR(INDEX(面试清单!H:H,MATCH(4087,面试清单!P:P,0)),"")</f>
        <v/>
      </c>
      <c r="J4088" s="10" t="str">
        <f ca="1" t="shared" si="190"/>
        <v/>
      </c>
      <c r="K4088" s="10" t="str">
        <f ca="1" t="shared" si="191"/>
        <v/>
      </c>
    </row>
    <row r="4089" spans="1:11">
      <c r="A4089" s="14" t="str">
        <f t="shared" si="189"/>
        <v/>
      </c>
      <c r="C4089" s="14" t="str">
        <f>IFERROR(INDEX(面试清单!D:D,MATCH(4088,面试清单!P:P,0)),"")</f>
        <v/>
      </c>
      <c r="H4089" s="14" t="str">
        <f>IFERROR(INDEX(面试清单!H:H,MATCH(4088,面试清单!P:P,0)),"")</f>
        <v/>
      </c>
      <c r="J4089" s="14" t="str">
        <f ca="1" t="shared" si="190"/>
        <v/>
      </c>
      <c r="K4089" s="14" t="str">
        <f ca="1" t="shared" si="191"/>
        <v/>
      </c>
    </row>
    <row r="4090" spans="1:11">
      <c r="A4090" s="10" t="str">
        <f t="shared" si="189"/>
        <v/>
      </c>
      <c r="C4090" s="10" t="str">
        <f>IFERROR(INDEX(面试清单!D:D,MATCH(4089,面试清单!P:P,0)),"")</f>
        <v/>
      </c>
      <c r="H4090" s="10" t="str">
        <f>IFERROR(INDEX(面试清单!H:H,MATCH(4089,面试清单!P:P,0)),"")</f>
        <v/>
      </c>
      <c r="J4090" s="10" t="str">
        <f ca="1" t="shared" si="190"/>
        <v/>
      </c>
      <c r="K4090" s="10" t="str">
        <f ca="1" t="shared" si="191"/>
        <v/>
      </c>
    </row>
    <row r="4091" spans="1:11">
      <c r="A4091" s="14" t="str">
        <f t="shared" si="189"/>
        <v/>
      </c>
      <c r="C4091" s="14" t="str">
        <f>IFERROR(INDEX(面试清单!D:D,MATCH(4090,面试清单!P:P,0)),"")</f>
        <v/>
      </c>
      <c r="H4091" s="14" t="str">
        <f>IFERROR(INDEX(面试清单!H:H,MATCH(4090,面试清单!P:P,0)),"")</f>
        <v/>
      </c>
      <c r="J4091" s="14" t="str">
        <f ca="1" t="shared" si="190"/>
        <v/>
      </c>
      <c r="K4091" s="14" t="str">
        <f ca="1" t="shared" si="191"/>
        <v/>
      </c>
    </row>
    <row r="4092" spans="1:11">
      <c r="A4092" s="10" t="str">
        <f t="shared" si="189"/>
        <v/>
      </c>
      <c r="C4092" s="10" t="str">
        <f>IFERROR(INDEX(面试清单!D:D,MATCH(4091,面试清单!P:P,0)),"")</f>
        <v/>
      </c>
      <c r="H4092" s="10" t="str">
        <f>IFERROR(INDEX(面试清单!H:H,MATCH(4091,面试清单!P:P,0)),"")</f>
        <v/>
      </c>
      <c r="J4092" s="10" t="str">
        <f ca="1" t="shared" si="190"/>
        <v/>
      </c>
      <c r="K4092" s="10" t="str">
        <f ca="1" t="shared" si="191"/>
        <v/>
      </c>
    </row>
    <row r="4093" spans="1:11">
      <c r="A4093" s="14" t="str">
        <f t="shared" si="189"/>
        <v/>
      </c>
      <c r="C4093" s="14" t="str">
        <f>IFERROR(INDEX(面试清单!D:D,MATCH(4092,面试清单!P:P,0)),"")</f>
        <v/>
      </c>
      <c r="H4093" s="14" t="str">
        <f>IFERROR(INDEX(面试清单!H:H,MATCH(4092,面试清单!P:P,0)),"")</f>
        <v/>
      </c>
      <c r="J4093" s="14" t="str">
        <f ca="1" t="shared" si="190"/>
        <v/>
      </c>
      <c r="K4093" s="14" t="str">
        <f ca="1" t="shared" si="191"/>
        <v/>
      </c>
    </row>
    <row r="4094" spans="1:11">
      <c r="A4094" s="10" t="str">
        <f t="shared" si="189"/>
        <v/>
      </c>
      <c r="C4094" s="10" t="str">
        <f>IFERROR(INDEX(面试清单!D:D,MATCH(4093,面试清单!P:P,0)),"")</f>
        <v/>
      </c>
      <c r="H4094" s="10" t="str">
        <f>IFERROR(INDEX(面试清单!H:H,MATCH(4093,面试清单!P:P,0)),"")</f>
        <v/>
      </c>
      <c r="J4094" s="10" t="str">
        <f ca="1" t="shared" si="190"/>
        <v/>
      </c>
      <c r="K4094" s="10" t="str">
        <f ca="1" t="shared" si="191"/>
        <v/>
      </c>
    </row>
    <row r="4095" spans="1:11">
      <c r="A4095" s="14" t="str">
        <f t="shared" si="189"/>
        <v/>
      </c>
      <c r="C4095" s="14" t="str">
        <f>IFERROR(INDEX(面试清单!D:D,MATCH(4094,面试清单!P:P,0)),"")</f>
        <v/>
      </c>
      <c r="H4095" s="14" t="str">
        <f>IFERROR(INDEX(面试清单!H:H,MATCH(4094,面试清单!P:P,0)),"")</f>
        <v/>
      </c>
      <c r="J4095" s="14" t="str">
        <f ca="1" t="shared" si="190"/>
        <v/>
      </c>
      <c r="K4095" s="14" t="str">
        <f ca="1" t="shared" si="191"/>
        <v/>
      </c>
    </row>
    <row r="4096" spans="1:11">
      <c r="A4096" s="10" t="str">
        <f t="shared" si="189"/>
        <v/>
      </c>
      <c r="C4096" s="10" t="str">
        <f>IFERROR(INDEX(面试清单!D:D,MATCH(4095,面试清单!P:P,0)),"")</f>
        <v/>
      </c>
      <c r="H4096" s="10" t="str">
        <f>IFERROR(INDEX(面试清单!H:H,MATCH(4095,面试清单!P:P,0)),"")</f>
        <v/>
      </c>
      <c r="J4096" s="10" t="str">
        <f ca="1" t="shared" si="190"/>
        <v/>
      </c>
      <c r="K4096" s="10" t="str">
        <f ca="1" t="shared" si="191"/>
        <v/>
      </c>
    </row>
    <row r="4097" spans="1:11">
      <c r="A4097" s="14" t="str">
        <f t="shared" si="189"/>
        <v/>
      </c>
      <c r="C4097" s="14" t="str">
        <f>IFERROR(INDEX(面试清单!D:D,MATCH(4096,面试清单!P:P,0)),"")</f>
        <v/>
      </c>
      <c r="H4097" s="14" t="str">
        <f>IFERROR(INDEX(面试清单!H:H,MATCH(4096,面试清单!P:P,0)),"")</f>
        <v/>
      </c>
      <c r="J4097" s="14" t="str">
        <f ca="1" t="shared" si="190"/>
        <v/>
      </c>
      <c r="K4097" s="14" t="str">
        <f ca="1" t="shared" si="191"/>
        <v/>
      </c>
    </row>
    <row r="4098" spans="1:11">
      <c r="A4098" s="10" t="str">
        <f t="shared" ref="A4098:A4161" si="192">IF(B4098&lt;&gt;"",ROW()-1,"")</f>
        <v/>
      </c>
      <c r="C4098" s="10" t="str">
        <f>IFERROR(INDEX(面试清单!D:D,MATCH(4097,面试清单!P:P,0)),"")</f>
        <v/>
      </c>
      <c r="H4098" s="10" t="str">
        <f>IFERROR(INDEX(面试清单!H:H,MATCH(4097,面试清单!P:P,0)),"")</f>
        <v/>
      </c>
      <c r="J4098" s="10" t="str">
        <f ca="1" t="shared" ref="J4098:J4161" si="193">IF(G4098&lt;&gt;"",TODAY()-G4098,"")</f>
        <v/>
      </c>
      <c r="K4098" s="10" t="str">
        <f ca="1" t="shared" ref="K4098:K4161" si="194">IF(G4098&lt;&gt;"",MAX(0,MIN(TODAY(),EOMONTH(TODAY(),0))-MAX(G4098,EOMONTH(TODAY(),-1)+1)+1),"")</f>
        <v/>
      </c>
    </row>
    <row r="4099" spans="1:11">
      <c r="A4099" s="14" t="str">
        <f t="shared" si="192"/>
        <v/>
      </c>
      <c r="C4099" s="14" t="str">
        <f>IFERROR(INDEX(面试清单!D:D,MATCH(4098,面试清单!P:P,0)),"")</f>
        <v/>
      </c>
      <c r="H4099" s="14" t="str">
        <f>IFERROR(INDEX(面试清单!H:H,MATCH(4098,面试清单!P:P,0)),"")</f>
        <v/>
      </c>
      <c r="J4099" s="14" t="str">
        <f ca="1" t="shared" si="193"/>
        <v/>
      </c>
      <c r="K4099" s="14" t="str">
        <f ca="1" t="shared" si="194"/>
        <v/>
      </c>
    </row>
    <row r="4100" spans="1:11">
      <c r="A4100" s="10" t="str">
        <f t="shared" si="192"/>
        <v/>
      </c>
      <c r="C4100" s="10" t="str">
        <f>IFERROR(INDEX(面试清单!D:D,MATCH(4099,面试清单!P:P,0)),"")</f>
        <v/>
      </c>
      <c r="H4100" s="10" t="str">
        <f>IFERROR(INDEX(面试清单!H:H,MATCH(4099,面试清单!P:P,0)),"")</f>
        <v/>
      </c>
      <c r="J4100" s="10" t="str">
        <f ca="1" t="shared" si="193"/>
        <v/>
      </c>
      <c r="K4100" s="10" t="str">
        <f ca="1" t="shared" si="194"/>
        <v/>
      </c>
    </row>
    <row r="4101" spans="1:11">
      <c r="A4101" s="14" t="str">
        <f t="shared" si="192"/>
        <v/>
      </c>
      <c r="C4101" s="14" t="str">
        <f>IFERROR(INDEX(面试清单!D:D,MATCH(4100,面试清单!P:P,0)),"")</f>
        <v/>
      </c>
      <c r="H4101" s="14" t="str">
        <f>IFERROR(INDEX(面试清单!H:H,MATCH(4100,面试清单!P:P,0)),"")</f>
        <v/>
      </c>
      <c r="J4101" s="14" t="str">
        <f ca="1" t="shared" si="193"/>
        <v/>
      </c>
      <c r="K4101" s="14" t="str">
        <f ca="1" t="shared" si="194"/>
        <v/>
      </c>
    </row>
    <row r="4102" spans="1:11">
      <c r="A4102" s="10" t="str">
        <f t="shared" si="192"/>
        <v/>
      </c>
      <c r="C4102" s="10" t="str">
        <f>IFERROR(INDEX(面试清单!D:D,MATCH(4101,面试清单!P:P,0)),"")</f>
        <v/>
      </c>
      <c r="H4102" s="10" t="str">
        <f>IFERROR(INDEX(面试清单!H:H,MATCH(4101,面试清单!P:P,0)),"")</f>
        <v/>
      </c>
      <c r="J4102" s="10" t="str">
        <f ca="1" t="shared" si="193"/>
        <v/>
      </c>
      <c r="K4102" s="10" t="str">
        <f ca="1" t="shared" si="194"/>
        <v/>
      </c>
    </row>
    <row r="4103" spans="1:11">
      <c r="A4103" s="14" t="str">
        <f t="shared" si="192"/>
        <v/>
      </c>
      <c r="C4103" s="14" t="str">
        <f>IFERROR(INDEX(面试清单!D:D,MATCH(4102,面试清单!P:P,0)),"")</f>
        <v/>
      </c>
      <c r="H4103" s="14" t="str">
        <f>IFERROR(INDEX(面试清单!H:H,MATCH(4102,面试清单!P:P,0)),"")</f>
        <v/>
      </c>
      <c r="J4103" s="14" t="str">
        <f ca="1" t="shared" si="193"/>
        <v/>
      </c>
      <c r="K4103" s="14" t="str">
        <f ca="1" t="shared" si="194"/>
        <v/>
      </c>
    </row>
    <row r="4104" spans="1:11">
      <c r="A4104" s="10" t="str">
        <f t="shared" si="192"/>
        <v/>
      </c>
      <c r="C4104" s="10" t="str">
        <f>IFERROR(INDEX(面试清单!D:D,MATCH(4103,面试清单!P:P,0)),"")</f>
        <v/>
      </c>
      <c r="H4104" s="10" t="str">
        <f>IFERROR(INDEX(面试清单!H:H,MATCH(4103,面试清单!P:P,0)),"")</f>
        <v/>
      </c>
      <c r="J4104" s="10" t="str">
        <f ca="1" t="shared" si="193"/>
        <v/>
      </c>
      <c r="K4104" s="10" t="str">
        <f ca="1" t="shared" si="194"/>
        <v/>
      </c>
    </row>
    <row r="4105" spans="1:11">
      <c r="A4105" s="14" t="str">
        <f t="shared" si="192"/>
        <v/>
      </c>
      <c r="C4105" s="14" t="str">
        <f>IFERROR(INDEX(面试清单!D:D,MATCH(4104,面试清单!P:P,0)),"")</f>
        <v/>
      </c>
      <c r="H4105" s="14" t="str">
        <f>IFERROR(INDEX(面试清单!H:H,MATCH(4104,面试清单!P:P,0)),"")</f>
        <v/>
      </c>
      <c r="J4105" s="14" t="str">
        <f ca="1" t="shared" si="193"/>
        <v/>
      </c>
      <c r="K4105" s="14" t="str">
        <f ca="1" t="shared" si="194"/>
        <v/>
      </c>
    </row>
    <row r="4106" spans="1:11">
      <c r="A4106" s="10" t="str">
        <f t="shared" si="192"/>
        <v/>
      </c>
      <c r="C4106" s="10" t="str">
        <f>IFERROR(INDEX(面试清单!D:D,MATCH(4105,面试清单!P:P,0)),"")</f>
        <v/>
      </c>
      <c r="H4106" s="10" t="str">
        <f>IFERROR(INDEX(面试清单!H:H,MATCH(4105,面试清单!P:P,0)),"")</f>
        <v/>
      </c>
      <c r="J4106" s="10" t="str">
        <f ca="1" t="shared" si="193"/>
        <v/>
      </c>
      <c r="K4106" s="10" t="str">
        <f ca="1" t="shared" si="194"/>
        <v/>
      </c>
    </row>
    <row r="4107" spans="1:11">
      <c r="A4107" s="14" t="str">
        <f t="shared" si="192"/>
        <v/>
      </c>
      <c r="C4107" s="14" t="str">
        <f>IFERROR(INDEX(面试清单!D:D,MATCH(4106,面试清单!P:P,0)),"")</f>
        <v/>
      </c>
      <c r="H4107" s="14" t="str">
        <f>IFERROR(INDEX(面试清单!H:H,MATCH(4106,面试清单!P:P,0)),"")</f>
        <v/>
      </c>
      <c r="J4107" s="14" t="str">
        <f ca="1" t="shared" si="193"/>
        <v/>
      </c>
      <c r="K4107" s="14" t="str">
        <f ca="1" t="shared" si="194"/>
        <v/>
      </c>
    </row>
    <row r="4108" spans="1:11">
      <c r="A4108" s="10" t="str">
        <f t="shared" si="192"/>
        <v/>
      </c>
      <c r="C4108" s="10" t="str">
        <f>IFERROR(INDEX(面试清单!D:D,MATCH(4107,面试清单!P:P,0)),"")</f>
        <v/>
      </c>
      <c r="H4108" s="10" t="str">
        <f>IFERROR(INDEX(面试清单!H:H,MATCH(4107,面试清单!P:P,0)),"")</f>
        <v/>
      </c>
      <c r="J4108" s="10" t="str">
        <f ca="1" t="shared" si="193"/>
        <v/>
      </c>
      <c r="K4108" s="10" t="str">
        <f ca="1" t="shared" si="194"/>
        <v/>
      </c>
    </row>
    <row r="4109" spans="1:11">
      <c r="A4109" s="14" t="str">
        <f t="shared" si="192"/>
        <v/>
      </c>
      <c r="C4109" s="14" t="str">
        <f>IFERROR(INDEX(面试清单!D:D,MATCH(4108,面试清单!P:P,0)),"")</f>
        <v/>
      </c>
      <c r="H4109" s="14" t="str">
        <f>IFERROR(INDEX(面试清单!H:H,MATCH(4108,面试清单!P:P,0)),"")</f>
        <v/>
      </c>
      <c r="J4109" s="14" t="str">
        <f ca="1" t="shared" si="193"/>
        <v/>
      </c>
      <c r="K4109" s="14" t="str">
        <f ca="1" t="shared" si="194"/>
        <v/>
      </c>
    </row>
    <row r="4110" spans="1:11">
      <c r="A4110" s="10" t="str">
        <f t="shared" si="192"/>
        <v/>
      </c>
      <c r="C4110" s="10" t="str">
        <f>IFERROR(INDEX(面试清单!D:D,MATCH(4109,面试清单!P:P,0)),"")</f>
        <v/>
      </c>
      <c r="H4110" s="10" t="str">
        <f>IFERROR(INDEX(面试清单!H:H,MATCH(4109,面试清单!P:P,0)),"")</f>
        <v/>
      </c>
      <c r="J4110" s="10" t="str">
        <f ca="1" t="shared" si="193"/>
        <v/>
      </c>
      <c r="K4110" s="10" t="str">
        <f ca="1" t="shared" si="194"/>
        <v/>
      </c>
    </row>
    <row r="4111" spans="1:11">
      <c r="A4111" s="14" t="str">
        <f t="shared" si="192"/>
        <v/>
      </c>
      <c r="C4111" s="14" t="str">
        <f>IFERROR(INDEX(面试清单!D:D,MATCH(4110,面试清单!P:P,0)),"")</f>
        <v/>
      </c>
      <c r="H4111" s="14" t="str">
        <f>IFERROR(INDEX(面试清单!H:H,MATCH(4110,面试清单!P:P,0)),"")</f>
        <v/>
      </c>
      <c r="J4111" s="14" t="str">
        <f ca="1" t="shared" si="193"/>
        <v/>
      </c>
      <c r="K4111" s="14" t="str">
        <f ca="1" t="shared" si="194"/>
        <v/>
      </c>
    </row>
    <row r="4112" spans="1:11">
      <c r="A4112" s="10" t="str">
        <f t="shared" si="192"/>
        <v/>
      </c>
      <c r="C4112" s="10" t="str">
        <f>IFERROR(INDEX(面试清单!D:D,MATCH(4111,面试清单!P:P,0)),"")</f>
        <v/>
      </c>
      <c r="H4112" s="10" t="str">
        <f>IFERROR(INDEX(面试清单!H:H,MATCH(4111,面试清单!P:P,0)),"")</f>
        <v/>
      </c>
      <c r="J4112" s="10" t="str">
        <f ca="1" t="shared" si="193"/>
        <v/>
      </c>
      <c r="K4112" s="10" t="str">
        <f ca="1" t="shared" si="194"/>
        <v/>
      </c>
    </row>
    <row r="4113" spans="1:11">
      <c r="A4113" s="14" t="str">
        <f t="shared" si="192"/>
        <v/>
      </c>
      <c r="C4113" s="14" t="str">
        <f>IFERROR(INDEX(面试清单!D:D,MATCH(4112,面试清单!P:P,0)),"")</f>
        <v/>
      </c>
      <c r="H4113" s="14" t="str">
        <f>IFERROR(INDEX(面试清单!H:H,MATCH(4112,面试清单!P:P,0)),"")</f>
        <v/>
      </c>
      <c r="J4113" s="14" t="str">
        <f ca="1" t="shared" si="193"/>
        <v/>
      </c>
      <c r="K4113" s="14" t="str">
        <f ca="1" t="shared" si="194"/>
        <v/>
      </c>
    </row>
    <row r="4114" spans="1:11">
      <c r="A4114" s="10" t="str">
        <f t="shared" si="192"/>
        <v/>
      </c>
      <c r="C4114" s="10" t="str">
        <f>IFERROR(INDEX(面试清单!D:D,MATCH(4113,面试清单!P:P,0)),"")</f>
        <v/>
      </c>
      <c r="H4114" s="10" t="str">
        <f>IFERROR(INDEX(面试清单!H:H,MATCH(4113,面试清单!P:P,0)),"")</f>
        <v/>
      </c>
      <c r="J4114" s="10" t="str">
        <f ca="1" t="shared" si="193"/>
        <v/>
      </c>
      <c r="K4114" s="10" t="str">
        <f ca="1" t="shared" si="194"/>
        <v/>
      </c>
    </row>
    <row r="4115" spans="1:11">
      <c r="A4115" s="14" t="str">
        <f t="shared" si="192"/>
        <v/>
      </c>
      <c r="C4115" s="14" t="str">
        <f>IFERROR(INDEX(面试清单!D:D,MATCH(4114,面试清单!P:P,0)),"")</f>
        <v/>
      </c>
      <c r="H4115" s="14" t="str">
        <f>IFERROR(INDEX(面试清单!H:H,MATCH(4114,面试清单!P:P,0)),"")</f>
        <v/>
      </c>
      <c r="J4115" s="14" t="str">
        <f ca="1" t="shared" si="193"/>
        <v/>
      </c>
      <c r="K4115" s="14" t="str">
        <f ca="1" t="shared" si="194"/>
        <v/>
      </c>
    </row>
    <row r="4116" spans="1:11">
      <c r="A4116" s="10" t="str">
        <f t="shared" si="192"/>
        <v/>
      </c>
      <c r="C4116" s="10" t="str">
        <f>IFERROR(INDEX(面试清单!D:D,MATCH(4115,面试清单!P:P,0)),"")</f>
        <v/>
      </c>
      <c r="H4116" s="10" t="str">
        <f>IFERROR(INDEX(面试清单!H:H,MATCH(4115,面试清单!P:P,0)),"")</f>
        <v/>
      </c>
      <c r="J4116" s="10" t="str">
        <f ca="1" t="shared" si="193"/>
        <v/>
      </c>
      <c r="K4116" s="10" t="str">
        <f ca="1" t="shared" si="194"/>
        <v/>
      </c>
    </row>
    <row r="4117" spans="1:11">
      <c r="A4117" s="14" t="str">
        <f t="shared" si="192"/>
        <v/>
      </c>
      <c r="C4117" s="14" t="str">
        <f>IFERROR(INDEX(面试清单!D:D,MATCH(4116,面试清单!P:P,0)),"")</f>
        <v/>
      </c>
      <c r="H4117" s="14" t="str">
        <f>IFERROR(INDEX(面试清单!H:H,MATCH(4116,面试清单!P:P,0)),"")</f>
        <v/>
      </c>
      <c r="J4117" s="14" t="str">
        <f ca="1" t="shared" si="193"/>
        <v/>
      </c>
      <c r="K4117" s="14" t="str">
        <f ca="1" t="shared" si="194"/>
        <v/>
      </c>
    </row>
    <row r="4118" spans="1:11">
      <c r="A4118" s="10" t="str">
        <f t="shared" si="192"/>
        <v/>
      </c>
      <c r="C4118" s="10" t="str">
        <f>IFERROR(INDEX(面试清单!D:D,MATCH(4117,面试清单!P:P,0)),"")</f>
        <v/>
      </c>
      <c r="H4118" s="10" t="str">
        <f>IFERROR(INDEX(面试清单!H:H,MATCH(4117,面试清单!P:P,0)),"")</f>
        <v/>
      </c>
      <c r="J4118" s="10" t="str">
        <f ca="1" t="shared" si="193"/>
        <v/>
      </c>
      <c r="K4118" s="10" t="str">
        <f ca="1" t="shared" si="194"/>
        <v/>
      </c>
    </row>
    <row r="4119" spans="1:11">
      <c r="A4119" s="14" t="str">
        <f t="shared" si="192"/>
        <v/>
      </c>
      <c r="C4119" s="14" t="str">
        <f>IFERROR(INDEX(面试清单!D:D,MATCH(4118,面试清单!P:P,0)),"")</f>
        <v/>
      </c>
      <c r="H4119" s="14" t="str">
        <f>IFERROR(INDEX(面试清单!H:H,MATCH(4118,面试清单!P:P,0)),"")</f>
        <v/>
      </c>
      <c r="J4119" s="14" t="str">
        <f ca="1" t="shared" si="193"/>
        <v/>
      </c>
      <c r="K4119" s="14" t="str">
        <f ca="1" t="shared" si="194"/>
        <v/>
      </c>
    </row>
    <row r="4120" spans="1:11">
      <c r="A4120" s="10" t="str">
        <f t="shared" si="192"/>
        <v/>
      </c>
      <c r="C4120" s="10" t="str">
        <f>IFERROR(INDEX(面试清单!D:D,MATCH(4119,面试清单!P:P,0)),"")</f>
        <v/>
      </c>
      <c r="H4120" s="10" t="str">
        <f>IFERROR(INDEX(面试清单!H:H,MATCH(4119,面试清单!P:P,0)),"")</f>
        <v/>
      </c>
      <c r="J4120" s="10" t="str">
        <f ca="1" t="shared" si="193"/>
        <v/>
      </c>
      <c r="K4120" s="10" t="str">
        <f ca="1" t="shared" si="194"/>
        <v/>
      </c>
    </row>
    <row r="4121" spans="1:11">
      <c r="A4121" s="14" t="str">
        <f t="shared" si="192"/>
        <v/>
      </c>
      <c r="C4121" s="14" t="str">
        <f>IFERROR(INDEX(面试清单!D:D,MATCH(4120,面试清单!P:P,0)),"")</f>
        <v/>
      </c>
      <c r="H4121" s="14" t="str">
        <f>IFERROR(INDEX(面试清单!H:H,MATCH(4120,面试清单!P:P,0)),"")</f>
        <v/>
      </c>
      <c r="J4121" s="14" t="str">
        <f ca="1" t="shared" si="193"/>
        <v/>
      </c>
      <c r="K4121" s="14" t="str">
        <f ca="1" t="shared" si="194"/>
        <v/>
      </c>
    </row>
    <row r="4122" spans="1:11">
      <c r="A4122" s="10" t="str">
        <f t="shared" si="192"/>
        <v/>
      </c>
      <c r="C4122" s="10" t="str">
        <f>IFERROR(INDEX(面试清单!D:D,MATCH(4121,面试清单!P:P,0)),"")</f>
        <v/>
      </c>
      <c r="H4122" s="10" t="str">
        <f>IFERROR(INDEX(面试清单!H:H,MATCH(4121,面试清单!P:P,0)),"")</f>
        <v/>
      </c>
      <c r="J4122" s="10" t="str">
        <f ca="1" t="shared" si="193"/>
        <v/>
      </c>
      <c r="K4122" s="10" t="str">
        <f ca="1" t="shared" si="194"/>
        <v/>
      </c>
    </row>
    <row r="4123" spans="1:11">
      <c r="A4123" s="14" t="str">
        <f t="shared" si="192"/>
        <v/>
      </c>
      <c r="C4123" s="14" t="str">
        <f>IFERROR(INDEX(面试清单!D:D,MATCH(4122,面试清单!P:P,0)),"")</f>
        <v/>
      </c>
      <c r="H4123" s="14" t="str">
        <f>IFERROR(INDEX(面试清单!H:H,MATCH(4122,面试清单!P:P,0)),"")</f>
        <v/>
      </c>
      <c r="J4123" s="14" t="str">
        <f ca="1" t="shared" si="193"/>
        <v/>
      </c>
      <c r="K4123" s="14" t="str">
        <f ca="1" t="shared" si="194"/>
        <v/>
      </c>
    </row>
    <row r="4124" spans="1:11">
      <c r="A4124" s="10" t="str">
        <f t="shared" si="192"/>
        <v/>
      </c>
      <c r="C4124" s="10" t="str">
        <f>IFERROR(INDEX(面试清单!D:D,MATCH(4123,面试清单!P:P,0)),"")</f>
        <v/>
      </c>
      <c r="H4124" s="10" t="str">
        <f>IFERROR(INDEX(面试清单!H:H,MATCH(4123,面试清单!P:P,0)),"")</f>
        <v/>
      </c>
      <c r="J4124" s="10" t="str">
        <f ca="1" t="shared" si="193"/>
        <v/>
      </c>
      <c r="K4124" s="10" t="str">
        <f ca="1" t="shared" si="194"/>
        <v/>
      </c>
    </row>
    <row r="4125" spans="1:11">
      <c r="A4125" s="14" t="str">
        <f t="shared" si="192"/>
        <v/>
      </c>
      <c r="C4125" s="14" t="str">
        <f>IFERROR(INDEX(面试清单!D:D,MATCH(4124,面试清单!P:P,0)),"")</f>
        <v/>
      </c>
      <c r="H4125" s="14" t="str">
        <f>IFERROR(INDEX(面试清单!H:H,MATCH(4124,面试清单!P:P,0)),"")</f>
        <v/>
      </c>
      <c r="J4125" s="14" t="str">
        <f ca="1" t="shared" si="193"/>
        <v/>
      </c>
      <c r="K4125" s="14" t="str">
        <f ca="1" t="shared" si="194"/>
        <v/>
      </c>
    </row>
    <row r="4126" spans="1:11">
      <c r="A4126" s="10" t="str">
        <f t="shared" si="192"/>
        <v/>
      </c>
      <c r="C4126" s="10" t="str">
        <f>IFERROR(INDEX(面试清单!D:D,MATCH(4125,面试清单!P:P,0)),"")</f>
        <v/>
      </c>
      <c r="H4126" s="10" t="str">
        <f>IFERROR(INDEX(面试清单!H:H,MATCH(4125,面试清单!P:P,0)),"")</f>
        <v/>
      </c>
      <c r="J4126" s="10" t="str">
        <f ca="1" t="shared" si="193"/>
        <v/>
      </c>
      <c r="K4126" s="10" t="str">
        <f ca="1" t="shared" si="194"/>
        <v/>
      </c>
    </row>
    <row r="4127" spans="1:11">
      <c r="A4127" s="14" t="str">
        <f t="shared" si="192"/>
        <v/>
      </c>
      <c r="C4127" s="14" t="str">
        <f>IFERROR(INDEX(面试清单!D:D,MATCH(4126,面试清单!P:P,0)),"")</f>
        <v/>
      </c>
      <c r="H4127" s="14" t="str">
        <f>IFERROR(INDEX(面试清单!H:H,MATCH(4126,面试清单!P:P,0)),"")</f>
        <v/>
      </c>
      <c r="J4127" s="14" t="str">
        <f ca="1" t="shared" si="193"/>
        <v/>
      </c>
      <c r="K4127" s="14" t="str">
        <f ca="1" t="shared" si="194"/>
        <v/>
      </c>
    </row>
    <row r="4128" spans="1:11">
      <c r="A4128" s="10" t="str">
        <f t="shared" si="192"/>
        <v/>
      </c>
      <c r="C4128" s="10" t="str">
        <f>IFERROR(INDEX(面试清单!D:D,MATCH(4127,面试清单!P:P,0)),"")</f>
        <v/>
      </c>
      <c r="H4128" s="10" t="str">
        <f>IFERROR(INDEX(面试清单!H:H,MATCH(4127,面试清单!P:P,0)),"")</f>
        <v/>
      </c>
      <c r="J4128" s="10" t="str">
        <f ca="1" t="shared" si="193"/>
        <v/>
      </c>
      <c r="K4128" s="10" t="str">
        <f ca="1" t="shared" si="194"/>
        <v/>
      </c>
    </row>
    <row r="4129" spans="1:11">
      <c r="A4129" s="14" t="str">
        <f t="shared" si="192"/>
        <v/>
      </c>
      <c r="C4129" s="14" t="str">
        <f>IFERROR(INDEX(面试清单!D:D,MATCH(4128,面试清单!P:P,0)),"")</f>
        <v/>
      </c>
      <c r="H4129" s="14" t="str">
        <f>IFERROR(INDEX(面试清单!H:H,MATCH(4128,面试清单!P:P,0)),"")</f>
        <v/>
      </c>
      <c r="J4129" s="14" t="str">
        <f ca="1" t="shared" si="193"/>
        <v/>
      </c>
      <c r="K4129" s="14" t="str">
        <f ca="1" t="shared" si="194"/>
        <v/>
      </c>
    </row>
    <row r="4130" spans="1:11">
      <c r="A4130" s="10" t="str">
        <f t="shared" si="192"/>
        <v/>
      </c>
      <c r="C4130" s="10" t="str">
        <f>IFERROR(INDEX(面试清单!D:D,MATCH(4129,面试清单!P:P,0)),"")</f>
        <v/>
      </c>
      <c r="H4130" s="10" t="str">
        <f>IFERROR(INDEX(面试清单!H:H,MATCH(4129,面试清单!P:P,0)),"")</f>
        <v/>
      </c>
      <c r="J4130" s="10" t="str">
        <f ca="1" t="shared" si="193"/>
        <v/>
      </c>
      <c r="K4130" s="10" t="str">
        <f ca="1" t="shared" si="194"/>
        <v/>
      </c>
    </row>
    <row r="4131" spans="1:11">
      <c r="A4131" s="14" t="str">
        <f t="shared" si="192"/>
        <v/>
      </c>
      <c r="C4131" s="14" t="str">
        <f>IFERROR(INDEX(面试清单!D:D,MATCH(4130,面试清单!P:P,0)),"")</f>
        <v/>
      </c>
      <c r="H4131" s="14" t="str">
        <f>IFERROR(INDEX(面试清单!H:H,MATCH(4130,面试清单!P:P,0)),"")</f>
        <v/>
      </c>
      <c r="J4131" s="14" t="str">
        <f ca="1" t="shared" si="193"/>
        <v/>
      </c>
      <c r="K4131" s="14" t="str">
        <f ca="1" t="shared" si="194"/>
        <v/>
      </c>
    </row>
    <row r="4132" spans="1:11">
      <c r="A4132" s="10" t="str">
        <f t="shared" si="192"/>
        <v/>
      </c>
      <c r="C4132" s="10" t="str">
        <f>IFERROR(INDEX(面试清单!D:D,MATCH(4131,面试清单!P:P,0)),"")</f>
        <v/>
      </c>
      <c r="H4132" s="10" t="str">
        <f>IFERROR(INDEX(面试清单!H:H,MATCH(4131,面试清单!P:P,0)),"")</f>
        <v/>
      </c>
      <c r="J4132" s="10" t="str">
        <f ca="1" t="shared" si="193"/>
        <v/>
      </c>
      <c r="K4132" s="10" t="str">
        <f ca="1" t="shared" si="194"/>
        <v/>
      </c>
    </row>
    <row r="4133" spans="1:11">
      <c r="A4133" s="14" t="str">
        <f t="shared" si="192"/>
        <v/>
      </c>
      <c r="C4133" s="14" t="str">
        <f>IFERROR(INDEX(面试清单!D:D,MATCH(4132,面试清单!P:P,0)),"")</f>
        <v/>
      </c>
      <c r="H4133" s="14" t="str">
        <f>IFERROR(INDEX(面试清单!H:H,MATCH(4132,面试清单!P:P,0)),"")</f>
        <v/>
      </c>
      <c r="J4133" s="14" t="str">
        <f ca="1" t="shared" si="193"/>
        <v/>
      </c>
      <c r="K4133" s="14" t="str">
        <f ca="1" t="shared" si="194"/>
        <v/>
      </c>
    </row>
    <row r="4134" spans="1:11">
      <c r="A4134" s="10" t="str">
        <f t="shared" si="192"/>
        <v/>
      </c>
      <c r="C4134" s="10" t="str">
        <f>IFERROR(INDEX(面试清单!D:D,MATCH(4133,面试清单!P:P,0)),"")</f>
        <v/>
      </c>
      <c r="H4134" s="10" t="str">
        <f>IFERROR(INDEX(面试清单!H:H,MATCH(4133,面试清单!P:P,0)),"")</f>
        <v/>
      </c>
      <c r="J4134" s="10" t="str">
        <f ca="1" t="shared" si="193"/>
        <v/>
      </c>
      <c r="K4134" s="10" t="str">
        <f ca="1" t="shared" si="194"/>
        <v/>
      </c>
    </row>
    <row r="4135" spans="1:11">
      <c r="A4135" s="14" t="str">
        <f t="shared" si="192"/>
        <v/>
      </c>
      <c r="C4135" s="14" t="str">
        <f>IFERROR(INDEX(面试清单!D:D,MATCH(4134,面试清单!P:P,0)),"")</f>
        <v/>
      </c>
      <c r="H4135" s="14" t="str">
        <f>IFERROR(INDEX(面试清单!H:H,MATCH(4134,面试清单!P:P,0)),"")</f>
        <v/>
      </c>
      <c r="J4135" s="14" t="str">
        <f ca="1" t="shared" si="193"/>
        <v/>
      </c>
      <c r="K4135" s="14" t="str">
        <f ca="1" t="shared" si="194"/>
        <v/>
      </c>
    </row>
    <row r="4136" spans="1:11">
      <c r="A4136" s="10" t="str">
        <f t="shared" si="192"/>
        <v/>
      </c>
      <c r="C4136" s="10" t="str">
        <f>IFERROR(INDEX(面试清单!D:D,MATCH(4135,面试清单!P:P,0)),"")</f>
        <v/>
      </c>
      <c r="H4136" s="10" t="str">
        <f>IFERROR(INDEX(面试清单!H:H,MATCH(4135,面试清单!P:P,0)),"")</f>
        <v/>
      </c>
      <c r="J4136" s="10" t="str">
        <f ca="1" t="shared" si="193"/>
        <v/>
      </c>
      <c r="K4136" s="10" t="str">
        <f ca="1" t="shared" si="194"/>
        <v/>
      </c>
    </row>
    <row r="4137" spans="1:11">
      <c r="A4137" s="14" t="str">
        <f t="shared" si="192"/>
        <v/>
      </c>
      <c r="C4137" s="14" t="str">
        <f>IFERROR(INDEX(面试清单!D:D,MATCH(4136,面试清单!P:P,0)),"")</f>
        <v/>
      </c>
      <c r="H4137" s="14" t="str">
        <f>IFERROR(INDEX(面试清单!H:H,MATCH(4136,面试清单!P:P,0)),"")</f>
        <v/>
      </c>
      <c r="J4137" s="14" t="str">
        <f ca="1" t="shared" si="193"/>
        <v/>
      </c>
      <c r="K4137" s="14" t="str">
        <f ca="1" t="shared" si="194"/>
        <v/>
      </c>
    </row>
    <row r="4138" spans="1:11">
      <c r="A4138" s="10" t="str">
        <f t="shared" si="192"/>
        <v/>
      </c>
      <c r="C4138" s="10" t="str">
        <f>IFERROR(INDEX(面试清单!D:D,MATCH(4137,面试清单!P:P,0)),"")</f>
        <v/>
      </c>
      <c r="H4138" s="10" t="str">
        <f>IFERROR(INDEX(面试清单!H:H,MATCH(4137,面试清单!P:P,0)),"")</f>
        <v/>
      </c>
      <c r="J4138" s="10" t="str">
        <f ca="1" t="shared" si="193"/>
        <v/>
      </c>
      <c r="K4138" s="10" t="str">
        <f ca="1" t="shared" si="194"/>
        <v/>
      </c>
    </row>
    <row r="4139" spans="1:11">
      <c r="A4139" s="14" t="str">
        <f t="shared" si="192"/>
        <v/>
      </c>
      <c r="C4139" s="14" t="str">
        <f>IFERROR(INDEX(面试清单!D:D,MATCH(4138,面试清单!P:P,0)),"")</f>
        <v/>
      </c>
      <c r="H4139" s="14" t="str">
        <f>IFERROR(INDEX(面试清单!H:H,MATCH(4138,面试清单!P:P,0)),"")</f>
        <v/>
      </c>
      <c r="J4139" s="14" t="str">
        <f ca="1" t="shared" si="193"/>
        <v/>
      </c>
      <c r="K4139" s="14" t="str">
        <f ca="1" t="shared" si="194"/>
        <v/>
      </c>
    </row>
    <row r="4140" spans="1:11">
      <c r="A4140" s="10" t="str">
        <f t="shared" si="192"/>
        <v/>
      </c>
      <c r="C4140" s="10" t="str">
        <f>IFERROR(INDEX(面试清单!D:D,MATCH(4139,面试清单!P:P,0)),"")</f>
        <v/>
      </c>
      <c r="H4140" s="10" t="str">
        <f>IFERROR(INDEX(面试清单!H:H,MATCH(4139,面试清单!P:P,0)),"")</f>
        <v/>
      </c>
      <c r="J4140" s="10" t="str">
        <f ca="1" t="shared" si="193"/>
        <v/>
      </c>
      <c r="K4140" s="10" t="str">
        <f ca="1" t="shared" si="194"/>
        <v/>
      </c>
    </row>
    <row r="4141" spans="1:11">
      <c r="A4141" s="14" t="str">
        <f t="shared" si="192"/>
        <v/>
      </c>
      <c r="C4141" s="14" t="str">
        <f>IFERROR(INDEX(面试清单!D:D,MATCH(4140,面试清单!P:P,0)),"")</f>
        <v/>
      </c>
      <c r="H4141" s="14" t="str">
        <f>IFERROR(INDEX(面试清单!H:H,MATCH(4140,面试清单!P:P,0)),"")</f>
        <v/>
      </c>
      <c r="J4141" s="14" t="str">
        <f ca="1" t="shared" si="193"/>
        <v/>
      </c>
      <c r="K4141" s="14" t="str">
        <f ca="1" t="shared" si="194"/>
        <v/>
      </c>
    </row>
    <row r="4142" spans="1:11">
      <c r="A4142" s="10" t="str">
        <f t="shared" si="192"/>
        <v/>
      </c>
      <c r="C4142" s="10" t="str">
        <f>IFERROR(INDEX(面试清单!D:D,MATCH(4141,面试清单!P:P,0)),"")</f>
        <v/>
      </c>
      <c r="H4142" s="10" t="str">
        <f>IFERROR(INDEX(面试清单!H:H,MATCH(4141,面试清单!P:P,0)),"")</f>
        <v/>
      </c>
      <c r="J4142" s="10" t="str">
        <f ca="1" t="shared" si="193"/>
        <v/>
      </c>
      <c r="K4142" s="10" t="str">
        <f ca="1" t="shared" si="194"/>
        <v/>
      </c>
    </row>
    <row r="4143" spans="1:11">
      <c r="A4143" s="14" t="str">
        <f t="shared" si="192"/>
        <v/>
      </c>
      <c r="C4143" s="14" t="str">
        <f>IFERROR(INDEX(面试清单!D:D,MATCH(4142,面试清单!P:P,0)),"")</f>
        <v/>
      </c>
      <c r="H4143" s="14" t="str">
        <f>IFERROR(INDEX(面试清单!H:H,MATCH(4142,面试清单!P:P,0)),"")</f>
        <v/>
      </c>
      <c r="J4143" s="14" t="str">
        <f ca="1" t="shared" si="193"/>
        <v/>
      </c>
      <c r="K4143" s="14" t="str">
        <f ca="1" t="shared" si="194"/>
        <v/>
      </c>
    </row>
    <row r="4144" spans="1:11">
      <c r="A4144" s="10" t="str">
        <f t="shared" si="192"/>
        <v/>
      </c>
      <c r="C4144" s="10" t="str">
        <f>IFERROR(INDEX(面试清单!D:D,MATCH(4143,面试清单!P:P,0)),"")</f>
        <v/>
      </c>
      <c r="H4144" s="10" t="str">
        <f>IFERROR(INDEX(面试清单!H:H,MATCH(4143,面试清单!P:P,0)),"")</f>
        <v/>
      </c>
      <c r="J4144" s="10" t="str">
        <f ca="1" t="shared" si="193"/>
        <v/>
      </c>
      <c r="K4144" s="10" t="str">
        <f ca="1" t="shared" si="194"/>
        <v/>
      </c>
    </row>
    <row r="4145" spans="1:11">
      <c r="A4145" s="14" t="str">
        <f t="shared" si="192"/>
        <v/>
      </c>
      <c r="C4145" s="14" t="str">
        <f>IFERROR(INDEX(面试清单!D:D,MATCH(4144,面试清单!P:P,0)),"")</f>
        <v/>
      </c>
      <c r="H4145" s="14" t="str">
        <f>IFERROR(INDEX(面试清单!H:H,MATCH(4144,面试清单!P:P,0)),"")</f>
        <v/>
      </c>
      <c r="J4145" s="14" t="str">
        <f ca="1" t="shared" si="193"/>
        <v/>
      </c>
      <c r="K4145" s="14" t="str">
        <f ca="1" t="shared" si="194"/>
        <v/>
      </c>
    </row>
    <row r="4146" spans="1:11">
      <c r="A4146" s="10" t="str">
        <f t="shared" si="192"/>
        <v/>
      </c>
      <c r="C4146" s="10" t="str">
        <f>IFERROR(INDEX(面试清单!D:D,MATCH(4145,面试清单!P:P,0)),"")</f>
        <v/>
      </c>
      <c r="H4146" s="10" t="str">
        <f>IFERROR(INDEX(面试清单!H:H,MATCH(4145,面试清单!P:P,0)),"")</f>
        <v/>
      </c>
      <c r="J4146" s="10" t="str">
        <f ca="1" t="shared" si="193"/>
        <v/>
      </c>
      <c r="K4146" s="10" t="str">
        <f ca="1" t="shared" si="194"/>
        <v/>
      </c>
    </row>
    <row r="4147" spans="1:11">
      <c r="A4147" s="14" t="str">
        <f t="shared" si="192"/>
        <v/>
      </c>
      <c r="C4147" s="14" t="str">
        <f>IFERROR(INDEX(面试清单!D:D,MATCH(4146,面试清单!P:P,0)),"")</f>
        <v/>
      </c>
      <c r="H4147" s="14" t="str">
        <f>IFERROR(INDEX(面试清单!H:H,MATCH(4146,面试清单!P:P,0)),"")</f>
        <v/>
      </c>
      <c r="J4147" s="14" t="str">
        <f ca="1" t="shared" si="193"/>
        <v/>
      </c>
      <c r="K4147" s="14" t="str">
        <f ca="1" t="shared" si="194"/>
        <v/>
      </c>
    </row>
    <row r="4148" spans="1:11">
      <c r="A4148" s="10" t="str">
        <f t="shared" si="192"/>
        <v/>
      </c>
      <c r="C4148" s="10" t="str">
        <f>IFERROR(INDEX(面试清单!D:D,MATCH(4147,面试清单!P:P,0)),"")</f>
        <v/>
      </c>
      <c r="H4148" s="10" t="str">
        <f>IFERROR(INDEX(面试清单!H:H,MATCH(4147,面试清单!P:P,0)),"")</f>
        <v/>
      </c>
      <c r="J4148" s="10" t="str">
        <f ca="1" t="shared" si="193"/>
        <v/>
      </c>
      <c r="K4148" s="10" t="str">
        <f ca="1" t="shared" si="194"/>
        <v/>
      </c>
    </row>
    <row r="4149" spans="1:11">
      <c r="A4149" s="14" t="str">
        <f t="shared" si="192"/>
        <v/>
      </c>
      <c r="C4149" s="14" t="str">
        <f>IFERROR(INDEX(面试清单!D:D,MATCH(4148,面试清单!P:P,0)),"")</f>
        <v/>
      </c>
      <c r="H4149" s="14" t="str">
        <f>IFERROR(INDEX(面试清单!H:H,MATCH(4148,面试清单!P:P,0)),"")</f>
        <v/>
      </c>
      <c r="J4149" s="14" t="str">
        <f ca="1" t="shared" si="193"/>
        <v/>
      </c>
      <c r="K4149" s="14" t="str">
        <f ca="1" t="shared" si="194"/>
        <v/>
      </c>
    </row>
    <row r="4150" spans="1:11">
      <c r="A4150" s="10" t="str">
        <f t="shared" si="192"/>
        <v/>
      </c>
      <c r="C4150" s="10" t="str">
        <f>IFERROR(INDEX(面试清单!D:D,MATCH(4149,面试清单!P:P,0)),"")</f>
        <v/>
      </c>
      <c r="H4150" s="10" t="str">
        <f>IFERROR(INDEX(面试清单!H:H,MATCH(4149,面试清单!P:P,0)),"")</f>
        <v/>
      </c>
      <c r="J4150" s="10" t="str">
        <f ca="1" t="shared" si="193"/>
        <v/>
      </c>
      <c r="K4150" s="10" t="str">
        <f ca="1" t="shared" si="194"/>
        <v/>
      </c>
    </row>
    <row r="4151" spans="1:11">
      <c r="A4151" s="14" t="str">
        <f t="shared" si="192"/>
        <v/>
      </c>
      <c r="C4151" s="14" t="str">
        <f>IFERROR(INDEX(面试清单!D:D,MATCH(4150,面试清单!P:P,0)),"")</f>
        <v/>
      </c>
      <c r="H4151" s="14" t="str">
        <f>IFERROR(INDEX(面试清单!H:H,MATCH(4150,面试清单!P:P,0)),"")</f>
        <v/>
      </c>
      <c r="J4151" s="14" t="str">
        <f ca="1" t="shared" si="193"/>
        <v/>
      </c>
      <c r="K4151" s="14" t="str">
        <f ca="1" t="shared" si="194"/>
        <v/>
      </c>
    </row>
    <row r="4152" spans="1:11">
      <c r="A4152" s="10" t="str">
        <f t="shared" si="192"/>
        <v/>
      </c>
      <c r="C4152" s="10" t="str">
        <f>IFERROR(INDEX(面试清单!D:D,MATCH(4151,面试清单!P:P,0)),"")</f>
        <v/>
      </c>
      <c r="H4152" s="10" t="str">
        <f>IFERROR(INDEX(面试清单!H:H,MATCH(4151,面试清单!P:P,0)),"")</f>
        <v/>
      </c>
      <c r="J4152" s="10" t="str">
        <f ca="1" t="shared" si="193"/>
        <v/>
      </c>
      <c r="K4152" s="10" t="str">
        <f ca="1" t="shared" si="194"/>
        <v/>
      </c>
    </row>
    <row r="4153" spans="1:11">
      <c r="A4153" s="14" t="str">
        <f t="shared" si="192"/>
        <v/>
      </c>
      <c r="C4153" s="14" t="str">
        <f>IFERROR(INDEX(面试清单!D:D,MATCH(4152,面试清单!P:P,0)),"")</f>
        <v/>
      </c>
      <c r="H4153" s="14" t="str">
        <f>IFERROR(INDEX(面试清单!H:H,MATCH(4152,面试清单!P:P,0)),"")</f>
        <v/>
      </c>
      <c r="J4153" s="14" t="str">
        <f ca="1" t="shared" si="193"/>
        <v/>
      </c>
      <c r="K4153" s="14" t="str">
        <f ca="1" t="shared" si="194"/>
        <v/>
      </c>
    </row>
    <row r="4154" spans="1:11">
      <c r="A4154" s="10" t="str">
        <f t="shared" si="192"/>
        <v/>
      </c>
      <c r="C4154" s="10" t="str">
        <f>IFERROR(INDEX(面试清单!D:D,MATCH(4153,面试清单!P:P,0)),"")</f>
        <v/>
      </c>
      <c r="H4154" s="10" t="str">
        <f>IFERROR(INDEX(面试清单!H:H,MATCH(4153,面试清单!P:P,0)),"")</f>
        <v/>
      </c>
      <c r="J4154" s="10" t="str">
        <f ca="1" t="shared" si="193"/>
        <v/>
      </c>
      <c r="K4154" s="10" t="str">
        <f ca="1" t="shared" si="194"/>
        <v/>
      </c>
    </row>
    <row r="4155" spans="1:11">
      <c r="A4155" s="14" t="str">
        <f t="shared" si="192"/>
        <v/>
      </c>
      <c r="C4155" s="14" t="str">
        <f>IFERROR(INDEX(面试清单!D:D,MATCH(4154,面试清单!P:P,0)),"")</f>
        <v/>
      </c>
      <c r="H4155" s="14" t="str">
        <f>IFERROR(INDEX(面试清单!H:H,MATCH(4154,面试清单!P:P,0)),"")</f>
        <v/>
      </c>
      <c r="J4155" s="14" t="str">
        <f ca="1" t="shared" si="193"/>
        <v/>
      </c>
      <c r="K4155" s="14" t="str">
        <f ca="1" t="shared" si="194"/>
        <v/>
      </c>
    </row>
    <row r="4156" spans="1:11">
      <c r="A4156" s="10" t="str">
        <f t="shared" si="192"/>
        <v/>
      </c>
      <c r="C4156" s="10" t="str">
        <f>IFERROR(INDEX(面试清单!D:D,MATCH(4155,面试清单!P:P,0)),"")</f>
        <v/>
      </c>
      <c r="H4156" s="10" t="str">
        <f>IFERROR(INDEX(面试清单!H:H,MATCH(4155,面试清单!P:P,0)),"")</f>
        <v/>
      </c>
      <c r="J4156" s="10" t="str">
        <f ca="1" t="shared" si="193"/>
        <v/>
      </c>
      <c r="K4156" s="10" t="str">
        <f ca="1" t="shared" si="194"/>
        <v/>
      </c>
    </row>
    <row r="4157" spans="1:11">
      <c r="A4157" s="14" t="str">
        <f t="shared" si="192"/>
        <v/>
      </c>
      <c r="C4157" s="14" t="str">
        <f>IFERROR(INDEX(面试清单!D:D,MATCH(4156,面试清单!P:P,0)),"")</f>
        <v/>
      </c>
      <c r="H4157" s="14" t="str">
        <f>IFERROR(INDEX(面试清单!H:H,MATCH(4156,面试清单!P:P,0)),"")</f>
        <v/>
      </c>
      <c r="J4157" s="14" t="str">
        <f ca="1" t="shared" si="193"/>
        <v/>
      </c>
      <c r="K4157" s="14" t="str">
        <f ca="1" t="shared" si="194"/>
        <v/>
      </c>
    </row>
    <row r="4158" spans="1:11">
      <c r="A4158" s="10" t="str">
        <f t="shared" si="192"/>
        <v/>
      </c>
      <c r="C4158" s="10" t="str">
        <f>IFERROR(INDEX(面试清单!D:D,MATCH(4157,面试清单!P:P,0)),"")</f>
        <v/>
      </c>
      <c r="H4158" s="10" t="str">
        <f>IFERROR(INDEX(面试清单!H:H,MATCH(4157,面试清单!P:P,0)),"")</f>
        <v/>
      </c>
      <c r="J4158" s="10" t="str">
        <f ca="1" t="shared" si="193"/>
        <v/>
      </c>
      <c r="K4158" s="10" t="str">
        <f ca="1" t="shared" si="194"/>
        <v/>
      </c>
    </row>
    <row r="4159" spans="1:11">
      <c r="A4159" s="14" t="str">
        <f t="shared" si="192"/>
        <v/>
      </c>
      <c r="C4159" s="14" t="str">
        <f>IFERROR(INDEX(面试清单!D:D,MATCH(4158,面试清单!P:P,0)),"")</f>
        <v/>
      </c>
      <c r="H4159" s="14" t="str">
        <f>IFERROR(INDEX(面试清单!H:H,MATCH(4158,面试清单!P:P,0)),"")</f>
        <v/>
      </c>
      <c r="J4159" s="14" t="str">
        <f ca="1" t="shared" si="193"/>
        <v/>
      </c>
      <c r="K4159" s="14" t="str">
        <f ca="1" t="shared" si="194"/>
        <v/>
      </c>
    </row>
    <row r="4160" spans="1:11">
      <c r="A4160" s="10" t="str">
        <f t="shared" si="192"/>
        <v/>
      </c>
      <c r="C4160" s="10" t="str">
        <f>IFERROR(INDEX(面试清单!D:D,MATCH(4159,面试清单!P:P,0)),"")</f>
        <v/>
      </c>
      <c r="H4160" s="10" t="str">
        <f>IFERROR(INDEX(面试清单!H:H,MATCH(4159,面试清单!P:P,0)),"")</f>
        <v/>
      </c>
      <c r="J4160" s="10" t="str">
        <f ca="1" t="shared" si="193"/>
        <v/>
      </c>
      <c r="K4160" s="10" t="str">
        <f ca="1" t="shared" si="194"/>
        <v/>
      </c>
    </row>
    <row r="4161" spans="1:11">
      <c r="A4161" s="14" t="str">
        <f t="shared" si="192"/>
        <v/>
      </c>
      <c r="C4161" s="14" t="str">
        <f>IFERROR(INDEX(面试清单!D:D,MATCH(4160,面试清单!P:P,0)),"")</f>
        <v/>
      </c>
      <c r="H4161" s="14" t="str">
        <f>IFERROR(INDEX(面试清单!H:H,MATCH(4160,面试清单!P:P,0)),"")</f>
        <v/>
      </c>
      <c r="J4161" s="14" t="str">
        <f ca="1" t="shared" si="193"/>
        <v/>
      </c>
      <c r="K4161" s="14" t="str">
        <f ca="1" t="shared" si="194"/>
        <v/>
      </c>
    </row>
    <row r="4162" spans="1:11">
      <c r="A4162" s="10" t="str">
        <f t="shared" ref="A4162:A4225" si="195">IF(B4162&lt;&gt;"",ROW()-1,"")</f>
        <v/>
      </c>
      <c r="C4162" s="10" t="str">
        <f>IFERROR(INDEX(面试清单!D:D,MATCH(4161,面试清单!P:P,0)),"")</f>
        <v/>
      </c>
      <c r="H4162" s="10" t="str">
        <f>IFERROR(INDEX(面试清单!H:H,MATCH(4161,面试清单!P:P,0)),"")</f>
        <v/>
      </c>
      <c r="J4162" s="10" t="str">
        <f ca="1" t="shared" ref="J4162:J4225" si="196">IF(G4162&lt;&gt;"",TODAY()-G4162,"")</f>
        <v/>
      </c>
      <c r="K4162" s="10" t="str">
        <f ca="1" t="shared" ref="K4162:K4225" si="197">IF(G4162&lt;&gt;"",MAX(0,MIN(TODAY(),EOMONTH(TODAY(),0))-MAX(G4162,EOMONTH(TODAY(),-1)+1)+1),"")</f>
        <v/>
      </c>
    </row>
    <row r="4163" spans="1:11">
      <c r="A4163" s="14" t="str">
        <f t="shared" si="195"/>
        <v/>
      </c>
      <c r="C4163" s="14" t="str">
        <f>IFERROR(INDEX(面试清单!D:D,MATCH(4162,面试清单!P:P,0)),"")</f>
        <v/>
      </c>
      <c r="H4163" s="14" t="str">
        <f>IFERROR(INDEX(面试清单!H:H,MATCH(4162,面试清单!P:P,0)),"")</f>
        <v/>
      </c>
      <c r="J4163" s="14" t="str">
        <f ca="1" t="shared" si="196"/>
        <v/>
      </c>
      <c r="K4163" s="14" t="str">
        <f ca="1" t="shared" si="197"/>
        <v/>
      </c>
    </row>
    <row r="4164" spans="1:11">
      <c r="A4164" s="10" t="str">
        <f t="shared" si="195"/>
        <v/>
      </c>
      <c r="C4164" s="10" t="str">
        <f>IFERROR(INDEX(面试清单!D:D,MATCH(4163,面试清单!P:P,0)),"")</f>
        <v/>
      </c>
      <c r="H4164" s="10" t="str">
        <f>IFERROR(INDEX(面试清单!H:H,MATCH(4163,面试清单!P:P,0)),"")</f>
        <v/>
      </c>
      <c r="J4164" s="10" t="str">
        <f ca="1" t="shared" si="196"/>
        <v/>
      </c>
      <c r="K4164" s="10" t="str">
        <f ca="1" t="shared" si="197"/>
        <v/>
      </c>
    </row>
    <row r="4165" spans="1:11">
      <c r="A4165" s="14" t="str">
        <f t="shared" si="195"/>
        <v/>
      </c>
      <c r="C4165" s="14" t="str">
        <f>IFERROR(INDEX(面试清单!D:D,MATCH(4164,面试清单!P:P,0)),"")</f>
        <v/>
      </c>
      <c r="H4165" s="14" t="str">
        <f>IFERROR(INDEX(面试清单!H:H,MATCH(4164,面试清单!P:P,0)),"")</f>
        <v/>
      </c>
      <c r="J4165" s="14" t="str">
        <f ca="1" t="shared" si="196"/>
        <v/>
      </c>
      <c r="K4165" s="14" t="str">
        <f ca="1" t="shared" si="197"/>
        <v/>
      </c>
    </row>
    <row r="4166" spans="1:11">
      <c r="A4166" s="10" t="str">
        <f t="shared" si="195"/>
        <v/>
      </c>
      <c r="C4166" s="10" t="str">
        <f>IFERROR(INDEX(面试清单!D:D,MATCH(4165,面试清单!P:P,0)),"")</f>
        <v/>
      </c>
      <c r="H4166" s="10" t="str">
        <f>IFERROR(INDEX(面试清单!H:H,MATCH(4165,面试清单!P:P,0)),"")</f>
        <v/>
      </c>
      <c r="J4166" s="10" t="str">
        <f ca="1" t="shared" si="196"/>
        <v/>
      </c>
      <c r="K4166" s="10" t="str">
        <f ca="1" t="shared" si="197"/>
        <v/>
      </c>
    </row>
    <row r="4167" spans="1:11">
      <c r="A4167" s="14" t="str">
        <f t="shared" si="195"/>
        <v/>
      </c>
      <c r="C4167" s="14" t="str">
        <f>IFERROR(INDEX(面试清单!D:D,MATCH(4166,面试清单!P:P,0)),"")</f>
        <v/>
      </c>
      <c r="H4167" s="14" t="str">
        <f>IFERROR(INDEX(面试清单!H:H,MATCH(4166,面试清单!P:P,0)),"")</f>
        <v/>
      </c>
      <c r="J4167" s="14" t="str">
        <f ca="1" t="shared" si="196"/>
        <v/>
      </c>
      <c r="K4167" s="14" t="str">
        <f ca="1" t="shared" si="197"/>
        <v/>
      </c>
    </row>
    <row r="4168" spans="1:11">
      <c r="A4168" s="10" t="str">
        <f t="shared" si="195"/>
        <v/>
      </c>
      <c r="C4168" s="10" t="str">
        <f>IFERROR(INDEX(面试清单!D:D,MATCH(4167,面试清单!P:P,0)),"")</f>
        <v/>
      </c>
      <c r="H4168" s="10" t="str">
        <f>IFERROR(INDEX(面试清单!H:H,MATCH(4167,面试清单!P:P,0)),"")</f>
        <v/>
      </c>
      <c r="J4168" s="10" t="str">
        <f ca="1" t="shared" si="196"/>
        <v/>
      </c>
      <c r="K4168" s="10" t="str">
        <f ca="1" t="shared" si="197"/>
        <v/>
      </c>
    </row>
    <row r="4169" spans="1:11">
      <c r="A4169" s="14" t="str">
        <f t="shared" si="195"/>
        <v/>
      </c>
      <c r="C4169" s="14" t="str">
        <f>IFERROR(INDEX(面试清单!D:D,MATCH(4168,面试清单!P:P,0)),"")</f>
        <v/>
      </c>
      <c r="H4169" s="14" t="str">
        <f>IFERROR(INDEX(面试清单!H:H,MATCH(4168,面试清单!P:P,0)),"")</f>
        <v/>
      </c>
      <c r="J4169" s="14" t="str">
        <f ca="1" t="shared" si="196"/>
        <v/>
      </c>
      <c r="K4169" s="14" t="str">
        <f ca="1" t="shared" si="197"/>
        <v/>
      </c>
    </row>
    <row r="4170" spans="1:11">
      <c r="A4170" s="10" t="str">
        <f t="shared" si="195"/>
        <v/>
      </c>
      <c r="C4170" s="10" t="str">
        <f>IFERROR(INDEX(面试清单!D:D,MATCH(4169,面试清单!P:P,0)),"")</f>
        <v/>
      </c>
      <c r="H4170" s="10" t="str">
        <f>IFERROR(INDEX(面试清单!H:H,MATCH(4169,面试清单!P:P,0)),"")</f>
        <v/>
      </c>
      <c r="J4170" s="10" t="str">
        <f ca="1" t="shared" si="196"/>
        <v/>
      </c>
      <c r="K4170" s="10" t="str">
        <f ca="1" t="shared" si="197"/>
        <v/>
      </c>
    </row>
    <row r="4171" spans="1:11">
      <c r="A4171" s="14" t="str">
        <f t="shared" si="195"/>
        <v/>
      </c>
      <c r="C4171" s="14" t="str">
        <f>IFERROR(INDEX(面试清单!D:D,MATCH(4170,面试清单!P:P,0)),"")</f>
        <v/>
      </c>
      <c r="H4171" s="14" t="str">
        <f>IFERROR(INDEX(面试清单!H:H,MATCH(4170,面试清单!P:P,0)),"")</f>
        <v/>
      </c>
      <c r="J4171" s="14" t="str">
        <f ca="1" t="shared" si="196"/>
        <v/>
      </c>
      <c r="K4171" s="14" t="str">
        <f ca="1" t="shared" si="197"/>
        <v/>
      </c>
    </row>
    <row r="4172" spans="1:11">
      <c r="A4172" s="10" t="str">
        <f t="shared" si="195"/>
        <v/>
      </c>
      <c r="C4172" s="10" t="str">
        <f>IFERROR(INDEX(面试清单!D:D,MATCH(4171,面试清单!P:P,0)),"")</f>
        <v/>
      </c>
      <c r="H4172" s="10" t="str">
        <f>IFERROR(INDEX(面试清单!H:H,MATCH(4171,面试清单!P:P,0)),"")</f>
        <v/>
      </c>
      <c r="J4172" s="10" t="str">
        <f ca="1" t="shared" si="196"/>
        <v/>
      </c>
      <c r="K4172" s="10" t="str">
        <f ca="1" t="shared" si="197"/>
        <v/>
      </c>
    </row>
    <row r="4173" spans="1:11">
      <c r="A4173" s="14" t="str">
        <f t="shared" si="195"/>
        <v/>
      </c>
      <c r="C4173" s="14" t="str">
        <f>IFERROR(INDEX(面试清单!D:D,MATCH(4172,面试清单!P:P,0)),"")</f>
        <v/>
      </c>
      <c r="H4173" s="14" t="str">
        <f>IFERROR(INDEX(面试清单!H:H,MATCH(4172,面试清单!P:P,0)),"")</f>
        <v/>
      </c>
      <c r="J4173" s="14" t="str">
        <f ca="1" t="shared" si="196"/>
        <v/>
      </c>
      <c r="K4173" s="14" t="str">
        <f ca="1" t="shared" si="197"/>
        <v/>
      </c>
    </row>
    <row r="4174" spans="1:11">
      <c r="A4174" s="10" t="str">
        <f t="shared" si="195"/>
        <v/>
      </c>
      <c r="C4174" s="10" t="str">
        <f>IFERROR(INDEX(面试清单!D:D,MATCH(4173,面试清单!P:P,0)),"")</f>
        <v/>
      </c>
      <c r="H4174" s="10" t="str">
        <f>IFERROR(INDEX(面试清单!H:H,MATCH(4173,面试清单!P:P,0)),"")</f>
        <v/>
      </c>
      <c r="J4174" s="10" t="str">
        <f ca="1" t="shared" si="196"/>
        <v/>
      </c>
      <c r="K4174" s="10" t="str">
        <f ca="1" t="shared" si="197"/>
        <v/>
      </c>
    </row>
    <row r="4175" spans="1:11">
      <c r="A4175" s="14" t="str">
        <f t="shared" si="195"/>
        <v/>
      </c>
      <c r="C4175" s="14" t="str">
        <f>IFERROR(INDEX(面试清单!D:D,MATCH(4174,面试清单!P:P,0)),"")</f>
        <v/>
      </c>
      <c r="H4175" s="14" t="str">
        <f>IFERROR(INDEX(面试清单!H:H,MATCH(4174,面试清单!P:P,0)),"")</f>
        <v/>
      </c>
      <c r="J4175" s="14" t="str">
        <f ca="1" t="shared" si="196"/>
        <v/>
      </c>
      <c r="K4175" s="14" t="str">
        <f ca="1" t="shared" si="197"/>
        <v/>
      </c>
    </row>
    <row r="4176" spans="1:11">
      <c r="A4176" s="10" t="str">
        <f t="shared" si="195"/>
        <v/>
      </c>
      <c r="C4176" s="10" t="str">
        <f>IFERROR(INDEX(面试清单!D:D,MATCH(4175,面试清单!P:P,0)),"")</f>
        <v/>
      </c>
      <c r="H4176" s="10" t="str">
        <f>IFERROR(INDEX(面试清单!H:H,MATCH(4175,面试清单!P:P,0)),"")</f>
        <v/>
      </c>
      <c r="J4176" s="10" t="str">
        <f ca="1" t="shared" si="196"/>
        <v/>
      </c>
      <c r="K4176" s="10" t="str">
        <f ca="1" t="shared" si="197"/>
        <v/>
      </c>
    </row>
    <row r="4177" spans="1:11">
      <c r="A4177" s="14" t="str">
        <f t="shared" si="195"/>
        <v/>
      </c>
      <c r="C4177" s="14" t="str">
        <f>IFERROR(INDEX(面试清单!D:D,MATCH(4176,面试清单!P:P,0)),"")</f>
        <v/>
      </c>
      <c r="H4177" s="14" t="str">
        <f>IFERROR(INDEX(面试清单!H:H,MATCH(4176,面试清单!P:P,0)),"")</f>
        <v/>
      </c>
      <c r="J4177" s="14" t="str">
        <f ca="1" t="shared" si="196"/>
        <v/>
      </c>
      <c r="K4177" s="14" t="str">
        <f ca="1" t="shared" si="197"/>
        <v/>
      </c>
    </row>
    <row r="4178" spans="1:11">
      <c r="A4178" s="10" t="str">
        <f t="shared" si="195"/>
        <v/>
      </c>
      <c r="C4178" s="10" t="str">
        <f>IFERROR(INDEX(面试清单!D:D,MATCH(4177,面试清单!P:P,0)),"")</f>
        <v/>
      </c>
      <c r="H4178" s="10" t="str">
        <f>IFERROR(INDEX(面试清单!H:H,MATCH(4177,面试清单!P:P,0)),"")</f>
        <v/>
      </c>
      <c r="J4178" s="10" t="str">
        <f ca="1" t="shared" si="196"/>
        <v/>
      </c>
      <c r="K4178" s="10" t="str">
        <f ca="1" t="shared" si="197"/>
        <v/>
      </c>
    </row>
    <row r="4179" spans="1:11">
      <c r="A4179" s="14" t="str">
        <f t="shared" si="195"/>
        <v/>
      </c>
      <c r="C4179" s="14" t="str">
        <f>IFERROR(INDEX(面试清单!D:D,MATCH(4178,面试清单!P:P,0)),"")</f>
        <v/>
      </c>
      <c r="H4179" s="14" t="str">
        <f>IFERROR(INDEX(面试清单!H:H,MATCH(4178,面试清单!P:P,0)),"")</f>
        <v/>
      </c>
      <c r="J4179" s="14" t="str">
        <f ca="1" t="shared" si="196"/>
        <v/>
      </c>
      <c r="K4179" s="14" t="str">
        <f ca="1" t="shared" si="197"/>
        <v/>
      </c>
    </row>
    <row r="4180" spans="1:11">
      <c r="A4180" s="10" t="str">
        <f t="shared" si="195"/>
        <v/>
      </c>
      <c r="C4180" s="10" t="str">
        <f>IFERROR(INDEX(面试清单!D:D,MATCH(4179,面试清单!P:P,0)),"")</f>
        <v/>
      </c>
      <c r="H4180" s="10" t="str">
        <f>IFERROR(INDEX(面试清单!H:H,MATCH(4179,面试清单!P:P,0)),"")</f>
        <v/>
      </c>
      <c r="J4180" s="10" t="str">
        <f ca="1" t="shared" si="196"/>
        <v/>
      </c>
      <c r="K4180" s="10" t="str">
        <f ca="1" t="shared" si="197"/>
        <v/>
      </c>
    </row>
    <row r="4181" spans="1:11">
      <c r="A4181" s="14" t="str">
        <f t="shared" si="195"/>
        <v/>
      </c>
      <c r="C4181" s="14" t="str">
        <f>IFERROR(INDEX(面试清单!D:D,MATCH(4180,面试清单!P:P,0)),"")</f>
        <v/>
      </c>
      <c r="H4181" s="14" t="str">
        <f>IFERROR(INDEX(面试清单!H:H,MATCH(4180,面试清单!P:P,0)),"")</f>
        <v/>
      </c>
      <c r="J4181" s="14" t="str">
        <f ca="1" t="shared" si="196"/>
        <v/>
      </c>
      <c r="K4181" s="14" t="str">
        <f ca="1" t="shared" si="197"/>
        <v/>
      </c>
    </row>
    <row r="4182" spans="1:11">
      <c r="A4182" s="10" t="str">
        <f t="shared" si="195"/>
        <v/>
      </c>
      <c r="C4182" s="10" t="str">
        <f>IFERROR(INDEX(面试清单!D:D,MATCH(4181,面试清单!P:P,0)),"")</f>
        <v/>
      </c>
      <c r="H4182" s="10" t="str">
        <f>IFERROR(INDEX(面试清单!H:H,MATCH(4181,面试清单!P:P,0)),"")</f>
        <v/>
      </c>
      <c r="J4182" s="10" t="str">
        <f ca="1" t="shared" si="196"/>
        <v/>
      </c>
      <c r="K4182" s="10" t="str">
        <f ca="1" t="shared" si="197"/>
        <v/>
      </c>
    </row>
    <row r="4183" spans="1:11">
      <c r="A4183" s="14" t="str">
        <f t="shared" si="195"/>
        <v/>
      </c>
      <c r="C4183" s="14" t="str">
        <f>IFERROR(INDEX(面试清单!D:D,MATCH(4182,面试清单!P:P,0)),"")</f>
        <v/>
      </c>
      <c r="H4183" s="14" t="str">
        <f>IFERROR(INDEX(面试清单!H:H,MATCH(4182,面试清单!P:P,0)),"")</f>
        <v/>
      </c>
      <c r="J4183" s="14" t="str">
        <f ca="1" t="shared" si="196"/>
        <v/>
      </c>
      <c r="K4183" s="14" t="str">
        <f ca="1" t="shared" si="197"/>
        <v/>
      </c>
    </row>
    <row r="4184" spans="1:11">
      <c r="A4184" s="10" t="str">
        <f t="shared" si="195"/>
        <v/>
      </c>
      <c r="C4184" s="10" t="str">
        <f>IFERROR(INDEX(面试清单!D:D,MATCH(4183,面试清单!P:P,0)),"")</f>
        <v/>
      </c>
      <c r="H4184" s="10" t="str">
        <f>IFERROR(INDEX(面试清单!H:H,MATCH(4183,面试清单!P:P,0)),"")</f>
        <v/>
      </c>
      <c r="J4184" s="10" t="str">
        <f ca="1" t="shared" si="196"/>
        <v/>
      </c>
      <c r="K4184" s="10" t="str">
        <f ca="1" t="shared" si="197"/>
        <v/>
      </c>
    </row>
    <row r="4185" spans="1:11">
      <c r="A4185" s="14" t="str">
        <f t="shared" si="195"/>
        <v/>
      </c>
      <c r="C4185" s="14" t="str">
        <f>IFERROR(INDEX(面试清单!D:D,MATCH(4184,面试清单!P:P,0)),"")</f>
        <v/>
      </c>
      <c r="H4185" s="14" t="str">
        <f>IFERROR(INDEX(面试清单!H:H,MATCH(4184,面试清单!P:P,0)),"")</f>
        <v/>
      </c>
      <c r="J4185" s="14" t="str">
        <f ca="1" t="shared" si="196"/>
        <v/>
      </c>
      <c r="K4185" s="14" t="str">
        <f ca="1" t="shared" si="197"/>
        <v/>
      </c>
    </row>
    <row r="4186" spans="1:11">
      <c r="A4186" s="10" t="str">
        <f t="shared" si="195"/>
        <v/>
      </c>
      <c r="C4186" s="10" t="str">
        <f>IFERROR(INDEX(面试清单!D:D,MATCH(4185,面试清单!P:P,0)),"")</f>
        <v/>
      </c>
      <c r="H4186" s="10" t="str">
        <f>IFERROR(INDEX(面试清单!H:H,MATCH(4185,面试清单!P:P,0)),"")</f>
        <v/>
      </c>
      <c r="J4186" s="10" t="str">
        <f ca="1" t="shared" si="196"/>
        <v/>
      </c>
      <c r="K4186" s="10" t="str">
        <f ca="1" t="shared" si="197"/>
        <v/>
      </c>
    </row>
    <row r="4187" spans="1:11">
      <c r="A4187" s="14" t="str">
        <f t="shared" si="195"/>
        <v/>
      </c>
      <c r="C4187" s="14" t="str">
        <f>IFERROR(INDEX(面试清单!D:D,MATCH(4186,面试清单!P:P,0)),"")</f>
        <v/>
      </c>
      <c r="H4187" s="14" t="str">
        <f>IFERROR(INDEX(面试清单!H:H,MATCH(4186,面试清单!P:P,0)),"")</f>
        <v/>
      </c>
      <c r="J4187" s="14" t="str">
        <f ca="1" t="shared" si="196"/>
        <v/>
      </c>
      <c r="K4187" s="14" t="str">
        <f ca="1" t="shared" si="197"/>
        <v/>
      </c>
    </row>
    <row r="4188" spans="1:11">
      <c r="A4188" s="10" t="str">
        <f t="shared" si="195"/>
        <v/>
      </c>
      <c r="C4188" s="10" t="str">
        <f>IFERROR(INDEX(面试清单!D:D,MATCH(4187,面试清单!P:P,0)),"")</f>
        <v/>
      </c>
      <c r="H4188" s="10" t="str">
        <f>IFERROR(INDEX(面试清单!H:H,MATCH(4187,面试清单!P:P,0)),"")</f>
        <v/>
      </c>
      <c r="J4188" s="10" t="str">
        <f ca="1" t="shared" si="196"/>
        <v/>
      </c>
      <c r="K4188" s="10" t="str">
        <f ca="1" t="shared" si="197"/>
        <v/>
      </c>
    </row>
    <row r="4189" spans="1:11">
      <c r="A4189" s="14" t="str">
        <f t="shared" si="195"/>
        <v/>
      </c>
      <c r="C4189" s="14" t="str">
        <f>IFERROR(INDEX(面试清单!D:D,MATCH(4188,面试清单!P:P,0)),"")</f>
        <v/>
      </c>
      <c r="H4189" s="14" t="str">
        <f>IFERROR(INDEX(面试清单!H:H,MATCH(4188,面试清单!P:P,0)),"")</f>
        <v/>
      </c>
      <c r="J4189" s="14" t="str">
        <f ca="1" t="shared" si="196"/>
        <v/>
      </c>
      <c r="K4189" s="14" t="str">
        <f ca="1" t="shared" si="197"/>
        <v/>
      </c>
    </row>
    <row r="4190" spans="1:11">
      <c r="A4190" s="10" t="str">
        <f t="shared" si="195"/>
        <v/>
      </c>
      <c r="C4190" s="10" t="str">
        <f>IFERROR(INDEX(面试清单!D:D,MATCH(4189,面试清单!P:P,0)),"")</f>
        <v/>
      </c>
      <c r="H4190" s="10" t="str">
        <f>IFERROR(INDEX(面试清单!H:H,MATCH(4189,面试清单!P:P,0)),"")</f>
        <v/>
      </c>
      <c r="J4190" s="10" t="str">
        <f ca="1" t="shared" si="196"/>
        <v/>
      </c>
      <c r="K4190" s="10" t="str">
        <f ca="1" t="shared" si="197"/>
        <v/>
      </c>
    </row>
    <row r="4191" spans="1:11">
      <c r="A4191" s="14" t="str">
        <f t="shared" si="195"/>
        <v/>
      </c>
      <c r="C4191" s="14" t="str">
        <f>IFERROR(INDEX(面试清单!D:D,MATCH(4190,面试清单!P:P,0)),"")</f>
        <v/>
      </c>
      <c r="H4191" s="14" t="str">
        <f>IFERROR(INDEX(面试清单!H:H,MATCH(4190,面试清单!P:P,0)),"")</f>
        <v/>
      </c>
      <c r="J4191" s="14" t="str">
        <f ca="1" t="shared" si="196"/>
        <v/>
      </c>
      <c r="K4191" s="14" t="str">
        <f ca="1" t="shared" si="197"/>
        <v/>
      </c>
    </row>
    <row r="4192" spans="1:11">
      <c r="A4192" s="10" t="str">
        <f t="shared" si="195"/>
        <v/>
      </c>
      <c r="C4192" s="10" t="str">
        <f>IFERROR(INDEX(面试清单!D:D,MATCH(4191,面试清单!P:P,0)),"")</f>
        <v/>
      </c>
      <c r="H4192" s="10" t="str">
        <f>IFERROR(INDEX(面试清单!H:H,MATCH(4191,面试清单!P:P,0)),"")</f>
        <v/>
      </c>
      <c r="J4192" s="10" t="str">
        <f ca="1" t="shared" si="196"/>
        <v/>
      </c>
      <c r="K4192" s="10" t="str">
        <f ca="1" t="shared" si="197"/>
        <v/>
      </c>
    </row>
    <row r="4193" spans="1:11">
      <c r="A4193" s="14" t="str">
        <f t="shared" si="195"/>
        <v/>
      </c>
      <c r="C4193" s="14" t="str">
        <f>IFERROR(INDEX(面试清单!D:D,MATCH(4192,面试清单!P:P,0)),"")</f>
        <v/>
      </c>
      <c r="H4193" s="14" t="str">
        <f>IFERROR(INDEX(面试清单!H:H,MATCH(4192,面试清单!P:P,0)),"")</f>
        <v/>
      </c>
      <c r="J4193" s="14" t="str">
        <f ca="1" t="shared" si="196"/>
        <v/>
      </c>
      <c r="K4193" s="14" t="str">
        <f ca="1" t="shared" si="197"/>
        <v/>
      </c>
    </row>
    <row r="4194" spans="1:11">
      <c r="A4194" s="10" t="str">
        <f t="shared" si="195"/>
        <v/>
      </c>
      <c r="C4194" s="10" t="str">
        <f>IFERROR(INDEX(面试清单!D:D,MATCH(4193,面试清单!P:P,0)),"")</f>
        <v/>
      </c>
      <c r="H4194" s="10" t="str">
        <f>IFERROR(INDEX(面试清单!H:H,MATCH(4193,面试清单!P:P,0)),"")</f>
        <v/>
      </c>
      <c r="J4194" s="10" t="str">
        <f ca="1" t="shared" si="196"/>
        <v/>
      </c>
      <c r="K4194" s="10" t="str">
        <f ca="1" t="shared" si="197"/>
        <v/>
      </c>
    </row>
    <row r="4195" spans="1:11">
      <c r="A4195" s="14" t="str">
        <f t="shared" si="195"/>
        <v/>
      </c>
      <c r="C4195" s="14" t="str">
        <f>IFERROR(INDEX(面试清单!D:D,MATCH(4194,面试清单!P:P,0)),"")</f>
        <v/>
      </c>
      <c r="H4195" s="14" t="str">
        <f>IFERROR(INDEX(面试清单!H:H,MATCH(4194,面试清单!P:P,0)),"")</f>
        <v/>
      </c>
      <c r="J4195" s="14" t="str">
        <f ca="1" t="shared" si="196"/>
        <v/>
      </c>
      <c r="K4195" s="14" t="str">
        <f ca="1" t="shared" si="197"/>
        <v/>
      </c>
    </row>
    <row r="4196" spans="1:11">
      <c r="A4196" s="10" t="str">
        <f t="shared" si="195"/>
        <v/>
      </c>
      <c r="C4196" s="10" t="str">
        <f>IFERROR(INDEX(面试清单!D:D,MATCH(4195,面试清单!P:P,0)),"")</f>
        <v/>
      </c>
      <c r="H4196" s="10" t="str">
        <f>IFERROR(INDEX(面试清单!H:H,MATCH(4195,面试清单!P:P,0)),"")</f>
        <v/>
      </c>
      <c r="J4196" s="10" t="str">
        <f ca="1" t="shared" si="196"/>
        <v/>
      </c>
      <c r="K4196" s="10" t="str">
        <f ca="1" t="shared" si="197"/>
        <v/>
      </c>
    </row>
    <row r="4197" spans="1:11">
      <c r="A4197" s="14" t="str">
        <f t="shared" si="195"/>
        <v/>
      </c>
      <c r="C4197" s="14" t="str">
        <f>IFERROR(INDEX(面试清单!D:D,MATCH(4196,面试清单!P:P,0)),"")</f>
        <v/>
      </c>
      <c r="H4197" s="14" t="str">
        <f>IFERROR(INDEX(面试清单!H:H,MATCH(4196,面试清单!P:P,0)),"")</f>
        <v/>
      </c>
      <c r="J4197" s="14" t="str">
        <f ca="1" t="shared" si="196"/>
        <v/>
      </c>
      <c r="K4197" s="14" t="str">
        <f ca="1" t="shared" si="197"/>
        <v/>
      </c>
    </row>
    <row r="4198" spans="1:11">
      <c r="A4198" s="10" t="str">
        <f t="shared" si="195"/>
        <v/>
      </c>
      <c r="C4198" s="10" t="str">
        <f>IFERROR(INDEX(面试清单!D:D,MATCH(4197,面试清单!P:P,0)),"")</f>
        <v/>
      </c>
      <c r="H4198" s="10" t="str">
        <f>IFERROR(INDEX(面试清单!H:H,MATCH(4197,面试清单!P:P,0)),"")</f>
        <v/>
      </c>
      <c r="J4198" s="10" t="str">
        <f ca="1" t="shared" si="196"/>
        <v/>
      </c>
      <c r="K4198" s="10" t="str">
        <f ca="1" t="shared" si="197"/>
        <v/>
      </c>
    </row>
    <row r="4199" spans="1:11">
      <c r="A4199" s="14" t="str">
        <f t="shared" si="195"/>
        <v/>
      </c>
      <c r="C4199" s="14" t="str">
        <f>IFERROR(INDEX(面试清单!D:D,MATCH(4198,面试清单!P:P,0)),"")</f>
        <v/>
      </c>
      <c r="H4199" s="14" t="str">
        <f>IFERROR(INDEX(面试清单!H:H,MATCH(4198,面试清单!P:P,0)),"")</f>
        <v/>
      </c>
      <c r="J4199" s="14" t="str">
        <f ca="1" t="shared" si="196"/>
        <v/>
      </c>
      <c r="K4199" s="14" t="str">
        <f ca="1" t="shared" si="197"/>
        <v/>
      </c>
    </row>
    <row r="4200" spans="1:11">
      <c r="A4200" s="10" t="str">
        <f t="shared" si="195"/>
        <v/>
      </c>
      <c r="C4200" s="10" t="str">
        <f>IFERROR(INDEX(面试清单!D:D,MATCH(4199,面试清单!P:P,0)),"")</f>
        <v/>
      </c>
      <c r="H4200" s="10" t="str">
        <f>IFERROR(INDEX(面试清单!H:H,MATCH(4199,面试清单!P:P,0)),"")</f>
        <v/>
      </c>
      <c r="J4200" s="10" t="str">
        <f ca="1" t="shared" si="196"/>
        <v/>
      </c>
      <c r="K4200" s="10" t="str">
        <f ca="1" t="shared" si="197"/>
        <v/>
      </c>
    </row>
    <row r="4201" spans="1:11">
      <c r="A4201" s="14" t="str">
        <f t="shared" si="195"/>
        <v/>
      </c>
      <c r="C4201" s="14" t="str">
        <f>IFERROR(INDEX(面试清单!D:D,MATCH(4200,面试清单!P:P,0)),"")</f>
        <v/>
      </c>
      <c r="H4201" s="14" t="str">
        <f>IFERROR(INDEX(面试清单!H:H,MATCH(4200,面试清单!P:P,0)),"")</f>
        <v/>
      </c>
      <c r="J4201" s="14" t="str">
        <f ca="1" t="shared" si="196"/>
        <v/>
      </c>
      <c r="K4201" s="14" t="str">
        <f ca="1" t="shared" si="197"/>
        <v/>
      </c>
    </row>
    <row r="4202" spans="1:11">
      <c r="A4202" s="10" t="str">
        <f t="shared" si="195"/>
        <v/>
      </c>
      <c r="C4202" s="10" t="str">
        <f>IFERROR(INDEX(面试清单!D:D,MATCH(4201,面试清单!P:P,0)),"")</f>
        <v/>
      </c>
      <c r="H4202" s="10" t="str">
        <f>IFERROR(INDEX(面试清单!H:H,MATCH(4201,面试清单!P:P,0)),"")</f>
        <v/>
      </c>
      <c r="J4202" s="10" t="str">
        <f ca="1" t="shared" si="196"/>
        <v/>
      </c>
      <c r="K4202" s="10" t="str">
        <f ca="1" t="shared" si="197"/>
        <v/>
      </c>
    </row>
    <row r="4203" spans="1:11">
      <c r="A4203" s="14" t="str">
        <f t="shared" si="195"/>
        <v/>
      </c>
      <c r="C4203" s="14" t="str">
        <f>IFERROR(INDEX(面试清单!D:D,MATCH(4202,面试清单!P:P,0)),"")</f>
        <v/>
      </c>
      <c r="H4203" s="14" t="str">
        <f>IFERROR(INDEX(面试清单!H:H,MATCH(4202,面试清单!P:P,0)),"")</f>
        <v/>
      </c>
      <c r="J4203" s="14" t="str">
        <f ca="1" t="shared" si="196"/>
        <v/>
      </c>
      <c r="K4203" s="14" t="str">
        <f ca="1" t="shared" si="197"/>
        <v/>
      </c>
    </row>
    <row r="4204" spans="1:11">
      <c r="A4204" s="10" t="str">
        <f t="shared" si="195"/>
        <v/>
      </c>
      <c r="C4204" s="10" t="str">
        <f>IFERROR(INDEX(面试清单!D:D,MATCH(4203,面试清单!P:P,0)),"")</f>
        <v/>
      </c>
      <c r="H4204" s="10" t="str">
        <f>IFERROR(INDEX(面试清单!H:H,MATCH(4203,面试清单!P:P,0)),"")</f>
        <v/>
      </c>
      <c r="J4204" s="10" t="str">
        <f ca="1" t="shared" si="196"/>
        <v/>
      </c>
      <c r="K4204" s="10" t="str">
        <f ca="1" t="shared" si="197"/>
        <v/>
      </c>
    </row>
    <row r="4205" spans="1:11">
      <c r="A4205" s="14" t="str">
        <f t="shared" si="195"/>
        <v/>
      </c>
      <c r="C4205" s="14" t="str">
        <f>IFERROR(INDEX(面试清单!D:D,MATCH(4204,面试清单!P:P,0)),"")</f>
        <v/>
      </c>
      <c r="H4205" s="14" t="str">
        <f>IFERROR(INDEX(面试清单!H:H,MATCH(4204,面试清单!P:P,0)),"")</f>
        <v/>
      </c>
      <c r="J4205" s="14" t="str">
        <f ca="1" t="shared" si="196"/>
        <v/>
      </c>
      <c r="K4205" s="14" t="str">
        <f ca="1" t="shared" si="197"/>
        <v/>
      </c>
    </row>
    <row r="4206" spans="1:11">
      <c r="A4206" s="10" t="str">
        <f t="shared" si="195"/>
        <v/>
      </c>
      <c r="C4206" s="10" t="str">
        <f>IFERROR(INDEX(面试清单!D:D,MATCH(4205,面试清单!P:P,0)),"")</f>
        <v/>
      </c>
      <c r="H4206" s="10" t="str">
        <f>IFERROR(INDEX(面试清单!H:H,MATCH(4205,面试清单!P:P,0)),"")</f>
        <v/>
      </c>
      <c r="J4206" s="10" t="str">
        <f ca="1" t="shared" si="196"/>
        <v/>
      </c>
      <c r="K4206" s="10" t="str">
        <f ca="1" t="shared" si="197"/>
        <v/>
      </c>
    </row>
    <row r="4207" spans="1:11">
      <c r="A4207" s="14" t="str">
        <f t="shared" si="195"/>
        <v/>
      </c>
      <c r="C4207" s="14" t="str">
        <f>IFERROR(INDEX(面试清单!D:D,MATCH(4206,面试清单!P:P,0)),"")</f>
        <v/>
      </c>
      <c r="H4207" s="14" t="str">
        <f>IFERROR(INDEX(面试清单!H:H,MATCH(4206,面试清单!P:P,0)),"")</f>
        <v/>
      </c>
      <c r="J4207" s="14" t="str">
        <f ca="1" t="shared" si="196"/>
        <v/>
      </c>
      <c r="K4207" s="14" t="str">
        <f ca="1" t="shared" si="197"/>
        <v/>
      </c>
    </row>
    <row r="4208" spans="1:11">
      <c r="A4208" s="10" t="str">
        <f t="shared" si="195"/>
        <v/>
      </c>
      <c r="C4208" s="10" t="str">
        <f>IFERROR(INDEX(面试清单!D:D,MATCH(4207,面试清单!P:P,0)),"")</f>
        <v/>
      </c>
      <c r="H4208" s="10" t="str">
        <f>IFERROR(INDEX(面试清单!H:H,MATCH(4207,面试清单!P:P,0)),"")</f>
        <v/>
      </c>
      <c r="J4208" s="10" t="str">
        <f ca="1" t="shared" si="196"/>
        <v/>
      </c>
      <c r="K4208" s="10" t="str">
        <f ca="1" t="shared" si="197"/>
        <v/>
      </c>
    </row>
    <row r="4209" spans="1:11">
      <c r="A4209" s="14" t="str">
        <f t="shared" si="195"/>
        <v/>
      </c>
      <c r="C4209" s="14" t="str">
        <f>IFERROR(INDEX(面试清单!D:D,MATCH(4208,面试清单!P:P,0)),"")</f>
        <v/>
      </c>
      <c r="H4209" s="14" t="str">
        <f>IFERROR(INDEX(面试清单!H:H,MATCH(4208,面试清单!P:P,0)),"")</f>
        <v/>
      </c>
      <c r="J4209" s="14" t="str">
        <f ca="1" t="shared" si="196"/>
        <v/>
      </c>
      <c r="K4209" s="14" t="str">
        <f ca="1" t="shared" si="197"/>
        <v/>
      </c>
    </row>
    <row r="4210" spans="1:11">
      <c r="A4210" s="10" t="str">
        <f t="shared" si="195"/>
        <v/>
      </c>
      <c r="C4210" s="10" t="str">
        <f>IFERROR(INDEX(面试清单!D:D,MATCH(4209,面试清单!P:P,0)),"")</f>
        <v/>
      </c>
      <c r="H4210" s="10" t="str">
        <f>IFERROR(INDEX(面试清单!H:H,MATCH(4209,面试清单!P:P,0)),"")</f>
        <v/>
      </c>
      <c r="J4210" s="10" t="str">
        <f ca="1" t="shared" si="196"/>
        <v/>
      </c>
      <c r="K4210" s="10" t="str">
        <f ca="1" t="shared" si="197"/>
        <v/>
      </c>
    </row>
    <row r="4211" spans="1:11">
      <c r="A4211" s="14" t="str">
        <f t="shared" si="195"/>
        <v/>
      </c>
      <c r="C4211" s="14" t="str">
        <f>IFERROR(INDEX(面试清单!D:D,MATCH(4210,面试清单!P:P,0)),"")</f>
        <v/>
      </c>
      <c r="H4211" s="14" t="str">
        <f>IFERROR(INDEX(面试清单!H:H,MATCH(4210,面试清单!P:P,0)),"")</f>
        <v/>
      </c>
      <c r="J4211" s="14" t="str">
        <f ca="1" t="shared" si="196"/>
        <v/>
      </c>
      <c r="K4211" s="14" t="str">
        <f ca="1" t="shared" si="197"/>
        <v/>
      </c>
    </row>
    <row r="4212" spans="1:11">
      <c r="A4212" s="10" t="str">
        <f t="shared" si="195"/>
        <v/>
      </c>
      <c r="C4212" s="10" t="str">
        <f>IFERROR(INDEX(面试清单!D:D,MATCH(4211,面试清单!P:P,0)),"")</f>
        <v/>
      </c>
      <c r="H4212" s="10" t="str">
        <f>IFERROR(INDEX(面试清单!H:H,MATCH(4211,面试清单!P:P,0)),"")</f>
        <v/>
      </c>
      <c r="J4212" s="10" t="str">
        <f ca="1" t="shared" si="196"/>
        <v/>
      </c>
      <c r="K4212" s="10" t="str">
        <f ca="1" t="shared" si="197"/>
        <v/>
      </c>
    </row>
    <row r="4213" spans="1:11">
      <c r="A4213" s="14" t="str">
        <f t="shared" si="195"/>
        <v/>
      </c>
      <c r="C4213" s="14" t="str">
        <f>IFERROR(INDEX(面试清单!D:D,MATCH(4212,面试清单!P:P,0)),"")</f>
        <v/>
      </c>
      <c r="H4213" s="14" t="str">
        <f>IFERROR(INDEX(面试清单!H:H,MATCH(4212,面试清单!P:P,0)),"")</f>
        <v/>
      </c>
      <c r="J4213" s="14" t="str">
        <f ca="1" t="shared" si="196"/>
        <v/>
      </c>
      <c r="K4213" s="14" t="str">
        <f ca="1" t="shared" si="197"/>
        <v/>
      </c>
    </row>
    <row r="4214" spans="1:11">
      <c r="A4214" s="10" t="str">
        <f t="shared" si="195"/>
        <v/>
      </c>
      <c r="C4214" s="10" t="str">
        <f>IFERROR(INDEX(面试清单!D:D,MATCH(4213,面试清单!P:P,0)),"")</f>
        <v/>
      </c>
      <c r="H4214" s="10" t="str">
        <f>IFERROR(INDEX(面试清单!H:H,MATCH(4213,面试清单!P:P,0)),"")</f>
        <v/>
      </c>
      <c r="J4214" s="10" t="str">
        <f ca="1" t="shared" si="196"/>
        <v/>
      </c>
      <c r="K4214" s="10" t="str">
        <f ca="1" t="shared" si="197"/>
        <v/>
      </c>
    </row>
    <row r="4215" spans="1:11">
      <c r="A4215" s="14" t="str">
        <f t="shared" si="195"/>
        <v/>
      </c>
      <c r="C4215" s="14" t="str">
        <f>IFERROR(INDEX(面试清单!D:D,MATCH(4214,面试清单!P:P,0)),"")</f>
        <v/>
      </c>
      <c r="H4215" s="14" t="str">
        <f>IFERROR(INDEX(面试清单!H:H,MATCH(4214,面试清单!P:P,0)),"")</f>
        <v/>
      </c>
      <c r="J4215" s="14" t="str">
        <f ca="1" t="shared" si="196"/>
        <v/>
      </c>
      <c r="K4215" s="14" t="str">
        <f ca="1" t="shared" si="197"/>
        <v/>
      </c>
    </row>
    <row r="4216" spans="1:11">
      <c r="A4216" s="10" t="str">
        <f t="shared" si="195"/>
        <v/>
      </c>
      <c r="C4216" s="10" t="str">
        <f>IFERROR(INDEX(面试清单!D:D,MATCH(4215,面试清单!P:P,0)),"")</f>
        <v/>
      </c>
      <c r="H4216" s="10" t="str">
        <f>IFERROR(INDEX(面试清单!H:H,MATCH(4215,面试清单!P:P,0)),"")</f>
        <v/>
      </c>
      <c r="J4216" s="10" t="str">
        <f ca="1" t="shared" si="196"/>
        <v/>
      </c>
      <c r="K4216" s="10" t="str">
        <f ca="1" t="shared" si="197"/>
        <v/>
      </c>
    </row>
    <row r="4217" spans="1:11">
      <c r="A4217" s="14" t="str">
        <f t="shared" si="195"/>
        <v/>
      </c>
      <c r="C4217" s="14" t="str">
        <f>IFERROR(INDEX(面试清单!D:D,MATCH(4216,面试清单!P:P,0)),"")</f>
        <v/>
      </c>
      <c r="H4217" s="14" t="str">
        <f>IFERROR(INDEX(面试清单!H:H,MATCH(4216,面试清单!P:P,0)),"")</f>
        <v/>
      </c>
      <c r="J4217" s="14" t="str">
        <f ca="1" t="shared" si="196"/>
        <v/>
      </c>
      <c r="K4217" s="14" t="str">
        <f ca="1" t="shared" si="197"/>
        <v/>
      </c>
    </row>
    <row r="4218" spans="1:11">
      <c r="A4218" s="10" t="str">
        <f t="shared" si="195"/>
        <v/>
      </c>
      <c r="C4218" s="10" t="str">
        <f>IFERROR(INDEX(面试清单!D:D,MATCH(4217,面试清单!P:P,0)),"")</f>
        <v/>
      </c>
      <c r="H4218" s="10" t="str">
        <f>IFERROR(INDEX(面试清单!H:H,MATCH(4217,面试清单!P:P,0)),"")</f>
        <v/>
      </c>
      <c r="J4218" s="10" t="str">
        <f ca="1" t="shared" si="196"/>
        <v/>
      </c>
      <c r="K4218" s="10" t="str">
        <f ca="1" t="shared" si="197"/>
        <v/>
      </c>
    </row>
    <row r="4219" spans="1:11">
      <c r="A4219" s="14" t="str">
        <f t="shared" si="195"/>
        <v/>
      </c>
      <c r="C4219" s="14" t="str">
        <f>IFERROR(INDEX(面试清单!D:D,MATCH(4218,面试清单!P:P,0)),"")</f>
        <v/>
      </c>
      <c r="H4219" s="14" t="str">
        <f>IFERROR(INDEX(面试清单!H:H,MATCH(4218,面试清单!P:P,0)),"")</f>
        <v/>
      </c>
      <c r="J4219" s="14" t="str">
        <f ca="1" t="shared" si="196"/>
        <v/>
      </c>
      <c r="K4219" s="14" t="str">
        <f ca="1" t="shared" si="197"/>
        <v/>
      </c>
    </row>
    <row r="4220" spans="1:11">
      <c r="A4220" s="10" t="str">
        <f t="shared" si="195"/>
        <v/>
      </c>
      <c r="C4220" s="10" t="str">
        <f>IFERROR(INDEX(面试清单!D:D,MATCH(4219,面试清单!P:P,0)),"")</f>
        <v/>
      </c>
      <c r="H4220" s="10" t="str">
        <f>IFERROR(INDEX(面试清单!H:H,MATCH(4219,面试清单!P:P,0)),"")</f>
        <v/>
      </c>
      <c r="J4220" s="10" t="str">
        <f ca="1" t="shared" si="196"/>
        <v/>
      </c>
      <c r="K4220" s="10" t="str">
        <f ca="1" t="shared" si="197"/>
        <v/>
      </c>
    </row>
    <row r="4221" spans="1:11">
      <c r="A4221" s="14" t="str">
        <f t="shared" si="195"/>
        <v/>
      </c>
      <c r="C4221" s="14" t="str">
        <f>IFERROR(INDEX(面试清单!D:D,MATCH(4220,面试清单!P:P,0)),"")</f>
        <v/>
      </c>
      <c r="H4221" s="14" t="str">
        <f>IFERROR(INDEX(面试清单!H:H,MATCH(4220,面试清单!P:P,0)),"")</f>
        <v/>
      </c>
      <c r="J4221" s="14" t="str">
        <f ca="1" t="shared" si="196"/>
        <v/>
      </c>
      <c r="K4221" s="14" t="str">
        <f ca="1" t="shared" si="197"/>
        <v/>
      </c>
    </row>
    <row r="4222" spans="1:11">
      <c r="A4222" s="10" t="str">
        <f t="shared" si="195"/>
        <v/>
      </c>
      <c r="C4222" s="10" t="str">
        <f>IFERROR(INDEX(面试清单!D:D,MATCH(4221,面试清单!P:P,0)),"")</f>
        <v/>
      </c>
      <c r="H4222" s="10" t="str">
        <f>IFERROR(INDEX(面试清单!H:H,MATCH(4221,面试清单!P:P,0)),"")</f>
        <v/>
      </c>
      <c r="J4222" s="10" t="str">
        <f ca="1" t="shared" si="196"/>
        <v/>
      </c>
      <c r="K4222" s="10" t="str">
        <f ca="1" t="shared" si="197"/>
        <v/>
      </c>
    </row>
    <row r="4223" spans="1:11">
      <c r="A4223" s="14" t="str">
        <f t="shared" si="195"/>
        <v/>
      </c>
      <c r="C4223" s="14" t="str">
        <f>IFERROR(INDEX(面试清单!D:D,MATCH(4222,面试清单!P:P,0)),"")</f>
        <v/>
      </c>
      <c r="H4223" s="14" t="str">
        <f>IFERROR(INDEX(面试清单!H:H,MATCH(4222,面试清单!P:P,0)),"")</f>
        <v/>
      </c>
      <c r="J4223" s="14" t="str">
        <f ca="1" t="shared" si="196"/>
        <v/>
      </c>
      <c r="K4223" s="14" t="str">
        <f ca="1" t="shared" si="197"/>
        <v/>
      </c>
    </row>
    <row r="4224" spans="1:11">
      <c r="A4224" s="10" t="str">
        <f t="shared" si="195"/>
        <v/>
      </c>
      <c r="C4224" s="10" t="str">
        <f>IFERROR(INDEX(面试清单!D:D,MATCH(4223,面试清单!P:P,0)),"")</f>
        <v/>
      </c>
      <c r="H4224" s="10" t="str">
        <f>IFERROR(INDEX(面试清单!H:H,MATCH(4223,面试清单!P:P,0)),"")</f>
        <v/>
      </c>
      <c r="J4224" s="10" t="str">
        <f ca="1" t="shared" si="196"/>
        <v/>
      </c>
      <c r="K4224" s="10" t="str">
        <f ca="1" t="shared" si="197"/>
        <v/>
      </c>
    </row>
    <row r="4225" spans="1:11">
      <c r="A4225" s="14" t="str">
        <f t="shared" si="195"/>
        <v/>
      </c>
      <c r="C4225" s="14" t="str">
        <f>IFERROR(INDEX(面试清单!D:D,MATCH(4224,面试清单!P:P,0)),"")</f>
        <v/>
      </c>
      <c r="H4225" s="14" t="str">
        <f>IFERROR(INDEX(面试清单!H:H,MATCH(4224,面试清单!P:P,0)),"")</f>
        <v/>
      </c>
      <c r="J4225" s="14" t="str">
        <f ca="1" t="shared" si="196"/>
        <v/>
      </c>
      <c r="K4225" s="14" t="str">
        <f ca="1" t="shared" si="197"/>
        <v/>
      </c>
    </row>
    <row r="4226" spans="1:11">
      <c r="A4226" s="10" t="str">
        <f t="shared" ref="A4226:A4289" si="198">IF(B4226&lt;&gt;"",ROW()-1,"")</f>
        <v/>
      </c>
      <c r="C4226" s="10" t="str">
        <f>IFERROR(INDEX(面试清单!D:D,MATCH(4225,面试清单!P:P,0)),"")</f>
        <v/>
      </c>
      <c r="H4226" s="10" t="str">
        <f>IFERROR(INDEX(面试清单!H:H,MATCH(4225,面试清单!P:P,0)),"")</f>
        <v/>
      </c>
      <c r="J4226" s="10" t="str">
        <f ca="1" t="shared" ref="J4226:J4289" si="199">IF(G4226&lt;&gt;"",TODAY()-G4226,"")</f>
        <v/>
      </c>
      <c r="K4226" s="10" t="str">
        <f ca="1" t="shared" ref="K4226:K4289" si="200">IF(G4226&lt;&gt;"",MAX(0,MIN(TODAY(),EOMONTH(TODAY(),0))-MAX(G4226,EOMONTH(TODAY(),-1)+1)+1),"")</f>
        <v/>
      </c>
    </row>
    <row r="4227" spans="1:11">
      <c r="A4227" s="14" t="str">
        <f t="shared" si="198"/>
        <v/>
      </c>
      <c r="C4227" s="14" t="str">
        <f>IFERROR(INDEX(面试清单!D:D,MATCH(4226,面试清单!P:P,0)),"")</f>
        <v/>
      </c>
      <c r="H4227" s="14" t="str">
        <f>IFERROR(INDEX(面试清单!H:H,MATCH(4226,面试清单!P:P,0)),"")</f>
        <v/>
      </c>
      <c r="J4227" s="14" t="str">
        <f ca="1" t="shared" si="199"/>
        <v/>
      </c>
      <c r="K4227" s="14" t="str">
        <f ca="1" t="shared" si="200"/>
        <v/>
      </c>
    </row>
    <row r="4228" spans="1:11">
      <c r="A4228" s="10" t="str">
        <f t="shared" si="198"/>
        <v/>
      </c>
      <c r="C4228" s="10" t="str">
        <f>IFERROR(INDEX(面试清单!D:D,MATCH(4227,面试清单!P:P,0)),"")</f>
        <v/>
      </c>
      <c r="H4228" s="10" t="str">
        <f>IFERROR(INDEX(面试清单!H:H,MATCH(4227,面试清单!P:P,0)),"")</f>
        <v/>
      </c>
      <c r="J4228" s="10" t="str">
        <f ca="1" t="shared" si="199"/>
        <v/>
      </c>
      <c r="K4228" s="10" t="str">
        <f ca="1" t="shared" si="200"/>
        <v/>
      </c>
    </row>
    <row r="4229" spans="1:11">
      <c r="A4229" s="14" t="str">
        <f t="shared" si="198"/>
        <v/>
      </c>
      <c r="C4229" s="14" t="str">
        <f>IFERROR(INDEX(面试清单!D:D,MATCH(4228,面试清单!P:P,0)),"")</f>
        <v/>
      </c>
      <c r="H4229" s="14" t="str">
        <f>IFERROR(INDEX(面试清单!H:H,MATCH(4228,面试清单!P:P,0)),"")</f>
        <v/>
      </c>
      <c r="J4229" s="14" t="str">
        <f ca="1" t="shared" si="199"/>
        <v/>
      </c>
      <c r="K4229" s="14" t="str">
        <f ca="1" t="shared" si="200"/>
        <v/>
      </c>
    </row>
    <row r="4230" spans="1:11">
      <c r="A4230" s="10" t="str">
        <f t="shared" si="198"/>
        <v/>
      </c>
      <c r="C4230" s="10" t="str">
        <f>IFERROR(INDEX(面试清单!D:D,MATCH(4229,面试清单!P:P,0)),"")</f>
        <v/>
      </c>
      <c r="H4230" s="10" t="str">
        <f>IFERROR(INDEX(面试清单!H:H,MATCH(4229,面试清单!P:P,0)),"")</f>
        <v/>
      </c>
      <c r="J4230" s="10" t="str">
        <f ca="1" t="shared" si="199"/>
        <v/>
      </c>
      <c r="K4230" s="10" t="str">
        <f ca="1" t="shared" si="200"/>
        <v/>
      </c>
    </row>
    <row r="4231" spans="1:11">
      <c r="A4231" s="14" t="str">
        <f t="shared" si="198"/>
        <v/>
      </c>
      <c r="C4231" s="14" t="str">
        <f>IFERROR(INDEX(面试清单!D:D,MATCH(4230,面试清单!P:P,0)),"")</f>
        <v/>
      </c>
      <c r="H4231" s="14" t="str">
        <f>IFERROR(INDEX(面试清单!H:H,MATCH(4230,面试清单!P:P,0)),"")</f>
        <v/>
      </c>
      <c r="J4231" s="14" t="str">
        <f ca="1" t="shared" si="199"/>
        <v/>
      </c>
      <c r="K4231" s="14" t="str">
        <f ca="1" t="shared" si="200"/>
        <v/>
      </c>
    </row>
    <row r="4232" spans="1:11">
      <c r="A4232" s="10" t="str">
        <f t="shared" si="198"/>
        <v/>
      </c>
      <c r="C4232" s="10" t="str">
        <f>IFERROR(INDEX(面试清单!D:D,MATCH(4231,面试清单!P:P,0)),"")</f>
        <v/>
      </c>
      <c r="H4232" s="10" t="str">
        <f>IFERROR(INDEX(面试清单!H:H,MATCH(4231,面试清单!P:P,0)),"")</f>
        <v/>
      </c>
      <c r="J4232" s="10" t="str">
        <f ca="1" t="shared" si="199"/>
        <v/>
      </c>
      <c r="K4232" s="10" t="str">
        <f ca="1" t="shared" si="200"/>
        <v/>
      </c>
    </row>
    <row r="4233" spans="1:11">
      <c r="A4233" s="14" t="str">
        <f t="shared" si="198"/>
        <v/>
      </c>
      <c r="C4233" s="14" t="str">
        <f>IFERROR(INDEX(面试清单!D:D,MATCH(4232,面试清单!P:P,0)),"")</f>
        <v/>
      </c>
      <c r="H4233" s="14" t="str">
        <f>IFERROR(INDEX(面试清单!H:H,MATCH(4232,面试清单!P:P,0)),"")</f>
        <v/>
      </c>
      <c r="J4233" s="14" t="str">
        <f ca="1" t="shared" si="199"/>
        <v/>
      </c>
      <c r="K4233" s="14" t="str">
        <f ca="1" t="shared" si="200"/>
        <v/>
      </c>
    </row>
    <row r="4234" spans="1:11">
      <c r="A4234" s="10" t="str">
        <f t="shared" si="198"/>
        <v/>
      </c>
      <c r="C4234" s="10" t="str">
        <f>IFERROR(INDEX(面试清单!D:D,MATCH(4233,面试清单!P:P,0)),"")</f>
        <v/>
      </c>
      <c r="H4234" s="10" t="str">
        <f>IFERROR(INDEX(面试清单!H:H,MATCH(4233,面试清单!P:P,0)),"")</f>
        <v/>
      </c>
      <c r="J4234" s="10" t="str">
        <f ca="1" t="shared" si="199"/>
        <v/>
      </c>
      <c r="K4234" s="10" t="str">
        <f ca="1" t="shared" si="200"/>
        <v/>
      </c>
    </row>
    <row r="4235" spans="1:11">
      <c r="A4235" s="14" t="str">
        <f t="shared" si="198"/>
        <v/>
      </c>
      <c r="C4235" s="14" t="str">
        <f>IFERROR(INDEX(面试清单!D:D,MATCH(4234,面试清单!P:P,0)),"")</f>
        <v/>
      </c>
      <c r="H4235" s="14" t="str">
        <f>IFERROR(INDEX(面试清单!H:H,MATCH(4234,面试清单!P:P,0)),"")</f>
        <v/>
      </c>
      <c r="J4235" s="14" t="str">
        <f ca="1" t="shared" si="199"/>
        <v/>
      </c>
      <c r="K4235" s="14" t="str">
        <f ca="1" t="shared" si="200"/>
        <v/>
      </c>
    </row>
    <row r="4236" spans="1:11">
      <c r="A4236" s="10" t="str">
        <f t="shared" si="198"/>
        <v/>
      </c>
      <c r="C4236" s="10" t="str">
        <f>IFERROR(INDEX(面试清单!D:D,MATCH(4235,面试清单!P:P,0)),"")</f>
        <v/>
      </c>
      <c r="H4236" s="10" t="str">
        <f>IFERROR(INDEX(面试清单!H:H,MATCH(4235,面试清单!P:P,0)),"")</f>
        <v/>
      </c>
      <c r="J4236" s="10" t="str">
        <f ca="1" t="shared" si="199"/>
        <v/>
      </c>
      <c r="K4236" s="10" t="str">
        <f ca="1" t="shared" si="200"/>
        <v/>
      </c>
    </row>
    <row r="4237" spans="1:11">
      <c r="A4237" s="14" t="str">
        <f t="shared" si="198"/>
        <v/>
      </c>
      <c r="C4237" s="14" t="str">
        <f>IFERROR(INDEX(面试清单!D:D,MATCH(4236,面试清单!P:P,0)),"")</f>
        <v/>
      </c>
      <c r="H4237" s="14" t="str">
        <f>IFERROR(INDEX(面试清单!H:H,MATCH(4236,面试清单!P:P,0)),"")</f>
        <v/>
      </c>
      <c r="J4237" s="14" t="str">
        <f ca="1" t="shared" si="199"/>
        <v/>
      </c>
      <c r="K4237" s="14" t="str">
        <f ca="1" t="shared" si="200"/>
        <v/>
      </c>
    </row>
    <row r="4238" spans="1:11">
      <c r="A4238" s="10" t="str">
        <f t="shared" si="198"/>
        <v/>
      </c>
      <c r="C4238" s="10" t="str">
        <f>IFERROR(INDEX(面试清单!D:D,MATCH(4237,面试清单!P:P,0)),"")</f>
        <v/>
      </c>
      <c r="H4238" s="10" t="str">
        <f>IFERROR(INDEX(面试清单!H:H,MATCH(4237,面试清单!P:P,0)),"")</f>
        <v/>
      </c>
      <c r="J4238" s="10" t="str">
        <f ca="1" t="shared" si="199"/>
        <v/>
      </c>
      <c r="K4238" s="10" t="str">
        <f ca="1" t="shared" si="200"/>
        <v/>
      </c>
    </row>
    <row r="4239" spans="1:11">
      <c r="A4239" s="14" t="str">
        <f t="shared" si="198"/>
        <v/>
      </c>
      <c r="C4239" s="14" t="str">
        <f>IFERROR(INDEX(面试清单!D:D,MATCH(4238,面试清单!P:P,0)),"")</f>
        <v/>
      </c>
      <c r="H4239" s="14" t="str">
        <f>IFERROR(INDEX(面试清单!H:H,MATCH(4238,面试清单!P:P,0)),"")</f>
        <v/>
      </c>
      <c r="J4239" s="14" t="str">
        <f ca="1" t="shared" si="199"/>
        <v/>
      </c>
      <c r="K4239" s="14" t="str">
        <f ca="1" t="shared" si="200"/>
        <v/>
      </c>
    </row>
    <row r="4240" spans="1:11">
      <c r="A4240" s="10" t="str">
        <f t="shared" si="198"/>
        <v/>
      </c>
      <c r="C4240" s="10" t="str">
        <f>IFERROR(INDEX(面试清单!D:D,MATCH(4239,面试清单!P:P,0)),"")</f>
        <v/>
      </c>
      <c r="H4240" s="10" t="str">
        <f>IFERROR(INDEX(面试清单!H:H,MATCH(4239,面试清单!P:P,0)),"")</f>
        <v/>
      </c>
      <c r="J4240" s="10" t="str">
        <f ca="1" t="shared" si="199"/>
        <v/>
      </c>
      <c r="K4240" s="10" t="str">
        <f ca="1" t="shared" si="200"/>
        <v/>
      </c>
    </row>
    <row r="4241" spans="1:11">
      <c r="A4241" s="14" t="str">
        <f t="shared" si="198"/>
        <v/>
      </c>
      <c r="C4241" s="14" t="str">
        <f>IFERROR(INDEX(面试清单!D:D,MATCH(4240,面试清单!P:P,0)),"")</f>
        <v/>
      </c>
      <c r="H4241" s="14" t="str">
        <f>IFERROR(INDEX(面试清单!H:H,MATCH(4240,面试清单!P:P,0)),"")</f>
        <v/>
      </c>
      <c r="J4241" s="14" t="str">
        <f ca="1" t="shared" si="199"/>
        <v/>
      </c>
      <c r="K4241" s="14" t="str">
        <f ca="1" t="shared" si="200"/>
        <v/>
      </c>
    </row>
    <row r="4242" spans="1:11">
      <c r="A4242" s="10" t="str">
        <f t="shared" si="198"/>
        <v/>
      </c>
      <c r="C4242" s="10" t="str">
        <f>IFERROR(INDEX(面试清单!D:D,MATCH(4241,面试清单!P:P,0)),"")</f>
        <v/>
      </c>
      <c r="H4242" s="10" t="str">
        <f>IFERROR(INDEX(面试清单!H:H,MATCH(4241,面试清单!P:P,0)),"")</f>
        <v/>
      </c>
      <c r="J4242" s="10" t="str">
        <f ca="1" t="shared" si="199"/>
        <v/>
      </c>
      <c r="K4242" s="10" t="str">
        <f ca="1" t="shared" si="200"/>
        <v/>
      </c>
    </row>
    <row r="4243" spans="1:11">
      <c r="A4243" s="14" t="str">
        <f t="shared" si="198"/>
        <v/>
      </c>
      <c r="C4243" s="14" t="str">
        <f>IFERROR(INDEX(面试清单!D:D,MATCH(4242,面试清单!P:P,0)),"")</f>
        <v/>
      </c>
      <c r="H4243" s="14" t="str">
        <f>IFERROR(INDEX(面试清单!H:H,MATCH(4242,面试清单!P:P,0)),"")</f>
        <v/>
      </c>
      <c r="J4243" s="14" t="str">
        <f ca="1" t="shared" si="199"/>
        <v/>
      </c>
      <c r="K4243" s="14" t="str">
        <f ca="1" t="shared" si="200"/>
        <v/>
      </c>
    </row>
    <row r="4244" spans="1:11">
      <c r="A4244" s="10" t="str">
        <f t="shared" si="198"/>
        <v/>
      </c>
      <c r="C4244" s="10" t="str">
        <f>IFERROR(INDEX(面试清单!D:D,MATCH(4243,面试清单!P:P,0)),"")</f>
        <v/>
      </c>
      <c r="H4244" s="10" t="str">
        <f>IFERROR(INDEX(面试清单!H:H,MATCH(4243,面试清单!P:P,0)),"")</f>
        <v/>
      </c>
      <c r="J4244" s="10" t="str">
        <f ca="1" t="shared" si="199"/>
        <v/>
      </c>
      <c r="K4244" s="10" t="str">
        <f ca="1" t="shared" si="200"/>
        <v/>
      </c>
    </row>
    <row r="4245" spans="1:11">
      <c r="A4245" s="14" t="str">
        <f t="shared" si="198"/>
        <v/>
      </c>
      <c r="C4245" s="14" t="str">
        <f>IFERROR(INDEX(面试清单!D:D,MATCH(4244,面试清单!P:P,0)),"")</f>
        <v/>
      </c>
      <c r="H4245" s="14" t="str">
        <f>IFERROR(INDEX(面试清单!H:H,MATCH(4244,面试清单!P:P,0)),"")</f>
        <v/>
      </c>
      <c r="J4245" s="14" t="str">
        <f ca="1" t="shared" si="199"/>
        <v/>
      </c>
      <c r="K4245" s="14" t="str">
        <f ca="1" t="shared" si="200"/>
        <v/>
      </c>
    </row>
    <row r="4246" spans="1:11">
      <c r="A4246" s="10" t="str">
        <f t="shared" si="198"/>
        <v/>
      </c>
      <c r="C4246" s="10" t="str">
        <f>IFERROR(INDEX(面试清单!D:D,MATCH(4245,面试清单!P:P,0)),"")</f>
        <v/>
      </c>
      <c r="H4246" s="10" t="str">
        <f>IFERROR(INDEX(面试清单!H:H,MATCH(4245,面试清单!P:P,0)),"")</f>
        <v/>
      </c>
      <c r="J4246" s="10" t="str">
        <f ca="1" t="shared" si="199"/>
        <v/>
      </c>
      <c r="K4246" s="10" t="str">
        <f ca="1" t="shared" si="200"/>
        <v/>
      </c>
    </row>
    <row r="4247" spans="1:11">
      <c r="A4247" s="14" t="str">
        <f t="shared" si="198"/>
        <v/>
      </c>
      <c r="C4247" s="14" t="str">
        <f>IFERROR(INDEX(面试清单!D:D,MATCH(4246,面试清单!P:P,0)),"")</f>
        <v/>
      </c>
      <c r="H4247" s="14" t="str">
        <f>IFERROR(INDEX(面试清单!H:H,MATCH(4246,面试清单!P:P,0)),"")</f>
        <v/>
      </c>
      <c r="J4247" s="14" t="str">
        <f ca="1" t="shared" si="199"/>
        <v/>
      </c>
      <c r="K4247" s="14" t="str">
        <f ca="1" t="shared" si="200"/>
        <v/>
      </c>
    </row>
    <row r="4248" spans="1:11">
      <c r="A4248" s="10" t="str">
        <f t="shared" si="198"/>
        <v/>
      </c>
      <c r="C4248" s="10" t="str">
        <f>IFERROR(INDEX(面试清单!D:D,MATCH(4247,面试清单!P:P,0)),"")</f>
        <v/>
      </c>
      <c r="H4248" s="10" t="str">
        <f>IFERROR(INDEX(面试清单!H:H,MATCH(4247,面试清单!P:P,0)),"")</f>
        <v/>
      </c>
      <c r="J4248" s="10" t="str">
        <f ca="1" t="shared" si="199"/>
        <v/>
      </c>
      <c r="K4248" s="10" t="str">
        <f ca="1" t="shared" si="200"/>
        <v/>
      </c>
    </row>
    <row r="4249" spans="1:11">
      <c r="A4249" s="14" t="str">
        <f t="shared" si="198"/>
        <v/>
      </c>
      <c r="C4249" s="14" t="str">
        <f>IFERROR(INDEX(面试清单!D:D,MATCH(4248,面试清单!P:P,0)),"")</f>
        <v/>
      </c>
      <c r="H4249" s="14" t="str">
        <f>IFERROR(INDEX(面试清单!H:H,MATCH(4248,面试清单!P:P,0)),"")</f>
        <v/>
      </c>
      <c r="J4249" s="14" t="str">
        <f ca="1" t="shared" si="199"/>
        <v/>
      </c>
      <c r="K4249" s="14" t="str">
        <f ca="1" t="shared" si="200"/>
        <v/>
      </c>
    </row>
    <row r="4250" spans="1:11">
      <c r="A4250" s="10" t="str">
        <f t="shared" si="198"/>
        <v/>
      </c>
      <c r="C4250" s="10" t="str">
        <f>IFERROR(INDEX(面试清单!D:D,MATCH(4249,面试清单!P:P,0)),"")</f>
        <v/>
      </c>
      <c r="H4250" s="10" t="str">
        <f>IFERROR(INDEX(面试清单!H:H,MATCH(4249,面试清单!P:P,0)),"")</f>
        <v/>
      </c>
      <c r="J4250" s="10" t="str">
        <f ca="1" t="shared" si="199"/>
        <v/>
      </c>
      <c r="K4250" s="10" t="str">
        <f ca="1" t="shared" si="200"/>
        <v/>
      </c>
    </row>
    <row r="4251" spans="1:11">
      <c r="A4251" s="14" t="str">
        <f t="shared" si="198"/>
        <v/>
      </c>
      <c r="C4251" s="14" t="str">
        <f>IFERROR(INDEX(面试清单!D:D,MATCH(4250,面试清单!P:P,0)),"")</f>
        <v/>
      </c>
      <c r="H4251" s="14" t="str">
        <f>IFERROR(INDEX(面试清单!H:H,MATCH(4250,面试清单!P:P,0)),"")</f>
        <v/>
      </c>
      <c r="J4251" s="14" t="str">
        <f ca="1" t="shared" si="199"/>
        <v/>
      </c>
      <c r="K4251" s="14" t="str">
        <f ca="1" t="shared" si="200"/>
        <v/>
      </c>
    </row>
    <row r="4252" spans="1:11">
      <c r="A4252" s="10" t="str">
        <f t="shared" si="198"/>
        <v/>
      </c>
      <c r="C4252" s="10" t="str">
        <f>IFERROR(INDEX(面试清单!D:D,MATCH(4251,面试清单!P:P,0)),"")</f>
        <v/>
      </c>
      <c r="H4252" s="10" t="str">
        <f>IFERROR(INDEX(面试清单!H:H,MATCH(4251,面试清单!P:P,0)),"")</f>
        <v/>
      </c>
      <c r="J4252" s="10" t="str">
        <f ca="1" t="shared" si="199"/>
        <v/>
      </c>
      <c r="K4252" s="10" t="str">
        <f ca="1" t="shared" si="200"/>
        <v/>
      </c>
    </row>
    <row r="4253" spans="1:11">
      <c r="A4253" s="14" t="str">
        <f t="shared" si="198"/>
        <v/>
      </c>
      <c r="C4253" s="14" t="str">
        <f>IFERROR(INDEX(面试清单!D:D,MATCH(4252,面试清单!P:P,0)),"")</f>
        <v/>
      </c>
      <c r="H4253" s="14" t="str">
        <f>IFERROR(INDEX(面试清单!H:H,MATCH(4252,面试清单!P:P,0)),"")</f>
        <v/>
      </c>
      <c r="J4253" s="14" t="str">
        <f ca="1" t="shared" si="199"/>
        <v/>
      </c>
      <c r="K4253" s="14" t="str">
        <f ca="1" t="shared" si="200"/>
        <v/>
      </c>
    </row>
    <row r="4254" spans="1:11">
      <c r="A4254" s="10" t="str">
        <f t="shared" si="198"/>
        <v/>
      </c>
      <c r="C4254" s="10" t="str">
        <f>IFERROR(INDEX(面试清单!D:D,MATCH(4253,面试清单!P:P,0)),"")</f>
        <v/>
      </c>
      <c r="H4254" s="10" t="str">
        <f>IFERROR(INDEX(面试清单!H:H,MATCH(4253,面试清单!P:P,0)),"")</f>
        <v/>
      </c>
      <c r="J4254" s="10" t="str">
        <f ca="1" t="shared" si="199"/>
        <v/>
      </c>
      <c r="K4254" s="10" t="str">
        <f ca="1" t="shared" si="200"/>
        <v/>
      </c>
    </row>
    <row r="4255" spans="1:11">
      <c r="A4255" s="14" t="str">
        <f t="shared" si="198"/>
        <v/>
      </c>
      <c r="C4255" s="14" t="str">
        <f>IFERROR(INDEX(面试清单!D:D,MATCH(4254,面试清单!P:P,0)),"")</f>
        <v/>
      </c>
      <c r="H4255" s="14" t="str">
        <f>IFERROR(INDEX(面试清单!H:H,MATCH(4254,面试清单!P:P,0)),"")</f>
        <v/>
      </c>
      <c r="J4255" s="14" t="str">
        <f ca="1" t="shared" si="199"/>
        <v/>
      </c>
      <c r="K4255" s="14" t="str">
        <f ca="1" t="shared" si="200"/>
        <v/>
      </c>
    </row>
    <row r="4256" spans="1:11">
      <c r="A4256" s="10" t="str">
        <f t="shared" si="198"/>
        <v/>
      </c>
      <c r="C4256" s="10" t="str">
        <f>IFERROR(INDEX(面试清单!D:D,MATCH(4255,面试清单!P:P,0)),"")</f>
        <v/>
      </c>
      <c r="H4256" s="10" t="str">
        <f>IFERROR(INDEX(面试清单!H:H,MATCH(4255,面试清单!P:P,0)),"")</f>
        <v/>
      </c>
      <c r="J4256" s="10" t="str">
        <f ca="1" t="shared" si="199"/>
        <v/>
      </c>
      <c r="K4256" s="10" t="str">
        <f ca="1" t="shared" si="200"/>
        <v/>
      </c>
    </row>
    <row r="4257" spans="1:11">
      <c r="A4257" s="14" t="str">
        <f t="shared" si="198"/>
        <v/>
      </c>
      <c r="C4257" s="14" t="str">
        <f>IFERROR(INDEX(面试清单!D:D,MATCH(4256,面试清单!P:P,0)),"")</f>
        <v/>
      </c>
      <c r="H4257" s="14" t="str">
        <f>IFERROR(INDEX(面试清单!H:H,MATCH(4256,面试清单!P:P,0)),"")</f>
        <v/>
      </c>
      <c r="J4257" s="14" t="str">
        <f ca="1" t="shared" si="199"/>
        <v/>
      </c>
      <c r="K4257" s="14" t="str">
        <f ca="1" t="shared" si="200"/>
        <v/>
      </c>
    </row>
    <row r="4258" spans="1:11">
      <c r="A4258" s="10" t="str">
        <f t="shared" si="198"/>
        <v/>
      </c>
      <c r="C4258" s="10" t="str">
        <f>IFERROR(INDEX(面试清单!D:D,MATCH(4257,面试清单!P:P,0)),"")</f>
        <v/>
      </c>
      <c r="H4258" s="10" t="str">
        <f>IFERROR(INDEX(面试清单!H:H,MATCH(4257,面试清单!P:P,0)),"")</f>
        <v/>
      </c>
      <c r="J4258" s="10" t="str">
        <f ca="1" t="shared" si="199"/>
        <v/>
      </c>
      <c r="K4258" s="10" t="str">
        <f ca="1" t="shared" si="200"/>
        <v/>
      </c>
    </row>
    <row r="4259" spans="1:11">
      <c r="A4259" s="14" t="str">
        <f t="shared" si="198"/>
        <v/>
      </c>
      <c r="C4259" s="14" t="str">
        <f>IFERROR(INDEX(面试清单!D:D,MATCH(4258,面试清单!P:P,0)),"")</f>
        <v/>
      </c>
      <c r="H4259" s="14" t="str">
        <f>IFERROR(INDEX(面试清单!H:H,MATCH(4258,面试清单!P:P,0)),"")</f>
        <v/>
      </c>
      <c r="J4259" s="14" t="str">
        <f ca="1" t="shared" si="199"/>
        <v/>
      </c>
      <c r="K4259" s="14" t="str">
        <f ca="1" t="shared" si="200"/>
        <v/>
      </c>
    </row>
    <row r="4260" spans="1:11">
      <c r="A4260" s="10" t="str">
        <f t="shared" si="198"/>
        <v/>
      </c>
      <c r="C4260" s="10" t="str">
        <f>IFERROR(INDEX(面试清单!D:D,MATCH(4259,面试清单!P:P,0)),"")</f>
        <v/>
      </c>
      <c r="H4260" s="10" t="str">
        <f>IFERROR(INDEX(面试清单!H:H,MATCH(4259,面试清单!P:P,0)),"")</f>
        <v/>
      </c>
      <c r="J4260" s="10" t="str">
        <f ca="1" t="shared" si="199"/>
        <v/>
      </c>
      <c r="K4260" s="10" t="str">
        <f ca="1" t="shared" si="200"/>
        <v/>
      </c>
    </row>
    <row r="4261" spans="1:11">
      <c r="A4261" s="14" t="str">
        <f t="shared" si="198"/>
        <v/>
      </c>
      <c r="C4261" s="14" t="str">
        <f>IFERROR(INDEX(面试清单!D:D,MATCH(4260,面试清单!P:P,0)),"")</f>
        <v/>
      </c>
      <c r="H4261" s="14" t="str">
        <f>IFERROR(INDEX(面试清单!H:H,MATCH(4260,面试清单!P:P,0)),"")</f>
        <v/>
      </c>
      <c r="J4261" s="14" t="str">
        <f ca="1" t="shared" si="199"/>
        <v/>
      </c>
      <c r="K4261" s="14" t="str">
        <f ca="1" t="shared" si="200"/>
        <v/>
      </c>
    </row>
    <row r="4262" spans="1:11">
      <c r="A4262" s="10" t="str">
        <f t="shared" si="198"/>
        <v/>
      </c>
      <c r="C4262" s="10" t="str">
        <f>IFERROR(INDEX(面试清单!D:D,MATCH(4261,面试清单!P:P,0)),"")</f>
        <v/>
      </c>
      <c r="H4262" s="10" t="str">
        <f>IFERROR(INDEX(面试清单!H:H,MATCH(4261,面试清单!P:P,0)),"")</f>
        <v/>
      </c>
      <c r="J4262" s="10" t="str">
        <f ca="1" t="shared" si="199"/>
        <v/>
      </c>
      <c r="K4262" s="10" t="str">
        <f ca="1" t="shared" si="200"/>
        <v/>
      </c>
    </row>
    <row r="4263" spans="1:11">
      <c r="A4263" s="14" t="str">
        <f t="shared" si="198"/>
        <v/>
      </c>
      <c r="C4263" s="14" t="str">
        <f>IFERROR(INDEX(面试清单!D:D,MATCH(4262,面试清单!P:P,0)),"")</f>
        <v/>
      </c>
      <c r="H4263" s="14" t="str">
        <f>IFERROR(INDEX(面试清单!H:H,MATCH(4262,面试清单!P:P,0)),"")</f>
        <v/>
      </c>
      <c r="J4263" s="14" t="str">
        <f ca="1" t="shared" si="199"/>
        <v/>
      </c>
      <c r="K4263" s="14" t="str">
        <f ca="1" t="shared" si="200"/>
        <v/>
      </c>
    </row>
    <row r="4264" spans="1:11">
      <c r="A4264" s="10" t="str">
        <f t="shared" si="198"/>
        <v/>
      </c>
      <c r="C4264" s="10" t="str">
        <f>IFERROR(INDEX(面试清单!D:D,MATCH(4263,面试清单!P:P,0)),"")</f>
        <v/>
      </c>
      <c r="H4264" s="10" t="str">
        <f>IFERROR(INDEX(面试清单!H:H,MATCH(4263,面试清单!P:P,0)),"")</f>
        <v/>
      </c>
      <c r="J4264" s="10" t="str">
        <f ca="1" t="shared" si="199"/>
        <v/>
      </c>
      <c r="K4264" s="10" t="str">
        <f ca="1" t="shared" si="200"/>
        <v/>
      </c>
    </row>
    <row r="4265" spans="1:11">
      <c r="A4265" s="14" t="str">
        <f t="shared" si="198"/>
        <v/>
      </c>
      <c r="C4265" s="14" t="str">
        <f>IFERROR(INDEX(面试清单!D:D,MATCH(4264,面试清单!P:P,0)),"")</f>
        <v/>
      </c>
      <c r="H4265" s="14" t="str">
        <f>IFERROR(INDEX(面试清单!H:H,MATCH(4264,面试清单!P:P,0)),"")</f>
        <v/>
      </c>
      <c r="J4265" s="14" t="str">
        <f ca="1" t="shared" si="199"/>
        <v/>
      </c>
      <c r="K4265" s="14" t="str">
        <f ca="1" t="shared" si="200"/>
        <v/>
      </c>
    </row>
    <row r="4266" spans="1:11">
      <c r="A4266" s="10" t="str">
        <f t="shared" si="198"/>
        <v/>
      </c>
      <c r="C4266" s="10" t="str">
        <f>IFERROR(INDEX(面试清单!D:D,MATCH(4265,面试清单!P:P,0)),"")</f>
        <v/>
      </c>
      <c r="H4266" s="10" t="str">
        <f>IFERROR(INDEX(面试清单!H:H,MATCH(4265,面试清单!P:P,0)),"")</f>
        <v/>
      </c>
      <c r="J4266" s="10" t="str">
        <f ca="1" t="shared" si="199"/>
        <v/>
      </c>
      <c r="K4266" s="10" t="str">
        <f ca="1" t="shared" si="200"/>
        <v/>
      </c>
    </row>
    <row r="4267" spans="1:11">
      <c r="A4267" s="14" t="str">
        <f t="shared" si="198"/>
        <v/>
      </c>
      <c r="C4267" s="14" t="str">
        <f>IFERROR(INDEX(面试清单!D:D,MATCH(4266,面试清单!P:P,0)),"")</f>
        <v/>
      </c>
      <c r="H4267" s="14" t="str">
        <f>IFERROR(INDEX(面试清单!H:H,MATCH(4266,面试清单!P:P,0)),"")</f>
        <v/>
      </c>
      <c r="J4267" s="14" t="str">
        <f ca="1" t="shared" si="199"/>
        <v/>
      </c>
      <c r="K4267" s="14" t="str">
        <f ca="1" t="shared" si="200"/>
        <v/>
      </c>
    </row>
    <row r="4268" spans="1:11">
      <c r="A4268" s="10" t="str">
        <f t="shared" si="198"/>
        <v/>
      </c>
      <c r="C4268" s="10" t="str">
        <f>IFERROR(INDEX(面试清单!D:D,MATCH(4267,面试清单!P:P,0)),"")</f>
        <v/>
      </c>
      <c r="H4268" s="10" t="str">
        <f>IFERROR(INDEX(面试清单!H:H,MATCH(4267,面试清单!P:P,0)),"")</f>
        <v/>
      </c>
      <c r="J4268" s="10" t="str">
        <f ca="1" t="shared" si="199"/>
        <v/>
      </c>
      <c r="K4268" s="10" t="str">
        <f ca="1" t="shared" si="200"/>
        <v/>
      </c>
    </row>
    <row r="4269" spans="1:11">
      <c r="A4269" s="14" t="str">
        <f t="shared" si="198"/>
        <v/>
      </c>
      <c r="C4269" s="14" t="str">
        <f>IFERROR(INDEX(面试清单!D:D,MATCH(4268,面试清单!P:P,0)),"")</f>
        <v/>
      </c>
      <c r="H4269" s="14" t="str">
        <f>IFERROR(INDEX(面试清单!H:H,MATCH(4268,面试清单!P:P,0)),"")</f>
        <v/>
      </c>
      <c r="J4269" s="14" t="str">
        <f ca="1" t="shared" si="199"/>
        <v/>
      </c>
      <c r="K4269" s="14" t="str">
        <f ca="1" t="shared" si="200"/>
        <v/>
      </c>
    </row>
    <row r="4270" spans="1:11">
      <c r="A4270" s="10" t="str">
        <f t="shared" si="198"/>
        <v/>
      </c>
      <c r="C4270" s="10" t="str">
        <f>IFERROR(INDEX(面试清单!D:D,MATCH(4269,面试清单!P:P,0)),"")</f>
        <v/>
      </c>
      <c r="H4270" s="10" t="str">
        <f>IFERROR(INDEX(面试清单!H:H,MATCH(4269,面试清单!P:P,0)),"")</f>
        <v/>
      </c>
      <c r="J4270" s="10" t="str">
        <f ca="1" t="shared" si="199"/>
        <v/>
      </c>
      <c r="K4270" s="10" t="str">
        <f ca="1" t="shared" si="200"/>
        <v/>
      </c>
    </row>
    <row r="4271" spans="1:11">
      <c r="A4271" s="14" t="str">
        <f t="shared" si="198"/>
        <v/>
      </c>
      <c r="C4271" s="14" t="str">
        <f>IFERROR(INDEX(面试清单!D:D,MATCH(4270,面试清单!P:P,0)),"")</f>
        <v/>
      </c>
      <c r="H4271" s="14" t="str">
        <f>IFERROR(INDEX(面试清单!H:H,MATCH(4270,面试清单!P:P,0)),"")</f>
        <v/>
      </c>
      <c r="J4271" s="14" t="str">
        <f ca="1" t="shared" si="199"/>
        <v/>
      </c>
      <c r="K4271" s="14" t="str">
        <f ca="1" t="shared" si="200"/>
        <v/>
      </c>
    </row>
    <row r="4272" spans="1:11">
      <c r="A4272" s="10" t="str">
        <f t="shared" si="198"/>
        <v/>
      </c>
      <c r="C4272" s="10" t="str">
        <f>IFERROR(INDEX(面试清单!D:D,MATCH(4271,面试清单!P:P,0)),"")</f>
        <v/>
      </c>
      <c r="H4272" s="10" t="str">
        <f>IFERROR(INDEX(面试清单!H:H,MATCH(4271,面试清单!P:P,0)),"")</f>
        <v/>
      </c>
      <c r="J4272" s="10" t="str">
        <f ca="1" t="shared" si="199"/>
        <v/>
      </c>
      <c r="K4272" s="10" t="str">
        <f ca="1" t="shared" si="200"/>
        <v/>
      </c>
    </row>
    <row r="4273" spans="1:11">
      <c r="A4273" s="14" t="str">
        <f t="shared" si="198"/>
        <v/>
      </c>
      <c r="C4273" s="14" t="str">
        <f>IFERROR(INDEX(面试清单!D:D,MATCH(4272,面试清单!P:P,0)),"")</f>
        <v/>
      </c>
      <c r="H4273" s="14" t="str">
        <f>IFERROR(INDEX(面试清单!H:H,MATCH(4272,面试清单!P:P,0)),"")</f>
        <v/>
      </c>
      <c r="J4273" s="14" t="str">
        <f ca="1" t="shared" si="199"/>
        <v/>
      </c>
      <c r="K4273" s="14" t="str">
        <f ca="1" t="shared" si="200"/>
        <v/>
      </c>
    </row>
    <row r="4274" spans="1:11">
      <c r="A4274" s="10" t="str">
        <f t="shared" si="198"/>
        <v/>
      </c>
      <c r="C4274" s="10" t="str">
        <f>IFERROR(INDEX(面试清单!D:D,MATCH(4273,面试清单!P:P,0)),"")</f>
        <v/>
      </c>
      <c r="H4274" s="10" t="str">
        <f>IFERROR(INDEX(面试清单!H:H,MATCH(4273,面试清单!P:P,0)),"")</f>
        <v/>
      </c>
      <c r="J4274" s="10" t="str">
        <f ca="1" t="shared" si="199"/>
        <v/>
      </c>
      <c r="K4274" s="10" t="str">
        <f ca="1" t="shared" si="200"/>
        <v/>
      </c>
    </row>
    <row r="4275" spans="1:11">
      <c r="A4275" s="14" t="str">
        <f t="shared" si="198"/>
        <v/>
      </c>
      <c r="C4275" s="14" t="str">
        <f>IFERROR(INDEX(面试清单!D:D,MATCH(4274,面试清单!P:P,0)),"")</f>
        <v/>
      </c>
      <c r="H4275" s="14" t="str">
        <f>IFERROR(INDEX(面试清单!H:H,MATCH(4274,面试清单!P:P,0)),"")</f>
        <v/>
      </c>
      <c r="J4275" s="14" t="str">
        <f ca="1" t="shared" si="199"/>
        <v/>
      </c>
      <c r="K4275" s="14" t="str">
        <f ca="1" t="shared" si="200"/>
        <v/>
      </c>
    </row>
    <row r="4276" spans="1:11">
      <c r="A4276" s="10" t="str">
        <f t="shared" si="198"/>
        <v/>
      </c>
      <c r="C4276" s="10" t="str">
        <f>IFERROR(INDEX(面试清单!D:D,MATCH(4275,面试清单!P:P,0)),"")</f>
        <v/>
      </c>
      <c r="H4276" s="10" t="str">
        <f>IFERROR(INDEX(面试清单!H:H,MATCH(4275,面试清单!P:P,0)),"")</f>
        <v/>
      </c>
      <c r="J4276" s="10" t="str">
        <f ca="1" t="shared" si="199"/>
        <v/>
      </c>
      <c r="K4276" s="10" t="str">
        <f ca="1" t="shared" si="200"/>
        <v/>
      </c>
    </row>
    <row r="4277" spans="1:11">
      <c r="A4277" s="14" t="str">
        <f t="shared" si="198"/>
        <v/>
      </c>
      <c r="C4277" s="14" t="str">
        <f>IFERROR(INDEX(面试清单!D:D,MATCH(4276,面试清单!P:P,0)),"")</f>
        <v/>
      </c>
      <c r="H4277" s="14" t="str">
        <f>IFERROR(INDEX(面试清单!H:H,MATCH(4276,面试清单!P:P,0)),"")</f>
        <v/>
      </c>
      <c r="J4277" s="14" t="str">
        <f ca="1" t="shared" si="199"/>
        <v/>
      </c>
      <c r="K4277" s="14" t="str">
        <f ca="1" t="shared" si="200"/>
        <v/>
      </c>
    </row>
    <row r="4278" spans="1:11">
      <c r="A4278" s="10" t="str">
        <f t="shared" si="198"/>
        <v/>
      </c>
      <c r="C4278" s="10" t="str">
        <f>IFERROR(INDEX(面试清单!D:D,MATCH(4277,面试清单!P:P,0)),"")</f>
        <v/>
      </c>
      <c r="H4278" s="10" t="str">
        <f>IFERROR(INDEX(面试清单!H:H,MATCH(4277,面试清单!P:P,0)),"")</f>
        <v/>
      </c>
      <c r="J4278" s="10" t="str">
        <f ca="1" t="shared" si="199"/>
        <v/>
      </c>
      <c r="K4278" s="10" t="str">
        <f ca="1" t="shared" si="200"/>
        <v/>
      </c>
    </row>
    <row r="4279" spans="1:11">
      <c r="A4279" s="14" t="str">
        <f t="shared" si="198"/>
        <v/>
      </c>
      <c r="C4279" s="14" t="str">
        <f>IFERROR(INDEX(面试清单!D:D,MATCH(4278,面试清单!P:P,0)),"")</f>
        <v/>
      </c>
      <c r="H4279" s="14" t="str">
        <f>IFERROR(INDEX(面试清单!H:H,MATCH(4278,面试清单!P:P,0)),"")</f>
        <v/>
      </c>
      <c r="J4279" s="14" t="str">
        <f ca="1" t="shared" si="199"/>
        <v/>
      </c>
      <c r="K4279" s="14" t="str">
        <f ca="1" t="shared" si="200"/>
        <v/>
      </c>
    </row>
    <row r="4280" spans="1:11">
      <c r="A4280" s="10" t="str">
        <f t="shared" si="198"/>
        <v/>
      </c>
      <c r="C4280" s="10" t="str">
        <f>IFERROR(INDEX(面试清单!D:D,MATCH(4279,面试清单!P:P,0)),"")</f>
        <v/>
      </c>
      <c r="H4280" s="10" t="str">
        <f>IFERROR(INDEX(面试清单!H:H,MATCH(4279,面试清单!P:P,0)),"")</f>
        <v/>
      </c>
      <c r="J4280" s="10" t="str">
        <f ca="1" t="shared" si="199"/>
        <v/>
      </c>
      <c r="K4280" s="10" t="str">
        <f ca="1" t="shared" si="200"/>
        <v/>
      </c>
    </row>
    <row r="4281" spans="1:11">
      <c r="A4281" s="14" t="str">
        <f t="shared" si="198"/>
        <v/>
      </c>
      <c r="C4281" s="14" t="str">
        <f>IFERROR(INDEX(面试清单!D:D,MATCH(4280,面试清单!P:P,0)),"")</f>
        <v/>
      </c>
      <c r="H4281" s="14" t="str">
        <f>IFERROR(INDEX(面试清单!H:H,MATCH(4280,面试清单!P:P,0)),"")</f>
        <v/>
      </c>
      <c r="J4281" s="14" t="str">
        <f ca="1" t="shared" si="199"/>
        <v/>
      </c>
      <c r="K4281" s="14" t="str">
        <f ca="1" t="shared" si="200"/>
        <v/>
      </c>
    </row>
    <row r="4282" spans="1:11">
      <c r="A4282" s="10" t="str">
        <f t="shared" si="198"/>
        <v/>
      </c>
      <c r="C4282" s="10" t="str">
        <f>IFERROR(INDEX(面试清单!D:D,MATCH(4281,面试清单!P:P,0)),"")</f>
        <v/>
      </c>
      <c r="H4282" s="10" t="str">
        <f>IFERROR(INDEX(面试清单!H:H,MATCH(4281,面试清单!P:P,0)),"")</f>
        <v/>
      </c>
      <c r="J4282" s="10" t="str">
        <f ca="1" t="shared" si="199"/>
        <v/>
      </c>
      <c r="K4282" s="10" t="str">
        <f ca="1" t="shared" si="200"/>
        <v/>
      </c>
    </row>
    <row r="4283" spans="1:11">
      <c r="A4283" s="14" t="str">
        <f t="shared" si="198"/>
        <v/>
      </c>
      <c r="C4283" s="14" t="str">
        <f>IFERROR(INDEX(面试清单!D:D,MATCH(4282,面试清单!P:P,0)),"")</f>
        <v/>
      </c>
      <c r="H4283" s="14" t="str">
        <f>IFERROR(INDEX(面试清单!H:H,MATCH(4282,面试清单!P:P,0)),"")</f>
        <v/>
      </c>
      <c r="J4283" s="14" t="str">
        <f ca="1" t="shared" si="199"/>
        <v/>
      </c>
      <c r="K4283" s="14" t="str">
        <f ca="1" t="shared" si="200"/>
        <v/>
      </c>
    </row>
    <row r="4284" spans="1:11">
      <c r="A4284" s="10" t="str">
        <f t="shared" si="198"/>
        <v/>
      </c>
      <c r="C4284" s="10" t="str">
        <f>IFERROR(INDEX(面试清单!D:D,MATCH(4283,面试清单!P:P,0)),"")</f>
        <v/>
      </c>
      <c r="H4284" s="10" t="str">
        <f>IFERROR(INDEX(面试清单!H:H,MATCH(4283,面试清单!P:P,0)),"")</f>
        <v/>
      </c>
      <c r="J4284" s="10" t="str">
        <f ca="1" t="shared" si="199"/>
        <v/>
      </c>
      <c r="K4284" s="10" t="str">
        <f ca="1" t="shared" si="200"/>
        <v/>
      </c>
    </row>
    <row r="4285" spans="1:11">
      <c r="A4285" s="14" t="str">
        <f t="shared" si="198"/>
        <v/>
      </c>
      <c r="C4285" s="14" t="str">
        <f>IFERROR(INDEX(面试清单!D:D,MATCH(4284,面试清单!P:P,0)),"")</f>
        <v/>
      </c>
      <c r="H4285" s="14" t="str">
        <f>IFERROR(INDEX(面试清单!H:H,MATCH(4284,面试清单!P:P,0)),"")</f>
        <v/>
      </c>
      <c r="J4285" s="14" t="str">
        <f ca="1" t="shared" si="199"/>
        <v/>
      </c>
      <c r="K4285" s="14" t="str">
        <f ca="1" t="shared" si="200"/>
        <v/>
      </c>
    </row>
    <row r="4286" spans="1:11">
      <c r="A4286" s="10" t="str">
        <f t="shared" si="198"/>
        <v/>
      </c>
      <c r="C4286" s="10" t="str">
        <f>IFERROR(INDEX(面试清单!D:D,MATCH(4285,面试清单!P:P,0)),"")</f>
        <v/>
      </c>
      <c r="H4286" s="10" t="str">
        <f>IFERROR(INDEX(面试清单!H:H,MATCH(4285,面试清单!P:P,0)),"")</f>
        <v/>
      </c>
      <c r="J4286" s="10" t="str">
        <f ca="1" t="shared" si="199"/>
        <v/>
      </c>
      <c r="K4286" s="10" t="str">
        <f ca="1" t="shared" si="200"/>
        <v/>
      </c>
    </row>
    <row r="4287" spans="1:11">
      <c r="A4287" s="14" t="str">
        <f t="shared" si="198"/>
        <v/>
      </c>
      <c r="C4287" s="14" t="str">
        <f>IFERROR(INDEX(面试清单!D:D,MATCH(4286,面试清单!P:P,0)),"")</f>
        <v/>
      </c>
      <c r="H4287" s="14" t="str">
        <f>IFERROR(INDEX(面试清单!H:H,MATCH(4286,面试清单!P:P,0)),"")</f>
        <v/>
      </c>
      <c r="J4287" s="14" t="str">
        <f ca="1" t="shared" si="199"/>
        <v/>
      </c>
      <c r="K4287" s="14" t="str">
        <f ca="1" t="shared" si="200"/>
        <v/>
      </c>
    </row>
    <row r="4288" spans="1:11">
      <c r="A4288" s="10" t="str">
        <f t="shared" si="198"/>
        <v/>
      </c>
      <c r="C4288" s="10" t="str">
        <f>IFERROR(INDEX(面试清单!D:D,MATCH(4287,面试清单!P:P,0)),"")</f>
        <v/>
      </c>
      <c r="H4288" s="10" t="str">
        <f>IFERROR(INDEX(面试清单!H:H,MATCH(4287,面试清单!P:P,0)),"")</f>
        <v/>
      </c>
      <c r="J4288" s="10" t="str">
        <f ca="1" t="shared" si="199"/>
        <v/>
      </c>
      <c r="K4288" s="10" t="str">
        <f ca="1" t="shared" si="200"/>
        <v/>
      </c>
    </row>
    <row r="4289" spans="1:11">
      <c r="A4289" s="14" t="str">
        <f t="shared" si="198"/>
        <v/>
      </c>
      <c r="C4289" s="14" t="str">
        <f>IFERROR(INDEX(面试清单!D:D,MATCH(4288,面试清单!P:P,0)),"")</f>
        <v/>
      </c>
      <c r="H4289" s="14" t="str">
        <f>IFERROR(INDEX(面试清单!H:H,MATCH(4288,面试清单!P:P,0)),"")</f>
        <v/>
      </c>
      <c r="J4289" s="14" t="str">
        <f ca="1" t="shared" si="199"/>
        <v/>
      </c>
      <c r="K4289" s="14" t="str">
        <f ca="1" t="shared" si="200"/>
        <v/>
      </c>
    </row>
    <row r="4290" spans="1:11">
      <c r="A4290" s="10" t="str">
        <f t="shared" ref="A4290:A4353" si="201">IF(B4290&lt;&gt;"",ROW()-1,"")</f>
        <v/>
      </c>
      <c r="C4290" s="10" t="str">
        <f>IFERROR(INDEX(面试清单!D:D,MATCH(4289,面试清单!P:P,0)),"")</f>
        <v/>
      </c>
      <c r="H4290" s="10" t="str">
        <f>IFERROR(INDEX(面试清单!H:H,MATCH(4289,面试清单!P:P,0)),"")</f>
        <v/>
      </c>
      <c r="J4290" s="10" t="str">
        <f ca="1" t="shared" ref="J4290:J4353" si="202">IF(G4290&lt;&gt;"",TODAY()-G4290,"")</f>
        <v/>
      </c>
      <c r="K4290" s="10" t="str">
        <f ca="1" t="shared" ref="K4290:K4353" si="203">IF(G4290&lt;&gt;"",MAX(0,MIN(TODAY(),EOMONTH(TODAY(),0))-MAX(G4290,EOMONTH(TODAY(),-1)+1)+1),"")</f>
        <v/>
      </c>
    </row>
    <row r="4291" spans="1:11">
      <c r="A4291" s="14" t="str">
        <f t="shared" si="201"/>
        <v/>
      </c>
      <c r="C4291" s="14" t="str">
        <f>IFERROR(INDEX(面试清单!D:D,MATCH(4290,面试清单!P:P,0)),"")</f>
        <v/>
      </c>
      <c r="H4291" s="14" t="str">
        <f>IFERROR(INDEX(面试清单!H:H,MATCH(4290,面试清单!P:P,0)),"")</f>
        <v/>
      </c>
      <c r="J4291" s="14" t="str">
        <f ca="1" t="shared" si="202"/>
        <v/>
      </c>
      <c r="K4291" s="14" t="str">
        <f ca="1" t="shared" si="203"/>
        <v/>
      </c>
    </row>
    <row r="4292" spans="1:11">
      <c r="A4292" s="10" t="str">
        <f t="shared" si="201"/>
        <v/>
      </c>
      <c r="C4292" s="10" t="str">
        <f>IFERROR(INDEX(面试清单!D:D,MATCH(4291,面试清单!P:P,0)),"")</f>
        <v/>
      </c>
      <c r="H4292" s="10" t="str">
        <f>IFERROR(INDEX(面试清单!H:H,MATCH(4291,面试清单!P:P,0)),"")</f>
        <v/>
      </c>
      <c r="J4292" s="10" t="str">
        <f ca="1" t="shared" si="202"/>
        <v/>
      </c>
      <c r="K4292" s="10" t="str">
        <f ca="1" t="shared" si="203"/>
        <v/>
      </c>
    </row>
    <row r="4293" spans="1:11">
      <c r="A4293" s="14" t="str">
        <f t="shared" si="201"/>
        <v/>
      </c>
      <c r="C4293" s="14" t="str">
        <f>IFERROR(INDEX(面试清单!D:D,MATCH(4292,面试清单!P:P,0)),"")</f>
        <v/>
      </c>
      <c r="H4293" s="14" t="str">
        <f>IFERROR(INDEX(面试清单!H:H,MATCH(4292,面试清单!P:P,0)),"")</f>
        <v/>
      </c>
      <c r="J4293" s="14" t="str">
        <f ca="1" t="shared" si="202"/>
        <v/>
      </c>
      <c r="K4293" s="14" t="str">
        <f ca="1" t="shared" si="203"/>
        <v/>
      </c>
    </row>
    <row r="4294" spans="1:11">
      <c r="A4294" s="10" t="str">
        <f t="shared" si="201"/>
        <v/>
      </c>
      <c r="C4294" s="10" t="str">
        <f>IFERROR(INDEX(面试清单!D:D,MATCH(4293,面试清单!P:P,0)),"")</f>
        <v/>
      </c>
      <c r="H4294" s="10" t="str">
        <f>IFERROR(INDEX(面试清单!H:H,MATCH(4293,面试清单!P:P,0)),"")</f>
        <v/>
      </c>
      <c r="J4294" s="10" t="str">
        <f ca="1" t="shared" si="202"/>
        <v/>
      </c>
      <c r="K4294" s="10" t="str">
        <f ca="1" t="shared" si="203"/>
        <v/>
      </c>
    </row>
    <row r="4295" spans="1:11">
      <c r="A4295" s="14" t="str">
        <f t="shared" si="201"/>
        <v/>
      </c>
      <c r="C4295" s="14" t="str">
        <f>IFERROR(INDEX(面试清单!D:D,MATCH(4294,面试清单!P:P,0)),"")</f>
        <v/>
      </c>
      <c r="H4295" s="14" t="str">
        <f>IFERROR(INDEX(面试清单!H:H,MATCH(4294,面试清单!P:P,0)),"")</f>
        <v/>
      </c>
      <c r="J4295" s="14" t="str">
        <f ca="1" t="shared" si="202"/>
        <v/>
      </c>
      <c r="K4295" s="14" t="str">
        <f ca="1" t="shared" si="203"/>
        <v/>
      </c>
    </row>
    <row r="4296" spans="1:11">
      <c r="A4296" s="10" t="str">
        <f t="shared" si="201"/>
        <v/>
      </c>
      <c r="C4296" s="10" t="str">
        <f>IFERROR(INDEX(面试清单!D:D,MATCH(4295,面试清单!P:P,0)),"")</f>
        <v/>
      </c>
      <c r="H4296" s="10" t="str">
        <f>IFERROR(INDEX(面试清单!H:H,MATCH(4295,面试清单!P:P,0)),"")</f>
        <v/>
      </c>
      <c r="J4296" s="10" t="str">
        <f ca="1" t="shared" si="202"/>
        <v/>
      </c>
      <c r="K4296" s="10" t="str">
        <f ca="1" t="shared" si="203"/>
        <v/>
      </c>
    </row>
    <row r="4297" spans="1:11">
      <c r="A4297" s="14" t="str">
        <f t="shared" si="201"/>
        <v/>
      </c>
      <c r="C4297" s="14" t="str">
        <f>IFERROR(INDEX(面试清单!D:D,MATCH(4296,面试清单!P:P,0)),"")</f>
        <v/>
      </c>
      <c r="H4297" s="14" t="str">
        <f>IFERROR(INDEX(面试清单!H:H,MATCH(4296,面试清单!P:P,0)),"")</f>
        <v/>
      </c>
      <c r="J4297" s="14" t="str">
        <f ca="1" t="shared" si="202"/>
        <v/>
      </c>
      <c r="K4297" s="14" t="str">
        <f ca="1" t="shared" si="203"/>
        <v/>
      </c>
    </row>
    <row r="4298" spans="1:11">
      <c r="A4298" s="10" t="str">
        <f t="shared" si="201"/>
        <v/>
      </c>
      <c r="C4298" s="10" t="str">
        <f>IFERROR(INDEX(面试清单!D:D,MATCH(4297,面试清单!P:P,0)),"")</f>
        <v/>
      </c>
      <c r="H4298" s="10" t="str">
        <f>IFERROR(INDEX(面试清单!H:H,MATCH(4297,面试清单!P:P,0)),"")</f>
        <v/>
      </c>
      <c r="J4298" s="10" t="str">
        <f ca="1" t="shared" si="202"/>
        <v/>
      </c>
      <c r="K4298" s="10" t="str">
        <f ca="1" t="shared" si="203"/>
        <v/>
      </c>
    </row>
    <row r="4299" spans="1:11">
      <c r="A4299" s="14" t="str">
        <f t="shared" si="201"/>
        <v/>
      </c>
      <c r="C4299" s="14" t="str">
        <f>IFERROR(INDEX(面试清单!D:D,MATCH(4298,面试清单!P:P,0)),"")</f>
        <v/>
      </c>
      <c r="H4299" s="14" t="str">
        <f>IFERROR(INDEX(面试清单!H:H,MATCH(4298,面试清单!P:P,0)),"")</f>
        <v/>
      </c>
      <c r="J4299" s="14" t="str">
        <f ca="1" t="shared" si="202"/>
        <v/>
      </c>
      <c r="K4299" s="14" t="str">
        <f ca="1" t="shared" si="203"/>
        <v/>
      </c>
    </row>
    <row r="4300" spans="1:11">
      <c r="A4300" s="10" t="str">
        <f t="shared" si="201"/>
        <v/>
      </c>
      <c r="C4300" s="10" t="str">
        <f>IFERROR(INDEX(面试清单!D:D,MATCH(4299,面试清单!P:P,0)),"")</f>
        <v/>
      </c>
      <c r="H4300" s="10" t="str">
        <f>IFERROR(INDEX(面试清单!H:H,MATCH(4299,面试清单!P:P,0)),"")</f>
        <v/>
      </c>
      <c r="J4300" s="10" t="str">
        <f ca="1" t="shared" si="202"/>
        <v/>
      </c>
      <c r="K4300" s="10" t="str">
        <f ca="1" t="shared" si="203"/>
        <v/>
      </c>
    </row>
    <row r="4301" spans="1:11">
      <c r="A4301" s="14" t="str">
        <f t="shared" si="201"/>
        <v/>
      </c>
      <c r="C4301" s="14" t="str">
        <f>IFERROR(INDEX(面试清单!D:D,MATCH(4300,面试清单!P:P,0)),"")</f>
        <v/>
      </c>
      <c r="H4301" s="14" t="str">
        <f>IFERROR(INDEX(面试清单!H:H,MATCH(4300,面试清单!P:P,0)),"")</f>
        <v/>
      </c>
      <c r="J4301" s="14" t="str">
        <f ca="1" t="shared" si="202"/>
        <v/>
      </c>
      <c r="K4301" s="14" t="str">
        <f ca="1" t="shared" si="203"/>
        <v/>
      </c>
    </row>
    <row r="4302" spans="1:11">
      <c r="A4302" s="10" t="str">
        <f t="shared" si="201"/>
        <v/>
      </c>
      <c r="C4302" s="10" t="str">
        <f>IFERROR(INDEX(面试清单!D:D,MATCH(4301,面试清单!P:P,0)),"")</f>
        <v/>
      </c>
      <c r="H4302" s="10" t="str">
        <f>IFERROR(INDEX(面试清单!H:H,MATCH(4301,面试清单!P:P,0)),"")</f>
        <v/>
      </c>
      <c r="J4302" s="10" t="str">
        <f ca="1" t="shared" si="202"/>
        <v/>
      </c>
      <c r="K4302" s="10" t="str">
        <f ca="1" t="shared" si="203"/>
        <v/>
      </c>
    </row>
    <row r="4303" spans="1:11">
      <c r="A4303" s="14" t="str">
        <f t="shared" si="201"/>
        <v/>
      </c>
      <c r="C4303" s="14" t="str">
        <f>IFERROR(INDEX(面试清单!D:D,MATCH(4302,面试清单!P:P,0)),"")</f>
        <v/>
      </c>
      <c r="H4303" s="14" t="str">
        <f>IFERROR(INDEX(面试清单!H:H,MATCH(4302,面试清单!P:P,0)),"")</f>
        <v/>
      </c>
      <c r="J4303" s="14" t="str">
        <f ca="1" t="shared" si="202"/>
        <v/>
      </c>
      <c r="K4303" s="14" t="str">
        <f ca="1" t="shared" si="203"/>
        <v/>
      </c>
    </row>
    <row r="4304" spans="1:11">
      <c r="A4304" s="10" t="str">
        <f t="shared" si="201"/>
        <v/>
      </c>
      <c r="C4304" s="10" t="str">
        <f>IFERROR(INDEX(面试清单!D:D,MATCH(4303,面试清单!P:P,0)),"")</f>
        <v/>
      </c>
      <c r="H4304" s="10" t="str">
        <f>IFERROR(INDEX(面试清单!H:H,MATCH(4303,面试清单!P:P,0)),"")</f>
        <v/>
      </c>
      <c r="J4304" s="10" t="str">
        <f ca="1" t="shared" si="202"/>
        <v/>
      </c>
      <c r="K4304" s="10" t="str">
        <f ca="1" t="shared" si="203"/>
        <v/>
      </c>
    </row>
    <row r="4305" spans="1:11">
      <c r="A4305" s="14" t="str">
        <f t="shared" si="201"/>
        <v/>
      </c>
      <c r="C4305" s="14" t="str">
        <f>IFERROR(INDEX(面试清单!D:D,MATCH(4304,面试清单!P:P,0)),"")</f>
        <v/>
      </c>
      <c r="H4305" s="14" t="str">
        <f>IFERROR(INDEX(面试清单!H:H,MATCH(4304,面试清单!P:P,0)),"")</f>
        <v/>
      </c>
      <c r="J4305" s="14" t="str">
        <f ca="1" t="shared" si="202"/>
        <v/>
      </c>
      <c r="K4305" s="14" t="str">
        <f ca="1" t="shared" si="203"/>
        <v/>
      </c>
    </row>
    <row r="4306" spans="1:11">
      <c r="A4306" s="10" t="str">
        <f t="shared" si="201"/>
        <v/>
      </c>
      <c r="C4306" s="10" t="str">
        <f>IFERROR(INDEX(面试清单!D:D,MATCH(4305,面试清单!P:P,0)),"")</f>
        <v/>
      </c>
      <c r="H4306" s="10" t="str">
        <f>IFERROR(INDEX(面试清单!H:H,MATCH(4305,面试清单!P:P,0)),"")</f>
        <v/>
      </c>
      <c r="J4306" s="10" t="str">
        <f ca="1" t="shared" si="202"/>
        <v/>
      </c>
      <c r="K4306" s="10" t="str">
        <f ca="1" t="shared" si="203"/>
        <v/>
      </c>
    </row>
    <row r="4307" spans="1:11">
      <c r="A4307" s="14" t="str">
        <f t="shared" si="201"/>
        <v/>
      </c>
      <c r="C4307" s="14" t="str">
        <f>IFERROR(INDEX(面试清单!D:D,MATCH(4306,面试清单!P:P,0)),"")</f>
        <v/>
      </c>
      <c r="H4307" s="14" t="str">
        <f>IFERROR(INDEX(面试清单!H:H,MATCH(4306,面试清单!P:P,0)),"")</f>
        <v/>
      </c>
      <c r="J4307" s="14" t="str">
        <f ca="1" t="shared" si="202"/>
        <v/>
      </c>
      <c r="K4307" s="14" t="str">
        <f ca="1" t="shared" si="203"/>
        <v/>
      </c>
    </row>
    <row r="4308" spans="1:11">
      <c r="A4308" s="10" t="str">
        <f t="shared" si="201"/>
        <v/>
      </c>
      <c r="C4308" s="10" t="str">
        <f>IFERROR(INDEX(面试清单!D:D,MATCH(4307,面试清单!P:P,0)),"")</f>
        <v/>
      </c>
      <c r="H4308" s="10" t="str">
        <f>IFERROR(INDEX(面试清单!H:H,MATCH(4307,面试清单!P:P,0)),"")</f>
        <v/>
      </c>
      <c r="J4308" s="10" t="str">
        <f ca="1" t="shared" si="202"/>
        <v/>
      </c>
      <c r="K4308" s="10" t="str">
        <f ca="1" t="shared" si="203"/>
        <v/>
      </c>
    </row>
    <row r="4309" spans="1:11">
      <c r="A4309" s="14" t="str">
        <f t="shared" si="201"/>
        <v/>
      </c>
      <c r="C4309" s="14" t="str">
        <f>IFERROR(INDEX(面试清单!D:D,MATCH(4308,面试清单!P:P,0)),"")</f>
        <v/>
      </c>
      <c r="H4309" s="14" t="str">
        <f>IFERROR(INDEX(面试清单!H:H,MATCH(4308,面试清单!P:P,0)),"")</f>
        <v/>
      </c>
      <c r="J4309" s="14" t="str">
        <f ca="1" t="shared" si="202"/>
        <v/>
      </c>
      <c r="K4309" s="14" t="str">
        <f ca="1" t="shared" si="203"/>
        <v/>
      </c>
    </row>
    <row r="4310" spans="1:11">
      <c r="A4310" s="10" t="str">
        <f t="shared" si="201"/>
        <v/>
      </c>
      <c r="C4310" s="10" t="str">
        <f>IFERROR(INDEX(面试清单!D:D,MATCH(4309,面试清单!P:P,0)),"")</f>
        <v/>
      </c>
      <c r="H4310" s="10" t="str">
        <f>IFERROR(INDEX(面试清单!H:H,MATCH(4309,面试清单!P:P,0)),"")</f>
        <v/>
      </c>
      <c r="J4310" s="10" t="str">
        <f ca="1" t="shared" si="202"/>
        <v/>
      </c>
      <c r="K4310" s="10" t="str">
        <f ca="1" t="shared" si="203"/>
        <v/>
      </c>
    </row>
    <row r="4311" spans="1:11">
      <c r="A4311" s="14" t="str">
        <f t="shared" si="201"/>
        <v/>
      </c>
      <c r="C4311" s="14" t="str">
        <f>IFERROR(INDEX(面试清单!D:D,MATCH(4310,面试清单!P:P,0)),"")</f>
        <v/>
      </c>
      <c r="H4311" s="14" t="str">
        <f>IFERROR(INDEX(面试清单!H:H,MATCH(4310,面试清单!P:P,0)),"")</f>
        <v/>
      </c>
      <c r="J4311" s="14" t="str">
        <f ca="1" t="shared" si="202"/>
        <v/>
      </c>
      <c r="K4311" s="14" t="str">
        <f ca="1" t="shared" si="203"/>
        <v/>
      </c>
    </row>
    <row r="4312" spans="1:11">
      <c r="A4312" s="10" t="str">
        <f t="shared" si="201"/>
        <v/>
      </c>
      <c r="C4312" s="10" t="str">
        <f>IFERROR(INDEX(面试清单!D:D,MATCH(4311,面试清单!P:P,0)),"")</f>
        <v/>
      </c>
      <c r="H4312" s="10" t="str">
        <f>IFERROR(INDEX(面试清单!H:H,MATCH(4311,面试清单!P:P,0)),"")</f>
        <v/>
      </c>
      <c r="J4312" s="10" t="str">
        <f ca="1" t="shared" si="202"/>
        <v/>
      </c>
      <c r="K4312" s="10" t="str">
        <f ca="1" t="shared" si="203"/>
        <v/>
      </c>
    </row>
    <row r="4313" spans="1:11">
      <c r="A4313" s="14" t="str">
        <f t="shared" si="201"/>
        <v/>
      </c>
      <c r="C4313" s="14" t="str">
        <f>IFERROR(INDEX(面试清单!D:D,MATCH(4312,面试清单!P:P,0)),"")</f>
        <v/>
      </c>
      <c r="H4313" s="14" t="str">
        <f>IFERROR(INDEX(面试清单!H:H,MATCH(4312,面试清单!P:P,0)),"")</f>
        <v/>
      </c>
      <c r="J4313" s="14" t="str">
        <f ca="1" t="shared" si="202"/>
        <v/>
      </c>
      <c r="K4313" s="14" t="str">
        <f ca="1" t="shared" si="203"/>
        <v/>
      </c>
    </row>
    <row r="4314" spans="1:11">
      <c r="A4314" s="10" t="str">
        <f t="shared" si="201"/>
        <v/>
      </c>
      <c r="C4314" s="10" t="str">
        <f>IFERROR(INDEX(面试清单!D:D,MATCH(4313,面试清单!P:P,0)),"")</f>
        <v/>
      </c>
      <c r="H4314" s="10" t="str">
        <f>IFERROR(INDEX(面试清单!H:H,MATCH(4313,面试清单!P:P,0)),"")</f>
        <v/>
      </c>
      <c r="J4314" s="10" t="str">
        <f ca="1" t="shared" si="202"/>
        <v/>
      </c>
      <c r="K4314" s="10" t="str">
        <f ca="1" t="shared" si="203"/>
        <v/>
      </c>
    </row>
    <row r="4315" spans="1:11">
      <c r="A4315" s="14" t="str">
        <f t="shared" si="201"/>
        <v/>
      </c>
      <c r="C4315" s="14" t="str">
        <f>IFERROR(INDEX(面试清单!D:D,MATCH(4314,面试清单!P:P,0)),"")</f>
        <v/>
      </c>
      <c r="H4315" s="14" t="str">
        <f>IFERROR(INDEX(面试清单!H:H,MATCH(4314,面试清单!P:P,0)),"")</f>
        <v/>
      </c>
      <c r="J4315" s="14" t="str">
        <f ca="1" t="shared" si="202"/>
        <v/>
      </c>
      <c r="K4315" s="14" t="str">
        <f ca="1" t="shared" si="203"/>
        <v/>
      </c>
    </row>
    <row r="4316" spans="1:11">
      <c r="A4316" s="10" t="str">
        <f t="shared" si="201"/>
        <v/>
      </c>
      <c r="C4316" s="10" t="str">
        <f>IFERROR(INDEX(面试清单!D:D,MATCH(4315,面试清单!P:P,0)),"")</f>
        <v/>
      </c>
      <c r="H4316" s="10" t="str">
        <f>IFERROR(INDEX(面试清单!H:H,MATCH(4315,面试清单!P:P,0)),"")</f>
        <v/>
      </c>
      <c r="J4316" s="10" t="str">
        <f ca="1" t="shared" si="202"/>
        <v/>
      </c>
      <c r="K4316" s="10" t="str">
        <f ca="1" t="shared" si="203"/>
        <v/>
      </c>
    </row>
    <row r="4317" spans="1:11">
      <c r="A4317" s="14" t="str">
        <f t="shared" si="201"/>
        <v/>
      </c>
      <c r="C4317" s="14" t="str">
        <f>IFERROR(INDEX(面试清单!D:D,MATCH(4316,面试清单!P:P,0)),"")</f>
        <v/>
      </c>
      <c r="H4317" s="14" t="str">
        <f>IFERROR(INDEX(面试清单!H:H,MATCH(4316,面试清单!P:P,0)),"")</f>
        <v/>
      </c>
      <c r="J4317" s="14" t="str">
        <f ca="1" t="shared" si="202"/>
        <v/>
      </c>
      <c r="K4317" s="14" t="str">
        <f ca="1" t="shared" si="203"/>
        <v/>
      </c>
    </row>
    <row r="4318" spans="1:11">
      <c r="A4318" s="10" t="str">
        <f t="shared" si="201"/>
        <v/>
      </c>
      <c r="C4318" s="10" t="str">
        <f>IFERROR(INDEX(面试清单!D:D,MATCH(4317,面试清单!P:P,0)),"")</f>
        <v/>
      </c>
      <c r="H4318" s="10" t="str">
        <f>IFERROR(INDEX(面试清单!H:H,MATCH(4317,面试清单!P:P,0)),"")</f>
        <v/>
      </c>
      <c r="J4318" s="10" t="str">
        <f ca="1" t="shared" si="202"/>
        <v/>
      </c>
      <c r="K4318" s="10" t="str">
        <f ca="1" t="shared" si="203"/>
        <v/>
      </c>
    </row>
    <row r="4319" spans="1:11">
      <c r="A4319" s="14" t="str">
        <f t="shared" si="201"/>
        <v/>
      </c>
      <c r="C4319" s="14" t="str">
        <f>IFERROR(INDEX(面试清单!D:D,MATCH(4318,面试清单!P:P,0)),"")</f>
        <v/>
      </c>
      <c r="H4319" s="14" t="str">
        <f>IFERROR(INDEX(面试清单!H:H,MATCH(4318,面试清单!P:P,0)),"")</f>
        <v/>
      </c>
      <c r="J4319" s="14" t="str">
        <f ca="1" t="shared" si="202"/>
        <v/>
      </c>
      <c r="K4319" s="14" t="str">
        <f ca="1" t="shared" si="203"/>
        <v/>
      </c>
    </row>
    <row r="4320" spans="1:11">
      <c r="A4320" s="10" t="str">
        <f t="shared" si="201"/>
        <v/>
      </c>
      <c r="C4320" s="10" t="str">
        <f>IFERROR(INDEX(面试清单!D:D,MATCH(4319,面试清单!P:P,0)),"")</f>
        <v/>
      </c>
      <c r="H4320" s="10" t="str">
        <f>IFERROR(INDEX(面试清单!H:H,MATCH(4319,面试清单!P:P,0)),"")</f>
        <v/>
      </c>
      <c r="J4320" s="10" t="str">
        <f ca="1" t="shared" si="202"/>
        <v/>
      </c>
      <c r="K4320" s="10" t="str">
        <f ca="1" t="shared" si="203"/>
        <v/>
      </c>
    </row>
    <row r="4321" spans="1:11">
      <c r="A4321" s="14" t="str">
        <f t="shared" si="201"/>
        <v/>
      </c>
      <c r="C4321" s="14" t="str">
        <f>IFERROR(INDEX(面试清单!D:D,MATCH(4320,面试清单!P:P,0)),"")</f>
        <v/>
      </c>
      <c r="H4321" s="14" t="str">
        <f>IFERROR(INDEX(面试清单!H:H,MATCH(4320,面试清单!P:P,0)),"")</f>
        <v/>
      </c>
      <c r="J4321" s="14" t="str">
        <f ca="1" t="shared" si="202"/>
        <v/>
      </c>
      <c r="K4321" s="14" t="str">
        <f ca="1" t="shared" si="203"/>
        <v/>
      </c>
    </row>
    <row r="4322" spans="1:11">
      <c r="A4322" s="10" t="str">
        <f t="shared" si="201"/>
        <v/>
      </c>
      <c r="C4322" s="10" t="str">
        <f>IFERROR(INDEX(面试清单!D:D,MATCH(4321,面试清单!P:P,0)),"")</f>
        <v/>
      </c>
      <c r="H4322" s="10" t="str">
        <f>IFERROR(INDEX(面试清单!H:H,MATCH(4321,面试清单!P:P,0)),"")</f>
        <v/>
      </c>
      <c r="J4322" s="10" t="str">
        <f ca="1" t="shared" si="202"/>
        <v/>
      </c>
      <c r="K4322" s="10" t="str">
        <f ca="1" t="shared" si="203"/>
        <v/>
      </c>
    </row>
    <row r="4323" spans="1:11">
      <c r="A4323" s="14" t="str">
        <f t="shared" si="201"/>
        <v/>
      </c>
      <c r="C4323" s="14" t="str">
        <f>IFERROR(INDEX(面试清单!D:D,MATCH(4322,面试清单!P:P,0)),"")</f>
        <v/>
      </c>
      <c r="H4323" s="14" t="str">
        <f>IFERROR(INDEX(面试清单!H:H,MATCH(4322,面试清单!P:P,0)),"")</f>
        <v/>
      </c>
      <c r="J4323" s="14" t="str">
        <f ca="1" t="shared" si="202"/>
        <v/>
      </c>
      <c r="K4323" s="14" t="str">
        <f ca="1" t="shared" si="203"/>
        <v/>
      </c>
    </row>
    <row r="4324" spans="1:11">
      <c r="A4324" s="10" t="str">
        <f t="shared" si="201"/>
        <v/>
      </c>
      <c r="C4324" s="10" t="str">
        <f>IFERROR(INDEX(面试清单!D:D,MATCH(4323,面试清单!P:P,0)),"")</f>
        <v/>
      </c>
      <c r="H4324" s="10" t="str">
        <f>IFERROR(INDEX(面试清单!H:H,MATCH(4323,面试清单!P:P,0)),"")</f>
        <v/>
      </c>
      <c r="J4324" s="10" t="str">
        <f ca="1" t="shared" si="202"/>
        <v/>
      </c>
      <c r="K4324" s="10" t="str">
        <f ca="1" t="shared" si="203"/>
        <v/>
      </c>
    </row>
    <row r="4325" spans="1:11">
      <c r="A4325" s="14" t="str">
        <f t="shared" si="201"/>
        <v/>
      </c>
      <c r="C4325" s="14" t="str">
        <f>IFERROR(INDEX(面试清单!D:D,MATCH(4324,面试清单!P:P,0)),"")</f>
        <v/>
      </c>
      <c r="H4325" s="14" t="str">
        <f>IFERROR(INDEX(面试清单!H:H,MATCH(4324,面试清单!P:P,0)),"")</f>
        <v/>
      </c>
      <c r="J4325" s="14" t="str">
        <f ca="1" t="shared" si="202"/>
        <v/>
      </c>
      <c r="K4325" s="14" t="str">
        <f ca="1" t="shared" si="203"/>
        <v/>
      </c>
    </row>
    <row r="4326" spans="1:11">
      <c r="A4326" s="10" t="str">
        <f t="shared" si="201"/>
        <v/>
      </c>
      <c r="C4326" s="10" t="str">
        <f>IFERROR(INDEX(面试清单!D:D,MATCH(4325,面试清单!P:P,0)),"")</f>
        <v/>
      </c>
      <c r="H4326" s="10" t="str">
        <f>IFERROR(INDEX(面试清单!H:H,MATCH(4325,面试清单!P:P,0)),"")</f>
        <v/>
      </c>
      <c r="J4326" s="10" t="str">
        <f ca="1" t="shared" si="202"/>
        <v/>
      </c>
      <c r="K4326" s="10" t="str">
        <f ca="1" t="shared" si="203"/>
        <v/>
      </c>
    </row>
    <row r="4327" spans="1:11">
      <c r="A4327" s="14" t="str">
        <f t="shared" si="201"/>
        <v/>
      </c>
      <c r="C4327" s="14" t="str">
        <f>IFERROR(INDEX(面试清单!D:D,MATCH(4326,面试清单!P:P,0)),"")</f>
        <v/>
      </c>
      <c r="H4327" s="14" t="str">
        <f>IFERROR(INDEX(面试清单!H:H,MATCH(4326,面试清单!P:P,0)),"")</f>
        <v/>
      </c>
      <c r="J4327" s="14" t="str">
        <f ca="1" t="shared" si="202"/>
        <v/>
      </c>
      <c r="K4327" s="14" t="str">
        <f ca="1" t="shared" si="203"/>
        <v/>
      </c>
    </row>
    <row r="4328" spans="1:11">
      <c r="A4328" s="10" t="str">
        <f t="shared" si="201"/>
        <v/>
      </c>
      <c r="C4328" s="10" t="str">
        <f>IFERROR(INDEX(面试清单!D:D,MATCH(4327,面试清单!P:P,0)),"")</f>
        <v/>
      </c>
      <c r="H4328" s="10" t="str">
        <f>IFERROR(INDEX(面试清单!H:H,MATCH(4327,面试清单!P:P,0)),"")</f>
        <v/>
      </c>
      <c r="J4328" s="10" t="str">
        <f ca="1" t="shared" si="202"/>
        <v/>
      </c>
      <c r="K4328" s="10" t="str">
        <f ca="1" t="shared" si="203"/>
        <v/>
      </c>
    </row>
    <row r="4329" spans="1:11">
      <c r="A4329" s="14" t="str">
        <f t="shared" si="201"/>
        <v/>
      </c>
      <c r="C4329" s="14" t="str">
        <f>IFERROR(INDEX(面试清单!D:D,MATCH(4328,面试清单!P:P,0)),"")</f>
        <v/>
      </c>
      <c r="H4329" s="14" t="str">
        <f>IFERROR(INDEX(面试清单!H:H,MATCH(4328,面试清单!P:P,0)),"")</f>
        <v/>
      </c>
      <c r="J4329" s="14" t="str">
        <f ca="1" t="shared" si="202"/>
        <v/>
      </c>
      <c r="K4329" s="14" t="str">
        <f ca="1" t="shared" si="203"/>
        <v/>
      </c>
    </row>
    <row r="4330" spans="1:11">
      <c r="A4330" s="10" t="str">
        <f t="shared" si="201"/>
        <v/>
      </c>
      <c r="C4330" s="10" t="str">
        <f>IFERROR(INDEX(面试清单!D:D,MATCH(4329,面试清单!P:P,0)),"")</f>
        <v/>
      </c>
      <c r="H4330" s="10" t="str">
        <f>IFERROR(INDEX(面试清单!H:H,MATCH(4329,面试清单!P:P,0)),"")</f>
        <v/>
      </c>
      <c r="J4330" s="10" t="str">
        <f ca="1" t="shared" si="202"/>
        <v/>
      </c>
      <c r="K4330" s="10" t="str">
        <f ca="1" t="shared" si="203"/>
        <v/>
      </c>
    </row>
    <row r="4331" spans="1:11">
      <c r="A4331" s="14" t="str">
        <f t="shared" si="201"/>
        <v/>
      </c>
      <c r="C4331" s="14" t="str">
        <f>IFERROR(INDEX(面试清单!D:D,MATCH(4330,面试清单!P:P,0)),"")</f>
        <v/>
      </c>
      <c r="H4331" s="14" t="str">
        <f>IFERROR(INDEX(面试清单!H:H,MATCH(4330,面试清单!P:P,0)),"")</f>
        <v/>
      </c>
      <c r="J4331" s="14" t="str">
        <f ca="1" t="shared" si="202"/>
        <v/>
      </c>
      <c r="K4331" s="14" t="str">
        <f ca="1" t="shared" si="203"/>
        <v/>
      </c>
    </row>
    <row r="4332" spans="1:11">
      <c r="A4332" s="10" t="str">
        <f t="shared" si="201"/>
        <v/>
      </c>
      <c r="C4332" s="10" t="str">
        <f>IFERROR(INDEX(面试清单!D:D,MATCH(4331,面试清单!P:P,0)),"")</f>
        <v/>
      </c>
      <c r="H4332" s="10" t="str">
        <f>IFERROR(INDEX(面试清单!H:H,MATCH(4331,面试清单!P:P,0)),"")</f>
        <v/>
      </c>
      <c r="J4332" s="10" t="str">
        <f ca="1" t="shared" si="202"/>
        <v/>
      </c>
      <c r="K4332" s="10" t="str">
        <f ca="1" t="shared" si="203"/>
        <v/>
      </c>
    </row>
    <row r="4333" spans="1:11">
      <c r="A4333" s="14" t="str">
        <f t="shared" si="201"/>
        <v/>
      </c>
      <c r="C4333" s="14" t="str">
        <f>IFERROR(INDEX(面试清单!D:D,MATCH(4332,面试清单!P:P,0)),"")</f>
        <v/>
      </c>
      <c r="H4333" s="14" t="str">
        <f>IFERROR(INDEX(面试清单!H:H,MATCH(4332,面试清单!P:P,0)),"")</f>
        <v/>
      </c>
      <c r="J4333" s="14" t="str">
        <f ca="1" t="shared" si="202"/>
        <v/>
      </c>
      <c r="K4333" s="14" t="str">
        <f ca="1" t="shared" si="203"/>
        <v/>
      </c>
    </row>
    <row r="4334" spans="1:11">
      <c r="A4334" s="10" t="str">
        <f t="shared" si="201"/>
        <v/>
      </c>
      <c r="C4334" s="10" t="str">
        <f>IFERROR(INDEX(面试清单!D:D,MATCH(4333,面试清单!P:P,0)),"")</f>
        <v/>
      </c>
      <c r="H4334" s="10" t="str">
        <f>IFERROR(INDEX(面试清单!H:H,MATCH(4333,面试清单!P:P,0)),"")</f>
        <v/>
      </c>
      <c r="J4334" s="10" t="str">
        <f ca="1" t="shared" si="202"/>
        <v/>
      </c>
      <c r="K4334" s="10" t="str">
        <f ca="1" t="shared" si="203"/>
        <v/>
      </c>
    </row>
    <row r="4335" spans="1:11">
      <c r="A4335" s="14" t="str">
        <f t="shared" si="201"/>
        <v/>
      </c>
      <c r="C4335" s="14" t="str">
        <f>IFERROR(INDEX(面试清单!D:D,MATCH(4334,面试清单!P:P,0)),"")</f>
        <v/>
      </c>
      <c r="H4335" s="14" t="str">
        <f>IFERROR(INDEX(面试清单!H:H,MATCH(4334,面试清单!P:P,0)),"")</f>
        <v/>
      </c>
      <c r="J4335" s="14" t="str">
        <f ca="1" t="shared" si="202"/>
        <v/>
      </c>
      <c r="K4335" s="14" t="str">
        <f ca="1" t="shared" si="203"/>
        <v/>
      </c>
    </row>
    <row r="4336" spans="1:11">
      <c r="A4336" s="10" t="str">
        <f t="shared" si="201"/>
        <v/>
      </c>
      <c r="C4336" s="10" t="str">
        <f>IFERROR(INDEX(面试清单!D:D,MATCH(4335,面试清单!P:P,0)),"")</f>
        <v/>
      </c>
      <c r="H4336" s="10" t="str">
        <f>IFERROR(INDEX(面试清单!H:H,MATCH(4335,面试清单!P:P,0)),"")</f>
        <v/>
      </c>
      <c r="J4336" s="10" t="str">
        <f ca="1" t="shared" si="202"/>
        <v/>
      </c>
      <c r="K4336" s="10" t="str">
        <f ca="1" t="shared" si="203"/>
        <v/>
      </c>
    </row>
    <row r="4337" spans="1:11">
      <c r="A4337" s="14" t="str">
        <f t="shared" si="201"/>
        <v/>
      </c>
      <c r="C4337" s="14" t="str">
        <f>IFERROR(INDEX(面试清单!D:D,MATCH(4336,面试清单!P:P,0)),"")</f>
        <v/>
      </c>
      <c r="H4337" s="14" t="str">
        <f>IFERROR(INDEX(面试清单!H:H,MATCH(4336,面试清单!P:P,0)),"")</f>
        <v/>
      </c>
      <c r="J4337" s="14" t="str">
        <f ca="1" t="shared" si="202"/>
        <v/>
      </c>
      <c r="K4337" s="14" t="str">
        <f ca="1" t="shared" si="203"/>
        <v/>
      </c>
    </row>
    <row r="4338" spans="1:11">
      <c r="A4338" s="10" t="str">
        <f t="shared" si="201"/>
        <v/>
      </c>
      <c r="C4338" s="10" t="str">
        <f>IFERROR(INDEX(面试清单!D:D,MATCH(4337,面试清单!P:P,0)),"")</f>
        <v/>
      </c>
      <c r="H4338" s="10" t="str">
        <f>IFERROR(INDEX(面试清单!H:H,MATCH(4337,面试清单!P:P,0)),"")</f>
        <v/>
      </c>
      <c r="J4338" s="10" t="str">
        <f ca="1" t="shared" si="202"/>
        <v/>
      </c>
      <c r="K4338" s="10" t="str">
        <f ca="1" t="shared" si="203"/>
        <v/>
      </c>
    </row>
    <row r="4339" spans="1:11">
      <c r="A4339" s="14" t="str">
        <f t="shared" si="201"/>
        <v/>
      </c>
      <c r="C4339" s="14" t="str">
        <f>IFERROR(INDEX(面试清单!D:D,MATCH(4338,面试清单!P:P,0)),"")</f>
        <v/>
      </c>
      <c r="H4339" s="14" t="str">
        <f>IFERROR(INDEX(面试清单!H:H,MATCH(4338,面试清单!P:P,0)),"")</f>
        <v/>
      </c>
      <c r="J4339" s="14" t="str">
        <f ca="1" t="shared" si="202"/>
        <v/>
      </c>
      <c r="K4339" s="14" t="str">
        <f ca="1" t="shared" si="203"/>
        <v/>
      </c>
    </row>
    <row r="4340" spans="1:11">
      <c r="A4340" s="10" t="str">
        <f t="shared" si="201"/>
        <v/>
      </c>
      <c r="C4340" s="10" t="str">
        <f>IFERROR(INDEX(面试清单!D:D,MATCH(4339,面试清单!P:P,0)),"")</f>
        <v/>
      </c>
      <c r="H4340" s="10" t="str">
        <f>IFERROR(INDEX(面试清单!H:H,MATCH(4339,面试清单!P:P,0)),"")</f>
        <v/>
      </c>
      <c r="J4340" s="10" t="str">
        <f ca="1" t="shared" si="202"/>
        <v/>
      </c>
      <c r="K4340" s="10" t="str">
        <f ca="1" t="shared" si="203"/>
        <v/>
      </c>
    </row>
    <row r="4341" spans="1:11">
      <c r="A4341" s="14" t="str">
        <f t="shared" si="201"/>
        <v/>
      </c>
      <c r="C4341" s="14" t="str">
        <f>IFERROR(INDEX(面试清单!D:D,MATCH(4340,面试清单!P:P,0)),"")</f>
        <v/>
      </c>
      <c r="H4341" s="14" t="str">
        <f>IFERROR(INDEX(面试清单!H:H,MATCH(4340,面试清单!P:P,0)),"")</f>
        <v/>
      </c>
      <c r="J4341" s="14" t="str">
        <f ca="1" t="shared" si="202"/>
        <v/>
      </c>
      <c r="K4341" s="14" t="str">
        <f ca="1" t="shared" si="203"/>
        <v/>
      </c>
    </row>
    <row r="4342" spans="1:11">
      <c r="A4342" s="10" t="str">
        <f t="shared" si="201"/>
        <v/>
      </c>
      <c r="C4342" s="10" t="str">
        <f>IFERROR(INDEX(面试清单!D:D,MATCH(4341,面试清单!P:P,0)),"")</f>
        <v/>
      </c>
      <c r="H4342" s="10" t="str">
        <f>IFERROR(INDEX(面试清单!H:H,MATCH(4341,面试清单!P:P,0)),"")</f>
        <v/>
      </c>
      <c r="J4342" s="10" t="str">
        <f ca="1" t="shared" si="202"/>
        <v/>
      </c>
      <c r="K4342" s="10" t="str">
        <f ca="1" t="shared" si="203"/>
        <v/>
      </c>
    </row>
    <row r="4343" spans="1:11">
      <c r="A4343" s="14" t="str">
        <f t="shared" si="201"/>
        <v/>
      </c>
      <c r="C4343" s="14" t="str">
        <f>IFERROR(INDEX(面试清单!D:D,MATCH(4342,面试清单!P:P,0)),"")</f>
        <v/>
      </c>
      <c r="H4343" s="14" t="str">
        <f>IFERROR(INDEX(面试清单!H:H,MATCH(4342,面试清单!P:P,0)),"")</f>
        <v/>
      </c>
      <c r="J4343" s="14" t="str">
        <f ca="1" t="shared" si="202"/>
        <v/>
      </c>
      <c r="K4343" s="14" t="str">
        <f ca="1" t="shared" si="203"/>
        <v/>
      </c>
    </row>
    <row r="4344" spans="1:11">
      <c r="A4344" s="10" t="str">
        <f t="shared" si="201"/>
        <v/>
      </c>
      <c r="C4344" s="10" t="str">
        <f>IFERROR(INDEX(面试清单!D:D,MATCH(4343,面试清单!P:P,0)),"")</f>
        <v/>
      </c>
      <c r="H4344" s="10" t="str">
        <f>IFERROR(INDEX(面试清单!H:H,MATCH(4343,面试清单!P:P,0)),"")</f>
        <v/>
      </c>
      <c r="J4344" s="10" t="str">
        <f ca="1" t="shared" si="202"/>
        <v/>
      </c>
      <c r="K4344" s="10" t="str">
        <f ca="1" t="shared" si="203"/>
        <v/>
      </c>
    </row>
    <row r="4345" spans="1:11">
      <c r="A4345" s="14" t="str">
        <f t="shared" si="201"/>
        <v/>
      </c>
      <c r="C4345" s="14" t="str">
        <f>IFERROR(INDEX(面试清单!D:D,MATCH(4344,面试清单!P:P,0)),"")</f>
        <v/>
      </c>
      <c r="H4345" s="14" t="str">
        <f>IFERROR(INDEX(面试清单!H:H,MATCH(4344,面试清单!P:P,0)),"")</f>
        <v/>
      </c>
      <c r="J4345" s="14" t="str">
        <f ca="1" t="shared" si="202"/>
        <v/>
      </c>
      <c r="K4345" s="14" t="str">
        <f ca="1" t="shared" si="203"/>
        <v/>
      </c>
    </row>
    <row r="4346" spans="1:11">
      <c r="A4346" s="10" t="str">
        <f t="shared" si="201"/>
        <v/>
      </c>
      <c r="C4346" s="10" t="str">
        <f>IFERROR(INDEX(面试清单!D:D,MATCH(4345,面试清单!P:P,0)),"")</f>
        <v/>
      </c>
      <c r="H4346" s="10" t="str">
        <f>IFERROR(INDEX(面试清单!H:H,MATCH(4345,面试清单!P:P,0)),"")</f>
        <v/>
      </c>
      <c r="J4346" s="10" t="str">
        <f ca="1" t="shared" si="202"/>
        <v/>
      </c>
      <c r="K4346" s="10" t="str">
        <f ca="1" t="shared" si="203"/>
        <v/>
      </c>
    </row>
    <row r="4347" spans="1:11">
      <c r="A4347" s="14" t="str">
        <f t="shared" si="201"/>
        <v/>
      </c>
      <c r="C4347" s="14" t="str">
        <f>IFERROR(INDEX(面试清单!D:D,MATCH(4346,面试清单!P:P,0)),"")</f>
        <v/>
      </c>
      <c r="H4347" s="14" t="str">
        <f>IFERROR(INDEX(面试清单!H:H,MATCH(4346,面试清单!P:P,0)),"")</f>
        <v/>
      </c>
      <c r="J4347" s="14" t="str">
        <f ca="1" t="shared" si="202"/>
        <v/>
      </c>
      <c r="K4347" s="14" t="str">
        <f ca="1" t="shared" si="203"/>
        <v/>
      </c>
    </row>
    <row r="4348" spans="1:11">
      <c r="A4348" s="10" t="str">
        <f t="shared" si="201"/>
        <v/>
      </c>
      <c r="C4348" s="10" t="str">
        <f>IFERROR(INDEX(面试清单!D:D,MATCH(4347,面试清单!P:P,0)),"")</f>
        <v/>
      </c>
      <c r="H4348" s="10" t="str">
        <f>IFERROR(INDEX(面试清单!H:H,MATCH(4347,面试清单!P:P,0)),"")</f>
        <v/>
      </c>
      <c r="J4348" s="10" t="str">
        <f ca="1" t="shared" si="202"/>
        <v/>
      </c>
      <c r="K4348" s="10" t="str">
        <f ca="1" t="shared" si="203"/>
        <v/>
      </c>
    </row>
    <row r="4349" spans="1:11">
      <c r="A4349" s="14" t="str">
        <f t="shared" si="201"/>
        <v/>
      </c>
      <c r="C4349" s="14" t="str">
        <f>IFERROR(INDEX(面试清单!D:D,MATCH(4348,面试清单!P:P,0)),"")</f>
        <v/>
      </c>
      <c r="H4349" s="14" t="str">
        <f>IFERROR(INDEX(面试清单!H:H,MATCH(4348,面试清单!P:P,0)),"")</f>
        <v/>
      </c>
      <c r="J4349" s="14" t="str">
        <f ca="1" t="shared" si="202"/>
        <v/>
      </c>
      <c r="K4349" s="14" t="str">
        <f ca="1" t="shared" si="203"/>
        <v/>
      </c>
    </row>
    <row r="4350" spans="1:11">
      <c r="A4350" s="10" t="str">
        <f t="shared" si="201"/>
        <v/>
      </c>
      <c r="C4350" s="10" t="str">
        <f>IFERROR(INDEX(面试清单!D:D,MATCH(4349,面试清单!P:P,0)),"")</f>
        <v/>
      </c>
      <c r="H4350" s="10" t="str">
        <f>IFERROR(INDEX(面试清单!H:H,MATCH(4349,面试清单!P:P,0)),"")</f>
        <v/>
      </c>
      <c r="J4350" s="10" t="str">
        <f ca="1" t="shared" si="202"/>
        <v/>
      </c>
      <c r="K4350" s="10" t="str">
        <f ca="1" t="shared" si="203"/>
        <v/>
      </c>
    </row>
    <row r="4351" spans="1:11">
      <c r="A4351" s="14" t="str">
        <f t="shared" si="201"/>
        <v/>
      </c>
      <c r="C4351" s="14" t="str">
        <f>IFERROR(INDEX(面试清单!D:D,MATCH(4350,面试清单!P:P,0)),"")</f>
        <v/>
      </c>
      <c r="H4351" s="14" t="str">
        <f>IFERROR(INDEX(面试清单!H:H,MATCH(4350,面试清单!P:P,0)),"")</f>
        <v/>
      </c>
      <c r="J4351" s="14" t="str">
        <f ca="1" t="shared" si="202"/>
        <v/>
      </c>
      <c r="K4351" s="14" t="str">
        <f ca="1" t="shared" si="203"/>
        <v/>
      </c>
    </row>
    <row r="4352" spans="1:11">
      <c r="A4352" s="10" t="str">
        <f t="shared" si="201"/>
        <v/>
      </c>
      <c r="C4352" s="10" t="str">
        <f>IFERROR(INDEX(面试清单!D:D,MATCH(4351,面试清单!P:P,0)),"")</f>
        <v/>
      </c>
      <c r="H4352" s="10" t="str">
        <f>IFERROR(INDEX(面试清单!H:H,MATCH(4351,面试清单!P:P,0)),"")</f>
        <v/>
      </c>
      <c r="J4352" s="10" t="str">
        <f ca="1" t="shared" si="202"/>
        <v/>
      </c>
      <c r="K4352" s="10" t="str">
        <f ca="1" t="shared" si="203"/>
        <v/>
      </c>
    </row>
    <row r="4353" spans="1:11">
      <c r="A4353" s="14" t="str">
        <f t="shared" si="201"/>
        <v/>
      </c>
      <c r="C4353" s="14" t="str">
        <f>IFERROR(INDEX(面试清单!D:D,MATCH(4352,面试清单!P:P,0)),"")</f>
        <v/>
      </c>
      <c r="H4353" s="14" t="str">
        <f>IFERROR(INDEX(面试清单!H:H,MATCH(4352,面试清单!P:P,0)),"")</f>
        <v/>
      </c>
      <c r="J4353" s="14" t="str">
        <f ca="1" t="shared" si="202"/>
        <v/>
      </c>
      <c r="K4353" s="14" t="str">
        <f ca="1" t="shared" si="203"/>
        <v/>
      </c>
    </row>
    <row r="4354" spans="1:11">
      <c r="A4354" s="10" t="str">
        <f t="shared" ref="A4354:A4417" si="204">IF(B4354&lt;&gt;"",ROW()-1,"")</f>
        <v/>
      </c>
      <c r="C4354" s="10" t="str">
        <f>IFERROR(INDEX(面试清单!D:D,MATCH(4353,面试清单!P:P,0)),"")</f>
        <v/>
      </c>
      <c r="H4354" s="10" t="str">
        <f>IFERROR(INDEX(面试清单!H:H,MATCH(4353,面试清单!P:P,0)),"")</f>
        <v/>
      </c>
      <c r="J4354" s="10" t="str">
        <f ca="1" t="shared" ref="J4354:J4417" si="205">IF(G4354&lt;&gt;"",TODAY()-G4354,"")</f>
        <v/>
      </c>
      <c r="K4354" s="10" t="str">
        <f ca="1" t="shared" ref="K4354:K4417" si="206">IF(G4354&lt;&gt;"",MAX(0,MIN(TODAY(),EOMONTH(TODAY(),0))-MAX(G4354,EOMONTH(TODAY(),-1)+1)+1),"")</f>
        <v/>
      </c>
    </row>
    <row r="4355" spans="1:11">
      <c r="A4355" s="14" t="str">
        <f t="shared" si="204"/>
        <v/>
      </c>
      <c r="C4355" s="14" t="str">
        <f>IFERROR(INDEX(面试清单!D:D,MATCH(4354,面试清单!P:P,0)),"")</f>
        <v/>
      </c>
      <c r="H4355" s="14" t="str">
        <f>IFERROR(INDEX(面试清单!H:H,MATCH(4354,面试清单!P:P,0)),"")</f>
        <v/>
      </c>
      <c r="J4355" s="14" t="str">
        <f ca="1" t="shared" si="205"/>
        <v/>
      </c>
      <c r="K4355" s="14" t="str">
        <f ca="1" t="shared" si="206"/>
        <v/>
      </c>
    </row>
    <row r="4356" spans="1:11">
      <c r="A4356" s="10" t="str">
        <f t="shared" si="204"/>
        <v/>
      </c>
      <c r="C4356" s="10" t="str">
        <f>IFERROR(INDEX(面试清单!D:D,MATCH(4355,面试清单!P:P,0)),"")</f>
        <v/>
      </c>
      <c r="H4356" s="10" t="str">
        <f>IFERROR(INDEX(面试清单!H:H,MATCH(4355,面试清单!P:P,0)),"")</f>
        <v/>
      </c>
      <c r="J4356" s="10" t="str">
        <f ca="1" t="shared" si="205"/>
        <v/>
      </c>
      <c r="K4356" s="10" t="str">
        <f ca="1" t="shared" si="206"/>
        <v/>
      </c>
    </row>
    <row r="4357" spans="1:11">
      <c r="A4357" s="14" t="str">
        <f t="shared" si="204"/>
        <v/>
      </c>
      <c r="C4357" s="14" t="str">
        <f>IFERROR(INDEX(面试清单!D:D,MATCH(4356,面试清单!P:P,0)),"")</f>
        <v/>
      </c>
      <c r="H4357" s="14" t="str">
        <f>IFERROR(INDEX(面试清单!H:H,MATCH(4356,面试清单!P:P,0)),"")</f>
        <v/>
      </c>
      <c r="J4357" s="14" t="str">
        <f ca="1" t="shared" si="205"/>
        <v/>
      </c>
      <c r="K4357" s="14" t="str">
        <f ca="1" t="shared" si="206"/>
        <v/>
      </c>
    </row>
    <row r="4358" spans="1:11">
      <c r="A4358" s="10" t="str">
        <f t="shared" si="204"/>
        <v/>
      </c>
      <c r="C4358" s="10" t="str">
        <f>IFERROR(INDEX(面试清单!D:D,MATCH(4357,面试清单!P:P,0)),"")</f>
        <v/>
      </c>
      <c r="H4358" s="10" t="str">
        <f>IFERROR(INDEX(面试清单!H:H,MATCH(4357,面试清单!P:P,0)),"")</f>
        <v/>
      </c>
      <c r="J4358" s="10" t="str">
        <f ca="1" t="shared" si="205"/>
        <v/>
      </c>
      <c r="K4358" s="10" t="str">
        <f ca="1" t="shared" si="206"/>
        <v/>
      </c>
    </row>
    <row r="4359" spans="1:11">
      <c r="A4359" s="14" t="str">
        <f t="shared" si="204"/>
        <v/>
      </c>
      <c r="C4359" s="14" t="str">
        <f>IFERROR(INDEX(面试清单!D:D,MATCH(4358,面试清单!P:P,0)),"")</f>
        <v/>
      </c>
      <c r="H4359" s="14" t="str">
        <f>IFERROR(INDEX(面试清单!H:H,MATCH(4358,面试清单!P:P,0)),"")</f>
        <v/>
      </c>
      <c r="J4359" s="14" t="str">
        <f ca="1" t="shared" si="205"/>
        <v/>
      </c>
      <c r="K4359" s="14" t="str">
        <f ca="1" t="shared" si="206"/>
        <v/>
      </c>
    </row>
    <row r="4360" spans="1:11">
      <c r="A4360" s="10" t="str">
        <f t="shared" si="204"/>
        <v/>
      </c>
      <c r="C4360" s="10" t="str">
        <f>IFERROR(INDEX(面试清单!D:D,MATCH(4359,面试清单!P:P,0)),"")</f>
        <v/>
      </c>
      <c r="H4360" s="10" t="str">
        <f>IFERROR(INDEX(面试清单!H:H,MATCH(4359,面试清单!P:P,0)),"")</f>
        <v/>
      </c>
      <c r="J4360" s="10" t="str">
        <f ca="1" t="shared" si="205"/>
        <v/>
      </c>
      <c r="K4360" s="10" t="str">
        <f ca="1" t="shared" si="206"/>
        <v/>
      </c>
    </row>
    <row r="4361" spans="1:11">
      <c r="A4361" s="14" t="str">
        <f t="shared" si="204"/>
        <v/>
      </c>
      <c r="C4361" s="14" t="str">
        <f>IFERROR(INDEX(面试清单!D:D,MATCH(4360,面试清单!P:P,0)),"")</f>
        <v/>
      </c>
      <c r="H4361" s="14" t="str">
        <f>IFERROR(INDEX(面试清单!H:H,MATCH(4360,面试清单!P:P,0)),"")</f>
        <v/>
      </c>
      <c r="J4361" s="14" t="str">
        <f ca="1" t="shared" si="205"/>
        <v/>
      </c>
      <c r="K4361" s="14" t="str">
        <f ca="1" t="shared" si="206"/>
        <v/>
      </c>
    </row>
    <row r="4362" spans="1:11">
      <c r="A4362" s="10" t="str">
        <f t="shared" si="204"/>
        <v/>
      </c>
      <c r="C4362" s="10" t="str">
        <f>IFERROR(INDEX(面试清单!D:D,MATCH(4361,面试清单!P:P,0)),"")</f>
        <v/>
      </c>
      <c r="H4362" s="10" t="str">
        <f>IFERROR(INDEX(面试清单!H:H,MATCH(4361,面试清单!P:P,0)),"")</f>
        <v/>
      </c>
      <c r="J4362" s="10" t="str">
        <f ca="1" t="shared" si="205"/>
        <v/>
      </c>
      <c r="K4362" s="10" t="str">
        <f ca="1" t="shared" si="206"/>
        <v/>
      </c>
    </row>
    <row r="4363" spans="1:11">
      <c r="A4363" s="14" t="str">
        <f t="shared" si="204"/>
        <v/>
      </c>
      <c r="C4363" s="14" t="str">
        <f>IFERROR(INDEX(面试清单!D:D,MATCH(4362,面试清单!P:P,0)),"")</f>
        <v/>
      </c>
      <c r="H4363" s="14" t="str">
        <f>IFERROR(INDEX(面试清单!H:H,MATCH(4362,面试清单!P:P,0)),"")</f>
        <v/>
      </c>
      <c r="J4363" s="14" t="str">
        <f ca="1" t="shared" si="205"/>
        <v/>
      </c>
      <c r="K4363" s="14" t="str">
        <f ca="1" t="shared" si="206"/>
        <v/>
      </c>
    </row>
    <row r="4364" spans="1:11">
      <c r="A4364" s="10" t="str">
        <f t="shared" si="204"/>
        <v/>
      </c>
      <c r="C4364" s="10" t="str">
        <f>IFERROR(INDEX(面试清单!D:D,MATCH(4363,面试清单!P:P,0)),"")</f>
        <v/>
      </c>
      <c r="H4364" s="10" t="str">
        <f>IFERROR(INDEX(面试清单!H:H,MATCH(4363,面试清单!P:P,0)),"")</f>
        <v/>
      </c>
      <c r="J4364" s="10" t="str">
        <f ca="1" t="shared" si="205"/>
        <v/>
      </c>
      <c r="K4364" s="10" t="str">
        <f ca="1" t="shared" si="206"/>
        <v/>
      </c>
    </row>
    <row r="4365" spans="1:11">
      <c r="A4365" s="14" t="str">
        <f t="shared" si="204"/>
        <v/>
      </c>
      <c r="C4365" s="14" t="str">
        <f>IFERROR(INDEX(面试清单!D:D,MATCH(4364,面试清单!P:P,0)),"")</f>
        <v/>
      </c>
      <c r="H4365" s="14" t="str">
        <f>IFERROR(INDEX(面试清单!H:H,MATCH(4364,面试清单!P:P,0)),"")</f>
        <v/>
      </c>
      <c r="J4365" s="14" t="str">
        <f ca="1" t="shared" si="205"/>
        <v/>
      </c>
      <c r="K4365" s="14" t="str">
        <f ca="1" t="shared" si="206"/>
        <v/>
      </c>
    </row>
    <row r="4366" spans="1:11">
      <c r="A4366" s="10" t="str">
        <f t="shared" si="204"/>
        <v/>
      </c>
      <c r="C4366" s="10" t="str">
        <f>IFERROR(INDEX(面试清单!D:D,MATCH(4365,面试清单!P:P,0)),"")</f>
        <v/>
      </c>
      <c r="H4366" s="10" t="str">
        <f>IFERROR(INDEX(面试清单!H:H,MATCH(4365,面试清单!P:P,0)),"")</f>
        <v/>
      </c>
      <c r="J4366" s="10" t="str">
        <f ca="1" t="shared" si="205"/>
        <v/>
      </c>
      <c r="K4366" s="10" t="str">
        <f ca="1" t="shared" si="206"/>
        <v/>
      </c>
    </row>
    <row r="4367" spans="1:11">
      <c r="A4367" s="14" t="str">
        <f t="shared" si="204"/>
        <v/>
      </c>
      <c r="C4367" s="14" t="str">
        <f>IFERROR(INDEX(面试清单!D:D,MATCH(4366,面试清单!P:P,0)),"")</f>
        <v/>
      </c>
      <c r="H4367" s="14" t="str">
        <f>IFERROR(INDEX(面试清单!H:H,MATCH(4366,面试清单!P:P,0)),"")</f>
        <v/>
      </c>
      <c r="J4367" s="14" t="str">
        <f ca="1" t="shared" si="205"/>
        <v/>
      </c>
      <c r="K4367" s="14" t="str">
        <f ca="1" t="shared" si="206"/>
        <v/>
      </c>
    </row>
    <row r="4368" spans="1:11">
      <c r="A4368" s="10" t="str">
        <f t="shared" si="204"/>
        <v/>
      </c>
      <c r="C4368" s="10" t="str">
        <f>IFERROR(INDEX(面试清单!D:D,MATCH(4367,面试清单!P:P,0)),"")</f>
        <v/>
      </c>
      <c r="H4368" s="10" t="str">
        <f>IFERROR(INDEX(面试清单!H:H,MATCH(4367,面试清单!P:P,0)),"")</f>
        <v/>
      </c>
      <c r="J4368" s="10" t="str">
        <f ca="1" t="shared" si="205"/>
        <v/>
      </c>
      <c r="K4368" s="10" t="str">
        <f ca="1" t="shared" si="206"/>
        <v/>
      </c>
    </row>
    <row r="4369" spans="1:11">
      <c r="A4369" s="14" t="str">
        <f t="shared" si="204"/>
        <v/>
      </c>
      <c r="C4369" s="14" t="str">
        <f>IFERROR(INDEX(面试清单!D:D,MATCH(4368,面试清单!P:P,0)),"")</f>
        <v/>
      </c>
      <c r="H4369" s="14" t="str">
        <f>IFERROR(INDEX(面试清单!H:H,MATCH(4368,面试清单!P:P,0)),"")</f>
        <v/>
      </c>
      <c r="J4369" s="14" t="str">
        <f ca="1" t="shared" si="205"/>
        <v/>
      </c>
      <c r="K4369" s="14" t="str">
        <f ca="1" t="shared" si="206"/>
        <v/>
      </c>
    </row>
    <row r="4370" spans="1:11">
      <c r="A4370" s="10" t="str">
        <f t="shared" si="204"/>
        <v/>
      </c>
      <c r="C4370" s="10" t="str">
        <f>IFERROR(INDEX(面试清单!D:D,MATCH(4369,面试清单!P:P,0)),"")</f>
        <v/>
      </c>
      <c r="H4370" s="10" t="str">
        <f>IFERROR(INDEX(面试清单!H:H,MATCH(4369,面试清单!P:P,0)),"")</f>
        <v/>
      </c>
      <c r="J4370" s="10" t="str">
        <f ca="1" t="shared" si="205"/>
        <v/>
      </c>
      <c r="K4370" s="10" t="str">
        <f ca="1" t="shared" si="206"/>
        <v/>
      </c>
    </row>
    <row r="4371" spans="1:11">
      <c r="A4371" s="14" t="str">
        <f t="shared" si="204"/>
        <v/>
      </c>
      <c r="C4371" s="14" t="str">
        <f>IFERROR(INDEX(面试清单!D:D,MATCH(4370,面试清单!P:P,0)),"")</f>
        <v/>
      </c>
      <c r="H4371" s="14" t="str">
        <f>IFERROR(INDEX(面试清单!H:H,MATCH(4370,面试清单!P:P,0)),"")</f>
        <v/>
      </c>
      <c r="J4371" s="14" t="str">
        <f ca="1" t="shared" si="205"/>
        <v/>
      </c>
      <c r="K4371" s="14" t="str">
        <f ca="1" t="shared" si="206"/>
        <v/>
      </c>
    </row>
    <row r="4372" spans="1:11">
      <c r="A4372" s="10" t="str">
        <f t="shared" si="204"/>
        <v/>
      </c>
      <c r="C4372" s="10" t="str">
        <f>IFERROR(INDEX(面试清单!D:D,MATCH(4371,面试清单!P:P,0)),"")</f>
        <v/>
      </c>
      <c r="H4372" s="10" t="str">
        <f>IFERROR(INDEX(面试清单!H:H,MATCH(4371,面试清单!P:P,0)),"")</f>
        <v/>
      </c>
      <c r="J4372" s="10" t="str">
        <f ca="1" t="shared" si="205"/>
        <v/>
      </c>
      <c r="K4372" s="10" t="str">
        <f ca="1" t="shared" si="206"/>
        <v/>
      </c>
    </row>
    <row r="4373" spans="1:11">
      <c r="A4373" s="14" t="str">
        <f t="shared" si="204"/>
        <v/>
      </c>
      <c r="C4373" s="14" t="str">
        <f>IFERROR(INDEX(面试清单!D:D,MATCH(4372,面试清单!P:P,0)),"")</f>
        <v/>
      </c>
      <c r="H4373" s="14" t="str">
        <f>IFERROR(INDEX(面试清单!H:H,MATCH(4372,面试清单!P:P,0)),"")</f>
        <v/>
      </c>
      <c r="J4373" s="14" t="str">
        <f ca="1" t="shared" si="205"/>
        <v/>
      </c>
      <c r="K4373" s="14" t="str">
        <f ca="1" t="shared" si="206"/>
        <v/>
      </c>
    </row>
    <row r="4374" spans="1:11">
      <c r="A4374" s="10" t="str">
        <f t="shared" si="204"/>
        <v/>
      </c>
      <c r="C4374" s="10" t="str">
        <f>IFERROR(INDEX(面试清单!D:D,MATCH(4373,面试清单!P:P,0)),"")</f>
        <v/>
      </c>
      <c r="H4374" s="10" t="str">
        <f>IFERROR(INDEX(面试清单!H:H,MATCH(4373,面试清单!P:P,0)),"")</f>
        <v/>
      </c>
      <c r="J4374" s="10" t="str">
        <f ca="1" t="shared" si="205"/>
        <v/>
      </c>
      <c r="K4374" s="10" t="str">
        <f ca="1" t="shared" si="206"/>
        <v/>
      </c>
    </row>
    <row r="4375" spans="1:11">
      <c r="A4375" s="14" t="str">
        <f t="shared" si="204"/>
        <v/>
      </c>
      <c r="C4375" s="14" t="str">
        <f>IFERROR(INDEX(面试清单!D:D,MATCH(4374,面试清单!P:P,0)),"")</f>
        <v/>
      </c>
      <c r="H4375" s="14" t="str">
        <f>IFERROR(INDEX(面试清单!H:H,MATCH(4374,面试清单!P:P,0)),"")</f>
        <v/>
      </c>
      <c r="J4375" s="14" t="str">
        <f ca="1" t="shared" si="205"/>
        <v/>
      </c>
      <c r="K4375" s="14" t="str">
        <f ca="1" t="shared" si="206"/>
        <v/>
      </c>
    </row>
    <row r="4376" spans="1:11">
      <c r="A4376" s="10" t="str">
        <f t="shared" si="204"/>
        <v/>
      </c>
      <c r="C4376" s="10" t="str">
        <f>IFERROR(INDEX(面试清单!D:D,MATCH(4375,面试清单!P:P,0)),"")</f>
        <v/>
      </c>
      <c r="H4376" s="10" t="str">
        <f>IFERROR(INDEX(面试清单!H:H,MATCH(4375,面试清单!P:P,0)),"")</f>
        <v/>
      </c>
      <c r="J4376" s="10" t="str">
        <f ca="1" t="shared" si="205"/>
        <v/>
      </c>
      <c r="K4376" s="10" t="str">
        <f ca="1" t="shared" si="206"/>
        <v/>
      </c>
    </row>
    <row r="4377" spans="1:11">
      <c r="A4377" s="14" t="str">
        <f t="shared" si="204"/>
        <v/>
      </c>
      <c r="C4377" s="14" t="str">
        <f>IFERROR(INDEX(面试清单!D:D,MATCH(4376,面试清单!P:P,0)),"")</f>
        <v/>
      </c>
      <c r="H4377" s="14" t="str">
        <f>IFERROR(INDEX(面试清单!H:H,MATCH(4376,面试清单!P:P,0)),"")</f>
        <v/>
      </c>
      <c r="J4377" s="14" t="str">
        <f ca="1" t="shared" si="205"/>
        <v/>
      </c>
      <c r="K4377" s="14" t="str">
        <f ca="1" t="shared" si="206"/>
        <v/>
      </c>
    </row>
    <row r="4378" spans="1:11">
      <c r="A4378" s="10" t="str">
        <f t="shared" si="204"/>
        <v/>
      </c>
      <c r="C4378" s="10" t="str">
        <f>IFERROR(INDEX(面试清单!D:D,MATCH(4377,面试清单!P:P,0)),"")</f>
        <v/>
      </c>
      <c r="H4378" s="10" t="str">
        <f>IFERROR(INDEX(面试清单!H:H,MATCH(4377,面试清单!P:P,0)),"")</f>
        <v/>
      </c>
      <c r="J4378" s="10" t="str">
        <f ca="1" t="shared" si="205"/>
        <v/>
      </c>
      <c r="K4378" s="10" t="str">
        <f ca="1" t="shared" si="206"/>
        <v/>
      </c>
    </row>
    <row r="4379" spans="1:11">
      <c r="A4379" s="14" t="str">
        <f t="shared" si="204"/>
        <v/>
      </c>
      <c r="C4379" s="14" t="str">
        <f>IFERROR(INDEX(面试清单!D:D,MATCH(4378,面试清单!P:P,0)),"")</f>
        <v/>
      </c>
      <c r="H4379" s="14" t="str">
        <f>IFERROR(INDEX(面试清单!H:H,MATCH(4378,面试清单!P:P,0)),"")</f>
        <v/>
      </c>
      <c r="J4379" s="14" t="str">
        <f ca="1" t="shared" si="205"/>
        <v/>
      </c>
      <c r="K4379" s="14" t="str">
        <f ca="1" t="shared" si="206"/>
        <v/>
      </c>
    </row>
    <row r="4380" spans="1:11">
      <c r="A4380" s="10" t="str">
        <f t="shared" si="204"/>
        <v/>
      </c>
      <c r="C4380" s="10" t="str">
        <f>IFERROR(INDEX(面试清单!D:D,MATCH(4379,面试清单!P:P,0)),"")</f>
        <v/>
      </c>
      <c r="H4380" s="10" t="str">
        <f>IFERROR(INDEX(面试清单!H:H,MATCH(4379,面试清单!P:P,0)),"")</f>
        <v/>
      </c>
      <c r="J4380" s="10" t="str">
        <f ca="1" t="shared" si="205"/>
        <v/>
      </c>
      <c r="K4380" s="10" t="str">
        <f ca="1" t="shared" si="206"/>
        <v/>
      </c>
    </row>
    <row r="4381" spans="1:11">
      <c r="A4381" s="14" t="str">
        <f t="shared" si="204"/>
        <v/>
      </c>
      <c r="C4381" s="14" t="str">
        <f>IFERROR(INDEX(面试清单!D:D,MATCH(4380,面试清单!P:P,0)),"")</f>
        <v/>
      </c>
      <c r="H4381" s="14" t="str">
        <f>IFERROR(INDEX(面试清单!H:H,MATCH(4380,面试清单!P:P,0)),"")</f>
        <v/>
      </c>
      <c r="J4381" s="14" t="str">
        <f ca="1" t="shared" si="205"/>
        <v/>
      </c>
      <c r="K4381" s="14" t="str">
        <f ca="1" t="shared" si="206"/>
        <v/>
      </c>
    </row>
    <row r="4382" spans="1:11">
      <c r="A4382" s="10" t="str">
        <f t="shared" si="204"/>
        <v/>
      </c>
      <c r="C4382" s="10" t="str">
        <f>IFERROR(INDEX(面试清单!D:D,MATCH(4381,面试清单!P:P,0)),"")</f>
        <v/>
      </c>
      <c r="H4382" s="10" t="str">
        <f>IFERROR(INDEX(面试清单!H:H,MATCH(4381,面试清单!P:P,0)),"")</f>
        <v/>
      </c>
      <c r="J4382" s="10" t="str">
        <f ca="1" t="shared" si="205"/>
        <v/>
      </c>
      <c r="K4382" s="10" t="str">
        <f ca="1" t="shared" si="206"/>
        <v/>
      </c>
    </row>
    <row r="4383" spans="1:11">
      <c r="A4383" s="14" t="str">
        <f t="shared" si="204"/>
        <v/>
      </c>
      <c r="C4383" s="14" t="str">
        <f>IFERROR(INDEX(面试清单!D:D,MATCH(4382,面试清单!P:P,0)),"")</f>
        <v/>
      </c>
      <c r="H4383" s="14" t="str">
        <f>IFERROR(INDEX(面试清单!H:H,MATCH(4382,面试清单!P:P,0)),"")</f>
        <v/>
      </c>
      <c r="J4383" s="14" t="str">
        <f ca="1" t="shared" si="205"/>
        <v/>
      </c>
      <c r="K4383" s="14" t="str">
        <f ca="1" t="shared" si="206"/>
        <v/>
      </c>
    </row>
    <row r="4384" spans="1:11">
      <c r="A4384" s="10" t="str">
        <f t="shared" si="204"/>
        <v/>
      </c>
      <c r="C4384" s="10" t="str">
        <f>IFERROR(INDEX(面试清单!D:D,MATCH(4383,面试清单!P:P,0)),"")</f>
        <v/>
      </c>
      <c r="H4384" s="10" t="str">
        <f>IFERROR(INDEX(面试清单!H:H,MATCH(4383,面试清单!P:P,0)),"")</f>
        <v/>
      </c>
      <c r="J4384" s="10" t="str">
        <f ca="1" t="shared" si="205"/>
        <v/>
      </c>
      <c r="K4384" s="10" t="str">
        <f ca="1" t="shared" si="206"/>
        <v/>
      </c>
    </row>
    <row r="4385" spans="1:11">
      <c r="A4385" s="14" t="str">
        <f t="shared" si="204"/>
        <v/>
      </c>
      <c r="C4385" s="14" t="str">
        <f>IFERROR(INDEX(面试清单!D:D,MATCH(4384,面试清单!P:P,0)),"")</f>
        <v/>
      </c>
      <c r="H4385" s="14" t="str">
        <f>IFERROR(INDEX(面试清单!H:H,MATCH(4384,面试清单!P:P,0)),"")</f>
        <v/>
      </c>
      <c r="J4385" s="14" t="str">
        <f ca="1" t="shared" si="205"/>
        <v/>
      </c>
      <c r="K4385" s="14" t="str">
        <f ca="1" t="shared" si="206"/>
        <v/>
      </c>
    </row>
    <row r="4386" spans="1:11">
      <c r="A4386" s="10" t="str">
        <f t="shared" si="204"/>
        <v/>
      </c>
      <c r="C4386" s="10" t="str">
        <f>IFERROR(INDEX(面试清单!D:D,MATCH(4385,面试清单!P:P,0)),"")</f>
        <v/>
      </c>
      <c r="H4386" s="10" t="str">
        <f>IFERROR(INDEX(面试清单!H:H,MATCH(4385,面试清单!P:P,0)),"")</f>
        <v/>
      </c>
      <c r="J4386" s="10" t="str">
        <f ca="1" t="shared" si="205"/>
        <v/>
      </c>
      <c r="K4386" s="10" t="str">
        <f ca="1" t="shared" si="206"/>
        <v/>
      </c>
    </row>
    <row r="4387" spans="1:11">
      <c r="A4387" s="14" t="str">
        <f t="shared" si="204"/>
        <v/>
      </c>
      <c r="C4387" s="14" t="str">
        <f>IFERROR(INDEX(面试清单!D:D,MATCH(4386,面试清单!P:P,0)),"")</f>
        <v/>
      </c>
      <c r="H4387" s="14" t="str">
        <f>IFERROR(INDEX(面试清单!H:H,MATCH(4386,面试清单!P:P,0)),"")</f>
        <v/>
      </c>
      <c r="J4387" s="14" t="str">
        <f ca="1" t="shared" si="205"/>
        <v/>
      </c>
      <c r="K4387" s="14" t="str">
        <f ca="1" t="shared" si="206"/>
        <v/>
      </c>
    </row>
    <row r="4388" spans="1:11">
      <c r="A4388" s="10" t="str">
        <f t="shared" si="204"/>
        <v/>
      </c>
      <c r="C4388" s="10" t="str">
        <f>IFERROR(INDEX(面试清单!D:D,MATCH(4387,面试清单!P:P,0)),"")</f>
        <v/>
      </c>
      <c r="H4388" s="10" t="str">
        <f>IFERROR(INDEX(面试清单!H:H,MATCH(4387,面试清单!P:P,0)),"")</f>
        <v/>
      </c>
      <c r="J4388" s="10" t="str">
        <f ca="1" t="shared" si="205"/>
        <v/>
      </c>
      <c r="K4388" s="10" t="str">
        <f ca="1" t="shared" si="206"/>
        <v/>
      </c>
    </row>
    <row r="4389" spans="1:11">
      <c r="A4389" s="14" t="str">
        <f t="shared" si="204"/>
        <v/>
      </c>
      <c r="C4389" s="14" t="str">
        <f>IFERROR(INDEX(面试清单!D:D,MATCH(4388,面试清单!P:P,0)),"")</f>
        <v/>
      </c>
      <c r="H4389" s="14" t="str">
        <f>IFERROR(INDEX(面试清单!H:H,MATCH(4388,面试清单!P:P,0)),"")</f>
        <v/>
      </c>
      <c r="J4389" s="14" t="str">
        <f ca="1" t="shared" si="205"/>
        <v/>
      </c>
      <c r="K4389" s="14" t="str">
        <f ca="1" t="shared" si="206"/>
        <v/>
      </c>
    </row>
    <row r="4390" spans="1:11">
      <c r="A4390" s="10" t="str">
        <f t="shared" si="204"/>
        <v/>
      </c>
      <c r="C4390" s="10" t="str">
        <f>IFERROR(INDEX(面试清单!D:D,MATCH(4389,面试清单!P:P,0)),"")</f>
        <v/>
      </c>
      <c r="H4390" s="10" t="str">
        <f>IFERROR(INDEX(面试清单!H:H,MATCH(4389,面试清单!P:P,0)),"")</f>
        <v/>
      </c>
      <c r="J4390" s="10" t="str">
        <f ca="1" t="shared" si="205"/>
        <v/>
      </c>
      <c r="K4390" s="10" t="str">
        <f ca="1" t="shared" si="206"/>
        <v/>
      </c>
    </row>
    <row r="4391" spans="1:11">
      <c r="A4391" s="14" t="str">
        <f t="shared" si="204"/>
        <v/>
      </c>
      <c r="C4391" s="14" t="str">
        <f>IFERROR(INDEX(面试清单!D:D,MATCH(4390,面试清单!P:P,0)),"")</f>
        <v/>
      </c>
      <c r="H4391" s="14" t="str">
        <f>IFERROR(INDEX(面试清单!H:H,MATCH(4390,面试清单!P:P,0)),"")</f>
        <v/>
      </c>
      <c r="J4391" s="14" t="str">
        <f ca="1" t="shared" si="205"/>
        <v/>
      </c>
      <c r="K4391" s="14" t="str">
        <f ca="1" t="shared" si="206"/>
        <v/>
      </c>
    </row>
    <row r="4392" spans="1:11">
      <c r="A4392" s="10" t="str">
        <f t="shared" si="204"/>
        <v/>
      </c>
      <c r="C4392" s="10" t="str">
        <f>IFERROR(INDEX(面试清单!D:D,MATCH(4391,面试清单!P:P,0)),"")</f>
        <v/>
      </c>
      <c r="H4392" s="10" t="str">
        <f>IFERROR(INDEX(面试清单!H:H,MATCH(4391,面试清单!P:P,0)),"")</f>
        <v/>
      </c>
      <c r="J4392" s="10" t="str">
        <f ca="1" t="shared" si="205"/>
        <v/>
      </c>
      <c r="K4392" s="10" t="str">
        <f ca="1" t="shared" si="206"/>
        <v/>
      </c>
    </row>
    <row r="4393" spans="1:11">
      <c r="A4393" s="14" t="str">
        <f t="shared" si="204"/>
        <v/>
      </c>
      <c r="C4393" s="14" t="str">
        <f>IFERROR(INDEX(面试清单!D:D,MATCH(4392,面试清单!P:P,0)),"")</f>
        <v/>
      </c>
      <c r="H4393" s="14" t="str">
        <f>IFERROR(INDEX(面试清单!H:H,MATCH(4392,面试清单!P:P,0)),"")</f>
        <v/>
      </c>
      <c r="J4393" s="14" t="str">
        <f ca="1" t="shared" si="205"/>
        <v/>
      </c>
      <c r="K4393" s="14" t="str">
        <f ca="1" t="shared" si="206"/>
        <v/>
      </c>
    </row>
    <row r="4394" spans="1:11">
      <c r="A4394" s="10" t="str">
        <f t="shared" si="204"/>
        <v/>
      </c>
      <c r="C4394" s="10" t="str">
        <f>IFERROR(INDEX(面试清单!D:D,MATCH(4393,面试清单!P:P,0)),"")</f>
        <v/>
      </c>
      <c r="H4394" s="10" t="str">
        <f>IFERROR(INDEX(面试清单!H:H,MATCH(4393,面试清单!P:P,0)),"")</f>
        <v/>
      </c>
      <c r="J4394" s="10" t="str">
        <f ca="1" t="shared" si="205"/>
        <v/>
      </c>
      <c r="K4394" s="10" t="str">
        <f ca="1" t="shared" si="206"/>
        <v/>
      </c>
    </row>
    <row r="4395" spans="1:11">
      <c r="A4395" s="14" t="str">
        <f t="shared" si="204"/>
        <v/>
      </c>
      <c r="C4395" s="14" t="str">
        <f>IFERROR(INDEX(面试清单!D:D,MATCH(4394,面试清单!P:P,0)),"")</f>
        <v/>
      </c>
      <c r="H4395" s="14" t="str">
        <f>IFERROR(INDEX(面试清单!H:H,MATCH(4394,面试清单!P:P,0)),"")</f>
        <v/>
      </c>
      <c r="J4395" s="14" t="str">
        <f ca="1" t="shared" si="205"/>
        <v/>
      </c>
      <c r="K4395" s="14" t="str">
        <f ca="1" t="shared" si="206"/>
        <v/>
      </c>
    </row>
    <row r="4396" spans="1:11">
      <c r="A4396" s="10" t="str">
        <f t="shared" si="204"/>
        <v/>
      </c>
      <c r="C4396" s="10" t="str">
        <f>IFERROR(INDEX(面试清单!D:D,MATCH(4395,面试清单!P:P,0)),"")</f>
        <v/>
      </c>
      <c r="H4396" s="10" t="str">
        <f>IFERROR(INDEX(面试清单!H:H,MATCH(4395,面试清单!P:P,0)),"")</f>
        <v/>
      </c>
      <c r="J4396" s="10" t="str">
        <f ca="1" t="shared" si="205"/>
        <v/>
      </c>
      <c r="K4396" s="10" t="str">
        <f ca="1" t="shared" si="206"/>
        <v/>
      </c>
    </row>
    <row r="4397" spans="1:11">
      <c r="A4397" s="14" t="str">
        <f t="shared" si="204"/>
        <v/>
      </c>
      <c r="C4397" s="14" t="str">
        <f>IFERROR(INDEX(面试清单!D:D,MATCH(4396,面试清单!P:P,0)),"")</f>
        <v/>
      </c>
      <c r="H4397" s="14" t="str">
        <f>IFERROR(INDEX(面试清单!H:H,MATCH(4396,面试清单!P:P,0)),"")</f>
        <v/>
      </c>
      <c r="J4397" s="14" t="str">
        <f ca="1" t="shared" si="205"/>
        <v/>
      </c>
      <c r="K4397" s="14" t="str">
        <f ca="1" t="shared" si="206"/>
        <v/>
      </c>
    </row>
    <row r="4398" spans="1:11">
      <c r="A4398" s="10" t="str">
        <f t="shared" si="204"/>
        <v/>
      </c>
      <c r="C4398" s="10" t="str">
        <f>IFERROR(INDEX(面试清单!D:D,MATCH(4397,面试清单!P:P,0)),"")</f>
        <v/>
      </c>
      <c r="H4398" s="10" t="str">
        <f>IFERROR(INDEX(面试清单!H:H,MATCH(4397,面试清单!P:P,0)),"")</f>
        <v/>
      </c>
      <c r="J4398" s="10" t="str">
        <f ca="1" t="shared" si="205"/>
        <v/>
      </c>
      <c r="K4398" s="10" t="str">
        <f ca="1" t="shared" si="206"/>
        <v/>
      </c>
    </row>
    <row r="4399" spans="1:11">
      <c r="A4399" s="14" t="str">
        <f t="shared" si="204"/>
        <v/>
      </c>
      <c r="C4399" s="14" t="str">
        <f>IFERROR(INDEX(面试清单!D:D,MATCH(4398,面试清单!P:P,0)),"")</f>
        <v/>
      </c>
      <c r="H4399" s="14" t="str">
        <f>IFERROR(INDEX(面试清单!H:H,MATCH(4398,面试清单!P:P,0)),"")</f>
        <v/>
      </c>
      <c r="J4399" s="14" t="str">
        <f ca="1" t="shared" si="205"/>
        <v/>
      </c>
      <c r="K4399" s="14" t="str">
        <f ca="1" t="shared" si="206"/>
        <v/>
      </c>
    </row>
    <row r="4400" spans="1:11">
      <c r="A4400" s="10" t="str">
        <f t="shared" si="204"/>
        <v/>
      </c>
      <c r="C4400" s="10" t="str">
        <f>IFERROR(INDEX(面试清单!D:D,MATCH(4399,面试清单!P:P,0)),"")</f>
        <v/>
      </c>
      <c r="H4400" s="10" t="str">
        <f>IFERROR(INDEX(面试清单!H:H,MATCH(4399,面试清单!P:P,0)),"")</f>
        <v/>
      </c>
      <c r="J4400" s="10" t="str">
        <f ca="1" t="shared" si="205"/>
        <v/>
      </c>
      <c r="K4400" s="10" t="str">
        <f ca="1" t="shared" si="206"/>
        <v/>
      </c>
    </row>
    <row r="4401" spans="1:11">
      <c r="A4401" s="14" t="str">
        <f t="shared" si="204"/>
        <v/>
      </c>
      <c r="C4401" s="14" t="str">
        <f>IFERROR(INDEX(面试清单!D:D,MATCH(4400,面试清单!P:P,0)),"")</f>
        <v/>
      </c>
      <c r="H4401" s="14" t="str">
        <f>IFERROR(INDEX(面试清单!H:H,MATCH(4400,面试清单!P:P,0)),"")</f>
        <v/>
      </c>
      <c r="J4401" s="14" t="str">
        <f ca="1" t="shared" si="205"/>
        <v/>
      </c>
      <c r="K4401" s="14" t="str">
        <f ca="1" t="shared" si="206"/>
        <v/>
      </c>
    </row>
    <row r="4402" spans="1:11">
      <c r="A4402" s="10" t="str">
        <f t="shared" si="204"/>
        <v/>
      </c>
      <c r="C4402" s="10" t="str">
        <f>IFERROR(INDEX(面试清单!D:D,MATCH(4401,面试清单!P:P,0)),"")</f>
        <v/>
      </c>
      <c r="H4402" s="10" t="str">
        <f>IFERROR(INDEX(面试清单!H:H,MATCH(4401,面试清单!P:P,0)),"")</f>
        <v/>
      </c>
      <c r="J4402" s="10" t="str">
        <f ca="1" t="shared" si="205"/>
        <v/>
      </c>
      <c r="K4402" s="10" t="str">
        <f ca="1" t="shared" si="206"/>
        <v/>
      </c>
    </row>
    <row r="4403" spans="1:11">
      <c r="A4403" s="14" t="str">
        <f t="shared" si="204"/>
        <v/>
      </c>
      <c r="C4403" s="14" t="str">
        <f>IFERROR(INDEX(面试清单!D:D,MATCH(4402,面试清单!P:P,0)),"")</f>
        <v/>
      </c>
      <c r="H4403" s="14" t="str">
        <f>IFERROR(INDEX(面试清单!H:H,MATCH(4402,面试清单!P:P,0)),"")</f>
        <v/>
      </c>
      <c r="J4403" s="14" t="str">
        <f ca="1" t="shared" si="205"/>
        <v/>
      </c>
      <c r="K4403" s="14" t="str">
        <f ca="1" t="shared" si="206"/>
        <v/>
      </c>
    </row>
    <row r="4404" spans="1:11">
      <c r="A4404" s="10" t="str">
        <f t="shared" si="204"/>
        <v/>
      </c>
      <c r="C4404" s="10" t="str">
        <f>IFERROR(INDEX(面试清单!D:D,MATCH(4403,面试清单!P:P,0)),"")</f>
        <v/>
      </c>
      <c r="H4404" s="10" t="str">
        <f>IFERROR(INDEX(面试清单!H:H,MATCH(4403,面试清单!P:P,0)),"")</f>
        <v/>
      </c>
      <c r="J4404" s="10" t="str">
        <f ca="1" t="shared" si="205"/>
        <v/>
      </c>
      <c r="K4404" s="10" t="str">
        <f ca="1" t="shared" si="206"/>
        <v/>
      </c>
    </row>
    <row r="4405" spans="1:11">
      <c r="A4405" s="14" t="str">
        <f t="shared" si="204"/>
        <v/>
      </c>
      <c r="C4405" s="14" t="str">
        <f>IFERROR(INDEX(面试清单!D:D,MATCH(4404,面试清单!P:P,0)),"")</f>
        <v/>
      </c>
      <c r="H4405" s="14" t="str">
        <f>IFERROR(INDEX(面试清单!H:H,MATCH(4404,面试清单!P:P,0)),"")</f>
        <v/>
      </c>
      <c r="J4405" s="14" t="str">
        <f ca="1" t="shared" si="205"/>
        <v/>
      </c>
      <c r="K4405" s="14" t="str">
        <f ca="1" t="shared" si="206"/>
        <v/>
      </c>
    </row>
    <row r="4406" spans="1:11">
      <c r="A4406" s="10" t="str">
        <f t="shared" si="204"/>
        <v/>
      </c>
      <c r="C4406" s="10" t="str">
        <f>IFERROR(INDEX(面试清单!D:D,MATCH(4405,面试清单!P:P,0)),"")</f>
        <v/>
      </c>
      <c r="H4406" s="10" t="str">
        <f>IFERROR(INDEX(面试清单!H:H,MATCH(4405,面试清单!P:P,0)),"")</f>
        <v/>
      </c>
      <c r="J4406" s="10" t="str">
        <f ca="1" t="shared" si="205"/>
        <v/>
      </c>
      <c r="K4406" s="10" t="str">
        <f ca="1" t="shared" si="206"/>
        <v/>
      </c>
    </row>
    <row r="4407" spans="1:11">
      <c r="A4407" s="14" t="str">
        <f t="shared" si="204"/>
        <v/>
      </c>
      <c r="C4407" s="14" t="str">
        <f>IFERROR(INDEX(面试清单!D:D,MATCH(4406,面试清单!P:P,0)),"")</f>
        <v/>
      </c>
      <c r="H4407" s="14" t="str">
        <f>IFERROR(INDEX(面试清单!H:H,MATCH(4406,面试清单!P:P,0)),"")</f>
        <v/>
      </c>
      <c r="J4407" s="14" t="str">
        <f ca="1" t="shared" si="205"/>
        <v/>
      </c>
      <c r="K4407" s="14" t="str">
        <f ca="1" t="shared" si="206"/>
        <v/>
      </c>
    </row>
    <row r="4408" spans="1:11">
      <c r="A4408" s="10" t="str">
        <f t="shared" si="204"/>
        <v/>
      </c>
      <c r="C4408" s="10" t="str">
        <f>IFERROR(INDEX(面试清单!D:D,MATCH(4407,面试清单!P:P,0)),"")</f>
        <v/>
      </c>
      <c r="H4408" s="10" t="str">
        <f>IFERROR(INDEX(面试清单!H:H,MATCH(4407,面试清单!P:P,0)),"")</f>
        <v/>
      </c>
      <c r="J4408" s="10" t="str">
        <f ca="1" t="shared" si="205"/>
        <v/>
      </c>
      <c r="K4408" s="10" t="str">
        <f ca="1" t="shared" si="206"/>
        <v/>
      </c>
    </row>
    <row r="4409" spans="1:11">
      <c r="A4409" s="14" t="str">
        <f t="shared" si="204"/>
        <v/>
      </c>
      <c r="C4409" s="14" t="str">
        <f>IFERROR(INDEX(面试清单!D:D,MATCH(4408,面试清单!P:P,0)),"")</f>
        <v/>
      </c>
      <c r="H4409" s="14" t="str">
        <f>IFERROR(INDEX(面试清单!H:H,MATCH(4408,面试清单!P:P,0)),"")</f>
        <v/>
      </c>
      <c r="J4409" s="14" t="str">
        <f ca="1" t="shared" si="205"/>
        <v/>
      </c>
      <c r="K4409" s="14" t="str">
        <f ca="1" t="shared" si="206"/>
        <v/>
      </c>
    </row>
    <row r="4410" spans="1:11">
      <c r="A4410" s="10" t="str">
        <f t="shared" si="204"/>
        <v/>
      </c>
      <c r="C4410" s="10" t="str">
        <f>IFERROR(INDEX(面试清单!D:D,MATCH(4409,面试清单!P:P,0)),"")</f>
        <v/>
      </c>
      <c r="H4410" s="10" t="str">
        <f>IFERROR(INDEX(面试清单!H:H,MATCH(4409,面试清单!P:P,0)),"")</f>
        <v/>
      </c>
      <c r="J4410" s="10" t="str">
        <f ca="1" t="shared" si="205"/>
        <v/>
      </c>
      <c r="K4410" s="10" t="str">
        <f ca="1" t="shared" si="206"/>
        <v/>
      </c>
    </row>
    <row r="4411" spans="1:11">
      <c r="A4411" s="14" t="str">
        <f t="shared" si="204"/>
        <v/>
      </c>
      <c r="C4411" s="14" t="str">
        <f>IFERROR(INDEX(面试清单!D:D,MATCH(4410,面试清单!P:P,0)),"")</f>
        <v/>
      </c>
      <c r="H4411" s="14" t="str">
        <f>IFERROR(INDEX(面试清单!H:H,MATCH(4410,面试清单!P:P,0)),"")</f>
        <v/>
      </c>
      <c r="J4411" s="14" t="str">
        <f ca="1" t="shared" si="205"/>
        <v/>
      </c>
      <c r="K4411" s="14" t="str">
        <f ca="1" t="shared" si="206"/>
        <v/>
      </c>
    </row>
    <row r="4412" spans="1:11">
      <c r="A4412" s="10" t="str">
        <f t="shared" si="204"/>
        <v/>
      </c>
      <c r="C4412" s="10" t="str">
        <f>IFERROR(INDEX(面试清单!D:D,MATCH(4411,面试清单!P:P,0)),"")</f>
        <v/>
      </c>
      <c r="H4412" s="10" t="str">
        <f>IFERROR(INDEX(面试清单!H:H,MATCH(4411,面试清单!P:P,0)),"")</f>
        <v/>
      </c>
      <c r="J4412" s="10" t="str">
        <f ca="1" t="shared" si="205"/>
        <v/>
      </c>
      <c r="K4412" s="10" t="str">
        <f ca="1" t="shared" si="206"/>
        <v/>
      </c>
    </row>
    <row r="4413" spans="1:11">
      <c r="A4413" s="14" t="str">
        <f t="shared" si="204"/>
        <v/>
      </c>
      <c r="C4413" s="14" t="str">
        <f>IFERROR(INDEX(面试清单!D:D,MATCH(4412,面试清单!P:P,0)),"")</f>
        <v/>
      </c>
      <c r="H4413" s="14" t="str">
        <f>IFERROR(INDEX(面试清单!H:H,MATCH(4412,面试清单!P:P,0)),"")</f>
        <v/>
      </c>
      <c r="J4413" s="14" t="str">
        <f ca="1" t="shared" si="205"/>
        <v/>
      </c>
      <c r="K4413" s="14" t="str">
        <f ca="1" t="shared" si="206"/>
        <v/>
      </c>
    </row>
    <row r="4414" spans="1:11">
      <c r="A4414" s="10" t="str">
        <f t="shared" si="204"/>
        <v/>
      </c>
      <c r="C4414" s="10" t="str">
        <f>IFERROR(INDEX(面试清单!D:D,MATCH(4413,面试清单!P:P,0)),"")</f>
        <v/>
      </c>
      <c r="H4414" s="10" t="str">
        <f>IFERROR(INDEX(面试清单!H:H,MATCH(4413,面试清单!P:P,0)),"")</f>
        <v/>
      </c>
      <c r="J4414" s="10" t="str">
        <f ca="1" t="shared" si="205"/>
        <v/>
      </c>
      <c r="K4414" s="10" t="str">
        <f ca="1" t="shared" si="206"/>
        <v/>
      </c>
    </row>
    <row r="4415" spans="1:11">
      <c r="A4415" s="14" t="str">
        <f t="shared" si="204"/>
        <v/>
      </c>
      <c r="C4415" s="14" t="str">
        <f>IFERROR(INDEX(面试清单!D:D,MATCH(4414,面试清单!P:P,0)),"")</f>
        <v/>
      </c>
      <c r="H4415" s="14" t="str">
        <f>IFERROR(INDEX(面试清单!H:H,MATCH(4414,面试清单!P:P,0)),"")</f>
        <v/>
      </c>
      <c r="J4415" s="14" t="str">
        <f ca="1" t="shared" si="205"/>
        <v/>
      </c>
      <c r="K4415" s="14" t="str">
        <f ca="1" t="shared" si="206"/>
        <v/>
      </c>
    </row>
    <row r="4416" spans="1:11">
      <c r="A4416" s="10" t="str">
        <f t="shared" si="204"/>
        <v/>
      </c>
      <c r="C4416" s="10" t="str">
        <f>IFERROR(INDEX(面试清单!D:D,MATCH(4415,面试清单!P:P,0)),"")</f>
        <v/>
      </c>
      <c r="H4416" s="10" t="str">
        <f>IFERROR(INDEX(面试清单!H:H,MATCH(4415,面试清单!P:P,0)),"")</f>
        <v/>
      </c>
      <c r="J4416" s="10" t="str">
        <f ca="1" t="shared" si="205"/>
        <v/>
      </c>
      <c r="K4416" s="10" t="str">
        <f ca="1" t="shared" si="206"/>
        <v/>
      </c>
    </row>
    <row r="4417" spans="1:11">
      <c r="A4417" s="14" t="str">
        <f t="shared" si="204"/>
        <v/>
      </c>
      <c r="C4417" s="14" t="str">
        <f>IFERROR(INDEX(面试清单!D:D,MATCH(4416,面试清单!P:P,0)),"")</f>
        <v/>
      </c>
      <c r="H4417" s="14" t="str">
        <f>IFERROR(INDEX(面试清单!H:H,MATCH(4416,面试清单!P:P,0)),"")</f>
        <v/>
      </c>
      <c r="J4417" s="14" t="str">
        <f ca="1" t="shared" si="205"/>
        <v/>
      </c>
      <c r="K4417" s="14" t="str">
        <f ca="1" t="shared" si="206"/>
        <v/>
      </c>
    </row>
    <row r="4418" spans="1:11">
      <c r="A4418" s="10" t="str">
        <f t="shared" ref="A4418:A4481" si="207">IF(B4418&lt;&gt;"",ROW()-1,"")</f>
        <v/>
      </c>
      <c r="C4418" s="10" t="str">
        <f>IFERROR(INDEX(面试清单!D:D,MATCH(4417,面试清单!P:P,0)),"")</f>
        <v/>
      </c>
      <c r="H4418" s="10" t="str">
        <f>IFERROR(INDEX(面试清单!H:H,MATCH(4417,面试清单!P:P,0)),"")</f>
        <v/>
      </c>
      <c r="J4418" s="10" t="str">
        <f ca="1" t="shared" ref="J4418:J4481" si="208">IF(G4418&lt;&gt;"",TODAY()-G4418,"")</f>
        <v/>
      </c>
      <c r="K4418" s="10" t="str">
        <f ca="1" t="shared" ref="K4418:K4481" si="209">IF(G4418&lt;&gt;"",MAX(0,MIN(TODAY(),EOMONTH(TODAY(),0))-MAX(G4418,EOMONTH(TODAY(),-1)+1)+1),"")</f>
        <v/>
      </c>
    </row>
    <row r="4419" spans="1:11">
      <c r="A4419" s="14" t="str">
        <f t="shared" si="207"/>
        <v/>
      </c>
      <c r="C4419" s="14" t="str">
        <f>IFERROR(INDEX(面试清单!D:D,MATCH(4418,面试清单!P:P,0)),"")</f>
        <v/>
      </c>
      <c r="H4419" s="14" t="str">
        <f>IFERROR(INDEX(面试清单!H:H,MATCH(4418,面试清单!P:P,0)),"")</f>
        <v/>
      </c>
      <c r="J4419" s="14" t="str">
        <f ca="1" t="shared" si="208"/>
        <v/>
      </c>
      <c r="K4419" s="14" t="str">
        <f ca="1" t="shared" si="209"/>
        <v/>
      </c>
    </row>
    <row r="4420" spans="1:11">
      <c r="A4420" s="10" t="str">
        <f t="shared" si="207"/>
        <v/>
      </c>
      <c r="C4420" s="10" t="str">
        <f>IFERROR(INDEX(面试清单!D:D,MATCH(4419,面试清单!P:P,0)),"")</f>
        <v/>
      </c>
      <c r="H4420" s="10" t="str">
        <f>IFERROR(INDEX(面试清单!H:H,MATCH(4419,面试清单!P:P,0)),"")</f>
        <v/>
      </c>
      <c r="J4420" s="10" t="str">
        <f ca="1" t="shared" si="208"/>
        <v/>
      </c>
      <c r="K4420" s="10" t="str">
        <f ca="1" t="shared" si="209"/>
        <v/>
      </c>
    </row>
    <row r="4421" spans="1:11">
      <c r="A4421" s="14" t="str">
        <f t="shared" si="207"/>
        <v/>
      </c>
      <c r="C4421" s="14" t="str">
        <f>IFERROR(INDEX(面试清单!D:D,MATCH(4420,面试清单!P:P,0)),"")</f>
        <v/>
      </c>
      <c r="H4421" s="14" t="str">
        <f>IFERROR(INDEX(面试清单!H:H,MATCH(4420,面试清单!P:P,0)),"")</f>
        <v/>
      </c>
      <c r="J4421" s="14" t="str">
        <f ca="1" t="shared" si="208"/>
        <v/>
      </c>
      <c r="K4421" s="14" t="str">
        <f ca="1" t="shared" si="209"/>
        <v/>
      </c>
    </row>
    <row r="4422" spans="1:11">
      <c r="A4422" s="10" t="str">
        <f t="shared" si="207"/>
        <v/>
      </c>
      <c r="C4422" s="10" t="str">
        <f>IFERROR(INDEX(面试清单!D:D,MATCH(4421,面试清单!P:P,0)),"")</f>
        <v/>
      </c>
      <c r="H4422" s="10" t="str">
        <f>IFERROR(INDEX(面试清单!H:H,MATCH(4421,面试清单!P:P,0)),"")</f>
        <v/>
      </c>
      <c r="J4422" s="10" t="str">
        <f ca="1" t="shared" si="208"/>
        <v/>
      </c>
      <c r="K4422" s="10" t="str">
        <f ca="1" t="shared" si="209"/>
        <v/>
      </c>
    </row>
    <row r="4423" spans="1:11">
      <c r="A4423" s="14" t="str">
        <f t="shared" si="207"/>
        <v/>
      </c>
      <c r="C4423" s="14" t="str">
        <f>IFERROR(INDEX(面试清单!D:D,MATCH(4422,面试清单!P:P,0)),"")</f>
        <v/>
      </c>
      <c r="H4423" s="14" t="str">
        <f>IFERROR(INDEX(面试清单!H:H,MATCH(4422,面试清单!P:P,0)),"")</f>
        <v/>
      </c>
      <c r="J4423" s="14" t="str">
        <f ca="1" t="shared" si="208"/>
        <v/>
      </c>
      <c r="K4423" s="14" t="str">
        <f ca="1" t="shared" si="209"/>
        <v/>
      </c>
    </row>
    <row r="4424" spans="1:11">
      <c r="A4424" s="10" t="str">
        <f t="shared" si="207"/>
        <v/>
      </c>
      <c r="C4424" s="10" t="str">
        <f>IFERROR(INDEX(面试清单!D:D,MATCH(4423,面试清单!P:P,0)),"")</f>
        <v/>
      </c>
      <c r="H4424" s="10" t="str">
        <f>IFERROR(INDEX(面试清单!H:H,MATCH(4423,面试清单!P:P,0)),"")</f>
        <v/>
      </c>
      <c r="J4424" s="10" t="str">
        <f ca="1" t="shared" si="208"/>
        <v/>
      </c>
      <c r="K4424" s="10" t="str">
        <f ca="1" t="shared" si="209"/>
        <v/>
      </c>
    </row>
    <row r="4425" spans="1:11">
      <c r="A4425" s="14" t="str">
        <f t="shared" si="207"/>
        <v/>
      </c>
      <c r="C4425" s="14" t="str">
        <f>IFERROR(INDEX(面试清单!D:D,MATCH(4424,面试清单!P:P,0)),"")</f>
        <v/>
      </c>
      <c r="H4425" s="14" t="str">
        <f>IFERROR(INDEX(面试清单!H:H,MATCH(4424,面试清单!P:P,0)),"")</f>
        <v/>
      </c>
      <c r="J4425" s="14" t="str">
        <f ca="1" t="shared" si="208"/>
        <v/>
      </c>
      <c r="K4425" s="14" t="str">
        <f ca="1" t="shared" si="209"/>
        <v/>
      </c>
    </row>
    <row r="4426" spans="1:11">
      <c r="A4426" s="10" t="str">
        <f t="shared" si="207"/>
        <v/>
      </c>
      <c r="C4426" s="10" t="str">
        <f>IFERROR(INDEX(面试清单!D:D,MATCH(4425,面试清单!P:P,0)),"")</f>
        <v/>
      </c>
      <c r="H4426" s="10" t="str">
        <f>IFERROR(INDEX(面试清单!H:H,MATCH(4425,面试清单!P:P,0)),"")</f>
        <v/>
      </c>
      <c r="J4426" s="10" t="str">
        <f ca="1" t="shared" si="208"/>
        <v/>
      </c>
      <c r="K4426" s="10" t="str">
        <f ca="1" t="shared" si="209"/>
        <v/>
      </c>
    </row>
    <row r="4427" spans="1:11">
      <c r="A4427" s="14" t="str">
        <f t="shared" si="207"/>
        <v/>
      </c>
      <c r="C4427" s="14" t="str">
        <f>IFERROR(INDEX(面试清单!D:D,MATCH(4426,面试清单!P:P,0)),"")</f>
        <v/>
      </c>
      <c r="H4427" s="14" t="str">
        <f>IFERROR(INDEX(面试清单!H:H,MATCH(4426,面试清单!P:P,0)),"")</f>
        <v/>
      </c>
      <c r="J4427" s="14" t="str">
        <f ca="1" t="shared" si="208"/>
        <v/>
      </c>
      <c r="K4427" s="14" t="str">
        <f ca="1" t="shared" si="209"/>
        <v/>
      </c>
    </row>
    <row r="4428" spans="1:11">
      <c r="A4428" s="10" t="str">
        <f t="shared" si="207"/>
        <v/>
      </c>
      <c r="C4428" s="10" t="str">
        <f>IFERROR(INDEX(面试清单!D:D,MATCH(4427,面试清单!P:P,0)),"")</f>
        <v/>
      </c>
      <c r="H4428" s="10" t="str">
        <f>IFERROR(INDEX(面试清单!H:H,MATCH(4427,面试清单!P:P,0)),"")</f>
        <v/>
      </c>
      <c r="J4428" s="10" t="str">
        <f ca="1" t="shared" si="208"/>
        <v/>
      </c>
      <c r="K4428" s="10" t="str">
        <f ca="1" t="shared" si="209"/>
        <v/>
      </c>
    </row>
    <row r="4429" spans="1:11">
      <c r="A4429" s="14" t="str">
        <f t="shared" si="207"/>
        <v/>
      </c>
      <c r="C4429" s="14" t="str">
        <f>IFERROR(INDEX(面试清单!D:D,MATCH(4428,面试清单!P:P,0)),"")</f>
        <v/>
      </c>
      <c r="H4429" s="14" t="str">
        <f>IFERROR(INDEX(面试清单!H:H,MATCH(4428,面试清单!P:P,0)),"")</f>
        <v/>
      </c>
      <c r="J4429" s="14" t="str">
        <f ca="1" t="shared" si="208"/>
        <v/>
      </c>
      <c r="K4429" s="14" t="str">
        <f ca="1" t="shared" si="209"/>
        <v/>
      </c>
    </row>
    <row r="4430" spans="1:11">
      <c r="A4430" s="10" t="str">
        <f t="shared" si="207"/>
        <v/>
      </c>
      <c r="C4430" s="10" t="str">
        <f>IFERROR(INDEX(面试清单!D:D,MATCH(4429,面试清单!P:P,0)),"")</f>
        <v/>
      </c>
      <c r="H4430" s="10" t="str">
        <f>IFERROR(INDEX(面试清单!H:H,MATCH(4429,面试清单!P:P,0)),"")</f>
        <v/>
      </c>
      <c r="J4430" s="10" t="str">
        <f ca="1" t="shared" si="208"/>
        <v/>
      </c>
      <c r="K4430" s="10" t="str">
        <f ca="1" t="shared" si="209"/>
        <v/>
      </c>
    </row>
    <row r="4431" spans="1:11">
      <c r="A4431" s="14" t="str">
        <f t="shared" si="207"/>
        <v/>
      </c>
      <c r="C4431" s="14" t="str">
        <f>IFERROR(INDEX(面试清单!D:D,MATCH(4430,面试清单!P:P,0)),"")</f>
        <v/>
      </c>
      <c r="H4431" s="14" t="str">
        <f>IFERROR(INDEX(面试清单!H:H,MATCH(4430,面试清单!P:P,0)),"")</f>
        <v/>
      </c>
      <c r="J4431" s="14" t="str">
        <f ca="1" t="shared" si="208"/>
        <v/>
      </c>
      <c r="K4431" s="14" t="str">
        <f ca="1" t="shared" si="209"/>
        <v/>
      </c>
    </row>
    <row r="4432" spans="1:11">
      <c r="A4432" s="10" t="str">
        <f t="shared" si="207"/>
        <v/>
      </c>
      <c r="C4432" s="10" t="str">
        <f>IFERROR(INDEX(面试清单!D:D,MATCH(4431,面试清单!P:P,0)),"")</f>
        <v/>
      </c>
      <c r="H4432" s="10" t="str">
        <f>IFERROR(INDEX(面试清单!H:H,MATCH(4431,面试清单!P:P,0)),"")</f>
        <v/>
      </c>
      <c r="J4432" s="10" t="str">
        <f ca="1" t="shared" si="208"/>
        <v/>
      </c>
      <c r="K4432" s="10" t="str">
        <f ca="1" t="shared" si="209"/>
        <v/>
      </c>
    </row>
    <row r="4433" spans="1:11">
      <c r="A4433" s="14" t="str">
        <f t="shared" si="207"/>
        <v/>
      </c>
      <c r="C4433" s="14" t="str">
        <f>IFERROR(INDEX(面试清单!D:D,MATCH(4432,面试清单!P:P,0)),"")</f>
        <v/>
      </c>
      <c r="H4433" s="14" t="str">
        <f>IFERROR(INDEX(面试清单!H:H,MATCH(4432,面试清单!P:P,0)),"")</f>
        <v/>
      </c>
      <c r="J4433" s="14" t="str">
        <f ca="1" t="shared" si="208"/>
        <v/>
      </c>
      <c r="K4433" s="14" t="str">
        <f ca="1" t="shared" si="209"/>
        <v/>
      </c>
    </row>
    <row r="4434" spans="1:11">
      <c r="A4434" s="10" t="str">
        <f t="shared" si="207"/>
        <v/>
      </c>
      <c r="C4434" s="10" t="str">
        <f>IFERROR(INDEX(面试清单!D:D,MATCH(4433,面试清单!P:P,0)),"")</f>
        <v/>
      </c>
      <c r="H4434" s="10" t="str">
        <f>IFERROR(INDEX(面试清单!H:H,MATCH(4433,面试清单!P:P,0)),"")</f>
        <v/>
      </c>
      <c r="J4434" s="10" t="str">
        <f ca="1" t="shared" si="208"/>
        <v/>
      </c>
      <c r="K4434" s="10" t="str">
        <f ca="1" t="shared" si="209"/>
        <v/>
      </c>
    </row>
    <row r="4435" spans="1:11">
      <c r="A4435" s="14" t="str">
        <f t="shared" si="207"/>
        <v/>
      </c>
      <c r="C4435" s="14" t="str">
        <f>IFERROR(INDEX(面试清单!D:D,MATCH(4434,面试清单!P:P,0)),"")</f>
        <v/>
      </c>
      <c r="H4435" s="14" t="str">
        <f>IFERROR(INDEX(面试清单!H:H,MATCH(4434,面试清单!P:P,0)),"")</f>
        <v/>
      </c>
      <c r="J4435" s="14" t="str">
        <f ca="1" t="shared" si="208"/>
        <v/>
      </c>
      <c r="K4435" s="14" t="str">
        <f ca="1" t="shared" si="209"/>
        <v/>
      </c>
    </row>
    <row r="4436" spans="1:11">
      <c r="A4436" s="10" t="str">
        <f t="shared" si="207"/>
        <v/>
      </c>
      <c r="C4436" s="10" t="str">
        <f>IFERROR(INDEX(面试清单!D:D,MATCH(4435,面试清单!P:P,0)),"")</f>
        <v/>
      </c>
      <c r="H4436" s="10" t="str">
        <f>IFERROR(INDEX(面试清单!H:H,MATCH(4435,面试清单!P:P,0)),"")</f>
        <v/>
      </c>
      <c r="J4436" s="10" t="str">
        <f ca="1" t="shared" si="208"/>
        <v/>
      </c>
      <c r="K4436" s="10" t="str">
        <f ca="1" t="shared" si="209"/>
        <v/>
      </c>
    </row>
    <row r="4437" spans="1:11">
      <c r="A4437" s="14" t="str">
        <f t="shared" si="207"/>
        <v/>
      </c>
      <c r="C4437" s="14" t="str">
        <f>IFERROR(INDEX(面试清单!D:D,MATCH(4436,面试清单!P:P,0)),"")</f>
        <v/>
      </c>
      <c r="H4437" s="14" t="str">
        <f>IFERROR(INDEX(面试清单!H:H,MATCH(4436,面试清单!P:P,0)),"")</f>
        <v/>
      </c>
      <c r="J4437" s="14" t="str">
        <f ca="1" t="shared" si="208"/>
        <v/>
      </c>
      <c r="K4437" s="14" t="str">
        <f ca="1" t="shared" si="209"/>
        <v/>
      </c>
    </row>
    <row r="4438" spans="1:11">
      <c r="A4438" s="10" t="str">
        <f t="shared" si="207"/>
        <v/>
      </c>
      <c r="C4438" s="10" t="str">
        <f>IFERROR(INDEX(面试清单!D:D,MATCH(4437,面试清单!P:P,0)),"")</f>
        <v/>
      </c>
      <c r="H4438" s="10" t="str">
        <f>IFERROR(INDEX(面试清单!H:H,MATCH(4437,面试清单!P:P,0)),"")</f>
        <v/>
      </c>
      <c r="J4438" s="10" t="str">
        <f ca="1" t="shared" si="208"/>
        <v/>
      </c>
      <c r="K4438" s="10" t="str">
        <f ca="1" t="shared" si="209"/>
        <v/>
      </c>
    </row>
    <row r="4439" spans="1:11">
      <c r="A4439" s="14" t="str">
        <f t="shared" si="207"/>
        <v/>
      </c>
      <c r="C4439" s="14" t="str">
        <f>IFERROR(INDEX(面试清单!D:D,MATCH(4438,面试清单!P:P,0)),"")</f>
        <v/>
      </c>
      <c r="H4439" s="14" t="str">
        <f>IFERROR(INDEX(面试清单!H:H,MATCH(4438,面试清单!P:P,0)),"")</f>
        <v/>
      </c>
      <c r="J4439" s="14" t="str">
        <f ca="1" t="shared" si="208"/>
        <v/>
      </c>
      <c r="K4439" s="14" t="str">
        <f ca="1" t="shared" si="209"/>
        <v/>
      </c>
    </row>
    <row r="4440" spans="1:11">
      <c r="A4440" s="10" t="str">
        <f t="shared" si="207"/>
        <v/>
      </c>
      <c r="C4440" s="10" t="str">
        <f>IFERROR(INDEX(面试清单!D:D,MATCH(4439,面试清单!P:P,0)),"")</f>
        <v/>
      </c>
      <c r="H4440" s="10" t="str">
        <f>IFERROR(INDEX(面试清单!H:H,MATCH(4439,面试清单!P:P,0)),"")</f>
        <v/>
      </c>
      <c r="J4440" s="10" t="str">
        <f ca="1" t="shared" si="208"/>
        <v/>
      </c>
      <c r="K4440" s="10" t="str">
        <f ca="1" t="shared" si="209"/>
        <v/>
      </c>
    </row>
    <row r="4441" spans="1:11">
      <c r="A4441" s="14" t="str">
        <f t="shared" si="207"/>
        <v/>
      </c>
      <c r="C4441" s="14" t="str">
        <f>IFERROR(INDEX(面试清单!D:D,MATCH(4440,面试清单!P:P,0)),"")</f>
        <v/>
      </c>
      <c r="H4441" s="14" t="str">
        <f>IFERROR(INDEX(面试清单!H:H,MATCH(4440,面试清单!P:P,0)),"")</f>
        <v/>
      </c>
      <c r="J4441" s="14" t="str">
        <f ca="1" t="shared" si="208"/>
        <v/>
      </c>
      <c r="K4441" s="14" t="str">
        <f ca="1" t="shared" si="209"/>
        <v/>
      </c>
    </row>
    <row r="4442" spans="1:11">
      <c r="A4442" s="10" t="str">
        <f t="shared" si="207"/>
        <v/>
      </c>
      <c r="C4442" s="10" t="str">
        <f>IFERROR(INDEX(面试清单!D:D,MATCH(4441,面试清单!P:P,0)),"")</f>
        <v/>
      </c>
      <c r="H4442" s="10" t="str">
        <f>IFERROR(INDEX(面试清单!H:H,MATCH(4441,面试清单!P:P,0)),"")</f>
        <v/>
      </c>
      <c r="J4442" s="10" t="str">
        <f ca="1" t="shared" si="208"/>
        <v/>
      </c>
      <c r="K4442" s="10" t="str">
        <f ca="1" t="shared" si="209"/>
        <v/>
      </c>
    </row>
    <row r="4443" spans="1:11">
      <c r="A4443" s="14" t="str">
        <f t="shared" si="207"/>
        <v/>
      </c>
      <c r="C4443" s="14" t="str">
        <f>IFERROR(INDEX(面试清单!D:D,MATCH(4442,面试清单!P:P,0)),"")</f>
        <v/>
      </c>
      <c r="H4443" s="14" t="str">
        <f>IFERROR(INDEX(面试清单!H:H,MATCH(4442,面试清单!P:P,0)),"")</f>
        <v/>
      </c>
      <c r="J4443" s="14" t="str">
        <f ca="1" t="shared" si="208"/>
        <v/>
      </c>
      <c r="K4443" s="14" t="str">
        <f ca="1" t="shared" si="209"/>
        <v/>
      </c>
    </row>
    <row r="4444" spans="1:11">
      <c r="A4444" s="10" t="str">
        <f t="shared" si="207"/>
        <v/>
      </c>
      <c r="C4444" s="10" t="str">
        <f>IFERROR(INDEX(面试清单!D:D,MATCH(4443,面试清单!P:P,0)),"")</f>
        <v/>
      </c>
      <c r="H4444" s="10" t="str">
        <f>IFERROR(INDEX(面试清单!H:H,MATCH(4443,面试清单!P:P,0)),"")</f>
        <v/>
      </c>
      <c r="J4444" s="10" t="str">
        <f ca="1" t="shared" si="208"/>
        <v/>
      </c>
      <c r="K4444" s="10" t="str">
        <f ca="1" t="shared" si="209"/>
        <v/>
      </c>
    </row>
    <row r="4445" spans="1:11">
      <c r="A4445" s="14" t="str">
        <f t="shared" si="207"/>
        <v/>
      </c>
      <c r="C4445" s="14" t="str">
        <f>IFERROR(INDEX(面试清单!D:D,MATCH(4444,面试清单!P:P,0)),"")</f>
        <v/>
      </c>
      <c r="H4445" s="14" t="str">
        <f>IFERROR(INDEX(面试清单!H:H,MATCH(4444,面试清单!P:P,0)),"")</f>
        <v/>
      </c>
      <c r="J4445" s="14" t="str">
        <f ca="1" t="shared" si="208"/>
        <v/>
      </c>
      <c r="K4445" s="14" t="str">
        <f ca="1" t="shared" si="209"/>
        <v/>
      </c>
    </row>
    <row r="4446" spans="1:11">
      <c r="A4446" s="10" t="str">
        <f t="shared" si="207"/>
        <v/>
      </c>
      <c r="C4446" s="10" t="str">
        <f>IFERROR(INDEX(面试清单!D:D,MATCH(4445,面试清单!P:P,0)),"")</f>
        <v/>
      </c>
      <c r="H4446" s="10" t="str">
        <f>IFERROR(INDEX(面试清单!H:H,MATCH(4445,面试清单!P:P,0)),"")</f>
        <v/>
      </c>
      <c r="J4446" s="10" t="str">
        <f ca="1" t="shared" si="208"/>
        <v/>
      </c>
      <c r="K4446" s="10" t="str">
        <f ca="1" t="shared" si="209"/>
        <v/>
      </c>
    </row>
    <row r="4447" spans="1:11">
      <c r="A4447" s="14" t="str">
        <f t="shared" si="207"/>
        <v/>
      </c>
      <c r="C4447" s="14" t="str">
        <f>IFERROR(INDEX(面试清单!D:D,MATCH(4446,面试清单!P:P,0)),"")</f>
        <v/>
      </c>
      <c r="H4447" s="14" t="str">
        <f>IFERROR(INDEX(面试清单!H:H,MATCH(4446,面试清单!P:P,0)),"")</f>
        <v/>
      </c>
      <c r="J4447" s="14" t="str">
        <f ca="1" t="shared" si="208"/>
        <v/>
      </c>
      <c r="K4447" s="14" t="str">
        <f ca="1" t="shared" si="209"/>
        <v/>
      </c>
    </row>
    <row r="4448" spans="1:11">
      <c r="A4448" s="10" t="str">
        <f t="shared" si="207"/>
        <v/>
      </c>
      <c r="C4448" s="10" t="str">
        <f>IFERROR(INDEX(面试清单!D:D,MATCH(4447,面试清单!P:P,0)),"")</f>
        <v/>
      </c>
      <c r="H4448" s="10" t="str">
        <f>IFERROR(INDEX(面试清单!H:H,MATCH(4447,面试清单!P:P,0)),"")</f>
        <v/>
      </c>
      <c r="J4448" s="10" t="str">
        <f ca="1" t="shared" si="208"/>
        <v/>
      </c>
      <c r="K4448" s="10" t="str">
        <f ca="1" t="shared" si="209"/>
        <v/>
      </c>
    </row>
    <row r="4449" spans="1:11">
      <c r="A4449" s="14" t="str">
        <f t="shared" si="207"/>
        <v/>
      </c>
      <c r="C4449" s="14" t="str">
        <f>IFERROR(INDEX(面试清单!D:D,MATCH(4448,面试清单!P:P,0)),"")</f>
        <v/>
      </c>
      <c r="H4449" s="14" t="str">
        <f>IFERROR(INDEX(面试清单!H:H,MATCH(4448,面试清单!P:P,0)),"")</f>
        <v/>
      </c>
      <c r="J4449" s="14" t="str">
        <f ca="1" t="shared" si="208"/>
        <v/>
      </c>
      <c r="K4449" s="14" t="str">
        <f ca="1" t="shared" si="209"/>
        <v/>
      </c>
    </row>
    <row r="4450" spans="1:11">
      <c r="A4450" s="10" t="str">
        <f t="shared" si="207"/>
        <v/>
      </c>
      <c r="C4450" s="10" t="str">
        <f>IFERROR(INDEX(面试清单!D:D,MATCH(4449,面试清单!P:P,0)),"")</f>
        <v/>
      </c>
      <c r="H4450" s="10" t="str">
        <f>IFERROR(INDEX(面试清单!H:H,MATCH(4449,面试清单!P:P,0)),"")</f>
        <v/>
      </c>
      <c r="J4450" s="10" t="str">
        <f ca="1" t="shared" si="208"/>
        <v/>
      </c>
      <c r="K4450" s="10" t="str">
        <f ca="1" t="shared" si="209"/>
        <v/>
      </c>
    </row>
    <row r="4451" spans="1:11">
      <c r="A4451" s="14" t="str">
        <f t="shared" si="207"/>
        <v/>
      </c>
      <c r="C4451" s="14" t="str">
        <f>IFERROR(INDEX(面试清单!D:D,MATCH(4450,面试清单!P:P,0)),"")</f>
        <v/>
      </c>
      <c r="H4451" s="14" t="str">
        <f>IFERROR(INDEX(面试清单!H:H,MATCH(4450,面试清单!P:P,0)),"")</f>
        <v/>
      </c>
      <c r="J4451" s="14" t="str">
        <f ca="1" t="shared" si="208"/>
        <v/>
      </c>
      <c r="K4451" s="14" t="str">
        <f ca="1" t="shared" si="209"/>
        <v/>
      </c>
    </row>
    <row r="4452" spans="1:11">
      <c r="A4452" s="10" t="str">
        <f t="shared" si="207"/>
        <v/>
      </c>
      <c r="C4452" s="10" t="str">
        <f>IFERROR(INDEX(面试清单!D:D,MATCH(4451,面试清单!P:P,0)),"")</f>
        <v/>
      </c>
      <c r="H4452" s="10" t="str">
        <f>IFERROR(INDEX(面试清单!H:H,MATCH(4451,面试清单!P:P,0)),"")</f>
        <v/>
      </c>
      <c r="J4452" s="10" t="str">
        <f ca="1" t="shared" si="208"/>
        <v/>
      </c>
      <c r="K4452" s="10" t="str">
        <f ca="1" t="shared" si="209"/>
        <v/>
      </c>
    </row>
    <row r="4453" spans="1:11">
      <c r="A4453" s="14" t="str">
        <f t="shared" si="207"/>
        <v/>
      </c>
      <c r="C4453" s="14" t="str">
        <f>IFERROR(INDEX(面试清单!D:D,MATCH(4452,面试清单!P:P,0)),"")</f>
        <v/>
      </c>
      <c r="H4453" s="14" t="str">
        <f>IFERROR(INDEX(面试清单!H:H,MATCH(4452,面试清单!P:P,0)),"")</f>
        <v/>
      </c>
      <c r="J4453" s="14" t="str">
        <f ca="1" t="shared" si="208"/>
        <v/>
      </c>
      <c r="K4453" s="14" t="str">
        <f ca="1" t="shared" si="209"/>
        <v/>
      </c>
    </row>
    <row r="4454" spans="1:11">
      <c r="A4454" s="10" t="str">
        <f t="shared" si="207"/>
        <v/>
      </c>
      <c r="C4454" s="10" t="str">
        <f>IFERROR(INDEX(面试清单!D:D,MATCH(4453,面试清单!P:P,0)),"")</f>
        <v/>
      </c>
      <c r="H4454" s="10" t="str">
        <f>IFERROR(INDEX(面试清单!H:H,MATCH(4453,面试清单!P:P,0)),"")</f>
        <v/>
      </c>
      <c r="J4454" s="10" t="str">
        <f ca="1" t="shared" si="208"/>
        <v/>
      </c>
      <c r="K4454" s="10" t="str">
        <f ca="1" t="shared" si="209"/>
        <v/>
      </c>
    </row>
    <row r="4455" spans="1:11">
      <c r="A4455" s="14" t="str">
        <f t="shared" si="207"/>
        <v/>
      </c>
      <c r="C4455" s="14" t="str">
        <f>IFERROR(INDEX(面试清单!D:D,MATCH(4454,面试清单!P:P,0)),"")</f>
        <v/>
      </c>
      <c r="H4455" s="14" t="str">
        <f>IFERROR(INDEX(面试清单!H:H,MATCH(4454,面试清单!P:P,0)),"")</f>
        <v/>
      </c>
      <c r="J4455" s="14" t="str">
        <f ca="1" t="shared" si="208"/>
        <v/>
      </c>
      <c r="K4455" s="14" t="str">
        <f ca="1" t="shared" si="209"/>
        <v/>
      </c>
    </row>
    <row r="4456" spans="1:11">
      <c r="A4456" s="10" t="str">
        <f t="shared" si="207"/>
        <v/>
      </c>
      <c r="C4456" s="10" t="str">
        <f>IFERROR(INDEX(面试清单!D:D,MATCH(4455,面试清单!P:P,0)),"")</f>
        <v/>
      </c>
      <c r="H4456" s="10" t="str">
        <f>IFERROR(INDEX(面试清单!H:H,MATCH(4455,面试清单!P:P,0)),"")</f>
        <v/>
      </c>
      <c r="J4456" s="10" t="str">
        <f ca="1" t="shared" si="208"/>
        <v/>
      </c>
      <c r="K4456" s="10" t="str">
        <f ca="1" t="shared" si="209"/>
        <v/>
      </c>
    </row>
    <row r="4457" spans="1:11">
      <c r="A4457" s="14" t="str">
        <f t="shared" si="207"/>
        <v/>
      </c>
      <c r="C4457" s="14" t="str">
        <f>IFERROR(INDEX(面试清单!D:D,MATCH(4456,面试清单!P:P,0)),"")</f>
        <v/>
      </c>
      <c r="H4457" s="14" t="str">
        <f>IFERROR(INDEX(面试清单!H:H,MATCH(4456,面试清单!P:P,0)),"")</f>
        <v/>
      </c>
      <c r="J4457" s="14" t="str">
        <f ca="1" t="shared" si="208"/>
        <v/>
      </c>
      <c r="K4457" s="14" t="str">
        <f ca="1" t="shared" si="209"/>
        <v/>
      </c>
    </row>
    <row r="4458" spans="1:11">
      <c r="A4458" s="10" t="str">
        <f t="shared" si="207"/>
        <v/>
      </c>
      <c r="C4458" s="10" t="str">
        <f>IFERROR(INDEX(面试清单!D:D,MATCH(4457,面试清单!P:P,0)),"")</f>
        <v/>
      </c>
      <c r="H4458" s="10" t="str">
        <f>IFERROR(INDEX(面试清单!H:H,MATCH(4457,面试清单!P:P,0)),"")</f>
        <v/>
      </c>
      <c r="J4458" s="10" t="str">
        <f ca="1" t="shared" si="208"/>
        <v/>
      </c>
      <c r="K4458" s="10" t="str">
        <f ca="1" t="shared" si="209"/>
        <v/>
      </c>
    </row>
    <row r="4459" spans="1:11">
      <c r="A4459" s="14" t="str">
        <f t="shared" si="207"/>
        <v/>
      </c>
      <c r="C4459" s="14" t="str">
        <f>IFERROR(INDEX(面试清单!D:D,MATCH(4458,面试清单!P:P,0)),"")</f>
        <v/>
      </c>
      <c r="H4459" s="14" t="str">
        <f>IFERROR(INDEX(面试清单!H:H,MATCH(4458,面试清单!P:P,0)),"")</f>
        <v/>
      </c>
      <c r="J4459" s="14" t="str">
        <f ca="1" t="shared" si="208"/>
        <v/>
      </c>
      <c r="K4459" s="14" t="str">
        <f ca="1" t="shared" si="209"/>
        <v/>
      </c>
    </row>
    <row r="4460" spans="1:11">
      <c r="A4460" s="10" t="str">
        <f t="shared" si="207"/>
        <v/>
      </c>
      <c r="C4460" s="10" t="str">
        <f>IFERROR(INDEX(面试清单!D:D,MATCH(4459,面试清单!P:P,0)),"")</f>
        <v/>
      </c>
      <c r="H4460" s="10" t="str">
        <f>IFERROR(INDEX(面试清单!H:H,MATCH(4459,面试清单!P:P,0)),"")</f>
        <v/>
      </c>
      <c r="J4460" s="10" t="str">
        <f ca="1" t="shared" si="208"/>
        <v/>
      </c>
      <c r="K4460" s="10" t="str">
        <f ca="1" t="shared" si="209"/>
        <v/>
      </c>
    </row>
    <row r="4461" spans="1:11">
      <c r="A4461" s="14" t="str">
        <f t="shared" si="207"/>
        <v/>
      </c>
      <c r="C4461" s="14" t="str">
        <f>IFERROR(INDEX(面试清单!D:D,MATCH(4460,面试清单!P:P,0)),"")</f>
        <v/>
      </c>
      <c r="H4461" s="14" t="str">
        <f>IFERROR(INDEX(面试清单!H:H,MATCH(4460,面试清单!P:P,0)),"")</f>
        <v/>
      </c>
      <c r="J4461" s="14" t="str">
        <f ca="1" t="shared" si="208"/>
        <v/>
      </c>
      <c r="K4461" s="14" t="str">
        <f ca="1" t="shared" si="209"/>
        <v/>
      </c>
    </row>
    <row r="4462" spans="1:11">
      <c r="A4462" s="10" t="str">
        <f t="shared" si="207"/>
        <v/>
      </c>
      <c r="C4462" s="10" t="str">
        <f>IFERROR(INDEX(面试清单!D:D,MATCH(4461,面试清单!P:P,0)),"")</f>
        <v/>
      </c>
      <c r="H4462" s="10" t="str">
        <f>IFERROR(INDEX(面试清单!H:H,MATCH(4461,面试清单!P:P,0)),"")</f>
        <v/>
      </c>
      <c r="J4462" s="10" t="str">
        <f ca="1" t="shared" si="208"/>
        <v/>
      </c>
      <c r="K4462" s="10" t="str">
        <f ca="1" t="shared" si="209"/>
        <v/>
      </c>
    </row>
    <row r="4463" spans="1:11">
      <c r="A4463" s="14" t="str">
        <f t="shared" si="207"/>
        <v/>
      </c>
      <c r="C4463" s="14" t="str">
        <f>IFERROR(INDEX(面试清单!D:D,MATCH(4462,面试清单!P:P,0)),"")</f>
        <v/>
      </c>
      <c r="H4463" s="14" t="str">
        <f>IFERROR(INDEX(面试清单!H:H,MATCH(4462,面试清单!P:P,0)),"")</f>
        <v/>
      </c>
      <c r="J4463" s="14" t="str">
        <f ca="1" t="shared" si="208"/>
        <v/>
      </c>
      <c r="K4463" s="14" t="str">
        <f ca="1" t="shared" si="209"/>
        <v/>
      </c>
    </row>
    <row r="4464" spans="1:11">
      <c r="A4464" s="10" t="str">
        <f t="shared" si="207"/>
        <v/>
      </c>
      <c r="C4464" s="10" t="str">
        <f>IFERROR(INDEX(面试清单!D:D,MATCH(4463,面试清单!P:P,0)),"")</f>
        <v/>
      </c>
      <c r="H4464" s="10" t="str">
        <f>IFERROR(INDEX(面试清单!H:H,MATCH(4463,面试清单!P:P,0)),"")</f>
        <v/>
      </c>
      <c r="J4464" s="10" t="str">
        <f ca="1" t="shared" si="208"/>
        <v/>
      </c>
      <c r="K4464" s="10" t="str">
        <f ca="1" t="shared" si="209"/>
        <v/>
      </c>
    </row>
    <row r="4465" spans="1:11">
      <c r="A4465" s="14" t="str">
        <f t="shared" si="207"/>
        <v/>
      </c>
      <c r="C4465" s="14" t="str">
        <f>IFERROR(INDEX(面试清单!D:D,MATCH(4464,面试清单!P:P,0)),"")</f>
        <v/>
      </c>
      <c r="H4465" s="14" t="str">
        <f>IFERROR(INDEX(面试清单!H:H,MATCH(4464,面试清单!P:P,0)),"")</f>
        <v/>
      </c>
      <c r="J4465" s="14" t="str">
        <f ca="1" t="shared" si="208"/>
        <v/>
      </c>
      <c r="K4465" s="14" t="str">
        <f ca="1" t="shared" si="209"/>
        <v/>
      </c>
    </row>
    <row r="4466" spans="1:11">
      <c r="A4466" s="10" t="str">
        <f t="shared" si="207"/>
        <v/>
      </c>
      <c r="C4466" s="10" t="str">
        <f>IFERROR(INDEX(面试清单!D:D,MATCH(4465,面试清单!P:P,0)),"")</f>
        <v/>
      </c>
      <c r="H4466" s="10" t="str">
        <f>IFERROR(INDEX(面试清单!H:H,MATCH(4465,面试清单!P:P,0)),"")</f>
        <v/>
      </c>
      <c r="J4466" s="10" t="str">
        <f ca="1" t="shared" si="208"/>
        <v/>
      </c>
      <c r="K4466" s="10" t="str">
        <f ca="1" t="shared" si="209"/>
        <v/>
      </c>
    </row>
    <row r="4467" spans="1:11">
      <c r="A4467" s="14" t="str">
        <f t="shared" si="207"/>
        <v/>
      </c>
      <c r="C4467" s="14" t="str">
        <f>IFERROR(INDEX(面试清单!D:D,MATCH(4466,面试清单!P:P,0)),"")</f>
        <v/>
      </c>
      <c r="H4467" s="14" t="str">
        <f>IFERROR(INDEX(面试清单!H:H,MATCH(4466,面试清单!P:P,0)),"")</f>
        <v/>
      </c>
      <c r="J4467" s="14" t="str">
        <f ca="1" t="shared" si="208"/>
        <v/>
      </c>
      <c r="K4467" s="14" t="str">
        <f ca="1" t="shared" si="209"/>
        <v/>
      </c>
    </row>
    <row r="4468" spans="1:11">
      <c r="A4468" s="10" t="str">
        <f t="shared" si="207"/>
        <v/>
      </c>
      <c r="C4468" s="10" t="str">
        <f>IFERROR(INDEX(面试清单!D:D,MATCH(4467,面试清单!P:P,0)),"")</f>
        <v/>
      </c>
      <c r="H4468" s="10" t="str">
        <f>IFERROR(INDEX(面试清单!H:H,MATCH(4467,面试清单!P:P,0)),"")</f>
        <v/>
      </c>
      <c r="J4468" s="10" t="str">
        <f ca="1" t="shared" si="208"/>
        <v/>
      </c>
      <c r="K4468" s="10" t="str">
        <f ca="1" t="shared" si="209"/>
        <v/>
      </c>
    </row>
    <row r="4469" spans="1:11">
      <c r="A4469" s="14" t="str">
        <f t="shared" si="207"/>
        <v/>
      </c>
      <c r="C4469" s="14" t="str">
        <f>IFERROR(INDEX(面试清单!D:D,MATCH(4468,面试清单!P:P,0)),"")</f>
        <v/>
      </c>
      <c r="H4469" s="14" t="str">
        <f>IFERROR(INDEX(面试清单!H:H,MATCH(4468,面试清单!P:P,0)),"")</f>
        <v/>
      </c>
      <c r="J4469" s="14" t="str">
        <f ca="1" t="shared" si="208"/>
        <v/>
      </c>
      <c r="K4469" s="14" t="str">
        <f ca="1" t="shared" si="209"/>
        <v/>
      </c>
    </row>
    <row r="4470" spans="1:11">
      <c r="A4470" s="10" t="str">
        <f t="shared" si="207"/>
        <v/>
      </c>
      <c r="C4470" s="10" t="str">
        <f>IFERROR(INDEX(面试清单!D:D,MATCH(4469,面试清单!P:P,0)),"")</f>
        <v/>
      </c>
      <c r="H4470" s="10" t="str">
        <f>IFERROR(INDEX(面试清单!H:H,MATCH(4469,面试清单!P:P,0)),"")</f>
        <v/>
      </c>
      <c r="J4470" s="10" t="str">
        <f ca="1" t="shared" si="208"/>
        <v/>
      </c>
      <c r="K4470" s="10" t="str">
        <f ca="1" t="shared" si="209"/>
        <v/>
      </c>
    </row>
    <row r="4471" spans="1:11">
      <c r="A4471" s="14" t="str">
        <f t="shared" si="207"/>
        <v/>
      </c>
      <c r="C4471" s="14" t="str">
        <f>IFERROR(INDEX(面试清单!D:D,MATCH(4470,面试清单!P:P,0)),"")</f>
        <v/>
      </c>
      <c r="H4471" s="14" t="str">
        <f>IFERROR(INDEX(面试清单!H:H,MATCH(4470,面试清单!P:P,0)),"")</f>
        <v/>
      </c>
      <c r="J4471" s="14" t="str">
        <f ca="1" t="shared" si="208"/>
        <v/>
      </c>
      <c r="K4471" s="14" t="str">
        <f ca="1" t="shared" si="209"/>
        <v/>
      </c>
    </row>
    <row r="4472" spans="1:11">
      <c r="A4472" s="10" t="str">
        <f t="shared" si="207"/>
        <v/>
      </c>
      <c r="C4472" s="10" t="str">
        <f>IFERROR(INDEX(面试清单!D:D,MATCH(4471,面试清单!P:P,0)),"")</f>
        <v/>
      </c>
      <c r="H4472" s="10" t="str">
        <f>IFERROR(INDEX(面试清单!H:H,MATCH(4471,面试清单!P:P,0)),"")</f>
        <v/>
      </c>
      <c r="J4472" s="10" t="str">
        <f ca="1" t="shared" si="208"/>
        <v/>
      </c>
      <c r="K4472" s="10" t="str">
        <f ca="1" t="shared" si="209"/>
        <v/>
      </c>
    </row>
    <row r="4473" spans="1:11">
      <c r="A4473" s="14" t="str">
        <f t="shared" si="207"/>
        <v/>
      </c>
      <c r="C4473" s="14" t="str">
        <f>IFERROR(INDEX(面试清单!D:D,MATCH(4472,面试清单!P:P,0)),"")</f>
        <v/>
      </c>
      <c r="H4473" s="14" t="str">
        <f>IFERROR(INDEX(面试清单!H:H,MATCH(4472,面试清单!P:P,0)),"")</f>
        <v/>
      </c>
      <c r="J4473" s="14" t="str">
        <f ca="1" t="shared" si="208"/>
        <v/>
      </c>
      <c r="K4473" s="14" t="str">
        <f ca="1" t="shared" si="209"/>
        <v/>
      </c>
    </row>
    <row r="4474" spans="1:11">
      <c r="A4474" s="10" t="str">
        <f t="shared" si="207"/>
        <v/>
      </c>
      <c r="C4474" s="10" t="str">
        <f>IFERROR(INDEX(面试清单!D:D,MATCH(4473,面试清单!P:P,0)),"")</f>
        <v/>
      </c>
      <c r="H4474" s="10" t="str">
        <f>IFERROR(INDEX(面试清单!H:H,MATCH(4473,面试清单!P:P,0)),"")</f>
        <v/>
      </c>
      <c r="J4474" s="10" t="str">
        <f ca="1" t="shared" si="208"/>
        <v/>
      </c>
      <c r="K4474" s="10" t="str">
        <f ca="1" t="shared" si="209"/>
        <v/>
      </c>
    </row>
    <row r="4475" spans="1:11">
      <c r="A4475" s="14" t="str">
        <f t="shared" si="207"/>
        <v/>
      </c>
      <c r="C4475" s="14" t="str">
        <f>IFERROR(INDEX(面试清单!D:D,MATCH(4474,面试清单!P:P,0)),"")</f>
        <v/>
      </c>
      <c r="H4475" s="14" t="str">
        <f>IFERROR(INDEX(面试清单!H:H,MATCH(4474,面试清单!P:P,0)),"")</f>
        <v/>
      </c>
      <c r="J4475" s="14" t="str">
        <f ca="1" t="shared" si="208"/>
        <v/>
      </c>
      <c r="K4475" s="14" t="str">
        <f ca="1" t="shared" si="209"/>
        <v/>
      </c>
    </row>
    <row r="4476" spans="1:11">
      <c r="A4476" s="10" t="str">
        <f t="shared" si="207"/>
        <v/>
      </c>
      <c r="C4476" s="10" t="str">
        <f>IFERROR(INDEX(面试清单!D:D,MATCH(4475,面试清单!P:P,0)),"")</f>
        <v/>
      </c>
      <c r="H4476" s="10" t="str">
        <f>IFERROR(INDEX(面试清单!H:H,MATCH(4475,面试清单!P:P,0)),"")</f>
        <v/>
      </c>
      <c r="J4476" s="10" t="str">
        <f ca="1" t="shared" si="208"/>
        <v/>
      </c>
      <c r="K4476" s="10" t="str">
        <f ca="1" t="shared" si="209"/>
        <v/>
      </c>
    </row>
    <row r="4477" spans="1:11">
      <c r="A4477" s="14" t="str">
        <f t="shared" si="207"/>
        <v/>
      </c>
      <c r="C4477" s="14" t="str">
        <f>IFERROR(INDEX(面试清单!D:D,MATCH(4476,面试清单!P:P,0)),"")</f>
        <v/>
      </c>
      <c r="H4477" s="14" t="str">
        <f>IFERROR(INDEX(面试清单!H:H,MATCH(4476,面试清单!P:P,0)),"")</f>
        <v/>
      </c>
      <c r="J4477" s="14" t="str">
        <f ca="1" t="shared" si="208"/>
        <v/>
      </c>
      <c r="K4477" s="14" t="str">
        <f ca="1" t="shared" si="209"/>
        <v/>
      </c>
    </row>
    <row r="4478" spans="1:11">
      <c r="A4478" s="10" t="str">
        <f t="shared" si="207"/>
        <v/>
      </c>
      <c r="C4478" s="10" t="str">
        <f>IFERROR(INDEX(面试清单!D:D,MATCH(4477,面试清单!P:P,0)),"")</f>
        <v/>
      </c>
      <c r="H4478" s="10" t="str">
        <f>IFERROR(INDEX(面试清单!H:H,MATCH(4477,面试清单!P:P,0)),"")</f>
        <v/>
      </c>
      <c r="J4478" s="10" t="str">
        <f ca="1" t="shared" si="208"/>
        <v/>
      </c>
      <c r="K4478" s="10" t="str">
        <f ca="1" t="shared" si="209"/>
        <v/>
      </c>
    </row>
    <row r="4479" spans="1:11">
      <c r="A4479" s="14" t="str">
        <f t="shared" si="207"/>
        <v/>
      </c>
      <c r="C4479" s="14" t="str">
        <f>IFERROR(INDEX(面试清单!D:D,MATCH(4478,面试清单!P:P,0)),"")</f>
        <v/>
      </c>
      <c r="H4479" s="14" t="str">
        <f>IFERROR(INDEX(面试清单!H:H,MATCH(4478,面试清单!P:P,0)),"")</f>
        <v/>
      </c>
      <c r="J4479" s="14" t="str">
        <f ca="1" t="shared" si="208"/>
        <v/>
      </c>
      <c r="K4479" s="14" t="str">
        <f ca="1" t="shared" si="209"/>
        <v/>
      </c>
    </row>
    <row r="4480" spans="1:11">
      <c r="A4480" s="10" t="str">
        <f t="shared" si="207"/>
        <v/>
      </c>
      <c r="C4480" s="10" t="str">
        <f>IFERROR(INDEX(面试清单!D:D,MATCH(4479,面试清单!P:P,0)),"")</f>
        <v/>
      </c>
      <c r="H4480" s="10" t="str">
        <f>IFERROR(INDEX(面试清单!H:H,MATCH(4479,面试清单!P:P,0)),"")</f>
        <v/>
      </c>
      <c r="J4480" s="10" t="str">
        <f ca="1" t="shared" si="208"/>
        <v/>
      </c>
      <c r="K4480" s="10" t="str">
        <f ca="1" t="shared" si="209"/>
        <v/>
      </c>
    </row>
    <row r="4481" spans="1:11">
      <c r="A4481" s="14" t="str">
        <f t="shared" si="207"/>
        <v/>
      </c>
      <c r="C4481" s="14" t="str">
        <f>IFERROR(INDEX(面试清单!D:D,MATCH(4480,面试清单!P:P,0)),"")</f>
        <v/>
      </c>
      <c r="H4481" s="14" t="str">
        <f>IFERROR(INDEX(面试清单!H:H,MATCH(4480,面试清单!P:P,0)),"")</f>
        <v/>
      </c>
      <c r="J4481" s="14" t="str">
        <f ca="1" t="shared" si="208"/>
        <v/>
      </c>
      <c r="K4481" s="14" t="str">
        <f ca="1" t="shared" si="209"/>
        <v/>
      </c>
    </row>
    <row r="4482" spans="1:11">
      <c r="A4482" s="10" t="str">
        <f t="shared" ref="A4482:A4545" si="210">IF(B4482&lt;&gt;"",ROW()-1,"")</f>
        <v/>
      </c>
      <c r="C4482" s="10" t="str">
        <f>IFERROR(INDEX(面试清单!D:D,MATCH(4481,面试清单!P:P,0)),"")</f>
        <v/>
      </c>
      <c r="H4482" s="10" t="str">
        <f>IFERROR(INDEX(面试清单!H:H,MATCH(4481,面试清单!P:P,0)),"")</f>
        <v/>
      </c>
      <c r="J4482" s="10" t="str">
        <f ca="1" t="shared" ref="J4482:J4545" si="211">IF(G4482&lt;&gt;"",TODAY()-G4482,"")</f>
        <v/>
      </c>
      <c r="K4482" s="10" t="str">
        <f ca="1" t="shared" ref="K4482:K4545" si="212">IF(G4482&lt;&gt;"",MAX(0,MIN(TODAY(),EOMONTH(TODAY(),0))-MAX(G4482,EOMONTH(TODAY(),-1)+1)+1),"")</f>
        <v/>
      </c>
    </row>
    <row r="4483" spans="1:11">
      <c r="A4483" s="14" t="str">
        <f t="shared" si="210"/>
        <v/>
      </c>
      <c r="C4483" s="14" t="str">
        <f>IFERROR(INDEX(面试清单!D:D,MATCH(4482,面试清单!P:P,0)),"")</f>
        <v/>
      </c>
      <c r="H4483" s="14" t="str">
        <f>IFERROR(INDEX(面试清单!H:H,MATCH(4482,面试清单!P:P,0)),"")</f>
        <v/>
      </c>
      <c r="J4483" s="14" t="str">
        <f ca="1" t="shared" si="211"/>
        <v/>
      </c>
      <c r="K4483" s="14" t="str">
        <f ca="1" t="shared" si="212"/>
        <v/>
      </c>
    </row>
    <row r="4484" spans="1:11">
      <c r="A4484" s="10" t="str">
        <f t="shared" si="210"/>
        <v/>
      </c>
      <c r="C4484" s="10" t="str">
        <f>IFERROR(INDEX(面试清单!D:D,MATCH(4483,面试清单!P:P,0)),"")</f>
        <v/>
      </c>
      <c r="H4484" s="10" t="str">
        <f>IFERROR(INDEX(面试清单!H:H,MATCH(4483,面试清单!P:P,0)),"")</f>
        <v/>
      </c>
      <c r="J4484" s="10" t="str">
        <f ca="1" t="shared" si="211"/>
        <v/>
      </c>
      <c r="K4484" s="10" t="str">
        <f ca="1" t="shared" si="212"/>
        <v/>
      </c>
    </row>
    <row r="4485" spans="1:11">
      <c r="A4485" s="14" t="str">
        <f t="shared" si="210"/>
        <v/>
      </c>
      <c r="C4485" s="14" t="str">
        <f>IFERROR(INDEX(面试清单!D:D,MATCH(4484,面试清单!P:P,0)),"")</f>
        <v/>
      </c>
      <c r="H4485" s="14" t="str">
        <f>IFERROR(INDEX(面试清单!H:H,MATCH(4484,面试清单!P:P,0)),"")</f>
        <v/>
      </c>
      <c r="J4485" s="14" t="str">
        <f ca="1" t="shared" si="211"/>
        <v/>
      </c>
      <c r="K4485" s="14" t="str">
        <f ca="1" t="shared" si="212"/>
        <v/>
      </c>
    </row>
    <row r="4486" spans="1:11">
      <c r="A4486" s="10" t="str">
        <f t="shared" si="210"/>
        <v/>
      </c>
      <c r="C4486" s="10" t="str">
        <f>IFERROR(INDEX(面试清单!D:D,MATCH(4485,面试清单!P:P,0)),"")</f>
        <v/>
      </c>
      <c r="H4486" s="10" t="str">
        <f>IFERROR(INDEX(面试清单!H:H,MATCH(4485,面试清单!P:P,0)),"")</f>
        <v/>
      </c>
      <c r="J4486" s="10" t="str">
        <f ca="1" t="shared" si="211"/>
        <v/>
      </c>
      <c r="K4486" s="10" t="str">
        <f ca="1" t="shared" si="212"/>
        <v/>
      </c>
    </row>
    <row r="4487" spans="1:11">
      <c r="A4487" s="14" t="str">
        <f t="shared" si="210"/>
        <v/>
      </c>
      <c r="C4487" s="14" t="str">
        <f>IFERROR(INDEX(面试清单!D:D,MATCH(4486,面试清单!P:P,0)),"")</f>
        <v/>
      </c>
      <c r="H4487" s="14" t="str">
        <f>IFERROR(INDEX(面试清单!H:H,MATCH(4486,面试清单!P:P,0)),"")</f>
        <v/>
      </c>
      <c r="J4487" s="14" t="str">
        <f ca="1" t="shared" si="211"/>
        <v/>
      </c>
      <c r="K4487" s="14" t="str">
        <f ca="1" t="shared" si="212"/>
        <v/>
      </c>
    </row>
    <row r="4488" spans="1:11">
      <c r="A4488" s="10" t="str">
        <f t="shared" si="210"/>
        <v/>
      </c>
      <c r="C4488" s="10" t="str">
        <f>IFERROR(INDEX(面试清单!D:D,MATCH(4487,面试清单!P:P,0)),"")</f>
        <v/>
      </c>
      <c r="H4488" s="10" t="str">
        <f>IFERROR(INDEX(面试清单!H:H,MATCH(4487,面试清单!P:P,0)),"")</f>
        <v/>
      </c>
      <c r="J4488" s="10" t="str">
        <f ca="1" t="shared" si="211"/>
        <v/>
      </c>
      <c r="K4488" s="10" t="str">
        <f ca="1" t="shared" si="212"/>
        <v/>
      </c>
    </row>
    <row r="4489" spans="1:11">
      <c r="A4489" s="14" t="str">
        <f t="shared" si="210"/>
        <v/>
      </c>
      <c r="C4489" s="14" t="str">
        <f>IFERROR(INDEX(面试清单!D:D,MATCH(4488,面试清单!P:P,0)),"")</f>
        <v/>
      </c>
      <c r="H4489" s="14" t="str">
        <f>IFERROR(INDEX(面试清单!H:H,MATCH(4488,面试清单!P:P,0)),"")</f>
        <v/>
      </c>
      <c r="J4489" s="14" t="str">
        <f ca="1" t="shared" si="211"/>
        <v/>
      </c>
      <c r="K4489" s="14" t="str">
        <f ca="1" t="shared" si="212"/>
        <v/>
      </c>
    </row>
    <row r="4490" spans="1:11">
      <c r="A4490" s="10" t="str">
        <f t="shared" si="210"/>
        <v/>
      </c>
      <c r="C4490" s="10" t="str">
        <f>IFERROR(INDEX(面试清单!D:D,MATCH(4489,面试清单!P:P,0)),"")</f>
        <v/>
      </c>
      <c r="H4490" s="10" t="str">
        <f>IFERROR(INDEX(面试清单!H:H,MATCH(4489,面试清单!P:P,0)),"")</f>
        <v/>
      </c>
      <c r="J4490" s="10" t="str">
        <f ca="1" t="shared" si="211"/>
        <v/>
      </c>
      <c r="K4490" s="10" t="str">
        <f ca="1" t="shared" si="212"/>
        <v/>
      </c>
    </row>
    <row r="4491" spans="1:11">
      <c r="A4491" s="14" t="str">
        <f t="shared" si="210"/>
        <v/>
      </c>
      <c r="C4491" s="14" t="str">
        <f>IFERROR(INDEX(面试清单!D:D,MATCH(4490,面试清单!P:P,0)),"")</f>
        <v/>
      </c>
      <c r="H4491" s="14" t="str">
        <f>IFERROR(INDEX(面试清单!H:H,MATCH(4490,面试清单!P:P,0)),"")</f>
        <v/>
      </c>
      <c r="J4491" s="14" t="str">
        <f ca="1" t="shared" si="211"/>
        <v/>
      </c>
      <c r="K4491" s="14" t="str">
        <f ca="1" t="shared" si="212"/>
        <v/>
      </c>
    </row>
    <row r="4492" spans="1:11">
      <c r="A4492" s="10" t="str">
        <f t="shared" si="210"/>
        <v/>
      </c>
      <c r="C4492" s="10" t="str">
        <f>IFERROR(INDEX(面试清单!D:D,MATCH(4491,面试清单!P:P,0)),"")</f>
        <v/>
      </c>
      <c r="H4492" s="10" t="str">
        <f>IFERROR(INDEX(面试清单!H:H,MATCH(4491,面试清单!P:P,0)),"")</f>
        <v/>
      </c>
      <c r="J4492" s="10" t="str">
        <f ca="1" t="shared" si="211"/>
        <v/>
      </c>
      <c r="K4492" s="10" t="str">
        <f ca="1" t="shared" si="212"/>
        <v/>
      </c>
    </row>
    <row r="4493" spans="1:11">
      <c r="A4493" s="14" t="str">
        <f t="shared" si="210"/>
        <v/>
      </c>
      <c r="C4493" s="14" t="str">
        <f>IFERROR(INDEX(面试清单!D:D,MATCH(4492,面试清单!P:P,0)),"")</f>
        <v/>
      </c>
      <c r="H4493" s="14" t="str">
        <f>IFERROR(INDEX(面试清单!H:H,MATCH(4492,面试清单!P:P,0)),"")</f>
        <v/>
      </c>
      <c r="J4493" s="14" t="str">
        <f ca="1" t="shared" si="211"/>
        <v/>
      </c>
      <c r="K4493" s="14" t="str">
        <f ca="1" t="shared" si="212"/>
        <v/>
      </c>
    </row>
    <row r="4494" spans="1:11">
      <c r="A4494" s="10" t="str">
        <f t="shared" si="210"/>
        <v/>
      </c>
      <c r="C4494" s="10" t="str">
        <f>IFERROR(INDEX(面试清单!D:D,MATCH(4493,面试清单!P:P,0)),"")</f>
        <v/>
      </c>
      <c r="H4494" s="10" t="str">
        <f>IFERROR(INDEX(面试清单!H:H,MATCH(4493,面试清单!P:P,0)),"")</f>
        <v/>
      </c>
      <c r="J4494" s="10" t="str">
        <f ca="1" t="shared" si="211"/>
        <v/>
      </c>
      <c r="K4494" s="10" t="str">
        <f ca="1" t="shared" si="212"/>
        <v/>
      </c>
    </row>
    <row r="4495" spans="1:11">
      <c r="A4495" s="14" t="str">
        <f t="shared" si="210"/>
        <v/>
      </c>
      <c r="C4495" s="14" t="str">
        <f>IFERROR(INDEX(面试清单!D:D,MATCH(4494,面试清单!P:P,0)),"")</f>
        <v/>
      </c>
      <c r="H4495" s="14" t="str">
        <f>IFERROR(INDEX(面试清单!H:H,MATCH(4494,面试清单!P:P,0)),"")</f>
        <v/>
      </c>
      <c r="J4495" s="14" t="str">
        <f ca="1" t="shared" si="211"/>
        <v/>
      </c>
      <c r="K4495" s="14" t="str">
        <f ca="1" t="shared" si="212"/>
        <v/>
      </c>
    </row>
    <row r="4496" spans="1:11">
      <c r="A4496" s="10" t="str">
        <f t="shared" si="210"/>
        <v/>
      </c>
      <c r="C4496" s="10" t="str">
        <f>IFERROR(INDEX(面试清单!D:D,MATCH(4495,面试清单!P:P,0)),"")</f>
        <v/>
      </c>
      <c r="H4496" s="10" t="str">
        <f>IFERROR(INDEX(面试清单!H:H,MATCH(4495,面试清单!P:P,0)),"")</f>
        <v/>
      </c>
      <c r="J4496" s="10" t="str">
        <f ca="1" t="shared" si="211"/>
        <v/>
      </c>
      <c r="K4496" s="10" t="str">
        <f ca="1" t="shared" si="212"/>
        <v/>
      </c>
    </row>
    <row r="4497" spans="1:11">
      <c r="A4497" s="14" t="str">
        <f t="shared" si="210"/>
        <v/>
      </c>
      <c r="C4497" s="14" t="str">
        <f>IFERROR(INDEX(面试清单!D:D,MATCH(4496,面试清单!P:P,0)),"")</f>
        <v/>
      </c>
      <c r="H4497" s="14" t="str">
        <f>IFERROR(INDEX(面试清单!H:H,MATCH(4496,面试清单!P:P,0)),"")</f>
        <v/>
      </c>
      <c r="J4497" s="14" t="str">
        <f ca="1" t="shared" si="211"/>
        <v/>
      </c>
      <c r="K4497" s="14" t="str">
        <f ca="1" t="shared" si="212"/>
        <v/>
      </c>
    </row>
    <row r="4498" spans="1:11">
      <c r="A4498" s="10" t="str">
        <f t="shared" si="210"/>
        <v/>
      </c>
      <c r="C4498" s="10" t="str">
        <f>IFERROR(INDEX(面试清单!D:D,MATCH(4497,面试清单!P:P,0)),"")</f>
        <v/>
      </c>
      <c r="H4498" s="10" t="str">
        <f>IFERROR(INDEX(面试清单!H:H,MATCH(4497,面试清单!P:P,0)),"")</f>
        <v/>
      </c>
      <c r="J4498" s="10" t="str">
        <f ca="1" t="shared" si="211"/>
        <v/>
      </c>
      <c r="K4498" s="10" t="str">
        <f ca="1" t="shared" si="212"/>
        <v/>
      </c>
    </row>
    <row r="4499" spans="1:11">
      <c r="A4499" s="14" t="str">
        <f t="shared" si="210"/>
        <v/>
      </c>
      <c r="C4499" s="14" t="str">
        <f>IFERROR(INDEX(面试清单!D:D,MATCH(4498,面试清单!P:P,0)),"")</f>
        <v/>
      </c>
      <c r="H4499" s="14" t="str">
        <f>IFERROR(INDEX(面试清单!H:H,MATCH(4498,面试清单!P:P,0)),"")</f>
        <v/>
      </c>
      <c r="J4499" s="14" t="str">
        <f ca="1" t="shared" si="211"/>
        <v/>
      </c>
      <c r="K4499" s="14" t="str">
        <f ca="1" t="shared" si="212"/>
        <v/>
      </c>
    </row>
    <row r="4500" spans="1:11">
      <c r="A4500" s="10" t="str">
        <f t="shared" si="210"/>
        <v/>
      </c>
      <c r="C4500" s="10" t="str">
        <f>IFERROR(INDEX(面试清单!D:D,MATCH(4499,面试清单!P:P,0)),"")</f>
        <v/>
      </c>
      <c r="H4500" s="10" t="str">
        <f>IFERROR(INDEX(面试清单!H:H,MATCH(4499,面试清单!P:P,0)),"")</f>
        <v/>
      </c>
      <c r="J4500" s="10" t="str">
        <f ca="1" t="shared" si="211"/>
        <v/>
      </c>
      <c r="K4500" s="10" t="str">
        <f ca="1" t="shared" si="212"/>
        <v/>
      </c>
    </row>
    <row r="4501" spans="1:11">
      <c r="A4501" s="14" t="str">
        <f t="shared" si="210"/>
        <v/>
      </c>
      <c r="C4501" s="14" t="str">
        <f>IFERROR(INDEX(面试清单!D:D,MATCH(4500,面试清单!P:P,0)),"")</f>
        <v/>
      </c>
      <c r="H4501" s="14" t="str">
        <f>IFERROR(INDEX(面试清单!H:H,MATCH(4500,面试清单!P:P,0)),"")</f>
        <v/>
      </c>
      <c r="J4501" s="14" t="str">
        <f ca="1" t="shared" si="211"/>
        <v/>
      </c>
      <c r="K4501" s="14" t="str">
        <f ca="1" t="shared" si="212"/>
        <v/>
      </c>
    </row>
    <row r="4502" spans="1:11">
      <c r="A4502" s="10" t="str">
        <f t="shared" si="210"/>
        <v/>
      </c>
      <c r="C4502" s="10" t="str">
        <f>IFERROR(INDEX(面试清单!D:D,MATCH(4501,面试清单!P:P,0)),"")</f>
        <v/>
      </c>
      <c r="H4502" s="10" t="str">
        <f>IFERROR(INDEX(面试清单!H:H,MATCH(4501,面试清单!P:P,0)),"")</f>
        <v/>
      </c>
      <c r="J4502" s="10" t="str">
        <f ca="1" t="shared" si="211"/>
        <v/>
      </c>
      <c r="K4502" s="10" t="str">
        <f ca="1" t="shared" si="212"/>
        <v/>
      </c>
    </row>
    <row r="4503" spans="1:11">
      <c r="A4503" s="14" t="str">
        <f t="shared" si="210"/>
        <v/>
      </c>
      <c r="C4503" s="14" t="str">
        <f>IFERROR(INDEX(面试清单!D:D,MATCH(4502,面试清单!P:P,0)),"")</f>
        <v/>
      </c>
      <c r="H4503" s="14" t="str">
        <f>IFERROR(INDEX(面试清单!H:H,MATCH(4502,面试清单!P:P,0)),"")</f>
        <v/>
      </c>
      <c r="J4503" s="14" t="str">
        <f ca="1" t="shared" si="211"/>
        <v/>
      </c>
      <c r="K4503" s="14" t="str">
        <f ca="1" t="shared" si="212"/>
        <v/>
      </c>
    </row>
    <row r="4504" spans="1:11">
      <c r="A4504" s="10" t="str">
        <f t="shared" si="210"/>
        <v/>
      </c>
      <c r="C4504" s="10" t="str">
        <f>IFERROR(INDEX(面试清单!D:D,MATCH(4503,面试清单!P:P,0)),"")</f>
        <v/>
      </c>
      <c r="H4504" s="10" t="str">
        <f>IFERROR(INDEX(面试清单!H:H,MATCH(4503,面试清单!P:P,0)),"")</f>
        <v/>
      </c>
      <c r="J4504" s="10" t="str">
        <f ca="1" t="shared" si="211"/>
        <v/>
      </c>
      <c r="K4504" s="10" t="str">
        <f ca="1" t="shared" si="212"/>
        <v/>
      </c>
    </row>
    <row r="4505" spans="1:11">
      <c r="A4505" s="14" t="str">
        <f t="shared" si="210"/>
        <v/>
      </c>
      <c r="C4505" s="14" t="str">
        <f>IFERROR(INDEX(面试清单!D:D,MATCH(4504,面试清单!P:P,0)),"")</f>
        <v/>
      </c>
      <c r="H4505" s="14" t="str">
        <f>IFERROR(INDEX(面试清单!H:H,MATCH(4504,面试清单!P:P,0)),"")</f>
        <v/>
      </c>
      <c r="J4505" s="14" t="str">
        <f ca="1" t="shared" si="211"/>
        <v/>
      </c>
      <c r="K4505" s="14" t="str">
        <f ca="1" t="shared" si="212"/>
        <v/>
      </c>
    </row>
    <row r="4506" spans="1:11">
      <c r="A4506" s="10" t="str">
        <f t="shared" si="210"/>
        <v/>
      </c>
      <c r="C4506" s="10" t="str">
        <f>IFERROR(INDEX(面试清单!D:D,MATCH(4505,面试清单!P:P,0)),"")</f>
        <v/>
      </c>
      <c r="H4506" s="10" t="str">
        <f>IFERROR(INDEX(面试清单!H:H,MATCH(4505,面试清单!P:P,0)),"")</f>
        <v/>
      </c>
      <c r="J4506" s="10" t="str">
        <f ca="1" t="shared" si="211"/>
        <v/>
      </c>
      <c r="K4506" s="10" t="str">
        <f ca="1" t="shared" si="212"/>
        <v/>
      </c>
    </row>
    <row r="4507" spans="1:11">
      <c r="A4507" s="14" t="str">
        <f t="shared" si="210"/>
        <v/>
      </c>
      <c r="C4507" s="14" t="str">
        <f>IFERROR(INDEX(面试清单!D:D,MATCH(4506,面试清单!P:P,0)),"")</f>
        <v/>
      </c>
      <c r="H4507" s="14" t="str">
        <f>IFERROR(INDEX(面试清单!H:H,MATCH(4506,面试清单!P:P,0)),"")</f>
        <v/>
      </c>
      <c r="J4507" s="14" t="str">
        <f ca="1" t="shared" si="211"/>
        <v/>
      </c>
      <c r="K4507" s="14" t="str">
        <f ca="1" t="shared" si="212"/>
        <v/>
      </c>
    </row>
    <row r="4508" spans="1:11">
      <c r="A4508" s="10" t="str">
        <f t="shared" si="210"/>
        <v/>
      </c>
      <c r="C4508" s="10" t="str">
        <f>IFERROR(INDEX(面试清单!D:D,MATCH(4507,面试清单!P:P,0)),"")</f>
        <v/>
      </c>
      <c r="H4508" s="10" t="str">
        <f>IFERROR(INDEX(面试清单!H:H,MATCH(4507,面试清单!P:P,0)),"")</f>
        <v/>
      </c>
      <c r="J4508" s="10" t="str">
        <f ca="1" t="shared" si="211"/>
        <v/>
      </c>
      <c r="K4508" s="10" t="str">
        <f ca="1" t="shared" si="212"/>
        <v/>
      </c>
    </row>
    <row r="4509" spans="1:11">
      <c r="A4509" s="14" t="str">
        <f t="shared" si="210"/>
        <v/>
      </c>
      <c r="C4509" s="14" t="str">
        <f>IFERROR(INDEX(面试清单!D:D,MATCH(4508,面试清单!P:P,0)),"")</f>
        <v/>
      </c>
      <c r="H4509" s="14" t="str">
        <f>IFERROR(INDEX(面试清单!H:H,MATCH(4508,面试清单!P:P,0)),"")</f>
        <v/>
      </c>
      <c r="J4509" s="14" t="str">
        <f ca="1" t="shared" si="211"/>
        <v/>
      </c>
      <c r="K4509" s="14" t="str">
        <f ca="1" t="shared" si="212"/>
        <v/>
      </c>
    </row>
    <row r="4510" spans="1:11">
      <c r="A4510" s="10" t="str">
        <f t="shared" si="210"/>
        <v/>
      </c>
      <c r="C4510" s="10" t="str">
        <f>IFERROR(INDEX(面试清单!D:D,MATCH(4509,面试清单!P:P,0)),"")</f>
        <v/>
      </c>
      <c r="H4510" s="10" t="str">
        <f>IFERROR(INDEX(面试清单!H:H,MATCH(4509,面试清单!P:P,0)),"")</f>
        <v/>
      </c>
      <c r="J4510" s="10" t="str">
        <f ca="1" t="shared" si="211"/>
        <v/>
      </c>
      <c r="K4510" s="10" t="str">
        <f ca="1" t="shared" si="212"/>
        <v/>
      </c>
    </row>
    <row r="4511" spans="1:11">
      <c r="A4511" s="14" t="str">
        <f t="shared" si="210"/>
        <v/>
      </c>
      <c r="C4511" s="14" t="str">
        <f>IFERROR(INDEX(面试清单!D:D,MATCH(4510,面试清单!P:P,0)),"")</f>
        <v/>
      </c>
      <c r="H4511" s="14" t="str">
        <f>IFERROR(INDEX(面试清单!H:H,MATCH(4510,面试清单!P:P,0)),"")</f>
        <v/>
      </c>
      <c r="J4511" s="14" t="str">
        <f ca="1" t="shared" si="211"/>
        <v/>
      </c>
      <c r="K4511" s="14" t="str">
        <f ca="1" t="shared" si="212"/>
        <v/>
      </c>
    </row>
    <row r="4512" spans="1:11">
      <c r="A4512" s="10" t="str">
        <f t="shared" si="210"/>
        <v/>
      </c>
      <c r="C4512" s="10" t="str">
        <f>IFERROR(INDEX(面试清单!D:D,MATCH(4511,面试清单!P:P,0)),"")</f>
        <v/>
      </c>
      <c r="H4512" s="10" t="str">
        <f>IFERROR(INDEX(面试清单!H:H,MATCH(4511,面试清单!P:P,0)),"")</f>
        <v/>
      </c>
      <c r="J4512" s="10" t="str">
        <f ca="1" t="shared" si="211"/>
        <v/>
      </c>
      <c r="K4512" s="10" t="str">
        <f ca="1" t="shared" si="212"/>
        <v/>
      </c>
    </row>
    <row r="4513" spans="1:11">
      <c r="A4513" s="14" t="str">
        <f t="shared" si="210"/>
        <v/>
      </c>
      <c r="C4513" s="14" t="str">
        <f>IFERROR(INDEX(面试清单!D:D,MATCH(4512,面试清单!P:P,0)),"")</f>
        <v/>
      </c>
      <c r="H4513" s="14" t="str">
        <f>IFERROR(INDEX(面试清单!H:H,MATCH(4512,面试清单!P:P,0)),"")</f>
        <v/>
      </c>
      <c r="J4513" s="14" t="str">
        <f ca="1" t="shared" si="211"/>
        <v/>
      </c>
      <c r="K4513" s="14" t="str">
        <f ca="1" t="shared" si="212"/>
        <v/>
      </c>
    </row>
    <row r="4514" spans="1:11">
      <c r="A4514" s="10" t="str">
        <f t="shared" si="210"/>
        <v/>
      </c>
      <c r="C4514" s="10" t="str">
        <f>IFERROR(INDEX(面试清单!D:D,MATCH(4513,面试清单!P:P,0)),"")</f>
        <v/>
      </c>
      <c r="H4514" s="10" t="str">
        <f>IFERROR(INDEX(面试清单!H:H,MATCH(4513,面试清单!P:P,0)),"")</f>
        <v/>
      </c>
      <c r="J4514" s="10" t="str">
        <f ca="1" t="shared" si="211"/>
        <v/>
      </c>
      <c r="K4514" s="10" t="str">
        <f ca="1" t="shared" si="212"/>
        <v/>
      </c>
    </row>
    <row r="4515" spans="1:11">
      <c r="A4515" s="14" t="str">
        <f t="shared" si="210"/>
        <v/>
      </c>
      <c r="C4515" s="14" t="str">
        <f>IFERROR(INDEX(面试清单!D:D,MATCH(4514,面试清单!P:P,0)),"")</f>
        <v/>
      </c>
      <c r="H4515" s="14" t="str">
        <f>IFERROR(INDEX(面试清单!H:H,MATCH(4514,面试清单!P:P,0)),"")</f>
        <v/>
      </c>
      <c r="J4515" s="14" t="str">
        <f ca="1" t="shared" si="211"/>
        <v/>
      </c>
      <c r="K4515" s="14" t="str">
        <f ca="1" t="shared" si="212"/>
        <v/>
      </c>
    </row>
    <row r="4516" spans="1:11">
      <c r="A4516" s="10" t="str">
        <f t="shared" si="210"/>
        <v/>
      </c>
      <c r="C4516" s="10" t="str">
        <f>IFERROR(INDEX(面试清单!D:D,MATCH(4515,面试清单!P:P,0)),"")</f>
        <v/>
      </c>
      <c r="H4516" s="10" t="str">
        <f>IFERROR(INDEX(面试清单!H:H,MATCH(4515,面试清单!P:P,0)),"")</f>
        <v/>
      </c>
      <c r="J4516" s="10" t="str">
        <f ca="1" t="shared" si="211"/>
        <v/>
      </c>
      <c r="K4516" s="10" t="str">
        <f ca="1" t="shared" si="212"/>
        <v/>
      </c>
    </row>
    <row r="4517" spans="1:11">
      <c r="A4517" s="14" t="str">
        <f t="shared" si="210"/>
        <v/>
      </c>
      <c r="C4517" s="14" t="str">
        <f>IFERROR(INDEX(面试清单!D:D,MATCH(4516,面试清单!P:P,0)),"")</f>
        <v/>
      </c>
      <c r="H4517" s="14" t="str">
        <f>IFERROR(INDEX(面试清单!H:H,MATCH(4516,面试清单!P:P,0)),"")</f>
        <v/>
      </c>
      <c r="J4517" s="14" t="str">
        <f ca="1" t="shared" si="211"/>
        <v/>
      </c>
      <c r="K4517" s="14" t="str">
        <f ca="1" t="shared" si="212"/>
        <v/>
      </c>
    </row>
    <row r="4518" spans="1:11">
      <c r="A4518" s="10" t="str">
        <f t="shared" si="210"/>
        <v/>
      </c>
      <c r="C4518" s="10" t="str">
        <f>IFERROR(INDEX(面试清单!D:D,MATCH(4517,面试清单!P:P,0)),"")</f>
        <v/>
      </c>
      <c r="H4518" s="10" t="str">
        <f>IFERROR(INDEX(面试清单!H:H,MATCH(4517,面试清单!P:P,0)),"")</f>
        <v/>
      </c>
      <c r="J4518" s="10" t="str">
        <f ca="1" t="shared" si="211"/>
        <v/>
      </c>
      <c r="K4518" s="10" t="str">
        <f ca="1" t="shared" si="212"/>
        <v/>
      </c>
    </row>
    <row r="4519" spans="1:11">
      <c r="A4519" s="14" t="str">
        <f t="shared" si="210"/>
        <v/>
      </c>
      <c r="C4519" s="14" t="str">
        <f>IFERROR(INDEX(面试清单!D:D,MATCH(4518,面试清单!P:P,0)),"")</f>
        <v/>
      </c>
      <c r="H4519" s="14" t="str">
        <f>IFERROR(INDEX(面试清单!H:H,MATCH(4518,面试清单!P:P,0)),"")</f>
        <v/>
      </c>
      <c r="J4519" s="14" t="str">
        <f ca="1" t="shared" si="211"/>
        <v/>
      </c>
      <c r="K4519" s="14" t="str">
        <f ca="1" t="shared" si="212"/>
        <v/>
      </c>
    </row>
    <row r="4520" spans="1:11">
      <c r="A4520" s="10" t="str">
        <f t="shared" si="210"/>
        <v/>
      </c>
      <c r="C4520" s="10" t="str">
        <f>IFERROR(INDEX(面试清单!D:D,MATCH(4519,面试清单!P:P,0)),"")</f>
        <v/>
      </c>
      <c r="H4520" s="10" t="str">
        <f>IFERROR(INDEX(面试清单!H:H,MATCH(4519,面试清单!P:P,0)),"")</f>
        <v/>
      </c>
      <c r="J4520" s="10" t="str">
        <f ca="1" t="shared" si="211"/>
        <v/>
      </c>
      <c r="K4520" s="10" t="str">
        <f ca="1" t="shared" si="212"/>
        <v/>
      </c>
    </row>
    <row r="4521" spans="1:11">
      <c r="A4521" s="14" t="str">
        <f t="shared" si="210"/>
        <v/>
      </c>
      <c r="C4521" s="14" t="str">
        <f>IFERROR(INDEX(面试清单!D:D,MATCH(4520,面试清单!P:P,0)),"")</f>
        <v/>
      </c>
      <c r="H4521" s="14" t="str">
        <f>IFERROR(INDEX(面试清单!H:H,MATCH(4520,面试清单!P:P,0)),"")</f>
        <v/>
      </c>
      <c r="J4521" s="14" t="str">
        <f ca="1" t="shared" si="211"/>
        <v/>
      </c>
      <c r="K4521" s="14" t="str">
        <f ca="1" t="shared" si="212"/>
        <v/>
      </c>
    </row>
    <row r="4522" spans="1:11">
      <c r="A4522" s="10" t="str">
        <f t="shared" si="210"/>
        <v/>
      </c>
      <c r="C4522" s="10" t="str">
        <f>IFERROR(INDEX(面试清单!D:D,MATCH(4521,面试清单!P:P,0)),"")</f>
        <v/>
      </c>
      <c r="H4522" s="10" t="str">
        <f>IFERROR(INDEX(面试清单!H:H,MATCH(4521,面试清单!P:P,0)),"")</f>
        <v/>
      </c>
      <c r="J4522" s="10" t="str">
        <f ca="1" t="shared" si="211"/>
        <v/>
      </c>
      <c r="K4522" s="10" t="str">
        <f ca="1" t="shared" si="212"/>
        <v/>
      </c>
    </row>
    <row r="4523" spans="1:11">
      <c r="A4523" s="14" t="str">
        <f t="shared" si="210"/>
        <v/>
      </c>
      <c r="C4523" s="14" t="str">
        <f>IFERROR(INDEX(面试清单!D:D,MATCH(4522,面试清单!P:P,0)),"")</f>
        <v/>
      </c>
      <c r="H4523" s="14" t="str">
        <f>IFERROR(INDEX(面试清单!H:H,MATCH(4522,面试清单!P:P,0)),"")</f>
        <v/>
      </c>
      <c r="J4523" s="14" t="str">
        <f ca="1" t="shared" si="211"/>
        <v/>
      </c>
      <c r="K4523" s="14" t="str">
        <f ca="1" t="shared" si="212"/>
        <v/>
      </c>
    </row>
    <row r="4524" spans="1:11">
      <c r="A4524" s="10" t="str">
        <f t="shared" si="210"/>
        <v/>
      </c>
      <c r="C4524" s="10" t="str">
        <f>IFERROR(INDEX(面试清单!D:D,MATCH(4523,面试清单!P:P,0)),"")</f>
        <v/>
      </c>
      <c r="H4524" s="10" t="str">
        <f>IFERROR(INDEX(面试清单!H:H,MATCH(4523,面试清单!P:P,0)),"")</f>
        <v/>
      </c>
      <c r="J4524" s="10" t="str">
        <f ca="1" t="shared" si="211"/>
        <v/>
      </c>
      <c r="K4524" s="10" t="str">
        <f ca="1" t="shared" si="212"/>
        <v/>
      </c>
    </row>
    <row r="4525" spans="1:11">
      <c r="A4525" s="14" t="str">
        <f t="shared" si="210"/>
        <v/>
      </c>
      <c r="C4525" s="14" t="str">
        <f>IFERROR(INDEX(面试清单!D:D,MATCH(4524,面试清单!P:P,0)),"")</f>
        <v/>
      </c>
      <c r="H4525" s="14" t="str">
        <f>IFERROR(INDEX(面试清单!H:H,MATCH(4524,面试清单!P:P,0)),"")</f>
        <v/>
      </c>
      <c r="J4525" s="14" t="str">
        <f ca="1" t="shared" si="211"/>
        <v/>
      </c>
      <c r="K4525" s="14" t="str">
        <f ca="1" t="shared" si="212"/>
        <v/>
      </c>
    </row>
    <row r="4526" spans="1:11">
      <c r="A4526" s="10" t="str">
        <f t="shared" si="210"/>
        <v/>
      </c>
      <c r="C4526" s="10" t="str">
        <f>IFERROR(INDEX(面试清单!D:D,MATCH(4525,面试清单!P:P,0)),"")</f>
        <v/>
      </c>
      <c r="H4526" s="10" t="str">
        <f>IFERROR(INDEX(面试清单!H:H,MATCH(4525,面试清单!P:P,0)),"")</f>
        <v/>
      </c>
      <c r="J4526" s="10" t="str">
        <f ca="1" t="shared" si="211"/>
        <v/>
      </c>
      <c r="K4526" s="10" t="str">
        <f ca="1" t="shared" si="212"/>
        <v/>
      </c>
    </row>
    <row r="4527" spans="1:11">
      <c r="A4527" s="14" t="str">
        <f t="shared" si="210"/>
        <v/>
      </c>
      <c r="C4527" s="14" t="str">
        <f>IFERROR(INDEX(面试清单!D:D,MATCH(4526,面试清单!P:P,0)),"")</f>
        <v/>
      </c>
      <c r="H4527" s="14" t="str">
        <f>IFERROR(INDEX(面试清单!H:H,MATCH(4526,面试清单!P:P,0)),"")</f>
        <v/>
      </c>
      <c r="J4527" s="14" t="str">
        <f ca="1" t="shared" si="211"/>
        <v/>
      </c>
      <c r="K4527" s="14" t="str">
        <f ca="1" t="shared" si="212"/>
        <v/>
      </c>
    </row>
    <row r="4528" spans="1:11">
      <c r="A4528" s="10" t="str">
        <f t="shared" si="210"/>
        <v/>
      </c>
      <c r="C4528" s="10" t="str">
        <f>IFERROR(INDEX(面试清单!D:D,MATCH(4527,面试清单!P:P,0)),"")</f>
        <v/>
      </c>
      <c r="H4528" s="10" t="str">
        <f>IFERROR(INDEX(面试清单!H:H,MATCH(4527,面试清单!P:P,0)),"")</f>
        <v/>
      </c>
      <c r="J4528" s="10" t="str">
        <f ca="1" t="shared" si="211"/>
        <v/>
      </c>
      <c r="K4528" s="10" t="str">
        <f ca="1" t="shared" si="212"/>
        <v/>
      </c>
    </row>
    <row r="4529" spans="1:11">
      <c r="A4529" s="14" t="str">
        <f t="shared" si="210"/>
        <v/>
      </c>
      <c r="C4529" s="14" t="str">
        <f>IFERROR(INDEX(面试清单!D:D,MATCH(4528,面试清单!P:P,0)),"")</f>
        <v/>
      </c>
      <c r="H4529" s="14" t="str">
        <f>IFERROR(INDEX(面试清单!H:H,MATCH(4528,面试清单!P:P,0)),"")</f>
        <v/>
      </c>
      <c r="J4529" s="14" t="str">
        <f ca="1" t="shared" si="211"/>
        <v/>
      </c>
      <c r="K4529" s="14" t="str">
        <f ca="1" t="shared" si="212"/>
        <v/>
      </c>
    </row>
    <row r="4530" spans="1:11">
      <c r="A4530" s="10" t="str">
        <f t="shared" si="210"/>
        <v/>
      </c>
      <c r="C4530" s="10" t="str">
        <f>IFERROR(INDEX(面试清单!D:D,MATCH(4529,面试清单!P:P,0)),"")</f>
        <v/>
      </c>
      <c r="H4530" s="10" t="str">
        <f>IFERROR(INDEX(面试清单!H:H,MATCH(4529,面试清单!P:P,0)),"")</f>
        <v/>
      </c>
      <c r="J4530" s="10" t="str">
        <f ca="1" t="shared" si="211"/>
        <v/>
      </c>
      <c r="K4530" s="10" t="str">
        <f ca="1" t="shared" si="212"/>
        <v/>
      </c>
    </row>
    <row r="4531" spans="1:11">
      <c r="A4531" s="14" t="str">
        <f t="shared" si="210"/>
        <v/>
      </c>
      <c r="C4531" s="14" t="str">
        <f>IFERROR(INDEX(面试清单!D:D,MATCH(4530,面试清单!P:P,0)),"")</f>
        <v/>
      </c>
      <c r="H4531" s="14" t="str">
        <f>IFERROR(INDEX(面试清单!H:H,MATCH(4530,面试清单!P:P,0)),"")</f>
        <v/>
      </c>
      <c r="J4531" s="14" t="str">
        <f ca="1" t="shared" si="211"/>
        <v/>
      </c>
      <c r="K4531" s="14" t="str">
        <f ca="1" t="shared" si="212"/>
        <v/>
      </c>
    </row>
    <row r="4532" spans="1:11">
      <c r="A4532" s="10" t="str">
        <f t="shared" si="210"/>
        <v/>
      </c>
      <c r="C4532" s="10" t="str">
        <f>IFERROR(INDEX(面试清单!D:D,MATCH(4531,面试清单!P:P,0)),"")</f>
        <v/>
      </c>
      <c r="H4532" s="10" t="str">
        <f>IFERROR(INDEX(面试清单!H:H,MATCH(4531,面试清单!P:P,0)),"")</f>
        <v/>
      </c>
      <c r="J4532" s="10" t="str">
        <f ca="1" t="shared" si="211"/>
        <v/>
      </c>
      <c r="K4532" s="10" t="str">
        <f ca="1" t="shared" si="212"/>
        <v/>
      </c>
    </row>
    <row r="4533" spans="1:11">
      <c r="A4533" s="14" t="str">
        <f t="shared" si="210"/>
        <v/>
      </c>
      <c r="C4533" s="14" t="str">
        <f>IFERROR(INDEX(面试清单!D:D,MATCH(4532,面试清单!P:P,0)),"")</f>
        <v/>
      </c>
      <c r="H4533" s="14" t="str">
        <f>IFERROR(INDEX(面试清单!H:H,MATCH(4532,面试清单!P:P,0)),"")</f>
        <v/>
      </c>
      <c r="J4533" s="14" t="str">
        <f ca="1" t="shared" si="211"/>
        <v/>
      </c>
      <c r="K4533" s="14" t="str">
        <f ca="1" t="shared" si="212"/>
        <v/>
      </c>
    </row>
    <row r="4534" spans="1:11">
      <c r="A4534" s="10" t="str">
        <f t="shared" si="210"/>
        <v/>
      </c>
      <c r="C4534" s="10" t="str">
        <f>IFERROR(INDEX(面试清单!D:D,MATCH(4533,面试清单!P:P,0)),"")</f>
        <v/>
      </c>
      <c r="H4534" s="10" t="str">
        <f>IFERROR(INDEX(面试清单!H:H,MATCH(4533,面试清单!P:P,0)),"")</f>
        <v/>
      </c>
      <c r="J4534" s="10" t="str">
        <f ca="1" t="shared" si="211"/>
        <v/>
      </c>
      <c r="K4534" s="10" t="str">
        <f ca="1" t="shared" si="212"/>
        <v/>
      </c>
    </row>
    <row r="4535" spans="1:11">
      <c r="A4535" s="14" t="str">
        <f t="shared" si="210"/>
        <v/>
      </c>
      <c r="C4535" s="14" t="str">
        <f>IFERROR(INDEX(面试清单!D:D,MATCH(4534,面试清单!P:P,0)),"")</f>
        <v/>
      </c>
      <c r="H4535" s="14" t="str">
        <f>IFERROR(INDEX(面试清单!H:H,MATCH(4534,面试清单!P:P,0)),"")</f>
        <v/>
      </c>
      <c r="J4535" s="14" t="str">
        <f ca="1" t="shared" si="211"/>
        <v/>
      </c>
      <c r="K4535" s="14" t="str">
        <f ca="1" t="shared" si="212"/>
        <v/>
      </c>
    </row>
    <row r="4536" spans="1:11">
      <c r="A4536" s="10" t="str">
        <f t="shared" si="210"/>
        <v/>
      </c>
      <c r="C4536" s="10" t="str">
        <f>IFERROR(INDEX(面试清单!D:D,MATCH(4535,面试清单!P:P,0)),"")</f>
        <v/>
      </c>
      <c r="H4536" s="10" t="str">
        <f>IFERROR(INDEX(面试清单!H:H,MATCH(4535,面试清单!P:P,0)),"")</f>
        <v/>
      </c>
      <c r="J4536" s="10" t="str">
        <f ca="1" t="shared" si="211"/>
        <v/>
      </c>
      <c r="K4536" s="10" t="str">
        <f ca="1" t="shared" si="212"/>
        <v/>
      </c>
    </row>
    <row r="4537" spans="1:11">
      <c r="A4537" s="14" t="str">
        <f t="shared" si="210"/>
        <v/>
      </c>
      <c r="C4537" s="14" t="str">
        <f>IFERROR(INDEX(面试清单!D:D,MATCH(4536,面试清单!P:P,0)),"")</f>
        <v/>
      </c>
      <c r="H4537" s="14" t="str">
        <f>IFERROR(INDEX(面试清单!H:H,MATCH(4536,面试清单!P:P,0)),"")</f>
        <v/>
      </c>
      <c r="J4537" s="14" t="str">
        <f ca="1" t="shared" si="211"/>
        <v/>
      </c>
      <c r="K4537" s="14" t="str">
        <f ca="1" t="shared" si="212"/>
        <v/>
      </c>
    </row>
    <row r="4538" spans="1:11">
      <c r="A4538" s="10" t="str">
        <f t="shared" si="210"/>
        <v/>
      </c>
      <c r="C4538" s="10" t="str">
        <f>IFERROR(INDEX(面试清单!D:D,MATCH(4537,面试清单!P:P,0)),"")</f>
        <v/>
      </c>
      <c r="H4538" s="10" t="str">
        <f>IFERROR(INDEX(面试清单!H:H,MATCH(4537,面试清单!P:P,0)),"")</f>
        <v/>
      </c>
      <c r="J4538" s="10" t="str">
        <f ca="1" t="shared" si="211"/>
        <v/>
      </c>
      <c r="K4538" s="10" t="str">
        <f ca="1" t="shared" si="212"/>
        <v/>
      </c>
    </row>
    <row r="4539" spans="1:11">
      <c r="A4539" s="14" t="str">
        <f t="shared" si="210"/>
        <v/>
      </c>
      <c r="C4539" s="14" t="str">
        <f>IFERROR(INDEX(面试清单!D:D,MATCH(4538,面试清单!P:P,0)),"")</f>
        <v/>
      </c>
      <c r="H4539" s="14" t="str">
        <f>IFERROR(INDEX(面试清单!H:H,MATCH(4538,面试清单!P:P,0)),"")</f>
        <v/>
      </c>
      <c r="J4539" s="14" t="str">
        <f ca="1" t="shared" si="211"/>
        <v/>
      </c>
      <c r="K4539" s="14" t="str">
        <f ca="1" t="shared" si="212"/>
        <v/>
      </c>
    </row>
    <row r="4540" spans="1:11">
      <c r="A4540" s="10" t="str">
        <f t="shared" si="210"/>
        <v/>
      </c>
      <c r="C4540" s="10" t="str">
        <f>IFERROR(INDEX(面试清单!D:D,MATCH(4539,面试清单!P:P,0)),"")</f>
        <v/>
      </c>
      <c r="H4540" s="10" t="str">
        <f>IFERROR(INDEX(面试清单!H:H,MATCH(4539,面试清单!P:P,0)),"")</f>
        <v/>
      </c>
      <c r="J4540" s="10" t="str">
        <f ca="1" t="shared" si="211"/>
        <v/>
      </c>
      <c r="K4540" s="10" t="str">
        <f ca="1" t="shared" si="212"/>
        <v/>
      </c>
    </row>
    <row r="4541" spans="1:11">
      <c r="A4541" s="14" t="str">
        <f t="shared" si="210"/>
        <v/>
      </c>
      <c r="C4541" s="14" t="str">
        <f>IFERROR(INDEX(面试清单!D:D,MATCH(4540,面试清单!P:P,0)),"")</f>
        <v/>
      </c>
      <c r="H4541" s="14" t="str">
        <f>IFERROR(INDEX(面试清单!H:H,MATCH(4540,面试清单!P:P,0)),"")</f>
        <v/>
      </c>
      <c r="J4541" s="14" t="str">
        <f ca="1" t="shared" si="211"/>
        <v/>
      </c>
      <c r="K4541" s="14" t="str">
        <f ca="1" t="shared" si="212"/>
        <v/>
      </c>
    </row>
    <row r="4542" spans="1:11">
      <c r="A4542" s="10" t="str">
        <f t="shared" si="210"/>
        <v/>
      </c>
      <c r="C4542" s="10" t="str">
        <f>IFERROR(INDEX(面试清单!D:D,MATCH(4541,面试清单!P:P,0)),"")</f>
        <v/>
      </c>
      <c r="H4542" s="10" t="str">
        <f>IFERROR(INDEX(面试清单!H:H,MATCH(4541,面试清单!P:P,0)),"")</f>
        <v/>
      </c>
      <c r="J4542" s="10" t="str">
        <f ca="1" t="shared" si="211"/>
        <v/>
      </c>
      <c r="K4542" s="10" t="str">
        <f ca="1" t="shared" si="212"/>
        <v/>
      </c>
    </row>
    <row r="4543" spans="1:11">
      <c r="A4543" s="14" t="str">
        <f t="shared" si="210"/>
        <v/>
      </c>
      <c r="C4543" s="14" t="str">
        <f>IFERROR(INDEX(面试清单!D:D,MATCH(4542,面试清单!P:P,0)),"")</f>
        <v/>
      </c>
      <c r="H4543" s="14" t="str">
        <f>IFERROR(INDEX(面试清单!H:H,MATCH(4542,面试清单!P:P,0)),"")</f>
        <v/>
      </c>
      <c r="J4543" s="14" t="str">
        <f ca="1" t="shared" si="211"/>
        <v/>
      </c>
      <c r="K4543" s="14" t="str">
        <f ca="1" t="shared" si="212"/>
        <v/>
      </c>
    </row>
    <row r="4544" spans="1:11">
      <c r="A4544" s="10" t="str">
        <f t="shared" si="210"/>
        <v/>
      </c>
      <c r="C4544" s="10" t="str">
        <f>IFERROR(INDEX(面试清单!D:D,MATCH(4543,面试清单!P:P,0)),"")</f>
        <v/>
      </c>
      <c r="H4544" s="10" t="str">
        <f>IFERROR(INDEX(面试清单!H:H,MATCH(4543,面试清单!P:P,0)),"")</f>
        <v/>
      </c>
      <c r="J4544" s="10" t="str">
        <f ca="1" t="shared" si="211"/>
        <v/>
      </c>
      <c r="K4544" s="10" t="str">
        <f ca="1" t="shared" si="212"/>
        <v/>
      </c>
    </row>
    <row r="4545" spans="1:11">
      <c r="A4545" s="14" t="str">
        <f t="shared" si="210"/>
        <v/>
      </c>
      <c r="C4545" s="14" t="str">
        <f>IFERROR(INDEX(面试清单!D:D,MATCH(4544,面试清单!P:P,0)),"")</f>
        <v/>
      </c>
      <c r="H4545" s="14" t="str">
        <f>IFERROR(INDEX(面试清单!H:H,MATCH(4544,面试清单!P:P,0)),"")</f>
        <v/>
      </c>
      <c r="J4545" s="14" t="str">
        <f ca="1" t="shared" si="211"/>
        <v/>
      </c>
      <c r="K4545" s="14" t="str">
        <f ca="1" t="shared" si="212"/>
        <v/>
      </c>
    </row>
    <row r="4546" spans="1:11">
      <c r="A4546" s="10" t="str">
        <f t="shared" ref="A4546:A4609" si="213">IF(B4546&lt;&gt;"",ROW()-1,"")</f>
        <v/>
      </c>
      <c r="C4546" s="10" t="str">
        <f>IFERROR(INDEX(面试清单!D:D,MATCH(4545,面试清单!P:P,0)),"")</f>
        <v/>
      </c>
      <c r="H4546" s="10" t="str">
        <f>IFERROR(INDEX(面试清单!H:H,MATCH(4545,面试清单!P:P,0)),"")</f>
        <v/>
      </c>
      <c r="J4546" s="10" t="str">
        <f ca="1" t="shared" ref="J4546:J4609" si="214">IF(G4546&lt;&gt;"",TODAY()-G4546,"")</f>
        <v/>
      </c>
      <c r="K4546" s="10" t="str">
        <f ca="1" t="shared" ref="K4546:K4609" si="215">IF(G4546&lt;&gt;"",MAX(0,MIN(TODAY(),EOMONTH(TODAY(),0))-MAX(G4546,EOMONTH(TODAY(),-1)+1)+1),"")</f>
        <v/>
      </c>
    </row>
    <row r="4547" spans="1:11">
      <c r="A4547" s="14" t="str">
        <f t="shared" si="213"/>
        <v/>
      </c>
      <c r="C4547" s="14" t="str">
        <f>IFERROR(INDEX(面试清单!D:D,MATCH(4546,面试清单!P:P,0)),"")</f>
        <v/>
      </c>
      <c r="H4547" s="14" t="str">
        <f>IFERROR(INDEX(面试清单!H:H,MATCH(4546,面试清单!P:P,0)),"")</f>
        <v/>
      </c>
      <c r="J4547" s="14" t="str">
        <f ca="1" t="shared" si="214"/>
        <v/>
      </c>
      <c r="K4547" s="14" t="str">
        <f ca="1" t="shared" si="215"/>
        <v/>
      </c>
    </row>
    <row r="4548" spans="1:11">
      <c r="A4548" s="10" t="str">
        <f t="shared" si="213"/>
        <v/>
      </c>
      <c r="C4548" s="10" t="str">
        <f>IFERROR(INDEX(面试清单!D:D,MATCH(4547,面试清单!P:P,0)),"")</f>
        <v/>
      </c>
      <c r="H4548" s="10" t="str">
        <f>IFERROR(INDEX(面试清单!H:H,MATCH(4547,面试清单!P:P,0)),"")</f>
        <v/>
      </c>
      <c r="J4548" s="10" t="str">
        <f ca="1" t="shared" si="214"/>
        <v/>
      </c>
      <c r="K4548" s="10" t="str">
        <f ca="1" t="shared" si="215"/>
        <v/>
      </c>
    </row>
    <row r="4549" spans="1:11">
      <c r="A4549" s="14" t="str">
        <f t="shared" si="213"/>
        <v/>
      </c>
      <c r="C4549" s="14" t="str">
        <f>IFERROR(INDEX(面试清单!D:D,MATCH(4548,面试清单!P:P,0)),"")</f>
        <v/>
      </c>
      <c r="H4549" s="14" t="str">
        <f>IFERROR(INDEX(面试清单!H:H,MATCH(4548,面试清单!P:P,0)),"")</f>
        <v/>
      </c>
      <c r="J4549" s="14" t="str">
        <f ca="1" t="shared" si="214"/>
        <v/>
      </c>
      <c r="K4549" s="14" t="str">
        <f ca="1" t="shared" si="215"/>
        <v/>
      </c>
    </row>
    <row r="4550" spans="1:11">
      <c r="A4550" s="10" t="str">
        <f t="shared" si="213"/>
        <v/>
      </c>
      <c r="C4550" s="10" t="str">
        <f>IFERROR(INDEX(面试清单!D:D,MATCH(4549,面试清单!P:P,0)),"")</f>
        <v/>
      </c>
      <c r="H4550" s="10" t="str">
        <f>IFERROR(INDEX(面试清单!H:H,MATCH(4549,面试清单!P:P,0)),"")</f>
        <v/>
      </c>
      <c r="J4550" s="10" t="str">
        <f ca="1" t="shared" si="214"/>
        <v/>
      </c>
      <c r="K4550" s="10" t="str">
        <f ca="1" t="shared" si="215"/>
        <v/>
      </c>
    </row>
    <row r="4551" spans="1:11">
      <c r="A4551" s="14" t="str">
        <f t="shared" si="213"/>
        <v/>
      </c>
      <c r="C4551" s="14" t="str">
        <f>IFERROR(INDEX(面试清单!D:D,MATCH(4550,面试清单!P:P,0)),"")</f>
        <v/>
      </c>
      <c r="H4551" s="14" t="str">
        <f>IFERROR(INDEX(面试清单!H:H,MATCH(4550,面试清单!P:P,0)),"")</f>
        <v/>
      </c>
      <c r="J4551" s="14" t="str">
        <f ca="1" t="shared" si="214"/>
        <v/>
      </c>
      <c r="K4551" s="14" t="str">
        <f ca="1" t="shared" si="215"/>
        <v/>
      </c>
    </row>
    <row r="4552" spans="1:11">
      <c r="A4552" s="10" t="str">
        <f t="shared" si="213"/>
        <v/>
      </c>
      <c r="C4552" s="10" t="str">
        <f>IFERROR(INDEX(面试清单!D:D,MATCH(4551,面试清单!P:P,0)),"")</f>
        <v/>
      </c>
      <c r="H4552" s="10" t="str">
        <f>IFERROR(INDEX(面试清单!H:H,MATCH(4551,面试清单!P:P,0)),"")</f>
        <v/>
      </c>
      <c r="J4552" s="10" t="str">
        <f ca="1" t="shared" si="214"/>
        <v/>
      </c>
      <c r="K4552" s="10" t="str">
        <f ca="1" t="shared" si="215"/>
        <v/>
      </c>
    </row>
    <row r="4553" spans="1:11">
      <c r="A4553" s="14" t="str">
        <f t="shared" si="213"/>
        <v/>
      </c>
      <c r="C4553" s="14" t="str">
        <f>IFERROR(INDEX(面试清单!D:D,MATCH(4552,面试清单!P:P,0)),"")</f>
        <v/>
      </c>
      <c r="H4553" s="14" t="str">
        <f>IFERROR(INDEX(面试清单!H:H,MATCH(4552,面试清单!P:P,0)),"")</f>
        <v/>
      </c>
      <c r="J4553" s="14" t="str">
        <f ca="1" t="shared" si="214"/>
        <v/>
      </c>
      <c r="K4553" s="14" t="str">
        <f ca="1" t="shared" si="215"/>
        <v/>
      </c>
    </row>
    <row r="4554" spans="1:11">
      <c r="A4554" s="10" t="str">
        <f t="shared" si="213"/>
        <v/>
      </c>
      <c r="C4554" s="10" t="str">
        <f>IFERROR(INDEX(面试清单!D:D,MATCH(4553,面试清单!P:P,0)),"")</f>
        <v/>
      </c>
      <c r="H4554" s="10" t="str">
        <f>IFERROR(INDEX(面试清单!H:H,MATCH(4553,面试清单!P:P,0)),"")</f>
        <v/>
      </c>
      <c r="J4554" s="10" t="str">
        <f ca="1" t="shared" si="214"/>
        <v/>
      </c>
      <c r="K4554" s="10" t="str">
        <f ca="1" t="shared" si="215"/>
        <v/>
      </c>
    </row>
    <row r="4555" spans="1:11">
      <c r="A4555" s="14" t="str">
        <f t="shared" si="213"/>
        <v/>
      </c>
      <c r="C4555" s="14" t="str">
        <f>IFERROR(INDEX(面试清单!D:D,MATCH(4554,面试清单!P:P,0)),"")</f>
        <v/>
      </c>
      <c r="H4555" s="14" t="str">
        <f>IFERROR(INDEX(面试清单!H:H,MATCH(4554,面试清单!P:P,0)),"")</f>
        <v/>
      </c>
      <c r="J4555" s="14" t="str">
        <f ca="1" t="shared" si="214"/>
        <v/>
      </c>
      <c r="K4555" s="14" t="str">
        <f ca="1" t="shared" si="215"/>
        <v/>
      </c>
    </row>
    <row r="4556" spans="1:11">
      <c r="A4556" s="10" t="str">
        <f t="shared" si="213"/>
        <v/>
      </c>
      <c r="C4556" s="10" t="str">
        <f>IFERROR(INDEX(面试清单!D:D,MATCH(4555,面试清单!P:P,0)),"")</f>
        <v/>
      </c>
      <c r="H4556" s="10" t="str">
        <f>IFERROR(INDEX(面试清单!H:H,MATCH(4555,面试清单!P:P,0)),"")</f>
        <v/>
      </c>
      <c r="J4556" s="10" t="str">
        <f ca="1" t="shared" si="214"/>
        <v/>
      </c>
      <c r="K4556" s="10" t="str">
        <f ca="1" t="shared" si="215"/>
        <v/>
      </c>
    </row>
    <row r="4557" spans="1:11">
      <c r="A4557" s="14" t="str">
        <f t="shared" si="213"/>
        <v/>
      </c>
      <c r="C4557" s="14" t="str">
        <f>IFERROR(INDEX(面试清单!D:D,MATCH(4556,面试清单!P:P,0)),"")</f>
        <v/>
      </c>
      <c r="H4557" s="14" t="str">
        <f>IFERROR(INDEX(面试清单!H:H,MATCH(4556,面试清单!P:P,0)),"")</f>
        <v/>
      </c>
      <c r="J4557" s="14" t="str">
        <f ca="1" t="shared" si="214"/>
        <v/>
      </c>
      <c r="K4557" s="14" t="str">
        <f ca="1" t="shared" si="215"/>
        <v/>
      </c>
    </row>
    <row r="4558" spans="1:11">
      <c r="A4558" s="10" t="str">
        <f t="shared" si="213"/>
        <v/>
      </c>
      <c r="C4558" s="10" t="str">
        <f>IFERROR(INDEX(面试清单!D:D,MATCH(4557,面试清单!P:P,0)),"")</f>
        <v/>
      </c>
      <c r="H4558" s="10" t="str">
        <f>IFERROR(INDEX(面试清单!H:H,MATCH(4557,面试清单!P:P,0)),"")</f>
        <v/>
      </c>
      <c r="J4558" s="10" t="str">
        <f ca="1" t="shared" si="214"/>
        <v/>
      </c>
      <c r="K4558" s="10" t="str">
        <f ca="1" t="shared" si="215"/>
        <v/>
      </c>
    </row>
    <row r="4559" spans="1:11">
      <c r="A4559" s="14" t="str">
        <f t="shared" si="213"/>
        <v/>
      </c>
      <c r="C4559" s="14" t="str">
        <f>IFERROR(INDEX(面试清单!D:D,MATCH(4558,面试清单!P:P,0)),"")</f>
        <v/>
      </c>
      <c r="H4559" s="14" t="str">
        <f>IFERROR(INDEX(面试清单!H:H,MATCH(4558,面试清单!P:P,0)),"")</f>
        <v/>
      </c>
      <c r="J4559" s="14" t="str">
        <f ca="1" t="shared" si="214"/>
        <v/>
      </c>
      <c r="K4559" s="14" t="str">
        <f ca="1" t="shared" si="215"/>
        <v/>
      </c>
    </row>
    <row r="4560" spans="1:11">
      <c r="A4560" s="10" t="str">
        <f t="shared" si="213"/>
        <v/>
      </c>
      <c r="C4560" s="10" t="str">
        <f>IFERROR(INDEX(面试清单!D:D,MATCH(4559,面试清单!P:P,0)),"")</f>
        <v/>
      </c>
      <c r="H4560" s="10" t="str">
        <f>IFERROR(INDEX(面试清单!H:H,MATCH(4559,面试清单!P:P,0)),"")</f>
        <v/>
      </c>
      <c r="J4560" s="10" t="str">
        <f ca="1" t="shared" si="214"/>
        <v/>
      </c>
      <c r="K4560" s="10" t="str">
        <f ca="1" t="shared" si="215"/>
        <v/>
      </c>
    </row>
    <row r="4561" spans="1:11">
      <c r="A4561" s="14" t="str">
        <f t="shared" si="213"/>
        <v/>
      </c>
      <c r="C4561" s="14" t="str">
        <f>IFERROR(INDEX(面试清单!D:D,MATCH(4560,面试清单!P:P,0)),"")</f>
        <v/>
      </c>
      <c r="H4561" s="14" t="str">
        <f>IFERROR(INDEX(面试清单!H:H,MATCH(4560,面试清单!P:P,0)),"")</f>
        <v/>
      </c>
      <c r="J4561" s="14" t="str">
        <f ca="1" t="shared" si="214"/>
        <v/>
      </c>
      <c r="K4561" s="14" t="str">
        <f ca="1" t="shared" si="215"/>
        <v/>
      </c>
    </row>
    <row r="4562" spans="1:11">
      <c r="A4562" s="10" t="str">
        <f t="shared" si="213"/>
        <v/>
      </c>
      <c r="C4562" s="10" t="str">
        <f>IFERROR(INDEX(面试清单!D:D,MATCH(4561,面试清单!P:P,0)),"")</f>
        <v/>
      </c>
      <c r="H4562" s="10" t="str">
        <f>IFERROR(INDEX(面试清单!H:H,MATCH(4561,面试清单!P:P,0)),"")</f>
        <v/>
      </c>
      <c r="J4562" s="10" t="str">
        <f ca="1" t="shared" si="214"/>
        <v/>
      </c>
      <c r="K4562" s="10" t="str">
        <f ca="1" t="shared" si="215"/>
        <v/>
      </c>
    </row>
    <row r="4563" spans="1:11">
      <c r="A4563" s="14" t="str">
        <f t="shared" si="213"/>
        <v/>
      </c>
      <c r="C4563" s="14" t="str">
        <f>IFERROR(INDEX(面试清单!D:D,MATCH(4562,面试清单!P:P,0)),"")</f>
        <v/>
      </c>
      <c r="H4563" s="14" t="str">
        <f>IFERROR(INDEX(面试清单!H:H,MATCH(4562,面试清单!P:P,0)),"")</f>
        <v/>
      </c>
      <c r="J4563" s="14" t="str">
        <f ca="1" t="shared" si="214"/>
        <v/>
      </c>
      <c r="K4563" s="14" t="str">
        <f ca="1" t="shared" si="215"/>
        <v/>
      </c>
    </row>
    <row r="4564" spans="1:11">
      <c r="A4564" s="10" t="str">
        <f t="shared" si="213"/>
        <v/>
      </c>
      <c r="C4564" s="10" t="str">
        <f>IFERROR(INDEX(面试清单!D:D,MATCH(4563,面试清单!P:P,0)),"")</f>
        <v/>
      </c>
      <c r="H4564" s="10" t="str">
        <f>IFERROR(INDEX(面试清单!H:H,MATCH(4563,面试清单!P:P,0)),"")</f>
        <v/>
      </c>
      <c r="J4564" s="10" t="str">
        <f ca="1" t="shared" si="214"/>
        <v/>
      </c>
      <c r="K4564" s="10" t="str">
        <f ca="1" t="shared" si="215"/>
        <v/>
      </c>
    </row>
    <row r="4565" spans="1:11">
      <c r="A4565" s="14" t="str">
        <f t="shared" si="213"/>
        <v/>
      </c>
      <c r="C4565" s="14" t="str">
        <f>IFERROR(INDEX(面试清单!D:D,MATCH(4564,面试清单!P:P,0)),"")</f>
        <v/>
      </c>
      <c r="H4565" s="14" t="str">
        <f>IFERROR(INDEX(面试清单!H:H,MATCH(4564,面试清单!P:P,0)),"")</f>
        <v/>
      </c>
      <c r="J4565" s="14" t="str">
        <f ca="1" t="shared" si="214"/>
        <v/>
      </c>
      <c r="K4565" s="14" t="str">
        <f ca="1" t="shared" si="215"/>
        <v/>
      </c>
    </row>
    <row r="4566" spans="1:11">
      <c r="A4566" s="10" t="str">
        <f t="shared" si="213"/>
        <v/>
      </c>
      <c r="C4566" s="10" t="str">
        <f>IFERROR(INDEX(面试清单!D:D,MATCH(4565,面试清单!P:P,0)),"")</f>
        <v/>
      </c>
      <c r="H4566" s="10" t="str">
        <f>IFERROR(INDEX(面试清单!H:H,MATCH(4565,面试清单!P:P,0)),"")</f>
        <v/>
      </c>
      <c r="J4566" s="10" t="str">
        <f ca="1" t="shared" si="214"/>
        <v/>
      </c>
      <c r="K4566" s="10" t="str">
        <f ca="1" t="shared" si="215"/>
        <v/>
      </c>
    </row>
    <row r="4567" spans="1:11">
      <c r="A4567" s="14" t="str">
        <f t="shared" si="213"/>
        <v/>
      </c>
      <c r="C4567" s="14" t="str">
        <f>IFERROR(INDEX(面试清单!D:D,MATCH(4566,面试清单!P:P,0)),"")</f>
        <v/>
      </c>
      <c r="H4567" s="14" t="str">
        <f>IFERROR(INDEX(面试清单!H:H,MATCH(4566,面试清单!P:P,0)),"")</f>
        <v/>
      </c>
      <c r="J4567" s="14" t="str">
        <f ca="1" t="shared" si="214"/>
        <v/>
      </c>
      <c r="K4567" s="14" t="str">
        <f ca="1" t="shared" si="215"/>
        <v/>
      </c>
    </row>
    <row r="4568" spans="1:11">
      <c r="A4568" s="10" t="str">
        <f t="shared" si="213"/>
        <v/>
      </c>
      <c r="C4568" s="10" t="str">
        <f>IFERROR(INDEX(面试清单!D:D,MATCH(4567,面试清单!P:P,0)),"")</f>
        <v/>
      </c>
      <c r="H4568" s="10" t="str">
        <f>IFERROR(INDEX(面试清单!H:H,MATCH(4567,面试清单!P:P,0)),"")</f>
        <v/>
      </c>
      <c r="J4568" s="10" t="str">
        <f ca="1" t="shared" si="214"/>
        <v/>
      </c>
      <c r="K4568" s="10" t="str">
        <f ca="1" t="shared" si="215"/>
        <v/>
      </c>
    </row>
    <row r="4569" spans="1:11">
      <c r="A4569" s="14" t="str">
        <f t="shared" si="213"/>
        <v/>
      </c>
      <c r="C4569" s="14" t="str">
        <f>IFERROR(INDEX(面试清单!D:D,MATCH(4568,面试清单!P:P,0)),"")</f>
        <v/>
      </c>
      <c r="H4569" s="14" t="str">
        <f>IFERROR(INDEX(面试清单!H:H,MATCH(4568,面试清单!P:P,0)),"")</f>
        <v/>
      </c>
      <c r="J4569" s="14" t="str">
        <f ca="1" t="shared" si="214"/>
        <v/>
      </c>
      <c r="K4569" s="14" t="str">
        <f ca="1" t="shared" si="215"/>
        <v/>
      </c>
    </row>
    <row r="4570" spans="1:11">
      <c r="A4570" s="10" t="str">
        <f t="shared" si="213"/>
        <v/>
      </c>
      <c r="C4570" s="10" t="str">
        <f>IFERROR(INDEX(面试清单!D:D,MATCH(4569,面试清单!P:P,0)),"")</f>
        <v/>
      </c>
      <c r="H4570" s="10" t="str">
        <f>IFERROR(INDEX(面试清单!H:H,MATCH(4569,面试清单!P:P,0)),"")</f>
        <v/>
      </c>
      <c r="J4570" s="10" t="str">
        <f ca="1" t="shared" si="214"/>
        <v/>
      </c>
      <c r="K4570" s="10" t="str">
        <f ca="1" t="shared" si="215"/>
        <v/>
      </c>
    </row>
    <row r="4571" spans="1:11">
      <c r="A4571" s="14" t="str">
        <f t="shared" si="213"/>
        <v/>
      </c>
      <c r="C4571" s="14" t="str">
        <f>IFERROR(INDEX(面试清单!D:D,MATCH(4570,面试清单!P:P,0)),"")</f>
        <v/>
      </c>
      <c r="H4571" s="14" t="str">
        <f>IFERROR(INDEX(面试清单!H:H,MATCH(4570,面试清单!P:P,0)),"")</f>
        <v/>
      </c>
      <c r="J4571" s="14" t="str">
        <f ca="1" t="shared" si="214"/>
        <v/>
      </c>
      <c r="K4571" s="14" t="str">
        <f ca="1" t="shared" si="215"/>
        <v/>
      </c>
    </row>
    <row r="4572" spans="1:11">
      <c r="A4572" s="10" t="str">
        <f t="shared" si="213"/>
        <v/>
      </c>
      <c r="C4572" s="10" t="str">
        <f>IFERROR(INDEX(面试清单!D:D,MATCH(4571,面试清单!P:P,0)),"")</f>
        <v/>
      </c>
      <c r="H4572" s="10" t="str">
        <f>IFERROR(INDEX(面试清单!H:H,MATCH(4571,面试清单!P:P,0)),"")</f>
        <v/>
      </c>
      <c r="J4572" s="10" t="str">
        <f ca="1" t="shared" si="214"/>
        <v/>
      </c>
      <c r="K4572" s="10" t="str">
        <f ca="1" t="shared" si="215"/>
        <v/>
      </c>
    </row>
    <row r="4573" spans="1:11">
      <c r="A4573" s="14" t="str">
        <f t="shared" si="213"/>
        <v/>
      </c>
      <c r="C4573" s="14" t="str">
        <f>IFERROR(INDEX(面试清单!D:D,MATCH(4572,面试清单!P:P,0)),"")</f>
        <v/>
      </c>
      <c r="H4573" s="14" t="str">
        <f>IFERROR(INDEX(面试清单!H:H,MATCH(4572,面试清单!P:P,0)),"")</f>
        <v/>
      </c>
      <c r="J4573" s="14" t="str">
        <f ca="1" t="shared" si="214"/>
        <v/>
      </c>
      <c r="K4573" s="14" t="str">
        <f ca="1" t="shared" si="215"/>
        <v/>
      </c>
    </row>
    <row r="4574" spans="1:11">
      <c r="A4574" s="10" t="str">
        <f t="shared" si="213"/>
        <v/>
      </c>
      <c r="C4574" s="10" t="str">
        <f>IFERROR(INDEX(面试清单!D:D,MATCH(4573,面试清单!P:P,0)),"")</f>
        <v/>
      </c>
      <c r="H4574" s="10" t="str">
        <f>IFERROR(INDEX(面试清单!H:H,MATCH(4573,面试清单!P:P,0)),"")</f>
        <v/>
      </c>
      <c r="J4574" s="10" t="str">
        <f ca="1" t="shared" si="214"/>
        <v/>
      </c>
      <c r="K4574" s="10" t="str">
        <f ca="1" t="shared" si="215"/>
        <v/>
      </c>
    </row>
    <row r="4575" spans="1:11">
      <c r="A4575" s="14" t="str">
        <f t="shared" si="213"/>
        <v/>
      </c>
      <c r="C4575" s="14" t="str">
        <f>IFERROR(INDEX(面试清单!D:D,MATCH(4574,面试清单!P:P,0)),"")</f>
        <v/>
      </c>
      <c r="H4575" s="14" t="str">
        <f>IFERROR(INDEX(面试清单!H:H,MATCH(4574,面试清单!P:P,0)),"")</f>
        <v/>
      </c>
      <c r="J4575" s="14" t="str">
        <f ca="1" t="shared" si="214"/>
        <v/>
      </c>
      <c r="K4575" s="14" t="str">
        <f ca="1" t="shared" si="215"/>
        <v/>
      </c>
    </row>
    <row r="4576" spans="1:11">
      <c r="A4576" s="10" t="str">
        <f t="shared" si="213"/>
        <v/>
      </c>
      <c r="C4576" s="10" t="str">
        <f>IFERROR(INDEX(面试清单!D:D,MATCH(4575,面试清单!P:P,0)),"")</f>
        <v/>
      </c>
      <c r="H4576" s="10" t="str">
        <f>IFERROR(INDEX(面试清单!H:H,MATCH(4575,面试清单!P:P,0)),"")</f>
        <v/>
      </c>
      <c r="J4576" s="10" t="str">
        <f ca="1" t="shared" si="214"/>
        <v/>
      </c>
      <c r="K4576" s="10" t="str">
        <f ca="1" t="shared" si="215"/>
        <v/>
      </c>
    </row>
    <row r="4577" spans="1:11">
      <c r="A4577" s="14" t="str">
        <f t="shared" si="213"/>
        <v/>
      </c>
      <c r="C4577" s="14" t="str">
        <f>IFERROR(INDEX(面试清单!D:D,MATCH(4576,面试清单!P:P,0)),"")</f>
        <v/>
      </c>
      <c r="H4577" s="14" t="str">
        <f>IFERROR(INDEX(面试清单!H:H,MATCH(4576,面试清单!P:P,0)),"")</f>
        <v/>
      </c>
      <c r="J4577" s="14" t="str">
        <f ca="1" t="shared" si="214"/>
        <v/>
      </c>
      <c r="K4577" s="14" t="str">
        <f ca="1" t="shared" si="215"/>
        <v/>
      </c>
    </row>
    <row r="4578" spans="1:11">
      <c r="A4578" s="10" t="str">
        <f t="shared" si="213"/>
        <v/>
      </c>
      <c r="C4578" s="10" t="str">
        <f>IFERROR(INDEX(面试清单!D:D,MATCH(4577,面试清单!P:P,0)),"")</f>
        <v/>
      </c>
      <c r="H4578" s="10" t="str">
        <f>IFERROR(INDEX(面试清单!H:H,MATCH(4577,面试清单!P:P,0)),"")</f>
        <v/>
      </c>
      <c r="J4578" s="10" t="str">
        <f ca="1" t="shared" si="214"/>
        <v/>
      </c>
      <c r="K4578" s="10" t="str">
        <f ca="1" t="shared" si="215"/>
        <v/>
      </c>
    </row>
    <row r="4579" spans="1:11">
      <c r="A4579" s="14" t="str">
        <f t="shared" si="213"/>
        <v/>
      </c>
      <c r="C4579" s="14" t="str">
        <f>IFERROR(INDEX(面试清单!D:D,MATCH(4578,面试清单!P:P,0)),"")</f>
        <v/>
      </c>
      <c r="H4579" s="14" t="str">
        <f>IFERROR(INDEX(面试清单!H:H,MATCH(4578,面试清单!P:P,0)),"")</f>
        <v/>
      </c>
      <c r="J4579" s="14" t="str">
        <f ca="1" t="shared" si="214"/>
        <v/>
      </c>
      <c r="K4579" s="14" t="str">
        <f ca="1" t="shared" si="215"/>
        <v/>
      </c>
    </row>
    <row r="4580" spans="1:11">
      <c r="A4580" s="10" t="str">
        <f t="shared" si="213"/>
        <v/>
      </c>
      <c r="C4580" s="10" t="str">
        <f>IFERROR(INDEX(面试清单!D:D,MATCH(4579,面试清单!P:P,0)),"")</f>
        <v/>
      </c>
      <c r="H4580" s="10" t="str">
        <f>IFERROR(INDEX(面试清单!H:H,MATCH(4579,面试清单!P:P,0)),"")</f>
        <v/>
      </c>
      <c r="J4580" s="10" t="str">
        <f ca="1" t="shared" si="214"/>
        <v/>
      </c>
      <c r="K4580" s="10" t="str">
        <f ca="1" t="shared" si="215"/>
        <v/>
      </c>
    </row>
    <row r="4581" spans="1:11">
      <c r="A4581" s="14" t="str">
        <f t="shared" si="213"/>
        <v/>
      </c>
      <c r="C4581" s="14" t="str">
        <f>IFERROR(INDEX(面试清单!D:D,MATCH(4580,面试清单!P:P,0)),"")</f>
        <v/>
      </c>
      <c r="H4581" s="14" t="str">
        <f>IFERROR(INDEX(面试清单!H:H,MATCH(4580,面试清单!P:P,0)),"")</f>
        <v/>
      </c>
      <c r="J4581" s="14" t="str">
        <f ca="1" t="shared" si="214"/>
        <v/>
      </c>
      <c r="K4581" s="14" t="str">
        <f ca="1" t="shared" si="215"/>
        <v/>
      </c>
    </row>
    <row r="4582" spans="1:11">
      <c r="A4582" s="10" t="str">
        <f t="shared" si="213"/>
        <v/>
      </c>
      <c r="C4582" s="10" t="str">
        <f>IFERROR(INDEX(面试清单!D:D,MATCH(4581,面试清单!P:P,0)),"")</f>
        <v/>
      </c>
      <c r="H4582" s="10" t="str">
        <f>IFERROR(INDEX(面试清单!H:H,MATCH(4581,面试清单!P:P,0)),"")</f>
        <v/>
      </c>
      <c r="J4582" s="10" t="str">
        <f ca="1" t="shared" si="214"/>
        <v/>
      </c>
      <c r="K4582" s="10" t="str">
        <f ca="1" t="shared" si="215"/>
        <v/>
      </c>
    </row>
    <row r="4583" spans="1:11">
      <c r="A4583" s="14" t="str">
        <f t="shared" si="213"/>
        <v/>
      </c>
      <c r="C4583" s="14" t="str">
        <f>IFERROR(INDEX(面试清单!D:D,MATCH(4582,面试清单!P:P,0)),"")</f>
        <v/>
      </c>
      <c r="H4583" s="14" t="str">
        <f>IFERROR(INDEX(面试清单!H:H,MATCH(4582,面试清单!P:P,0)),"")</f>
        <v/>
      </c>
      <c r="J4583" s="14" t="str">
        <f ca="1" t="shared" si="214"/>
        <v/>
      </c>
      <c r="K4583" s="14" t="str">
        <f ca="1" t="shared" si="215"/>
        <v/>
      </c>
    </row>
    <row r="4584" spans="1:11">
      <c r="A4584" s="10" t="str">
        <f t="shared" si="213"/>
        <v/>
      </c>
      <c r="C4584" s="10" t="str">
        <f>IFERROR(INDEX(面试清单!D:D,MATCH(4583,面试清单!P:P,0)),"")</f>
        <v/>
      </c>
      <c r="H4584" s="10" t="str">
        <f>IFERROR(INDEX(面试清单!H:H,MATCH(4583,面试清单!P:P,0)),"")</f>
        <v/>
      </c>
      <c r="J4584" s="10" t="str">
        <f ca="1" t="shared" si="214"/>
        <v/>
      </c>
      <c r="K4584" s="10" t="str">
        <f ca="1" t="shared" si="215"/>
        <v/>
      </c>
    </row>
    <row r="4585" spans="1:11">
      <c r="A4585" s="14" t="str">
        <f t="shared" si="213"/>
        <v/>
      </c>
      <c r="C4585" s="14" t="str">
        <f>IFERROR(INDEX(面试清单!D:D,MATCH(4584,面试清单!P:P,0)),"")</f>
        <v/>
      </c>
      <c r="H4585" s="14" t="str">
        <f>IFERROR(INDEX(面试清单!H:H,MATCH(4584,面试清单!P:P,0)),"")</f>
        <v/>
      </c>
      <c r="J4585" s="14" t="str">
        <f ca="1" t="shared" si="214"/>
        <v/>
      </c>
      <c r="K4585" s="14" t="str">
        <f ca="1" t="shared" si="215"/>
        <v/>
      </c>
    </row>
    <row r="4586" spans="1:11">
      <c r="A4586" s="10" t="str">
        <f t="shared" si="213"/>
        <v/>
      </c>
      <c r="C4586" s="10" t="str">
        <f>IFERROR(INDEX(面试清单!D:D,MATCH(4585,面试清单!P:P,0)),"")</f>
        <v/>
      </c>
      <c r="H4586" s="10" t="str">
        <f>IFERROR(INDEX(面试清单!H:H,MATCH(4585,面试清单!P:P,0)),"")</f>
        <v/>
      </c>
      <c r="J4586" s="10" t="str">
        <f ca="1" t="shared" si="214"/>
        <v/>
      </c>
      <c r="K4586" s="10" t="str">
        <f ca="1" t="shared" si="215"/>
        <v/>
      </c>
    </row>
    <row r="4587" spans="1:11">
      <c r="A4587" s="14" t="str">
        <f t="shared" si="213"/>
        <v/>
      </c>
      <c r="C4587" s="14" t="str">
        <f>IFERROR(INDEX(面试清单!D:D,MATCH(4586,面试清单!P:P,0)),"")</f>
        <v/>
      </c>
      <c r="H4587" s="14" t="str">
        <f>IFERROR(INDEX(面试清单!H:H,MATCH(4586,面试清单!P:P,0)),"")</f>
        <v/>
      </c>
      <c r="J4587" s="14" t="str">
        <f ca="1" t="shared" si="214"/>
        <v/>
      </c>
      <c r="K4587" s="14" t="str">
        <f ca="1" t="shared" si="215"/>
        <v/>
      </c>
    </row>
    <row r="4588" spans="1:11">
      <c r="A4588" s="10" t="str">
        <f t="shared" si="213"/>
        <v/>
      </c>
      <c r="C4588" s="10" t="str">
        <f>IFERROR(INDEX(面试清单!D:D,MATCH(4587,面试清单!P:P,0)),"")</f>
        <v/>
      </c>
      <c r="H4588" s="10" t="str">
        <f>IFERROR(INDEX(面试清单!H:H,MATCH(4587,面试清单!P:P,0)),"")</f>
        <v/>
      </c>
      <c r="J4588" s="10" t="str">
        <f ca="1" t="shared" si="214"/>
        <v/>
      </c>
      <c r="K4588" s="10" t="str">
        <f ca="1" t="shared" si="215"/>
        <v/>
      </c>
    </row>
    <row r="4589" spans="1:11">
      <c r="A4589" s="14" t="str">
        <f t="shared" si="213"/>
        <v/>
      </c>
      <c r="C4589" s="14" t="str">
        <f>IFERROR(INDEX(面试清单!D:D,MATCH(4588,面试清单!P:P,0)),"")</f>
        <v/>
      </c>
      <c r="H4589" s="14" t="str">
        <f>IFERROR(INDEX(面试清单!H:H,MATCH(4588,面试清单!P:P,0)),"")</f>
        <v/>
      </c>
      <c r="J4589" s="14" t="str">
        <f ca="1" t="shared" si="214"/>
        <v/>
      </c>
      <c r="K4589" s="14" t="str">
        <f ca="1" t="shared" si="215"/>
        <v/>
      </c>
    </row>
    <row r="4590" spans="1:11">
      <c r="A4590" s="10" t="str">
        <f t="shared" si="213"/>
        <v/>
      </c>
      <c r="C4590" s="10" t="str">
        <f>IFERROR(INDEX(面试清单!D:D,MATCH(4589,面试清单!P:P,0)),"")</f>
        <v/>
      </c>
      <c r="H4590" s="10" t="str">
        <f>IFERROR(INDEX(面试清单!H:H,MATCH(4589,面试清单!P:P,0)),"")</f>
        <v/>
      </c>
      <c r="J4590" s="10" t="str">
        <f ca="1" t="shared" si="214"/>
        <v/>
      </c>
      <c r="K4590" s="10" t="str">
        <f ca="1" t="shared" si="215"/>
        <v/>
      </c>
    </row>
    <row r="4591" spans="1:11">
      <c r="A4591" s="14" t="str">
        <f t="shared" si="213"/>
        <v/>
      </c>
      <c r="C4591" s="14" t="str">
        <f>IFERROR(INDEX(面试清单!D:D,MATCH(4590,面试清单!P:P,0)),"")</f>
        <v/>
      </c>
      <c r="H4591" s="14" t="str">
        <f>IFERROR(INDEX(面试清单!H:H,MATCH(4590,面试清单!P:P,0)),"")</f>
        <v/>
      </c>
      <c r="J4591" s="14" t="str">
        <f ca="1" t="shared" si="214"/>
        <v/>
      </c>
      <c r="K4591" s="14" t="str">
        <f ca="1" t="shared" si="215"/>
        <v/>
      </c>
    </row>
    <row r="4592" spans="1:11">
      <c r="A4592" s="10" t="str">
        <f t="shared" si="213"/>
        <v/>
      </c>
      <c r="C4592" s="10" t="str">
        <f>IFERROR(INDEX(面试清单!D:D,MATCH(4591,面试清单!P:P,0)),"")</f>
        <v/>
      </c>
      <c r="H4592" s="10" t="str">
        <f>IFERROR(INDEX(面试清单!H:H,MATCH(4591,面试清单!P:P,0)),"")</f>
        <v/>
      </c>
      <c r="J4592" s="10" t="str">
        <f ca="1" t="shared" si="214"/>
        <v/>
      </c>
      <c r="K4592" s="10" t="str">
        <f ca="1" t="shared" si="215"/>
        <v/>
      </c>
    </row>
    <row r="4593" spans="1:11">
      <c r="A4593" s="14" t="str">
        <f t="shared" si="213"/>
        <v/>
      </c>
      <c r="C4593" s="14" t="str">
        <f>IFERROR(INDEX(面试清单!D:D,MATCH(4592,面试清单!P:P,0)),"")</f>
        <v/>
      </c>
      <c r="H4593" s="14" t="str">
        <f>IFERROR(INDEX(面试清单!H:H,MATCH(4592,面试清单!P:P,0)),"")</f>
        <v/>
      </c>
      <c r="J4593" s="14" t="str">
        <f ca="1" t="shared" si="214"/>
        <v/>
      </c>
      <c r="K4593" s="14" t="str">
        <f ca="1" t="shared" si="215"/>
        <v/>
      </c>
    </row>
    <row r="4594" spans="1:11">
      <c r="A4594" s="10" t="str">
        <f t="shared" si="213"/>
        <v/>
      </c>
      <c r="C4594" s="10" t="str">
        <f>IFERROR(INDEX(面试清单!D:D,MATCH(4593,面试清单!P:P,0)),"")</f>
        <v/>
      </c>
      <c r="H4594" s="10" t="str">
        <f>IFERROR(INDEX(面试清单!H:H,MATCH(4593,面试清单!P:P,0)),"")</f>
        <v/>
      </c>
      <c r="J4594" s="10" t="str">
        <f ca="1" t="shared" si="214"/>
        <v/>
      </c>
      <c r="K4594" s="10" t="str">
        <f ca="1" t="shared" si="215"/>
        <v/>
      </c>
    </row>
    <row r="4595" spans="1:11">
      <c r="A4595" s="14" t="str">
        <f t="shared" si="213"/>
        <v/>
      </c>
      <c r="C4595" s="14" t="str">
        <f>IFERROR(INDEX(面试清单!D:D,MATCH(4594,面试清单!P:P,0)),"")</f>
        <v/>
      </c>
      <c r="H4595" s="14" t="str">
        <f>IFERROR(INDEX(面试清单!H:H,MATCH(4594,面试清单!P:P,0)),"")</f>
        <v/>
      </c>
      <c r="J4595" s="14" t="str">
        <f ca="1" t="shared" si="214"/>
        <v/>
      </c>
      <c r="K4595" s="14" t="str">
        <f ca="1" t="shared" si="215"/>
        <v/>
      </c>
    </row>
    <row r="4596" spans="1:11">
      <c r="A4596" s="10" t="str">
        <f t="shared" si="213"/>
        <v/>
      </c>
      <c r="C4596" s="10" t="str">
        <f>IFERROR(INDEX(面试清单!D:D,MATCH(4595,面试清单!P:P,0)),"")</f>
        <v/>
      </c>
      <c r="H4596" s="10" t="str">
        <f>IFERROR(INDEX(面试清单!H:H,MATCH(4595,面试清单!P:P,0)),"")</f>
        <v/>
      </c>
      <c r="J4596" s="10" t="str">
        <f ca="1" t="shared" si="214"/>
        <v/>
      </c>
      <c r="K4596" s="10" t="str">
        <f ca="1" t="shared" si="215"/>
        <v/>
      </c>
    </row>
    <row r="4597" spans="1:11">
      <c r="A4597" s="14" t="str">
        <f t="shared" si="213"/>
        <v/>
      </c>
      <c r="C4597" s="14" t="str">
        <f>IFERROR(INDEX(面试清单!D:D,MATCH(4596,面试清单!P:P,0)),"")</f>
        <v/>
      </c>
      <c r="H4597" s="14" t="str">
        <f>IFERROR(INDEX(面试清单!H:H,MATCH(4596,面试清单!P:P,0)),"")</f>
        <v/>
      </c>
      <c r="J4597" s="14" t="str">
        <f ca="1" t="shared" si="214"/>
        <v/>
      </c>
      <c r="K4597" s="14" t="str">
        <f ca="1" t="shared" si="215"/>
        <v/>
      </c>
    </row>
    <row r="4598" spans="1:11">
      <c r="A4598" s="10" t="str">
        <f t="shared" si="213"/>
        <v/>
      </c>
      <c r="C4598" s="10" t="str">
        <f>IFERROR(INDEX(面试清单!D:D,MATCH(4597,面试清单!P:P,0)),"")</f>
        <v/>
      </c>
      <c r="H4598" s="10" t="str">
        <f>IFERROR(INDEX(面试清单!H:H,MATCH(4597,面试清单!P:P,0)),"")</f>
        <v/>
      </c>
      <c r="J4598" s="10" t="str">
        <f ca="1" t="shared" si="214"/>
        <v/>
      </c>
      <c r="K4598" s="10" t="str">
        <f ca="1" t="shared" si="215"/>
        <v/>
      </c>
    </row>
    <row r="4599" spans="1:11">
      <c r="A4599" s="14" t="str">
        <f t="shared" si="213"/>
        <v/>
      </c>
      <c r="C4599" s="14" t="str">
        <f>IFERROR(INDEX(面试清单!D:D,MATCH(4598,面试清单!P:P,0)),"")</f>
        <v/>
      </c>
      <c r="H4599" s="14" t="str">
        <f>IFERROR(INDEX(面试清单!H:H,MATCH(4598,面试清单!P:P,0)),"")</f>
        <v/>
      </c>
      <c r="J4599" s="14" t="str">
        <f ca="1" t="shared" si="214"/>
        <v/>
      </c>
      <c r="K4599" s="14" t="str">
        <f ca="1" t="shared" si="215"/>
        <v/>
      </c>
    </row>
    <row r="4600" spans="1:11">
      <c r="A4600" s="10" t="str">
        <f t="shared" si="213"/>
        <v/>
      </c>
      <c r="C4600" s="10" t="str">
        <f>IFERROR(INDEX(面试清单!D:D,MATCH(4599,面试清单!P:P,0)),"")</f>
        <v/>
      </c>
      <c r="H4600" s="10" t="str">
        <f>IFERROR(INDEX(面试清单!H:H,MATCH(4599,面试清单!P:P,0)),"")</f>
        <v/>
      </c>
      <c r="J4600" s="10" t="str">
        <f ca="1" t="shared" si="214"/>
        <v/>
      </c>
      <c r="K4600" s="10" t="str">
        <f ca="1" t="shared" si="215"/>
        <v/>
      </c>
    </row>
    <row r="4601" spans="1:11">
      <c r="A4601" s="14" t="str">
        <f t="shared" si="213"/>
        <v/>
      </c>
      <c r="C4601" s="14" t="str">
        <f>IFERROR(INDEX(面试清单!D:D,MATCH(4600,面试清单!P:P,0)),"")</f>
        <v/>
      </c>
      <c r="H4601" s="14" t="str">
        <f>IFERROR(INDEX(面试清单!H:H,MATCH(4600,面试清单!P:P,0)),"")</f>
        <v/>
      </c>
      <c r="J4601" s="14" t="str">
        <f ca="1" t="shared" si="214"/>
        <v/>
      </c>
      <c r="K4601" s="14" t="str">
        <f ca="1" t="shared" si="215"/>
        <v/>
      </c>
    </row>
    <row r="4602" spans="1:11">
      <c r="A4602" s="10" t="str">
        <f t="shared" si="213"/>
        <v/>
      </c>
      <c r="C4602" s="10" t="str">
        <f>IFERROR(INDEX(面试清单!D:D,MATCH(4601,面试清单!P:P,0)),"")</f>
        <v/>
      </c>
      <c r="H4602" s="10" t="str">
        <f>IFERROR(INDEX(面试清单!H:H,MATCH(4601,面试清单!P:P,0)),"")</f>
        <v/>
      </c>
      <c r="J4602" s="10" t="str">
        <f ca="1" t="shared" si="214"/>
        <v/>
      </c>
      <c r="K4602" s="10" t="str">
        <f ca="1" t="shared" si="215"/>
        <v/>
      </c>
    </row>
    <row r="4603" spans="1:11">
      <c r="A4603" s="14" t="str">
        <f t="shared" si="213"/>
        <v/>
      </c>
      <c r="C4603" s="14" t="str">
        <f>IFERROR(INDEX(面试清单!D:D,MATCH(4602,面试清单!P:P,0)),"")</f>
        <v/>
      </c>
      <c r="H4603" s="14" t="str">
        <f>IFERROR(INDEX(面试清单!H:H,MATCH(4602,面试清单!P:P,0)),"")</f>
        <v/>
      </c>
      <c r="J4603" s="14" t="str">
        <f ca="1" t="shared" si="214"/>
        <v/>
      </c>
      <c r="K4603" s="14" t="str">
        <f ca="1" t="shared" si="215"/>
        <v/>
      </c>
    </row>
    <row r="4604" spans="1:11">
      <c r="A4604" s="10" t="str">
        <f t="shared" si="213"/>
        <v/>
      </c>
      <c r="C4604" s="10" t="str">
        <f>IFERROR(INDEX(面试清单!D:D,MATCH(4603,面试清单!P:P,0)),"")</f>
        <v/>
      </c>
      <c r="H4604" s="10" t="str">
        <f>IFERROR(INDEX(面试清单!H:H,MATCH(4603,面试清单!P:P,0)),"")</f>
        <v/>
      </c>
      <c r="J4604" s="10" t="str">
        <f ca="1" t="shared" si="214"/>
        <v/>
      </c>
      <c r="K4604" s="10" t="str">
        <f ca="1" t="shared" si="215"/>
        <v/>
      </c>
    </row>
    <row r="4605" spans="1:11">
      <c r="A4605" s="14" t="str">
        <f t="shared" si="213"/>
        <v/>
      </c>
      <c r="C4605" s="14" t="str">
        <f>IFERROR(INDEX(面试清单!D:D,MATCH(4604,面试清单!P:P,0)),"")</f>
        <v/>
      </c>
      <c r="H4605" s="14" t="str">
        <f>IFERROR(INDEX(面试清单!H:H,MATCH(4604,面试清单!P:P,0)),"")</f>
        <v/>
      </c>
      <c r="J4605" s="14" t="str">
        <f ca="1" t="shared" si="214"/>
        <v/>
      </c>
      <c r="K4605" s="14" t="str">
        <f ca="1" t="shared" si="215"/>
        <v/>
      </c>
    </row>
    <row r="4606" spans="1:11">
      <c r="A4606" s="10" t="str">
        <f t="shared" si="213"/>
        <v/>
      </c>
      <c r="C4606" s="10" t="str">
        <f>IFERROR(INDEX(面试清单!D:D,MATCH(4605,面试清单!P:P,0)),"")</f>
        <v/>
      </c>
      <c r="H4606" s="10" t="str">
        <f>IFERROR(INDEX(面试清单!H:H,MATCH(4605,面试清单!P:P,0)),"")</f>
        <v/>
      </c>
      <c r="J4606" s="10" t="str">
        <f ca="1" t="shared" si="214"/>
        <v/>
      </c>
      <c r="K4606" s="10" t="str">
        <f ca="1" t="shared" si="215"/>
        <v/>
      </c>
    </row>
    <row r="4607" spans="1:11">
      <c r="A4607" s="14" t="str">
        <f t="shared" si="213"/>
        <v/>
      </c>
      <c r="C4607" s="14" t="str">
        <f>IFERROR(INDEX(面试清单!D:D,MATCH(4606,面试清单!P:P,0)),"")</f>
        <v/>
      </c>
      <c r="H4607" s="14" t="str">
        <f>IFERROR(INDEX(面试清单!H:H,MATCH(4606,面试清单!P:P,0)),"")</f>
        <v/>
      </c>
      <c r="J4607" s="14" t="str">
        <f ca="1" t="shared" si="214"/>
        <v/>
      </c>
      <c r="K4607" s="14" t="str">
        <f ca="1" t="shared" si="215"/>
        <v/>
      </c>
    </row>
    <row r="4608" spans="1:11">
      <c r="A4608" s="10" t="str">
        <f t="shared" si="213"/>
        <v/>
      </c>
      <c r="C4608" s="10" t="str">
        <f>IFERROR(INDEX(面试清单!D:D,MATCH(4607,面试清单!P:P,0)),"")</f>
        <v/>
      </c>
      <c r="H4608" s="10" t="str">
        <f>IFERROR(INDEX(面试清单!H:H,MATCH(4607,面试清单!P:P,0)),"")</f>
        <v/>
      </c>
      <c r="J4608" s="10" t="str">
        <f ca="1" t="shared" si="214"/>
        <v/>
      </c>
      <c r="K4608" s="10" t="str">
        <f ca="1" t="shared" si="215"/>
        <v/>
      </c>
    </row>
    <row r="4609" spans="1:11">
      <c r="A4609" s="14" t="str">
        <f t="shared" si="213"/>
        <v/>
      </c>
      <c r="C4609" s="14" t="str">
        <f>IFERROR(INDEX(面试清单!D:D,MATCH(4608,面试清单!P:P,0)),"")</f>
        <v/>
      </c>
      <c r="H4609" s="14" t="str">
        <f>IFERROR(INDEX(面试清单!H:H,MATCH(4608,面试清单!P:P,0)),"")</f>
        <v/>
      </c>
      <c r="J4609" s="14" t="str">
        <f ca="1" t="shared" si="214"/>
        <v/>
      </c>
      <c r="K4609" s="14" t="str">
        <f ca="1" t="shared" si="215"/>
        <v/>
      </c>
    </row>
    <row r="4610" spans="1:11">
      <c r="A4610" s="10" t="str">
        <f t="shared" ref="A4610:A4673" si="216">IF(B4610&lt;&gt;"",ROW()-1,"")</f>
        <v/>
      </c>
      <c r="C4610" s="10" t="str">
        <f>IFERROR(INDEX(面试清单!D:D,MATCH(4609,面试清单!P:P,0)),"")</f>
        <v/>
      </c>
      <c r="H4610" s="10" t="str">
        <f>IFERROR(INDEX(面试清单!H:H,MATCH(4609,面试清单!P:P,0)),"")</f>
        <v/>
      </c>
      <c r="J4610" s="10" t="str">
        <f ca="1" t="shared" ref="J4610:J4673" si="217">IF(G4610&lt;&gt;"",TODAY()-G4610,"")</f>
        <v/>
      </c>
      <c r="K4610" s="10" t="str">
        <f ca="1" t="shared" ref="K4610:K4673" si="218">IF(G4610&lt;&gt;"",MAX(0,MIN(TODAY(),EOMONTH(TODAY(),0))-MAX(G4610,EOMONTH(TODAY(),-1)+1)+1),"")</f>
        <v/>
      </c>
    </row>
    <row r="4611" spans="1:11">
      <c r="A4611" s="14" t="str">
        <f t="shared" si="216"/>
        <v/>
      </c>
      <c r="C4611" s="14" t="str">
        <f>IFERROR(INDEX(面试清单!D:D,MATCH(4610,面试清单!P:P,0)),"")</f>
        <v/>
      </c>
      <c r="H4611" s="14" t="str">
        <f>IFERROR(INDEX(面试清单!H:H,MATCH(4610,面试清单!P:P,0)),"")</f>
        <v/>
      </c>
      <c r="J4611" s="14" t="str">
        <f ca="1" t="shared" si="217"/>
        <v/>
      </c>
      <c r="K4611" s="14" t="str">
        <f ca="1" t="shared" si="218"/>
        <v/>
      </c>
    </row>
    <row r="4612" spans="1:11">
      <c r="A4612" s="10" t="str">
        <f t="shared" si="216"/>
        <v/>
      </c>
      <c r="C4612" s="10" t="str">
        <f>IFERROR(INDEX(面试清单!D:D,MATCH(4611,面试清单!P:P,0)),"")</f>
        <v/>
      </c>
      <c r="H4612" s="10" t="str">
        <f>IFERROR(INDEX(面试清单!H:H,MATCH(4611,面试清单!P:P,0)),"")</f>
        <v/>
      </c>
      <c r="J4612" s="10" t="str">
        <f ca="1" t="shared" si="217"/>
        <v/>
      </c>
      <c r="K4612" s="10" t="str">
        <f ca="1" t="shared" si="218"/>
        <v/>
      </c>
    </row>
    <row r="4613" spans="1:11">
      <c r="A4613" s="14" t="str">
        <f t="shared" si="216"/>
        <v/>
      </c>
      <c r="C4613" s="14" t="str">
        <f>IFERROR(INDEX(面试清单!D:D,MATCH(4612,面试清单!P:P,0)),"")</f>
        <v/>
      </c>
      <c r="H4613" s="14" t="str">
        <f>IFERROR(INDEX(面试清单!H:H,MATCH(4612,面试清单!P:P,0)),"")</f>
        <v/>
      </c>
      <c r="J4613" s="14" t="str">
        <f ca="1" t="shared" si="217"/>
        <v/>
      </c>
      <c r="K4613" s="14" t="str">
        <f ca="1" t="shared" si="218"/>
        <v/>
      </c>
    </row>
    <row r="4614" spans="1:11">
      <c r="A4614" s="10" t="str">
        <f t="shared" si="216"/>
        <v/>
      </c>
      <c r="C4614" s="10" t="str">
        <f>IFERROR(INDEX(面试清单!D:D,MATCH(4613,面试清单!P:P,0)),"")</f>
        <v/>
      </c>
      <c r="H4614" s="10" t="str">
        <f>IFERROR(INDEX(面试清单!H:H,MATCH(4613,面试清单!P:P,0)),"")</f>
        <v/>
      </c>
      <c r="J4614" s="10" t="str">
        <f ca="1" t="shared" si="217"/>
        <v/>
      </c>
      <c r="K4614" s="10" t="str">
        <f ca="1" t="shared" si="218"/>
        <v/>
      </c>
    </row>
    <row r="4615" spans="1:11">
      <c r="A4615" s="14" t="str">
        <f t="shared" si="216"/>
        <v/>
      </c>
      <c r="C4615" s="14" t="str">
        <f>IFERROR(INDEX(面试清单!D:D,MATCH(4614,面试清单!P:P,0)),"")</f>
        <v/>
      </c>
      <c r="H4615" s="14" t="str">
        <f>IFERROR(INDEX(面试清单!H:H,MATCH(4614,面试清单!P:P,0)),"")</f>
        <v/>
      </c>
      <c r="J4615" s="14" t="str">
        <f ca="1" t="shared" si="217"/>
        <v/>
      </c>
      <c r="K4615" s="14" t="str">
        <f ca="1" t="shared" si="218"/>
        <v/>
      </c>
    </row>
    <row r="4616" spans="1:11">
      <c r="A4616" s="10" t="str">
        <f t="shared" si="216"/>
        <v/>
      </c>
      <c r="C4616" s="10" t="str">
        <f>IFERROR(INDEX(面试清单!D:D,MATCH(4615,面试清单!P:P,0)),"")</f>
        <v/>
      </c>
      <c r="H4616" s="10" t="str">
        <f>IFERROR(INDEX(面试清单!H:H,MATCH(4615,面试清单!P:P,0)),"")</f>
        <v/>
      </c>
      <c r="J4616" s="10" t="str">
        <f ca="1" t="shared" si="217"/>
        <v/>
      </c>
      <c r="K4616" s="10" t="str">
        <f ca="1" t="shared" si="218"/>
        <v/>
      </c>
    </row>
    <row r="4617" spans="1:11">
      <c r="A4617" s="14" t="str">
        <f t="shared" si="216"/>
        <v/>
      </c>
      <c r="C4617" s="14" t="str">
        <f>IFERROR(INDEX(面试清单!D:D,MATCH(4616,面试清单!P:P,0)),"")</f>
        <v/>
      </c>
      <c r="H4617" s="14" t="str">
        <f>IFERROR(INDEX(面试清单!H:H,MATCH(4616,面试清单!P:P,0)),"")</f>
        <v/>
      </c>
      <c r="J4617" s="14" t="str">
        <f ca="1" t="shared" si="217"/>
        <v/>
      </c>
      <c r="K4617" s="14" t="str">
        <f ca="1" t="shared" si="218"/>
        <v/>
      </c>
    </row>
    <row r="4618" spans="1:11">
      <c r="A4618" s="10" t="str">
        <f t="shared" si="216"/>
        <v/>
      </c>
      <c r="C4618" s="10" t="str">
        <f>IFERROR(INDEX(面试清单!D:D,MATCH(4617,面试清单!P:P,0)),"")</f>
        <v/>
      </c>
      <c r="H4618" s="10" t="str">
        <f>IFERROR(INDEX(面试清单!H:H,MATCH(4617,面试清单!P:P,0)),"")</f>
        <v/>
      </c>
      <c r="J4618" s="10" t="str">
        <f ca="1" t="shared" si="217"/>
        <v/>
      </c>
      <c r="K4618" s="10" t="str">
        <f ca="1" t="shared" si="218"/>
        <v/>
      </c>
    </row>
    <row r="4619" spans="1:11">
      <c r="A4619" s="14" t="str">
        <f t="shared" si="216"/>
        <v/>
      </c>
      <c r="C4619" s="14" t="str">
        <f>IFERROR(INDEX(面试清单!D:D,MATCH(4618,面试清单!P:P,0)),"")</f>
        <v/>
      </c>
      <c r="H4619" s="14" t="str">
        <f>IFERROR(INDEX(面试清单!H:H,MATCH(4618,面试清单!P:P,0)),"")</f>
        <v/>
      </c>
      <c r="J4619" s="14" t="str">
        <f ca="1" t="shared" si="217"/>
        <v/>
      </c>
      <c r="K4619" s="14" t="str">
        <f ca="1" t="shared" si="218"/>
        <v/>
      </c>
    </row>
    <row r="4620" spans="1:11">
      <c r="A4620" s="10" t="str">
        <f t="shared" si="216"/>
        <v/>
      </c>
      <c r="C4620" s="10" t="str">
        <f>IFERROR(INDEX(面试清单!D:D,MATCH(4619,面试清单!P:P,0)),"")</f>
        <v/>
      </c>
      <c r="H4620" s="10" t="str">
        <f>IFERROR(INDEX(面试清单!H:H,MATCH(4619,面试清单!P:P,0)),"")</f>
        <v/>
      </c>
      <c r="J4620" s="10" t="str">
        <f ca="1" t="shared" si="217"/>
        <v/>
      </c>
      <c r="K4620" s="10" t="str">
        <f ca="1" t="shared" si="218"/>
        <v/>
      </c>
    </row>
    <row r="4621" spans="1:11">
      <c r="A4621" s="14" t="str">
        <f t="shared" si="216"/>
        <v/>
      </c>
      <c r="C4621" s="14" t="str">
        <f>IFERROR(INDEX(面试清单!D:D,MATCH(4620,面试清单!P:P,0)),"")</f>
        <v/>
      </c>
      <c r="H4621" s="14" t="str">
        <f>IFERROR(INDEX(面试清单!H:H,MATCH(4620,面试清单!P:P,0)),"")</f>
        <v/>
      </c>
      <c r="J4621" s="14" t="str">
        <f ca="1" t="shared" si="217"/>
        <v/>
      </c>
      <c r="K4621" s="14" t="str">
        <f ca="1" t="shared" si="218"/>
        <v/>
      </c>
    </row>
    <row r="4622" spans="1:11">
      <c r="A4622" s="10" t="str">
        <f t="shared" si="216"/>
        <v/>
      </c>
      <c r="C4622" s="10" t="str">
        <f>IFERROR(INDEX(面试清单!D:D,MATCH(4621,面试清单!P:P,0)),"")</f>
        <v/>
      </c>
      <c r="H4622" s="10" t="str">
        <f>IFERROR(INDEX(面试清单!H:H,MATCH(4621,面试清单!P:P,0)),"")</f>
        <v/>
      </c>
      <c r="J4622" s="10" t="str">
        <f ca="1" t="shared" si="217"/>
        <v/>
      </c>
      <c r="K4622" s="10" t="str">
        <f ca="1" t="shared" si="218"/>
        <v/>
      </c>
    </row>
    <row r="4623" spans="1:11">
      <c r="A4623" s="14" t="str">
        <f t="shared" si="216"/>
        <v/>
      </c>
      <c r="C4623" s="14" t="str">
        <f>IFERROR(INDEX(面试清单!D:D,MATCH(4622,面试清单!P:P,0)),"")</f>
        <v/>
      </c>
      <c r="H4623" s="14" t="str">
        <f>IFERROR(INDEX(面试清单!H:H,MATCH(4622,面试清单!P:P,0)),"")</f>
        <v/>
      </c>
      <c r="J4623" s="14" t="str">
        <f ca="1" t="shared" si="217"/>
        <v/>
      </c>
      <c r="K4623" s="14" t="str">
        <f ca="1" t="shared" si="218"/>
        <v/>
      </c>
    </row>
    <row r="4624" spans="1:11">
      <c r="A4624" s="10" t="str">
        <f t="shared" si="216"/>
        <v/>
      </c>
      <c r="C4624" s="10" t="str">
        <f>IFERROR(INDEX(面试清单!D:D,MATCH(4623,面试清单!P:P,0)),"")</f>
        <v/>
      </c>
      <c r="H4624" s="10" t="str">
        <f>IFERROR(INDEX(面试清单!H:H,MATCH(4623,面试清单!P:P,0)),"")</f>
        <v/>
      </c>
      <c r="J4624" s="10" t="str">
        <f ca="1" t="shared" si="217"/>
        <v/>
      </c>
      <c r="K4624" s="10" t="str">
        <f ca="1" t="shared" si="218"/>
        <v/>
      </c>
    </row>
    <row r="4625" spans="1:11">
      <c r="A4625" s="14" t="str">
        <f t="shared" si="216"/>
        <v/>
      </c>
      <c r="C4625" s="14" t="str">
        <f>IFERROR(INDEX(面试清单!D:D,MATCH(4624,面试清单!P:P,0)),"")</f>
        <v/>
      </c>
      <c r="H4625" s="14" t="str">
        <f>IFERROR(INDEX(面试清单!H:H,MATCH(4624,面试清单!P:P,0)),"")</f>
        <v/>
      </c>
      <c r="J4625" s="14" t="str">
        <f ca="1" t="shared" si="217"/>
        <v/>
      </c>
      <c r="K4625" s="14" t="str">
        <f ca="1" t="shared" si="218"/>
        <v/>
      </c>
    </row>
    <row r="4626" spans="1:11">
      <c r="A4626" s="10" t="str">
        <f t="shared" si="216"/>
        <v/>
      </c>
      <c r="C4626" s="10" t="str">
        <f>IFERROR(INDEX(面试清单!D:D,MATCH(4625,面试清单!P:P,0)),"")</f>
        <v/>
      </c>
      <c r="H4626" s="10" t="str">
        <f>IFERROR(INDEX(面试清单!H:H,MATCH(4625,面试清单!P:P,0)),"")</f>
        <v/>
      </c>
      <c r="J4626" s="10" t="str">
        <f ca="1" t="shared" si="217"/>
        <v/>
      </c>
      <c r="K4626" s="10" t="str">
        <f ca="1" t="shared" si="218"/>
        <v/>
      </c>
    </row>
    <row r="4627" spans="1:11">
      <c r="A4627" s="14" t="str">
        <f t="shared" si="216"/>
        <v/>
      </c>
      <c r="C4627" s="14" t="str">
        <f>IFERROR(INDEX(面试清单!D:D,MATCH(4626,面试清单!P:P,0)),"")</f>
        <v/>
      </c>
      <c r="H4627" s="14" t="str">
        <f>IFERROR(INDEX(面试清单!H:H,MATCH(4626,面试清单!P:P,0)),"")</f>
        <v/>
      </c>
      <c r="J4627" s="14" t="str">
        <f ca="1" t="shared" si="217"/>
        <v/>
      </c>
      <c r="K4627" s="14" t="str">
        <f ca="1" t="shared" si="218"/>
        <v/>
      </c>
    </row>
    <row r="4628" spans="1:11">
      <c r="A4628" s="10" t="str">
        <f t="shared" si="216"/>
        <v/>
      </c>
      <c r="C4628" s="10" t="str">
        <f>IFERROR(INDEX(面试清单!D:D,MATCH(4627,面试清单!P:P,0)),"")</f>
        <v/>
      </c>
      <c r="H4628" s="10" t="str">
        <f>IFERROR(INDEX(面试清单!H:H,MATCH(4627,面试清单!P:P,0)),"")</f>
        <v/>
      </c>
      <c r="J4628" s="10" t="str">
        <f ca="1" t="shared" si="217"/>
        <v/>
      </c>
      <c r="K4628" s="10" t="str">
        <f ca="1" t="shared" si="218"/>
        <v/>
      </c>
    </row>
    <row r="4629" spans="1:11">
      <c r="A4629" s="14" t="str">
        <f t="shared" si="216"/>
        <v/>
      </c>
      <c r="C4629" s="14" t="str">
        <f>IFERROR(INDEX(面试清单!D:D,MATCH(4628,面试清单!P:P,0)),"")</f>
        <v/>
      </c>
      <c r="H4629" s="14" t="str">
        <f>IFERROR(INDEX(面试清单!H:H,MATCH(4628,面试清单!P:P,0)),"")</f>
        <v/>
      </c>
      <c r="J4629" s="14" t="str">
        <f ca="1" t="shared" si="217"/>
        <v/>
      </c>
      <c r="K4629" s="14" t="str">
        <f ca="1" t="shared" si="218"/>
        <v/>
      </c>
    </row>
    <row r="4630" spans="1:11">
      <c r="A4630" s="10" t="str">
        <f t="shared" si="216"/>
        <v/>
      </c>
      <c r="C4630" s="10" t="str">
        <f>IFERROR(INDEX(面试清单!D:D,MATCH(4629,面试清单!P:P,0)),"")</f>
        <v/>
      </c>
      <c r="H4630" s="10" t="str">
        <f>IFERROR(INDEX(面试清单!H:H,MATCH(4629,面试清单!P:P,0)),"")</f>
        <v/>
      </c>
      <c r="J4630" s="10" t="str">
        <f ca="1" t="shared" si="217"/>
        <v/>
      </c>
      <c r="K4630" s="10" t="str">
        <f ca="1" t="shared" si="218"/>
        <v/>
      </c>
    </row>
    <row r="4631" spans="1:11">
      <c r="A4631" s="14" t="str">
        <f t="shared" si="216"/>
        <v/>
      </c>
      <c r="C4631" s="14" t="str">
        <f>IFERROR(INDEX(面试清单!D:D,MATCH(4630,面试清单!P:P,0)),"")</f>
        <v/>
      </c>
      <c r="H4631" s="14" t="str">
        <f>IFERROR(INDEX(面试清单!H:H,MATCH(4630,面试清单!P:P,0)),"")</f>
        <v/>
      </c>
      <c r="J4631" s="14" t="str">
        <f ca="1" t="shared" si="217"/>
        <v/>
      </c>
      <c r="K4631" s="14" t="str">
        <f ca="1" t="shared" si="218"/>
        <v/>
      </c>
    </row>
    <row r="4632" spans="1:11">
      <c r="A4632" s="10" t="str">
        <f t="shared" si="216"/>
        <v/>
      </c>
      <c r="C4632" s="10" t="str">
        <f>IFERROR(INDEX(面试清单!D:D,MATCH(4631,面试清单!P:P,0)),"")</f>
        <v/>
      </c>
      <c r="H4632" s="10" t="str">
        <f>IFERROR(INDEX(面试清单!H:H,MATCH(4631,面试清单!P:P,0)),"")</f>
        <v/>
      </c>
      <c r="J4632" s="10" t="str">
        <f ca="1" t="shared" si="217"/>
        <v/>
      </c>
      <c r="K4632" s="10" t="str">
        <f ca="1" t="shared" si="218"/>
        <v/>
      </c>
    </row>
    <row r="4633" spans="1:11">
      <c r="A4633" s="14" t="str">
        <f t="shared" si="216"/>
        <v/>
      </c>
      <c r="C4633" s="14" t="str">
        <f>IFERROR(INDEX(面试清单!D:D,MATCH(4632,面试清单!P:P,0)),"")</f>
        <v/>
      </c>
      <c r="H4633" s="14" t="str">
        <f>IFERROR(INDEX(面试清单!H:H,MATCH(4632,面试清单!P:P,0)),"")</f>
        <v/>
      </c>
      <c r="J4633" s="14" t="str">
        <f ca="1" t="shared" si="217"/>
        <v/>
      </c>
      <c r="K4633" s="14" t="str">
        <f ca="1" t="shared" si="218"/>
        <v/>
      </c>
    </row>
    <row r="4634" spans="1:11">
      <c r="A4634" s="10" t="str">
        <f t="shared" si="216"/>
        <v/>
      </c>
      <c r="C4634" s="10" t="str">
        <f>IFERROR(INDEX(面试清单!D:D,MATCH(4633,面试清单!P:P,0)),"")</f>
        <v/>
      </c>
      <c r="H4634" s="10" t="str">
        <f>IFERROR(INDEX(面试清单!H:H,MATCH(4633,面试清单!P:P,0)),"")</f>
        <v/>
      </c>
      <c r="J4634" s="10" t="str">
        <f ca="1" t="shared" si="217"/>
        <v/>
      </c>
      <c r="K4634" s="10" t="str">
        <f ca="1" t="shared" si="218"/>
        <v/>
      </c>
    </row>
    <row r="4635" spans="1:11">
      <c r="A4635" s="14" t="str">
        <f t="shared" si="216"/>
        <v/>
      </c>
      <c r="C4635" s="14" t="str">
        <f>IFERROR(INDEX(面试清单!D:D,MATCH(4634,面试清单!P:P,0)),"")</f>
        <v/>
      </c>
      <c r="H4635" s="14" t="str">
        <f>IFERROR(INDEX(面试清单!H:H,MATCH(4634,面试清单!P:P,0)),"")</f>
        <v/>
      </c>
      <c r="J4635" s="14" t="str">
        <f ca="1" t="shared" si="217"/>
        <v/>
      </c>
      <c r="K4635" s="14" t="str">
        <f ca="1" t="shared" si="218"/>
        <v/>
      </c>
    </row>
    <row r="4636" spans="1:11">
      <c r="A4636" s="10" t="str">
        <f t="shared" si="216"/>
        <v/>
      </c>
      <c r="C4636" s="10" t="str">
        <f>IFERROR(INDEX(面试清单!D:D,MATCH(4635,面试清单!P:P,0)),"")</f>
        <v/>
      </c>
      <c r="H4636" s="10" t="str">
        <f>IFERROR(INDEX(面试清单!H:H,MATCH(4635,面试清单!P:P,0)),"")</f>
        <v/>
      </c>
      <c r="J4636" s="10" t="str">
        <f ca="1" t="shared" si="217"/>
        <v/>
      </c>
      <c r="K4636" s="10" t="str">
        <f ca="1" t="shared" si="218"/>
        <v/>
      </c>
    </row>
    <row r="4637" spans="1:11">
      <c r="A4637" s="14" t="str">
        <f t="shared" si="216"/>
        <v/>
      </c>
      <c r="C4637" s="14" t="str">
        <f>IFERROR(INDEX(面试清单!D:D,MATCH(4636,面试清单!P:P,0)),"")</f>
        <v/>
      </c>
      <c r="H4637" s="14" t="str">
        <f>IFERROR(INDEX(面试清单!H:H,MATCH(4636,面试清单!P:P,0)),"")</f>
        <v/>
      </c>
      <c r="J4637" s="14" t="str">
        <f ca="1" t="shared" si="217"/>
        <v/>
      </c>
      <c r="K4637" s="14" t="str">
        <f ca="1" t="shared" si="218"/>
        <v/>
      </c>
    </row>
    <row r="4638" spans="1:11">
      <c r="A4638" s="10" t="str">
        <f t="shared" si="216"/>
        <v/>
      </c>
      <c r="C4638" s="10" t="str">
        <f>IFERROR(INDEX(面试清单!D:D,MATCH(4637,面试清单!P:P,0)),"")</f>
        <v/>
      </c>
      <c r="H4638" s="10" t="str">
        <f>IFERROR(INDEX(面试清单!H:H,MATCH(4637,面试清单!P:P,0)),"")</f>
        <v/>
      </c>
      <c r="J4638" s="10" t="str">
        <f ca="1" t="shared" si="217"/>
        <v/>
      </c>
      <c r="K4638" s="10" t="str">
        <f ca="1" t="shared" si="218"/>
        <v/>
      </c>
    </row>
    <row r="4639" spans="1:11">
      <c r="A4639" s="14" t="str">
        <f t="shared" si="216"/>
        <v/>
      </c>
      <c r="C4639" s="14" t="str">
        <f>IFERROR(INDEX(面试清单!D:D,MATCH(4638,面试清单!P:P,0)),"")</f>
        <v/>
      </c>
      <c r="H4639" s="14" t="str">
        <f>IFERROR(INDEX(面试清单!H:H,MATCH(4638,面试清单!P:P,0)),"")</f>
        <v/>
      </c>
      <c r="J4639" s="14" t="str">
        <f ca="1" t="shared" si="217"/>
        <v/>
      </c>
      <c r="K4639" s="14" t="str">
        <f ca="1" t="shared" si="218"/>
        <v/>
      </c>
    </row>
    <row r="4640" spans="1:11">
      <c r="A4640" s="10" t="str">
        <f t="shared" si="216"/>
        <v/>
      </c>
      <c r="C4640" s="10" t="str">
        <f>IFERROR(INDEX(面试清单!D:D,MATCH(4639,面试清单!P:P,0)),"")</f>
        <v/>
      </c>
      <c r="H4640" s="10" t="str">
        <f>IFERROR(INDEX(面试清单!H:H,MATCH(4639,面试清单!P:P,0)),"")</f>
        <v/>
      </c>
      <c r="J4640" s="10" t="str">
        <f ca="1" t="shared" si="217"/>
        <v/>
      </c>
      <c r="K4640" s="10" t="str">
        <f ca="1" t="shared" si="218"/>
        <v/>
      </c>
    </row>
    <row r="4641" spans="1:11">
      <c r="A4641" s="14" t="str">
        <f t="shared" si="216"/>
        <v/>
      </c>
      <c r="C4641" s="14" t="str">
        <f>IFERROR(INDEX(面试清单!D:D,MATCH(4640,面试清单!P:P,0)),"")</f>
        <v/>
      </c>
      <c r="H4641" s="14" t="str">
        <f>IFERROR(INDEX(面试清单!H:H,MATCH(4640,面试清单!P:P,0)),"")</f>
        <v/>
      </c>
      <c r="J4641" s="14" t="str">
        <f ca="1" t="shared" si="217"/>
        <v/>
      </c>
      <c r="K4641" s="14" t="str">
        <f ca="1" t="shared" si="218"/>
        <v/>
      </c>
    </row>
    <row r="4642" spans="1:11">
      <c r="A4642" s="10" t="str">
        <f t="shared" si="216"/>
        <v/>
      </c>
      <c r="C4642" s="10" t="str">
        <f>IFERROR(INDEX(面试清单!D:D,MATCH(4641,面试清单!P:P,0)),"")</f>
        <v/>
      </c>
      <c r="H4642" s="10" t="str">
        <f>IFERROR(INDEX(面试清单!H:H,MATCH(4641,面试清单!P:P,0)),"")</f>
        <v/>
      </c>
      <c r="J4642" s="10" t="str">
        <f ca="1" t="shared" si="217"/>
        <v/>
      </c>
      <c r="K4642" s="10" t="str">
        <f ca="1" t="shared" si="218"/>
        <v/>
      </c>
    </row>
    <row r="4643" spans="1:11">
      <c r="A4643" s="14" t="str">
        <f t="shared" si="216"/>
        <v/>
      </c>
      <c r="C4643" s="14" t="str">
        <f>IFERROR(INDEX(面试清单!D:D,MATCH(4642,面试清单!P:P,0)),"")</f>
        <v/>
      </c>
      <c r="H4643" s="14" t="str">
        <f>IFERROR(INDEX(面试清单!H:H,MATCH(4642,面试清单!P:P,0)),"")</f>
        <v/>
      </c>
      <c r="J4643" s="14" t="str">
        <f ca="1" t="shared" si="217"/>
        <v/>
      </c>
      <c r="K4643" s="14" t="str">
        <f ca="1" t="shared" si="218"/>
        <v/>
      </c>
    </row>
    <row r="4644" spans="1:11">
      <c r="A4644" s="10" t="str">
        <f t="shared" si="216"/>
        <v/>
      </c>
      <c r="C4644" s="10" t="str">
        <f>IFERROR(INDEX(面试清单!D:D,MATCH(4643,面试清单!P:P,0)),"")</f>
        <v/>
      </c>
      <c r="H4644" s="10" t="str">
        <f>IFERROR(INDEX(面试清单!H:H,MATCH(4643,面试清单!P:P,0)),"")</f>
        <v/>
      </c>
      <c r="J4644" s="10" t="str">
        <f ca="1" t="shared" si="217"/>
        <v/>
      </c>
      <c r="K4644" s="10" t="str">
        <f ca="1" t="shared" si="218"/>
        <v/>
      </c>
    </row>
    <row r="4645" spans="1:11">
      <c r="A4645" s="14" t="str">
        <f t="shared" si="216"/>
        <v/>
      </c>
      <c r="C4645" s="14" t="str">
        <f>IFERROR(INDEX(面试清单!D:D,MATCH(4644,面试清单!P:P,0)),"")</f>
        <v/>
      </c>
      <c r="H4645" s="14" t="str">
        <f>IFERROR(INDEX(面试清单!H:H,MATCH(4644,面试清单!P:P,0)),"")</f>
        <v/>
      </c>
      <c r="J4645" s="14" t="str">
        <f ca="1" t="shared" si="217"/>
        <v/>
      </c>
      <c r="K4645" s="14" t="str">
        <f ca="1" t="shared" si="218"/>
        <v/>
      </c>
    </row>
    <row r="4646" spans="1:11">
      <c r="A4646" s="10" t="str">
        <f t="shared" si="216"/>
        <v/>
      </c>
      <c r="C4646" s="10" t="str">
        <f>IFERROR(INDEX(面试清单!D:D,MATCH(4645,面试清单!P:P,0)),"")</f>
        <v/>
      </c>
      <c r="H4646" s="10" t="str">
        <f>IFERROR(INDEX(面试清单!H:H,MATCH(4645,面试清单!P:P,0)),"")</f>
        <v/>
      </c>
      <c r="J4646" s="10" t="str">
        <f ca="1" t="shared" si="217"/>
        <v/>
      </c>
      <c r="K4646" s="10" t="str">
        <f ca="1" t="shared" si="218"/>
        <v/>
      </c>
    </row>
    <row r="4647" spans="1:11">
      <c r="A4647" s="14" t="str">
        <f t="shared" si="216"/>
        <v/>
      </c>
      <c r="C4647" s="14" t="str">
        <f>IFERROR(INDEX(面试清单!D:D,MATCH(4646,面试清单!P:P,0)),"")</f>
        <v/>
      </c>
      <c r="H4647" s="14" t="str">
        <f>IFERROR(INDEX(面试清单!H:H,MATCH(4646,面试清单!P:P,0)),"")</f>
        <v/>
      </c>
      <c r="J4647" s="14" t="str">
        <f ca="1" t="shared" si="217"/>
        <v/>
      </c>
      <c r="K4647" s="14" t="str">
        <f ca="1" t="shared" si="218"/>
        <v/>
      </c>
    </row>
    <row r="4648" spans="1:11">
      <c r="A4648" s="10" t="str">
        <f t="shared" si="216"/>
        <v/>
      </c>
      <c r="C4648" s="10" t="str">
        <f>IFERROR(INDEX(面试清单!D:D,MATCH(4647,面试清单!P:P,0)),"")</f>
        <v/>
      </c>
      <c r="H4648" s="10" t="str">
        <f>IFERROR(INDEX(面试清单!H:H,MATCH(4647,面试清单!P:P,0)),"")</f>
        <v/>
      </c>
      <c r="J4648" s="10" t="str">
        <f ca="1" t="shared" si="217"/>
        <v/>
      </c>
      <c r="K4648" s="10" t="str">
        <f ca="1" t="shared" si="218"/>
        <v/>
      </c>
    </row>
    <row r="4649" spans="1:11">
      <c r="A4649" s="14" t="str">
        <f t="shared" si="216"/>
        <v/>
      </c>
      <c r="C4649" s="14" t="str">
        <f>IFERROR(INDEX(面试清单!D:D,MATCH(4648,面试清单!P:P,0)),"")</f>
        <v/>
      </c>
      <c r="H4649" s="14" t="str">
        <f>IFERROR(INDEX(面试清单!H:H,MATCH(4648,面试清单!P:P,0)),"")</f>
        <v/>
      </c>
      <c r="J4649" s="14" t="str">
        <f ca="1" t="shared" si="217"/>
        <v/>
      </c>
      <c r="K4649" s="14" t="str">
        <f ca="1" t="shared" si="218"/>
        <v/>
      </c>
    </row>
    <row r="4650" spans="1:11">
      <c r="A4650" s="10" t="str">
        <f t="shared" si="216"/>
        <v/>
      </c>
      <c r="C4650" s="10" t="str">
        <f>IFERROR(INDEX(面试清单!D:D,MATCH(4649,面试清单!P:P,0)),"")</f>
        <v/>
      </c>
      <c r="H4650" s="10" t="str">
        <f>IFERROR(INDEX(面试清单!H:H,MATCH(4649,面试清单!P:P,0)),"")</f>
        <v/>
      </c>
      <c r="J4650" s="10" t="str">
        <f ca="1" t="shared" si="217"/>
        <v/>
      </c>
      <c r="K4650" s="10" t="str">
        <f ca="1" t="shared" si="218"/>
        <v/>
      </c>
    </row>
    <row r="4651" spans="1:11">
      <c r="A4651" s="14" t="str">
        <f t="shared" si="216"/>
        <v/>
      </c>
      <c r="C4651" s="14" t="str">
        <f>IFERROR(INDEX(面试清单!D:D,MATCH(4650,面试清单!P:P,0)),"")</f>
        <v/>
      </c>
      <c r="H4651" s="14" t="str">
        <f>IFERROR(INDEX(面试清单!H:H,MATCH(4650,面试清单!P:P,0)),"")</f>
        <v/>
      </c>
      <c r="J4651" s="14" t="str">
        <f ca="1" t="shared" si="217"/>
        <v/>
      </c>
      <c r="K4651" s="14" t="str">
        <f ca="1" t="shared" si="218"/>
        <v/>
      </c>
    </row>
    <row r="4652" spans="1:11">
      <c r="A4652" s="10" t="str">
        <f t="shared" si="216"/>
        <v/>
      </c>
      <c r="C4652" s="10" t="str">
        <f>IFERROR(INDEX(面试清单!D:D,MATCH(4651,面试清单!P:P,0)),"")</f>
        <v/>
      </c>
      <c r="H4652" s="10" t="str">
        <f>IFERROR(INDEX(面试清单!H:H,MATCH(4651,面试清单!P:P,0)),"")</f>
        <v/>
      </c>
      <c r="J4652" s="10" t="str">
        <f ca="1" t="shared" si="217"/>
        <v/>
      </c>
      <c r="K4652" s="10" t="str">
        <f ca="1" t="shared" si="218"/>
        <v/>
      </c>
    </row>
    <row r="4653" spans="1:11">
      <c r="A4653" s="14" t="str">
        <f t="shared" si="216"/>
        <v/>
      </c>
      <c r="C4653" s="14" t="str">
        <f>IFERROR(INDEX(面试清单!D:D,MATCH(4652,面试清单!P:P,0)),"")</f>
        <v/>
      </c>
      <c r="H4653" s="14" t="str">
        <f>IFERROR(INDEX(面试清单!H:H,MATCH(4652,面试清单!P:P,0)),"")</f>
        <v/>
      </c>
      <c r="J4653" s="14" t="str">
        <f ca="1" t="shared" si="217"/>
        <v/>
      </c>
      <c r="K4653" s="14" t="str">
        <f ca="1" t="shared" si="218"/>
        <v/>
      </c>
    </row>
    <row r="4654" spans="1:11">
      <c r="A4654" s="10" t="str">
        <f t="shared" si="216"/>
        <v/>
      </c>
      <c r="C4654" s="10" t="str">
        <f>IFERROR(INDEX(面试清单!D:D,MATCH(4653,面试清单!P:P,0)),"")</f>
        <v/>
      </c>
      <c r="H4654" s="10" t="str">
        <f>IFERROR(INDEX(面试清单!H:H,MATCH(4653,面试清单!P:P,0)),"")</f>
        <v/>
      </c>
      <c r="J4654" s="10" t="str">
        <f ca="1" t="shared" si="217"/>
        <v/>
      </c>
      <c r="K4654" s="10" t="str">
        <f ca="1" t="shared" si="218"/>
        <v/>
      </c>
    </row>
    <row r="4655" spans="1:11">
      <c r="A4655" s="14" t="str">
        <f t="shared" si="216"/>
        <v/>
      </c>
      <c r="C4655" s="14" t="str">
        <f>IFERROR(INDEX(面试清单!D:D,MATCH(4654,面试清单!P:P,0)),"")</f>
        <v/>
      </c>
      <c r="H4655" s="14" t="str">
        <f>IFERROR(INDEX(面试清单!H:H,MATCH(4654,面试清单!P:P,0)),"")</f>
        <v/>
      </c>
      <c r="J4655" s="14" t="str">
        <f ca="1" t="shared" si="217"/>
        <v/>
      </c>
      <c r="K4655" s="14" t="str">
        <f ca="1" t="shared" si="218"/>
        <v/>
      </c>
    </row>
    <row r="4656" spans="1:11">
      <c r="A4656" s="10" t="str">
        <f t="shared" si="216"/>
        <v/>
      </c>
      <c r="C4656" s="10" t="str">
        <f>IFERROR(INDEX(面试清单!D:D,MATCH(4655,面试清单!P:P,0)),"")</f>
        <v/>
      </c>
      <c r="H4656" s="10" t="str">
        <f>IFERROR(INDEX(面试清单!H:H,MATCH(4655,面试清单!P:P,0)),"")</f>
        <v/>
      </c>
      <c r="J4656" s="10" t="str">
        <f ca="1" t="shared" si="217"/>
        <v/>
      </c>
      <c r="K4656" s="10" t="str">
        <f ca="1" t="shared" si="218"/>
        <v/>
      </c>
    </row>
    <row r="4657" spans="1:11">
      <c r="A4657" s="14" t="str">
        <f t="shared" si="216"/>
        <v/>
      </c>
      <c r="C4657" s="14" t="str">
        <f>IFERROR(INDEX(面试清单!D:D,MATCH(4656,面试清单!P:P,0)),"")</f>
        <v/>
      </c>
      <c r="H4657" s="14" t="str">
        <f>IFERROR(INDEX(面试清单!H:H,MATCH(4656,面试清单!P:P,0)),"")</f>
        <v/>
      </c>
      <c r="J4657" s="14" t="str">
        <f ca="1" t="shared" si="217"/>
        <v/>
      </c>
      <c r="K4657" s="14" t="str">
        <f ca="1" t="shared" si="218"/>
        <v/>
      </c>
    </row>
    <row r="4658" spans="1:11">
      <c r="A4658" s="10" t="str">
        <f t="shared" si="216"/>
        <v/>
      </c>
      <c r="C4658" s="10" t="str">
        <f>IFERROR(INDEX(面试清单!D:D,MATCH(4657,面试清单!P:P,0)),"")</f>
        <v/>
      </c>
      <c r="H4658" s="10" t="str">
        <f>IFERROR(INDEX(面试清单!H:H,MATCH(4657,面试清单!P:P,0)),"")</f>
        <v/>
      </c>
      <c r="J4658" s="10" t="str">
        <f ca="1" t="shared" si="217"/>
        <v/>
      </c>
      <c r="K4658" s="10" t="str">
        <f ca="1" t="shared" si="218"/>
        <v/>
      </c>
    </row>
    <row r="4659" spans="1:11">
      <c r="A4659" s="14" t="str">
        <f t="shared" si="216"/>
        <v/>
      </c>
      <c r="C4659" s="14" t="str">
        <f>IFERROR(INDEX(面试清单!D:D,MATCH(4658,面试清单!P:P,0)),"")</f>
        <v/>
      </c>
      <c r="H4659" s="14" t="str">
        <f>IFERROR(INDEX(面试清单!H:H,MATCH(4658,面试清单!P:P,0)),"")</f>
        <v/>
      </c>
      <c r="J4659" s="14" t="str">
        <f ca="1" t="shared" si="217"/>
        <v/>
      </c>
      <c r="K4659" s="14" t="str">
        <f ca="1" t="shared" si="218"/>
        <v/>
      </c>
    </row>
    <row r="4660" spans="1:11">
      <c r="A4660" s="10" t="str">
        <f t="shared" si="216"/>
        <v/>
      </c>
      <c r="C4660" s="10" t="str">
        <f>IFERROR(INDEX(面试清单!D:D,MATCH(4659,面试清单!P:P,0)),"")</f>
        <v/>
      </c>
      <c r="H4660" s="10" t="str">
        <f>IFERROR(INDEX(面试清单!H:H,MATCH(4659,面试清单!P:P,0)),"")</f>
        <v/>
      </c>
      <c r="J4660" s="10" t="str">
        <f ca="1" t="shared" si="217"/>
        <v/>
      </c>
      <c r="K4660" s="10" t="str">
        <f ca="1" t="shared" si="218"/>
        <v/>
      </c>
    </row>
    <row r="4661" spans="1:11">
      <c r="A4661" s="14" t="str">
        <f t="shared" si="216"/>
        <v/>
      </c>
      <c r="C4661" s="14" t="str">
        <f>IFERROR(INDEX(面试清单!D:D,MATCH(4660,面试清单!P:P,0)),"")</f>
        <v/>
      </c>
      <c r="H4661" s="14" t="str">
        <f>IFERROR(INDEX(面试清单!H:H,MATCH(4660,面试清单!P:P,0)),"")</f>
        <v/>
      </c>
      <c r="J4661" s="14" t="str">
        <f ca="1" t="shared" si="217"/>
        <v/>
      </c>
      <c r="K4661" s="14" t="str">
        <f ca="1" t="shared" si="218"/>
        <v/>
      </c>
    </row>
    <row r="4662" spans="1:11">
      <c r="A4662" s="10" t="str">
        <f t="shared" si="216"/>
        <v/>
      </c>
      <c r="C4662" s="10" t="str">
        <f>IFERROR(INDEX(面试清单!D:D,MATCH(4661,面试清单!P:P,0)),"")</f>
        <v/>
      </c>
      <c r="H4662" s="10" t="str">
        <f>IFERROR(INDEX(面试清单!H:H,MATCH(4661,面试清单!P:P,0)),"")</f>
        <v/>
      </c>
      <c r="J4662" s="10" t="str">
        <f ca="1" t="shared" si="217"/>
        <v/>
      </c>
      <c r="K4662" s="10" t="str">
        <f ca="1" t="shared" si="218"/>
        <v/>
      </c>
    </row>
    <row r="4663" spans="1:11">
      <c r="A4663" s="14" t="str">
        <f t="shared" si="216"/>
        <v/>
      </c>
      <c r="C4663" s="14" t="str">
        <f>IFERROR(INDEX(面试清单!D:D,MATCH(4662,面试清单!P:P,0)),"")</f>
        <v/>
      </c>
      <c r="H4663" s="14" t="str">
        <f>IFERROR(INDEX(面试清单!H:H,MATCH(4662,面试清单!P:P,0)),"")</f>
        <v/>
      </c>
      <c r="J4663" s="14" t="str">
        <f ca="1" t="shared" si="217"/>
        <v/>
      </c>
      <c r="K4663" s="14" t="str">
        <f ca="1" t="shared" si="218"/>
        <v/>
      </c>
    </row>
    <row r="4664" spans="1:11">
      <c r="A4664" s="10" t="str">
        <f t="shared" si="216"/>
        <v/>
      </c>
      <c r="C4664" s="10" t="str">
        <f>IFERROR(INDEX(面试清单!D:D,MATCH(4663,面试清单!P:P,0)),"")</f>
        <v/>
      </c>
      <c r="H4664" s="10" t="str">
        <f>IFERROR(INDEX(面试清单!H:H,MATCH(4663,面试清单!P:P,0)),"")</f>
        <v/>
      </c>
      <c r="J4664" s="10" t="str">
        <f ca="1" t="shared" si="217"/>
        <v/>
      </c>
      <c r="K4664" s="10" t="str">
        <f ca="1" t="shared" si="218"/>
        <v/>
      </c>
    </row>
    <row r="4665" spans="1:11">
      <c r="A4665" s="14" t="str">
        <f t="shared" si="216"/>
        <v/>
      </c>
      <c r="C4665" s="14" t="str">
        <f>IFERROR(INDEX(面试清单!D:D,MATCH(4664,面试清单!P:P,0)),"")</f>
        <v/>
      </c>
      <c r="H4665" s="14" t="str">
        <f>IFERROR(INDEX(面试清单!H:H,MATCH(4664,面试清单!P:P,0)),"")</f>
        <v/>
      </c>
      <c r="J4665" s="14" t="str">
        <f ca="1" t="shared" si="217"/>
        <v/>
      </c>
      <c r="K4665" s="14" t="str">
        <f ca="1" t="shared" si="218"/>
        <v/>
      </c>
    </row>
    <row r="4666" spans="1:11">
      <c r="A4666" s="10" t="str">
        <f t="shared" si="216"/>
        <v/>
      </c>
      <c r="C4666" s="10" t="str">
        <f>IFERROR(INDEX(面试清单!D:D,MATCH(4665,面试清单!P:P,0)),"")</f>
        <v/>
      </c>
      <c r="H4666" s="10" t="str">
        <f>IFERROR(INDEX(面试清单!H:H,MATCH(4665,面试清单!P:P,0)),"")</f>
        <v/>
      </c>
      <c r="J4666" s="10" t="str">
        <f ca="1" t="shared" si="217"/>
        <v/>
      </c>
      <c r="K4666" s="10" t="str">
        <f ca="1" t="shared" si="218"/>
        <v/>
      </c>
    </row>
    <row r="4667" spans="1:11">
      <c r="A4667" s="14" t="str">
        <f t="shared" si="216"/>
        <v/>
      </c>
      <c r="C4667" s="14" t="str">
        <f>IFERROR(INDEX(面试清单!D:D,MATCH(4666,面试清单!P:P,0)),"")</f>
        <v/>
      </c>
      <c r="H4667" s="14" t="str">
        <f>IFERROR(INDEX(面试清单!H:H,MATCH(4666,面试清单!P:P,0)),"")</f>
        <v/>
      </c>
      <c r="J4667" s="14" t="str">
        <f ca="1" t="shared" si="217"/>
        <v/>
      </c>
      <c r="K4667" s="14" t="str">
        <f ca="1" t="shared" si="218"/>
        <v/>
      </c>
    </row>
    <row r="4668" spans="1:11">
      <c r="A4668" s="10" t="str">
        <f t="shared" si="216"/>
        <v/>
      </c>
      <c r="C4668" s="10" t="str">
        <f>IFERROR(INDEX(面试清单!D:D,MATCH(4667,面试清单!P:P,0)),"")</f>
        <v/>
      </c>
      <c r="H4668" s="10" t="str">
        <f>IFERROR(INDEX(面试清单!H:H,MATCH(4667,面试清单!P:P,0)),"")</f>
        <v/>
      </c>
      <c r="J4668" s="10" t="str">
        <f ca="1" t="shared" si="217"/>
        <v/>
      </c>
      <c r="K4668" s="10" t="str">
        <f ca="1" t="shared" si="218"/>
        <v/>
      </c>
    </row>
    <row r="4669" spans="1:11">
      <c r="A4669" s="14" t="str">
        <f t="shared" si="216"/>
        <v/>
      </c>
      <c r="C4669" s="14" t="str">
        <f>IFERROR(INDEX(面试清单!D:D,MATCH(4668,面试清单!P:P,0)),"")</f>
        <v/>
      </c>
      <c r="H4669" s="14" t="str">
        <f>IFERROR(INDEX(面试清单!H:H,MATCH(4668,面试清单!P:P,0)),"")</f>
        <v/>
      </c>
      <c r="J4669" s="14" t="str">
        <f ca="1" t="shared" si="217"/>
        <v/>
      </c>
      <c r="K4669" s="14" t="str">
        <f ca="1" t="shared" si="218"/>
        <v/>
      </c>
    </row>
    <row r="4670" spans="1:11">
      <c r="A4670" s="10" t="str">
        <f t="shared" si="216"/>
        <v/>
      </c>
      <c r="C4670" s="10" t="str">
        <f>IFERROR(INDEX(面试清单!D:D,MATCH(4669,面试清单!P:P,0)),"")</f>
        <v/>
      </c>
      <c r="H4670" s="10" t="str">
        <f>IFERROR(INDEX(面试清单!H:H,MATCH(4669,面试清单!P:P,0)),"")</f>
        <v/>
      </c>
      <c r="J4670" s="10" t="str">
        <f ca="1" t="shared" si="217"/>
        <v/>
      </c>
      <c r="K4670" s="10" t="str">
        <f ca="1" t="shared" si="218"/>
        <v/>
      </c>
    </row>
    <row r="4671" spans="1:11">
      <c r="A4671" s="14" t="str">
        <f t="shared" si="216"/>
        <v/>
      </c>
      <c r="C4671" s="14" t="str">
        <f>IFERROR(INDEX(面试清单!D:D,MATCH(4670,面试清单!P:P,0)),"")</f>
        <v/>
      </c>
      <c r="H4671" s="14" t="str">
        <f>IFERROR(INDEX(面试清单!H:H,MATCH(4670,面试清单!P:P,0)),"")</f>
        <v/>
      </c>
      <c r="J4671" s="14" t="str">
        <f ca="1" t="shared" si="217"/>
        <v/>
      </c>
      <c r="K4671" s="14" t="str">
        <f ca="1" t="shared" si="218"/>
        <v/>
      </c>
    </row>
    <row r="4672" spans="1:11">
      <c r="A4672" s="10" t="str">
        <f t="shared" si="216"/>
        <v/>
      </c>
      <c r="C4672" s="10" t="str">
        <f>IFERROR(INDEX(面试清单!D:D,MATCH(4671,面试清单!P:P,0)),"")</f>
        <v/>
      </c>
      <c r="H4672" s="10" t="str">
        <f>IFERROR(INDEX(面试清单!H:H,MATCH(4671,面试清单!P:P,0)),"")</f>
        <v/>
      </c>
      <c r="J4672" s="10" t="str">
        <f ca="1" t="shared" si="217"/>
        <v/>
      </c>
      <c r="K4672" s="10" t="str">
        <f ca="1" t="shared" si="218"/>
        <v/>
      </c>
    </row>
    <row r="4673" spans="1:11">
      <c r="A4673" s="14" t="str">
        <f t="shared" si="216"/>
        <v/>
      </c>
      <c r="C4673" s="14" t="str">
        <f>IFERROR(INDEX(面试清单!D:D,MATCH(4672,面试清单!P:P,0)),"")</f>
        <v/>
      </c>
      <c r="H4673" s="14" t="str">
        <f>IFERROR(INDEX(面试清单!H:H,MATCH(4672,面试清单!P:P,0)),"")</f>
        <v/>
      </c>
      <c r="J4673" s="14" t="str">
        <f ca="1" t="shared" si="217"/>
        <v/>
      </c>
      <c r="K4673" s="14" t="str">
        <f ca="1" t="shared" si="218"/>
        <v/>
      </c>
    </row>
    <row r="4674" spans="1:11">
      <c r="A4674" s="10" t="str">
        <f t="shared" ref="A4674:A4737" si="219">IF(B4674&lt;&gt;"",ROW()-1,"")</f>
        <v/>
      </c>
      <c r="C4674" s="10" t="str">
        <f>IFERROR(INDEX(面试清单!D:D,MATCH(4673,面试清单!P:P,0)),"")</f>
        <v/>
      </c>
      <c r="H4674" s="10" t="str">
        <f>IFERROR(INDEX(面试清单!H:H,MATCH(4673,面试清单!P:P,0)),"")</f>
        <v/>
      </c>
      <c r="J4674" s="10" t="str">
        <f ca="1" t="shared" ref="J4674:J4737" si="220">IF(G4674&lt;&gt;"",TODAY()-G4674,"")</f>
        <v/>
      </c>
      <c r="K4674" s="10" t="str">
        <f ca="1" t="shared" ref="K4674:K4737" si="221">IF(G4674&lt;&gt;"",MAX(0,MIN(TODAY(),EOMONTH(TODAY(),0))-MAX(G4674,EOMONTH(TODAY(),-1)+1)+1),"")</f>
        <v/>
      </c>
    </row>
    <row r="4675" spans="1:11">
      <c r="A4675" s="14" t="str">
        <f t="shared" si="219"/>
        <v/>
      </c>
      <c r="C4675" s="14" t="str">
        <f>IFERROR(INDEX(面试清单!D:D,MATCH(4674,面试清单!P:P,0)),"")</f>
        <v/>
      </c>
      <c r="H4675" s="14" t="str">
        <f>IFERROR(INDEX(面试清单!H:H,MATCH(4674,面试清单!P:P,0)),"")</f>
        <v/>
      </c>
      <c r="J4675" s="14" t="str">
        <f ca="1" t="shared" si="220"/>
        <v/>
      </c>
      <c r="K4675" s="14" t="str">
        <f ca="1" t="shared" si="221"/>
        <v/>
      </c>
    </row>
    <row r="4676" spans="1:11">
      <c r="A4676" s="10" t="str">
        <f t="shared" si="219"/>
        <v/>
      </c>
      <c r="C4676" s="10" t="str">
        <f>IFERROR(INDEX(面试清单!D:D,MATCH(4675,面试清单!P:P,0)),"")</f>
        <v/>
      </c>
      <c r="H4676" s="10" t="str">
        <f>IFERROR(INDEX(面试清单!H:H,MATCH(4675,面试清单!P:P,0)),"")</f>
        <v/>
      </c>
      <c r="J4676" s="10" t="str">
        <f ca="1" t="shared" si="220"/>
        <v/>
      </c>
      <c r="K4676" s="10" t="str">
        <f ca="1" t="shared" si="221"/>
        <v/>
      </c>
    </row>
    <row r="4677" spans="1:11">
      <c r="A4677" s="14" t="str">
        <f t="shared" si="219"/>
        <v/>
      </c>
      <c r="C4677" s="14" t="str">
        <f>IFERROR(INDEX(面试清单!D:D,MATCH(4676,面试清单!P:P,0)),"")</f>
        <v/>
      </c>
      <c r="H4677" s="14" t="str">
        <f>IFERROR(INDEX(面试清单!H:H,MATCH(4676,面试清单!P:P,0)),"")</f>
        <v/>
      </c>
      <c r="J4677" s="14" t="str">
        <f ca="1" t="shared" si="220"/>
        <v/>
      </c>
      <c r="K4677" s="14" t="str">
        <f ca="1" t="shared" si="221"/>
        <v/>
      </c>
    </row>
    <row r="4678" spans="1:11">
      <c r="A4678" s="10" t="str">
        <f t="shared" si="219"/>
        <v/>
      </c>
      <c r="C4678" s="10" t="str">
        <f>IFERROR(INDEX(面试清单!D:D,MATCH(4677,面试清单!P:P,0)),"")</f>
        <v/>
      </c>
      <c r="H4678" s="10" t="str">
        <f>IFERROR(INDEX(面试清单!H:H,MATCH(4677,面试清单!P:P,0)),"")</f>
        <v/>
      </c>
      <c r="J4678" s="10" t="str">
        <f ca="1" t="shared" si="220"/>
        <v/>
      </c>
      <c r="K4678" s="10" t="str">
        <f ca="1" t="shared" si="221"/>
        <v/>
      </c>
    </row>
    <row r="4679" spans="1:11">
      <c r="A4679" s="14" t="str">
        <f t="shared" si="219"/>
        <v/>
      </c>
      <c r="C4679" s="14" t="str">
        <f>IFERROR(INDEX(面试清单!D:D,MATCH(4678,面试清单!P:P,0)),"")</f>
        <v/>
      </c>
      <c r="H4679" s="14" t="str">
        <f>IFERROR(INDEX(面试清单!H:H,MATCH(4678,面试清单!P:P,0)),"")</f>
        <v/>
      </c>
      <c r="J4679" s="14" t="str">
        <f ca="1" t="shared" si="220"/>
        <v/>
      </c>
      <c r="K4679" s="14" t="str">
        <f ca="1" t="shared" si="221"/>
        <v/>
      </c>
    </row>
    <row r="4680" spans="1:11">
      <c r="A4680" s="10" t="str">
        <f t="shared" si="219"/>
        <v/>
      </c>
      <c r="C4680" s="10" t="str">
        <f>IFERROR(INDEX(面试清单!D:D,MATCH(4679,面试清单!P:P,0)),"")</f>
        <v/>
      </c>
      <c r="H4680" s="10" t="str">
        <f>IFERROR(INDEX(面试清单!H:H,MATCH(4679,面试清单!P:P,0)),"")</f>
        <v/>
      </c>
      <c r="J4680" s="10" t="str">
        <f ca="1" t="shared" si="220"/>
        <v/>
      </c>
      <c r="K4680" s="10" t="str">
        <f ca="1" t="shared" si="221"/>
        <v/>
      </c>
    </row>
    <row r="4681" spans="1:11">
      <c r="A4681" s="14" t="str">
        <f t="shared" si="219"/>
        <v/>
      </c>
      <c r="C4681" s="14" t="str">
        <f>IFERROR(INDEX(面试清单!D:D,MATCH(4680,面试清单!P:P,0)),"")</f>
        <v/>
      </c>
      <c r="H4681" s="14" t="str">
        <f>IFERROR(INDEX(面试清单!H:H,MATCH(4680,面试清单!P:P,0)),"")</f>
        <v/>
      </c>
      <c r="J4681" s="14" t="str">
        <f ca="1" t="shared" si="220"/>
        <v/>
      </c>
      <c r="K4681" s="14" t="str">
        <f ca="1" t="shared" si="221"/>
        <v/>
      </c>
    </row>
    <row r="4682" spans="1:11">
      <c r="A4682" s="10" t="str">
        <f t="shared" si="219"/>
        <v/>
      </c>
      <c r="C4682" s="10" t="str">
        <f>IFERROR(INDEX(面试清单!D:D,MATCH(4681,面试清单!P:P,0)),"")</f>
        <v/>
      </c>
      <c r="H4682" s="10" t="str">
        <f>IFERROR(INDEX(面试清单!H:H,MATCH(4681,面试清单!P:P,0)),"")</f>
        <v/>
      </c>
      <c r="J4682" s="10" t="str">
        <f ca="1" t="shared" si="220"/>
        <v/>
      </c>
      <c r="K4682" s="10" t="str">
        <f ca="1" t="shared" si="221"/>
        <v/>
      </c>
    </row>
    <row r="4683" spans="1:11">
      <c r="A4683" s="14" t="str">
        <f t="shared" si="219"/>
        <v/>
      </c>
      <c r="C4683" s="14" t="str">
        <f>IFERROR(INDEX(面试清单!D:D,MATCH(4682,面试清单!P:P,0)),"")</f>
        <v/>
      </c>
      <c r="H4683" s="14" t="str">
        <f>IFERROR(INDEX(面试清单!H:H,MATCH(4682,面试清单!P:P,0)),"")</f>
        <v/>
      </c>
      <c r="J4683" s="14" t="str">
        <f ca="1" t="shared" si="220"/>
        <v/>
      </c>
      <c r="K4683" s="14" t="str">
        <f ca="1" t="shared" si="221"/>
        <v/>
      </c>
    </row>
    <row r="4684" spans="1:11">
      <c r="A4684" s="10" t="str">
        <f t="shared" si="219"/>
        <v/>
      </c>
      <c r="C4684" s="10" t="str">
        <f>IFERROR(INDEX(面试清单!D:D,MATCH(4683,面试清单!P:P,0)),"")</f>
        <v/>
      </c>
      <c r="H4684" s="10" t="str">
        <f>IFERROR(INDEX(面试清单!H:H,MATCH(4683,面试清单!P:P,0)),"")</f>
        <v/>
      </c>
      <c r="J4684" s="10" t="str">
        <f ca="1" t="shared" si="220"/>
        <v/>
      </c>
      <c r="K4684" s="10" t="str">
        <f ca="1" t="shared" si="221"/>
        <v/>
      </c>
    </row>
    <row r="4685" spans="1:11">
      <c r="A4685" s="14" t="str">
        <f t="shared" si="219"/>
        <v/>
      </c>
      <c r="C4685" s="14" t="str">
        <f>IFERROR(INDEX(面试清单!D:D,MATCH(4684,面试清单!P:P,0)),"")</f>
        <v/>
      </c>
      <c r="H4685" s="14" t="str">
        <f>IFERROR(INDEX(面试清单!H:H,MATCH(4684,面试清单!P:P,0)),"")</f>
        <v/>
      </c>
      <c r="J4685" s="14" t="str">
        <f ca="1" t="shared" si="220"/>
        <v/>
      </c>
      <c r="K4685" s="14" t="str">
        <f ca="1" t="shared" si="221"/>
        <v/>
      </c>
    </row>
    <row r="4686" spans="1:11">
      <c r="A4686" s="10" t="str">
        <f t="shared" si="219"/>
        <v/>
      </c>
      <c r="C4686" s="10" t="str">
        <f>IFERROR(INDEX(面试清单!D:D,MATCH(4685,面试清单!P:P,0)),"")</f>
        <v/>
      </c>
      <c r="H4686" s="10" t="str">
        <f>IFERROR(INDEX(面试清单!H:H,MATCH(4685,面试清单!P:P,0)),"")</f>
        <v/>
      </c>
      <c r="J4686" s="10" t="str">
        <f ca="1" t="shared" si="220"/>
        <v/>
      </c>
      <c r="K4686" s="10" t="str">
        <f ca="1" t="shared" si="221"/>
        <v/>
      </c>
    </row>
    <row r="4687" spans="1:11">
      <c r="A4687" s="14" t="str">
        <f t="shared" si="219"/>
        <v/>
      </c>
      <c r="C4687" s="14" t="str">
        <f>IFERROR(INDEX(面试清单!D:D,MATCH(4686,面试清单!P:P,0)),"")</f>
        <v/>
      </c>
      <c r="H4687" s="14" t="str">
        <f>IFERROR(INDEX(面试清单!H:H,MATCH(4686,面试清单!P:P,0)),"")</f>
        <v/>
      </c>
      <c r="J4687" s="14" t="str">
        <f ca="1" t="shared" si="220"/>
        <v/>
      </c>
      <c r="K4687" s="14" t="str">
        <f ca="1" t="shared" si="221"/>
        <v/>
      </c>
    </row>
    <row r="4688" spans="1:11">
      <c r="A4688" s="10" t="str">
        <f t="shared" si="219"/>
        <v/>
      </c>
      <c r="C4688" s="10" t="str">
        <f>IFERROR(INDEX(面试清单!D:D,MATCH(4687,面试清单!P:P,0)),"")</f>
        <v/>
      </c>
      <c r="H4688" s="10" t="str">
        <f>IFERROR(INDEX(面试清单!H:H,MATCH(4687,面试清单!P:P,0)),"")</f>
        <v/>
      </c>
      <c r="J4688" s="10" t="str">
        <f ca="1" t="shared" si="220"/>
        <v/>
      </c>
      <c r="K4688" s="10" t="str">
        <f ca="1" t="shared" si="221"/>
        <v/>
      </c>
    </row>
    <row r="4689" spans="1:11">
      <c r="A4689" s="14" t="str">
        <f t="shared" si="219"/>
        <v/>
      </c>
      <c r="C4689" s="14" t="str">
        <f>IFERROR(INDEX(面试清单!D:D,MATCH(4688,面试清单!P:P,0)),"")</f>
        <v/>
      </c>
      <c r="H4689" s="14" t="str">
        <f>IFERROR(INDEX(面试清单!H:H,MATCH(4688,面试清单!P:P,0)),"")</f>
        <v/>
      </c>
      <c r="J4689" s="14" t="str">
        <f ca="1" t="shared" si="220"/>
        <v/>
      </c>
      <c r="K4689" s="14" t="str">
        <f ca="1" t="shared" si="221"/>
        <v/>
      </c>
    </row>
    <row r="4690" spans="1:11">
      <c r="A4690" s="10" t="str">
        <f t="shared" si="219"/>
        <v/>
      </c>
      <c r="C4690" s="10" t="str">
        <f>IFERROR(INDEX(面试清单!D:D,MATCH(4689,面试清单!P:P,0)),"")</f>
        <v/>
      </c>
      <c r="H4690" s="10" t="str">
        <f>IFERROR(INDEX(面试清单!H:H,MATCH(4689,面试清单!P:P,0)),"")</f>
        <v/>
      </c>
      <c r="J4690" s="10" t="str">
        <f ca="1" t="shared" si="220"/>
        <v/>
      </c>
      <c r="K4690" s="10" t="str">
        <f ca="1" t="shared" si="221"/>
        <v/>
      </c>
    </row>
    <row r="4691" spans="1:11">
      <c r="A4691" s="14" t="str">
        <f t="shared" si="219"/>
        <v/>
      </c>
      <c r="C4691" s="14" t="str">
        <f>IFERROR(INDEX(面试清单!D:D,MATCH(4690,面试清单!P:P,0)),"")</f>
        <v/>
      </c>
      <c r="H4691" s="14" t="str">
        <f>IFERROR(INDEX(面试清单!H:H,MATCH(4690,面试清单!P:P,0)),"")</f>
        <v/>
      </c>
      <c r="J4691" s="14" t="str">
        <f ca="1" t="shared" si="220"/>
        <v/>
      </c>
      <c r="K4691" s="14" t="str">
        <f ca="1" t="shared" si="221"/>
        <v/>
      </c>
    </row>
    <row r="4692" spans="1:11">
      <c r="A4692" s="10" t="str">
        <f t="shared" si="219"/>
        <v/>
      </c>
      <c r="C4692" s="10" t="str">
        <f>IFERROR(INDEX(面试清单!D:D,MATCH(4691,面试清单!P:P,0)),"")</f>
        <v/>
      </c>
      <c r="H4692" s="10" t="str">
        <f>IFERROR(INDEX(面试清单!H:H,MATCH(4691,面试清单!P:P,0)),"")</f>
        <v/>
      </c>
      <c r="J4692" s="10" t="str">
        <f ca="1" t="shared" si="220"/>
        <v/>
      </c>
      <c r="K4692" s="10" t="str">
        <f ca="1" t="shared" si="221"/>
        <v/>
      </c>
    </row>
    <row r="4693" spans="1:11">
      <c r="A4693" s="14" t="str">
        <f t="shared" si="219"/>
        <v/>
      </c>
      <c r="C4693" s="14" t="str">
        <f>IFERROR(INDEX(面试清单!D:D,MATCH(4692,面试清单!P:P,0)),"")</f>
        <v/>
      </c>
      <c r="H4693" s="14" t="str">
        <f>IFERROR(INDEX(面试清单!H:H,MATCH(4692,面试清单!P:P,0)),"")</f>
        <v/>
      </c>
      <c r="J4693" s="14" t="str">
        <f ca="1" t="shared" si="220"/>
        <v/>
      </c>
      <c r="K4693" s="14" t="str">
        <f ca="1" t="shared" si="221"/>
        <v/>
      </c>
    </row>
    <row r="4694" spans="1:11">
      <c r="A4694" s="10" t="str">
        <f t="shared" si="219"/>
        <v/>
      </c>
      <c r="C4694" s="10" t="str">
        <f>IFERROR(INDEX(面试清单!D:D,MATCH(4693,面试清单!P:P,0)),"")</f>
        <v/>
      </c>
      <c r="H4694" s="10" t="str">
        <f>IFERROR(INDEX(面试清单!H:H,MATCH(4693,面试清单!P:P,0)),"")</f>
        <v/>
      </c>
      <c r="J4694" s="10" t="str">
        <f ca="1" t="shared" si="220"/>
        <v/>
      </c>
      <c r="K4694" s="10" t="str">
        <f ca="1" t="shared" si="221"/>
        <v/>
      </c>
    </row>
    <row r="4695" spans="1:11">
      <c r="A4695" s="14" t="str">
        <f t="shared" si="219"/>
        <v/>
      </c>
      <c r="C4695" s="14" t="str">
        <f>IFERROR(INDEX(面试清单!D:D,MATCH(4694,面试清单!P:P,0)),"")</f>
        <v/>
      </c>
      <c r="H4695" s="14" t="str">
        <f>IFERROR(INDEX(面试清单!H:H,MATCH(4694,面试清单!P:P,0)),"")</f>
        <v/>
      </c>
      <c r="J4695" s="14" t="str">
        <f ca="1" t="shared" si="220"/>
        <v/>
      </c>
      <c r="K4695" s="14" t="str">
        <f ca="1" t="shared" si="221"/>
        <v/>
      </c>
    </row>
    <row r="4696" spans="1:11">
      <c r="A4696" s="10" t="str">
        <f t="shared" si="219"/>
        <v/>
      </c>
      <c r="C4696" s="10" t="str">
        <f>IFERROR(INDEX(面试清单!D:D,MATCH(4695,面试清单!P:P,0)),"")</f>
        <v/>
      </c>
      <c r="H4696" s="10" t="str">
        <f>IFERROR(INDEX(面试清单!H:H,MATCH(4695,面试清单!P:P,0)),"")</f>
        <v/>
      </c>
      <c r="J4696" s="10" t="str">
        <f ca="1" t="shared" si="220"/>
        <v/>
      </c>
      <c r="K4696" s="10" t="str">
        <f ca="1" t="shared" si="221"/>
        <v/>
      </c>
    </row>
    <row r="4697" spans="1:11">
      <c r="A4697" s="14" t="str">
        <f t="shared" si="219"/>
        <v/>
      </c>
      <c r="C4697" s="14" t="str">
        <f>IFERROR(INDEX(面试清单!D:D,MATCH(4696,面试清单!P:P,0)),"")</f>
        <v/>
      </c>
      <c r="H4697" s="14" t="str">
        <f>IFERROR(INDEX(面试清单!H:H,MATCH(4696,面试清单!P:P,0)),"")</f>
        <v/>
      </c>
      <c r="J4697" s="14" t="str">
        <f ca="1" t="shared" si="220"/>
        <v/>
      </c>
      <c r="K4697" s="14" t="str">
        <f ca="1" t="shared" si="221"/>
        <v/>
      </c>
    </row>
    <row r="4698" spans="1:11">
      <c r="A4698" s="10" t="str">
        <f t="shared" si="219"/>
        <v/>
      </c>
      <c r="C4698" s="10" t="str">
        <f>IFERROR(INDEX(面试清单!D:D,MATCH(4697,面试清单!P:P,0)),"")</f>
        <v/>
      </c>
      <c r="H4698" s="10" t="str">
        <f>IFERROR(INDEX(面试清单!H:H,MATCH(4697,面试清单!P:P,0)),"")</f>
        <v/>
      </c>
      <c r="J4698" s="10" t="str">
        <f ca="1" t="shared" si="220"/>
        <v/>
      </c>
      <c r="K4698" s="10" t="str">
        <f ca="1" t="shared" si="221"/>
        <v/>
      </c>
    </row>
    <row r="4699" spans="1:11">
      <c r="A4699" s="14" t="str">
        <f t="shared" si="219"/>
        <v/>
      </c>
      <c r="C4699" s="14" t="str">
        <f>IFERROR(INDEX(面试清单!D:D,MATCH(4698,面试清单!P:P,0)),"")</f>
        <v/>
      </c>
      <c r="H4699" s="14" t="str">
        <f>IFERROR(INDEX(面试清单!H:H,MATCH(4698,面试清单!P:P,0)),"")</f>
        <v/>
      </c>
      <c r="J4699" s="14" t="str">
        <f ca="1" t="shared" si="220"/>
        <v/>
      </c>
      <c r="K4699" s="14" t="str">
        <f ca="1" t="shared" si="221"/>
        <v/>
      </c>
    </row>
    <row r="4700" spans="1:11">
      <c r="A4700" s="10" t="str">
        <f t="shared" si="219"/>
        <v/>
      </c>
      <c r="C4700" s="10" t="str">
        <f>IFERROR(INDEX(面试清单!D:D,MATCH(4699,面试清单!P:P,0)),"")</f>
        <v/>
      </c>
      <c r="H4700" s="10" t="str">
        <f>IFERROR(INDEX(面试清单!H:H,MATCH(4699,面试清单!P:P,0)),"")</f>
        <v/>
      </c>
      <c r="J4700" s="10" t="str">
        <f ca="1" t="shared" si="220"/>
        <v/>
      </c>
      <c r="K4700" s="10" t="str">
        <f ca="1" t="shared" si="221"/>
        <v/>
      </c>
    </row>
    <row r="4701" spans="1:11">
      <c r="A4701" s="14" t="str">
        <f t="shared" si="219"/>
        <v/>
      </c>
      <c r="C4701" s="14" t="str">
        <f>IFERROR(INDEX(面试清单!D:D,MATCH(4700,面试清单!P:P,0)),"")</f>
        <v/>
      </c>
      <c r="H4701" s="14" t="str">
        <f>IFERROR(INDEX(面试清单!H:H,MATCH(4700,面试清单!P:P,0)),"")</f>
        <v/>
      </c>
      <c r="J4701" s="14" t="str">
        <f ca="1" t="shared" si="220"/>
        <v/>
      </c>
      <c r="K4701" s="14" t="str">
        <f ca="1" t="shared" si="221"/>
        <v/>
      </c>
    </row>
    <row r="4702" spans="1:11">
      <c r="A4702" s="10" t="str">
        <f t="shared" si="219"/>
        <v/>
      </c>
      <c r="C4702" s="10" t="str">
        <f>IFERROR(INDEX(面试清单!D:D,MATCH(4701,面试清单!P:P,0)),"")</f>
        <v/>
      </c>
      <c r="H4702" s="10" t="str">
        <f>IFERROR(INDEX(面试清单!H:H,MATCH(4701,面试清单!P:P,0)),"")</f>
        <v/>
      </c>
      <c r="J4702" s="10" t="str">
        <f ca="1" t="shared" si="220"/>
        <v/>
      </c>
      <c r="K4702" s="10" t="str">
        <f ca="1" t="shared" si="221"/>
        <v/>
      </c>
    </row>
    <row r="4703" spans="1:11">
      <c r="A4703" s="14" t="str">
        <f t="shared" si="219"/>
        <v/>
      </c>
      <c r="C4703" s="14" t="str">
        <f>IFERROR(INDEX(面试清单!D:D,MATCH(4702,面试清单!P:P,0)),"")</f>
        <v/>
      </c>
      <c r="H4703" s="14" t="str">
        <f>IFERROR(INDEX(面试清单!H:H,MATCH(4702,面试清单!P:P,0)),"")</f>
        <v/>
      </c>
      <c r="J4703" s="14" t="str">
        <f ca="1" t="shared" si="220"/>
        <v/>
      </c>
      <c r="K4703" s="14" t="str">
        <f ca="1" t="shared" si="221"/>
        <v/>
      </c>
    </row>
    <row r="4704" spans="1:11">
      <c r="A4704" s="10" t="str">
        <f t="shared" si="219"/>
        <v/>
      </c>
      <c r="C4704" s="10" t="str">
        <f>IFERROR(INDEX(面试清单!D:D,MATCH(4703,面试清单!P:P,0)),"")</f>
        <v/>
      </c>
      <c r="H4704" s="10" t="str">
        <f>IFERROR(INDEX(面试清单!H:H,MATCH(4703,面试清单!P:P,0)),"")</f>
        <v/>
      </c>
      <c r="J4704" s="10" t="str">
        <f ca="1" t="shared" si="220"/>
        <v/>
      </c>
      <c r="K4704" s="10" t="str">
        <f ca="1" t="shared" si="221"/>
        <v/>
      </c>
    </row>
    <row r="4705" spans="1:11">
      <c r="A4705" s="14" t="str">
        <f t="shared" si="219"/>
        <v/>
      </c>
      <c r="C4705" s="14" t="str">
        <f>IFERROR(INDEX(面试清单!D:D,MATCH(4704,面试清单!P:P,0)),"")</f>
        <v/>
      </c>
      <c r="H4705" s="14" t="str">
        <f>IFERROR(INDEX(面试清单!H:H,MATCH(4704,面试清单!P:P,0)),"")</f>
        <v/>
      </c>
      <c r="J4705" s="14" t="str">
        <f ca="1" t="shared" si="220"/>
        <v/>
      </c>
      <c r="K4705" s="14" t="str">
        <f ca="1" t="shared" si="221"/>
        <v/>
      </c>
    </row>
    <row r="4706" spans="1:11">
      <c r="A4706" s="10" t="str">
        <f t="shared" si="219"/>
        <v/>
      </c>
      <c r="C4706" s="10" t="str">
        <f>IFERROR(INDEX(面试清单!D:D,MATCH(4705,面试清单!P:P,0)),"")</f>
        <v/>
      </c>
      <c r="H4706" s="10" t="str">
        <f>IFERROR(INDEX(面试清单!H:H,MATCH(4705,面试清单!P:P,0)),"")</f>
        <v/>
      </c>
      <c r="J4706" s="10" t="str">
        <f ca="1" t="shared" si="220"/>
        <v/>
      </c>
      <c r="K4706" s="10" t="str">
        <f ca="1" t="shared" si="221"/>
        <v/>
      </c>
    </row>
    <row r="4707" spans="1:11">
      <c r="A4707" s="14" t="str">
        <f t="shared" si="219"/>
        <v/>
      </c>
      <c r="C4707" s="14" t="str">
        <f>IFERROR(INDEX(面试清单!D:D,MATCH(4706,面试清单!P:P,0)),"")</f>
        <v/>
      </c>
      <c r="H4707" s="14" t="str">
        <f>IFERROR(INDEX(面试清单!H:H,MATCH(4706,面试清单!P:P,0)),"")</f>
        <v/>
      </c>
      <c r="J4707" s="14" t="str">
        <f ca="1" t="shared" si="220"/>
        <v/>
      </c>
      <c r="K4707" s="14" t="str">
        <f ca="1" t="shared" si="221"/>
        <v/>
      </c>
    </row>
    <row r="4708" spans="1:11">
      <c r="A4708" s="10" t="str">
        <f t="shared" si="219"/>
        <v/>
      </c>
      <c r="C4708" s="10" t="str">
        <f>IFERROR(INDEX(面试清单!D:D,MATCH(4707,面试清单!P:P,0)),"")</f>
        <v/>
      </c>
      <c r="H4708" s="10" t="str">
        <f>IFERROR(INDEX(面试清单!H:H,MATCH(4707,面试清单!P:P,0)),"")</f>
        <v/>
      </c>
      <c r="J4708" s="10" t="str">
        <f ca="1" t="shared" si="220"/>
        <v/>
      </c>
      <c r="K4708" s="10" t="str">
        <f ca="1" t="shared" si="221"/>
        <v/>
      </c>
    </row>
    <row r="4709" spans="1:11">
      <c r="A4709" s="14" t="str">
        <f t="shared" si="219"/>
        <v/>
      </c>
      <c r="C4709" s="14" t="str">
        <f>IFERROR(INDEX(面试清单!D:D,MATCH(4708,面试清单!P:P,0)),"")</f>
        <v/>
      </c>
      <c r="H4709" s="14" t="str">
        <f>IFERROR(INDEX(面试清单!H:H,MATCH(4708,面试清单!P:P,0)),"")</f>
        <v/>
      </c>
      <c r="J4709" s="14" t="str">
        <f ca="1" t="shared" si="220"/>
        <v/>
      </c>
      <c r="K4709" s="14" t="str">
        <f ca="1" t="shared" si="221"/>
        <v/>
      </c>
    </row>
    <row r="4710" spans="1:11">
      <c r="A4710" s="10" t="str">
        <f t="shared" si="219"/>
        <v/>
      </c>
      <c r="C4710" s="10" t="str">
        <f>IFERROR(INDEX(面试清单!D:D,MATCH(4709,面试清单!P:P,0)),"")</f>
        <v/>
      </c>
      <c r="H4710" s="10" t="str">
        <f>IFERROR(INDEX(面试清单!H:H,MATCH(4709,面试清单!P:P,0)),"")</f>
        <v/>
      </c>
      <c r="J4710" s="10" t="str">
        <f ca="1" t="shared" si="220"/>
        <v/>
      </c>
      <c r="K4710" s="10" t="str">
        <f ca="1" t="shared" si="221"/>
        <v/>
      </c>
    </row>
    <row r="4711" spans="1:11">
      <c r="A4711" s="14" t="str">
        <f t="shared" si="219"/>
        <v/>
      </c>
      <c r="C4711" s="14" t="str">
        <f>IFERROR(INDEX(面试清单!D:D,MATCH(4710,面试清单!P:P,0)),"")</f>
        <v/>
      </c>
      <c r="H4711" s="14" t="str">
        <f>IFERROR(INDEX(面试清单!H:H,MATCH(4710,面试清单!P:P,0)),"")</f>
        <v/>
      </c>
      <c r="J4711" s="14" t="str">
        <f ca="1" t="shared" si="220"/>
        <v/>
      </c>
      <c r="K4711" s="14" t="str">
        <f ca="1" t="shared" si="221"/>
        <v/>
      </c>
    </row>
    <row r="4712" spans="1:11">
      <c r="A4712" s="10" t="str">
        <f t="shared" si="219"/>
        <v/>
      </c>
      <c r="C4712" s="10" t="str">
        <f>IFERROR(INDEX(面试清单!D:D,MATCH(4711,面试清单!P:P,0)),"")</f>
        <v/>
      </c>
      <c r="H4712" s="10" t="str">
        <f>IFERROR(INDEX(面试清单!H:H,MATCH(4711,面试清单!P:P,0)),"")</f>
        <v/>
      </c>
      <c r="J4712" s="10" t="str">
        <f ca="1" t="shared" si="220"/>
        <v/>
      </c>
      <c r="K4712" s="10" t="str">
        <f ca="1" t="shared" si="221"/>
        <v/>
      </c>
    </row>
    <row r="4713" spans="1:11">
      <c r="A4713" s="14" t="str">
        <f t="shared" si="219"/>
        <v/>
      </c>
      <c r="C4713" s="14" t="str">
        <f>IFERROR(INDEX(面试清单!D:D,MATCH(4712,面试清单!P:P,0)),"")</f>
        <v/>
      </c>
      <c r="H4713" s="14" t="str">
        <f>IFERROR(INDEX(面试清单!H:H,MATCH(4712,面试清单!P:P,0)),"")</f>
        <v/>
      </c>
      <c r="J4713" s="14" t="str">
        <f ca="1" t="shared" si="220"/>
        <v/>
      </c>
      <c r="K4713" s="14" t="str">
        <f ca="1" t="shared" si="221"/>
        <v/>
      </c>
    </row>
    <row r="4714" spans="1:11">
      <c r="A4714" s="10" t="str">
        <f t="shared" si="219"/>
        <v/>
      </c>
      <c r="C4714" s="10" t="str">
        <f>IFERROR(INDEX(面试清单!D:D,MATCH(4713,面试清单!P:P,0)),"")</f>
        <v/>
      </c>
      <c r="H4714" s="10" t="str">
        <f>IFERROR(INDEX(面试清单!H:H,MATCH(4713,面试清单!P:P,0)),"")</f>
        <v/>
      </c>
      <c r="J4714" s="10" t="str">
        <f ca="1" t="shared" si="220"/>
        <v/>
      </c>
      <c r="K4714" s="10" t="str">
        <f ca="1" t="shared" si="221"/>
        <v/>
      </c>
    </row>
    <row r="4715" spans="1:11">
      <c r="A4715" s="14" t="str">
        <f t="shared" si="219"/>
        <v/>
      </c>
      <c r="C4715" s="14" t="str">
        <f>IFERROR(INDEX(面试清单!D:D,MATCH(4714,面试清单!P:P,0)),"")</f>
        <v/>
      </c>
      <c r="H4715" s="14" t="str">
        <f>IFERROR(INDEX(面试清单!H:H,MATCH(4714,面试清单!P:P,0)),"")</f>
        <v/>
      </c>
      <c r="J4715" s="14" t="str">
        <f ca="1" t="shared" si="220"/>
        <v/>
      </c>
      <c r="K4715" s="14" t="str">
        <f ca="1" t="shared" si="221"/>
        <v/>
      </c>
    </row>
    <row r="4716" spans="1:11">
      <c r="A4716" s="10" t="str">
        <f t="shared" si="219"/>
        <v/>
      </c>
      <c r="C4716" s="10" t="str">
        <f>IFERROR(INDEX(面试清单!D:D,MATCH(4715,面试清单!P:P,0)),"")</f>
        <v/>
      </c>
      <c r="H4716" s="10" t="str">
        <f>IFERROR(INDEX(面试清单!H:H,MATCH(4715,面试清单!P:P,0)),"")</f>
        <v/>
      </c>
      <c r="J4716" s="10" t="str">
        <f ca="1" t="shared" si="220"/>
        <v/>
      </c>
      <c r="K4716" s="10" t="str">
        <f ca="1" t="shared" si="221"/>
        <v/>
      </c>
    </row>
    <row r="4717" spans="1:11">
      <c r="A4717" s="14" t="str">
        <f t="shared" si="219"/>
        <v/>
      </c>
      <c r="C4717" s="14" t="str">
        <f>IFERROR(INDEX(面试清单!D:D,MATCH(4716,面试清单!P:P,0)),"")</f>
        <v/>
      </c>
      <c r="H4717" s="14" t="str">
        <f>IFERROR(INDEX(面试清单!H:H,MATCH(4716,面试清单!P:P,0)),"")</f>
        <v/>
      </c>
      <c r="J4717" s="14" t="str">
        <f ca="1" t="shared" si="220"/>
        <v/>
      </c>
      <c r="K4717" s="14" t="str">
        <f ca="1" t="shared" si="221"/>
        <v/>
      </c>
    </row>
    <row r="4718" spans="1:11">
      <c r="A4718" s="10" t="str">
        <f t="shared" si="219"/>
        <v/>
      </c>
      <c r="C4718" s="10" t="str">
        <f>IFERROR(INDEX(面试清单!D:D,MATCH(4717,面试清单!P:P,0)),"")</f>
        <v/>
      </c>
      <c r="H4718" s="10" t="str">
        <f>IFERROR(INDEX(面试清单!H:H,MATCH(4717,面试清单!P:P,0)),"")</f>
        <v/>
      </c>
      <c r="J4718" s="10" t="str">
        <f ca="1" t="shared" si="220"/>
        <v/>
      </c>
      <c r="K4718" s="10" t="str">
        <f ca="1" t="shared" si="221"/>
        <v/>
      </c>
    </row>
    <row r="4719" spans="1:11">
      <c r="A4719" s="14" t="str">
        <f t="shared" si="219"/>
        <v/>
      </c>
      <c r="C4719" s="14" t="str">
        <f>IFERROR(INDEX(面试清单!D:D,MATCH(4718,面试清单!P:P,0)),"")</f>
        <v/>
      </c>
      <c r="H4719" s="14" t="str">
        <f>IFERROR(INDEX(面试清单!H:H,MATCH(4718,面试清单!P:P,0)),"")</f>
        <v/>
      </c>
      <c r="J4719" s="14" t="str">
        <f ca="1" t="shared" si="220"/>
        <v/>
      </c>
      <c r="K4719" s="14" t="str">
        <f ca="1" t="shared" si="221"/>
        <v/>
      </c>
    </row>
    <row r="4720" spans="1:11">
      <c r="A4720" s="10" t="str">
        <f t="shared" si="219"/>
        <v/>
      </c>
      <c r="C4720" s="10" t="str">
        <f>IFERROR(INDEX(面试清单!D:D,MATCH(4719,面试清单!P:P,0)),"")</f>
        <v/>
      </c>
      <c r="H4720" s="10" t="str">
        <f>IFERROR(INDEX(面试清单!H:H,MATCH(4719,面试清单!P:P,0)),"")</f>
        <v/>
      </c>
      <c r="J4720" s="10" t="str">
        <f ca="1" t="shared" si="220"/>
        <v/>
      </c>
      <c r="K4720" s="10" t="str">
        <f ca="1" t="shared" si="221"/>
        <v/>
      </c>
    </row>
    <row r="4721" spans="1:11">
      <c r="A4721" s="14" t="str">
        <f t="shared" si="219"/>
        <v/>
      </c>
      <c r="C4721" s="14" t="str">
        <f>IFERROR(INDEX(面试清单!D:D,MATCH(4720,面试清单!P:P,0)),"")</f>
        <v/>
      </c>
      <c r="H4721" s="14" t="str">
        <f>IFERROR(INDEX(面试清单!H:H,MATCH(4720,面试清单!P:P,0)),"")</f>
        <v/>
      </c>
      <c r="J4721" s="14" t="str">
        <f ca="1" t="shared" si="220"/>
        <v/>
      </c>
      <c r="K4721" s="14" t="str">
        <f ca="1" t="shared" si="221"/>
        <v/>
      </c>
    </row>
    <row r="4722" spans="1:11">
      <c r="A4722" s="10" t="str">
        <f t="shared" si="219"/>
        <v/>
      </c>
      <c r="C4722" s="10" t="str">
        <f>IFERROR(INDEX(面试清单!D:D,MATCH(4721,面试清单!P:P,0)),"")</f>
        <v/>
      </c>
      <c r="H4722" s="10" t="str">
        <f>IFERROR(INDEX(面试清单!H:H,MATCH(4721,面试清单!P:P,0)),"")</f>
        <v/>
      </c>
      <c r="J4722" s="10" t="str">
        <f ca="1" t="shared" si="220"/>
        <v/>
      </c>
      <c r="K4722" s="10" t="str">
        <f ca="1" t="shared" si="221"/>
        <v/>
      </c>
    </row>
    <row r="4723" spans="1:11">
      <c r="A4723" s="14" t="str">
        <f t="shared" si="219"/>
        <v/>
      </c>
      <c r="C4723" s="14" t="str">
        <f>IFERROR(INDEX(面试清单!D:D,MATCH(4722,面试清单!P:P,0)),"")</f>
        <v/>
      </c>
      <c r="H4723" s="14" t="str">
        <f>IFERROR(INDEX(面试清单!H:H,MATCH(4722,面试清单!P:P,0)),"")</f>
        <v/>
      </c>
      <c r="J4723" s="14" t="str">
        <f ca="1" t="shared" si="220"/>
        <v/>
      </c>
      <c r="K4723" s="14" t="str">
        <f ca="1" t="shared" si="221"/>
        <v/>
      </c>
    </row>
    <row r="4724" spans="1:11">
      <c r="A4724" s="10" t="str">
        <f t="shared" si="219"/>
        <v/>
      </c>
      <c r="C4724" s="10" t="str">
        <f>IFERROR(INDEX(面试清单!D:D,MATCH(4723,面试清单!P:P,0)),"")</f>
        <v/>
      </c>
      <c r="H4724" s="10" t="str">
        <f>IFERROR(INDEX(面试清单!H:H,MATCH(4723,面试清单!P:P,0)),"")</f>
        <v/>
      </c>
      <c r="J4724" s="10" t="str">
        <f ca="1" t="shared" si="220"/>
        <v/>
      </c>
      <c r="K4724" s="10" t="str">
        <f ca="1" t="shared" si="221"/>
        <v/>
      </c>
    </row>
    <row r="4725" spans="1:11">
      <c r="A4725" s="14" t="str">
        <f t="shared" si="219"/>
        <v/>
      </c>
      <c r="C4725" s="14" t="str">
        <f>IFERROR(INDEX(面试清单!D:D,MATCH(4724,面试清单!P:P,0)),"")</f>
        <v/>
      </c>
      <c r="H4725" s="14" t="str">
        <f>IFERROR(INDEX(面试清单!H:H,MATCH(4724,面试清单!P:P,0)),"")</f>
        <v/>
      </c>
      <c r="J4725" s="14" t="str">
        <f ca="1" t="shared" si="220"/>
        <v/>
      </c>
      <c r="K4725" s="14" t="str">
        <f ca="1" t="shared" si="221"/>
        <v/>
      </c>
    </row>
    <row r="4726" spans="1:11">
      <c r="A4726" s="10" t="str">
        <f t="shared" si="219"/>
        <v/>
      </c>
      <c r="C4726" s="10" t="str">
        <f>IFERROR(INDEX(面试清单!D:D,MATCH(4725,面试清单!P:P,0)),"")</f>
        <v/>
      </c>
      <c r="H4726" s="10" t="str">
        <f>IFERROR(INDEX(面试清单!H:H,MATCH(4725,面试清单!P:P,0)),"")</f>
        <v/>
      </c>
      <c r="J4726" s="10" t="str">
        <f ca="1" t="shared" si="220"/>
        <v/>
      </c>
      <c r="K4726" s="10" t="str">
        <f ca="1" t="shared" si="221"/>
        <v/>
      </c>
    </row>
    <row r="4727" spans="1:11">
      <c r="A4727" s="14" t="str">
        <f t="shared" si="219"/>
        <v/>
      </c>
      <c r="C4727" s="14" t="str">
        <f>IFERROR(INDEX(面试清单!D:D,MATCH(4726,面试清单!P:P,0)),"")</f>
        <v/>
      </c>
      <c r="H4727" s="14" t="str">
        <f>IFERROR(INDEX(面试清单!H:H,MATCH(4726,面试清单!P:P,0)),"")</f>
        <v/>
      </c>
      <c r="J4727" s="14" t="str">
        <f ca="1" t="shared" si="220"/>
        <v/>
      </c>
      <c r="K4727" s="14" t="str">
        <f ca="1" t="shared" si="221"/>
        <v/>
      </c>
    </row>
    <row r="4728" spans="1:11">
      <c r="A4728" s="10" t="str">
        <f t="shared" si="219"/>
        <v/>
      </c>
      <c r="C4728" s="10" t="str">
        <f>IFERROR(INDEX(面试清单!D:D,MATCH(4727,面试清单!P:P,0)),"")</f>
        <v/>
      </c>
      <c r="H4728" s="10" t="str">
        <f>IFERROR(INDEX(面试清单!H:H,MATCH(4727,面试清单!P:P,0)),"")</f>
        <v/>
      </c>
      <c r="J4728" s="10" t="str">
        <f ca="1" t="shared" si="220"/>
        <v/>
      </c>
      <c r="K4728" s="10" t="str">
        <f ca="1" t="shared" si="221"/>
        <v/>
      </c>
    </row>
    <row r="4729" spans="1:11">
      <c r="A4729" s="14" t="str">
        <f t="shared" si="219"/>
        <v/>
      </c>
      <c r="C4729" s="14" t="str">
        <f>IFERROR(INDEX(面试清单!D:D,MATCH(4728,面试清单!P:P,0)),"")</f>
        <v/>
      </c>
      <c r="H4729" s="14" t="str">
        <f>IFERROR(INDEX(面试清单!H:H,MATCH(4728,面试清单!P:P,0)),"")</f>
        <v/>
      </c>
      <c r="J4729" s="14" t="str">
        <f ca="1" t="shared" si="220"/>
        <v/>
      </c>
      <c r="K4729" s="14" t="str">
        <f ca="1" t="shared" si="221"/>
        <v/>
      </c>
    </row>
    <row r="4730" spans="1:11">
      <c r="A4730" s="10" t="str">
        <f t="shared" si="219"/>
        <v/>
      </c>
      <c r="C4730" s="10" t="str">
        <f>IFERROR(INDEX(面试清单!D:D,MATCH(4729,面试清单!P:P,0)),"")</f>
        <v/>
      </c>
      <c r="H4730" s="10" t="str">
        <f>IFERROR(INDEX(面试清单!H:H,MATCH(4729,面试清单!P:P,0)),"")</f>
        <v/>
      </c>
      <c r="J4730" s="10" t="str">
        <f ca="1" t="shared" si="220"/>
        <v/>
      </c>
      <c r="K4730" s="10" t="str">
        <f ca="1" t="shared" si="221"/>
        <v/>
      </c>
    </row>
    <row r="4731" spans="1:11">
      <c r="A4731" s="14" t="str">
        <f t="shared" si="219"/>
        <v/>
      </c>
      <c r="C4731" s="14" t="str">
        <f>IFERROR(INDEX(面试清单!D:D,MATCH(4730,面试清单!P:P,0)),"")</f>
        <v/>
      </c>
      <c r="H4731" s="14" t="str">
        <f>IFERROR(INDEX(面试清单!H:H,MATCH(4730,面试清单!P:P,0)),"")</f>
        <v/>
      </c>
      <c r="J4731" s="14" t="str">
        <f ca="1" t="shared" si="220"/>
        <v/>
      </c>
      <c r="K4731" s="14" t="str">
        <f ca="1" t="shared" si="221"/>
        <v/>
      </c>
    </row>
    <row r="4732" spans="1:11">
      <c r="A4732" s="10" t="str">
        <f t="shared" si="219"/>
        <v/>
      </c>
      <c r="C4732" s="10" t="str">
        <f>IFERROR(INDEX(面试清单!D:D,MATCH(4731,面试清单!P:P,0)),"")</f>
        <v/>
      </c>
      <c r="H4732" s="10" t="str">
        <f>IFERROR(INDEX(面试清单!H:H,MATCH(4731,面试清单!P:P,0)),"")</f>
        <v/>
      </c>
      <c r="J4732" s="10" t="str">
        <f ca="1" t="shared" si="220"/>
        <v/>
      </c>
      <c r="K4732" s="10" t="str">
        <f ca="1" t="shared" si="221"/>
        <v/>
      </c>
    </row>
    <row r="4733" spans="1:11">
      <c r="A4733" s="14" t="str">
        <f t="shared" si="219"/>
        <v/>
      </c>
      <c r="C4733" s="14" t="str">
        <f>IFERROR(INDEX(面试清单!D:D,MATCH(4732,面试清单!P:P,0)),"")</f>
        <v/>
      </c>
      <c r="H4733" s="14" t="str">
        <f>IFERROR(INDEX(面试清单!H:H,MATCH(4732,面试清单!P:P,0)),"")</f>
        <v/>
      </c>
      <c r="J4733" s="14" t="str">
        <f ca="1" t="shared" si="220"/>
        <v/>
      </c>
      <c r="K4733" s="14" t="str">
        <f ca="1" t="shared" si="221"/>
        <v/>
      </c>
    </row>
    <row r="4734" spans="1:11">
      <c r="A4734" s="10" t="str">
        <f t="shared" si="219"/>
        <v/>
      </c>
      <c r="C4734" s="10" t="str">
        <f>IFERROR(INDEX(面试清单!D:D,MATCH(4733,面试清单!P:P,0)),"")</f>
        <v/>
      </c>
      <c r="H4734" s="10" t="str">
        <f>IFERROR(INDEX(面试清单!H:H,MATCH(4733,面试清单!P:P,0)),"")</f>
        <v/>
      </c>
      <c r="J4734" s="10" t="str">
        <f ca="1" t="shared" si="220"/>
        <v/>
      </c>
      <c r="K4734" s="10" t="str">
        <f ca="1" t="shared" si="221"/>
        <v/>
      </c>
    </row>
    <row r="4735" spans="1:11">
      <c r="A4735" s="14" t="str">
        <f t="shared" si="219"/>
        <v/>
      </c>
      <c r="C4735" s="14" t="str">
        <f>IFERROR(INDEX(面试清单!D:D,MATCH(4734,面试清单!P:P,0)),"")</f>
        <v/>
      </c>
      <c r="H4735" s="14" t="str">
        <f>IFERROR(INDEX(面试清单!H:H,MATCH(4734,面试清单!P:P,0)),"")</f>
        <v/>
      </c>
      <c r="J4735" s="14" t="str">
        <f ca="1" t="shared" si="220"/>
        <v/>
      </c>
      <c r="K4735" s="14" t="str">
        <f ca="1" t="shared" si="221"/>
        <v/>
      </c>
    </row>
    <row r="4736" spans="1:11">
      <c r="A4736" s="10" t="str">
        <f t="shared" si="219"/>
        <v/>
      </c>
      <c r="C4736" s="10" t="str">
        <f>IFERROR(INDEX(面试清单!D:D,MATCH(4735,面试清单!P:P,0)),"")</f>
        <v/>
      </c>
      <c r="H4736" s="10" t="str">
        <f>IFERROR(INDEX(面试清单!H:H,MATCH(4735,面试清单!P:P,0)),"")</f>
        <v/>
      </c>
      <c r="J4736" s="10" t="str">
        <f ca="1" t="shared" si="220"/>
        <v/>
      </c>
      <c r="K4736" s="10" t="str">
        <f ca="1" t="shared" si="221"/>
        <v/>
      </c>
    </row>
    <row r="4737" spans="1:11">
      <c r="A4737" s="14" t="str">
        <f t="shared" si="219"/>
        <v/>
      </c>
      <c r="C4737" s="14" t="str">
        <f>IFERROR(INDEX(面试清单!D:D,MATCH(4736,面试清单!P:P,0)),"")</f>
        <v/>
      </c>
      <c r="H4737" s="14" t="str">
        <f>IFERROR(INDEX(面试清单!H:H,MATCH(4736,面试清单!P:P,0)),"")</f>
        <v/>
      </c>
      <c r="J4737" s="14" t="str">
        <f ca="1" t="shared" si="220"/>
        <v/>
      </c>
      <c r="K4737" s="14" t="str">
        <f ca="1" t="shared" si="221"/>
        <v/>
      </c>
    </row>
    <row r="4738" spans="1:11">
      <c r="A4738" s="10" t="str">
        <f t="shared" ref="A4738:A4801" si="222">IF(B4738&lt;&gt;"",ROW()-1,"")</f>
        <v/>
      </c>
      <c r="C4738" s="10" t="str">
        <f>IFERROR(INDEX(面试清单!D:D,MATCH(4737,面试清单!P:P,0)),"")</f>
        <v/>
      </c>
      <c r="H4738" s="10" t="str">
        <f>IFERROR(INDEX(面试清单!H:H,MATCH(4737,面试清单!P:P,0)),"")</f>
        <v/>
      </c>
      <c r="J4738" s="10" t="str">
        <f ca="1" t="shared" ref="J4738:J4801" si="223">IF(G4738&lt;&gt;"",TODAY()-G4738,"")</f>
        <v/>
      </c>
      <c r="K4738" s="10" t="str">
        <f ca="1" t="shared" ref="K4738:K4801" si="224">IF(G4738&lt;&gt;"",MAX(0,MIN(TODAY(),EOMONTH(TODAY(),0))-MAX(G4738,EOMONTH(TODAY(),-1)+1)+1),"")</f>
        <v/>
      </c>
    </row>
    <row r="4739" spans="1:11">
      <c r="A4739" s="14" t="str">
        <f t="shared" si="222"/>
        <v/>
      </c>
      <c r="C4739" s="14" t="str">
        <f>IFERROR(INDEX(面试清单!D:D,MATCH(4738,面试清单!P:P,0)),"")</f>
        <v/>
      </c>
      <c r="H4739" s="14" t="str">
        <f>IFERROR(INDEX(面试清单!H:H,MATCH(4738,面试清单!P:P,0)),"")</f>
        <v/>
      </c>
      <c r="J4739" s="14" t="str">
        <f ca="1" t="shared" si="223"/>
        <v/>
      </c>
      <c r="K4739" s="14" t="str">
        <f ca="1" t="shared" si="224"/>
        <v/>
      </c>
    </row>
    <row r="4740" spans="1:11">
      <c r="A4740" s="10" t="str">
        <f t="shared" si="222"/>
        <v/>
      </c>
      <c r="C4740" s="10" t="str">
        <f>IFERROR(INDEX(面试清单!D:D,MATCH(4739,面试清单!P:P,0)),"")</f>
        <v/>
      </c>
      <c r="H4740" s="10" t="str">
        <f>IFERROR(INDEX(面试清单!H:H,MATCH(4739,面试清单!P:P,0)),"")</f>
        <v/>
      </c>
      <c r="J4740" s="10" t="str">
        <f ca="1" t="shared" si="223"/>
        <v/>
      </c>
      <c r="K4740" s="10" t="str">
        <f ca="1" t="shared" si="224"/>
        <v/>
      </c>
    </row>
    <row r="4741" spans="1:11">
      <c r="A4741" s="14" t="str">
        <f t="shared" si="222"/>
        <v/>
      </c>
      <c r="C4741" s="14" t="str">
        <f>IFERROR(INDEX(面试清单!D:D,MATCH(4740,面试清单!P:P,0)),"")</f>
        <v/>
      </c>
      <c r="H4741" s="14" t="str">
        <f>IFERROR(INDEX(面试清单!H:H,MATCH(4740,面试清单!P:P,0)),"")</f>
        <v/>
      </c>
      <c r="J4741" s="14" t="str">
        <f ca="1" t="shared" si="223"/>
        <v/>
      </c>
      <c r="K4741" s="14" t="str">
        <f ca="1" t="shared" si="224"/>
        <v/>
      </c>
    </row>
    <row r="4742" spans="1:11">
      <c r="A4742" s="10" t="str">
        <f t="shared" si="222"/>
        <v/>
      </c>
      <c r="C4742" s="10" t="str">
        <f>IFERROR(INDEX(面试清单!D:D,MATCH(4741,面试清单!P:P,0)),"")</f>
        <v/>
      </c>
      <c r="H4742" s="10" t="str">
        <f>IFERROR(INDEX(面试清单!H:H,MATCH(4741,面试清单!P:P,0)),"")</f>
        <v/>
      </c>
      <c r="J4742" s="10" t="str">
        <f ca="1" t="shared" si="223"/>
        <v/>
      </c>
      <c r="K4742" s="10" t="str">
        <f ca="1" t="shared" si="224"/>
        <v/>
      </c>
    </row>
    <row r="4743" spans="1:11">
      <c r="A4743" s="14" t="str">
        <f t="shared" si="222"/>
        <v/>
      </c>
      <c r="C4743" s="14" t="str">
        <f>IFERROR(INDEX(面试清单!D:D,MATCH(4742,面试清单!P:P,0)),"")</f>
        <v/>
      </c>
      <c r="H4743" s="14" t="str">
        <f>IFERROR(INDEX(面试清单!H:H,MATCH(4742,面试清单!P:P,0)),"")</f>
        <v/>
      </c>
      <c r="J4743" s="14" t="str">
        <f ca="1" t="shared" si="223"/>
        <v/>
      </c>
      <c r="K4743" s="14" t="str">
        <f ca="1" t="shared" si="224"/>
        <v/>
      </c>
    </row>
    <row r="4744" spans="1:11">
      <c r="A4744" s="10" t="str">
        <f t="shared" si="222"/>
        <v/>
      </c>
      <c r="C4744" s="10" t="str">
        <f>IFERROR(INDEX(面试清单!D:D,MATCH(4743,面试清单!P:P,0)),"")</f>
        <v/>
      </c>
      <c r="H4744" s="10" t="str">
        <f>IFERROR(INDEX(面试清单!H:H,MATCH(4743,面试清单!P:P,0)),"")</f>
        <v/>
      </c>
      <c r="J4744" s="10" t="str">
        <f ca="1" t="shared" si="223"/>
        <v/>
      </c>
      <c r="K4744" s="10" t="str">
        <f ca="1" t="shared" si="224"/>
        <v/>
      </c>
    </row>
    <row r="4745" spans="1:11">
      <c r="A4745" s="14" t="str">
        <f t="shared" si="222"/>
        <v/>
      </c>
      <c r="C4745" s="14" t="str">
        <f>IFERROR(INDEX(面试清单!D:D,MATCH(4744,面试清单!P:P,0)),"")</f>
        <v/>
      </c>
      <c r="H4745" s="14" t="str">
        <f>IFERROR(INDEX(面试清单!H:H,MATCH(4744,面试清单!P:P,0)),"")</f>
        <v/>
      </c>
      <c r="J4745" s="14" t="str">
        <f ca="1" t="shared" si="223"/>
        <v/>
      </c>
      <c r="K4745" s="14" t="str">
        <f ca="1" t="shared" si="224"/>
        <v/>
      </c>
    </row>
    <row r="4746" spans="1:11">
      <c r="A4746" s="10" t="str">
        <f t="shared" si="222"/>
        <v/>
      </c>
      <c r="C4746" s="10" t="str">
        <f>IFERROR(INDEX(面试清单!D:D,MATCH(4745,面试清单!P:P,0)),"")</f>
        <v/>
      </c>
      <c r="H4746" s="10" t="str">
        <f>IFERROR(INDEX(面试清单!H:H,MATCH(4745,面试清单!P:P,0)),"")</f>
        <v/>
      </c>
      <c r="J4746" s="10" t="str">
        <f ca="1" t="shared" si="223"/>
        <v/>
      </c>
      <c r="K4746" s="10" t="str">
        <f ca="1" t="shared" si="224"/>
        <v/>
      </c>
    </row>
    <row r="4747" spans="1:11">
      <c r="A4747" s="14" t="str">
        <f t="shared" si="222"/>
        <v/>
      </c>
      <c r="C4747" s="14" t="str">
        <f>IFERROR(INDEX(面试清单!D:D,MATCH(4746,面试清单!P:P,0)),"")</f>
        <v/>
      </c>
      <c r="H4747" s="14" t="str">
        <f>IFERROR(INDEX(面试清单!H:H,MATCH(4746,面试清单!P:P,0)),"")</f>
        <v/>
      </c>
      <c r="J4747" s="14" t="str">
        <f ca="1" t="shared" si="223"/>
        <v/>
      </c>
      <c r="K4747" s="14" t="str">
        <f ca="1" t="shared" si="224"/>
        <v/>
      </c>
    </row>
    <row r="4748" spans="1:11">
      <c r="A4748" s="10" t="str">
        <f t="shared" si="222"/>
        <v/>
      </c>
      <c r="C4748" s="10" t="str">
        <f>IFERROR(INDEX(面试清单!D:D,MATCH(4747,面试清单!P:P,0)),"")</f>
        <v/>
      </c>
      <c r="H4748" s="10" t="str">
        <f>IFERROR(INDEX(面试清单!H:H,MATCH(4747,面试清单!P:P,0)),"")</f>
        <v/>
      </c>
      <c r="J4748" s="10" t="str">
        <f ca="1" t="shared" si="223"/>
        <v/>
      </c>
      <c r="K4748" s="10" t="str">
        <f ca="1" t="shared" si="224"/>
        <v/>
      </c>
    </row>
    <row r="4749" spans="1:11">
      <c r="A4749" s="14" t="str">
        <f t="shared" si="222"/>
        <v/>
      </c>
      <c r="C4749" s="14" t="str">
        <f>IFERROR(INDEX(面试清单!D:D,MATCH(4748,面试清单!P:P,0)),"")</f>
        <v/>
      </c>
      <c r="H4749" s="14" t="str">
        <f>IFERROR(INDEX(面试清单!H:H,MATCH(4748,面试清单!P:P,0)),"")</f>
        <v/>
      </c>
      <c r="J4749" s="14" t="str">
        <f ca="1" t="shared" si="223"/>
        <v/>
      </c>
      <c r="K4749" s="14" t="str">
        <f ca="1" t="shared" si="224"/>
        <v/>
      </c>
    </row>
    <row r="4750" spans="1:11">
      <c r="A4750" s="10" t="str">
        <f t="shared" si="222"/>
        <v/>
      </c>
      <c r="C4750" s="10" t="str">
        <f>IFERROR(INDEX(面试清单!D:D,MATCH(4749,面试清单!P:P,0)),"")</f>
        <v/>
      </c>
      <c r="H4750" s="10" t="str">
        <f>IFERROR(INDEX(面试清单!H:H,MATCH(4749,面试清单!P:P,0)),"")</f>
        <v/>
      </c>
      <c r="J4750" s="10" t="str">
        <f ca="1" t="shared" si="223"/>
        <v/>
      </c>
      <c r="K4750" s="10" t="str">
        <f ca="1" t="shared" si="224"/>
        <v/>
      </c>
    </row>
    <row r="4751" spans="1:11">
      <c r="A4751" s="14" t="str">
        <f t="shared" si="222"/>
        <v/>
      </c>
      <c r="C4751" s="14" t="str">
        <f>IFERROR(INDEX(面试清单!D:D,MATCH(4750,面试清单!P:P,0)),"")</f>
        <v/>
      </c>
      <c r="H4751" s="14" t="str">
        <f>IFERROR(INDEX(面试清单!H:H,MATCH(4750,面试清单!P:P,0)),"")</f>
        <v/>
      </c>
      <c r="J4751" s="14" t="str">
        <f ca="1" t="shared" si="223"/>
        <v/>
      </c>
      <c r="K4751" s="14" t="str">
        <f ca="1" t="shared" si="224"/>
        <v/>
      </c>
    </row>
    <row r="4752" spans="1:11">
      <c r="A4752" s="10" t="str">
        <f t="shared" si="222"/>
        <v/>
      </c>
      <c r="C4752" s="10" t="str">
        <f>IFERROR(INDEX(面试清单!D:D,MATCH(4751,面试清单!P:P,0)),"")</f>
        <v/>
      </c>
      <c r="H4752" s="10" t="str">
        <f>IFERROR(INDEX(面试清单!H:H,MATCH(4751,面试清单!P:P,0)),"")</f>
        <v/>
      </c>
      <c r="J4752" s="10" t="str">
        <f ca="1" t="shared" si="223"/>
        <v/>
      </c>
      <c r="K4752" s="10" t="str">
        <f ca="1" t="shared" si="224"/>
        <v/>
      </c>
    </row>
    <row r="4753" spans="1:11">
      <c r="A4753" s="14" t="str">
        <f t="shared" si="222"/>
        <v/>
      </c>
      <c r="C4753" s="14" t="str">
        <f>IFERROR(INDEX(面试清单!D:D,MATCH(4752,面试清单!P:P,0)),"")</f>
        <v/>
      </c>
      <c r="H4753" s="14" t="str">
        <f>IFERROR(INDEX(面试清单!H:H,MATCH(4752,面试清单!P:P,0)),"")</f>
        <v/>
      </c>
      <c r="J4753" s="14" t="str">
        <f ca="1" t="shared" si="223"/>
        <v/>
      </c>
      <c r="K4753" s="14" t="str">
        <f ca="1" t="shared" si="224"/>
        <v/>
      </c>
    </row>
    <row r="4754" spans="1:11">
      <c r="A4754" s="10" t="str">
        <f t="shared" si="222"/>
        <v/>
      </c>
      <c r="C4754" s="10" t="str">
        <f>IFERROR(INDEX(面试清单!D:D,MATCH(4753,面试清单!P:P,0)),"")</f>
        <v/>
      </c>
      <c r="H4754" s="10" t="str">
        <f>IFERROR(INDEX(面试清单!H:H,MATCH(4753,面试清单!P:P,0)),"")</f>
        <v/>
      </c>
      <c r="J4754" s="10" t="str">
        <f ca="1" t="shared" si="223"/>
        <v/>
      </c>
      <c r="K4754" s="10" t="str">
        <f ca="1" t="shared" si="224"/>
        <v/>
      </c>
    </row>
    <row r="4755" spans="1:11">
      <c r="A4755" s="14" t="str">
        <f t="shared" si="222"/>
        <v/>
      </c>
      <c r="C4755" s="14" t="str">
        <f>IFERROR(INDEX(面试清单!D:D,MATCH(4754,面试清单!P:P,0)),"")</f>
        <v/>
      </c>
      <c r="H4755" s="14" t="str">
        <f>IFERROR(INDEX(面试清单!H:H,MATCH(4754,面试清单!P:P,0)),"")</f>
        <v/>
      </c>
      <c r="J4755" s="14" t="str">
        <f ca="1" t="shared" si="223"/>
        <v/>
      </c>
      <c r="K4755" s="14" t="str">
        <f ca="1" t="shared" si="224"/>
        <v/>
      </c>
    </row>
    <row r="4756" spans="1:11">
      <c r="A4756" s="10" t="str">
        <f t="shared" si="222"/>
        <v/>
      </c>
      <c r="C4756" s="10" t="str">
        <f>IFERROR(INDEX(面试清单!D:D,MATCH(4755,面试清单!P:P,0)),"")</f>
        <v/>
      </c>
      <c r="H4756" s="10" t="str">
        <f>IFERROR(INDEX(面试清单!H:H,MATCH(4755,面试清单!P:P,0)),"")</f>
        <v/>
      </c>
      <c r="J4756" s="10" t="str">
        <f ca="1" t="shared" si="223"/>
        <v/>
      </c>
      <c r="K4756" s="10" t="str">
        <f ca="1" t="shared" si="224"/>
        <v/>
      </c>
    </row>
    <row r="4757" spans="1:11">
      <c r="A4757" s="14" t="str">
        <f t="shared" si="222"/>
        <v/>
      </c>
      <c r="C4757" s="14" t="str">
        <f>IFERROR(INDEX(面试清单!D:D,MATCH(4756,面试清单!P:P,0)),"")</f>
        <v/>
      </c>
      <c r="H4757" s="14" t="str">
        <f>IFERROR(INDEX(面试清单!H:H,MATCH(4756,面试清单!P:P,0)),"")</f>
        <v/>
      </c>
      <c r="J4757" s="14" t="str">
        <f ca="1" t="shared" si="223"/>
        <v/>
      </c>
      <c r="K4757" s="14" t="str">
        <f ca="1" t="shared" si="224"/>
        <v/>
      </c>
    </row>
    <row r="4758" spans="1:11">
      <c r="A4758" s="10" t="str">
        <f t="shared" si="222"/>
        <v/>
      </c>
      <c r="C4758" s="10" t="str">
        <f>IFERROR(INDEX(面试清单!D:D,MATCH(4757,面试清单!P:P,0)),"")</f>
        <v/>
      </c>
      <c r="H4758" s="10" t="str">
        <f>IFERROR(INDEX(面试清单!H:H,MATCH(4757,面试清单!P:P,0)),"")</f>
        <v/>
      </c>
      <c r="J4758" s="10" t="str">
        <f ca="1" t="shared" si="223"/>
        <v/>
      </c>
      <c r="K4758" s="10" t="str">
        <f ca="1" t="shared" si="224"/>
        <v/>
      </c>
    </row>
    <row r="4759" spans="1:11">
      <c r="A4759" s="14" t="str">
        <f t="shared" si="222"/>
        <v/>
      </c>
      <c r="C4759" s="14" t="str">
        <f>IFERROR(INDEX(面试清单!D:D,MATCH(4758,面试清单!P:P,0)),"")</f>
        <v/>
      </c>
      <c r="H4759" s="14" t="str">
        <f>IFERROR(INDEX(面试清单!H:H,MATCH(4758,面试清单!P:P,0)),"")</f>
        <v/>
      </c>
      <c r="J4759" s="14" t="str">
        <f ca="1" t="shared" si="223"/>
        <v/>
      </c>
      <c r="K4759" s="14" t="str">
        <f ca="1" t="shared" si="224"/>
        <v/>
      </c>
    </row>
    <row r="4760" spans="1:11">
      <c r="A4760" s="10" t="str">
        <f t="shared" si="222"/>
        <v/>
      </c>
      <c r="C4760" s="10" t="str">
        <f>IFERROR(INDEX(面试清单!D:D,MATCH(4759,面试清单!P:P,0)),"")</f>
        <v/>
      </c>
      <c r="H4760" s="10" t="str">
        <f>IFERROR(INDEX(面试清单!H:H,MATCH(4759,面试清单!P:P,0)),"")</f>
        <v/>
      </c>
      <c r="J4760" s="10" t="str">
        <f ca="1" t="shared" si="223"/>
        <v/>
      </c>
      <c r="K4760" s="10" t="str">
        <f ca="1" t="shared" si="224"/>
        <v/>
      </c>
    </row>
    <row r="4761" spans="1:11">
      <c r="A4761" s="14" t="str">
        <f t="shared" si="222"/>
        <v/>
      </c>
      <c r="C4761" s="14" t="str">
        <f>IFERROR(INDEX(面试清单!D:D,MATCH(4760,面试清单!P:P,0)),"")</f>
        <v/>
      </c>
      <c r="H4761" s="14" t="str">
        <f>IFERROR(INDEX(面试清单!H:H,MATCH(4760,面试清单!P:P,0)),"")</f>
        <v/>
      </c>
      <c r="J4761" s="14" t="str">
        <f ca="1" t="shared" si="223"/>
        <v/>
      </c>
      <c r="K4761" s="14" t="str">
        <f ca="1" t="shared" si="224"/>
        <v/>
      </c>
    </row>
    <row r="4762" spans="1:11">
      <c r="A4762" s="10" t="str">
        <f t="shared" si="222"/>
        <v/>
      </c>
      <c r="C4762" s="10" t="str">
        <f>IFERROR(INDEX(面试清单!D:D,MATCH(4761,面试清单!P:P,0)),"")</f>
        <v/>
      </c>
      <c r="H4762" s="10" t="str">
        <f>IFERROR(INDEX(面试清单!H:H,MATCH(4761,面试清单!P:P,0)),"")</f>
        <v/>
      </c>
      <c r="J4762" s="10" t="str">
        <f ca="1" t="shared" si="223"/>
        <v/>
      </c>
      <c r="K4762" s="10" t="str">
        <f ca="1" t="shared" si="224"/>
        <v/>
      </c>
    </row>
    <row r="4763" spans="1:11">
      <c r="A4763" s="14" t="str">
        <f t="shared" si="222"/>
        <v/>
      </c>
      <c r="C4763" s="14" t="str">
        <f>IFERROR(INDEX(面试清单!D:D,MATCH(4762,面试清单!P:P,0)),"")</f>
        <v/>
      </c>
      <c r="H4763" s="14" t="str">
        <f>IFERROR(INDEX(面试清单!H:H,MATCH(4762,面试清单!P:P,0)),"")</f>
        <v/>
      </c>
      <c r="J4763" s="14" t="str">
        <f ca="1" t="shared" si="223"/>
        <v/>
      </c>
      <c r="K4763" s="14" t="str">
        <f ca="1" t="shared" si="224"/>
        <v/>
      </c>
    </row>
    <row r="4764" spans="1:11">
      <c r="A4764" s="10" t="str">
        <f t="shared" si="222"/>
        <v/>
      </c>
      <c r="C4764" s="10" t="str">
        <f>IFERROR(INDEX(面试清单!D:D,MATCH(4763,面试清单!P:P,0)),"")</f>
        <v/>
      </c>
      <c r="H4764" s="10" t="str">
        <f>IFERROR(INDEX(面试清单!H:H,MATCH(4763,面试清单!P:P,0)),"")</f>
        <v/>
      </c>
      <c r="J4764" s="10" t="str">
        <f ca="1" t="shared" si="223"/>
        <v/>
      </c>
      <c r="K4764" s="10" t="str">
        <f ca="1" t="shared" si="224"/>
        <v/>
      </c>
    </row>
    <row r="4765" spans="1:11">
      <c r="A4765" s="14" t="str">
        <f t="shared" si="222"/>
        <v/>
      </c>
      <c r="C4765" s="14" t="str">
        <f>IFERROR(INDEX(面试清单!D:D,MATCH(4764,面试清单!P:P,0)),"")</f>
        <v/>
      </c>
      <c r="H4765" s="14" t="str">
        <f>IFERROR(INDEX(面试清单!H:H,MATCH(4764,面试清单!P:P,0)),"")</f>
        <v/>
      </c>
      <c r="J4765" s="14" t="str">
        <f ca="1" t="shared" si="223"/>
        <v/>
      </c>
      <c r="K4765" s="14" t="str">
        <f ca="1" t="shared" si="224"/>
        <v/>
      </c>
    </row>
    <row r="4766" spans="1:11">
      <c r="A4766" s="10" t="str">
        <f t="shared" si="222"/>
        <v/>
      </c>
      <c r="C4766" s="10" t="str">
        <f>IFERROR(INDEX(面试清单!D:D,MATCH(4765,面试清单!P:P,0)),"")</f>
        <v/>
      </c>
      <c r="H4766" s="10" t="str">
        <f>IFERROR(INDEX(面试清单!H:H,MATCH(4765,面试清单!P:P,0)),"")</f>
        <v/>
      </c>
      <c r="J4766" s="10" t="str">
        <f ca="1" t="shared" si="223"/>
        <v/>
      </c>
      <c r="K4766" s="10" t="str">
        <f ca="1" t="shared" si="224"/>
        <v/>
      </c>
    </row>
    <row r="4767" spans="1:11">
      <c r="A4767" s="14" t="str">
        <f t="shared" si="222"/>
        <v/>
      </c>
      <c r="C4767" s="14" t="str">
        <f>IFERROR(INDEX(面试清单!D:D,MATCH(4766,面试清单!P:P,0)),"")</f>
        <v/>
      </c>
      <c r="H4767" s="14" t="str">
        <f>IFERROR(INDEX(面试清单!H:H,MATCH(4766,面试清单!P:P,0)),"")</f>
        <v/>
      </c>
      <c r="J4767" s="14" t="str">
        <f ca="1" t="shared" si="223"/>
        <v/>
      </c>
      <c r="K4767" s="14" t="str">
        <f ca="1" t="shared" si="224"/>
        <v/>
      </c>
    </row>
    <row r="4768" spans="1:11">
      <c r="A4768" s="10" t="str">
        <f t="shared" si="222"/>
        <v/>
      </c>
      <c r="C4768" s="10" t="str">
        <f>IFERROR(INDEX(面试清单!D:D,MATCH(4767,面试清单!P:P,0)),"")</f>
        <v/>
      </c>
      <c r="H4768" s="10" t="str">
        <f>IFERROR(INDEX(面试清单!H:H,MATCH(4767,面试清单!P:P,0)),"")</f>
        <v/>
      </c>
      <c r="J4768" s="10" t="str">
        <f ca="1" t="shared" si="223"/>
        <v/>
      </c>
      <c r="K4768" s="10" t="str">
        <f ca="1" t="shared" si="224"/>
        <v/>
      </c>
    </row>
    <row r="4769" spans="1:11">
      <c r="A4769" s="14" t="str">
        <f t="shared" si="222"/>
        <v/>
      </c>
      <c r="C4769" s="14" t="str">
        <f>IFERROR(INDEX(面试清单!D:D,MATCH(4768,面试清单!P:P,0)),"")</f>
        <v/>
      </c>
      <c r="H4769" s="14" t="str">
        <f>IFERROR(INDEX(面试清单!H:H,MATCH(4768,面试清单!P:P,0)),"")</f>
        <v/>
      </c>
      <c r="J4769" s="14" t="str">
        <f ca="1" t="shared" si="223"/>
        <v/>
      </c>
      <c r="K4769" s="14" t="str">
        <f ca="1" t="shared" si="224"/>
        <v/>
      </c>
    </row>
    <row r="4770" spans="1:11">
      <c r="A4770" s="10" t="str">
        <f t="shared" si="222"/>
        <v/>
      </c>
      <c r="C4770" s="10" t="str">
        <f>IFERROR(INDEX(面试清单!D:D,MATCH(4769,面试清单!P:P,0)),"")</f>
        <v/>
      </c>
      <c r="H4770" s="10" t="str">
        <f>IFERROR(INDEX(面试清单!H:H,MATCH(4769,面试清单!P:P,0)),"")</f>
        <v/>
      </c>
      <c r="J4770" s="10" t="str">
        <f ca="1" t="shared" si="223"/>
        <v/>
      </c>
      <c r="K4770" s="10" t="str">
        <f ca="1" t="shared" si="224"/>
        <v/>
      </c>
    </row>
    <row r="4771" spans="1:11">
      <c r="A4771" s="14" t="str">
        <f t="shared" si="222"/>
        <v/>
      </c>
      <c r="C4771" s="14" t="str">
        <f>IFERROR(INDEX(面试清单!D:D,MATCH(4770,面试清单!P:P,0)),"")</f>
        <v/>
      </c>
      <c r="H4771" s="14" t="str">
        <f>IFERROR(INDEX(面试清单!H:H,MATCH(4770,面试清单!P:P,0)),"")</f>
        <v/>
      </c>
      <c r="J4771" s="14" t="str">
        <f ca="1" t="shared" si="223"/>
        <v/>
      </c>
      <c r="K4771" s="14" t="str">
        <f ca="1" t="shared" si="224"/>
        <v/>
      </c>
    </row>
    <row r="4772" spans="1:11">
      <c r="A4772" s="10" t="str">
        <f t="shared" si="222"/>
        <v/>
      </c>
      <c r="C4772" s="10" t="str">
        <f>IFERROR(INDEX(面试清单!D:D,MATCH(4771,面试清单!P:P,0)),"")</f>
        <v/>
      </c>
      <c r="H4772" s="10" t="str">
        <f>IFERROR(INDEX(面试清单!H:H,MATCH(4771,面试清单!P:P,0)),"")</f>
        <v/>
      </c>
      <c r="J4772" s="10" t="str">
        <f ca="1" t="shared" si="223"/>
        <v/>
      </c>
      <c r="K4772" s="10" t="str">
        <f ca="1" t="shared" si="224"/>
        <v/>
      </c>
    </row>
    <row r="4773" spans="1:11">
      <c r="A4773" s="14" t="str">
        <f t="shared" si="222"/>
        <v/>
      </c>
      <c r="C4773" s="14" t="str">
        <f>IFERROR(INDEX(面试清单!D:D,MATCH(4772,面试清单!P:P,0)),"")</f>
        <v/>
      </c>
      <c r="H4773" s="14" t="str">
        <f>IFERROR(INDEX(面试清单!H:H,MATCH(4772,面试清单!P:P,0)),"")</f>
        <v/>
      </c>
      <c r="J4773" s="14" t="str">
        <f ca="1" t="shared" si="223"/>
        <v/>
      </c>
      <c r="K4773" s="14" t="str">
        <f ca="1" t="shared" si="224"/>
        <v/>
      </c>
    </row>
    <row r="4774" spans="1:11">
      <c r="A4774" s="10" t="str">
        <f t="shared" si="222"/>
        <v/>
      </c>
      <c r="C4774" s="10" t="str">
        <f>IFERROR(INDEX(面试清单!D:D,MATCH(4773,面试清单!P:P,0)),"")</f>
        <v/>
      </c>
      <c r="H4774" s="10" t="str">
        <f>IFERROR(INDEX(面试清单!H:H,MATCH(4773,面试清单!P:P,0)),"")</f>
        <v/>
      </c>
      <c r="J4774" s="10" t="str">
        <f ca="1" t="shared" si="223"/>
        <v/>
      </c>
      <c r="K4774" s="10" t="str">
        <f ca="1" t="shared" si="224"/>
        <v/>
      </c>
    </row>
    <row r="4775" spans="1:11">
      <c r="A4775" s="14" t="str">
        <f t="shared" si="222"/>
        <v/>
      </c>
      <c r="C4775" s="14" t="str">
        <f>IFERROR(INDEX(面试清单!D:D,MATCH(4774,面试清单!P:P,0)),"")</f>
        <v/>
      </c>
      <c r="H4775" s="14" t="str">
        <f>IFERROR(INDEX(面试清单!H:H,MATCH(4774,面试清单!P:P,0)),"")</f>
        <v/>
      </c>
      <c r="J4775" s="14" t="str">
        <f ca="1" t="shared" si="223"/>
        <v/>
      </c>
      <c r="K4775" s="14" t="str">
        <f ca="1" t="shared" si="224"/>
        <v/>
      </c>
    </row>
    <row r="4776" spans="1:11">
      <c r="A4776" s="10" t="str">
        <f t="shared" si="222"/>
        <v/>
      </c>
      <c r="C4776" s="10" t="str">
        <f>IFERROR(INDEX(面试清单!D:D,MATCH(4775,面试清单!P:P,0)),"")</f>
        <v/>
      </c>
      <c r="H4776" s="10" t="str">
        <f>IFERROR(INDEX(面试清单!H:H,MATCH(4775,面试清单!P:P,0)),"")</f>
        <v/>
      </c>
      <c r="J4776" s="10" t="str">
        <f ca="1" t="shared" si="223"/>
        <v/>
      </c>
      <c r="K4776" s="10" t="str">
        <f ca="1" t="shared" si="224"/>
        <v/>
      </c>
    </row>
    <row r="4777" spans="1:11">
      <c r="A4777" s="14" t="str">
        <f t="shared" si="222"/>
        <v/>
      </c>
      <c r="C4777" s="14" t="str">
        <f>IFERROR(INDEX(面试清单!D:D,MATCH(4776,面试清单!P:P,0)),"")</f>
        <v/>
      </c>
      <c r="H4777" s="14" t="str">
        <f>IFERROR(INDEX(面试清单!H:H,MATCH(4776,面试清单!P:P,0)),"")</f>
        <v/>
      </c>
      <c r="J4777" s="14" t="str">
        <f ca="1" t="shared" si="223"/>
        <v/>
      </c>
      <c r="K4777" s="14" t="str">
        <f ca="1" t="shared" si="224"/>
        <v/>
      </c>
    </row>
    <row r="4778" spans="1:11">
      <c r="A4778" s="10" t="str">
        <f t="shared" si="222"/>
        <v/>
      </c>
      <c r="C4778" s="10" t="str">
        <f>IFERROR(INDEX(面试清单!D:D,MATCH(4777,面试清单!P:P,0)),"")</f>
        <v/>
      </c>
      <c r="H4778" s="10" t="str">
        <f>IFERROR(INDEX(面试清单!H:H,MATCH(4777,面试清单!P:P,0)),"")</f>
        <v/>
      </c>
      <c r="J4778" s="10" t="str">
        <f ca="1" t="shared" si="223"/>
        <v/>
      </c>
      <c r="K4778" s="10" t="str">
        <f ca="1" t="shared" si="224"/>
        <v/>
      </c>
    </row>
    <row r="4779" spans="1:11">
      <c r="A4779" s="14" t="str">
        <f t="shared" si="222"/>
        <v/>
      </c>
      <c r="C4779" s="14" t="str">
        <f>IFERROR(INDEX(面试清单!D:D,MATCH(4778,面试清单!P:P,0)),"")</f>
        <v/>
      </c>
      <c r="H4779" s="14" t="str">
        <f>IFERROR(INDEX(面试清单!H:H,MATCH(4778,面试清单!P:P,0)),"")</f>
        <v/>
      </c>
      <c r="J4779" s="14" t="str">
        <f ca="1" t="shared" si="223"/>
        <v/>
      </c>
      <c r="K4779" s="14" t="str">
        <f ca="1" t="shared" si="224"/>
        <v/>
      </c>
    </row>
    <row r="4780" spans="1:11">
      <c r="A4780" s="10" t="str">
        <f t="shared" si="222"/>
        <v/>
      </c>
      <c r="C4780" s="10" t="str">
        <f>IFERROR(INDEX(面试清单!D:D,MATCH(4779,面试清单!P:P,0)),"")</f>
        <v/>
      </c>
      <c r="H4780" s="10" t="str">
        <f>IFERROR(INDEX(面试清单!H:H,MATCH(4779,面试清单!P:P,0)),"")</f>
        <v/>
      </c>
      <c r="J4780" s="10" t="str">
        <f ca="1" t="shared" si="223"/>
        <v/>
      </c>
      <c r="K4780" s="10" t="str">
        <f ca="1" t="shared" si="224"/>
        <v/>
      </c>
    </row>
    <row r="4781" spans="1:11">
      <c r="A4781" s="14" t="str">
        <f t="shared" si="222"/>
        <v/>
      </c>
      <c r="C4781" s="14" t="str">
        <f>IFERROR(INDEX(面试清单!D:D,MATCH(4780,面试清单!P:P,0)),"")</f>
        <v/>
      </c>
      <c r="H4781" s="14" t="str">
        <f>IFERROR(INDEX(面试清单!H:H,MATCH(4780,面试清单!P:P,0)),"")</f>
        <v/>
      </c>
      <c r="J4781" s="14" t="str">
        <f ca="1" t="shared" si="223"/>
        <v/>
      </c>
      <c r="K4781" s="14" t="str">
        <f ca="1" t="shared" si="224"/>
        <v/>
      </c>
    </row>
    <row r="4782" spans="1:11">
      <c r="A4782" s="10" t="str">
        <f t="shared" si="222"/>
        <v/>
      </c>
      <c r="C4782" s="10" t="str">
        <f>IFERROR(INDEX(面试清单!D:D,MATCH(4781,面试清单!P:P,0)),"")</f>
        <v/>
      </c>
      <c r="H4782" s="10" t="str">
        <f>IFERROR(INDEX(面试清单!H:H,MATCH(4781,面试清单!P:P,0)),"")</f>
        <v/>
      </c>
      <c r="J4782" s="10" t="str">
        <f ca="1" t="shared" si="223"/>
        <v/>
      </c>
      <c r="K4782" s="10" t="str">
        <f ca="1" t="shared" si="224"/>
        <v/>
      </c>
    </row>
    <row r="4783" spans="1:11">
      <c r="A4783" s="14" t="str">
        <f t="shared" si="222"/>
        <v/>
      </c>
      <c r="C4783" s="14" t="str">
        <f>IFERROR(INDEX(面试清单!D:D,MATCH(4782,面试清单!P:P,0)),"")</f>
        <v/>
      </c>
      <c r="H4783" s="14" t="str">
        <f>IFERROR(INDEX(面试清单!H:H,MATCH(4782,面试清单!P:P,0)),"")</f>
        <v/>
      </c>
      <c r="J4783" s="14" t="str">
        <f ca="1" t="shared" si="223"/>
        <v/>
      </c>
      <c r="K4783" s="14" t="str">
        <f ca="1" t="shared" si="224"/>
        <v/>
      </c>
    </row>
    <row r="4784" spans="1:11">
      <c r="A4784" s="10" t="str">
        <f t="shared" si="222"/>
        <v/>
      </c>
      <c r="C4784" s="10" t="str">
        <f>IFERROR(INDEX(面试清单!D:D,MATCH(4783,面试清单!P:P,0)),"")</f>
        <v/>
      </c>
      <c r="H4784" s="10" t="str">
        <f>IFERROR(INDEX(面试清单!H:H,MATCH(4783,面试清单!P:P,0)),"")</f>
        <v/>
      </c>
      <c r="J4784" s="10" t="str">
        <f ca="1" t="shared" si="223"/>
        <v/>
      </c>
      <c r="K4784" s="10" t="str">
        <f ca="1" t="shared" si="224"/>
        <v/>
      </c>
    </row>
    <row r="4785" spans="1:11">
      <c r="A4785" s="14" t="str">
        <f t="shared" si="222"/>
        <v/>
      </c>
      <c r="C4785" s="14" t="str">
        <f>IFERROR(INDEX(面试清单!D:D,MATCH(4784,面试清单!P:P,0)),"")</f>
        <v/>
      </c>
      <c r="H4785" s="14" t="str">
        <f>IFERROR(INDEX(面试清单!H:H,MATCH(4784,面试清单!P:P,0)),"")</f>
        <v/>
      </c>
      <c r="J4785" s="14" t="str">
        <f ca="1" t="shared" si="223"/>
        <v/>
      </c>
      <c r="K4785" s="14" t="str">
        <f ca="1" t="shared" si="224"/>
        <v/>
      </c>
    </row>
    <row r="4786" spans="1:11">
      <c r="A4786" s="10" t="str">
        <f t="shared" si="222"/>
        <v/>
      </c>
      <c r="C4786" s="10" t="str">
        <f>IFERROR(INDEX(面试清单!D:D,MATCH(4785,面试清单!P:P,0)),"")</f>
        <v/>
      </c>
      <c r="H4786" s="10" t="str">
        <f>IFERROR(INDEX(面试清单!H:H,MATCH(4785,面试清单!P:P,0)),"")</f>
        <v/>
      </c>
      <c r="J4786" s="10" t="str">
        <f ca="1" t="shared" si="223"/>
        <v/>
      </c>
      <c r="K4786" s="10" t="str">
        <f ca="1" t="shared" si="224"/>
        <v/>
      </c>
    </row>
    <row r="4787" spans="1:11">
      <c r="A4787" s="14" t="str">
        <f t="shared" si="222"/>
        <v/>
      </c>
      <c r="C4787" s="14" t="str">
        <f>IFERROR(INDEX(面试清单!D:D,MATCH(4786,面试清单!P:P,0)),"")</f>
        <v/>
      </c>
      <c r="H4787" s="14" t="str">
        <f>IFERROR(INDEX(面试清单!H:H,MATCH(4786,面试清单!P:P,0)),"")</f>
        <v/>
      </c>
      <c r="J4787" s="14" t="str">
        <f ca="1" t="shared" si="223"/>
        <v/>
      </c>
      <c r="K4787" s="14" t="str">
        <f ca="1" t="shared" si="224"/>
        <v/>
      </c>
    </row>
    <row r="4788" spans="1:11">
      <c r="A4788" s="10" t="str">
        <f t="shared" si="222"/>
        <v/>
      </c>
      <c r="C4788" s="10" t="str">
        <f>IFERROR(INDEX(面试清单!D:D,MATCH(4787,面试清单!P:P,0)),"")</f>
        <v/>
      </c>
      <c r="H4788" s="10" t="str">
        <f>IFERROR(INDEX(面试清单!H:H,MATCH(4787,面试清单!P:P,0)),"")</f>
        <v/>
      </c>
      <c r="J4788" s="10" t="str">
        <f ca="1" t="shared" si="223"/>
        <v/>
      </c>
      <c r="K4788" s="10" t="str">
        <f ca="1" t="shared" si="224"/>
        <v/>
      </c>
    </row>
    <row r="4789" spans="1:11">
      <c r="A4789" s="14" t="str">
        <f t="shared" si="222"/>
        <v/>
      </c>
      <c r="C4789" s="14" t="str">
        <f>IFERROR(INDEX(面试清单!D:D,MATCH(4788,面试清单!P:P,0)),"")</f>
        <v/>
      </c>
      <c r="H4789" s="14" t="str">
        <f>IFERROR(INDEX(面试清单!H:H,MATCH(4788,面试清单!P:P,0)),"")</f>
        <v/>
      </c>
      <c r="J4789" s="14" t="str">
        <f ca="1" t="shared" si="223"/>
        <v/>
      </c>
      <c r="K4789" s="14" t="str">
        <f ca="1" t="shared" si="224"/>
        <v/>
      </c>
    </row>
    <row r="4790" spans="1:11">
      <c r="A4790" s="10" t="str">
        <f t="shared" si="222"/>
        <v/>
      </c>
      <c r="C4790" s="10" t="str">
        <f>IFERROR(INDEX(面试清单!D:D,MATCH(4789,面试清单!P:P,0)),"")</f>
        <v/>
      </c>
      <c r="H4790" s="10" t="str">
        <f>IFERROR(INDEX(面试清单!H:H,MATCH(4789,面试清单!P:P,0)),"")</f>
        <v/>
      </c>
      <c r="J4790" s="10" t="str">
        <f ca="1" t="shared" si="223"/>
        <v/>
      </c>
      <c r="K4790" s="10" t="str">
        <f ca="1" t="shared" si="224"/>
        <v/>
      </c>
    </row>
    <row r="4791" spans="1:11">
      <c r="A4791" s="14" t="str">
        <f t="shared" si="222"/>
        <v/>
      </c>
      <c r="C4791" s="14" t="str">
        <f>IFERROR(INDEX(面试清单!D:D,MATCH(4790,面试清单!P:P,0)),"")</f>
        <v/>
      </c>
      <c r="H4791" s="14" t="str">
        <f>IFERROR(INDEX(面试清单!H:H,MATCH(4790,面试清单!P:P,0)),"")</f>
        <v/>
      </c>
      <c r="J4791" s="14" t="str">
        <f ca="1" t="shared" si="223"/>
        <v/>
      </c>
      <c r="K4791" s="14" t="str">
        <f ca="1" t="shared" si="224"/>
        <v/>
      </c>
    </row>
    <row r="4792" spans="1:11">
      <c r="A4792" s="10" t="str">
        <f t="shared" si="222"/>
        <v/>
      </c>
      <c r="C4792" s="10" t="str">
        <f>IFERROR(INDEX(面试清单!D:D,MATCH(4791,面试清单!P:P,0)),"")</f>
        <v/>
      </c>
      <c r="H4792" s="10" t="str">
        <f>IFERROR(INDEX(面试清单!H:H,MATCH(4791,面试清单!P:P,0)),"")</f>
        <v/>
      </c>
      <c r="J4792" s="10" t="str">
        <f ca="1" t="shared" si="223"/>
        <v/>
      </c>
      <c r="K4792" s="10" t="str">
        <f ca="1" t="shared" si="224"/>
        <v/>
      </c>
    </row>
    <row r="4793" spans="1:11">
      <c r="A4793" s="14" t="str">
        <f t="shared" si="222"/>
        <v/>
      </c>
      <c r="C4793" s="14" t="str">
        <f>IFERROR(INDEX(面试清单!D:D,MATCH(4792,面试清单!P:P,0)),"")</f>
        <v/>
      </c>
      <c r="H4793" s="14" t="str">
        <f>IFERROR(INDEX(面试清单!H:H,MATCH(4792,面试清单!P:P,0)),"")</f>
        <v/>
      </c>
      <c r="J4793" s="14" t="str">
        <f ca="1" t="shared" si="223"/>
        <v/>
      </c>
      <c r="K4793" s="14" t="str">
        <f ca="1" t="shared" si="224"/>
        <v/>
      </c>
    </row>
    <row r="4794" spans="1:11">
      <c r="A4794" s="10" t="str">
        <f t="shared" si="222"/>
        <v/>
      </c>
      <c r="C4794" s="10" t="str">
        <f>IFERROR(INDEX(面试清单!D:D,MATCH(4793,面试清单!P:P,0)),"")</f>
        <v/>
      </c>
      <c r="H4794" s="10" t="str">
        <f>IFERROR(INDEX(面试清单!H:H,MATCH(4793,面试清单!P:P,0)),"")</f>
        <v/>
      </c>
      <c r="J4794" s="10" t="str">
        <f ca="1" t="shared" si="223"/>
        <v/>
      </c>
      <c r="K4794" s="10" t="str">
        <f ca="1" t="shared" si="224"/>
        <v/>
      </c>
    </row>
    <row r="4795" spans="1:11">
      <c r="A4795" s="14" t="str">
        <f t="shared" si="222"/>
        <v/>
      </c>
      <c r="C4795" s="14" t="str">
        <f>IFERROR(INDEX(面试清单!D:D,MATCH(4794,面试清单!P:P,0)),"")</f>
        <v/>
      </c>
      <c r="H4795" s="14" t="str">
        <f>IFERROR(INDEX(面试清单!H:H,MATCH(4794,面试清单!P:P,0)),"")</f>
        <v/>
      </c>
      <c r="J4795" s="14" t="str">
        <f ca="1" t="shared" si="223"/>
        <v/>
      </c>
      <c r="K4795" s="14" t="str">
        <f ca="1" t="shared" si="224"/>
        <v/>
      </c>
    </row>
    <row r="4796" spans="1:11">
      <c r="A4796" s="10" t="str">
        <f t="shared" si="222"/>
        <v/>
      </c>
      <c r="C4796" s="10" t="str">
        <f>IFERROR(INDEX(面试清单!D:D,MATCH(4795,面试清单!P:P,0)),"")</f>
        <v/>
      </c>
      <c r="H4796" s="10" t="str">
        <f>IFERROR(INDEX(面试清单!H:H,MATCH(4795,面试清单!P:P,0)),"")</f>
        <v/>
      </c>
      <c r="J4796" s="10" t="str">
        <f ca="1" t="shared" si="223"/>
        <v/>
      </c>
      <c r="K4796" s="10" t="str">
        <f ca="1" t="shared" si="224"/>
        <v/>
      </c>
    </row>
    <row r="4797" spans="1:11">
      <c r="A4797" s="14" t="str">
        <f t="shared" si="222"/>
        <v/>
      </c>
      <c r="C4797" s="14" t="str">
        <f>IFERROR(INDEX(面试清单!D:D,MATCH(4796,面试清单!P:P,0)),"")</f>
        <v/>
      </c>
      <c r="H4797" s="14" t="str">
        <f>IFERROR(INDEX(面试清单!H:H,MATCH(4796,面试清单!P:P,0)),"")</f>
        <v/>
      </c>
      <c r="J4797" s="14" t="str">
        <f ca="1" t="shared" si="223"/>
        <v/>
      </c>
      <c r="K4797" s="14" t="str">
        <f ca="1" t="shared" si="224"/>
        <v/>
      </c>
    </row>
    <row r="4798" spans="1:11">
      <c r="A4798" s="10" t="str">
        <f t="shared" si="222"/>
        <v/>
      </c>
      <c r="C4798" s="10" t="str">
        <f>IFERROR(INDEX(面试清单!D:D,MATCH(4797,面试清单!P:P,0)),"")</f>
        <v/>
      </c>
      <c r="H4798" s="10" t="str">
        <f>IFERROR(INDEX(面试清单!H:H,MATCH(4797,面试清单!P:P,0)),"")</f>
        <v/>
      </c>
      <c r="J4798" s="10" t="str">
        <f ca="1" t="shared" si="223"/>
        <v/>
      </c>
      <c r="K4798" s="10" t="str">
        <f ca="1" t="shared" si="224"/>
        <v/>
      </c>
    </row>
    <row r="4799" spans="1:11">
      <c r="A4799" s="14" t="str">
        <f t="shared" si="222"/>
        <v/>
      </c>
      <c r="C4799" s="14" t="str">
        <f>IFERROR(INDEX(面试清单!D:D,MATCH(4798,面试清单!P:P,0)),"")</f>
        <v/>
      </c>
      <c r="H4799" s="14" t="str">
        <f>IFERROR(INDEX(面试清单!H:H,MATCH(4798,面试清单!P:P,0)),"")</f>
        <v/>
      </c>
      <c r="J4799" s="14" t="str">
        <f ca="1" t="shared" si="223"/>
        <v/>
      </c>
      <c r="K4799" s="14" t="str">
        <f ca="1" t="shared" si="224"/>
        <v/>
      </c>
    </row>
    <row r="4800" spans="1:11">
      <c r="A4800" s="10" t="str">
        <f t="shared" si="222"/>
        <v/>
      </c>
      <c r="C4800" s="10" t="str">
        <f>IFERROR(INDEX(面试清单!D:D,MATCH(4799,面试清单!P:P,0)),"")</f>
        <v/>
      </c>
      <c r="H4800" s="10" t="str">
        <f>IFERROR(INDEX(面试清单!H:H,MATCH(4799,面试清单!P:P,0)),"")</f>
        <v/>
      </c>
      <c r="J4800" s="10" t="str">
        <f ca="1" t="shared" si="223"/>
        <v/>
      </c>
      <c r="K4800" s="10" t="str">
        <f ca="1" t="shared" si="224"/>
        <v/>
      </c>
    </row>
    <row r="4801" spans="1:11">
      <c r="A4801" s="14" t="str">
        <f t="shared" si="222"/>
        <v/>
      </c>
      <c r="C4801" s="14" t="str">
        <f>IFERROR(INDEX(面试清单!D:D,MATCH(4800,面试清单!P:P,0)),"")</f>
        <v/>
      </c>
      <c r="H4801" s="14" t="str">
        <f>IFERROR(INDEX(面试清单!H:H,MATCH(4800,面试清单!P:P,0)),"")</f>
        <v/>
      </c>
      <c r="J4801" s="14" t="str">
        <f ca="1" t="shared" si="223"/>
        <v/>
      </c>
      <c r="K4801" s="14" t="str">
        <f ca="1" t="shared" si="224"/>
        <v/>
      </c>
    </row>
    <row r="4802" spans="1:11">
      <c r="A4802" s="10" t="str">
        <f t="shared" ref="A4802:A4865" si="225">IF(B4802&lt;&gt;"",ROW()-1,"")</f>
        <v/>
      </c>
      <c r="C4802" s="10" t="str">
        <f>IFERROR(INDEX(面试清单!D:D,MATCH(4801,面试清单!P:P,0)),"")</f>
        <v/>
      </c>
      <c r="H4802" s="10" t="str">
        <f>IFERROR(INDEX(面试清单!H:H,MATCH(4801,面试清单!P:P,0)),"")</f>
        <v/>
      </c>
      <c r="J4802" s="10" t="str">
        <f ca="1" t="shared" ref="J4802:J4865" si="226">IF(G4802&lt;&gt;"",TODAY()-G4802,"")</f>
        <v/>
      </c>
      <c r="K4802" s="10" t="str">
        <f ca="1" t="shared" ref="K4802:K4865" si="227">IF(G4802&lt;&gt;"",MAX(0,MIN(TODAY(),EOMONTH(TODAY(),0))-MAX(G4802,EOMONTH(TODAY(),-1)+1)+1),"")</f>
        <v/>
      </c>
    </row>
    <row r="4803" spans="1:11">
      <c r="A4803" s="14" t="str">
        <f t="shared" si="225"/>
        <v/>
      </c>
      <c r="C4803" s="14" t="str">
        <f>IFERROR(INDEX(面试清单!D:D,MATCH(4802,面试清单!P:P,0)),"")</f>
        <v/>
      </c>
      <c r="H4803" s="14" t="str">
        <f>IFERROR(INDEX(面试清单!H:H,MATCH(4802,面试清单!P:P,0)),"")</f>
        <v/>
      </c>
      <c r="J4803" s="14" t="str">
        <f ca="1" t="shared" si="226"/>
        <v/>
      </c>
      <c r="K4803" s="14" t="str">
        <f ca="1" t="shared" si="227"/>
        <v/>
      </c>
    </row>
    <row r="4804" spans="1:11">
      <c r="A4804" s="10" t="str">
        <f t="shared" si="225"/>
        <v/>
      </c>
      <c r="C4804" s="10" t="str">
        <f>IFERROR(INDEX(面试清单!D:D,MATCH(4803,面试清单!P:P,0)),"")</f>
        <v/>
      </c>
      <c r="H4804" s="10" t="str">
        <f>IFERROR(INDEX(面试清单!H:H,MATCH(4803,面试清单!P:P,0)),"")</f>
        <v/>
      </c>
      <c r="J4804" s="10" t="str">
        <f ca="1" t="shared" si="226"/>
        <v/>
      </c>
      <c r="K4804" s="10" t="str">
        <f ca="1" t="shared" si="227"/>
        <v/>
      </c>
    </row>
    <row r="4805" spans="1:11">
      <c r="A4805" s="14" t="str">
        <f t="shared" si="225"/>
        <v/>
      </c>
      <c r="C4805" s="14" t="str">
        <f>IFERROR(INDEX(面试清单!D:D,MATCH(4804,面试清单!P:P,0)),"")</f>
        <v/>
      </c>
      <c r="H4805" s="14" t="str">
        <f>IFERROR(INDEX(面试清单!H:H,MATCH(4804,面试清单!P:P,0)),"")</f>
        <v/>
      </c>
      <c r="J4805" s="14" t="str">
        <f ca="1" t="shared" si="226"/>
        <v/>
      </c>
      <c r="K4805" s="14" t="str">
        <f ca="1" t="shared" si="227"/>
        <v/>
      </c>
    </row>
    <row r="4806" spans="1:11">
      <c r="A4806" s="10" t="str">
        <f t="shared" si="225"/>
        <v/>
      </c>
      <c r="C4806" s="10" t="str">
        <f>IFERROR(INDEX(面试清单!D:D,MATCH(4805,面试清单!P:P,0)),"")</f>
        <v/>
      </c>
      <c r="H4806" s="10" t="str">
        <f>IFERROR(INDEX(面试清单!H:H,MATCH(4805,面试清单!P:P,0)),"")</f>
        <v/>
      </c>
      <c r="J4806" s="10" t="str">
        <f ca="1" t="shared" si="226"/>
        <v/>
      </c>
      <c r="K4806" s="10" t="str">
        <f ca="1" t="shared" si="227"/>
        <v/>
      </c>
    </row>
    <row r="4807" spans="1:11">
      <c r="A4807" s="14" t="str">
        <f t="shared" si="225"/>
        <v/>
      </c>
      <c r="C4807" s="14" t="str">
        <f>IFERROR(INDEX(面试清单!D:D,MATCH(4806,面试清单!P:P,0)),"")</f>
        <v/>
      </c>
      <c r="H4807" s="14" t="str">
        <f>IFERROR(INDEX(面试清单!H:H,MATCH(4806,面试清单!P:P,0)),"")</f>
        <v/>
      </c>
      <c r="J4807" s="14" t="str">
        <f ca="1" t="shared" si="226"/>
        <v/>
      </c>
      <c r="K4807" s="14" t="str">
        <f ca="1" t="shared" si="227"/>
        <v/>
      </c>
    </row>
    <row r="4808" spans="1:11">
      <c r="A4808" s="10" t="str">
        <f t="shared" si="225"/>
        <v/>
      </c>
      <c r="C4808" s="10" t="str">
        <f>IFERROR(INDEX(面试清单!D:D,MATCH(4807,面试清单!P:P,0)),"")</f>
        <v/>
      </c>
      <c r="H4808" s="10" t="str">
        <f>IFERROR(INDEX(面试清单!H:H,MATCH(4807,面试清单!P:P,0)),"")</f>
        <v/>
      </c>
      <c r="J4808" s="10" t="str">
        <f ca="1" t="shared" si="226"/>
        <v/>
      </c>
      <c r="K4808" s="10" t="str">
        <f ca="1" t="shared" si="227"/>
        <v/>
      </c>
    </row>
    <row r="4809" spans="1:11">
      <c r="A4809" s="14" t="str">
        <f t="shared" si="225"/>
        <v/>
      </c>
      <c r="C4809" s="14" t="str">
        <f>IFERROR(INDEX(面试清单!D:D,MATCH(4808,面试清单!P:P,0)),"")</f>
        <v/>
      </c>
      <c r="H4809" s="14" t="str">
        <f>IFERROR(INDEX(面试清单!H:H,MATCH(4808,面试清单!P:P,0)),"")</f>
        <v/>
      </c>
      <c r="J4809" s="14" t="str">
        <f ca="1" t="shared" si="226"/>
        <v/>
      </c>
      <c r="K4809" s="14" t="str">
        <f ca="1" t="shared" si="227"/>
        <v/>
      </c>
    </row>
    <row r="4810" spans="1:11">
      <c r="A4810" s="10" t="str">
        <f t="shared" si="225"/>
        <v/>
      </c>
      <c r="C4810" s="10" t="str">
        <f>IFERROR(INDEX(面试清单!D:D,MATCH(4809,面试清单!P:P,0)),"")</f>
        <v/>
      </c>
      <c r="H4810" s="10" t="str">
        <f>IFERROR(INDEX(面试清单!H:H,MATCH(4809,面试清单!P:P,0)),"")</f>
        <v/>
      </c>
      <c r="J4810" s="10" t="str">
        <f ca="1" t="shared" si="226"/>
        <v/>
      </c>
      <c r="K4810" s="10" t="str">
        <f ca="1" t="shared" si="227"/>
        <v/>
      </c>
    </row>
    <row r="4811" spans="1:11">
      <c r="A4811" s="14" t="str">
        <f t="shared" si="225"/>
        <v/>
      </c>
      <c r="C4811" s="14" t="str">
        <f>IFERROR(INDEX(面试清单!D:D,MATCH(4810,面试清单!P:P,0)),"")</f>
        <v/>
      </c>
      <c r="H4811" s="14" t="str">
        <f>IFERROR(INDEX(面试清单!H:H,MATCH(4810,面试清单!P:P,0)),"")</f>
        <v/>
      </c>
      <c r="J4811" s="14" t="str">
        <f ca="1" t="shared" si="226"/>
        <v/>
      </c>
      <c r="K4811" s="14" t="str">
        <f ca="1" t="shared" si="227"/>
        <v/>
      </c>
    </row>
    <row r="4812" spans="1:11">
      <c r="A4812" s="10" t="str">
        <f t="shared" si="225"/>
        <v/>
      </c>
      <c r="C4812" s="10" t="str">
        <f>IFERROR(INDEX(面试清单!D:D,MATCH(4811,面试清单!P:P,0)),"")</f>
        <v/>
      </c>
      <c r="H4812" s="10" t="str">
        <f>IFERROR(INDEX(面试清单!H:H,MATCH(4811,面试清单!P:P,0)),"")</f>
        <v/>
      </c>
      <c r="J4812" s="10" t="str">
        <f ca="1" t="shared" si="226"/>
        <v/>
      </c>
      <c r="K4812" s="10" t="str">
        <f ca="1" t="shared" si="227"/>
        <v/>
      </c>
    </row>
    <row r="4813" spans="1:11">
      <c r="A4813" s="14" t="str">
        <f t="shared" si="225"/>
        <v/>
      </c>
      <c r="C4813" s="14" t="str">
        <f>IFERROR(INDEX(面试清单!D:D,MATCH(4812,面试清单!P:P,0)),"")</f>
        <v/>
      </c>
      <c r="H4813" s="14" t="str">
        <f>IFERROR(INDEX(面试清单!H:H,MATCH(4812,面试清单!P:P,0)),"")</f>
        <v/>
      </c>
      <c r="J4813" s="14" t="str">
        <f ca="1" t="shared" si="226"/>
        <v/>
      </c>
      <c r="K4813" s="14" t="str">
        <f ca="1" t="shared" si="227"/>
        <v/>
      </c>
    </row>
    <row r="4814" spans="1:11">
      <c r="A4814" s="10" t="str">
        <f t="shared" si="225"/>
        <v/>
      </c>
      <c r="C4814" s="10" t="str">
        <f>IFERROR(INDEX(面试清单!D:D,MATCH(4813,面试清单!P:P,0)),"")</f>
        <v/>
      </c>
      <c r="H4814" s="10" t="str">
        <f>IFERROR(INDEX(面试清单!H:H,MATCH(4813,面试清单!P:P,0)),"")</f>
        <v/>
      </c>
      <c r="J4814" s="10" t="str">
        <f ca="1" t="shared" si="226"/>
        <v/>
      </c>
      <c r="K4814" s="10" t="str">
        <f ca="1" t="shared" si="227"/>
        <v/>
      </c>
    </row>
    <row r="4815" spans="1:11">
      <c r="A4815" s="14" t="str">
        <f t="shared" si="225"/>
        <v/>
      </c>
      <c r="C4815" s="14" t="str">
        <f>IFERROR(INDEX(面试清单!D:D,MATCH(4814,面试清单!P:P,0)),"")</f>
        <v/>
      </c>
      <c r="H4815" s="14" t="str">
        <f>IFERROR(INDEX(面试清单!H:H,MATCH(4814,面试清单!P:P,0)),"")</f>
        <v/>
      </c>
      <c r="J4815" s="14" t="str">
        <f ca="1" t="shared" si="226"/>
        <v/>
      </c>
      <c r="K4815" s="14" t="str">
        <f ca="1" t="shared" si="227"/>
        <v/>
      </c>
    </row>
    <row r="4816" spans="1:11">
      <c r="A4816" s="10" t="str">
        <f t="shared" si="225"/>
        <v/>
      </c>
      <c r="C4816" s="10" t="str">
        <f>IFERROR(INDEX(面试清单!D:D,MATCH(4815,面试清单!P:P,0)),"")</f>
        <v/>
      </c>
      <c r="H4816" s="10" t="str">
        <f>IFERROR(INDEX(面试清单!H:H,MATCH(4815,面试清单!P:P,0)),"")</f>
        <v/>
      </c>
      <c r="J4816" s="10" t="str">
        <f ca="1" t="shared" si="226"/>
        <v/>
      </c>
      <c r="K4816" s="10" t="str">
        <f ca="1" t="shared" si="227"/>
        <v/>
      </c>
    </row>
    <row r="4817" spans="1:11">
      <c r="A4817" s="14" t="str">
        <f t="shared" si="225"/>
        <v/>
      </c>
      <c r="C4817" s="14" t="str">
        <f>IFERROR(INDEX(面试清单!D:D,MATCH(4816,面试清单!P:P,0)),"")</f>
        <v/>
      </c>
      <c r="H4817" s="14" t="str">
        <f>IFERROR(INDEX(面试清单!H:H,MATCH(4816,面试清单!P:P,0)),"")</f>
        <v/>
      </c>
      <c r="J4817" s="14" t="str">
        <f ca="1" t="shared" si="226"/>
        <v/>
      </c>
      <c r="K4817" s="14" t="str">
        <f ca="1" t="shared" si="227"/>
        <v/>
      </c>
    </row>
    <row r="4818" spans="1:11">
      <c r="A4818" s="10" t="str">
        <f t="shared" si="225"/>
        <v/>
      </c>
      <c r="C4818" s="10" t="str">
        <f>IFERROR(INDEX(面试清单!D:D,MATCH(4817,面试清单!P:P,0)),"")</f>
        <v/>
      </c>
      <c r="H4818" s="10" t="str">
        <f>IFERROR(INDEX(面试清单!H:H,MATCH(4817,面试清单!P:P,0)),"")</f>
        <v/>
      </c>
      <c r="J4818" s="10" t="str">
        <f ca="1" t="shared" si="226"/>
        <v/>
      </c>
      <c r="K4818" s="10" t="str">
        <f ca="1" t="shared" si="227"/>
        <v/>
      </c>
    </row>
    <row r="4819" spans="1:11">
      <c r="A4819" s="14" t="str">
        <f t="shared" si="225"/>
        <v/>
      </c>
      <c r="C4819" s="14" t="str">
        <f>IFERROR(INDEX(面试清单!D:D,MATCH(4818,面试清单!P:P,0)),"")</f>
        <v/>
      </c>
      <c r="H4819" s="14" t="str">
        <f>IFERROR(INDEX(面试清单!H:H,MATCH(4818,面试清单!P:P,0)),"")</f>
        <v/>
      </c>
      <c r="J4819" s="14" t="str">
        <f ca="1" t="shared" si="226"/>
        <v/>
      </c>
      <c r="K4819" s="14" t="str">
        <f ca="1" t="shared" si="227"/>
        <v/>
      </c>
    </row>
    <row r="4820" spans="1:11">
      <c r="A4820" s="10" t="str">
        <f t="shared" si="225"/>
        <v/>
      </c>
      <c r="C4820" s="10" t="str">
        <f>IFERROR(INDEX(面试清单!D:D,MATCH(4819,面试清单!P:P,0)),"")</f>
        <v/>
      </c>
      <c r="H4820" s="10" t="str">
        <f>IFERROR(INDEX(面试清单!H:H,MATCH(4819,面试清单!P:P,0)),"")</f>
        <v/>
      </c>
      <c r="J4820" s="10" t="str">
        <f ca="1" t="shared" si="226"/>
        <v/>
      </c>
      <c r="K4820" s="10" t="str">
        <f ca="1" t="shared" si="227"/>
        <v/>
      </c>
    </row>
    <row r="4821" spans="1:11">
      <c r="A4821" s="14" t="str">
        <f t="shared" si="225"/>
        <v/>
      </c>
      <c r="C4821" s="14" t="str">
        <f>IFERROR(INDEX(面试清单!D:D,MATCH(4820,面试清单!P:P,0)),"")</f>
        <v/>
      </c>
      <c r="H4821" s="14" t="str">
        <f>IFERROR(INDEX(面试清单!H:H,MATCH(4820,面试清单!P:P,0)),"")</f>
        <v/>
      </c>
      <c r="J4821" s="14" t="str">
        <f ca="1" t="shared" si="226"/>
        <v/>
      </c>
      <c r="K4821" s="14" t="str">
        <f ca="1" t="shared" si="227"/>
        <v/>
      </c>
    </row>
    <row r="4822" spans="1:11">
      <c r="A4822" s="10" t="str">
        <f t="shared" si="225"/>
        <v/>
      </c>
      <c r="C4822" s="10" t="str">
        <f>IFERROR(INDEX(面试清单!D:D,MATCH(4821,面试清单!P:P,0)),"")</f>
        <v/>
      </c>
      <c r="H4822" s="10" t="str">
        <f>IFERROR(INDEX(面试清单!H:H,MATCH(4821,面试清单!P:P,0)),"")</f>
        <v/>
      </c>
      <c r="J4822" s="10" t="str">
        <f ca="1" t="shared" si="226"/>
        <v/>
      </c>
      <c r="K4822" s="10" t="str">
        <f ca="1" t="shared" si="227"/>
        <v/>
      </c>
    </row>
    <row r="4823" spans="1:11">
      <c r="A4823" s="14" t="str">
        <f t="shared" si="225"/>
        <v/>
      </c>
      <c r="C4823" s="14" t="str">
        <f>IFERROR(INDEX(面试清单!D:D,MATCH(4822,面试清单!P:P,0)),"")</f>
        <v/>
      </c>
      <c r="H4823" s="14" t="str">
        <f>IFERROR(INDEX(面试清单!H:H,MATCH(4822,面试清单!P:P,0)),"")</f>
        <v/>
      </c>
      <c r="J4823" s="14" t="str">
        <f ca="1" t="shared" si="226"/>
        <v/>
      </c>
      <c r="K4823" s="14" t="str">
        <f ca="1" t="shared" si="227"/>
        <v/>
      </c>
    </row>
    <row r="4824" spans="1:11">
      <c r="A4824" s="10" t="str">
        <f t="shared" si="225"/>
        <v/>
      </c>
      <c r="C4824" s="10" t="str">
        <f>IFERROR(INDEX(面试清单!D:D,MATCH(4823,面试清单!P:P,0)),"")</f>
        <v/>
      </c>
      <c r="H4824" s="10" t="str">
        <f>IFERROR(INDEX(面试清单!H:H,MATCH(4823,面试清单!P:P,0)),"")</f>
        <v/>
      </c>
      <c r="J4824" s="10" t="str">
        <f ca="1" t="shared" si="226"/>
        <v/>
      </c>
      <c r="K4824" s="10" t="str">
        <f ca="1" t="shared" si="227"/>
        <v/>
      </c>
    </row>
    <row r="4825" spans="1:11">
      <c r="A4825" s="14" t="str">
        <f t="shared" si="225"/>
        <v/>
      </c>
      <c r="C4825" s="14" t="str">
        <f>IFERROR(INDEX(面试清单!D:D,MATCH(4824,面试清单!P:P,0)),"")</f>
        <v/>
      </c>
      <c r="H4825" s="14" t="str">
        <f>IFERROR(INDEX(面试清单!H:H,MATCH(4824,面试清单!P:P,0)),"")</f>
        <v/>
      </c>
      <c r="J4825" s="14" t="str">
        <f ca="1" t="shared" si="226"/>
        <v/>
      </c>
      <c r="K4825" s="14" t="str">
        <f ca="1" t="shared" si="227"/>
        <v/>
      </c>
    </row>
    <row r="4826" spans="1:11">
      <c r="A4826" s="10" t="str">
        <f t="shared" si="225"/>
        <v/>
      </c>
      <c r="C4826" s="10" t="str">
        <f>IFERROR(INDEX(面试清单!D:D,MATCH(4825,面试清单!P:P,0)),"")</f>
        <v/>
      </c>
      <c r="H4826" s="10" t="str">
        <f>IFERROR(INDEX(面试清单!H:H,MATCH(4825,面试清单!P:P,0)),"")</f>
        <v/>
      </c>
      <c r="J4826" s="10" t="str">
        <f ca="1" t="shared" si="226"/>
        <v/>
      </c>
      <c r="K4826" s="10" t="str">
        <f ca="1" t="shared" si="227"/>
        <v/>
      </c>
    </row>
    <row r="4827" spans="1:11">
      <c r="A4827" s="14" t="str">
        <f t="shared" si="225"/>
        <v/>
      </c>
      <c r="C4827" s="14" t="str">
        <f>IFERROR(INDEX(面试清单!D:D,MATCH(4826,面试清单!P:P,0)),"")</f>
        <v/>
      </c>
      <c r="H4827" s="14" t="str">
        <f>IFERROR(INDEX(面试清单!H:H,MATCH(4826,面试清单!P:P,0)),"")</f>
        <v/>
      </c>
      <c r="J4827" s="14" t="str">
        <f ca="1" t="shared" si="226"/>
        <v/>
      </c>
      <c r="K4827" s="14" t="str">
        <f ca="1" t="shared" si="227"/>
        <v/>
      </c>
    </row>
    <row r="4828" spans="1:11">
      <c r="A4828" s="10" t="str">
        <f t="shared" si="225"/>
        <v/>
      </c>
      <c r="C4828" s="10" t="str">
        <f>IFERROR(INDEX(面试清单!D:D,MATCH(4827,面试清单!P:P,0)),"")</f>
        <v/>
      </c>
      <c r="H4828" s="10" t="str">
        <f>IFERROR(INDEX(面试清单!H:H,MATCH(4827,面试清单!P:P,0)),"")</f>
        <v/>
      </c>
      <c r="J4828" s="10" t="str">
        <f ca="1" t="shared" si="226"/>
        <v/>
      </c>
      <c r="K4828" s="10" t="str">
        <f ca="1" t="shared" si="227"/>
        <v/>
      </c>
    </row>
    <row r="4829" spans="1:11">
      <c r="A4829" s="14" t="str">
        <f t="shared" si="225"/>
        <v/>
      </c>
      <c r="C4829" s="14" t="str">
        <f>IFERROR(INDEX(面试清单!D:D,MATCH(4828,面试清单!P:P,0)),"")</f>
        <v/>
      </c>
      <c r="H4829" s="14" t="str">
        <f>IFERROR(INDEX(面试清单!H:H,MATCH(4828,面试清单!P:P,0)),"")</f>
        <v/>
      </c>
      <c r="J4829" s="14" t="str">
        <f ca="1" t="shared" si="226"/>
        <v/>
      </c>
      <c r="K4829" s="14" t="str">
        <f ca="1" t="shared" si="227"/>
        <v/>
      </c>
    </row>
    <row r="4830" spans="1:11">
      <c r="A4830" s="10" t="str">
        <f t="shared" si="225"/>
        <v/>
      </c>
      <c r="C4830" s="10" t="str">
        <f>IFERROR(INDEX(面试清单!D:D,MATCH(4829,面试清单!P:P,0)),"")</f>
        <v/>
      </c>
      <c r="H4830" s="10" t="str">
        <f>IFERROR(INDEX(面试清单!H:H,MATCH(4829,面试清单!P:P,0)),"")</f>
        <v/>
      </c>
      <c r="J4830" s="10" t="str">
        <f ca="1" t="shared" si="226"/>
        <v/>
      </c>
      <c r="K4830" s="10" t="str">
        <f ca="1" t="shared" si="227"/>
        <v/>
      </c>
    </row>
    <row r="4831" spans="1:11">
      <c r="A4831" s="14" t="str">
        <f t="shared" si="225"/>
        <v/>
      </c>
      <c r="C4831" s="14" t="str">
        <f>IFERROR(INDEX(面试清单!D:D,MATCH(4830,面试清单!P:P,0)),"")</f>
        <v/>
      </c>
      <c r="H4831" s="14" t="str">
        <f>IFERROR(INDEX(面试清单!H:H,MATCH(4830,面试清单!P:P,0)),"")</f>
        <v/>
      </c>
      <c r="J4831" s="14" t="str">
        <f ca="1" t="shared" si="226"/>
        <v/>
      </c>
      <c r="K4831" s="14" t="str">
        <f ca="1" t="shared" si="227"/>
        <v/>
      </c>
    </row>
    <row r="4832" spans="1:11">
      <c r="A4832" s="10" t="str">
        <f t="shared" si="225"/>
        <v/>
      </c>
      <c r="C4832" s="10" t="str">
        <f>IFERROR(INDEX(面试清单!D:D,MATCH(4831,面试清单!P:P,0)),"")</f>
        <v/>
      </c>
      <c r="H4832" s="10" t="str">
        <f>IFERROR(INDEX(面试清单!H:H,MATCH(4831,面试清单!P:P,0)),"")</f>
        <v/>
      </c>
      <c r="J4832" s="10" t="str">
        <f ca="1" t="shared" si="226"/>
        <v/>
      </c>
      <c r="K4832" s="10" t="str">
        <f ca="1" t="shared" si="227"/>
        <v/>
      </c>
    </row>
    <row r="4833" spans="1:11">
      <c r="A4833" s="14" t="str">
        <f t="shared" si="225"/>
        <v/>
      </c>
      <c r="C4833" s="14" t="str">
        <f>IFERROR(INDEX(面试清单!D:D,MATCH(4832,面试清单!P:P,0)),"")</f>
        <v/>
      </c>
      <c r="H4833" s="14" t="str">
        <f>IFERROR(INDEX(面试清单!H:H,MATCH(4832,面试清单!P:P,0)),"")</f>
        <v/>
      </c>
      <c r="J4833" s="14" t="str">
        <f ca="1" t="shared" si="226"/>
        <v/>
      </c>
      <c r="K4833" s="14" t="str">
        <f ca="1" t="shared" si="227"/>
        <v/>
      </c>
    </row>
    <row r="4834" spans="1:11">
      <c r="A4834" s="10" t="str">
        <f t="shared" si="225"/>
        <v/>
      </c>
      <c r="C4834" s="10" t="str">
        <f>IFERROR(INDEX(面试清单!D:D,MATCH(4833,面试清单!P:P,0)),"")</f>
        <v/>
      </c>
      <c r="H4834" s="10" t="str">
        <f>IFERROR(INDEX(面试清单!H:H,MATCH(4833,面试清单!P:P,0)),"")</f>
        <v/>
      </c>
      <c r="J4834" s="10" t="str">
        <f ca="1" t="shared" si="226"/>
        <v/>
      </c>
      <c r="K4834" s="10" t="str">
        <f ca="1" t="shared" si="227"/>
        <v/>
      </c>
    </row>
    <row r="4835" spans="1:11">
      <c r="A4835" s="14" t="str">
        <f t="shared" si="225"/>
        <v/>
      </c>
      <c r="C4835" s="14" t="str">
        <f>IFERROR(INDEX(面试清单!D:D,MATCH(4834,面试清单!P:P,0)),"")</f>
        <v/>
      </c>
      <c r="H4835" s="14" t="str">
        <f>IFERROR(INDEX(面试清单!H:H,MATCH(4834,面试清单!P:P,0)),"")</f>
        <v/>
      </c>
      <c r="J4835" s="14" t="str">
        <f ca="1" t="shared" si="226"/>
        <v/>
      </c>
      <c r="K4835" s="14" t="str">
        <f ca="1" t="shared" si="227"/>
        <v/>
      </c>
    </row>
    <row r="4836" spans="1:11">
      <c r="A4836" s="10" t="str">
        <f t="shared" si="225"/>
        <v/>
      </c>
      <c r="C4836" s="10" t="str">
        <f>IFERROR(INDEX(面试清单!D:D,MATCH(4835,面试清单!P:P,0)),"")</f>
        <v/>
      </c>
      <c r="H4836" s="10" t="str">
        <f>IFERROR(INDEX(面试清单!H:H,MATCH(4835,面试清单!P:P,0)),"")</f>
        <v/>
      </c>
      <c r="J4836" s="10" t="str">
        <f ca="1" t="shared" si="226"/>
        <v/>
      </c>
      <c r="K4836" s="10" t="str">
        <f ca="1" t="shared" si="227"/>
        <v/>
      </c>
    </row>
    <row r="4837" spans="1:11">
      <c r="A4837" s="14" t="str">
        <f t="shared" si="225"/>
        <v/>
      </c>
      <c r="C4837" s="14" t="str">
        <f>IFERROR(INDEX(面试清单!D:D,MATCH(4836,面试清单!P:P,0)),"")</f>
        <v/>
      </c>
      <c r="H4837" s="14" t="str">
        <f>IFERROR(INDEX(面试清单!H:H,MATCH(4836,面试清单!P:P,0)),"")</f>
        <v/>
      </c>
      <c r="J4837" s="14" t="str">
        <f ca="1" t="shared" si="226"/>
        <v/>
      </c>
      <c r="K4837" s="14" t="str">
        <f ca="1" t="shared" si="227"/>
        <v/>
      </c>
    </row>
    <row r="4838" spans="1:11">
      <c r="A4838" s="10" t="str">
        <f t="shared" si="225"/>
        <v/>
      </c>
      <c r="C4838" s="10" t="str">
        <f>IFERROR(INDEX(面试清单!D:D,MATCH(4837,面试清单!P:P,0)),"")</f>
        <v/>
      </c>
      <c r="H4838" s="10" t="str">
        <f>IFERROR(INDEX(面试清单!H:H,MATCH(4837,面试清单!P:P,0)),"")</f>
        <v/>
      </c>
      <c r="J4838" s="10" t="str">
        <f ca="1" t="shared" si="226"/>
        <v/>
      </c>
      <c r="K4838" s="10" t="str">
        <f ca="1" t="shared" si="227"/>
        <v/>
      </c>
    </row>
    <row r="4839" spans="1:11">
      <c r="A4839" s="14" t="str">
        <f t="shared" si="225"/>
        <v/>
      </c>
      <c r="C4839" s="14" t="str">
        <f>IFERROR(INDEX(面试清单!D:D,MATCH(4838,面试清单!P:P,0)),"")</f>
        <v/>
      </c>
      <c r="H4839" s="14" t="str">
        <f>IFERROR(INDEX(面试清单!H:H,MATCH(4838,面试清单!P:P,0)),"")</f>
        <v/>
      </c>
      <c r="J4839" s="14" t="str">
        <f ca="1" t="shared" si="226"/>
        <v/>
      </c>
      <c r="K4839" s="14" t="str">
        <f ca="1" t="shared" si="227"/>
        <v/>
      </c>
    </row>
    <row r="4840" spans="1:11">
      <c r="A4840" s="10" t="str">
        <f t="shared" si="225"/>
        <v/>
      </c>
      <c r="C4840" s="10" t="str">
        <f>IFERROR(INDEX(面试清单!D:D,MATCH(4839,面试清单!P:P,0)),"")</f>
        <v/>
      </c>
      <c r="H4840" s="10" t="str">
        <f>IFERROR(INDEX(面试清单!H:H,MATCH(4839,面试清单!P:P,0)),"")</f>
        <v/>
      </c>
      <c r="J4840" s="10" t="str">
        <f ca="1" t="shared" si="226"/>
        <v/>
      </c>
      <c r="K4840" s="10" t="str">
        <f ca="1" t="shared" si="227"/>
        <v/>
      </c>
    </row>
    <row r="4841" spans="1:11">
      <c r="A4841" s="14" t="str">
        <f t="shared" si="225"/>
        <v/>
      </c>
      <c r="C4841" s="14" t="str">
        <f>IFERROR(INDEX(面试清单!D:D,MATCH(4840,面试清单!P:P,0)),"")</f>
        <v/>
      </c>
      <c r="H4841" s="14" t="str">
        <f>IFERROR(INDEX(面试清单!H:H,MATCH(4840,面试清单!P:P,0)),"")</f>
        <v/>
      </c>
      <c r="J4841" s="14" t="str">
        <f ca="1" t="shared" si="226"/>
        <v/>
      </c>
      <c r="K4841" s="14" t="str">
        <f ca="1" t="shared" si="227"/>
        <v/>
      </c>
    </row>
    <row r="4842" spans="1:11">
      <c r="A4842" s="10" t="str">
        <f t="shared" si="225"/>
        <v/>
      </c>
      <c r="C4842" s="10" t="str">
        <f>IFERROR(INDEX(面试清单!D:D,MATCH(4841,面试清单!P:P,0)),"")</f>
        <v/>
      </c>
      <c r="H4842" s="10" t="str">
        <f>IFERROR(INDEX(面试清单!H:H,MATCH(4841,面试清单!P:P,0)),"")</f>
        <v/>
      </c>
      <c r="J4842" s="10" t="str">
        <f ca="1" t="shared" si="226"/>
        <v/>
      </c>
      <c r="K4842" s="10" t="str">
        <f ca="1" t="shared" si="227"/>
        <v/>
      </c>
    </row>
    <row r="4843" spans="1:11">
      <c r="A4843" s="14" t="str">
        <f t="shared" si="225"/>
        <v/>
      </c>
      <c r="C4843" s="14" t="str">
        <f>IFERROR(INDEX(面试清单!D:D,MATCH(4842,面试清单!P:P,0)),"")</f>
        <v/>
      </c>
      <c r="H4843" s="14" t="str">
        <f>IFERROR(INDEX(面试清单!H:H,MATCH(4842,面试清单!P:P,0)),"")</f>
        <v/>
      </c>
      <c r="J4843" s="14" t="str">
        <f ca="1" t="shared" si="226"/>
        <v/>
      </c>
      <c r="K4843" s="14" t="str">
        <f ca="1" t="shared" si="227"/>
        <v/>
      </c>
    </row>
    <row r="4844" spans="1:11">
      <c r="A4844" s="10" t="str">
        <f t="shared" si="225"/>
        <v/>
      </c>
      <c r="C4844" s="10" t="str">
        <f>IFERROR(INDEX(面试清单!D:D,MATCH(4843,面试清单!P:P,0)),"")</f>
        <v/>
      </c>
      <c r="H4844" s="10" t="str">
        <f>IFERROR(INDEX(面试清单!H:H,MATCH(4843,面试清单!P:P,0)),"")</f>
        <v/>
      </c>
      <c r="J4844" s="10" t="str">
        <f ca="1" t="shared" si="226"/>
        <v/>
      </c>
      <c r="K4844" s="10" t="str">
        <f ca="1" t="shared" si="227"/>
        <v/>
      </c>
    </row>
    <row r="4845" spans="1:11">
      <c r="A4845" s="14" t="str">
        <f t="shared" si="225"/>
        <v/>
      </c>
      <c r="C4845" s="14" t="str">
        <f>IFERROR(INDEX(面试清单!D:D,MATCH(4844,面试清单!P:P,0)),"")</f>
        <v/>
      </c>
      <c r="H4845" s="14" t="str">
        <f>IFERROR(INDEX(面试清单!H:H,MATCH(4844,面试清单!P:P,0)),"")</f>
        <v/>
      </c>
      <c r="J4845" s="14" t="str">
        <f ca="1" t="shared" si="226"/>
        <v/>
      </c>
      <c r="K4845" s="14" t="str">
        <f ca="1" t="shared" si="227"/>
        <v/>
      </c>
    </row>
    <row r="4846" spans="1:11">
      <c r="A4846" s="10" t="str">
        <f t="shared" si="225"/>
        <v/>
      </c>
      <c r="C4846" s="10" t="str">
        <f>IFERROR(INDEX(面试清单!D:D,MATCH(4845,面试清单!P:P,0)),"")</f>
        <v/>
      </c>
      <c r="H4846" s="10" t="str">
        <f>IFERROR(INDEX(面试清单!H:H,MATCH(4845,面试清单!P:P,0)),"")</f>
        <v/>
      </c>
      <c r="J4846" s="10" t="str">
        <f ca="1" t="shared" si="226"/>
        <v/>
      </c>
      <c r="K4846" s="10" t="str">
        <f ca="1" t="shared" si="227"/>
        <v/>
      </c>
    </row>
    <row r="4847" spans="1:11">
      <c r="A4847" s="14" t="str">
        <f t="shared" si="225"/>
        <v/>
      </c>
      <c r="C4847" s="14" t="str">
        <f>IFERROR(INDEX(面试清单!D:D,MATCH(4846,面试清单!P:P,0)),"")</f>
        <v/>
      </c>
      <c r="H4847" s="14" t="str">
        <f>IFERROR(INDEX(面试清单!H:H,MATCH(4846,面试清单!P:P,0)),"")</f>
        <v/>
      </c>
      <c r="J4847" s="14" t="str">
        <f ca="1" t="shared" si="226"/>
        <v/>
      </c>
      <c r="K4847" s="14" t="str">
        <f ca="1" t="shared" si="227"/>
        <v/>
      </c>
    </row>
    <row r="4848" spans="1:11">
      <c r="A4848" s="10" t="str">
        <f t="shared" si="225"/>
        <v/>
      </c>
      <c r="C4848" s="10" t="str">
        <f>IFERROR(INDEX(面试清单!D:D,MATCH(4847,面试清单!P:P,0)),"")</f>
        <v/>
      </c>
      <c r="H4848" s="10" t="str">
        <f>IFERROR(INDEX(面试清单!H:H,MATCH(4847,面试清单!P:P,0)),"")</f>
        <v/>
      </c>
      <c r="J4848" s="10" t="str">
        <f ca="1" t="shared" si="226"/>
        <v/>
      </c>
      <c r="K4848" s="10" t="str">
        <f ca="1" t="shared" si="227"/>
        <v/>
      </c>
    </row>
    <row r="4849" spans="1:11">
      <c r="A4849" s="14" t="str">
        <f t="shared" si="225"/>
        <v/>
      </c>
      <c r="C4849" s="14" t="str">
        <f>IFERROR(INDEX(面试清单!D:D,MATCH(4848,面试清单!P:P,0)),"")</f>
        <v/>
      </c>
      <c r="H4849" s="14" t="str">
        <f>IFERROR(INDEX(面试清单!H:H,MATCH(4848,面试清单!P:P,0)),"")</f>
        <v/>
      </c>
      <c r="J4849" s="14" t="str">
        <f ca="1" t="shared" si="226"/>
        <v/>
      </c>
      <c r="K4849" s="14" t="str">
        <f ca="1" t="shared" si="227"/>
        <v/>
      </c>
    </row>
    <row r="4850" spans="1:11">
      <c r="A4850" s="10" t="str">
        <f t="shared" si="225"/>
        <v/>
      </c>
      <c r="C4850" s="10" t="str">
        <f>IFERROR(INDEX(面试清单!D:D,MATCH(4849,面试清单!P:P,0)),"")</f>
        <v/>
      </c>
      <c r="H4850" s="10" t="str">
        <f>IFERROR(INDEX(面试清单!H:H,MATCH(4849,面试清单!P:P,0)),"")</f>
        <v/>
      </c>
      <c r="J4850" s="10" t="str">
        <f ca="1" t="shared" si="226"/>
        <v/>
      </c>
      <c r="K4850" s="10" t="str">
        <f ca="1" t="shared" si="227"/>
        <v/>
      </c>
    </row>
    <row r="4851" spans="1:11">
      <c r="A4851" s="14" t="str">
        <f t="shared" si="225"/>
        <v/>
      </c>
      <c r="C4851" s="14" t="str">
        <f>IFERROR(INDEX(面试清单!D:D,MATCH(4850,面试清单!P:P,0)),"")</f>
        <v/>
      </c>
      <c r="H4851" s="14" t="str">
        <f>IFERROR(INDEX(面试清单!H:H,MATCH(4850,面试清单!P:P,0)),"")</f>
        <v/>
      </c>
      <c r="J4851" s="14" t="str">
        <f ca="1" t="shared" si="226"/>
        <v/>
      </c>
      <c r="K4851" s="14" t="str">
        <f ca="1" t="shared" si="227"/>
        <v/>
      </c>
    </row>
    <row r="4852" spans="1:11">
      <c r="A4852" s="10" t="str">
        <f t="shared" si="225"/>
        <v/>
      </c>
      <c r="C4852" s="10" t="str">
        <f>IFERROR(INDEX(面试清单!D:D,MATCH(4851,面试清单!P:P,0)),"")</f>
        <v/>
      </c>
      <c r="H4852" s="10" t="str">
        <f>IFERROR(INDEX(面试清单!H:H,MATCH(4851,面试清单!P:P,0)),"")</f>
        <v/>
      </c>
      <c r="J4852" s="10" t="str">
        <f ca="1" t="shared" si="226"/>
        <v/>
      </c>
      <c r="K4852" s="10" t="str">
        <f ca="1" t="shared" si="227"/>
        <v/>
      </c>
    </row>
    <row r="4853" spans="1:11">
      <c r="A4853" s="14" t="str">
        <f t="shared" si="225"/>
        <v/>
      </c>
      <c r="C4853" s="14" t="str">
        <f>IFERROR(INDEX(面试清单!D:D,MATCH(4852,面试清单!P:P,0)),"")</f>
        <v/>
      </c>
      <c r="H4853" s="14" t="str">
        <f>IFERROR(INDEX(面试清单!H:H,MATCH(4852,面试清单!P:P,0)),"")</f>
        <v/>
      </c>
      <c r="J4853" s="14" t="str">
        <f ca="1" t="shared" si="226"/>
        <v/>
      </c>
      <c r="K4853" s="14" t="str">
        <f ca="1" t="shared" si="227"/>
        <v/>
      </c>
    </row>
    <row r="4854" spans="1:11">
      <c r="A4854" s="10" t="str">
        <f t="shared" si="225"/>
        <v/>
      </c>
      <c r="C4854" s="10" t="str">
        <f>IFERROR(INDEX(面试清单!D:D,MATCH(4853,面试清单!P:P,0)),"")</f>
        <v/>
      </c>
      <c r="H4854" s="10" t="str">
        <f>IFERROR(INDEX(面试清单!H:H,MATCH(4853,面试清单!P:P,0)),"")</f>
        <v/>
      </c>
      <c r="J4854" s="10" t="str">
        <f ca="1" t="shared" si="226"/>
        <v/>
      </c>
      <c r="K4854" s="10" t="str">
        <f ca="1" t="shared" si="227"/>
        <v/>
      </c>
    </row>
    <row r="4855" spans="1:11">
      <c r="A4855" s="14" t="str">
        <f t="shared" si="225"/>
        <v/>
      </c>
      <c r="C4855" s="14" t="str">
        <f>IFERROR(INDEX(面试清单!D:D,MATCH(4854,面试清单!P:P,0)),"")</f>
        <v/>
      </c>
      <c r="H4855" s="14" t="str">
        <f>IFERROR(INDEX(面试清单!H:H,MATCH(4854,面试清单!P:P,0)),"")</f>
        <v/>
      </c>
      <c r="J4855" s="14" t="str">
        <f ca="1" t="shared" si="226"/>
        <v/>
      </c>
      <c r="K4855" s="14" t="str">
        <f ca="1" t="shared" si="227"/>
        <v/>
      </c>
    </row>
    <row r="4856" spans="1:11">
      <c r="A4856" s="10" t="str">
        <f t="shared" si="225"/>
        <v/>
      </c>
      <c r="C4856" s="10" t="str">
        <f>IFERROR(INDEX(面试清单!D:D,MATCH(4855,面试清单!P:P,0)),"")</f>
        <v/>
      </c>
      <c r="H4856" s="10" t="str">
        <f>IFERROR(INDEX(面试清单!H:H,MATCH(4855,面试清单!P:P,0)),"")</f>
        <v/>
      </c>
      <c r="J4856" s="10" t="str">
        <f ca="1" t="shared" si="226"/>
        <v/>
      </c>
      <c r="K4856" s="10" t="str">
        <f ca="1" t="shared" si="227"/>
        <v/>
      </c>
    </row>
    <row r="4857" spans="1:11">
      <c r="A4857" s="14" t="str">
        <f t="shared" si="225"/>
        <v/>
      </c>
      <c r="C4857" s="14" t="str">
        <f>IFERROR(INDEX(面试清单!D:D,MATCH(4856,面试清单!P:P,0)),"")</f>
        <v/>
      </c>
      <c r="H4857" s="14" t="str">
        <f>IFERROR(INDEX(面试清单!H:H,MATCH(4856,面试清单!P:P,0)),"")</f>
        <v/>
      </c>
      <c r="J4857" s="14" t="str">
        <f ca="1" t="shared" si="226"/>
        <v/>
      </c>
      <c r="K4857" s="14" t="str">
        <f ca="1" t="shared" si="227"/>
        <v/>
      </c>
    </row>
    <row r="4858" spans="1:11">
      <c r="A4858" s="10" t="str">
        <f t="shared" si="225"/>
        <v/>
      </c>
      <c r="C4858" s="10" t="str">
        <f>IFERROR(INDEX(面试清单!D:D,MATCH(4857,面试清单!P:P,0)),"")</f>
        <v/>
      </c>
      <c r="H4858" s="10" t="str">
        <f>IFERROR(INDEX(面试清单!H:H,MATCH(4857,面试清单!P:P,0)),"")</f>
        <v/>
      </c>
      <c r="J4858" s="10" t="str">
        <f ca="1" t="shared" si="226"/>
        <v/>
      </c>
      <c r="K4858" s="10" t="str">
        <f ca="1" t="shared" si="227"/>
        <v/>
      </c>
    </row>
    <row r="4859" spans="1:11">
      <c r="A4859" s="14" t="str">
        <f t="shared" si="225"/>
        <v/>
      </c>
      <c r="C4859" s="14" t="str">
        <f>IFERROR(INDEX(面试清单!D:D,MATCH(4858,面试清单!P:P,0)),"")</f>
        <v/>
      </c>
      <c r="H4859" s="14" t="str">
        <f>IFERROR(INDEX(面试清单!H:H,MATCH(4858,面试清单!P:P,0)),"")</f>
        <v/>
      </c>
      <c r="J4859" s="14" t="str">
        <f ca="1" t="shared" si="226"/>
        <v/>
      </c>
      <c r="K4859" s="14" t="str">
        <f ca="1" t="shared" si="227"/>
        <v/>
      </c>
    </row>
    <row r="4860" spans="1:11">
      <c r="A4860" s="10" t="str">
        <f t="shared" si="225"/>
        <v/>
      </c>
      <c r="C4860" s="10" t="str">
        <f>IFERROR(INDEX(面试清单!D:D,MATCH(4859,面试清单!P:P,0)),"")</f>
        <v/>
      </c>
      <c r="H4860" s="10" t="str">
        <f>IFERROR(INDEX(面试清单!H:H,MATCH(4859,面试清单!P:P,0)),"")</f>
        <v/>
      </c>
      <c r="J4860" s="10" t="str">
        <f ca="1" t="shared" si="226"/>
        <v/>
      </c>
      <c r="K4860" s="10" t="str">
        <f ca="1" t="shared" si="227"/>
        <v/>
      </c>
    </row>
    <row r="4861" spans="1:11">
      <c r="A4861" s="14" t="str">
        <f t="shared" si="225"/>
        <v/>
      </c>
      <c r="C4861" s="14" t="str">
        <f>IFERROR(INDEX(面试清单!D:D,MATCH(4860,面试清单!P:P,0)),"")</f>
        <v/>
      </c>
      <c r="H4861" s="14" t="str">
        <f>IFERROR(INDEX(面试清单!H:H,MATCH(4860,面试清单!P:P,0)),"")</f>
        <v/>
      </c>
      <c r="J4861" s="14" t="str">
        <f ca="1" t="shared" si="226"/>
        <v/>
      </c>
      <c r="K4861" s="14" t="str">
        <f ca="1" t="shared" si="227"/>
        <v/>
      </c>
    </row>
    <row r="4862" spans="1:11">
      <c r="A4862" s="10" t="str">
        <f t="shared" si="225"/>
        <v/>
      </c>
      <c r="C4862" s="10" t="str">
        <f>IFERROR(INDEX(面试清单!D:D,MATCH(4861,面试清单!P:P,0)),"")</f>
        <v/>
      </c>
      <c r="H4862" s="10" t="str">
        <f>IFERROR(INDEX(面试清单!H:H,MATCH(4861,面试清单!P:P,0)),"")</f>
        <v/>
      </c>
      <c r="J4862" s="10" t="str">
        <f ca="1" t="shared" si="226"/>
        <v/>
      </c>
      <c r="K4862" s="10" t="str">
        <f ca="1" t="shared" si="227"/>
        <v/>
      </c>
    </row>
    <row r="4863" spans="1:11">
      <c r="A4863" s="14" t="str">
        <f t="shared" si="225"/>
        <v/>
      </c>
      <c r="C4863" s="14" t="str">
        <f>IFERROR(INDEX(面试清单!D:D,MATCH(4862,面试清单!P:P,0)),"")</f>
        <v/>
      </c>
      <c r="H4863" s="14" t="str">
        <f>IFERROR(INDEX(面试清单!H:H,MATCH(4862,面试清单!P:P,0)),"")</f>
        <v/>
      </c>
      <c r="J4863" s="14" t="str">
        <f ca="1" t="shared" si="226"/>
        <v/>
      </c>
      <c r="K4863" s="14" t="str">
        <f ca="1" t="shared" si="227"/>
        <v/>
      </c>
    </row>
    <row r="4864" spans="1:11">
      <c r="A4864" s="10" t="str">
        <f t="shared" si="225"/>
        <v/>
      </c>
      <c r="C4864" s="10" t="str">
        <f>IFERROR(INDEX(面试清单!D:D,MATCH(4863,面试清单!P:P,0)),"")</f>
        <v/>
      </c>
      <c r="H4864" s="10" t="str">
        <f>IFERROR(INDEX(面试清单!H:H,MATCH(4863,面试清单!P:P,0)),"")</f>
        <v/>
      </c>
      <c r="J4864" s="10" t="str">
        <f ca="1" t="shared" si="226"/>
        <v/>
      </c>
      <c r="K4864" s="10" t="str">
        <f ca="1" t="shared" si="227"/>
        <v/>
      </c>
    </row>
    <row r="4865" spans="1:11">
      <c r="A4865" s="14" t="str">
        <f t="shared" si="225"/>
        <v/>
      </c>
      <c r="C4865" s="14" t="str">
        <f>IFERROR(INDEX(面试清单!D:D,MATCH(4864,面试清单!P:P,0)),"")</f>
        <v/>
      </c>
      <c r="H4865" s="14" t="str">
        <f>IFERROR(INDEX(面试清单!H:H,MATCH(4864,面试清单!P:P,0)),"")</f>
        <v/>
      </c>
      <c r="J4865" s="14" t="str">
        <f ca="1" t="shared" si="226"/>
        <v/>
      </c>
      <c r="K4865" s="14" t="str">
        <f ca="1" t="shared" si="227"/>
        <v/>
      </c>
    </row>
    <row r="4866" spans="1:11">
      <c r="A4866" s="10" t="str">
        <f t="shared" ref="A4866:A4929" si="228">IF(B4866&lt;&gt;"",ROW()-1,"")</f>
        <v/>
      </c>
      <c r="C4866" s="10" t="str">
        <f>IFERROR(INDEX(面试清单!D:D,MATCH(4865,面试清单!P:P,0)),"")</f>
        <v/>
      </c>
      <c r="H4866" s="10" t="str">
        <f>IFERROR(INDEX(面试清单!H:H,MATCH(4865,面试清单!P:P,0)),"")</f>
        <v/>
      </c>
      <c r="J4866" s="10" t="str">
        <f ca="1" t="shared" ref="J4866:J4929" si="229">IF(G4866&lt;&gt;"",TODAY()-G4866,"")</f>
        <v/>
      </c>
      <c r="K4866" s="10" t="str">
        <f ca="1" t="shared" ref="K4866:K4929" si="230">IF(G4866&lt;&gt;"",MAX(0,MIN(TODAY(),EOMONTH(TODAY(),0))-MAX(G4866,EOMONTH(TODAY(),-1)+1)+1),"")</f>
        <v/>
      </c>
    </row>
    <row r="4867" spans="1:11">
      <c r="A4867" s="14" t="str">
        <f t="shared" si="228"/>
        <v/>
      </c>
      <c r="C4867" s="14" t="str">
        <f>IFERROR(INDEX(面试清单!D:D,MATCH(4866,面试清单!P:P,0)),"")</f>
        <v/>
      </c>
      <c r="H4867" s="14" t="str">
        <f>IFERROR(INDEX(面试清单!H:H,MATCH(4866,面试清单!P:P,0)),"")</f>
        <v/>
      </c>
      <c r="J4867" s="14" t="str">
        <f ca="1" t="shared" si="229"/>
        <v/>
      </c>
      <c r="K4867" s="14" t="str">
        <f ca="1" t="shared" si="230"/>
        <v/>
      </c>
    </row>
    <row r="4868" spans="1:11">
      <c r="A4868" s="10" t="str">
        <f t="shared" si="228"/>
        <v/>
      </c>
      <c r="C4868" s="10" t="str">
        <f>IFERROR(INDEX(面试清单!D:D,MATCH(4867,面试清单!P:P,0)),"")</f>
        <v/>
      </c>
      <c r="H4868" s="10" t="str">
        <f>IFERROR(INDEX(面试清单!H:H,MATCH(4867,面试清单!P:P,0)),"")</f>
        <v/>
      </c>
      <c r="J4868" s="10" t="str">
        <f ca="1" t="shared" si="229"/>
        <v/>
      </c>
      <c r="K4868" s="10" t="str">
        <f ca="1" t="shared" si="230"/>
        <v/>
      </c>
    </row>
    <row r="4869" spans="1:11">
      <c r="A4869" s="14" t="str">
        <f t="shared" si="228"/>
        <v/>
      </c>
      <c r="C4869" s="14" t="str">
        <f>IFERROR(INDEX(面试清单!D:D,MATCH(4868,面试清单!P:P,0)),"")</f>
        <v/>
      </c>
      <c r="H4869" s="14" t="str">
        <f>IFERROR(INDEX(面试清单!H:H,MATCH(4868,面试清单!P:P,0)),"")</f>
        <v/>
      </c>
      <c r="J4869" s="14" t="str">
        <f ca="1" t="shared" si="229"/>
        <v/>
      </c>
      <c r="K4869" s="14" t="str">
        <f ca="1" t="shared" si="230"/>
        <v/>
      </c>
    </row>
    <row r="4870" spans="1:11">
      <c r="A4870" s="10" t="str">
        <f t="shared" si="228"/>
        <v/>
      </c>
      <c r="C4870" s="10" t="str">
        <f>IFERROR(INDEX(面试清单!D:D,MATCH(4869,面试清单!P:P,0)),"")</f>
        <v/>
      </c>
      <c r="H4870" s="10" t="str">
        <f>IFERROR(INDEX(面试清单!H:H,MATCH(4869,面试清单!P:P,0)),"")</f>
        <v/>
      </c>
      <c r="J4870" s="10" t="str">
        <f ca="1" t="shared" si="229"/>
        <v/>
      </c>
      <c r="K4870" s="10" t="str">
        <f ca="1" t="shared" si="230"/>
        <v/>
      </c>
    </row>
    <row r="4871" spans="1:11">
      <c r="A4871" s="14" t="str">
        <f t="shared" si="228"/>
        <v/>
      </c>
      <c r="C4871" s="14" t="str">
        <f>IFERROR(INDEX(面试清单!D:D,MATCH(4870,面试清单!P:P,0)),"")</f>
        <v/>
      </c>
      <c r="H4871" s="14" t="str">
        <f>IFERROR(INDEX(面试清单!H:H,MATCH(4870,面试清单!P:P,0)),"")</f>
        <v/>
      </c>
      <c r="J4871" s="14" t="str">
        <f ca="1" t="shared" si="229"/>
        <v/>
      </c>
      <c r="K4871" s="14" t="str">
        <f ca="1" t="shared" si="230"/>
        <v/>
      </c>
    </row>
    <row r="4872" spans="1:11">
      <c r="A4872" s="10" t="str">
        <f t="shared" si="228"/>
        <v/>
      </c>
      <c r="C4872" s="10" t="str">
        <f>IFERROR(INDEX(面试清单!D:D,MATCH(4871,面试清单!P:P,0)),"")</f>
        <v/>
      </c>
      <c r="H4872" s="10" t="str">
        <f>IFERROR(INDEX(面试清单!H:H,MATCH(4871,面试清单!P:P,0)),"")</f>
        <v/>
      </c>
      <c r="J4872" s="10" t="str">
        <f ca="1" t="shared" si="229"/>
        <v/>
      </c>
      <c r="K4872" s="10" t="str">
        <f ca="1" t="shared" si="230"/>
        <v/>
      </c>
    </row>
    <row r="4873" spans="1:11">
      <c r="A4873" s="14" t="str">
        <f t="shared" si="228"/>
        <v/>
      </c>
      <c r="C4873" s="14" t="str">
        <f>IFERROR(INDEX(面试清单!D:D,MATCH(4872,面试清单!P:P,0)),"")</f>
        <v/>
      </c>
      <c r="H4873" s="14" t="str">
        <f>IFERROR(INDEX(面试清单!H:H,MATCH(4872,面试清单!P:P,0)),"")</f>
        <v/>
      </c>
      <c r="J4873" s="14" t="str">
        <f ca="1" t="shared" si="229"/>
        <v/>
      </c>
      <c r="K4873" s="14" t="str">
        <f ca="1" t="shared" si="230"/>
        <v/>
      </c>
    </row>
    <row r="4874" spans="1:11">
      <c r="A4874" s="10" t="str">
        <f t="shared" si="228"/>
        <v/>
      </c>
      <c r="C4874" s="10" t="str">
        <f>IFERROR(INDEX(面试清单!D:D,MATCH(4873,面试清单!P:P,0)),"")</f>
        <v/>
      </c>
      <c r="H4874" s="10" t="str">
        <f>IFERROR(INDEX(面试清单!H:H,MATCH(4873,面试清单!P:P,0)),"")</f>
        <v/>
      </c>
      <c r="J4874" s="10" t="str">
        <f ca="1" t="shared" si="229"/>
        <v/>
      </c>
      <c r="K4874" s="10" t="str">
        <f ca="1" t="shared" si="230"/>
        <v/>
      </c>
    </row>
    <row r="4875" spans="1:11">
      <c r="A4875" s="14" t="str">
        <f t="shared" si="228"/>
        <v/>
      </c>
      <c r="C4875" s="14" t="str">
        <f>IFERROR(INDEX(面试清单!D:D,MATCH(4874,面试清单!P:P,0)),"")</f>
        <v/>
      </c>
      <c r="H4875" s="14" t="str">
        <f>IFERROR(INDEX(面试清单!H:H,MATCH(4874,面试清单!P:P,0)),"")</f>
        <v/>
      </c>
      <c r="J4875" s="14" t="str">
        <f ca="1" t="shared" si="229"/>
        <v/>
      </c>
      <c r="K4875" s="14" t="str">
        <f ca="1" t="shared" si="230"/>
        <v/>
      </c>
    </row>
    <row r="4876" spans="1:11">
      <c r="A4876" s="10" t="str">
        <f t="shared" si="228"/>
        <v/>
      </c>
      <c r="C4876" s="10" t="str">
        <f>IFERROR(INDEX(面试清单!D:D,MATCH(4875,面试清单!P:P,0)),"")</f>
        <v/>
      </c>
      <c r="H4876" s="10" t="str">
        <f>IFERROR(INDEX(面试清单!H:H,MATCH(4875,面试清单!P:P,0)),"")</f>
        <v/>
      </c>
      <c r="J4876" s="10" t="str">
        <f ca="1" t="shared" si="229"/>
        <v/>
      </c>
      <c r="K4876" s="10" t="str">
        <f ca="1" t="shared" si="230"/>
        <v/>
      </c>
    </row>
    <row r="4877" spans="1:11">
      <c r="A4877" s="14" t="str">
        <f t="shared" si="228"/>
        <v/>
      </c>
      <c r="C4877" s="14" t="str">
        <f>IFERROR(INDEX(面试清单!D:D,MATCH(4876,面试清单!P:P,0)),"")</f>
        <v/>
      </c>
      <c r="H4877" s="14" t="str">
        <f>IFERROR(INDEX(面试清单!H:H,MATCH(4876,面试清单!P:P,0)),"")</f>
        <v/>
      </c>
      <c r="J4877" s="14" t="str">
        <f ca="1" t="shared" si="229"/>
        <v/>
      </c>
      <c r="K4877" s="14" t="str">
        <f ca="1" t="shared" si="230"/>
        <v/>
      </c>
    </row>
    <row r="4878" spans="1:11">
      <c r="A4878" s="10" t="str">
        <f t="shared" si="228"/>
        <v/>
      </c>
      <c r="C4878" s="10" t="str">
        <f>IFERROR(INDEX(面试清单!D:D,MATCH(4877,面试清单!P:P,0)),"")</f>
        <v/>
      </c>
      <c r="H4878" s="10" t="str">
        <f>IFERROR(INDEX(面试清单!H:H,MATCH(4877,面试清单!P:P,0)),"")</f>
        <v/>
      </c>
      <c r="J4878" s="10" t="str">
        <f ca="1" t="shared" si="229"/>
        <v/>
      </c>
      <c r="K4878" s="10" t="str">
        <f ca="1" t="shared" si="230"/>
        <v/>
      </c>
    </row>
    <row r="4879" spans="1:11">
      <c r="A4879" s="14" t="str">
        <f t="shared" si="228"/>
        <v/>
      </c>
      <c r="C4879" s="14" t="str">
        <f>IFERROR(INDEX(面试清单!D:D,MATCH(4878,面试清单!P:P,0)),"")</f>
        <v/>
      </c>
      <c r="H4879" s="14" t="str">
        <f>IFERROR(INDEX(面试清单!H:H,MATCH(4878,面试清单!P:P,0)),"")</f>
        <v/>
      </c>
      <c r="J4879" s="14" t="str">
        <f ca="1" t="shared" si="229"/>
        <v/>
      </c>
      <c r="K4879" s="14" t="str">
        <f ca="1" t="shared" si="230"/>
        <v/>
      </c>
    </row>
    <row r="4880" spans="1:11">
      <c r="A4880" s="10" t="str">
        <f t="shared" si="228"/>
        <v/>
      </c>
      <c r="C4880" s="10" t="str">
        <f>IFERROR(INDEX(面试清单!D:D,MATCH(4879,面试清单!P:P,0)),"")</f>
        <v/>
      </c>
      <c r="H4880" s="10" t="str">
        <f>IFERROR(INDEX(面试清单!H:H,MATCH(4879,面试清单!P:P,0)),"")</f>
        <v/>
      </c>
      <c r="J4880" s="10" t="str">
        <f ca="1" t="shared" si="229"/>
        <v/>
      </c>
      <c r="K4880" s="10" t="str">
        <f ca="1" t="shared" si="230"/>
        <v/>
      </c>
    </row>
    <row r="4881" spans="1:11">
      <c r="A4881" s="14" t="str">
        <f t="shared" si="228"/>
        <v/>
      </c>
      <c r="C4881" s="14" t="str">
        <f>IFERROR(INDEX(面试清单!D:D,MATCH(4880,面试清单!P:P,0)),"")</f>
        <v/>
      </c>
      <c r="H4881" s="14" t="str">
        <f>IFERROR(INDEX(面试清单!H:H,MATCH(4880,面试清单!P:P,0)),"")</f>
        <v/>
      </c>
      <c r="J4881" s="14" t="str">
        <f ca="1" t="shared" si="229"/>
        <v/>
      </c>
      <c r="K4881" s="14" t="str">
        <f ca="1" t="shared" si="230"/>
        <v/>
      </c>
    </row>
    <row r="4882" spans="1:11">
      <c r="A4882" s="10" t="str">
        <f t="shared" si="228"/>
        <v/>
      </c>
      <c r="C4882" s="10" t="str">
        <f>IFERROR(INDEX(面试清单!D:D,MATCH(4881,面试清单!P:P,0)),"")</f>
        <v/>
      </c>
      <c r="H4882" s="10" t="str">
        <f>IFERROR(INDEX(面试清单!H:H,MATCH(4881,面试清单!P:P,0)),"")</f>
        <v/>
      </c>
      <c r="J4882" s="10" t="str">
        <f ca="1" t="shared" si="229"/>
        <v/>
      </c>
      <c r="K4882" s="10" t="str">
        <f ca="1" t="shared" si="230"/>
        <v/>
      </c>
    </row>
    <row r="4883" spans="1:11">
      <c r="A4883" s="14" t="str">
        <f t="shared" si="228"/>
        <v/>
      </c>
      <c r="C4883" s="14" t="str">
        <f>IFERROR(INDEX(面试清单!D:D,MATCH(4882,面试清单!P:P,0)),"")</f>
        <v/>
      </c>
      <c r="H4883" s="14" t="str">
        <f>IFERROR(INDEX(面试清单!H:H,MATCH(4882,面试清单!P:P,0)),"")</f>
        <v/>
      </c>
      <c r="J4883" s="14" t="str">
        <f ca="1" t="shared" si="229"/>
        <v/>
      </c>
      <c r="K4883" s="14" t="str">
        <f ca="1" t="shared" si="230"/>
        <v/>
      </c>
    </row>
    <row r="4884" spans="1:11">
      <c r="A4884" s="10" t="str">
        <f t="shared" si="228"/>
        <v/>
      </c>
      <c r="C4884" s="10" t="str">
        <f>IFERROR(INDEX(面试清单!D:D,MATCH(4883,面试清单!P:P,0)),"")</f>
        <v/>
      </c>
      <c r="H4884" s="10" t="str">
        <f>IFERROR(INDEX(面试清单!H:H,MATCH(4883,面试清单!P:P,0)),"")</f>
        <v/>
      </c>
      <c r="J4884" s="10" t="str">
        <f ca="1" t="shared" si="229"/>
        <v/>
      </c>
      <c r="K4884" s="10" t="str">
        <f ca="1" t="shared" si="230"/>
        <v/>
      </c>
    </row>
    <row r="4885" spans="1:11">
      <c r="A4885" s="14" t="str">
        <f t="shared" si="228"/>
        <v/>
      </c>
      <c r="C4885" s="14" t="str">
        <f>IFERROR(INDEX(面试清单!D:D,MATCH(4884,面试清单!P:P,0)),"")</f>
        <v/>
      </c>
      <c r="H4885" s="14" t="str">
        <f>IFERROR(INDEX(面试清单!H:H,MATCH(4884,面试清单!P:P,0)),"")</f>
        <v/>
      </c>
      <c r="J4885" s="14" t="str">
        <f ca="1" t="shared" si="229"/>
        <v/>
      </c>
      <c r="K4885" s="14" t="str">
        <f ca="1" t="shared" si="230"/>
        <v/>
      </c>
    </row>
    <row r="4886" spans="1:11">
      <c r="A4886" s="10" t="str">
        <f t="shared" si="228"/>
        <v/>
      </c>
      <c r="C4886" s="10" t="str">
        <f>IFERROR(INDEX(面试清单!D:D,MATCH(4885,面试清单!P:P,0)),"")</f>
        <v/>
      </c>
      <c r="H4886" s="10" t="str">
        <f>IFERROR(INDEX(面试清单!H:H,MATCH(4885,面试清单!P:P,0)),"")</f>
        <v/>
      </c>
      <c r="J4886" s="10" t="str">
        <f ca="1" t="shared" si="229"/>
        <v/>
      </c>
      <c r="K4886" s="10" t="str">
        <f ca="1" t="shared" si="230"/>
        <v/>
      </c>
    </row>
    <row r="4887" spans="1:11">
      <c r="A4887" s="14" t="str">
        <f t="shared" si="228"/>
        <v/>
      </c>
      <c r="C4887" s="14" t="str">
        <f>IFERROR(INDEX(面试清单!D:D,MATCH(4886,面试清单!P:P,0)),"")</f>
        <v/>
      </c>
      <c r="H4887" s="14" t="str">
        <f>IFERROR(INDEX(面试清单!H:H,MATCH(4886,面试清单!P:P,0)),"")</f>
        <v/>
      </c>
      <c r="J4887" s="14" t="str">
        <f ca="1" t="shared" si="229"/>
        <v/>
      </c>
      <c r="K4887" s="14" t="str">
        <f ca="1" t="shared" si="230"/>
        <v/>
      </c>
    </row>
    <row r="4888" spans="1:11">
      <c r="A4888" s="10" t="str">
        <f t="shared" si="228"/>
        <v/>
      </c>
      <c r="C4888" s="10" t="str">
        <f>IFERROR(INDEX(面试清单!D:D,MATCH(4887,面试清单!P:P,0)),"")</f>
        <v/>
      </c>
      <c r="H4888" s="10" t="str">
        <f>IFERROR(INDEX(面试清单!H:H,MATCH(4887,面试清单!P:P,0)),"")</f>
        <v/>
      </c>
      <c r="J4888" s="10" t="str">
        <f ca="1" t="shared" si="229"/>
        <v/>
      </c>
      <c r="K4888" s="10" t="str">
        <f ca="1" t="shared" si="230"/>
        <v/>
      </c>
    </row>
    <row r="4889" spans="1:11">
      <c r="A4889" s="14" t="str">
        <f t="shared" si="228"/>
        <v/>
      </c>
      <c r="C4889" s="14" t="str">
        <f>IFERROR(INDEX(面试清单!D:D,MATCH(4888,面试清单!P:P,0)),"")</f>
        <v/>
      </c>
      <c r="H4889" s="14" t="str">
        <f>IFERROR(INDEX(面试清单!H:H,MATCH(4888,面试清单!P:P,0)),"")</f>
        <v/>
      </c>
      <c r="J4889" s="14" t="str">
        <f ca="1" t="shared" si="229"/>
        <v/>
      </c>
      <c r="K4889" s="14" t="str">
        <f ca="1" t="shared" si="230"/>
        <v/>
      </c>
    </row>
    <row r="4890" spans="1:11">
      <c r="A4890" s="10" t="str">
        <f t="shared" si="228"/>
        <v/>
      </c>
      <c r="C4890" s="10" t="str">
        <f>IFERROR(INDEX(面试清单!D:D,MATCH(4889,面试清单!P:P,0)),"")</f>
        <v/>
      </c>
      <c r="H4890" s="10" t="str">
        <f>IFERROR(INDEX(面试清单!H:H,MATCH(4889,面试清单!P:P,0)),"")</f>
        <v/>
      </c>
      <c r="J4890" s="10" t="str">
        <f ca="1" t="shared" si="229"/>
        <v/>
      </c>
      <c r="K4890" s="10" t="str">
        <f ca="1" t="shared" si="230"/>
        <v/>
      </c>
    </row>
    <row r="4891" spans="1:11">
      <c r="A4891" s="14" t="str">
        <f t="shared" si="228"/>
        <v/>
      </c>
      <c r="C4891" s="14" t="str">
        <f>IFERROR(INDEX(面试清单!D:D,MATCH(4890,面试清单!P:P,0)),"")</f>
        <v/>
      </c>
      <c r="H4891" s="14" t="str">
        <f>IFERROR(INDEX(面试清单!H:H,MATCH(4890,面试清单!P:P,0)),"")</f>
        <v/>
      </c>
      <c r="J4891" s="14" t="str">
        <f ca="1" t="shared" si="229"/>
        <v/>
      </c>
      <c r="K4891" s="14" t="str">
        <f ca="1" t="shared" si="230"/>
        <v/>
      </c>
    </row>
    <row r="4892" spans="1:11">
      <c r="A4892" s="10" t="str">
        <f t="shared" si="228"/>
        <v/>
      </c>
      <c r="C4892" s="10" t="str">
        <f>IFERROR(INDEX(面试清单!D:D,MATCH(4891,面试清单!P:P,0)),"")</f>
        <v/>
      </c>
      <c r="H4892" s="10" t="str">
        <f>IFERROR(INDEX(面试清单!H:H,MATCH(4891,面试清单!P:P,0)),"")</f>
        <v/>
      </c>
      <c r="J4892" s="10" t="str">
        <f ca="1" t="shared" si="229"/>
        <v/>
      </c>
      <c r="K4892" s="10" t="str">
        <f ca="1" t="shared" si="230"/>
        <v/>
      </c>
    </row>
    <row r="4893" spans="1:11">
      <c r="A4893" s="14" t="str">
        <f t="shared" si="228"/>
        <v/>
      </c>
      <c r="C4893" s="14" t="str">
        <f>IFERROR(INDEX(面试清单!D:D,MATCH(4892,面试清单!P:P,0)),"")</f>
        <v/>
      </c>
      <c r="H4893" s="14" t="str">
        <f>IFERROR(INDEX(面试清单!H:H,MATCH(4892,面试清单!P:P,0)),"")</f>
        <v/>
      </c>
      <c r="J4893" s="14" t="str">
        <f ca="1" t="shared" si="229"/>
        <v/>
      </c>
      <c r="K4893" s="14" t="str">
        <f ca="1" t="shared" si="230"/>
        <v/>
      </c>
    </row>
    <row r="4894" spans="1:11">
      <c r="A4894" s="10" t="str">
        <f t="shared" si="228"/>
        <v/>
      </c>
      <c r="C4894" s="10" t="str">
        <f>IFERROR(INDEX(面试清单!D:D,MATCH(4893,面试清单!P:P,0)),"")</f>
        <v/>
      </c>
      <c r="H4894" s="10" t="str">
        <f>IFERROR(INDEX(面试清单!H:H,MATCH(4893,面试清单!P:P,0)),"")</f>
        <v/>
      </c>
      <c r="J4894" s="10" t="str">
        <f ca="1" t="shared" si="229"/>
        <v/>
      </c>
      <c r="K4894" s="10" t="str">
        <f ca="1" t="shared" si="230"/>
        <v/>
      </c>
    </row>
    <row r="4895" spans="1:11">
      <c r="A4895" s="14" t="str">
        <f t="shared" si="228"/>
        <v/>
      </c>
      <c r="C4895" s="14" t="str">
        <f>IFERROR(INDEX(面试清单!D:D,MATCH(4894,面试清单!P:P,0)),"")</f>
        <v/>
      </c>
      <c r="H4895" s="14" t="str">
        <f>IFERROR(INDEX(面试清单!H:H,MATCH(4894,面试清单!P:P,0)),"")</f>
        <v/>
      </c>
      <c r="J4895" s="14" t="str">
        <f ca="1" t="shared" si="229"/>
        <v/>
      </c>
      <c r="K4895" s="14" t="str">
        <f ca="1" t="shared" si="230"/>
        <v/>
      </c>
    </row>
    <row r="4896" spans="1:11">
      <c r="A4896" s="10" t="str">
        <f t="shared" si="228"/>
        <v/>
      </c>
      <c r="C4896" s="10" t="str">
        <f>IFERROR(INDEX(面试清单!D:D,MATCH(4895,面试清单!P:P,0)),"")</f>
        <v/>
      </c>
      <c r="H4896" s="10" t="str">
        <f>IFERROR(INDEX(面试清单!H:H,MATCH(4895,面试清单!P:P,0)),"")</f>
        <v/>
      </c>
      <c r="J4896" s="10" t="str">
        <f ca="1" t="shared" si="229"/>
        <v/>
      </c>
      <c r="K4896" s="10" t="str">
        <f ca="1" t="shared" si="230"/>
        <v/>
      </c>
    </row>
    <row r="4897" spans="1:11">
      <c r="A4897" s="14" t="str">
        <f t="shared" si="228"/>
        <v/>
      </c>
      <c r="C4897" s="14" t="str">
        <f>IFERROR(INDEX(面试清单!D:D,MATCH(4896,面试清单!P:P,0)),"")</f>
        <v/>
      </c>
      <c r="H4897" s="14" t="str">
        <f>IFERROR(INDEX(面试清单!H:H,MATCH(4896,面试清单!P:P,0)),"")</f>
        <v/>
      </c>
      <c r="J4897" s="14" t="str">
        <f ca="1" t="shared" si="229"/>
        <v/>
      </c>
      <c r="K4897" s="14" t="str">
        <f ca="1" t="shared" si="230"/>
        <v/>
      </c>
    </row>
    <row r="4898" spans="1:11">
      <c r="A4898" s="10" t="str">
        <f t="shared" si="228"/>
        <v/>
      </c>
      <c r="C4898" s="10" t="str">
        <f>IFERROR(INDEX(面试清单!D:D,MATCH(4897,面试清单!P:P,0)),"")</f>
        <v/>
      </c>
      <c r="H4898" s="10" t="str">
        <f>IFERROR(INDEX(面试清单!H:H,MATCH(4897,面试清单!P:P,0)),"")</f>
        <v/>
      </c>
      <c r="J4898" s="10" t="str">
        <f ca="1" t="shared" si="229"/>
        <v/>
      </c>
      <c r="K4898" s="10" t="str">
        <f ca="1" t="shared" si="230"/>
        <v/>
      </c>
    </row>
    <row r="4899" spans="1:11">
      <c r="A4899" s="14" t="str">
        <f t="shared" si="228"/>
        <v/>
      </c>
      <c r="C4899" s="14" t="str">
        <f>IFERROR(INDEX(面试清单!D:D,MATCH(4898,面试清单!P:P,0)),"")</f>
        <v/>
      </c>
      <c r="H4899" s="14" t="str">
        <f>IFERROR(INDEX(面试清单!H:H,MATCH(4898,面试清单!P:P,0)),"")</f>
        <v/>
      </c>
      <c r="J4899" s="14" t="str">
        <f ca="1" t="shared" si="229"/>
        <v/>
      </c>
      <c r="K4899" s="14" t="str">
        <f ca="1" t="shared" si="230"/>
        <v/>
      </c>
    </row>
    <row r="4900" spans="1:11">
      <c r="A4900" s="10" t="str">
        <f t="shared" si="228"/>
        <v/>
      </c>
      <c r="C4900" s="10" t="str">
        <f>IFERROR(INDEX(面试清单!D:D,MATCH(4899,面试清单!P:P,0)),"")</f>
        <v/>
      </c>
      <c r="H4900" s="10" t="str">
        <f>IFERROR(INDEX(面试清单!H:H,MATCH(4899,面试清单!P:P,0)),"")</f>
        <v/>
      </c>
      <c r="J4900" s="10" t="str">
        <f ca="1" t="shared" si="229"/>
        <v/>
      </c>
      <c r="K4900" s="10" t="str">
        <f ca="1" t="shared" si="230"/>
        <v/>
      </c>
    </row>
    <row r="4901" spans="1:11">
      <c r="A4901" s="14" t="str">
        <f t="shared" si="228"/>
        <v/>
      </c>
      <c r="C4901" s="14" t="str">
        <f>IFERROR(INDEX(面试清单!D:D,MATCH(4900,面试清单!P:P,0)),"")</f>
        <v/>
      </c>
      <c r="H4901" s="14" t="str">
        <f>IFERROR(INDEX(面试清单!H:H,MATCH(4900,面试清单!P:P,0)),"")</f>
        <v/>
      </c>
      <c r="J4901" s="14" t="str">
        <f ca="1" t="shared" si="229"/>
        <v/>
      </c>
      <c r="K4901" s="14" t="str">
        <f ca="1" t="shared" si="230"/>
        <v/>
      </c>
    </row>
    <row r="4902" spans="1:11">
      <c r="A4902" s="10" t="str">
        <f t="shared" si="228"/>
        <v/>
      </c>
      <c r="C4902" s="10" t="str">
        <f>IFERROR(INDEX(面试清单!D:D,MATCH(4901,面试清单!P:P,0)),"")</f>
        <v/>
      </c>
      <c r="H4902" s="10" t="str">
        <f>IFERROR(INDEX(面试清单!H:H,MATCH(4901,面试清单!P:P,0)),"")</f>
        <v/>
      </c>
      <c r="J4902" s="10" t="str">
        <f ca="1" t="shared" si="229"/>
        <v/>
      </c>
      <c r="K4902" s="10" t="str">
        <f ca="1" t="shared" si="230"/>
        <v/>
      </c>
    </row>
    <row r="4903" spans="1:11">
      <c r="A4903" s="14" t="str">
        <f t="shared" si="228"/>
        <v/>
      </c>
      <c r="C4903" s="14" t="str">
        <f>IFERROR(INDEX(面试清单!D:D,MATCH(4902,面试清单!P:P,0)),"")</f>
        <v/>
      </c>
      <c r="H4903" s="14" t="str">
        <f>IFERROR(INDEX(面试清单!H:H,MATCH(4902,面试清单!P:P,0)),"")</f>
        <v/>
      </c>
      <c r="J4903" s="14" t="str">
        <f ca="1" t="shared" si="229"/>
        <v/>
      </c>
      <c r="K4903" s="14" t="str">
        <f ca="1" t="shared" si="230"/>
        <v/>
      </c>
    </row>
    <row r="4904" spans="1:11">
      <c r="A4904" s="10" t="str">
        <f t="shared" si="228"/>
        <v/>
      </c>
      <c r="C4904" s="10" t="str">
        <f>IFERROR(INDEX(面试清单!D:D,MATCH(4903,面试清单!P:P,0)),"")</f>
        <v/>
      </c>
      <c r="H4904" s="10" t="str">
        <f>IFERROR(INDEX(面试清单!H:H,MATCH(4903,面试清单!P:P,0)),"")</f>
        <v/>
      </c>
      <c r="J4904" s="10" t="str">
        <f ca="1" t="shared" si="229"/>
        <v/>
      </c>
      <c r="K4904" s="10" t="str">
        <f ca="1" t="shared" si="230"/>
        <v/>
      </c>
    </row>
    <row r="4905" spans="1:11">
      <c r="A4905" s="14" t="str">
        <f t="shared" si="228"/>
        <v/>
      </c>
      <c r="C4905" s="14" t="str">
        <f>IFERROR(INDEX(面试清单!D:D,MATCH(4904,面试清单!P:P,0)),"")</f>
        <v/>
      </c>
      <c r="H4905" s="14" t="str">
        <f>IFERROR(INDEX(面试清单!H:H,MATCH(4904,面试清单!P:P,0)),"")</f>
        <v/>
      </c>
      <c r="J4905" s="14" t="str">
        <f ca="1" t="shared" si="229"/>
        <v/>
      </c>
      <c r="K4905" s="14" t="str">
        <f ca="1" t="shared" si="230"/>
        <v/>
      </c>
    </row>
    <row r="4906" spans="1:11">
      <c r="A4906" s="10" t="str">
        <f t="shared" si="228"/>
        <v/>
      </c>
      <c r="C4906" s="10" t="str">
        <f>IFERROR(INDEX(面试清单!D:D,MATCH(4905,面试清单!P:P,0)),"")</f>
        <v/>
      </c>
      <c r="H4906" s="10" t="str">
        <f>IFERROR(INDEX(面试清单!H:H,MATCH(4905,面试清单!P:P,0)),"")</f>
        <v/>
      </c>
      <c r="J4906" s="10" t="str">
        <f ca="1" t="shared" si="229"/>
        <v/>
      </c>
      <c r="K4906" s="10" t="str">
        <f ca="1" t="shared" si="230"/>
        <v/>
      </c>
    </row>
    <row r="4907" spans="1:11">
      <c r="A4907" s="14" t="str">
        <f t="shared" si="228"/>
        <v/>
      </c>
      <c r="C4907" s="14" t="str">
        <f>IFERROR(INDEX(面试清单!D:D,MATCH(4906,面试清单!P:P,0)),"")</f>
        <v/>
      </c>
      <c r="H4907" s="14" t="str">
        <f>IFERROR(INDEX(面试清单!H:H,MATCH(4906,面试清单!P:P,0)),"")</f>
        <v/>
      </c>
      <c r="J4907" s="14" t="str">
        <f ca="1" t="shared" si="229"/>
        <v/>
      </c>
      <c r="K4907" s="14" t="str">
        <f ca="1" t="shared" si="230"/>
        <v/>
      </c>
    </row>
    <row r="4908" spans="1:11">
      <c r="A4908" s="10" t="str">
        <f t="shared" si="228"/>
        <v/>
      </c>
      <c r="C4908" s="10" t="str">
        <f>IFERROR(INDEX(面试清单!D:D,MATCH(4907,面试清单!P:P,0)),"")</f>
        <v/>
      </c>
      <c r="H4908" s="10" t="str">
        <f>IFERROR(INDEX(面试清单!H:H,MATCH(4907,面试清单!P:P,0)),"")</f>
        <v/>
      </c>
      <c r="J4908" s="10" t="str">
        <f ca="1" t="shared" si="229"/>
        <v/>
      </c>
      <c r="K4908" s="10" t="str">
        <f ca="1" t="shared" si="230"/>
        <v/>
      </c>
    </row>
    <row r="4909" spans="1:11">
      <c r="A4909" s="14" t="str">
        <f t="shared" si="228"/>
        <v/>
      </c>
      <c r="C4909" s="14" t="str">
        <f>IFERROR(INDEX(面试清单!D:D,MATCH(4908,面试清单!P:P,0)),"")</f>
        <v/>
      </c>
      <c r="H4909" s="14" t="str">
        <f>IFERROR(INDEX(面试清单!H:H,MATCH(4908,面试清单!P:P,0)),"")</f>
        <v/>
      </c>
      <c r="J4909" s="14" t="str">
        <f ca="1" t="shared" si="229"/>
        <v/>
      </c>
      <c r="K4909" s="14" t="str">
        <f ca="1" t="shared" si="230"/>
        <v/>
      </c>
    </row>
    <row r="4910" spans="1:11">
      <c r="A4910" s="10" t="str">
        <f t="shared" si="228"/>
        <v/>
      </c>
      <c r="C4910" s="10" t="str">
        <f>IFERROR(INDEX(面试清单!D:D,MATCH(4909,面试清单!P:P,0)),"")</f>
        <v/>
      </c>
      <c r="H4910" s="10" t="str">
        <f>IFERROR(INDEX(面试清单!H:H,MATCH(4909,面试清单!P:P,0)),"")</f>
        <v/>
      </c>
      <c r="J4910" s="10" t="str">
        <f ca="1" t="shared" si="229"/>
        <v/>
      </c>
      <c r="K4910" s="10" t="str">
        <f ca="1" t="shared" si="230"/>
        <v/>
      </c>
    </row>
    <row r="4911" spans="1:11">
      <c r="A4911" s="14" t="str">
        <f t="shared" si="228"/>
        <v/>
      </c>
      <c r="C4911" s="14" t="str">
        <f>IFERROR(INDEX(面试清单!D:D,MATCH(4910,面试清单!P:P,0)),"")</f>
        <v/>
      </c>
      <c r="H4911" s="14" t="str">
        <f>IFERROR(INDEX(面试清单!H:H,MATCH(4910,面试清单!P:P,0)),"")</f>
        <v/>
      </c>
      <c r="J4911" s="14" t="str">
        <f ca="1" t="shared" si="229"/>
        <v/>
      </c>
      <c r="K4911" s="14" t="str">
        <f ca="1" t="shared" si="230"/>
        <v/>
      </c>
    </row>
    <row r="4912" spans="1:11">
      <c r="A4912" s="10" t="str">
        <f t="shared" si="228"/>
        <v/>
      </c>
      <c r="C4912" s="10" t="str">
        <f>IFERROR(INDEX(面试清单!D:D,MATCH(4911,面试清单!P:P,0)),"")</f>
        <v/>
      </c>
      <c r="H4912" s="10" t="str">
        <f>IFERROR(INDEX(面试清单!H:H,MATCH(4911,面试清单!P:P,0)),"")</f>
        <v/>
      </c>
      <c r="J4912" s="10" t="str">
        <f ca="1" t="shared" si="229"/>
        <v/>
      </c>
      <c r="K4912" s="10" t="str">
        <f ca="1" t="shared" si="230"/>
        <v/>
      </c>
    </row>
    <row r="4913" spans="1:11">
      <c r="A4913" s="14" t="str">
        <f t="shared" si="228"/>
        <v/>
      </c>
      <c r="C4913" s="14" t="str">
        <f>IFERROR(INDEX(面试清单!D:D,MATCH(4912,面试清单!P:P,0)),"")</f>
        <v/>
      </c>
      <c r="H4913" s="14" t="str">
        <f>IFERROR(INDEX(面试清单!H:H,MATCH(4912,面试清单!P:P,0)),"")</f>
        <v/>
      </c>
      <c r="J4913" s="14" t="str">
        <f ca="1" t="shared" si="229"/>
        <v/>
      </c>
      <c r="K4913" s="14" t="str">
        <f ca="1" t="shared" si="230"/>
        <v/>
      </c>
    </row>
    <row r="4914" spans="1:11">
      <c r="A4914" s="10" t="str">
        <f t="shared" si="228"/>
        <v/>
      </c>
      <c r="C4914" s="10" t="str">
        <f>IFERROR(INDEX(面试清单!D:D,MATCH(4913,面试清单!P:P,0)),"")</f>
        <v/>
      </c>
      <c r="H4914" s="10" t="str">
        <f>IFERROR(INDEX(面试清单!H:H,MATCH(4913,面试清单!P:P,0)),"")</f>
        <v/>
      </c>
      <c r="J4914" s="10" t="str">
        <f ca="1" t="shared" si="229"/>
        <v/>
      </c>
      <c r="K4914" s="10" t="str">
        <f ca="1" t="shared" si="230"/>
        <v/>
      </c>
    </row>
    <row r="4915" spans="1:11">
      <c r="A4915" s="14" t="str">
        <f t="shared" si="228"/>
        <v/>
      </c>
      <c r="C4915" s="14" t="str">
        <f>IFERROR(INDEX(面试清单!D:D,MATCH(4914,面试清单!P:P,0)),"")</f>
        <v/>
      </c>
      <c r="H4915" s="14" t="str">
        <f>IFERROR(INDEX(面试清单!H:H,MATCH(4914,面试清单!P:P,0)),"")</f>
        <v/>
      </c>
      <c r="J4915" s="14" t="str">
        <f ca="1" t="shared" si="229"/>
        <v/>
      </c>
      <c r="K4915" s="14" t="str">
        <f ca="1" t="shared" si="230"/>
        <v/>
      </c>
    </row>
    <row r="4916" spans="1:11">
      <c r="A4916" s="10" t="str">
        <f t="shared" si="228"/>
        <v/>
      </c>
      <c r="C4916" s="10" t="str">
        <f>IFERROR(INDEX(面试清单!D:D,MATCH(4915,面试清单!P:P,0)),"")</f>
        <v/>
      </c>
      <c r="H4916" s="10" t="str">
        <f>IFERROR(INDEX(面试清单!H:H,MATCH(4915,面试清单!P:P,0)),"")</f>
        <v/>
      </c>
      <c r="J4916" s="10" t="str">
        <f ca="1" t="shared" si="229"/>
        <v/>
      </c>
      <c r="K4916" s="10" t="str">
        <f ca="1" t="shared" si="230"/>
        <v/>
      </c>
    </row>
    <row r="4917" spans="1:11">
      <c r="A4917" s="14" t="str">
        <f t="shared" si="228"/>
        <v/>
      </c>
      <c r="C4917" s="14" t="str">
        <f>IFERROR(INDEX(面试清单!D:D,MATCH(4916,面试清单!P:P,0)),"")</f>
        <v/>
      </c>
      <c r="H4917" s="14" t="str">
        <f>IFERROR(INDEX(面试清单!H:H,MATCH(4916,面试清单!P:P,0)),"")</f>
        <v/>
      </c>
      <c r="J4917" s="14" t="str">
        <f ca="1" t="shared" si="229"/>
        <v/>
      </c>
      <c r="K4917" s="14" t="str">
        <f ca="1" t="shared" si="230"/>
        <v/>
      </c>
    </row>
    <row r="4918" spans="1:11">
      <c r="A4918" s="10" t="str">
        <f t="shared" si="228"/>
        <v/>
      </c>
      <c r="C4918" s="10" t="str">
        <f>IFERROR(INDEX(面试清单!D:D,MATCH(4917,面试清单!P:P,0)),"")</f>
        <v/>
      </c>
      <c r="H4918" s="10" t="str">
        <f>IFERROR(INDEX(面试清单!H:H,MATCH(4917,面试清单!P:P,0)),"")</f>
        <v/>
      </c>
      <c r="J4918" s="10" t="str">
        <f ca="1" t="shared" si="229"/>
        <v/>
      </c>
      <c r="K4918" s="10" t="str">
        <f ca="1" t="shared" si="230"/>
        <v/>
      </c>
    </row>
    <row r="4919" spans="1:11">
      <c r="A4919" s="14" t="str">
        <f t="shared" si="228"/>
        <v/>
      </c>
      <c r="C4919" s="14" t="str">
        <f>IFERROR(INDEX(面试清单!D:D,MATCH(4918,面试清单!P:P,0)),"")</f>
        <v/>
      </c>
      <c r="H4919" s="14" t="str">
        <f>IFERROR(INDEX(面试清单!H:H,MATCH(4918,面试清单!P:P,0)),"")</f>
        <v/>
      </c>
      <c r="J4919" s="14" t="str">
        <f ca="1" t="shared" si="229"/>
        <v/>
      </c>
      <c r="K4919" s="14" t="str">
        <f ca="1" t="shared" si="230"/>
        <v/>
      </c>
    </row>
    <row r="4920" spans="1:11">
      <c r="A4920" s="10" t="str">
        <f t="shared" si="228"/>
        <v/>
      </c>
      <c r="C4920" s="10" t="str">
        <f>IFERROR(INDEX(面试清单!D:D,MATCH(4919,面试清单!P:P,0)),"")</f>
        <v/>
      </c>
      <c r="H4920" s="10" t="str">
        <f>IFERROR(INDEX(面试清单!H:H,MATCH(4919,面试清单!P:P,0)),"")</f>
        <v/>
      </c>
      <c r="J4920" s="10" t="str">
        <f ca="1" t="shared" si="229"/>
        <v/>
      </c>
      <c r="K4920" s="10" t="str">
        <f ca="1" t="shared" si="230"/>
        <v/>
      </c>
    </row>
    <row r="4921" spans="1:11">
      <c r="A4921" s="14" t="str">
        <f t="shared" si="228"/>
        <v/>
      </c>
      <c r="C4921" s="14" t="str">
        <f>IFERROR(INDEX(面试清单!D:D,MATCH(4920,面试清单!P:P,0)),"")</f>
        <v/>
      </c>
      <c r="H4921" s="14" t="str">
        <f>IFERROR(INDEX(面试清单!H:H,MATCH(4920,面试清单!P:P,0)),"")</f>
        <v/>
      </c>
      <c r="J4921" s="14" t="str">
        <f ca="1" t="shared" si="229"/>
        <v/>
      </c>
      <c r="K4921" s="14" t="str">
        <f ca="1" t="shared" si="230"/>
        <v/>
      </c>
    </row>
    <row r="4922" spans="1:11">
      <c r="A4922" s="10" t="str">
        <f t="shared" si="228"/>
        <v/>
      </c>
      <c r="C4922" s="10" t="str">
        <f>IFERROR(INDEX(面试清单!D:D,MATCH(4921,面试清单!P:P,0)),"")</f>
        <v/>
      </c>
      <c r="H4922" s="10" t="str">
        <f>IFERROR(INDEX(面试清单!H:H,MATCH(4921,面试清单!P:P,0)),"")</f>
        <v/>
      </c>
      <c r="J4922" s="10" t="str">
        <f ca="1" t="shared" si="229"/>
        <v/>
      </c>
      <c r="K4922" s="10" t="str">
        <f ca="1" t="shared" si="230"/>
        <v/>
      </c>
    </row>
    <row r="4923" spans="1:11">
      <c r="A4923" s="14" t="str">
        <f t="shared" si="228"/>
        <v/>
      </c>
      <c r="C4923" s="14" t="str">
        <f>IFERROR(INDEX(面试清单!D:D,MATCH(4922,面试清单!P:P,0)),"")</f>
        <v/>
      </c>
      <c r="H4923" s="14" t="str">
        <f>IFERROR(INDEX(面试清单!H:H,MATCH(4922,面试清单!P:P,0)),"")</f>
        <v/>
      </c>
      <c r="J4923" s="14" t="str">
        <f ca="1" t="shared" si="229"/>
        <v/>
      </c>
      <c r="K4923" s="14" t="str">
        <f ca="1" t="shared" si="230"/>
        <v/>
      </c>
    </row>
    <row r="4924" spans="1:11">
      <c r="A4924" s="10" t="str">
        <f t="shared" si="228"/>
        <v/>
      </c>
      <c r="C4924" s="10" t="str">
        <f>IFERROR(INDEX(面试清单!D:D,MATCH(4923,面试清单!P:P,0)),"")</f>
        <v/>
      </c>
      <c r="H4924" s="10" t="str">
        <f>IFERROR(INDEX(面试清单!H:H,MATCH(4923,面试清单!P:P,0)),"")</f>
        <v/>
      </c>
      <c r="J4924" s="10" t="str">
        <f ca="1" t="shared" si="229"/>
        <v/>
      </c>
      <c r="K4924" s="10" t="str">
        <f ca="1" t="shared" si="230"/>
        <v/>
      </c>
    </row>
    <row r="4925" spans="1:11">
      <c r="A4925" s="14" t="str">
        <f t="shared" si="228"/>
        <v/>
      </c>
      <c r="C4925" s="14" t="str">
        <f>IFERROR(INDEX(面试清单!D:D,MATCH(4924,面试清单!P:P,0)),"")</f>
        <v/>
      </c>
      <c r="H4925" s="14" t="str">
        <f>IFERROR(INDEX(面试清单!H:H,MATCH(4924,面试清单!P:P,0)),"")</f>
        <v/>
      </c>
      <c r="J4925" s="14" t="str">
        <f ca="1" t="shared" si="229"/>
        <v/>
      </c>
      <c r="K4925" s="14" t="str">
        <f ca="1" t="shared" si="230"/>
        <v/>
      </c>
    </row>
    <row r="4926" spans="1:11">
      <c r="A4926" s="10" t="str">
        <f t="shared" si="228"/>
        <v/>
      </c>
      <c r="C4926" s="10" t="str">
        <f>IFERROR(INDEX(面试清单!D:D,MATCH(4925,面试清单!P:P,0)),"")</f>
        <v/>
      </c>
      <c r="H4926" s="10" t="str">
        <f>IFERROR(INDEX(面试清单!H:H,MATCH(4925,面试清单!P:P,0)),"")</f>
        <v/>
      </c>
      <c r="J4926" s="10" t="str">
        <f ca="1" t="shared" si="229"/>
        <v/>
      </c>
      <c r="K4926" s="10" t="str">
        <f ca="1" t="shared" si="230"/>
        <v/>
      </c>
    </row>
    <row r="4927" spans="1:11">
      <c r="A4927" s="14" t="str">
        <f t="shared" si="228"/>
        <v/>
      </c>
      <c r="C4927" s="14" t="str">
        <f>IFERROR(INDEX(面试清单!D:D,MATCH(4926,面试清单!P:P,0)),"")</f>
        <v/>
      </c>
      <c r="H4927" s="14" t="str">
        <f>IFERROR(INDEX(面试清单!H:H,MATCH(4926,面试清单!P:P,0)),"")</f>
        <v/>
      </c>
      <c r="J4927" s="14" t="str">
        <f ca="1" t="shared" si="229"/>
        <v/>
      </c>
      <c r="K4927" s="14" t="str">
        <f ca="1" t="shared" si="230"/>
        <v/>
      </c>
    </row>
    <row r="4928" spans="1:11">
      <c r="A4928" s="10" t="str">
        <f t="shared" si="228"/>
        <v/>
      </c>
      <c r="C4928" s="10" t="str">
        <f>IFERROR(INDEX(面试清单!D:D,MATCH(4927,面试清单!P:P,0)),"")</f>
        <v/>
      </c>
      <c r="H4928" s="10" t="str">
        <f>IFERROR(INDEX(面试清单!H:H,MATCH(4927,面试清单!P:P,0)),"")</f>
        <v/>
      </c>
      <c r="J4928" s="10" t="str">
        <f ca="1" t="shared" si="229"/>
        <v/>
      </c>
      <c r="K4928" s="10" t="str">
        <f ca="1" t="shared" si="230"/>
        <v/>
      </c>
    </row>
    <row r="4929" spans="1:11">
      <c r="A4929" s="14" t="str">
        <f t="shared" si="228"/>
        <v/>
      </c>
      <c r="C4929" s="14" t="str">
        <f>IFERROR(INDEX(面试清单!D:D,MATCH(4928,面试清单!P:P,0)),"")</f>
        <v/>
      </c>
      <c r="H4929" s="14" t="str">
        <f>IFERROR(INDEX(面试清单!H:H,MATCH(4928,面试清单!P:P,0)),"")</f>
        <v/>
      </c>
      <c r="J4929" s="14" t="str">
        <f ca="1" t="shared" si="229"/>
        <v/>
      </c>
      <c r="K4929" s="14" t="str">
        <f ca="1" t="shared" si="230"/>
        <v/>
      </c>
    </row>
    <row r="4930" spans="1:11">
      <c r="A4930" s="10" t="str">
        <f t="shared" ref="A4930:A4993" si="231">IF(B4930&lt;&gt;"",ROW()-1,"")</f>
        <v/>
      </c>
      <c r="C4930" s="10" t="str">
        <f>IFERROR(INDEX(面试清单!D:D,MATCH(4929,面试清单!P:P,0)),"")</f>
        <v/>
      </c>
      <c r="H4930" s="10" t="str">
        <f>IFERROR(INDEX(面试清单!H:H,MATCH(4929,面试清单!P:P,0)),"")</f>
        <v/>
      </c>
      <c r="J4930" s="10" t="str">
        <f ca="1" t="shared" ref="J4930:J4993" si="232">IF(G4930&lt;&gt;"",TODAY()-G4930,"")</f>
        <v/>
      </c>
      <c r="K4930" s="10" t="str">
        <f ca="1" t="shared" ref="K4930:K4993" si="233">IF(G4930&lt;&gt;"",MAX(0,MIN(TODAY(),EOMONTH(TODAY(),0))-MAX(G4930,EOMONTH(TODAY(),-1)+1)+1),"")</f>
        <v/>
      </c>
    </row>
    <row r="4931" spans="1:11">
      <c r="A4931" s="14" t="str">
        <f t="shared" si="231"/>
        <v/>
      </c>
      <c r="C4931" s="14" t="str">
        <f>IFERROR(INDEX(面试清单!D:D,MATCH(4930,面试清单!P:P,0)),"")</f>
        <v/>
      </c>
      <c r="H4931" s="14" t="str">
        <f>IFERROR(INDEX(面试清单!H:H,MATCH(4930,面试清单!P:P,0)),"")</f>
        <v/>
      </c>
      <c r="J4931" s="14" t="str">
        <f ca="1" t="shared" si="232"/>
        <v/>
      </c>
      <c r="K4931" s="14" t="str">
        <f ca="1" t="shared" si="233"/>
        <v/>
      </c>
    </row>
    <row r="4932" spans="1:11">
      <c r="A4932" s="10" t="str">
        <f t="shared" si="231"/>
        <v/>
      </c>
      <c r="C4932" s="10" t="str">
        <f>IFERROR(INDEX(面试清单!D:D,MATCH(4931,面试清单!P:P,0)),"")</f>
        <v/>
      </c>
      <c r="H4932" s="10" t="str">
        <f>IFERROR(INDEX(面试清单!H:H,MATCH(4931,面试清单!P:P,0)),"")</f>
        <v/>
      </c>
      <c r="J4932" s="10" t="str">
        <f ca="1" t="shared" si="232"/>
        <v/>
      </c>
      <c r="K4932" s="10" t="str">
        <f ca="1" t="shared" si="233"/>
        <v/>
      </c>
    </row>
    <row r="4933" spans="1:11">
      <c r="A4933" s="14" t="str">
        <f t="shared" si="231"/>
        <v/>
      </c>
      <c r="C4933" s="14" t="str">
        <f>IFERROR(INDEX(面试清单!D:D,MATCH(4932,面试清单!P:P,0)),"")</f>
        <v/>
      </c>
      <c r="H4933" s="14" t="str">
        <f>IFERROR(INDEX(面试清单!H:H,MATCH(4932,面试清单!P:P,0)),"")</f>
        <v/>
      </c>
      <c r="J4933" s="14" t="str">
        <f ca="1" t="shared" si="232"/>
        <v/>
      </c>
      <c r="K4933" s="14" t="str">
        <f ca="1" t="shared" si="233"/>
        <v/>
      </c>
    </row>
    <row r="4934" spans="1:11">
      <c r="A4934" s="10" t="str">
        <f t="shared" si="231"/>
        <v/>
      </c>
      <c r="C4934" s="10" t="str">
        <f>IFERROR(INDEX(面试清单!D:D,MATCH(4933,面试清单!P:P,0)),"")</f>
        <v/>
      </c>
      <c r="H4934" s="10" t="str">
        <f>IFERROR(INDEX(面试清单!H:H,MATCH(4933,面试清单!P:P,0)),"")</f>
        <v/>
      </c>
      <c r="J4934" s="10" t="str">
        <f ca="1" t="shared" si="232"/>
        <v/>
      </c>
      <c r="K4934" s="10" t="str">
        <f ca="1" t="shared" si="233"/>
        <v/>
      </c>
    </row>
    <row r="4935" spans="1:11">
      <c r="A4935" s="14" t="str">
        <f t="shared" si="231"/>
        <v/>
      </c>
      <c r="C4935" s="14" t="str">
        <f>IFERROR(INDEX(面试清单!D:D,MATCH(4934,面试清单!P:P,0)),"")</f>
        <v/>
      </c>
      <c r="H4935" s="14" t="str">
        <f>IFERROR(INDEX(面试清单!H:H,MATCH(4934,面试清单!P:P,0)),"")</f>
        <v/>
      </c>
      <c r="J4935" s="14" t="str">
        <f ca="1" t="shared" si="232"/>
        <v/>
      </c>
      <c r="K4935" s="14" t="str">
        <f ca="1" t="shared" si="233"/>
        <v/>
      </c>
    </row>
    <row r="4936" spans="1:11">
      <c r="A4936" s="10" t="str">
        <f t="shared" si="231"/>
        <v/>
      </c>
      <c r="C4936" s="10" t="str">
        <f>IFERROR(INDEX(面试清单!D:D,MATCH(4935,面试清单!P:P,0)),"")</f>
        <v/>
      </c>
      <c r="H4936" s="10" t="str">
        <f>IFERROR(INDEX(面试清单!H:H,MATCH(4935,面试清单!P:P,0)),"")</f>
        <v/>
      </c>
      <c r="J4936" s="10" t="str">
        <f ca="1" t="shared" si="232"/>
        <v/>
      </c>
      <c r="K4936" s="10" t="str">
        <f ca="1" t="shared" si="233"/>
        <v/>
      </c>
    </row>
    <row r="4937" spans="1:11">
      <c r="A4937" s="14" t="str">
        <f t="shared" si="231"/>
        <v/>
      </c>
      <c r="C4937" s="14" t="str">
        <f>IFERROR(INDEX(面试清单!D:D,MATCH(4936,面试清单!P:P,0)),"")</f>
        <v/>
      </c>
      <c r="H4937" s="14" t="str">
        <f>IFERROR(INDEX(面试清单!H:H,MATCH(4936,面试清单!P:P,0)),"")</f>
        <v/>
      </c>
      <c r="J4937" s="14" t="str">
        <f ca="1" t="shared" si="232"/>
        <v/>
      </c>
      <c r="K4937" s="14" t="str">
        <f ca="1" t="shared" si="233"/>
        <v/>
      </c>
    </row>
    <row r="4938" spans="1:11">
      <c r="A4938" s="10" t="str">
        <f t="shared" si="231"/>
        <v/>
      </c>
      <c r="C4938" s="10" t="str">
        <f>IFERROR(INDEX(面试清单!D:D,MATCH(4937,面试清单!P:P,0)),"")</f>
        <v/>
      </c>
      <c r="H4938" s="10" t="str">
        <f>IFERROR(INDEX(面试清单!H:H,MATCH(4937,面试清单!P:P,0)),"")</f>
        <v/>
      </c>
      <c r="J4938" s="10" t="str">
        <f ca="1" t="shared" si="232"/>
        <v/>
      </c>
      <c r="K4938" s="10" t="str">
        <f ca="1" t="shared" si="233"/>
        <v/>
      </c>
    </row>
    <row r="4939" spans="1:11">
      <c r="A4939" s="14" t="str">
        <f t="shared" si="231"/>
        <v/>
      </c>
      <c r="C4939" s="14" t="str">
        <f>IFERROR(INDEX(面试清单!D:D,MATCH(4938,面试清单!P:P,0)),"")</f>
        <v/>
      </c>
      <c r="H4939" s="14" t="str">
        <f>IFERROR(INDEX(面试清单!H:H,MATCH(4938,面试清单!P:P,0)),"")</f>
        <v/>
      </c>
      <c r="J4939" s="14" t="str">
        <f ca="1" t="shared" si="232"/>
        <v/>
      </c>
      <c r="K4939" s="14" t="str">
        <f ca="1" t="shared" si="233"/>
        <v/>
      </c>
    </row>
    <row r="4940" spans="1:11">
      <c r="A4940" s="10" t="str">
        <f t="shared" si="231"/>
        <v/>
      </c>
      <c r="C4940" s="10" t="str">
        <f>IFERROR(INDEX(面试清单!D:D,MATCH(4939,面试清单!P:P,0)),"")</f>
        <v/>
      </c>
      <c r="H4940" s="10" t="str">
        <f>IFERROR(INDEX(面试清单!H:H,MATCH(4939,面试清单!P:P,0)),"")</f>
        <v/>
      </c>
      <c r="J4940" s="10" t="str">
        <f ca="1" t="shared" si="232"/>
        <v/>
      </c>
      <c r="K4940" s="10" t="str">
        <f ca="1" t="shared" si="233"/>
        <v/>
      </c>
    </row>
    <row r="4941" spans="1:11">
      <c r="A4941" s="14" t="str">
        <f t="shared" si="231"/>
        <v/>
      </c>
      <c r="C4941" s="14" t="str">
        <f>IFERROR(INDEX(面试清单!D:D,MATCH(4940,面试清单!P:P,0)),"")</f>
        <v/>
      </c>
      <c r="H4941" s="14" t="str">
        <f>IFERROR(INDEX(面试清单!H:H,MATCH(4940,面试清单!P:P,0)),"")</f>
        <v/>
      </c>
      <c r="J4941" s="14" t="str">
        <f ca="1" t="shared" si="232"/>
        <v/>
      </c>
      <c r="K4941" s="14" t="str">
        <f ca="1" t="shared" si="233"/>
        <v/>
      </c>
    </row>
    <row r="4942" spans="1:11">
      <c r="A4942" s="10" t="str">
        <f t="shared" si="231"/>
        <v/>
      </c>
      <c r="C4942" s="10" t="str">
        <f>IFERROR(INDEX(面试清单!D:D,MATCH(4941,面试清单!P:P,0)),"")</f>
        <v/>
      </c>
      <c r="H4942" s="10" t="str">
        <f>IFERROR(INDEX(面试清单!H:H,MATCH(4941,面试清单!P:P,0)),"")</f>
        <v/>
      </c>
      <c r="J4942" s="10" t="str">
        <f ca="1" t="shared" si="232"/>
        <v/>
      </c>
      <c r="K4942" s="10" t="str">
        <f ca="1" t="shared" si="233"/>
        <v/>
      </c>
    </row>
    <row r="4943" spans="1:11">
      <c r="A4943" s="14" t="str">
        <f t="shared" si="231"/>
        <v/>
      </c>
      <c r="C4943" s="14" t="str">
        <f>IFERROR(INDEX(面试清单!D:D,MATCH(4942,面试清单!P:P,0)),"")</f>
        <v/>
      </c>
      <c r="H4943" s="14" t="str">
        <f>IFERROR(INDEX(面试清单!H:H,MATCH(4942,面试清单!P:P,0)),"")</f>
        <v/>
      </c>
      <c r="J4943" s="14" t="str">
        <f ca="1" t="shared" si="232"/>
        <v/>
      </c>
      <c r="K4943" s="14" t="str">
        <f ca="1" t="shared" si="233"/>
        <v/>
      </c>
    </row>
    <row r="4944" spans="1:11">
      <c r="A4944" s="10" t="str">
        <f t="shared" si="231"/>
        <v/>
      </c>
      <c r="C4944" s="10" t="str">
        <f>IFERROR(INDEX(面试清单!D:D,MATCH(4943,面试清单!P:P,0)),"")</f>
        <v/>
      </c>
      <c r="H4944" s="10" t="str">
        <f>IFERROR(INDEX(面试清单!H:H,MATCH(4943,面试清单!P:P,0)),"")</f>
        <v/>
      </c>
      <c r="J4944" s="10" t="str">
        <f ca="1" t="shared" si="232"/>
        <v/>
      </c>
      <c r="K4944" s="10" t="str">
        <f ca="1" t="shared" si="233"/>
        <v/>
      </c>
    </row>
    <row r="4945" spans="1:11">
      <c r="A4945" s="14" t="str">
        <f t="shared" si="231"/>
        <v/>
      </c>
      <c r="C4945" s="14" t="str">
        <f>IFERROR(INDEX(面试清单!D:D,MATCH(4944,面试清单!P:P,0)),"")</f>
        <v/>
      </c>
      <c r="H4945" s="14" t="str">
        <f>IFERROR(INDEX(面试清单!H:H,MATCH(4944,面试清单!P:P,0)),"")</f>
        <v/>
      </c>
      <c r="J4945" s="14" t="str">
        <f ca="1" t="shared" si="232"/>
        <v/>
      </c>
      <c r="K4945" s="14" t="str">
        <f ca="1" t="shared" si="233"/>
        <v/>
      </c>
    </row>
    <row r="4946" spans="1:11">
      <c r="A4946" s="10" t="str">
        <f t="shared" si="231"/>
        <v/>
      </c>
      <c r="C4946" s="10" t="str">
        <f>IFERROR(INDEX(面试清单!D:D,MATCH(4945,面试清单!P:P,0)),"")</f>
        <v/>
      </c>
      <c r="H4946" s="10" t="str">
        <f>IFERROR(INDEX(面试清单!H:H,MATCH(4945,面试清单!P:P,0)),"")</f>
        <v/>
      </c>
      <c r="J4946" s="10" t="str">
        <f ca="1" t="shared" si="232"/>
        <v/>
      </c>
      <c r="K4946" s="10" t="str">
        <f ca="1" t="shared" si="233"/>
        <v/>
      </c>
    </row>
    <row r="4947" spans="1:11">
      <c r="A4947" s="14" t="str">
        <f t="shared" si="231"/>
        <v/>
      </c>
      <c r="C4947" s="14" t="str">
        <f>IFERROR(INDEX(面试清单!D:D,MATCH(4946,面试清单!P:P,0)),"")</f>
        <v/>
      </c>
      <c r="H4947" s="14" t="str">
        <f>IFERROR(INDEX(面试清单!H:H,MATCH(4946,面试清单!P:P,0)),"")</f>
        <v/>
      </c>
      <c r="J4947" s="14" t="str">
        <f ca="1" t="shared" si="232"/>
        <v/>
      </c>
      <c r="K4947" s="14" t="str">
        <f ca="1" t="shared" si="233"/>
        <v/>
      </c>
    </row>
    <row r="4948" spans="1:11">
      <c r="A4948" s="10" t="str">
        <f t="shared" si="231"/>
        <v/>
      </c>
      <c r="C4948" s="10" t="str">
        <f>IFERROR(INDEX(面试清单!D:D,MATCH(4947,面试清单!P:P,0)),"")</f>
        <v/>
      </c>
      <c r="H4948" s="10" t="str">
        <f>IFERROR(INDEX(面试清单!H:H,MATCH(4947,面试清单!P:P,0)),"")</f>
        <v/>
      </c>
      <c r="J4948" s="10" t="str">
        <f ca="1" t="shared" si="232"/>
        <v/>
      </c>
      <c r="K4948" s="10" t="str">
        <f ca="1" t="shared" si="233"/>
        <v/>
      </c>
    </row>
    <row r="4949" spans="1:11">
      <c r="A4949" s="14" t="str">
        <f t="shared" si="231"/>
        <v/>
      </c>
      <c r="C4949" s="14" t="str">
        <f>IFERROR(INDEX(面试清单!D:D,MATCH(4948,面试清单!P:P,0)),"")</f>
        <v/>
      </c>
      <c r="H4949" s="14" t="str">
        <f>IFERROR(INDEX(面试清单!H:H,MATCH(4948,面试清单!P:P,0)),"")</f>
        <v/>
      </c>
      <c r="J4949" s="14" t="str">
        <f ca="1" t="shared" si="232"/>
        <v/>
      </c>
      <c r="K4949" s="14" t="str">
        <f ca="1" t="shared" si="233"/>
        <v/>
      </c>
    </row>
    <row r="4950" spans="1:11">
      <c r="A4950" s="10" t="str">
        <f t="shared" si="231"/>
        <v/>
      </c>
      <c r="C4950" s="10" t="str">
        <f>IFERROR(INDEX(面试清单!D:D,MATCH(4949,面试清单!P:P,0)),"")</f>
        <v/>
      </c>
      <c r="H4950" s="10" t="str">
        <f>IFERROR(INDEX(面试清单!H:H,MATCH(4949,面试清单!P:P,0)),"")</f>
        <v/>
      </c>
      <c r="J4950" s="10" t="str">
        <f ca="1" t="shared" si="232"/>
        <v/>
      </c>
      <c r="K4950" s="10" t="str">
        <f ca="1" t="shared" si="233"/>
        <v/>
      </c>
    </row>
    <row r="4951" spans="1:11">
      <c r="A4951" s="14" t="str">
        <f t="shared" si="231"/>
        <v/>
      </c>
      <c r="C4951" s="14" t="str">
        <f>IFERROR(INDEX(面试清单!D:D,MATCH(4950,面试清单!P:P,0)),"")</f>
        <v/>
      </c>
      <c r="H4951" s="14" t="str">
        <f>IFERROR(INDEX(面试清单!H:H,MATCH(4950,面试清单!P:P,0)),"")</f>
        <v/>
      </c>
      <c r="J4951" s="14" t="str">
        <f ca="1" t="shared" si="232"/>
        <v/>
      </c>
      <c r="K4951" s="14" t="str">
        <f ca="1" t="shared" si="233"/>
        <v/>
      </c>
    </row>
    <row r="4952" spans="1:11">
      <c r="A4952" s="10" t="str">
        <f t="shared" si="231"/>
        <v/>
      </c>
      <c r="C4952" s="10" t="str">
        <f>IFERROR(INDEX(面试清单!D:D,MATCH(4951,面试清单!P:P,0)),"")</f>
        <v/>
      </c>
      <c r="H4952" s="10" t="str">
        <f>IFERROR(INDEX(面试清单!H:H,MATCH(4951,面试清单!P:P,0)),"")</f>
        <v/>
      </c>
      <c r="J4952" s="10" t="str">
        <f ca="1" t="shared" si="232"/>
        <v/>
      </c>
      <c r="K4952" s="10" t="str">
        <f ca="1" t="shared" si="233"/>
        <v/>
      </c>
    </row>
    <row r="4953" spans="1:11">
      <c r="A4953" s="14" t="str">
        <f t="shared" si="231"/>
        <v/>
      </c>
      <c r="C4953" s="14" t="str">
        <f>IFERROR(INDEX(面试清单!D:D,MATCH(4952,面试清单!P:P,0)),"")</f>
        <v/>
      </c>
      <c r="H4953" s="14" t="str">
        <f>IFERROR(INDEX(面试清单!H:H,MATCH(4952,面试清单!P:P,0)),"")</f>
        <v/>
      </c>
      <c r="J4953" s="14" t="str">
        <f ca="1" t="shared" si="232"/>
        <v/>
      </c>
      <c r="K4953" s="14" t="str">
        <f ca="1" t="shared" si="233"/>
        <v/>
      </c>
    </row>
    <row r="4954" spans="1:11">
      <c r="A4954" s="10" t="str">
        <f t="shared" si="231"/>
        <v/>
      </c>
      <c r="C4954" s="10" t="str">
        <f>IFERROR(INDEX(面试清单!D:D,MATCH(4953,面试清单!P:P,0)),"")</f>
        <v/>
      </c>
      <c r="H4954" s="10" t="str">
        <f>IFERROR(INDEX(面试清单!H:H,MATCH(4953,面试清单!P:P,0)),"")</f>
        <v/>
      </c>
      <c r="J4954" s="10" t="str">
        <f ca="1" t="shared" si="232"/>
        <v/>
      </c>
      <c r="K4954" s="10" t="str">
        <f ca="1" t="shared" si="233"/>
        <v/>
      </c>
    </row>
    <row r="4955" spans="1:11">
      <c r="A4955" s="14" t="str">
        <f t="shared" si="231"/>
        <v/>
      </c>
      <c r="C4955" s="14" t="str">
        <f>IFERROR(INDEX(面试清单!D:D,MATCH(4954,面试清单!P:P,0)),"")</f>
        <v/>
      </c>
      <c r="H4955" s="14" t="str">
        <f>IFERROR(INDEX(面试清单!H:H,MATCH(4954,面试清单!P:P,0)),"")</f>
        <v/>
      </c>
      <c r="J4955" s="14" t="str">
        <f ca="1" t="shared" si="232"/>
        <v/>
      </c>
      <c r="K4955" s="14" t="str">
        <f ca="1" t="shared" si="233"/>
        <v/>
      </c>
    </row>
    <row r="4956" spans="1:11">
      <c r="A4956" s="10" t="str">
        <f t="shared" si="231"/>
        <v/>
      </c>
      <c r="C4956" s="10" t="str">
        <f>IFERROR(INDEX(面试清单!D:D,MATCH(4955,面试清单!P:P,0)),"")</f>
        <v/>
      </c>
      <c r="H4956" s="10" t="str">
        <f>IFERROR(INDEX(面试清单!H:H,MATCH(4955,面试清单!P:P,0)),"")</f>
        <v/>
      </c>
      <c r="J4956" s="10" t="str">
        <f ca="1" t="shared" si="232"/>
        <v/>
      </c>
      <c r="K4956" s="10" t="str">
        <f ca="1" t="shared" si="233"/>
        <v/>
      </c>
    </row>
    <row r="4957" spans="1:11">
      <c r="A4957" s="14" t="str">
        <f t="shared" si="231"/>
        <v/>
      </c>
      <c r="C4957" s="14" t="str">
        <f>IFERROR(INDEX(面试清单!D:D,MATCH(4956,面试清单!P:P,0)),"")</f>
        <v/>
      </c>
      <c r="H4957" s="14" t="str">
        <f>IFERROR(INDEX(面试清单!H:H,MATCH(4956,面试清单!P:P,0)),"")</f>
        <v/>
      </c>
      <c r="J4957" s="14" t="str">
        <f ca="1" t="shared" si="232"/>
        <v/>
      </c>
      <c r="K4957" s="14" t="str">
        <f ca="1" t="shared" si="233"/>
        <v/>
      </c>
    </row>
    <row r="4958" spans="1:11">
      <c r="A4958" s="10" t="str">
        <f t="shared" si="231"/>
        <v/>
      </c>
      <c r="C4958" s="10" t="str">
        <f>IFERROR(INDEX(面试清单!D:D,MATCH(4957,面试清单!P:P,0)),"")</f>
        <v/>
      </c>
      <c r="H4958" s="10" t="str">
        <f>IFERROR(INDEX(面试清单!H:H,MATCH(4957,面试清单!P:P,0)),"")</f>
        <v/>
      </c>
      <c r="J4958" s="10" t="str">
        <f ca="1" t="shared" si="232"/>
        <v/>
      </c>
      <c r="K4958" s="10" t="str">
        <f ca="1" t="shared" si="233"/>
        <v/>
      </c>
    </row>
    <row r="4959" spans="1:11">
      <c r="A4959" s="14" t="str">
        <f t="shared" si="231"/>
        <v/>
      </c>
      <c r="C4959" s="14" t="str">
        <f>IFERROR(INDEX(面试清单!D:D,MATCH(4958,面试清单!P:P,0)),"")</f>
        <v/>
      </c>
      <c r="H4959" s="14" t="str">
        <f>IFERROR(INDEX(面试清单!H:H,MATCH(4958,面试清单!P:P,0)),"")</f>
        <v/>
      </c>
      <c r="J4959" s="14" t="str">
        <f ca="1" t="shared" si="232"/>
        <v/>
      </c>
      <c r="K4959" s="14" t="str">
        <f ca="1" t="shared" si="233"/>
        <v/>
      </c>
    </row>
    <row r="4960" spans="1:11">
      <c r="A4960" s="10" t="str">
        <f t="shared" si="231"/>
        <v/>
      </c>
      <c r="C4960" s="10" t="str">
        <f>IFERROR(INDEX(面试清单!D:D,MATCH(4959,面试清单!P:P,0)),"")</f>
        <v/>
      </c>
      <c r="H4960" s="10" t="str">
        <f>IFERROR(INDEX(面试清单!H:H,MATCH(4959,面试清单!P:P,0)),"")</f>
        <v/>
      </c>
      <c r="J4960" s="10" t="str">
        <f ca="1" t="shared" si="232"/>
        <v/>
      </c>
      <c r="K4960" s="10" t="str">
        <f ca="1" t="shared" si="233"/>
        <v/>
      </c>
    </row>
    <row r="4961" spans="1:11">
      <c r="A4961" s="14" t="str">
        <f t="shared" si="231"/>
        <v/>
      </c>
      <c r="C4961" s="14" t="str">
        <f>IFERROR(INDEX(面试清单!D:D,MATCH(4960,面试清单!P:P,0)),"")</f>
        <v/>
      </c>
      <c r="H4961" s="14" t="str">
        <f>IFERROR(INDEX(面试清单!H:H,MATCH(4960,面试清单!P:P,0)),"")</f>
        <v/>
      </c>
      <c r="J4961" s="14" t="str">
        <f ca="1" t="shared" si="232"/>
        <v/>
      </c>
      <c r="K4961" s="14" t="str">
        <f ca="1" t="shared" si="233"/>
        <v/>
      </c>
    </row>
    <row r="4962" spans="1:11">
      <c r="A4962" s="10" t="str">
        <f t="shared" si="231"/>
        <v/>
      </c>
      <c r="C4962" s="10" t="str">
        <f>IFERROR(INDEX(面试清单!D:D,MATCH(4961,面试清单!P:P,0)),"")</f>
        <v/>
      </c>
      <c r="H4962" s="10" t="str">
        <f>IFERROR(INDEX(面试清单!H:H,MATCH(4961,面试清单!P:P,0)),"")</f>
        <v/>
      </c>
      <c r="J4962" s="10" t="str">
        <f ca="1" t="shared" si="232"/>
        <v/>
      </c>
      <c r="K4962" s="10" t="str">
        <f ca="1" t="shared" si="233"/>
        <v/>
      </c>
    </row>
    <row r="4963" spans="1:11">
      <c r="A4963" s="14" t="str">
        <f t="shared" si="231"/>
        <v/>
      </c>
      <c r="C4963" s="14" t="str">
        <f>IFERROR(INDEX(面试清单!D:D,MATCH(4962,面试清单!P:P,0)),"")</f>
        <v/>
      </c>
      <c r="H4963" s="14" t="str">
        <f>IFERROR(INDEX(面试清单!H:H,MATCH(4962,面试清单!P:P,0)),"")</f>
        <v/>
      </c>
      <c r="J4963" s="14" t="str">
        <f ca="1" t="shared" si="232"/>
        <v/>
      </c>
      <c r="K4963" s="14" t="str">
        <f ca="1" t="shared" si="233"/>
        <v/>
      </c>
    </row>
    <row r="4964" spans="1:11">
      <c r="A4964" s="10" t="str">
        <f t="shared" si="231"/>
        <v/>
      </c>
      <c r="C4964" s="10" t="str">
        <f>IFERROR(INDEX(面试清单!D:D,MATCH(4963,面试清单!P:P,0)),"")</f>
        <v/>
      </c>
      <c r="H4964" s="10" t="str">
        <f>IFERROR(INDEX(面试清单!H:H,MATCH(4963,面试清单!P:P,0)),"")</f>
        <v/>
      </c>
      <c r="J4964" s="10" t="str">
        <f ca="1" t="shared" si="232"/>
        <v/>
      </c>
      <c r="K4964" s="10" t="str">
        <f ca="1" t="shared" si="233"/>
        <v/>
      </c>
    </row>
    <row r="4965" spans="1:11">
      <c r="A4965" s="14" t="str">
        <f t="shared" si="231"/>
        <v/>
      </c>
      <c r="C4965" s="14" t="str">
        <f>IFERROR(INDEX(面试清单!D:D,MATCH(4964,面试清单!P:P,0)),"")</f>
        <v/>
      </c>
      <c r="H4965" s="14" t="str">
        <f>IFERROR(INDEX(面试清单!H:H,MATCH(4964,面试清单!P:P,0)),"")</f>
        <v/>
      </c>
      <c r="J4965" s="14" t="str">
        <f ca="1" t="shared" si="232"/>
        <v/>
      </c>
      <c r="K4965" s="14" t="str">
        <f ca="1" t="shared" si="233"/>
        <v/>
      </c>
    </row>
    <row r="4966" spans="1:11">
      <c r="A4966" s="10" t="str">
        <f t="shared" si="231"/>
        <v/>
      </c>
      <c r="C4966" s="10" t="str">
        <f>IFERROR(INDEX(面试清单!D:D,MATCH(4965,面试清单!P:P,0)),"")</f>
        <v/>
      </c>
      <c r="H4966" s="10" t="str">
        <f>IFERROR(INDEX(面试清单!H:H,MATCH(4965,面试清单!P:P,0)),"")</f>
        <v/>
      </c>
      <c r="J4966" s="10" t="str">
        <f ca="1" t="shared" si="232"/>
        <v/>
      </c>
      <c r="K4966" s="10" t="str">
        <f ca="1" t="shared" si="233"/>
        <v/>
      </c>
    </row>
    <row r="4967" spans="1:11">
      <c r="A4967" s="14" t="str">
        <f t="shared" si="231"/>
        <v/>
      </c>
      <c r="C4967" s="14" t="str">
        <f>IFERROR(INDEX(面试清单!D:D,MATCH(4966,面试清单!P:P,0)),"")</f>
        <v/>
      </c>
      <c r="H4967" s="14" t="str">
        <f>IFERROR(INDEX(面试清单!H:H,MATCH(4966,面试清单!P:P,0)),"")</f>
        <v/>
      </c>
      <c r="J4967" s="14" t="str">
        <f ca="1" t="shared" si="232"/>
        <v/>
      </c>
      <c r="K4967" s="14" t="str">
        <f ca="1" t="shared" si="233"/>
        <v/>
      </c>
    </row>
    <row r="4968" spans="1:11">
      <c r="A4968" s="10" t="str">
        <f t="shared" si="231"/>
        <v/>
      </c>
      <c r="C4968" s="10" t="str">
        <f>IFERROR(INDEX(面试清单!D:D,MATCH(4967,面试清单!P:P,0)),"")</f>
        <v/>
      </c>
      <c r="H4968" s="10" t="str">
        <f>IFERROR(INDEX(面试清单!H:H,MATCH(4967,面试清单!P:P,0)),"")</f>
        <v/>
      </c>
      <c r="J4968" s="10" t="str">
        <f ca="1" t="shared" si="232"/>
        <v/>
      </c>
      <c r="K4968" s="10" t="str">
        <f ca="1" t="shared" si="233"/>
        <v/>
      </c>
    </row>
    <row r="4969" spans="1:11">
      <c r="A4969" s="14" t="str">
        <f t="shared" si="231"/>
        <v/>
      </c>
      <c r="C4969" s="14" t="str">
        <f>IFERROR(INDEX(面试清单!D:D,MATCH(4968,面试清单!P:P,0)),"")</f>
        <v/>
      </c>
      <c r="H4969" s="14" t="str">
        <f>IFERROR(INDEX(面试清单!H:H,MATCH(4968,面试清单!P:P,0)),"")</f>
        <v/>
      </c>
      <c r="J4969" s="14" t="str">
        <f ca="1" t="shared" si="232"/>
        <v/>
      </c>
      <c r="K4969" s="14" t="str">
        <f ca="1" t="shared" si="233"/>
        <v/>
      </c>
    </row>
    <row r="4970" spans="1:11">
      <c r="A4970" s="10" t="str">
        <f t="shared" si="231"/>
        <v/>
      </c>
      <c r="C4970" s="10" t="str">
        <f>IFERROR(INDEX(面试清单!D:D,MATCH(4969,面试清单!P:P,0)),"")</f>
        <v/>
      </c>
      <c r="H4970" s="10" t="str">
        <f>IFERROR(INDEX(面试清单!H:H,MATCH(4969,面试清单!P:P,0)),"")</f>
        <v/>
      </c>
      <c r="J4970" s="10" t="str">
        <f ca="1" t="shared" si="232"/>
        <v/>
      </c>
      <c r="K4970" s="10" t="str">
        <f ca="1" t="shared" si="233"/>
        <v/>
      </c>
    </row>
    <row r="4971" spans="1:11">
      <c r="A4971" s="14" t="str">
        <f t="shared" si="231"/>
        <v/>
      </c>
      <c r="C4971" s="14" t="str">
        <f>IFERROR(INDEX(面试清单!D:D,MATCH(4970,面试清单!P:P,0)),"")</f>
        <v/>
      </c>
      <c r="H4971" s="14" t="str">
        <f>IFERROR(INDEX(面试清单!H:H,MATCH(4970,面试清单!P:P,0)),"")</f>
        <v/>
      </c>
      <c r="J4971" s="14" t="str">
        <f ca="1" t="shared" si="232"/>
        <v/>
      </c>
      <c r="K4971" s="14" t="str">
        <f ca="1" t="shared" si="233"/>
        <v/>
      </c>
    </row>
    <row r="4972" spans="1:11">
      <c r="A4972" s="10" t="str">
        <f t="shared" si="231"/>
        <v/>
      </c>
      <c r="C4972" s="10" t="str">
        <f>IFERROR(INDEX(面试清单!D:D,MATCH(4971,面试清单!P:P,0)),"")</f>
        <v/>
      </c>
      <c r="H4972" s="10" t="str">
        <f>IFERROR(INDEX(面试清单!H:H,MATCH(4971,面试清单!P:P,0)),"")</f>
        <v/>
      </c>
      <c r="J4972" s="10" t="str">
        <f ca="1" t="shared" si="232"/>
        <v/>
      </c>
      <c r="K4972" s="10" t="str">
        <f ca="1" t="shared" si="233"/>
        <v/>
      </c>
    </row>
    <row r="4973" spans="1:11">
      <c r="A4973" s="14" t="str">
        <f t="shared" si="231"/>
        <v/>
      </c>
      <c r="C4973" s="14" t="str">
        <f>IFERROR(INDEX(面试清单!D:D,MATCH(4972,面试清单!P:P,0)),"")</f>
        <v/>
      </c>
      <c r="H4973" s="14" t="str">
        <f>IFERROR(INDEX(面试清单!H:H,MATCH(4972,面试清单!P:P,0)),"")</f>
        <v/>
      </c>
      <c r="J4973" s="14" t="str">
        <f ca="1" t="shared" si="232"/>
        <v/>
      </c>
      <c r="K4973" s="14" t="str">
        <f ca="1" t="shared" si="233"/>
        <v/>
      </c>
    </row>
    <row r="4974" spans="1:11">
      <c r="A4974" s="10" t="str">
        <f t="shared" si="231"/>
        <v/>
      </c>
      <c r="C4974" s="10" t="str">
        <f>IFERROR(INDEX(面试清单!D:D,MATCH(4973,面试清单!P:P,0)),"")</f>
        <v/>
      </c>
      <c r="H4974" s="10" t="str">
        <f>IFERROR(INDEX(面试清单!H:H,MATCH(4973,面试清单!P:P,0)),"")</f>
        <v/>
      </c>
      <c r="J4974" s="10" t="str">
        <f ca="1" t="shared" si="232"/>
        <v/>
      </c>
      <c r="K4974" s="10" t="str">
        <f ca="1" t="shared" si="233"/>
        <v/>
      </c>
    </row>
    <row r="4975" spans="1:11">
      <c r="A4975" s="14" t="str">
        <f t="shared" si="231"/>
        <v/>
      </c>
      <c r="C4975" s="14" t="str">
        <f>IFERROR(INDEX(面试清单!D:D,MATCH(4974,面试清单!P:P,0)),"")</f>
        <v/>
      </c>
      <c r="H4975" s="14" t="str">
        <f>IFERROR(INDEX(面试清单!H:H,MATCH(4974,面试清单!P:P,0)),"")</f>
        <v/>
      </c>
      <c r="J4975" s="14" t="str">
        <f ca="1" t="shared" si="232"/>
        <v/>
      </c>
      <c r="K4975" s="14" t="str">
        <f ca="1" t="shared" si="233"/>
        <v/>
      </c>
    </row>
    <row r="4976" spans="1:11">
      <c r="A4976" s="10" t="str">
        <f t="shared" si="231"/>
        <v/>
      </c>
      <c r="C4976" s="10" t="str">
        <f>IFERROR(INDEX(面试清单!D:D,MATCH(4975,面试清单!P:P,0)),"")</f>
        <v/>
      </c>
      <c r="H4976" s="10" t="str">
        <f>IFERROR(INDEX(面试清单!H:H,MATCH(4975,面试清单!P:P,0)),"")</f>
        <v/>
      </c>
      <c r="J4976" s="10" t="str">
        <f ca="1" t="shared" si="232"/>
        <v/>
      </c>
      <c r="K4976" s="10" t="str">
        <f ca="1" t="shared" si="233"/>
        <v/>
      </c>
    </row>
    <row r="4977" spans="1:11">
      <c r="A4977" s="14" t="str">
        <f t="shared" si="231"/>
        <v/>
      </c>
      <c r="C4977" s="14" t="str">
        <f>IFERROR(INDEX(面试清单!D:D,MATCH(4976,面试清单!P:P,0)),"")</f>
        <v/>
      </c>
      <c r="H4977" s="14" t="str">
        <f>IFERROR(INDEX(面试清单!H:H,MATCH(4976,面试清单!P:P,0)),"")</f>
        <v/>
      </c>
      <c r="J4977" s="14" t="str">
        <f ca="1" t="shared" si="232"/>
        <v/>
      </c>
      <c r="K4977" s="14" t="str">
        <f ca="1" t="shared" si="233"/>
        <v/>
      </c>
    </row>
    <row r="4978" spans="1:11">
      <c r="A4978" s="10" t="str">
        <f t="shared" si="231"/>
        <v/>
      </c>
      <c r="C4978" s="10" t="str">
        <f>IFERROR(INDEX(面试清单!D:D,MATCH(4977,面试清单!P:P,0)),"")</f>
        <v/>
      </c>
      <c r="H4978" s="10" t="str">
        <f>IFERROR(INDEX(面试清单!H:H,MATCH(4977,面试清单!P:P,0)),"")</f>
        <v/>
      </c>
      <c r="J4978" s="10" t="str">
        <f ca="1" t="shared" si="232"/>
        <v/>
      </c>
      <c r="K4978" s="10" t="str">
        <f ca="1" t="shared" si="233"/>
        <v/>
      </c>
    </row>
    <row r="4979" spans="1:11">
      <c r="A4979" s="14" t="str">
        <f t="shared" si="231"/>
        <v/>
      </c>
      <c r="C4979" s="14" t="str">
        <f>IFERROR(INDEX(面试清单!D:D,MATCH(4978,面试清单!P:P,0)),"")</f>
        <v/>
      </c>
      <c r="H4979" s="14" t="str">
        <f>IFERROR(INDEX(面试清单!H:H,MATCH(4978,面试清单!P:P,0)),"")</f>
        <v/>
      </c>
      <c r="J4979" s="14" t="str">
        <f ca="1" t="shared" si="232"/>
        <v/>
      </c>
      <c r="K4979" s="14" t="str">
        <f ca="1" t="shared" si="233"/>
        <v/>
      </c>
    </row>
    <row r="4980" spans="1:11">
      <c r="A4980" s="10" t="str">
        <f t="shared" si="231"/>
        <v/>
      </c>
      <c r="C4980" s="10" t="str">
        <f>IFERROR(INDEX(面试清单!D:D,MATCH(4979,面试清单!P:P,0)),"")</f>
        <v/>
      </c>
      <c r="H4980" s="10" t="str">
        <f>IFERROR(INDEX(面试清单!H:H,MATCH(4979,面试清单!P:P,0)),"")</f>
        <v/>
      </c>
      <c r="J4980" s="10" t="str">
        <f ca="1" t="shared" si="232"/>
        <v/>
      </c>
      <c r="K4980" s="10" t="str">
        <f ca="1" t="shared" si="233"/>
        <v/>
      </c>
    </row>
    <row r="4981" spans="1:11">
      <c r="A4981" s="14" t="str">
        <f t="shared" si="231"/>
        <v/>
      </c>
      <c r="C4981" s="14" t="str">
        <f>IFERROR(INDEX(面试清单!D:D,MATCH(4980,面试清单!P:P,0)),"")</f>
        <v/>
      </c>
      <c r="H4981" s="14" t="str">
        <f>IFERROR(INDEX(面试清单!H:H,MATCH(4980,面试清单!P:P,0)),"")</f>
        <v/>
      </c>
      <c r="J4981" s="14" t="str">
        <f ca="1" t="shared" si="232"/>
        <v/>
      </c>
      <c r="K4981" s="14" t="str">
        <f ca="1" t="shared" si="233"/>
        <v/>
      </c>
    </row>
    <row r="4982" spans="1:11">
      <c r="A4982" s="10" t="str">
        <f t="shared" si="231"/>
        <v/>
      </c>
      <c r="C4982" s="10" t="str">
        <f>IFERROR(INDEX(面试清单!D:D,MATCH(4981,面试清单!P:P,0)),"")</f>
        <v/>
      </c>
      <c r="H4982" s="10" t="str">
        <f>IFERROR(INDEX(面试清单!H:H,MATCH(4981,面试清单!P:P,0)),"")</f>
        <v/>
      </c>
      <c r="J4982" s="10" t="str">
        <f ca="1" t="shared" si="232"/>
        <v/>
      </c>
      <c r="K4982" s="10" t="str">
        <f ca="1" t="shared" si="233"/>
        <v/>
      </c>
    </row>
    <row r="4983" spans="1:11">
      <c r="A4983" s="14" t="str">
        <f t="shared" si="231"/>
        <v/>
      </c>
      <c r="C4983" s="14" t="str">
        <f>IFERROR(INDEX(面试清单!D:D,MATCH(4982,面试清单!P:P,0)),"")</f>
        <v/>
      </c>
      <c r="H4983" s="14" t="str">
        <f>IFERROR(INDEX(面试清单!H:H,MATCH(4982,面试清单!P:P,0)),"")</f>
        <v/>
      </c>
      <c r="J4983" s="14" t="str">
        <f ca="1" t="shared" si="232"/>
        <v/>
      </c>
      <c r="K4983" s="14" t="str">
        <f ca="1" t="shared" si="233"/>
        <v/>
      </c>
    </row>
    <row r="4984" spans="1:11">
      <c r="A4984" s="10" t="str">
        <f t="shared" si="231"/>
        <v/>
      </c>
      <c r="C4984" s="10" t="str">
        <f>IFERROR(INDEX(面试清单!D:D,MATCH(4983,面试清单!P:P,0)),"")</f>
        <v/>
      </c>
      <c r="H4984" s="10" t="str">
        <f>IFERROR(INDEX(面试清单!H:H,MATCH(4983,面试清单!P:P,0)),"")</f>
        <v/>
      </c>
      <c r="J4984" s="10" t="str">
        <f ca="1" t="shared" si="232"/>
        <v/>
      </c>
      <c r="K4984" s="10" t="str">
        <f ca="1" t="shared" si="233"/>
        <v/>
      </c>
    </row>
    <row r="4985" spans="1:11">
      <c r="A4985" s="14" t="str">
        <f t="shared" si="231"/>
        <v/>
      </c>
      <c r="C4985" s="14" t="str">
        <f>IFERROR(INDEX(面试清单!D:D,MATCH(4984,面试清单!P:P,0)),"")</f>
        <v/>
      </c>
      <c r="H4985" s="14" t="str">
        <f>IFERROR(INDEX(面试清单!H:H,MATCH(4984,面试清单!P:P,0)),"")</f>
        <v/>
      </c>
      <c r="J4985" s="14" t="str">
        <f ca="1" t="shared" si="232"/>
        <v/>
      </c>
      <c r="K4985" s="14" t="str">
        <f ca="1" t="shared" si="233"/>
        <v/>
      </c>
    </row>
    <row r="4986" spans="1:11">
      <c r="A4986" s="10" t="str">
        <f t="shared" si="231"/>
        <v/>
      </c>
      <c r="C4986" s="10" t="str">
        <f>IFERROR(INDEX(面试清单!D:D,MATCH(4985,面试清单!P:P,0)),"")</f>
        <v/>
      </c>
      <c r="H4986" s="10" t="str">
        <f>IFERROR(INDEX(面试清单!H:H,MATCH(4985,面试清单!P:P,0)),"")</f>
        <v/>
      </c>
      <c r="J4986" s="10" t="str">
        <f ca="1" t="shared" si="232"/>
        <v/>
      </c>
      <c r="K4986" s="10" t="str">
        <f ca="1" t="shared" si="233"/>
        <v/>
      </c>
    </row>
    <row r="4987" spans="1:11">
      <c r="A4987" s="14" t="str">
        <f t="shared" si="231"/>
        <v/>
      </c>
      <c r="C4987" s="14" t="str">
        <f>IFERROR(INDEX(面试清单!D:D,MATCH(4986,面试清单!P:P,0)),"")</f>
        <v/>
      </c>
      <c r="H4987" s="14" t="str">
        <f>IFERROR(INDEX(面试清单!H:H,MATCH(4986,面试清单!P:P,0)),"")</f>
        <v/>
      </c>
      <c r="J4987" s="14" t="str">
        <f ca="1" t="shared" si="232"/>
        <v/>
      </c>
      <c r="K4987" s="14" t="str">
        <f ca="1" t="shared" si="233"/>
        <v/>
      </c>
    </row>
    <row r="4988" spans="1:11">
      <c r="A4988" s="10" t="str">
        <f t="shared" si="231"/>
        <v/>
      </c>
      <c r="C4988" s="10" t="str">
        <f>IFERROR(INDEX(面试清单!D:D,MATCH(4987,面试清单!P:P,0)),"")</f>
        <v/>
      </c>
      <c r="H4988" s="10" t="str">
        <f>IFERROR(INDEX(面试清单!H:H,MATCH(4987,面试清单!P:P,0)),"")</f>
        <v/>
      </c>
      <c r="J4988" s="10" t="str">
        <f ca="1" t="shared" si="232"/>
        <v/>
      </c>
      <c r="K4988" s="10" t="str">
        <f ca="1" t="shared" si="233"/>
        <v/>
      </c>
    </row>
    <row r="4989" spans="1:11">
      <c r="A4989" s="14" t="str">
        <f t="shared" si="231"/>
        <v/>
      </c>
      <c r="C4989" s="14" t="str">
        <f>IFERROR(INDEX(面试清单!D:D,MATCH(4988,面试清单!P:P,0)),"")</f>
        <v/>
      </c>
      <c r="H4989" s="14" t="str">
        <f>IFERROR(INDEX(面试清单!H:H,MATCH(4988,面试清单!P:P,0)),"")</f>
        <v/>
      </c>
      <c r="J4989" s="14" t="str">
        <f ca="1" t="shared" si="232"/>
        <v/>
      </c>
      <c r="K4989" s="14" t="str">
        <f ca="1" t="shared" si="233"/>
        <v/>
      </c>
    </row>
    <row r="4990" spans="1:11">
      <c r="A4990" s="10" t="str">
        <f t="shared" si="231"/>
        <v/>
      </c>
      <c r="C4990" s="10" t="str">
        <f>IFERROR(INDEX(面试清单!D:D,MATCH(4989,面试清单!P:P,0)),"")</f>
        <v/>
      </c>
      <c r="H4990" s="10" t="str">
        <f>IFERROR(INDEX(面试清单!H:H,MATCH(4989,面试清单!P:P,0)),"")</f>
        <v/>
      </c>
      <c r="J4990" s="10" t="str">
        <f ca="1" t="shared" si="232"/>
        <v/>
      </c>
      <c r="K4990" s="10" t="str">
        <f ca="1" t="shared" si="233"/>
        <v/>
      </c>
    </row>
    <row r="4991" spans="1:11">
      <c r="A4991" s="14" t="str">
        <f t="shared" si="231"/>
        <v/>
      </c>
      <c r="C4991" s="14" t="str">
        <f>IFERROR(INDEX(面试清单!D:D,MATCH(4990,面试清单!P:P,0)),"")</f>
        <v/>
      </c>
      <c r="H4991" s="14" t="str">
        <f>IFERROR(INDEX(面试清单!H:H,MATCH(4990,面试清单!P:P,0)),"")</f>
        <v/>
      </c>
      <c r="J4991" s="14" t="str">
        <f ca="1" t="shared" si="232"/>
        <v/>
      </c>
      <c r="K4991" s="14" t="str">
        <f ca="1" t="shared" si="233"/>
        <v/>
      </c>
    </row>
    <row r="4992" spans="1:11">
      <c r="A4992" s="10" t="str">
        <f t="shared" si="231"/>
        <v/>
      </c>
      <c r="C4992" s="10" t="str">
        <f>IFERROR(INDEX(面试清单!D:D,MATCH(4991,面试清单!P:P,0)),"")</f>
        <v/>
      </c>
      <c r="H4992" s="10" t="str">
        <f>IFERROR(INDEX(面试清单!H:H,MATCH(4991,面试清单!P:P,0)),"")</f>
        <v/>
      </c>
      <c r="J4992" s="10" t="str">
        <f ca="1" t="shared" si="232"/>
        <v/>
      </c>
      <c r="K4992" s="10" t="str">
        <f ca="1" t="shared" si="233"/>
        <v/>
      </c>
    </row>
    <row r="4993" spans="1:11">
      <c r="A4993" s="14" t="str">
        <f t="shared" si="231"/>
        <v/>
      </c>
      <c r="C4993" s="14" t="str">
        <f>IFERROR(INDEX(面试清单!D:D,MATCH(4992,面试清单!P:P,0)),"")</f>
        <v/>
      </c>
      <c r="H4993" s="14" t="str">
        <f>IFERROR(INDEX(面试清单!H:H,MATCH(4992,面试清单!P:P,0)),"")</f>
        <v/>
      </c>
      <c r="J4993" s="14" t="str">
        <f ca="1" t="shared" si="232"/>
        <v/>
      </c>
      <c r="K4993" s="14" t="str">
        <f ca="1" t="shared" si="233"/>
        <v/>
      </c>
    </row>
    <row r="4994" spans="1:11">
      <c r="A4994" s="10" t="str">
        <f t="shared" ref="A4994:A5001" si="234">IF(B4994&lt;&gt;"",ROW()-1,"")</f>
        <v/>
      </c>
      <c r="C4994" s="10" t="str">
        <f>IFERROR(INDEX(面试清单!D:D,MATCH(4993,面试清单!P:P,0)),"")</f>
        <v/>
      </c>
      <c r="H4994" s="10" t="str">
        <f>IFERROR(INDEX(面试清单!H:H,MATCH(4993,面试清单!P:P,0)),"")</f>
        <v/>
      </c>
      <c r="J4994" s="10" t="str">
        <f ca="1" t="shared" ref="J4994:J5001" si="235">IF(G4994&lt;&gt;"",TODAY()-G4994,"")</f>
        <v/>
      </c>
      <c r="K4994" s="10" t="str">
        <f ca="1" t="shared" ref="K4994:K5001" si="236">IF(G4994&lt;&gt;"",MAX(0,MIN(TODAY(),EOMONTH(TODAY(),0))-MAX(G4994,EOMONTH(TODAY(),-1)+1)+1),"")</f>
        <v/>
      </c>
    </row>
    <row r="4995" spans="1:11">
      <c r="A4995" s="14" t="str">
        <f t="shared" si="234"/>
        <v/>
      </c>
      <c r="C4995" s="14" t="str">
        <f>IFERROR(INDEX(面试清单!D:D,MATCH(4994,面试清单!P:P,0)),"")</f>
        <v/>
      </c>
      <c r="H4995" s="14" t="str">
        <f>IFERROR(INDEX(面试清单!H:H,MATCH(4994,面试清单!P:P,0)),"")</f>
        <v/>
      </c>
      <c r="J4995" s="14" t="str">
        <f ca="1" t="shared" si="235"/>
        <v/>
      </c>
      <c r="K4995" s="14" t="str">
        <f ca="1" t="shared" si="236"/>
        <v/>
      </c>
    </row>
    <row r="4996" spans="1:11">
      <c r="A4996" s="10" t="str">
        <f t="shared" si="234"/>
        <v/>
      </c>
      <c r="C4996" s="10" t="str">
        <f>IFERROR(INDEX(面试清单!D:D,MATCH(4995,面试清单!P:P,0)),"")</f>
        <v/>
      </c>
      <c r="H4996" s="10" t="str">
        <f>IFERROR(INDEX(面试清单!H:H,MATCH(4995,面试清单!P:P,0)),"")</f>
        <v/>
      </c>
      <c r="J4996" s="10" t="str">
        <f ca="1" t="shared" si="235"/>
        <v/>
      </c>
      <c r="K4996" s="10" t="str">
        <f ca="1" t="shared" si="236"/>
        <v/>
      </c>
    </row>
    <row r="4997" spans="1:11">
      <c r="A4997" s="14" t="str">
        <f t="shared" si="234"/>
        <v/>
      </c>
      <c r="C4997" s="14" t="str">
        <f>IFERROR(INDEX(面试清单!D:D,MATCH(4996,面试清单!P:P,0)),"")</f>
        <v/>
      </c>
      <c r="H4997" s="14" t="str">
        <f>IFERROR(INDEX(面试清单!H:H,MATCH(4996,面试清单!P:P,0)),"")</f>
        <v/>
      </c>
      <c r="J4997" s="14" t="str">
        <f ca="1" t="shared" si="235"/>
        <v/>
      </c>
      <c r="K4997" s="14" t="str">
        <f ca="1" t="shared" si="236"/>
        <v/>
      </c>
    </row>
    <row r="4998" spans="1:11">
      <c r="A4998" s="10" t="str">
        <f t="shared" si="234"/>
        <v/>
      </c>
      <c r="C4998" s="10" t="str">
        <f>IFERROR(INDEX(面试清单!D:D,MATCH(4997,面试清单!P:P,0)),"")</f>
        <v/>
      </c>
      <c r="H4998" s="10" t="str">
        <f>IFERROR(INDEX(面试清单!H:H,MATCH(4997,面试清单!P:P,0)),"")</f>
        <v/>
      </c>
      <c r="J4998" s="10" t="str">
        <f ca="1" t="shared" si="235"/>
        <v/>
      </c>
      <c r="K4998" s="10" t="str">
        <f ca="1" t="shared" si="236"/>
        <v/>
      </c>
    </row>
    <row r="4999" spans="1:11">
      <c r="A4999" s="14" t="str">
        <f t="shared" si="234"/>
        <v/>
      </c>
      <c r="C4999" s="14" t="str">
        <f>IFERROR(INDEX(面试清单!D:D,MATCH(4998,面试清单!P:P,0)),"")</f>
        <v/>
      </c>
      <c r="H4999" s="14" t="str">
        <f>IFERROR(INDEX(面试清单!H:H,MATCH(4998,面试清单!P:P,0)),"")</f>
        <v/>
      </c>
      <c r="J4999" s="14" t="str">
        <f ca="1" t="shared" si="235"/>
        <v/>
      </c>
      <c r="K4999" s="14" t="str">
        <f ca="1" t="shared" si="236"/>
        <v/>
      </c>
    </row>
    <row r="5000" spans="1:11">
      <c r="A5000" s="10" t="str">
        <f t="shared" si="234"/>
        <v/>
      </c>
      <c r="C5000" s="10" t="str">
        <f>IFERROR(INDEX(面试清单!D:D,MATCH(4999,面试清单!P:P,0)),"")</f>
        <v/>
      </c>
      <c r="H5000" s="10" t="str">
        <f>IFERROR(INDEX(面试清单!H:H,MATCH(4999,面试清单!P:P,0)),"")</f>
        <v/>
      </c>
      <c r="J5000" s="10" t="str">
        <f ca="1" t="shared" si="235"/>
        <v/>
      </c>
      <c r="K5000" s="10" t="str">
        <f ca="1" t="shared" si="236"/>
        <v/>
      </c>
    </row>
    <row r="5001" spans="1:11">
      <c r="A5001" s="14" t="str">
        <f t="shared" si="234"/>
        <v/>
      </c>
      <c r="C5001" s="14" t="str">
        <f>IFERROR(INDEX(面试清单!D:D,MATCH(5000,面试清单!P:P,0)),"")</f>
        <v/>
      </c>
      <c r="H5001" s="14" t="str">
        <f>IFERROR(INDEX(面试清单!H:H,MATCH(5000,面试清单!P:P,0)),"")</f>
        <v/>
      </c>
      <c r="J5001" s="14" t="str">
        <f ca="1" t="shared" si="235"/>
        <v/>
      </c>
      <c r="K5001" s="14" t="str">
        <f ca="1" t="shared" si="236"/>
        <v/>
      </c>
    </row>
  </sheetData>
  <autoFilter xmlns:etc="http://www.wps.cn/officeDocument/2017/etCustomData" ref="A1:K5001" etc:filterBottomFollowUsedRange="0">
    <extLst/>
  </autoFilter>
  <conditionalFormatting sqref="B2">
    <cfRule type="duplicateValues" dxfId="1" priority="3831"/>
  </conditionalFormatting>
  <conditionalFormatting sqref="B3">
    <cfRule type="duplicateValues" dxfId="1" priority="3830"/>
  </conditionalFormatting>
  <conditionalFormatting sqref="B4">
    <cfRule type="duplicateValues" dxfId="1" priority="3829"/>
  </conditionalFormatting>
  <conditionalFormatting sqref="B5">
    <cfRule type="duplicateValues" dxfId="1" priority="3828"/>
  </conditionalFormatting>
  <conditionalFormatting sqref="B6">
    <cfRule type="duplicateValues" dxfId="1" priority="3827"/>
  </conditionalFormatting>
  <conditionalFormatting sqref="B7">
    <cfRule type="duplicateValues" dxfId="1" priority="3826"/>
  </conditionalFormatting>
  <conditionalFormatting sqref="B8">
    <cfRule type="duplicateValues" dxfId="1" priority="3825"/>
  </conditionalFormatting>
  <conditionalFormatting sqref="B9">
    <cfRule type="duplicateValues" dxfId="1" priority="3824"/>
  </conditionalFormatting>
  <conditionalFormatting sqref="B10">
    <cfRule type="duplicateValues" dxfId="1" priority="3823"/>
  </conditionalFormatting>
  <conditionalFormatting sqref="B11">
    <cfRule type="duplicateValues" dxfId="1" priority="3822"/>
  </conditionalFormatting>
  <conditionalFormatting sqref="B12">
    <cfRule type="duplicateValues" dxfId="1" priority="3821"/>
  </conditionalFormatting>
  <conditionalFormatting sqref="B13">
    <cfRule type="duplicateValues" dxfId="1" priority="3820"/>
  </conditionalFormatting>
  <conditionalFormatting sqref="B14">
    <cfRule type="duplicateValues" dxfId="1" priority="3819"/>
  </conditionalFormatting>
  <conditionalFormatting sqref="B15">
    <cfRule type="duplicateValues" dxfId="1" priority="3818"/>
  </conditionalFormatting>
  <conditionalFormatting sqref="B16">
    <cfRule type="duplicateValues" dxfId="1" priority="3817"/>
  </conditionalFormatting>
  <conditionalFormatting sqref="B17">
    <cfRule type="duplicateValues" dxfId="1" priority="3816"/>
  </conditionalFormatting>
  <conditionalFormatting sqref="B18">
    <cfRule type="duplicateValues" dxfId="1" priority="3815"/>
  </conditionalFormatting>
  <conditionalFormatting sqref="B19">
    <cfRule type="duplicateValues" dxfId="1" priority="3814"/>
  </conditionalFormatting>
  <conditionalFormatting sqref="B20">
    <cfRule type="duplicateValues" dxfId="1" priority="3813"/>
  </conditionalFormatting>
  <conditionalFormatting sqref="B21">
    <cfRule type="duplicateValues" dxfId="1" priority="3812"/>
  </conditionalFormatting>
  <conditionalFormatting sqref="B22">
    <cfRule type="duplicateValues" dxfId="1" priority="3811"/>
  </conditionalFormatting>
  <conditionalFormatting sqref="B23">
    <cfRule type="duplicateValues" dxfId="1" priority="3810"/>
  </conditionalFormatting>
  <conditionalFormatting sqref="B24">
    <cfRule type="duplicateValues" dxfId="1" priority="3809"/>
  </conditionalFormatting>
  <conditionalFormatting sqref="B25">
    <cfRule type="duplicateValues" dxfId="1" priority="3808"/>
  </conditionalFormatting>
  <conditionalFormatting sqref="B26">
    <cfRule type="duplicateValues" dxfId="1" priority="3807"/>
  </conditionalFormatting>
  <conditionalFormatting sqref="B27">
    <cfRule type="duplicateValues" dxfId="1" priority="3806"/>
  </conditionalFormatting>
  <conditionalFormatting sqref="B28">
    <cfRule type="duplicateValues" dxfId="1" priority="3805"/>
  </conditionalFormatting>
  <conditionalFormatting sqref="B29">
    <cfRule type="duplicateValues" dxfId="1" priority="3804"/>
  </conditionalFormatting>
  <conditionalFormatting sqref="B30">
    <cfRule type="duplicateValues" dxfId="1" priority="3803"/>
  </conditionalFormatting>
  <conditionalFormatting sqref="B31">
    <cfRule type="duplicateValues" dxfId="1" priority="3802"/>
  </conditionalFormatting>
  <conditionalFormatting sqref="B32">
    <cfRule type="duplicateValues" dxfId="1" priority="3801"/>
  </conditionalFormatting>
  <conditionalFormatting sqref="B33">
    <cfRule type="duplicateValues" dxfId="1" priority="3800"/>
  </conditionalFormatting>
  <conditionalFormatting sqref="B34">
    <cfRule type="duplicateValues" dxfId="1" priority="3799"/>
  </conditionalFormatting>
  <conditionalFormatting sqref="B35">
    <cfRule type="duplicateValues" dxfId="1" priority="3798"/>
  </conditionalFormatting>
  <conditionalFormatting sqref="B36">
    <cfRule type="duplicateValues" dxfId="1" priority="3797"/>
  </conditionalFormatting>
  <conditionalFormatting sqref="B37">
    <cfRule type="duplicateValues" dxfId="1" priority="3796"/>
  </conditionalFormatting>
  <conditionalFormatting sqref="B38">
    <cfRule type="duplicateValues" dxfId="1" priority="3795"/>
  </conditionalFormatting>
  <conditionalFormatting sqref="B39">
    <cfRule type="duplicateValues" dxfId="1" priority="3794"/>
  </conditionalFormatting>
  <conditionalFormatting sqref="B40">
    <cfRule type="duplicateValues" dxfId="1" priority="3793"/>
  </conditionalFormatting>
  <conditionalFormatting sqref="B41">
    <cfRule type="duplicateValues" dxfId="1" priority="3792"/>
  </conditionalFormatting>
  <conditionalFormatting sqref="B42">
    <cfRule type="duplicateValues" dxfId="1" priority="3791"/>
  </conditionalFormatting>
  <conditionalFormatting sqref="B43">
    <cfRule type="duplicateValues" dxfId="1" priority="3790"/>
  </conditionalFormatting>
  <conditionalFormatting sqref="B44">
    <cfRule type="duplicateValues" dxfId="1" priority="3789"/>
  </conditionalFormatting>
  <conditionalFormatting sqref="B45">
    <cfRule type="duplicateValues" dxfId="1" priority="3788"/>
  </conditionalFormatting>
  <conditionalFormatting sqref="B46">
    <cfRule type="duplicateValues" dxfId="1" priority="3787"/>
  </conditionalFormatting>
  <conditionalFormatting sqref="B47">
    <cfRule type="duplicateValues" dxfId="1" priority="3786"/>
  </conditionalFormatting>
  <conditionalFormatting sqref="B48">
    <cfRule type="duplicateValues" dxfId="1" priority="3785"/>
  </conditionalFormatting>
  <conditionalFormatting sqref="B49">
    <cfRule type="duplicateValues" dxfId="1" priority="3784"/>
  </conditionalFormatting>
  <conditionalFormatting sqref="B50">
    <cfRule type="duplicateValues" dxfId="1" priority="3783"/>
  </conditionalFormatting>
  <conditionalFormatting sqref="B51">
    <cfRule type="duplicateValues" dxfId="1" priority="3782"/>
  </conditionalFormatting>
  <conditionalFormatting sqref="B52">
    <cfRule type="duplicateValues" dxfId="1" priority="3781"/>
  </conditionalFormatting>
  <conditionalFormatting sqref="B53">
    <cfRule type="duplicateValues" dxfId="1" priority="3780"/>
  </conditionalFormatting>
  <conditionalFormatting sqref="B54">
    <cfRule type="duplicateValues" dxfId="1" priority="3779"/>
  </conditionalFormatting>
  <conditionalFormatting sqref="B55">
    <cfRule type="duplicateValues" dxfId="1" priority="3778"/>
  </conditionalFormatting>
  <conditionalFormatting sqref="B56">
    <cfRule type="duplicateValues" dxfId="1" priority="3777"/>
  </conditionalFormatting>
  <conditionalFormatting sqref="B57">
    <cfRule type="duplicateValues" dxfId="1" priority="3776"/>
  </conditionalFormatting>
  <conditionalFormatting sqref="B58">
    <cfRule type="duplicateValues" dxfId="1" priority="3775"/>
  </conditionalFormatting>
  <conditionalFormatting sqref="B59">
    <cfRule type="duplicateValues" dxfId="1" priority="3774"/>
  </conditionalFormatting>
  <conditionalFormatting sqref="B60">
    <cfRule type="duplicateValues" dxfId="1" priority="3773"/>
  </conditionalFormatting>
  <conditionalFormatting sqref="B61">
    <cfRule type="duplicateValues" dxfId="1" priority="3772"/>
  </conditionalFormatting>
  <conditionalFormatting sqref="B62">
    <cfRule type="duplicateValues" dxfId="1" priority="3771"/>
  </conditionalFormatting>
  <conditionalFormatting sqref="B63">
    <cfRule type="duplicateValues" dxfId="1" priority="3770"/>
  </conditionalFormatting>
  <conditionalFormatting sqref="B64">
    <cfRule type="duplicateValues" dxfId="1" priority="3769"/>
  </conditionalFormatting>
  <conditionalFormatting sqref="B65">
    <cfRule type="duplicateValues" dxfId="1" priority="3768"/>
  </conditionalFormatting>
  <conditionalFormatting sqref="B66">
    <cfRule type="duplicateValues" dxfId="1" priority="3767"/>
  </conditionalFormatting>
  <conditionalFormatting sqref="B67">
    <cfRule type="duplicateValues" dxfId="1" priority="3766"/>
  </conditionalFormatting>
  <conditionalFormatting sqref="B68">
    <cfRule type="duplicateValues" dxfId="1" priority="3765"/>
  </conditionalFormatting>
  <conditionalFormatting sqref="B69">
    <cfRule type="duplicateValues" dxfId="1" priority="3764"/>
  </conditionalFormatting>
  <conditionalFormatting sqref="B70">
    <cfRule type="duplicateValues" dxfId="1" priority="3763"/>
  </conditionalFormatting>
  <conditionalFormatting sqref="B71">
    <cfRule type="duplicateValues" dxfId="1" priority="3762"/>
  </conditionalFormatting>
  <conditionalFormatting sqref="B72">
    <cfRule type="duplicateValues" dxfId="1" priority="3761"/>
  </conditionalFormatting>
  <conditionalFormatting sqref="B73">
    <cfRule type="duplicateValues" dxfId="1" priority="3760"/>
  </conditionalFormatting>
  <conditionalFormatting sqref="B74">
    <cfRule type="duplicateValues" dxfId="1" priority="3759"/>
  </conditionalFormatting>
  <conditionalFormatting sqref="B75">
    <cfRule type="duplicateValues" dxfId="1" priority="3758"/>
  </conditionalFormatting>
  <conditionalFormatting sqref="B76">
    <cfRule type="duplicateValues" dxfId="1" priority="3757"/>
  </conditionalFormatting>
  <conditionalFormatting sqref="B77">
    <cfRule type="duplicateValues" dxfId="1" priority="3756"/>
  </conditionalFormatting>
  <conditionalFormatting sqref="B78">
    <cfRule type="duplicateValues" dxfId="1" priority="3755"/>
  </conditionalFormatting>
  <conditionalFormatting sqref="B79">
    <cfRule type="duplicateValues" dxfId="1" priority="3754"/>
  </conditionalFormatting>
  <conditionalFormatting sqref="B80">
    <cfRule type="duplicateValues" dxfId="1" priority="3753"/>
  </conditionalFormatting>
  <conditionalFormatting sqref="B81">
    <cfRule type="duplicateValues" dxfId="1" priority="3752"/>
  </conditionalFormatting>
  <conditionalFormatting sqref="B82">
    <cfRule type="duplicateValues" dxfId="1" priority="3751"/>
  </conditionalFormatting>
  <conditionalFormatting sqref="B83">
    <cfRule type="duplicateValues" dxfId="1" priority="3750"/>
  </conditionalFormatting>
  <conditionalFormatting sqref="B84">
    <cfRule type="duplicateValues" dxfId="1" priority="3749"/>
  </conditionalFormatting>
  <conditionalFormatting sqref="B85">
    <cfRule type="duplicateValues" dxfId="1" priority="3748"/>
  </conditionalFormatting>
  <conditionalFormatting sqref="B86">
    <cfRule type="duplicateValues" dxfId="1" priority="3747"/>
  </conditionalFormatting>
  <conditionalFormatting sqref="B87">
    <cfRule type="duplicateValues" dxfId="1" priority="3746"/>
  </conditionalFormatting>
  <conditionalFormatting sqref="B88">
    <cfRule type="duplicateValues" dxfId="1" priority="3745"/>
  </conditionalFormatting>
  <conditionalFormatting sqref="B89">
    <cfRule type="duplicateValues" dxfId="1" priority="3744"/>
  </conditionalFormatting>
  <conditionalFormatting sqref="B90">
    <cfRule type="duplicateValues" dxfId="1" priority="3743"/>
  </conditionalFormatting>
  <conditionalFormatting sqref="B91">
    <cfRule type="duplicateValues" dxfId="1" priority="3742"/>
  </conditionalFormatting>
  <conditionalFormatting sqref="B92">
    <cfRule type="duplicateValues" dxfId="1" priority="3741"/>
  </conditionalFormatting>
  <conditionalFormatting sqref="B93">
    <cfRule type="duplicateValues" dxfId="1" priority="3740"/>
  </conditionalFormatting>
  <conditionalFormatting sqref="B94">
    <cfRule type="duplicateValues" dxfId="1" priority="3739"/>
  </conditionalFormatting>
  <conditionalFormatting sqref="B95">
    <cfRule type="duplicateValues" dxfId="1" priority="3738"/>
  </conditionalFormatting>
  <conditionalFormatting sqref="B96">
    <cfRule type="duplicateValues" dxfId="1" priority="3737"/>
  </conditionalFormatting>
  <conditionalFormatting sqref="B97">
    <cfRule type="duplicateValues" dxfId="1" priority="3736"/>
  </conditionalFormatting>
  <conditionalFormatting sqref="B98">
    <cfRule type="duplicateValues" dxfId="1" priority="3735"/>
  </conditionalFormatting>
  <conditionalFormatting sqref="B99">
    <cfRule type="duplicateValues" dxfId="1" priority="3734"/>
  </conditionalFormatting>
  <conditionalFormatting sqref="B100">
    <cfRule type="duplicateValues" dxfId="1" priority="3733"/>
  </conditionalFormatting>
  <conditionalFormatting sqref="B101">
    <cfRule type="duplicateValues" dxfId="1" priority="3732"/>
  </conditionalFormatting>
  <conditionalFormatting sqref="B102">
    <cfRule type="duplicateValues" dxfId="1" priority="3731"/>
  </conditionalFormatting>
  <conditionalFormatting sqref="B103">
    <cfRule type="duplicateValues" dxfId="1" priority="3730"/>
  </conditionalFormatting>
  <conditionalFormatting sqref="B104">
    <cfRule type="duplicateValues" dxfId="1" priority="3729"/>
  </conditionalFormatting>
  <conditionalFormatting sqref="B105">
    <cfRule type="duplicateValues" dxfId="1" priority="3728"/>
  </conditionalFormatting>
  <conditionalFormatting sqref="B106">
    <cfRule type="duplicateValues" dxfId="1" priority="3727"/>
  </conditionalFormatting>
  <conditionalFormatting sqref="B107">
    <cfRule type="duplicateValues" dxfId="1" priority="3726"/>
  </conditionalFormatting>
  <conditionalFormatting sqref="B108">
    <cfRule type="duplicateValues" dxfId="1" priority="3725"/>
  </conditionalFormatting>
  <conditionalFormatting sqref="B109">
    <cfRule type="duplicateValues" dxfId="1" priority="3724"/>
  </conditionalFormatting>
  <conditionalFormatting sqref="B110">
    <cfRule type="duplicateValues" dxfId="1" priority="3723"/>
  </conditionalFormatting>
  <conditionalFormatting sqref="B111">
    <cfRule type="duplicateValues" dxfId="1" priority="3722"/>
  </conditionalFormatting>
  <conditionalFormatting sqref="B112">
    <cfRule type="duplicateValues" dxfId="1" priority="3721"/>
  </conditionalFormatting>
  <conditionalFormatting sqref="B113">
    <cfRule type="duplicateValues" dxfId="1" priority="3720"/>
  </conditionalFormatting>
  <conditionalFormatting sqref="B114">
    <cfRule type="duplicateValues" dxfId="1" priority="3719"/>
  </conditionalFormatting>
  <conditionalFormatting sqref="B115">
    <cfRule type="duplicateValues" dxfId="1" priority="3718"/>
  </conditionalFormatting>
  <conditionalFormatting sqref="B116">
    <cfRule type="duplicateValues" dxfId="1" priority="3717"/>
  </conditionalFormatting>
  <conditionalFormatting sqref="B117">
    <cfRule type="duplicateValues" dxfId="1" priority="3716"/>
  </conditionalFormatting>
  <conditionalFormatting sqref="B118">
    <cfRule type="duplicateValues" dxfId="1" priority="3715"/>
  </conditionalFormatting>
  <conditionalFormatting sqref="B119">
    <cfRule type="duplicateValues" dxfId="1" priority="3714"/>
  </conditionalFormatting>
  <conditionalFormatting sqref="B120">
    <cfRule type="duplicateValues" dxfId="1" priority="3713"/>
  </conditionalFormatting>
  <conditionalFormatting sqref="B121">
    <cfRule type="duplicateValues" dxfId="1" priority="3712"/>
  </conditionalFormatting>
  <conditionalFormatting sqref="B122">
    <cfRule type="duplicateValues" dxfId="1" priority="3711"/>
  </conditionalFormatting>
  <conditionalFormatting sqref="B123">
    <cfRule type="duplicateValues" dxfId="1" priority="3710"/>
  </conditionalFormatting>
  <conditionalFormatting sqref="B124">
    <cfRule type="duplicateValues" dxfId="1" priority="3709"/>
  </conditionalFormatting>
  <conditionalFormatting sqref="B125">
    <cfRule type="duplicateValues" dxfId="1" priority="3708"/>
  </conditionalFormatting>
  <conditionalFormatting sqref="B126">
    <cfRule type="duplicateValues" dxfId="1" priority="3707"/>
  </conditionalFormatting>
  <conditionalFormatting sqref="B127">
    <cfRule type="duplicateValues" dxfId="1" priority="3706"/>
  </conditionalFormatting>
  <conditionalFormatting sqref="B128">
    <cfRule type="duplicateValues" dxfId="1" priority="3705"/>
  </conditionalFormatting>
  <conditionalFormatting sqref="B129">
    <cfRule type="duplicateValues" dxfId="1" priority="3704"/>
  </conditionalFormatting>
  <conditionalFormatting sqref="B130">
    <cfRule type="duplicateValues" dxfId="1" priority="3703"/>
  </conditionalFormatting>
  <conditionalFormatting sqref="B131">
    <cfRule type="duplicateValues" dxfId="1" priority="3702"/>
  </conditionalFormatting>
  <conditionalFormatting sqref="B132">
    <cfRule type="duplicateValues" dxfId="1" priority="3701"/>
  </conditionalFormatting>
  <conditionalFormatting sqref="B133">
    <cfRule type="duplicateValues" dxfId="1" priority="3700"/>
  </conditionalFormatting>
  <conditionalFormatting sqref="B134">
    <cfRule type="duplicateValues" dxfId="1" priority="3699"/>
  </conditionalFormatting>
  <conditionalFormatting sqref="B135">
    <cfRule type="duplicateValues" dxfId="1" priority="3698"/>
  </conditionalFormatting>
  <conditionalFormatting sqref="B136">
    <cfRule type="duplicateValues" dxfId="1" priority="3697"/>
  </conditionalFormatting>
  <conditionalFormatting sqref="B137">
    <cfRule type="duplicateValues" dxfId="1" priority="3696"/>
  </conditionalFormatting>
  <conditionalFormatting sqref="B138">
    <cfRule type="duplicateValues" dxfId="1" priority="3695"/>
  </conditionalFormatting>
  <conditionalFormatting sqref="B139">
    <cfRule type="duplicateValues" dxfId="1" priority="3694"/>
  </conditionalFormatting>
  <conditionalFormatting sqref="B140">
    <cfRule type="duplicateValues" dxfId="1" priority="3693"/>
  </conditionalFormatting>
  <conditionalFormatting sqref="B141">
    <cfRule type="duplicateValues" dxfId="1" priority="3692"/>
  </conditionalFormatting>
  <conditionalFormatting sqref="B142">
    <cfRule type="duplicateValues" dxfId="1" priority="3691"/>
  </conditionalFormatting>
  <conditionalFormatting sqref="B143">
    <cfRule type="duplicateValues" dxfId="1" priority="3690"/>
  </conditionalFormatting>
  <conditionalFormatting sqref="B144">
    <cfRule type="duplicateValues" dxfId="1" priority="3689"/>
  </conditionalFormatting>
  <conditionalFormatting sqref="B145">
    <cfRule type="duplicateValues" dxfId="1" priority="3688"/>
  </conditionalFormatting>
  <conditionalFormatting sqref="B146">
    <cfRule type="duplicateValues" dxfId="1" priority="3687"/>
  </conditionalFormatting>
  <conditionalFormatting sqref="B147">
    <cfRule type="duplicateValues" dxfId="1" priority="3686"/>
  </conditionalFormatting>
  <conditionalFormatting sqref="B148">
    <cfRule type="duplicateValues" dxfId="1" priority="3685"/>
  </conditionalFormatting>
  <conditionalFormatting sqref="B149">
    <cfRule type="duplicateValues" dxfId="1" priority="3684"/>
  </conditionalFormatting>
  <conditionalFormatting sqref="B150">
    <cfRule type="duplicateValues" dxfId="1" priority="3683"/>
  </conditionalFormatting>
  <conditionalFormatting sqref="B151">
    <cfRule type="duplicateValues" dxfId="1" priority="3682"/>
  </conditionalFormatting>
  <conditionalFormatting sqref="B152">
    <cfRule type="duplicateValues" dxfId="1" priority="3681"/>
  </conditionalFormatting>
  <conditionalFormatting sqref="B153">
    <cfRule type="duplicateValues" dxfId="1" priority="3680"/>
  </conditionalFormatting>
  <conditionalFormatting sqref="B154">
    <cfRule type="duplicateValues" dxfId="1" priority="3679"/>
  </conditionalFormatting>
  <conditionalFormatting sqref="B155">
    <cfRule type="duplicateValues" dxfId="1" priority="3678"/>
  </conditionalFormatting>
  <conditionalFormatting sqref="B156">
    <cfRule type="duplicateValues" dxfId="1" priority="3677"/>
  </conditionalFormatting>
  <conditionalFormatting sqref="B157">
    <cfRule type="duplicateValues" dxfId="1" priority="3676"/>
  </conditionalFormatting>
  <conditionalFormatting sqref="B158">
    <cfRule type="duplicateValues" dxfId="1" priority="3675"/>
  </conditionalFormatting>
  <conditionalFormatting sqref="B159">
    <cfRule type="duplicateValues" dxfId="1" priority="3674"/>
  </conditionalFormatting>
  <conditionalFormatting sqref="B160">
    <cfRule type="duplicateValues" dxfId="1" priority="3673"/>
  </conditionalFormatting>
  <conditionalFormatting sqref="B161">
    <cfRule type="duplicateValues" dxfId="1" priority="3672"/>
  </conditionalFormatting>
  <conditionalFormatting sqref="B162">
    <cfRule type="duplicateValues" dxfId="1" priority="3671"/>
  </conditionalFormatting>
  <conditionalFormatting sqref="B163">
    <cfRule type="duplicateValues" dxfId="1" priority="3670"/>
  </conditionalFormatting>
  <conditionalFormatting sqref="B164">
    <cfRule type="duplicateValues" dxfId="1" priority="3669"/>
  </conditionalFormatting>
  <conditionalFormatting sqref="B165">
    <cfRule type="duplicateValues" dxfId="1" priority="3668"/>
  </conditionalFormatting>
  <conditionalFormatting sqref="B166">
    <cfRule type="duplicateValues" dxfId="1" priority="3667"/>
  </conditionalFormatting>
  <conditionalFormatting sqref="B167">
    <cfRule type="duplicateValues" dxfId="1" priority="3666"/>
  </conditionalFormatting>
  <conditionalFormatting sqref="B168">
    <cfRule type="duplicateValues" dxfId="1" priority="3665"/>
  </conditionalFormatting>
  <conditionalFormatting sqref="B169">
    <cfRule type="duplicateValues" dxfId="1" priority="3664"/>
  </conditionalFormatting>
  <conditionalFormatting sqref="B170">
    <cfRule type="duplicateValues" dxfId="1" priority="3663"/>
  </conditionalFormatting>
  <conditionalFormatting sqref="B171">
    <cfRule type="duplicateValues" dxfId="1" priority="3662"/>
  </conditionalFormatting>
  <conditionalFormatting sqref="B172">
    <cfRule type="duplicateValues" dxfId="1" priority="3661"/>
  </conditionalFormatting>
  <conditionalFormatting sqref="B173">
    <cfRule type="duplicateValues" dxfId="1" priority="3660"/>
  </conditionalFormatting>
  <conditionalFormatting sqref="B174">
    <cfRule type="duplicateValues" dxfId="1" priority="3659"/>
  </conditionalFormatting>
  <conditionalFormatting sqref="B175">
    <cfRule type="duplicateValues" dxfId="1" priority="3658"/>
  </conditionalFormatting>
  <conditionalFormatting sqref="B176">
    <cfRule type="duplicateValues" dxfId="1" priority="3657"/>
  </conditionalFormatting>
  <conditionalFormatting sqref="B177">
    <cfRule type="duplicateValues" dxfId="1" priority="3656"/>
  </conditionalFormatting>
  <conditionalFormatting sqref="B178">
    <cfRule type="duplicateValues" dxfId="1" priority="3655"/>
  </conditionalFormatting>
  <conditionalFormatting sqref="B179">
    <cfRule type="duplicateValues" dxfId="1" priority="3654"/>
  </conditionalFormatting>
  <conditionalFormatting sqref="B180">
    <cfRule type="duplicateValues" dxfId="1" priority="3653"/>
  </conditionalFormatting>
  <conditionalFormatting sqref="B181">
    <cfRule type="duplicateValues" dxfId="1" priority="3652"/>
  </conditionalFormatting>
  <conditionalFormatting sqref="B182">
    <cfRule type="duplicateValues" dxfId="1" priority="3651"/>
  </conditionalFormatting>
  <conditionalFormatting sqref="B183">
    <cfRule type="duplicateValues" dxfId="1" priority="3650"/>
  </conditionalFormatting>
  <conditionalFormatting sqref="B184">
    <cfRule type="duplicateValues" dxfId="1" priority="3649"/>
  </conditionalFormatting>
  <conditionalFormatting sqref="B185">
    <cfRule type="duplicateValues" dxfId="1" priority="3648"/>
  </conditionalFormatting>
  <conditionalFormatting sqref="B186">
    <cfRule type="duplicateValues" dxfId="1" priority="3647"/>
  </conditionalFormatting>
  <conditionalFormatting sqref="B187">
    <cfRule type="duplicateValues" dxfId="1" priority="3646"/>
  </conditionalFormatting>
  <conditionalFormatting sqref="B188">
    <cfRule type="duplicateValues" dxfId="1" priority="3645"/>
  </conditionalFormatting>
  <conditionalFormatting sqref="B189">
    <cfRule type="duplicateValues" dxfId="1" priority="3644"/>
  </conditionalFormatting>
  <conditionalFormatting sqref="B190">
    <cfRule type="duplicateValues" dxfId="1" priority="3643"/>
  </conditionalFormatting>
  <conditionalFormatting sqref="B191">
    <cfRule type="duplicateValues" dxfId="1" priority="3642"/>
  </conditionalFormatting>
  <conditionalFormatting sqref="B192">
    <cfRule type="duplicateValues" dxfId="1" priority="3641"/>
  </conditionalFormatting>
  <conditionalFormatting sqref="B193">
    <cfRule type="duplicateValues" dxfId="1" priority="3640"/>
  </conditionalFormatting>
  <conditionalFormatting sqref="B194">
    <cfRule type="duplicateValues" dxfId="1" priority="3639"/>
  </conditionalFormatting>
  <conditionalFormatting sqref="B195">
    <cfRule type="duplicateValues" dxfId="1" priority="3638"/>
  </conditionalFormatting>
  <conditionalFormatting sqref="B196">
    <cfRule type="duplicateValues" dxfId="1" priority="3637"/>
  </conditionalFormatting>
  <conditionalFormatting sqref="B197">
    <cfRule type="duplicateValues" dxfId="1" priority="3636"/>
  </conditionalFormatting>
  <conditionalFormatting sqref="B198">
    <cfRule type="duplicateValues" dxfId="1" priority="3635"/>
  </conditionalFormatting>
  <conditionalFormatting sqref="B199">
    <cfRule type="duplicateValues" dxfId="1" priority="3634"/>
  </conditionalFormatting>
  <conditionalFormatting sqref="B200">
    <cfRule type="duplicateValues" dxfId="1" priority="3633"/>
  </conditionalFormatting>
  <conditionalFormatting sqref="B201">
    <cfRule type="duplicateValues" dxfId="1" priority="3632"/>
  </conditionalFormatting>
  <conditionalFormatting sqref="B202">
    <cfRule type="duplicateValues" dxfId="1" priority="3631"/>
  </conditionalFormatting>
  <conditionalFormatting sqref="B203">
    <cfRule type="duplicateValues" dxfId="1" priority="3630"/>
  </conditionalFormatting>
  <conditionalFormatting sqref="B204">
    <cfRule type="duplicateValues" dxfId="1" priority="3629"/>
  </conditionalFormatting>
  <conditionalFormatting sqref="B205">
    <cfRule type="duplicateValues" dxfId="1" priority="3628"/>
  </conditionalFormatting>
  <conditionalFormatting sqref="B206">
    <cfRule type="duplicateValues" dxfId="1" priority="3627"/>
  </conditionalFormatting>
  <conditionalFormatting sqref="B207">
    <cfRule type="duplicateValues" dxfId="1" priority="3626"/>
  </conditionalFormatting>
  <conditionalFormatting sqref="B208">
    <cfRule type="duplicateValues" dxfId="1" priority="3625"/>
  </conditionalFormatting>
  <conditionalFormatting sqref="B209">
    <cfRule type="duplicateValues" dxfId="1" priority="3624"/>
  </conditionalFormatting>
  <conditionalFormatting sqref="B210">
    <cfRule type="duplicateValues" dxfId="1" priority="3623"/>
  </conditionalFormatting>
  <conditionalFormatting sqref="B211">
    <cfRule type="duplicateValues" dxfId="1" priority="3622"/>
  </conditionalFormatting>
  <conditionalFormatting sqref="B212">
    <cfRule type="duplicateValues" dxfId="1" priority="3621"/>
  </conditionalFormatting>
  <conditionalFormatting sqref="B213">
    <cfRule type="duplicateValues" dxfId="1" priority="3620"/>
  </conditionalFormatting>
  <conditionalFormatting sqref="B214">
    <cfRule type="duplicateValues" dxfId="1" priority="3619"/>
  </conditionalFormatting>
  <conditionalFormatting sqref="B215">
    <cfRule type="duplicateValues" dxfId="1" priority="3618"/>
  </conditionalFormatting>
  <conditionalFormatting sqref="B216">
    <cfRule type="duplicateValues" dxfId="1" priority="3617"/>
  </conditionalFormatting>
  <conditionalFormatting sqref="B217">
    <cfRule type="duplicateValues" dxfId="1" priority="3616"/>
  </conditionalFormatting>
  <conditionalFormatting sqref="B218">
    <cfRule type="duplicateValues" dxfId="1" priority="3615"/>
  </conditionalFormatting>
  <conditionalFormatting sqref="B219">
    <cfRule type="duplicateValues" dxfId="1" priority="3614"/>
  </conditionalFormatting>
  <conditionalFormatting sqref="B220">
    <cfRule type="duplicateValues" dxfId="1" priority="3613"/>
  </conditionalFormatting>
  <conditionalFormatting sqref="B221">
    <cfRule type="duplicateValues" dxfId="1" priority="3612"/>
  </conditionalFormatting>
  <conditionalFormatting sqref="B222">
    <cfRule type="duplicateValues" dxfId="1" priority="3611"/>
  </conditionalFormatting>
  <conditionalFormatting sqref="B223">
    <cfRule type="duplicateValues" dxfId="1" priority="3610"/>
  </conditionalFormatting>
  <conditionalFormatting sqref="B224">
    <cfRule type="duplicateValues" dxfId="1" priority="3609"/>
  </conditionalFormatting>
  <conditionalFormatting sqref="B225">
    <cfRule type="duplicateValues" dxfId="1" priority="3608"/>
  </conditionalFormatting>
  <conditionalFormatting sqref="B226">
    <cfRule type="duplicateValues" dxfId="1" priority="3607"/>
  </conditionalFormatting>
  <conditionalFormatting sqref="B227">
    <cfRule type="duplicateValues" dxfId="1" priority="3606"/>
  </conditionalFormatting>
  <conditionalFormatting sqref="B228">
    <cfRule type="duplicateValues" dxfId="1" priority="3605"/>
  </conditionalFormatting>
  <conditionalFormatting sqref="B229">
    <cfRule type="duplicateValues" dxfId="1" priority="3604"/>
  </conditionalFormatting>
  <conditionalFormatting sqref="B230">
    <cfRule type="duplicateValues" dxfId="1" priority="3603"/>
  </conditionalFormatting>
  <conditionalFormatting sqref="B231">
    <cfRule type="duplicateValues" dxfId="1" priority="3602"/>
  </conditionalFormatting>
  <conditionalFormatting sqref="B232">
    <cfRule type="duplicateValues" dxfId="1" priority="3601"/>
  </conditionalFormatting>
  <conditionalFormatting sqref="B233">
    <cfRule type="duplicateValues" dxfId="1" priority="3600"/>
  </conditionalFormatting>
  <conditionalFormatting sqref="B234">
    <cfRule type="duplicateValues" dxfId="1" priority="3599"/>
  </conditionalFormatting>
  <conditionalFormatting sqref="B235">
    <cfRule type="duplicateValues" dxfId="1" priority="3598"/>
  </conditionalFormatting>
  <conditionalFormatting sqref="B236">
    <cfRule type="duplicateValues" dxfId="1" priority="3597"/>
  </conditionalFormatting>
  <conditionalFormatting sqref="B237">
    <cfRule type="duplicateValues" dxfId="1" priority="3596"/>
  </conditionalFormatting>
  <conditionalFormatting sqref="B238">
    <cfRule type="duplicateValues" dxfId="1" priority="3595"/>
  </conditionalFormatting>
  <conditionalFormatting sqref="B239">
    <cfRule type="duplicateValues" dxfId="1" priority="3594"/>
  </conditionalFormatting>
  <conditionalFormatting sqref="B240">
    <cfRule type="duplicateValues" dxfId="1" priority="3593"/>
  </conditionalFormatting>
  <conditionalFormatting sqref="B241">
    <cfRule type="duplicateValues" dxfId="1" priority="3592"/>
  </conditionalFormatting>
  <conditionalFormatting sqref="B242">
    <cfRule type="duplicateValues" dxfId="1" priority="3591"/>
  </conditionalFormatting>
  <conditionalFormatting sqref="B243">
    <cfRule type="duplicateValues" dxfId="1" priority="3590"/>
  </conditionalFormatting>
  <conditionalFormatting sqref="B244">
    <cfRule type="duplicateValues" dxfId="1" priority="3589"/>
  </conditionalFormatting>
  <conditionalFormatting sqref="B245">
    <cfRule type="duplicateValues" dxfId="1" priority="3588"/>
  </conditionalFormatting>
  <conditionalFormatting sqref="B246">
    <cfRule type="duplicateValues" dxfId="1" priority="3587"/>
  </conditionalFormatting>
  <conditionalFormatting sqref="B247">
    <cfRule type="duplicateValues" dxfId="1" priority="3586"/>
  </conditionalFormatting>
  <conditionalFormatting sqref="B248">
    <cfRule type="duplicateValues" dxfId="1" priority="3585"/>
  </conditionalFormatting>
  <conditionalFormatting sqref="B249">
    <cfRule type="duplicateValues" dxfId="1" priority="3584"/>
  </conditionalFormatting>
  <conditionalFormatting sqref="B250">
    <cfRule type="duplicateValues" dxfId="1" priority="3583"/>
  </conditionalFormatting>
  <conditionalFormatting sqref="B251">
    <cfRule type="duplicateValues" dxfId="1" priority="3582"/>
  </conditionalFormatting>
  <conditionalFormatting sqref="B252">
    <cfRule type="duplicateValues" dxfId="1" priority="3581"/>
  </conditionalFormatting>
  <conditionalFormatting sqref="B253">
    <cfRule type="duplicateValues" dxfId="1" priority="3580"/>
  </conditionalFormatting>
  <conditionalFormatting sqref="B254">
    <cfRule type="duplicateValues" dxfId="1" priority="3579"/>
  </conditionalFormatting>
  <conditionalFormatting sqref="B255">
    <cfRule type="duplicateValues" dxfId="1" priority="3578"/>
  </conditionalFormatting>
  <conditionalFormatting sqref="B256">
    <cfRule type="duplicateValues" dxfId="1" priority="3577"/>
  </conditionalFormatting>
  <conditionalFormatting sqref="B257">
    <cfRule type="duplicateValues" dxfId="1" priority="3576"/>
  </conditionalFormatting>
  <conditionalFormatting sqref="B258">
    <cfRule type="duplicateValues" dxfId="1" priority="3575"/>
  </conditionalFormatting>
  <conditionalFormatting sqref="B259">
    <cfRule type="duplicateValues" dxfId="1" priority="3574"/>
  </conditionalFormatting>
  <conditionalFormatting sqref="B260">
    <cfRule type="duplicateValues" dxfId="1" priority="3573"/>
  </conditionalFormatting>
  <conditionalFormatting sqref="B261">
    <cfRule type="duplicateValues" dxfId="1" priority="3572"/>
  </conditionalFormatting>
  <conditionalFormatting sqref="B262">
    <cfRule type="duplicateValues" dxfId="1" priority="3571"/>
  </conditionalFormatting>
  <conditionalFormatting sqref="B263">
    <cfRule type="duplicateValues" dxfId="1" priority="3570"/>
  </conditionalFormatting>
  <conditionalFormatting sqref="B264">
    <cfRule type="duplicateValues" dxfId="1" priority="3569"/>
  </conditionalFormatting>
  <conditionalFormatting sqref="B265">
    <cfRule type="duplicateValues" dxfId="1" priority="3568"/>
  </conditionalFormatting>
  <conditionalFormatting sqref="B266">
    <cfRule type="duplicateValues" dxfId="1" priority="3567"/>
  </conditionalFormatting>
  <conditionalFormatting sqref="B267">
    <cfRule type="duplicateValues" dxfId="1" priority="3566"/>
  </conditionalFormatting>
  <conditionalFormatting sqref="B268">
    <cfRule type="duplicateValues" dxfId="1" priority="3565"/>
  </conditionalFormatting>
  <conditionalFormatting sqref="B269">
    <cfRule type="duplicateValues" dxfId="1" priority="3564"/>
  </conditionalFormatting>
  <conditionalFormatting sqref="B270">
    <cfRule type="duplicateValues" dxfId="1" priority="3563"/>
  </conditionalFormatting>
  <conditionalFormatting sqref="B271">
    <cfRule type="duplicateValues" dxfId="1" priority="3562"/>
  </conditionalFormatting>
  <conditionalFormatting sqref="B272">
    <cfRule type="duplicateValues" dxfId="1" priority="3561"/>
  </conditionalFormatting>
  <conditionalFormatting sqref="B273">
    <cfRule type="duplicateValues" dxfId="1" priority="3560"/>
  </conditionalFormatting>
  <conditionalFormatting sqref="B274">
    <cfRule type="duplicateValues" dxfId="1" priority="3559"/>
  </conditionalFormatting>
  <conditionalFormatting sqref="B275">
    <cfRule type="duplicateValues" dxfId="1" priority="3558"/>
  </conditionalFormatting>
  <conditionalFormatting sqref="B276">
    <cfRule type="duplicateValues" dxfId="1" priority="3557"/>
  </conditionalFormatting>
  <conditionalFormatting sqref="B277">
    <cfRule type="duplicateValues" dxfId="1" priority="3556"/>
  </conditionalFormatting>
  <conditionalFormatting sqref="B278">
    <cfRule type="duplicateValues" dxfId="1" priority="3555"/>
  </conditionalFormatting>
  <conditionalFormatting sqref="B279">
    <cfRule type="duplicateValues" dxfId="1" priority="3554"/>
  </conditionalFormatting>
  <conditionalFormatting sqref="B280">
    <cfRule type="duplicateValues" dxfId="1" priority="3553"/>
  </conditionalFormatting>
  <conditionalFormatting sqref="B281">
    <cfRule type="duplicateValues" dxfId="1" priority="3552"/>
  </conditionalFormatting>
  <conditionalFormatting sqref="B282">
    <cfRule type="duplicateValues" dxfId="1" priority="3551"/>
  </conditionalFormatting>
  <conditionalFormatting sqref="B283">
    <cfRule type="duplicateValues" dxfId="1" priority="3550"/>
  </conditionalFormatting>
  <conditionalFormatting sqref="B284">
    <cfRule type="duplicateValues" dxfId="1" priority="3549"/>
  </conditionalFormatting>
  <conditionalFormatting sqref="B285">
    <cfRule type="duplicateValues" dxfId="1" priority="3548"/>
  </conditionalFormatting>
  <conditionalFormatting sqref="B286">
    <cfRule type="duplicateValues" dxfId="1" priority="3547"/>
  </conditionalFormatting>
  <conditionalFormatting sqref="B287">
    <cfRule type="duplicateValues" dxfId="1" priority="3546"/>
  </conditionalFormatting>
  <conditionalFormatting sqref="B288">
    <cfRule type="duplicateValues" dxfId="1" priority="3545"/>
  </conditionalFormatting>
  <conditionalFormatting sqref="B289">
    <cfRule type="duplicateValues" dxfId="1" priority="3544"/>
  </conditionalFormatting>
  <conditionalFormatting sqref="B290">
    <cfRule type="duplicateValues" dxfId="1" priority="3543"/>
  </conditionalFormatting>
  <conditionalFormatting sqref="B291">
    <cfRule type="duplicateValues" dxfId="1" priority="3542"/>
  </conditionalFormatting>
  <conditionalFormatting sqref="B292">
    <cfRule type="duplicateValues" dxfId="1" priority="3541"/>
  </conditionalFormatting>
  <conditionalFormatting sqref="B293">
    <cfRule type="duplicateValues" dxfId="1" priority="3540"/>
  </conditionalFormatting>
  <conditionalFormatting sqref="B294">
    <cfRule type="duplicateValues" dxfId="1" priority="3539"/>
  </conditionalFormatting>
  <conditionalFormatting sqref="B295">
    <cfRule type="duplicateValues" dxfId="1" priority="3538"/>
  </conditionalFormatting>
  <conditionalFormatting sqref="B296">
    <cfRule type="duplicateValues" dxfId="1" priority="3537"/>
  </conditionalFormatting>
  <conditionalFormatting sqref="B297">
    <cfRule type="duplicateValues" dxfId="1" priority="3536"/>
  </conditionalFormatting>
  <conditionalFormatting sqref="B298">
    <cfRule type="duplicateValues" dxfId="1" priority="3535"/>
  </conditionalFormatting>
  <conditionalFormatting sqref="B299">
    <cfRule type="duplicateValues" dxfId="1" priority="3534"/>
  </conditionalFormatting>
  <conditionalFormatting sqref="B300">
    <cfRule type="duplicateValues" dxfId="1" priority="3533"/>
  </conditionalFormatting>
  <conditionalFormatting sqref="B301">
    <cfRule type="duplicateValues" dxfId="1" priority="3532"/>
  </conditionalFormatting>
  <conditionalFormatting sqref="B302">
    <cfRule type="duplicateValues" dxfId="1" priority="3531"/>
  </conditionalFormatting>
  <conditionalFormatting sqref="B303">
    <cfRule type="duplicateValues" dxfId="1" priority="3530"/>
  </conditionalFormatting>
  <conditionalFormatting sqref="B304">
    <cfRule type="duplicateValues" dxfId="1" priority="3529"/>
  </conditionalFormatting>
  <conditionalFormatting sqref="B305">
    <cfRule type="duplicateValues" dxfId="1" priority="3528"/>
  </conditionalFormatting>
  <conditionalFormatting sqref="B306">
    <cfRule type="duplicateValues" dxfId="1" priority="3527"/>
  </conditionalFormatting>
  <conditionalFormatting sqref="B307">
    <cfRule type="duplicateValues" dxfId="1" priority="3526"/>
  </conditionalFormatting>
  <conditionalFormatting sqref="B308">
    <cfRule type="duplicateValues" dxfId="1" priority="3525"/>
  </conditionalFormatting>
  <conditionalFormatting sqref="B309">
    <cfRule type="duplicateValues" dxfId="1" priority="3524"/>
  </conditionalFormatting>
  <conditionalFormatting sqref="B310">
    <cfRule type="duplicateValues" dxfId="1" priority="3523"/>
  </conditionalFormatting>
  <conditionalFormatting sqref="B311">
    <cfRule type="duplicateValues" dxfId="1" priority="3522"/>
  </conditionalFormatting>
  <conditionalFormatting sqref="B312">
    <cfRule type="duplicateValues" dxfId="1" priority="3521"/>
  </conditionalFormatting>
  <conditionalFormatting sqref="B313">
    <cfRule type="duplicateValues" dxfId="1" priority="3520"/>
  </conditionalFormatting>
  <conditionalFormatting sqref="B314">
    <cfRule type="duplicateValues" dxfId="1" priority="3519"/>
  </conditionalFormatting>
  <conditionalFormatting sqref="B315">
    <cfRule type="duplicateValues" dxfId="1" priority="3518"/>
  </conditionalFormatting>
  <conditionalFormatting sqref="B316">
    <cfRule type="duplicateValues" dxfId="1" priority="3517"/>
  </conditionalFormatting>
  <conditionalFormatting sqref="B317">
    <cfRule type="duplicateValues" dxfId="1" priority="3516"/>
  </conditionalFormatting>
  <conditionalFormatting sqref="B318">
    <cfRule type="duplicateValues" dxfId="1" priority="3515"/>
  </conditionalFormatting>
  <conditionalFormatting sqref="B319">
    <cfRule type="duplicateValues" dxfId="1" priority="3514"/>
  </conditionalFormatting>
  <conditionalFormatting sqref="B320">
    <cfRule type="duplicateValues" dxfId="1" priority="3513"/>
  </conditionalFormatting>
  <conditionalFormatting sqref="B321">
    <cfRule type="duplicateValues" dxfId="1" priority="3512"/>
  </conditionalFormatting>
  <conditionalFormatting sqref="B322">
    <cfRule type="duplicateValues" dxfId="1" priority="3511"/>
  </conditionalFormatting>
  <conditionalFormatting sqref="B323">
    <cfRule type="duplicateValues" dxfId="1" priority="3510"/>
  </conditionalFormatting>
  <conditionalFormatting sqref="B324">
    <cfRule type="duplicateValues" dxfId="1" priority="3509"/>
  </conditionalFormatting>
  <conditionalFormatting sqref="B325">
    <cfRule type="duplicateValues" dxfId="1" priority="3508"/>
  </conditionalFormatting>
  <conditionalFormatting sqref="B326">
    <cfRule type="duplicateValues" dxfId="1" priority="3507"/>
  </conditionalFormatting>
  <conditionalFormatting sqref="B327">
    <cfRule type="duplicateValues" dxfId="1" priority="3506"/>
  </conditionalFormatting>
  <conditionalFormatting sqref="B328">
    <cfRule type="duplicateValues" dxfId="1" priority="3505"/>
  </conditionalFormatting>
  <conditionalFormatting sqref="B329">
    <cfRule type="duplicateValues" dxfId="1" priority="3504"/>
  </conditionalFormatting>
  <conditionalFormatting sqref="B330">
    <cfRule type="duplicateValues" dxfId="1" priority="3503"/>
  </conditionalFormatting>
  <conditionalFormatting sqref="B331">
    <cfRule type="duplicateValues" dxfId="1" priority="3502"/>
  </conditionalFormatting>
  <conditionalFormatting sqref="B332">
    <cfRule type="duplicateValues" dxfId="1" priority="3501"/>
  </conditionalFormatting>
  <conditionalFormatting sqref="B333">
    <cfRule type="duplicateValues" dxfId="1" priority="3500"/>
  </conditionalFormatting>
  <conditionalFormatting sqref="B334">
    <cfRule type="duplicateValues" dxfId="1" priority="3499"/>
  </conditionalFormatting>
  <conditionalFormatting sqref="B335">
    <cfRule type="duplicateValues" dxfId="1" priority="3498"/>
  </conditionalFormatting>
  <conditionalFormatting sqref="B336">
    <cfRule type="duplicateValues" dxfId="1" priority="3497"/>
  </conditionalFormatting>
  <conditionalFormatting sqref="B337">
    <cfRule type="duplicateValues" dxfId="1" priority="3496"/>
  </conditionalFormatting>
  <conditionalFormatting sqref="B338">
    <cfRule type="duplicateValues" dxfId="1" priority="3495"/>
  </conditionalFormatting>
  <conditionalFormatting sqref="B339">
    <cfRule type="duplicateValues" dxfId="1" priority="3494"/>
  </conditionalFormatting>
  <conditionalFormatting sqref="B340">
    <cfRule type="duplicateValues" dxfId="1" priority="3493"/>
  </conditionalFormatting>
  <conditionalFormatting sqref="B341">
    <cfRule type="duplicateValues" dxfId="1" priority="3492"/>
  </conditionalFormatting>
  <conditionalFormatting sqref="B342">
    <cfRule type="duplicateValues" dxfId="1" priority="3491"/>
  </conditionalFormatting>
  <conditionalFormatting sqref="B343">
    <cfRule type="duplicateValues" dxfId="1" priority="3490"/>
  </conditionalFormatting>
  <conditionalFormatting sqref="B344">
    <cfRule type="duplicateValues" dxfId="1" priority="3489"/>
  </conditionalFormatting>
  <conditionalFormatting sqref="B345">
    <cfRule type="duplicateValues" dxfId="1" priority="3488"/>
  </conditionalFormatting>
  <conditionalFormatting sqref="B346">
    <cfRule type="duplicateValues" dxfId="1" priority="3487"/>
  </conditionalFormatting>
  <conditionalFormatting sqref="B347">
    <cfRule type="duplicateValues" dxfId="1" priority="3486"/>
  </conditionalFormatting>
  <conditionalFormatting sqref="B348">
    <cfRule type="duplicateValues" dxfId="1" priority="3485"/>
  </conditionalFormatting>
  <conditionalFormatting sqref="B349">
    <cfRule type="duplicateValues" dxfId="1" priority="3484"/>
  </conditionalFormatting>
  <conditionalFormatting sqref="B350">
    <cfRule type="duplicateValues" dxfId="1" priority="3483"/>
  </conditionalFormatting>
  <conditionalFormatting sqref="B351">
    <cfRule type="duplicateValues" dxfId="1" priority="3482"/>
  </conditionalFormatting>
  <conditionalFormatting sqref="B352">
    <cfRule type="duplicateValues" dxfId="1" priority="3481"/>
  </conditionalFormatting>
  <conditionalFormatting sqref="B353">
    <cfRule type="duplicateValues" dxfId="1" priority="3480"/>
  </conditionalFormatting>
  <conditionalFormatting sqref="B354">
    <cfRule type="duplicateValues" dxfId="1" priority="3479"/>
  </conditionalFormatting>
  <conditionalFormatting sqref="B355">
    <cfRule type="duplicateValues" dxfId="1" priority="3478"/>
  </conditionalFormatting>
  <conditionalFormatting sqref="B356">
    <cfRule type="duplicateValues" dxfId="1" priority="3477"/>
  </conditionalFormatting>
  <conditionalFormatting sqref="B357">
    <cfRule type="duplicateValues" dxfId="1" priority="3476"/>
  </conditionalFormatting>
  <conditionalFormatting sqref="B358">
    <cfRule type="duplicateValues" dxfId="1" priority="3475"/>
  </conditionalFormatting>
  <conditionalFormatting sqref="B359">
    <cfRule type="duplicateValues" dxfId="1" priority="3474"/>
  </conditionalFormatting>
  <conditionalFormatting sqref="B360">
    <cfRule type="duplicateValues" dxfId="1" priority="3473"/>
  </conditionalFormatting>
  <conditionalFormatting sqref="B361">
    <cfRule type="duplicateValues" dxfId="1" priority="3472"/>
  </conditionalFormatting>
  <conditionalFormatting sqref="B362">
    <cfRule type="duplicateValues" dxfId="1" priority="3471"/>
  </conditionalFormatting>
  <conditionalFormatting sqref="B363">
    <cfRule type="duplicateValues" dxfId="1" priority="3470"/>
  </conditionalFormatting>
  <conditionalFormatting sqref="B364">
    <cfRule type="duplicateValues" dxfId="1" priority="3469"/>
  </conditionalFormatting>
  <conditionalFormatting sqref="B365">
    <cfRule type="duplicateValues" dxfId="1" priority="3468"/>
  </conditionalFormatting>
  <conditionalFormatting sqref="B366">
    <cfRule type="duplicateValues" dxfId="1" priority="3467"/>
  </conditionalFormatting>
  <conditionalFormatting sqref="B367">
    <cfRule type="duplicateValues" dxfId="1" priority="3466"/>
  </conditionalFormatting>
  <conditionalFormatting sqref="B368">
    <cfRule type="duplicateValues" dxfId="1" priority="3465"/>
  </conditionalFormatting>
  <conditionalFormatting sqref="B369">
    <cfRule type="duplicateValues" dxfId="1" priority="3464"/>
  </conditionalFormatting>
  <conditionalFormatting sqref="B370">
    <cfRule type="duplicateValues" dxfId="1" priority="3463"/>
  </conditionalFormatting>
  <conditionalFormatting sqref="B371">
    <cfRule type="duplicateValues" dxfId="1" priority="3462"/>
  </conditionalFormatting>
  <conditionalFormatting sqref="B372">
    <cfRule type="duplicateValues" dxfId="1" priority="3461"/>
  </conditionalFormatting>
  <conditionalFormatting sqref="B373">
    <cfRule type="duplicateValues" dxfId="1" priority="3460"/>
  </conditionalFormatting>
  <conditionalFormatting sqref="B374">
    <cfRule type="duplicateValues" dxfId="1" priority="3459"/>
  </conditionalFormatting>
  <conditionalFormatting sqref="B375">
    <cfRule type="duplicateValues" dxfId="1" priority="3458"/>
  </conditionalFormatting>
  <conditionalFormatting sqref="B376">
    <cfRule type="duplicateValues" dxfId="1" priority="3457"/>
  </conditionalFormatting>
  <conditionalFormatting sqref="B377">
    <cfRule type="duplicateValues" dxfId="1" priority="3456"/>
  </conditionalFormatting>
  <conditionalFormatting sqref="B378">
    <cfRule type="duplicateValues" dxfId="1" priority="3455"/>
  </conditionalFormatting>
  <conditionalFormatting sqref="B379">
    <cfRule type="duplicateValues" dxfId="1" priority="3454"/>
  </conditionalFormatting>
  <conditionalFormatting sqref="B380">
    <cfRule type="duplicateValues" dxfId="1" priority="3453"/>
  </conditionalFormatting>
  <conditionalFormatting sqref="B381">
    <cfRule type="duplicateValues" dxfId="1" priority="3452"/>
  </conditionalFormatting>
  <conditionalFormatting sqref="B382">
    <cfRule type="duplicateValues" dxfId="1" priority="3451"/>
  </conditionalFormatting>
  <conditionalFormatting sqref="B383">
    <cfRule type="duplicateValues" dxfId="1" priority="3450"/>
  </conditionalFormatting>
  <conditionalFormatting sqref="B384">
    <cfRule type="duplicateValues" dxfId="1" priority="3449"/>
  </conditionalFormatting>
  <conditionalFormatting sqref="B385">
    <cfRule type="duplicateValues" dxfId="1" priority="3448"/>
  </conditionalFormatting>
  <conditionalFormatting sqref="B386">
    <cfRule type="duplicateValues" dxfId="1" priority="3447"/>
  </conditionalFormatting>
  <conditionalFormatting sqref="B387">
    <cfRule type="duplicateValues" dxfId="1" priority="3446"/>
  </conditionalFormatting>
  <conditionalFormatting sqref="B388">
    <cfRule type="duplicateValues" dxfId="1" priority="3445"/>
  </conditionalFormatting>
  <conditionalFormatting sqref="B389">
    <cfRule type="duplicateValues" dxfId="1" priority="3444"/>
  </conditionalFormatting>
  <conditionalFormatting sqref="B390">
    <cfRule type="duplicateValues" dxfId="1" priority="3443"/>
  </conditionalFormatting>
  <conditionalFormatting sqref="B391">
    <cfRule type="duplicateValues" dxfId="1" priority="3442"/>
  </conditionalFormatting>
  <conditionalFormatting sqref="B392">
    <cfRule type="duplicateValues" dxfId="1" priority="3441"/>
  </conditionalFormatting>
  <conditionalFormatting sqref="B393">
    <cfRule type="duplicateValues" dxfId="1" priority="3440"/>
  </conditionalFormatting>
  <conditionalFormatting sqref="B394">
    <cfRule type="duplicateValues" dxfId="1" priority="3439"/>
  </conditionalFormatting>
  <conditionalFormatting sqref="B395">
    <cfRule type="duplicateValues" dxfId="1" priority="3438"/>
  </conditionalFormatting>
  <conditionalFormatting sqref="B396">
    <cfRule type="duplicateValues" dxfId="1" priority="3437"/>
  </conditionalFormatting>
  <conditionalFormatting sqref="B397">
    <cfRule type="duplicateValues" dxfId="1" priority="3436"/>
  </conditionalFormatting>
  <conditionalFormatting sqref="B398">
    <cfRule type="duplicateValues" dxfId="1" priority="3435"/>
  </conditionalFormatting>
  <conditionalFormatting sqref="B399">
    <cfRule type="duplicateValues" dxfId="1" priority="3434"/>
  </conditionalFormatting>
  <conditionalFormatting sqref="B400">
    <cfRule type="duplicateValues" dxfId="1" priority="3433"/>
  </conditionalFormatting>
  <conditionalFormatting sqref="B401">
    <cfRule type="duplicateValues" dxfId="1" priority="3432"/>
  </conditionalFormatting>
  <conditionalFormatting sqref="B402">
    <cfRule type="duplicateValues" dxfId="1" priority="3431"/>
  </conditionalFormatting>
  <conditionalFormatting sqref="B403">
    <cfRule type="duplicateValues" dxfId="1" priority="3430"/>
  </conditionalFormatting>
  <conditionalFormatting sqref="B404">
    <cfRule type="duplicateValues" dxfId="1" priority="3429"/>
  </conditionalFormatting>
  <conditionalFormatting sqref="B405">
    <cfRule type="duplicateValues" dxfId="1" priority="3428"/>
  </conditionalFormatting>
  <conditionalFormatting sqref="B406">
    <cfRule type="duplicateValues" dxfId="1" priority="3427"/>
  </conditionalFormatting>
  <conditionalFormatting sqref="B407">
    <cfRule type="duplicateValues" dxfId="1" priority="3426"/>
  </conditionalFormatting>
  <conditionalFormatting sqref="B408">
    <cfRule type="duplicateValues" dxfId="1" priority="3425"/>
  </conditionalFormatting>
  <conditionalFormatting sqref="B409">
    <cfRule type="duplicateValues" dxfId="1" priority="3424"/>
  </conditionalFormatting>
  <conditionalFormatting sqref="B410">
    <cfRule type="duplicateValues" dxfId="1" priority="3423"/>
  </conditionalFormatting>
  <conditionalFormatting sqref="B411">
    <cfRule type="duplicateValues" dxfId="1" priority="3422"/>
  </conditionalFormatting>
  <conditionalFormatting sqref="B412">
    <cfRule type="duplicateValues" dxfId="1" priority="3421"/>
  </conditionalFormatting>
  <conditionalFormatting sqref="B413">
    <cfRule type="duplicateValues" dxfId="1" priority="3420"/>
  </conditionalFormatting>
  <conditionalFormatting sqref="B414">
    <cfRule type="duplicateValues" dxfId="1" priority="3419"/>
  </conditionalFormatting>
  <conditionalFormatting sqref="B415">
    <cfRule type="duplicateValues" dxfId="1" priority="3418"/>
  </conditionalFormatting>
  <conditionalFormatting sqref="B416">
    <cfRule type="duplicateValues" dxfId="1" priority="3417"/>
  </conditionalFormatting>
  <conditionalFormatting sqref="B417">
    <cfRule type="duplicateValues" dxfId="1" priority="3416"/>
  </conditionalFormatting>
  <conditionalFormatting sqref="B418">
    <cfRule type="duplicateValues" dxfId="1" priority="3415"/>
  </conditionalFormatting>
  <conditionalFormatting sqref="B419">
    <cfRule type="duplicateValues" dxfId="1" priority="3414"/>
  </conditionalFormatting>
  <conditionalFormatting sqref="B420">
    <cfRule type="duplicateValues" dxfId="1" priority="3413"/>
  </conditionalFormatting>
  <conditionalFormatting sqref="B421">
    <cfRule type="duplicateValues" dxfId="1" priority="3412"/>
  </conditionalFormatting>
  <conditionalFormatting sqref="B422">
    <cfRule type="duplicateValues" dxfId="1" priority="3411"/>
  </conditionalFormatting>
  <conditionalFormatting sqref="B423">
    <cfRule type="duplicateValues" dxfId="1" priority="3410"/>
  </conditionalFormatting>
  <conditionalFormatting sqref="B424">
    <cfRule type="duplicateValues" dxfId="1" priority="3409"/>
  </conditionalFormatting>
  <conditionalFormatting sqref="B425">
    <cfRule type="duplicateValues" dxfId="1" priority="3408"/>
  </conditionalFormatting>
  <conditionalFormatting sqref="B426">
    <cfRule type="duplicateValues" dxfId="1" priority="3407"/>
  </conditionalFormatting>
  <conditionalFormatting sqref="B427">
    <cfRule type="duplicateValues" dxfId="1" priority="3406"/>
  </conditionalFormatting>
  <conditionalFormatting sqref="B428">
    <cfRule type="duplicateValues" dxfId="1" priority="3405"/>
  </conditionalFormatting>
  <conditionalFormatting sqref="B429">
    <cfRule type="duplicateValues" dxfId="1" priority="3404"/>
  </conditionalFormatting>
  <conditionalFormatting sqref="B430">
    <cfRule type="duplicateValues" dxfId="1" priority="3403"/>
  </conditionalFormatting>
  <conditionalFormatting sqref="B431">
    <cfRule type="duplicateValues" dxfId="1" priority="3402"/>
  </conditionalFormatting>
  <conditionalFormatting sqref="B432">
    <cfRule type="duplicateValues" dxfId="1" priority="3401"/>
  </conditionalFormatting>
  <conditionalFormatting sqref="B433">
    <cfRule type="duplicateValues" dxfId="1" priority="3400"/>
  </conditionalFormatting>
  <conditionalFormatting sqref="B434">
    <cfRule type="duplicateValues" dxfId="1" priority="3399"/>
  </conditionalFormatting>
  <conditionalFormatting sqref="B435">
    <cfRule type="duplicateValues" dxfId="1" priority="3398"/>
  </conditionalFormatting>
  <conditionalFormatting sqref="B436">
    <cfRule type="duplicateValues" dxfId="1" priority="3397"/>
  </conditionalFormatting>
  <conditionalFormatting sqref="B437">
    <cfRule type="duplicateValues" dxfId="1" priority="3396"/>
  </conditionalFormatting>
  <conditionalFormatting sqref="B438">
    <cfRule type="duplicateValues" dxfId="1" priority="3395"/>
  </conditionalFormatting>
  <conditionalFormatting sqref="B439">
    <cfRule type="duplicateValues" dxfId="1" priority="3394"/>
  </conditionalFormatting>
  <conditionalFormatting sqref="B440">
    <cfRule type="duplicateValues" dxfId="1" priority="3393"/>
  </conditionalFormatting>
  <conditionalFormatting sqref="B441">
    <cfRule type="duplicateValues" dxfId="1" priority="3392"/>
  </conditionalFormatting>
  <conditionalFormatting sqref="B442">
    <cfRule type="duplicateValues" dxfId="1" priority="3391"/>
  </conditionalFormatting>
  <conditionalFormatting sqref="B443">
    <cfRule type="duplicateValues" dxfId="1" priority="3390"/>
  </conditionalFormatting>
  <conditionalFormatting sqref="B444">
    <cfRule type="duplicateValues" dxfId="1" priority="3389"/>
  </conditionalFormatting>
  <conditionalFormatting sqref="B445">
    <cfRule type="duplicateValues" dxfId="1" priority="3388"/>
  </conditionalFormatting>
  <conditionalFormatting sqref="B446">
    <cfRule type="duplicateValues" dxfId="1" priority="3387"/>
  </conditionalFormatting>
  <conditionalFormatting sqref="B447">
    <cfRule type="duplicateValues" dxfId="1" priority="3386"/>
  </conditionalFormatting>
  <conditionalFormatting sqref="B448">
    <cfRule type="duplicateValues" dxfId="1" priority="3385"/>
  </conditionalFormatting>
  <conditionalFormatting sqref="B449">
    <cfRule type="duplicateValues" dxfId="1" priority="3384"/>
  </conditionalFormatting>
  <conditionalFormatting sqref="B450">
    <cfRule type="duplicateValues" dxfId="1" priority="3383"/>
  </conditionalFormatting>
  <conditionalFormatting sqref="B451">
    <cfRule type="duplicateValues" dxfId="1" priority="3382"/>
  </conditionalFormatting>
  <conditionalFormatting sqref="B452">
    <cfRule type="duplicateValues" dxfId="1" priority="3381"/>
  </conditionalFormatting>
  <conditionalFormatting sqref="B453">
    <cfRule type="duplicateValues" dxfId="1" priority="3380"/>
  </conditionalFormatting>
  <conditionalFormatting sqref="B454">
    <cfRule type="duplicateValues" dxfId="1" priority="3379"/>
  </conditionalFormatting>
  <conditionalFormatting sqref="B455">
    <cfRule type="duplicateValues" dxfId="1" priority="3378"/>
  </conditionalFormatting>
  <conditionalFormatting sqref="B456">
    <cfRule type="duplicateValues" dxfId="1" priority="3377"/>
  </conditionalFormatting>
  <conditionalFormatting sqref="B457">
    <cfRule type="duplicateValues" dxfId="1" priority="3376"/>
  </conditionalFormatting>
  <conditionalFormatting sqref="B458">
    <cfRule type="duplicateValues" dxfId="1" priority="3375"/>
  </conditionalFormatting>
  <conditionalFormatting sqref="B459">
    <cfRule type="duplicateValues" dxfId="1" priority="3374"/>
  </conditionalFormatting>
  <conditionalFormatting sqref="B460">
    <cfRule type="duplicateValues" dxfId="1" priority="3373"/>
  </conditionalFormatting>
  <conditionalFormatting sqref="B461">
    <cfRule type="duplicateValues" dxfId="1" priority="3372"/>
  </conditionalFormatting>
  <conditionalFormatting sqref="B462">
    <cfRule type="duplicateValues" dxfId="1" priority="3371"/>
  </conditionalFormatting>
  <conditionalFormatting sqref="B463">
    <cfRule type="duplicateValues" dxfId="1" priority="3370"/>
  </conditionalFormatting>
  <conditionalFormatting sqref="B464">
    <cfRule type="duplicateValues" dxfId="1" priority="3369"/>
  </conditionalFormatting>
  <conditionalFormatting sqref="B465">
    <cfRule type="duplicateValues" dxfId="1" priority="3368"/>
  </conditionalFormatting>
  <conditionalFormatting sqref="B466">
    <cfRule type="duplicateValues" dxfId="1" priority="3367"/>
  </conditionalFormatting>
  <conditionalFormatting sqref="B467">
    <cfRule type="duplicateValues" dxfId="1" priority="3366"/>
  </conditionalFormatting>
  <conditionalFormatting sqref="B468">
    <cfRule type="duplicateValues" dxfId="1" priority="3365"/>
  </conditionalFormatting>
  <conditionalFormatting sqref="B469">
    <cfRule type="duplicateValues" dxfId="1" priority="3364"/>
  </conditionalFormatting>
  <conditionalFormatting sqref="B470">
    <cfRule type="duplicateValues" dxfId="1" priority="3363"/>
  </conditionalFormatting>
  <conditionalFormatting sqref="B471">
    <cfRule type="duplicateValues" dxfId="1" priority="3362"/>
  </conditionalFormatting>
  <conditionalFormatting sqref="B472">
    <cfRule type="duplicateValues" dxfId="1" priority="3361"/>
  </conditionalFormatting>
  <conditionalFormatting sqref="B473">
    <cfRule type="duplicateValues" dxfId="1" priority="3360"/>
  </conditionalFormatting>
  <conditionalFormatting sqref="B474">
    <cfRule type="duplicateValues" dxfId="1" priority="3359"/>
  </conditionalFormatting>
  <conditionalFormatting sqref="B475">
    <cfRule type="duplicateValues" dxfId="1" priority="3358"/>
  </conditionalFormatting>
  <conditionalFormatting sqref="B476">
    <cfRule type="duplicateValues" dxfId="1" priority="3357"/>
  </conditionalFormatting>
  <conditionalFormatting sqref="B477">
    <cfRule type="duplicateValues" dxfId="1" priority="3356"/>
  </conditionalFormatting>
  <conditionalFormatting sqref="B478">
    <cfRule type="duplicateValues" dxfId="1" priority="3355"/>
  </conditionalFormatting>
  <conditionalFormatting sqref="B479">
    <cfRule type="duplicateValues" dxfId="1" priority="3354"/>
  </conditionalFormatting>
  <conditionalFormatting sqref="B480">
    <cfRule type="duplicateValues" dxfId="1" priority="3353"/>
  </conditionalFormatting>
  <conditionalFormatting sqref="B481">
    <cfRule type="duplicateValues" dxfId="1" priority="3352"/>
  </conditionalFormatting>
  <conditionalFormatting sqref="B482">
    <cfRule type="duplicateValues" dxfId="1" priority="3351"/>
  </conditionalFormatting>
  <conditionalFormatting sqref="B483">
    <cfRule type="duplicateValues" dxfId="1" priority="3350"/>
  </conditionalFormatting>
  <conditionalFormatting sqref="B484">
    <cfRule type="duplicateValues" dxfId="1" priority="3349"/>
  </conditionalFormatting>
  <conditionalFormatting sqref="B485">
    <cfRule type="duplicateValues" dxfId="1" priority="3348"/>
  </conditionalFormatting>
  <conditionalFormatting sqref="B486">
    <cfRule type="duplicateValues" dxfId="1" priority="3347"/>
  </conditionalFormatting>
  <conditionalFormatting sqref="B487">
    <cfRule type="duplicateValues" dxfId="1" priority="3346"/>
  </conditionalFormatting>
  <conditionalFormatting sqref="B488">
    <cfRule type="duplicateValues" dxfId="1" priority="3345"/>
  </conditionalFormatting>
  <conditionalFormatting sqref="B489">
    <cfRule type="duplicateValues" dxfId="1" priority="3344"/>
  </conditionalFormatting>
  <conditionalFormatting sqref="B490">
    <cfRule type="duplicateValues" dxfId="1" priority="3343"/>
  </conditionalFormatting>
  <conditionalFormatting sqref="B491">
    <cfRule type="duplicateValues" dxfId="1" priority="3342"/>
  </conditionalFormatting>
  <conditionalFormatting sqref="B492">
    <cfRule type="duplicateValues" dxfId="1" priority="3341"/>
  </conditionalFormatting>
  <conditionalFormatting sqref="B493">
    <cfRule type="duplicateValues" dxfId="1" priority="3340"/>
  </conditionalFormatting>
  <conditionalFormatting sqref="B494">
    <cfRule type="duplicateValues" dxfId="1" priority="3339"/>
  </conditionalFormatting>
  <conditionalFormatting sqref="B495">
    <cfRule type="duplicateValues" dxfId="1" priority="3338"/>
  </conditionalFormatting>
  <conditionalFormatting sqref="B496">
    <cfRule type="duplicateValues" dxfId="1" priority="3337"/>
  </conditionalFormatting>
  <conditionalFormatting sqref="B497">
    <cfRule type="duplicateValues" dxfId="1" priority="3336"/>
  </conditionalFormatting>
  <conditionalFormatting sqref="B498">
    <cfRule type="duplicateValues" dxfId="1" priority="3335"/>
  </conditionalFormatting>
  <conditionalFormatting sqref="B499">
    <cfRule type="duplicateValues" dxfId="1" priority="3334"/>
  </conditionalFormatting>
  <conditionalFormatting sqref="B500">
    <cfRule type="duplicateValues" dxfId="1" priority="3333"/>
  </conditionalFormatting>
  <conditionalFormatting sqref="B501">
    <cfRule type="duplicateValues" dxfId="1" priority="3332"/>
  </conditionalFormatting>
  <conditionalFormatting sqref="B502">
    <cfRule type="duplicateValues" dxfId="1" priority="3331"/>
  </conditionalFormatting>
  <conditionalFormatting sqref="B503">
    <cfRule type="duplicateValues" dxfId="1" priority="3330"/>
  </conditionalFormatting>
  <conditionalFormatting sqref="B504">
    <cfRule type="duplicateValues" dxfId="1" priority="3329"/>
  </conditionalFormatting>
  <conditionalFormatting sqref="B505">
    <cfRule type="duplicateValues" dxfId="1" priority="3328"/>
  </conditionalFormatting>
  <conditionalFormatting sqref="B506">
    <cfRule type="duplicateValues" dxfId="1" priority="3327"/>
  </conditionalFormatting>
  <conditionalFormatting sqref="B507">
    <cfRule type="duplicateValues" dxfId="1" priority="3326"/>
  </conditionalFormatting>
  <conditionalFormatting sqref="B508">
    <cfRule type="duplicateValues" dxfId="1" priority="3325"/>
  </conditionalFormatting>
  <conditionalFormatting sqref="B509">
    <cfRule type="duplicateValues" dxfId="1" priority="3324"/>
  </conditionalFormatting>
  <conditionalFormatting sqref="B510">
    <cfRule type="duplicateValues" dxfId="1" priority="3323"/>
  </conditionalFormatting>
  <conditionalFormatting sqref="B511">
    <cfRule type="duplicateValues" dxfId="1" priority="3322"/>
  </conditionalFormatting>
  <conditionalFormatting sqref="B512">
    <cfRule type="duplicateValues" dxfId="1" priority="3321"/>
  </conditionalFormatting>
  <conditionalFormatting sqref="B513">
    <cfRule type="duplicateValues" dxfId="1" priority="3320"/>
  </conditionalFormatting>
  <conditionalFormatting sqref="B514">
    <cfRule type="duplicateValues" dxfId="1" priority="3319"/>
  </conditionalFormatting>
  <conditionalFormatting sqref="B515">
    <cfRule type="duplicateValues" dxfId="1" priority="3318"/>
  </conditionalFormatting>
  <conditionalFormatting sqref="B516">
    <cfRule type="duplicateValues" dxfId="1" priority="3317"/>
  </conditionalFormatting>
  <conditionalFormatting sqref="B517">
    <cfRule type="duplicateValues" dxfId="1" priority="3316"/>
  </conditionalFormatting>
  <conditionalFormatting sqref="B518">
    <cfRule type="duplicateValues" dxfId="1" priority="3315"/>
  </conditionalFormatting>
  <conditionalFormatting sqref="B519">
    <cfRule type="duplicateValues" dxfId="1" priority="3314"/>
  </conditionalFormatting>
  <conditionalFormatting sqref="B520">
    <cfRule type="duplicateValues" dxfId="1" priority="3313"/>
  </conditionalFormatting>
  <conditionalFormatting sqref="B521">
    <cfRule type="duplicateValues" dxfId="1" priority="3312"/>
  </conditionalFormatting>
  <conditionalFormatting sqref="B522">
    <cfRule type="duplicateValues" dxfId="1" priority="3311"/>
  </conditionalFormatting>
  <conditionalFormatting sqref="B523">
    <cfRule type="duplicateValues" dxfId="1" priority="3310"/>
  </conditionalFormatting>
  <conditionalFormatting sqref="B524">
    <cfRule type="duplicateValues" dxfId="1" priority="3309"/>
  </conditionalFormatting>
  <conditionalFormatting sqref="B525">
    <cfRule type="duplicateValues" dxfId="1" priority="3308"/>
  </conditionalFormatting>
  <conditionalFormatting sqref="B526">
    <cfRule type="duplicateValues" dxfId="1" priority="3307"/>
  </conditionalFormatting>
  <conditionalFormatting sqref="B527">
    <cfRule type="duplicateValues" dxfId="1" priority="3306"/>
  </conditionalFormatting>
  <conditionalFormatting sqref="B528">
    <cfRule type="duplicateValues" dxfId="1" priority="3305"/>
  </conditionalFormatting>
  <conditionalFormatting sqref="B529">
    <cfRule type="duplicateValues" dxfId="1" priority="3304"/>
  </conditionalFormatting>
  <conditionalFormatting sqref="B530">
    <cfRule type="duplicateValues" dxfId="1" priority="3303"/>
  </conditionalFormatting>
  <conditionalFormatting sqref="B531">
    <cfRule type="duplicateValues" dxfId="1" priority="3302"/>
  </conditionalFormatting>
  <conditionalFormatting sqref="B532">
    <cfRule type="duplicateValues" dxfId="1" priority="3301"/>
  </conditionalFormatting>
  <conditionalFormatting sqref="B533">
    <cfRule type="duplicateValues" dxfId="1" priority="3300"/>
  </conditionalFormatting>
  <conditionalFormatting sqref="B534">
    <cfRule type="duplicateValues" dxfId="1" priority="3299"/>
  </conditionalFormatting>
  <conditionalFormatting sqref="B535">
    <cfRule type="duplicateValues" dxfId="1" priority="3298"/>
  </conditionalFormatting>
  <conditionalFormatting sqref="B536">
    <cfRule type="duplicateValues" dxfId="1" priority="3297"/>
  </conditionalFormatting>
  <conditionalFormatting sqref="B537">
    <cfRule type="duplicateValues" dxfId="1" priority="3296"/>
  </conditionalFormatting>
  <conditionalFormatting sqref="B538">
    <cfRule type="duplicateValues" dxfId="1" priority="3295"/>
  </conditionalFormatting>
  <conditionalFormatting sqref="B539">
    <cfRule type="duplicateValues" dxfId="1" priority="3294"/>
  </conditionalFormatting>
  <conditionalFormatting sqref="B540">
    <cfRule type="duplicateValues" dxfId="1" priority="3293"/>
  </conditionalFormatting>
  <conditionalFormatting sqref="B541">
    <cfRule type="duplicateValues" dxfId="1" priority="3292"/>
  </conditionalFormatting>
  <conditionalFormatting sqref="B542">
    <cfRule type="duplicateValues" dxfId="1" priority="3291"/>
  </conditionalFormatting>
  <conditionalFormatting sqref="B543">
    <cfRule type="duplicateValues" dxfId="1" priority="3290"/>
  </conditionalFormatting>
  <conditionalFormatting sqref="B544">
    <cfRule type="duplicateValues" dxfId="1" priority="3289"/>
  </conditionalFormatting>
  <conditionalFormatting sqref="B545">
    <cfRule type="duplicateValues" dxfId="1" priority="3288"/>
  </conditionalFormatting>
  <conditionalFormatting sqref="B546">
    <cfRule type="duplicateValues" dxfId="1" priority="3287"/>
  </conditionalFormatting>
  <conditionalFormatting sqref="B547">
    <cfRule type="duplicateValues" dxfId="1" priority="3286"/>
  </conditionalFormatting>
  <conditionalFormatting sqref="B548">
    <cfRule type="duplicateValues" dxfId="1" priority="3285"/>
  </conditionalFormatting>
  <conditionalFormatting sqref="B549">
    <cfRule type="duplicateValues" dxfId="1" priority="3284"/>
  </conditionalFormatting>
  <conditionalFormatting sqref="B550">
    <cfRule type="duplicateValues" dxfId="1" priority="3283"/>
  </conditionalFormatting>
  <conditionalFormatting sqref="B551">
    <cfRule type="duplicateValues" dxfId="1" priority="3282"/>
  </conditionalFormatting>
  <conditionalFormatting sqref="B552">
    <cfRule type="duplicateValues" dxfId="1" priority="3281"/>
  </conditionalFormatting>
  <conditionalFormatting sqref="B553">
    <cfRule type="duplicateValues" dxfId="1" priority="3280"/>
  </conditionalFormatting>
  <conditionalFormatting sqref="B554">
    <cfRule type="duplicateValues" dxfId="1" priority="3279"/>
  </conditionalFormatting>
  <conditionalFormatting sqref="B555">
    <cfRule type="duplicateValues" dxfId="1" priority="3278"/>
  </conditionalFormatting>
  <conditionalFormatting sqref="B556">
    <cfRule type="duplicateValues" dxfId="1" priority="3277"/>
  </conditionalFormatting>
  <conditionalFormatting sqref="B557">
    <cfRule type="duplicateValues" dxfId="1" priority="3276"/>
  </conditionalFormatting>
  <conditionalFormatting sqref="B558">
    <cfRule type="duplicateValues" dxfId="1" priority="3275"/>
  </conditionalFormatting>
  <conditionalFormatting sqref="B559">
    <cfRule type="duplicateValues" dxfId="1" priority="3274"/>
  </conditionalFormatting>
  <conditionalFormatting sqref="B560">
    <cfRule type="duplicateValues" dxfId="1" priority="3273"/>
  </conditionalFormatting>
  <conditionalFormatting sqref="B561">
    <cfRule type="duplicateValues" dxfId="1" priority="3272"/>
  </conditionalFormatting>
  <conditionalFormatting sqref="B562">
    <cfRule type="duplicateValues" dxfId="1" priority="3271"/>
  </conditionalFormatting>
  <conditionalFormatting sqref="B563">
    <cfRule type="duplicateValues" dxfId="1" priority="3270"/>
  </conditionalFormatting>
  <conditionalFormatting sqref="B564">
    <cfRule type="duplicateValues" dxfId="1" priority="3269"/>
  </conditionalFormatting>
  <conditionalFormatting sqref="B565">
    <cfRule type="duplicateValues" dxfId="1" priority="3268"/>
  </conditionalFormatting>
  <conditionalFormatting sqref="B566">
    <cfRule type="duplicateValues" dxfId="1" priority="3267"/>
  </conditionalFormatting>
  <conditionalFormatting sqref="B567">
    <cfRule type="duplicateValues" dxfId="1" priority="3266"/>
  </conditionalFormatting>
  <conditionalFormatting sqref="B568">
    <cfRule type="duplicateValues" dxfId="1" priority="3265"/>
  </conditionalFormatting>
  <conditionalFormatting sqref="B569">
    <cfRule type="duplicateValues" dxfId="1" priority="3264"/>
  </conditionalFormatting>
  <conditionalFormatting sqref="B570">
    <cfRule type="duplicateValues" dxfId="1" priority="3263"/>
  </conditionalFormatting>
  <conditionalFormatting sqref="B571">
    <cfRule type="duplicateValues" dxfId="1" priority="3262"/>
  </conditionalFormatting>
  <conditionalFormatting sqref="B572">
    <cfRule type="duplicateValues" dxfId="1" priority="3261"/>
  </conditionalFormatting>
  <conditionalFormatting sqref="B573">
    <cfRule type="duplicateValues" dxfId="1" priority="3260"/>
  </conditionalFormatting>
  <conditionalFormatting sqref="B574">
    <cfRule type="duplicateValues" dxfId="1" priority="3259"/>
  </conditionalFormatting>
  <conditionalFormatting sqref="B575">
    <cfRule type="duplicateValues" dxfId="1" priority="3258"/>
  </conditionalFormatting>
  <conditionalFormatting sqref="B576">
    <cfRule type="duplicateValues" dxfId="1" priority="3257"/>
  </conditionalFormatting>
  <conditionalFormatting sqref="B577">
    <cfRule type="duplicateValues" dxfId="1" priority="3256"/>
  </conditionalFormatting>
  <conditionalFormatting sqref="B578">
    <cfRule type="duplicateValues" dxfId="1" priority="3255"/>
  </conditionalFormatting>
  <conditionalFormatting sqref="B579">
    <cfRule type="duplicateValues" dxfId="1" priority="3254"/>
  </conditionalFormatting>
  <conditionalFormatting sqref="B580">
    <cfRule type="duplicateValues" dxfId="1" priority="3253"/>
  </conditionalFormatting>
  <conditionalFormatting sqref="B581">
    <cfRule type="duplicateValues" dxfId="1" priority="3252"/>
  </conditionalFormatting>
  <conditionalFormatting sqref="B582">
    <cfRule type="duplicateValues" dxfId="1" priority="3251"/>
  </conditionalFormatting>
  <conditionalFormatting sqref="B583">
    <cfRule type="duplicateValues" dxfId="1" priority="3250"/>
  </conditionalFormatting>
  <conditionalFormatting sqref="B584">
    <cfRule type="duplicateValues" dxfId="1" priority="3249"/>
  </conditionalFormatting>
  <conditionalFormatting sqref="B585">
    <cfRule type="duplicateValues" dxfId="1" priority="3248"/>
  </conditionalFormatting>
  <conditionalFormatting sqref="B586">
    <cfRule type="duplicateValues" dxfId="1" priority="3247"/>
  </conditionalFormatting>
  <conditionalFormatting sqref="B587">
    <cfRule type="duplicateValues" dxfId="1" priority="3246"/>
  </conditionalFormatting>
  <conditionalFormatting sqref="B588">
    <cfRule type="duplicateValues" dxfId="1" priority="3245"/>
  </conditionalFormatting>
  <conditionalFormatting sqref="B589">
    <cfRule type="duplicateValues" dxfId="1" priority="3244"/>
  </conditionalFormatting>
  <conditionalFormatting sqref="B590">
    <cfRule type="duplicateValues" dxfId="1" priority="3243"/>
  </conditionalFormatting>
  <conditionalFormatting sqref="B591">
    <cfRule type="duplicateValues" dxfId="1" priority="3242"/>
  </conditionalFormatting>
  <conditionalFormatting sqref="B592">
    <cfRule type="duplicateValues" dxfId="1" priority="3241"/>
  </conditionalFormatting>
  <conditionalFormatting sqref="B593">
    <cfRule type="duplicateValues" dxfId="1" priority="3240"/>
  </conditionalFormatting>
  <conditionalFormatting sqref="B594">
    <cfRule type="duplicateValues" dxfId="1" priority="3239"/>
  </conditionalFormatting>
  <conditionalFormatting sqref="B595">
    <cfRule type="duplicateValues" dxfId="1" priority="3238"/>
  </conditionalFormatting>
  <conditionalFormatting sqref="B596">
    <cfRule type="duplicateValues" dxfId="1" priority="3237"/>
  </conditionalFormatting>
  <conditionalFormatting sqref="B597">
    <cfRule type="duplicateValues" dxfId="1" priority="3236"/>
  </conditionalFormatting>
  <conditionalFormatting sqref="B598">
    <cfRule type="duplicateValues" dxfId="1" priority="3235"/>
  </conditionalFormatting>
  <conditionalFormatting sqref="B599">
    <cfRule type="duplicateValues" dxfId="1" priority="3234"/>
  </conditionalFormatting>
  <conditionalFormatting sqref="B600">
    <cfRule type="duplicateValues" dxfId="1" priority="3233"/>
  </conditionalFormatting>
  <conditionalFormatting sqref="B601">
    <cfRule type="duplicateValues" dxfId="1" priority="3232"/>
  </conditionalFormatting>
  <conditionalFormatting sqref="B602">
    <cfRule type="duplicateValues" dxfId="1" priority="3231"/>
  </conditionalFormatting>
  <conditionalFormatting sqref="B603">
    <cfRule type="duplicateValues" dxfId="1" priority="3230"/>
  </conditionalFormatting>
  <conditionalFormatting sqref="B604">
    <cfRule type="duplicateValues" dxfId="1" priority="3229"/>
  </conditionalFormatting>
  <conditionalFormatting sqref="B605">
    <cfRule type="duplicateValues" dxfId="1" priority="3228"/>
  </conditionalFormatting>
  <conditionalFormatting sqref="B606">
    <cfRule type="duplicateValues" dxfId="1" priority="3227"/>
  </conditionalFormatting>
  <conditionalFormatting sqref="B607">
    <cfRule type="duplicateValues" dxfId="1" priority="3226"/>
  </conditionalFormatting>
  <conditionalFormatting sqref="B608">
    <cfRule type="duplicateValues" dxfId="1" priority="3225"/>
  </conditionalFormatting>
  <conditionalFormatting sqref="B609">
    <cfRule type="duplicateValues" dxfId="1" priority="3224"/>
  </conditionalFormatting>
  <conditionalFormatting sqref="B610">
    <cfRule type="duplicateValues" dxfId="1" priority="3223"/>
  </conditionalFormatting>
  <conditionalFormatting sqref="B611">
    <cfRule type="duplicateValues" dxfId="1" priority="3222"/>
  </conditionalFormatting>
  <conditionalFormatting sqref="B612">
    <cfRule type="duplicateValues" dxfId="1" priority="3221"/>
  </conditionalFormatting>
  <conditionalFormatting sqref="B613">
    <cfRule type="duplicateValues" dxfId="1" priority="3220"/>
  </conditionalFormatting>
  <conditionalFormatting sqref="B614">
    <cfRule type="duplicateValues" dxfId="1" priority="3219"/>
  </conditionalFormatting>
  <conditionalFormatting sqref="B615">
    <cfRule type="duplicateValues" dxfId="1" priority="3218"/>
  </conditionalFormatting>
  <conditionalFormatting sqref="B616">
    <cfRule type="duplicateValues" dxfId="1" priority="3217"/>
  </conditionalFormatting>
  <conditionalFormatting sqref="B617">
    <cfRule type="duplicateValues" dxfId="1" priority="3216"/>
  </conditionalFormatting>
  <conditionalFormatting sqref="B618">
    <cfRule type="duplicateValues" dxfId="1" priority="3215"/>
  </conditionalFormatting>
  <conditionalFormatting sqref="B619">
    <cfRule type="duplicateValues" dxfId="1" priority="3214"/>
  </conditionalFormatting>
  <conditionalFormatting sqref="B620">
    <cfRule type="duplicateValues" dxfId="1" priority="3213"/>
  </conditionalFormatting>
  <conditionalFormatting sqref="B621">
    <cfRule type="duplicateValues" dxfId="1" priority="3212"/>
  </conditionalFormatting>
  <conditionalFormatting sqref="B622">
    <cfRule type="duplicateValues" dxfId="1" priority="3211"/>
  </conditionalFormatting>
  <conditionalFormatting sqref="B623">
    <cfRule type="duplicateValues" dxfId="1" priority="3210"/>
  </conditionalFormatting>
  <conditionalFormatting sqref="B624">
    <cfRule type="duplicateValues" dxfId="1" priority="3209"/>
  </conditionalFormatting>
  <conditionalFormatting sqref="B625">
    <cfRule type="duplicateValues" dxfId="1" priority="3208"/>
  </conditionalFormatting>
  <conditionalFormatting sqref="B626">
    <cfRule type="duplicateValues" dxfId="1" priority="3207"/>
  </conditionalFormatting>
  <conditionalFormatting sqref="B627">
    <cfRule type="duplicateValues" dxfId="1" priority="3206"/>
  </conditionalFormatting>
  <conditionalFormatting sqref="B628">
    <cfRule type="duplicateValues" dxfId="1" priority="3205"/>
  </conditionalFormatting>
  <conditionalFormatting sqref="B629">
    <cfRule type="duplicateValues" dxfId="1" priority="3204"/>
  </conditionalFormatting>
  <conditionalFormatting sqref="B630">
    <cfRule type="duplicateValues" dxfId="1" priority="3203"/>
  </conditionalFormatting>
  <conditionalFormatting sqref="B631">
    <cfRule type="duplicateValues" dxfId="1" priority="3202"/>
  </conditionalFormatting>
  <conditionalFormatting sqref="B632">
    <cfRule type="duplicateValues" dxfId="1" priority="3201"/>
  </conditionalFormatting>
  <conditionalFormatting sqref="B633">
    <cfRule type="duplicateValues" dxfId="1" priority="3200"/>
  </conditionalFormatting>
  <conditionalFormatting sqref="B634">
    <cfRule type="duplicateValues" dxfId="1" priority="3199"/>
  </conditionalFormatting>
  <conditionalFormatting sqref="B635">
    <cfRule type="duplicateValues" dxfId="1" priority="3198"/>
  </conditionalFormatting>
  <conditionalFormatting sqref="B636">
    <cfRule type="duplicateValues" dxfId="1" priority="3197"/>
  </conditionalFormatting>
  <conditionalFormatting sqref="B637">
    <cfRule type="duplicateValues" dxfId="1" priority="3196"/>
  </conditionalFormatting>
  <conditionalFormatting sqref="B638">
    <cfRule type="duplicateValues" dxfId="1" priority="3195"/>
  </conditionalFormatting>
  <conditionalFormatting sqref="B639">
    <cfRule type="duplicateValues" dxfId="1" priority="3194"/>
  </conditionalFormatting>
  <conditionalFormatting sqref="B640">
    <cfRule type="duplicateValues" dxfId="1" priority="3193"/>
  </conditionalFormatting>
  <conditionalFormatting sqref="B641">
    <cfRule type="duplicateValues" dxfId="1" priority="3192"/>
  </conditionalFormatting>
  <conditionalFormatting sqref="B642">
    <cfRule type="duplicateValues" dxfId="1" priority="3191"/>
  </conditionalFormatting>
  <conditionalFormatting sqref="B643">
    <cfRule type="duplicateValues" dxfId="1" priority="3190"/>
  </conditionalFormatting>
  <conditionalFormatting sqref="B644">
    <cfRule type="duplicateValues" dxfId="1" priority="3189"/>
  </conditionalFormatting>
  <conditionalFormatting sqref="B645">
    <cfRule type="duplicateValues" dxfId="1" priority="3188"/>
  </conditionalFormatting>
  <conditionalFormatting sqref="B646">
    <cfRule type="duplicateValues" dxfId="1" priority="3187"/>
  </conditionalFormatting>
  <conditionalFormatting sqref="B647">
    <cfRule type="duplicateValues" dxfId="1" priority="3186"/>
  </conditionalFormatting>
  <conditionalFormatting sqref="B648">
    <cfRule type="duplicateValues" dxfId="1" priority="3185"/>
  </conditionalFormatting>
  <conditionalFormatting sqref="B649">
    <cfRule type="duplicateValues" dxfId="1" priority="3184"/>
  </conditionalFormatting>
  <conditionalFormatting sqref="B650">
    <cfRule type="duplicateValues" dxfId="1" priority="3183"/>
  </conditionalFormatting>
  <conditionalFormatting sqref="B651">
    <cfRule type="duplicateValues" dxfId="1" priority="3182"/>
  </conditionalFormatting>
  <conditionalFormatting sqref="B652">
    <cfRule type="duplicateValues" dxfId="1" priority="3181"/>
  </conditionalFormatting>
  <conditionalFormatting sqref="B653">
    <cfRule type="duplicateValues" dxfId="1" priority="3180"/>
  </conditionalFormatting>
  <conditionalFormatting sqref="B654">
    <cfRule type="duplicateValues" dxfId="1" priority="3179"/>
  </conditionalFormatting>
  <conditionalFormatting sqref="B655">
    <cfRule type="duplicateValues" dxfId="1" priority="3178"/>
  </conditionalFormatting>
  <conditionalFormatting sqref="B656">
    <cfRule type="duplicateValues" dxfId="1" priority="3177"/>
  </conditionalFormatting>
  <conditionalFormatting sqref="B657">
    <cfRule type="duplicateValues" dxfId="1" priority="3176"/>
  </conditionalFormatting>
  <conditionalFormatting sqref="B658">
    <cfRule type="duplicateValues" dxfId="1" priority="3175"/>
  </conditionalFormatting>
  <conditionalFormatting sqref="B659">
    <cfRule type="duplicateValues" dxfId="1" priority="3174"/>
  </conditionalFormatting>
  <conditionalFormatting sqref="B660">
    <cfRule type="duplicateValues" dxfId="1" priority="3173"/>
  </conditionalFormatting>
  <conditionalFormatting sqref="B661">
    <cfRule type="duplicateValues" dxfId="1" priority="3172"/>
  </conditionalFormatting>
  <conditionalFormatting sqref="B662">
    <cfRule type="duplicateValues" dxfId="1" priority="3171"/>
  </conditionalFormatting>
  <conditionalFormatting sqref="B663">
    <cfRule type="duplicateValues" dxfId="1" priority="3170"/>
  </conditionalFormatting>
  <conditionalFormatting sqref="B664">
    <cfRule type="duplicateValues" dxfId="1" priority="3169"/>
  </conditionalFormatting>
  <conditionalFormatting sqref="B665">
    <cfRule type="duplicateValues" dxfId="1" priority="3168"/>
  </conditionalFormatting>
  <conditionalFormatting sqref="B666">
    <cfRule type="duplicateValues" dxfId="1" priority="3167"/>
  </conditionalFormatting>
  <conditionalFormatting sqref="B667">
    <cfRule type="duplicateValues" dxfId="1" priority="3166"/>
  </conditionalFormatting>
  <conditionalFormatting sqref="B668">
    <cfRule type="duplicateValues" dxfId="1" priority="3165"/>
  </conditionalFormatting>
  <conditionalFormatting sqref="B669">
    <cfRule type="duplicateValues" dxfId="1" priority="3164"/>
  </conditionalFormatting>
  <conditionalFormatting sqref="B670">
    <cfRule type="duplicateValues" dxfId="1" priority="3163"/>
  </conditionalFormatting>
  <conditionalFormatting sqref="B671">
    <cfRule type="duplicateValues" dxfId="1" priority="3162"/>
  </conditionalFormatting>
  <conditionalFormatting sqref="B672">
    <cfRule type="duplicateValues" dxfId="1" priority="3161"/>
  </conditionalFormatting>
  <conditionalFormatting sqref="B673">
    <cfRule type="duplicateValues" dxfId="1" priority="3160"/>
  </conditionalFormatting>
  <conditionalFormatting sqref="B674">
    <cfRule type="duplicateValues" dxfId="1" priority="3159"/>
  </conditionalFormatting>
  <conditionalFormatting sqref="B675">
    <cfRule type="duplicateValues" dxfId="1" priority="3158"/>
  </conditionalFormatting>
  <conditionalFormatting sqref="B676">
    <cfRule type="duplicateValues" dxfId="1" priority="3157"/>
  </conditionalFormatting>
  <conditionalFormatting sqref="B677">
    <cfRule type="duplicateValues" dxfId="1" priority="3156"/>
  </conditionalFormatting>
  <conditionalFormatting sqref="B678">
    <cfRule type="duplicateValues" dxfId="1" priority="3155"/>
  </conditionalFormatting>
  <conditionalFormatting sqref="B679">
    <cfRule type="duplicateValues" dxfId="1" priority="3154"/>
  </conditionalFormatting>
  <conditionalFormatting sqref="B680">
    <cfRule type="duplicateValues" dxfId="1" priority="3153"/>
  </conditionalFormatting>
  <conditionalFormatting sqref="B681">
    <cfRule type="duplicateValues" dxfId="1" priority="3152"/>
  </conditionalFormatting>
  <conditionalFormatting sqref="B682">
    <cfRule type="duplicateValues" dxfId="1" priority="3151"/>
  </conditionalFormatting>
  <conditionalFormatting sqref="B683">
    <cfRule type="duplicateValues" dxfId="1" priority="3150"/>
  </conditionalFormatting>
  <conditionalFormatting sqref="B684">
    <cfRule type="duplicateValues" dxfId="1" priority="3149"/>
  </conditionalFormatting>
  <conditionalFormatting sqref="B685">
    <cfRule type="duplicateValues" dxfId="1" priority="3148"/>
  </conditionalFormatting>
  <conditionalFormatting sqref="B686">
    <cfRule type="duplicateValues" dxfId="1" priority="3147"/>
  </conditionalFormatting>
  <conditionalFormatting sqref="B687">
    <cfRule type="duplicateValues" dxfId="1" priority="3146"/>
  </conditionalFormatting>
  <conditionalFormatting sqref="B688">
    <cfRule type="duplicateValues" dxfId="1" priority="3145"/>
  </conditionalFormatting>
  <conditionalFormatting sqref="B689">
    <cfRule type="duplicateValues" dxfId="1" priority="3144"/>
  </conditionalFormatting>
  <conditionalFormatting sqref="B690">
    <cfRule type="duplicateValues" dxfId="1" priority="3143"/>
  </conditionalFormatting>
  <conditionalFormatting sqref="B691">
    <cfRule type="duplicateValues" dxfId="1" priority="3142"/>
  </conditionalFormatting>
  <conditionalFormatting sqref="B692">
    <cfRule type="duplicateValues" dxfId="1" priority="3141"/>
  </conditionalFormatting>
  <conditionalFormatting sqref="B693">
    <cfRule type="duplicateValues" dxfId="1" priority="3140"/>
  </conditionalFormatting>
  <conditionalFormatting sqref="B694">
    <cfRule type="duplicateValues" dxfId="1" priority="3139"/>
  </conditionalFormatting>
  <conditionalFormatting sqref="B695">
    <cfRule type="duplicateValues" dxfId="1" priority="3138"/>
  </conditionalFormatting>
  <conditionalFormatting sqref="B696">
    <cfRule type="duplicateValues" dxfId="1" priority="3137"/>
  </conditionalFormatting>
  <conditionalFormatting sqref="B697">
    <cfRule type="duplicateValues" dxfId="1" priority="3136"/>
  </conditionalFormatting>
  <conditionalFormatting sqref="B698">
    <cfRule type="duplicateValues" dxfId="1" priority="3135"/>
  </conditionalFormatting>
  <conditionalFormatting sqref="B699">
    <cfRule type="duplicateValues" dxfId="1" priority="3134"/>
  </conditionalFormatting>
  <conditionalFormatting sqref="B700">
    <cfRule type="duplicateValues" dxfId="1" priority="3133"/>
  </conditionalFormatting>
  <conditionalFormatting sqref="B701">
    <cfRule type="duplicateValues" dxfId="1" priority="3132"/>
  </conditionalFormatting>
  <conditionalFormatting sqref="B702">
    <cfRule type="duplicateValues" dxfId="1" priority="3131"/>
  </conditionalFormatting>
  <conditionalFormatting sqref="B703">
    <cfRule type="duplicateValues" dxfId="1" priority="3130"/>
  </conditionalFormatting>
  <conditionalFormatting sqref="B704">
    <cfRule type="duplicateValues" dxfId="1" priority="3129"/>
  </conditionalFormatting>
  <conditionalFormatting sqref="B705">
    <cfRule type="duplicateValues" dxfId="1" priority="3128"/>
  </conditionalFormatting>
  <conditionalFormatting sqref="B706">
    <cfRule type="duplicateValues" dxfId="1" priority="3127"/>
  </conditionalFormatting>
  <conditionalFormatting sqref="B707">
    <cfRule type="duplicateValues" dxfId="1" priority="3126"/>
  </conditionalFormatting>
  <conditionalFormatting sqref="B708">
    <cfRule type="duplicateValues" dxfId="1" priority="3125"/>
  </conditionalFormatting>
  <conditionalFormatting sqref="B709">
    <cfRule type="duplicateValues" dxfId="1" priority="3124"/>
  </conditionalFormatting>
  <conditionalFormatting sqref="B710">
    <cfRule type="duplicateValues" dxfId="1" priority="3123"/>
  </conditionalFormatting>
  <conditionalFormatting sqref="B711">
    <cfRule type="duplicateValues" dxfId="1" priority="3122"/>
  </conditionalFormatting>
  <conditionalFormatting sqref="B712">
    <cfRule type="duplicateValues" dxfId="1" priority="3121"/>
  </conditionalFormatting>
  <conditionalFormatting sqref="B713">
    <cfRule type="duplicateValues" dxfId="1" priority="3120"/>
  </conditionalFormatting>
  <conditionalFormatting sqref="B714">
    <cfRule type="duplicateValues" dxfId="1" priority="3119"/>
  </conditionalFormatting>
  <conditionalFormatting sqref="B715">
    <cfRule type="duplicateValues" dxfId="1" priority="3118"/>
  </conditionalFormatting>
  <conditionalFormatting sqref="B716">
    <cfRule type="duplicateValues" dxfId="1" priority="3117"/>
  </conditionalFormatting>
  <conditionalFormatting sqref="B717">
    <cfRule type="duplicateValues" dxfId="1" priority="3116"/>
  </conditionalFormatting>
  <conditionalFormatting sqref="B718">
    <cfRule type="duplicateValues" dxfId="1" priority="3115"/>
  </conditionalFormatting>
  <conditionalFormatting sqref="B719">
    <cfRule type="duplicateValues" dxfId="1" priority="3114"/>
  </conditionalFormatting>
  <conditionalFormatting sqref="B720">
    <cfRule type="duplicateValues" dxfId="1" priority="3113"/>
  </conditionalFormatting>
  <conditionalFormatting sqref="B721">
    <cfRule type="duplicateValues" dxfId="1" priority="3112"/>
  </conditionalFormatting>
  <conditionalFormatting sqref="B722">
    <cfRule type="duplicateValues" dxfId="1" priority="3111"/>
  </conditionalFormatting>
  <conditionalFormatting sqref="B723">
    <cfRule type="duplicateValues" dxfId="1" priority="3110"/>
  </conditionalFormatting>
  <conditionalFormatting sqref="B724">
    <cfRule type="duplicateValues" dxfId="1" priority="3109"/>
  </conditionalFormatting>
  <conditionalFormatting sqref="B725">
    <cfRule type="duplicateValues" dxfId="1" priority="3108"/>
  </conditionalFormatting>
  <conditionalFormatting sqref="B726">
    <cfRule type="duplicateValues" dxfId="1" priority="3107"/>
  </conditionalFormatting>
  <conditionalFormatting sqref="B727">
    <cfRule type="duplicateValues" dxfId="1" priority="3106"/>
  </conditionalFormatting>
  <conditionalFormatting sqref="B728">
    <cfRule type="duplicateValues" dxfId="1" priority="3105"/>
  </conditionalFormatting>
  <conditionalFormatting sqref="B729">
    <cfRule type="duplicateValues" dxfId="1" priority="3104"/>
  </conditionalFormatting>
  <conditionalFormatting sqref="B730">
    <cfRule type="duplicateValues" dxfId="1" priority="3103"/>
  </conditionalFormatting>
  <conditionalFormatting sqref="B731">
    <cfRule type="duplicateValues" dxfId="1" priority="3102"/>
  </conditionalFormatting>
  <conditionalFormatting sqref="B732">
    <cfRule type="duplicateValues" dxfId="1" priority="3101"/>
  </conditionalFormatting>
  <conditionalFormatting sqref="B733">
    <cfRule type="duplicateValues" dxfId="1" priority="3100"/>
  </conditionalFormatting>
  <conditionalFormatting sqref="B734">
    <cfRule type="duplicateValues" dxfId="1" priority="3099"/>
  </conditionalFormatting>
  <conditionalFormatting sqref="B735">
    <cfRule type="duplicateValues" dxfId="1" priority="3098"/>
  </conditionalFormatting>
  <conditionalFormatting sqref="B736">
    <cfRule type="duplicateValues" dxfId="1" priority="3097"/>
  </conditionalFormatting>
  <conditionalFormatting sqref="B737">
    <cfRule type="duplicateValues" dxfId="1" priority="3096"/>
  </conditionalFormatting>
  <conditionalFormatting sqref="B738">
    <cfRule type="duplicateValues" dxfId="1" priority="3095"/>
  </conditionalFormatting>
  <conditionalFormatting sqref="B739">
    <cfRule type="duplicateValues" dxfId="1" priority="3094"/>
  </conditionalFormatting>
  <conditionalFormatting sqref="B740">
    <cfRule type="duplicateValues" dxfId="1" priority="3093"/>
  </conditionalFormatting>
  <conditionalFormatting sqref="B741">
    <cfRule type="duplicateValues" dxfId="1" priority="3092"/>
  </conditionalFormatting>
  <conditionalFormatting sqref="B742">
    <cfRule type="duplicateValues" dxfId="1" priority="3091"/>
  </conditionalFormatting>
  <conditionalFormatting sqref="B743">
    <cfRule type="duplicateValues" dxfId="1" priority="3090"/>
  </conditionalFormatting>
  <conditionalFormatting sqref="B744">
    <cfRule type="duplicateValues" dxfId="1" priority="3089"/>
  </conditionalFormatting>
  <conditionalFormatting sqref="B745">
    <cfRule type="duplicateValues" dxfId="1" priority="3088"/>
  </conditionalFormatting>
  <conditionalFormatting sqref="B746">
    <cfRule type="duplicateValues" dxfId="1" priority="3087"/>
  </conditionalFormatting>
  <conditionalFormatting sqref="B747">
    <cfRule type="duplicateValues" dxfId="1" priority="3086"/>
  </conditionalFormatting>
  <conditionalFormatting sqref="B748">
    <cfRule type="duplicateValues" dxfId="1" priority="3085"/>
  </conditionalFormatting>
  <conditionalFormatting sqref="B749">
    <cfRule type="duplicateValues" dxfId="1" priority="3084"/>
  </conditionalFormatting>
  <conditionalFormatting sqref="B750">
    <cfRule type="duplicateValues" dxfId="1" priority="3083"/>
  </conditionalFormatting>
  <conditionalFormatting sqref="B751">
    <cfRule type="duplicateValues" dxfId="1" priority="3082"/>
  </conditionalFormatting>
  <conditionalFormatting sqref="B752">
    <cfRule type="duplicateValues" dxfId="1" priority="3081"/>
  </conditionalFormatting>
  <conditionalFormatting sqref="B753">
    <cfRule type="duplicateValues" dxfId="1" priority="3080"/>
  </conditionalFormatting>
  <conditionalFormatting sqref="B754">
    <cfRule type="duplicateValues" dxfId="1" priority="3079"/>
  </conditionalFormatting>
  <conditionalFormatting sqref="B755">
    <cfRule type="duplicateValues" dxfId="1" priority="3078"/>
  </conditionalFormatting>
  <conditionalFormatting sqref="B756">
    <cfRule type="duplicateValues" dxfId="1" priority="3077"/>
  </conditionalFormatting>
  <conditionalFormatting sqref="B757">
    <cfRule type="duplicateValues" dxfId="1" priority="3076"/>
  </conditionalFormatting>
  <conditionalFormatting sqref="B758">
    <cfRule type="duplicateValues" dxfId="1" priority="3075"/>
  </conditionalFormatting>
  <conditionalFormatting sqref="B759">
    <cfRule type="duplicateValues" dxfId="1" priority="3074"/>
  </conditionalFormatting>
  <conditionalFormatting sqref="B760">
    <cfRule type="duplicateValues" dxfId="1" priority="3073"/>
  </conditionalFormatting>
  <conditionalFormatting sqref="B761">
    <cfRule type="duplicateValues" dxfId="1" priority="3072"/>
  </conditionalFormatting>
  <conditionalFormatting sqref="B762">
    <cfRule type="duplicateValues" dxfId="1" priority="3071"/>
  </conditionalFormatting>
  <conditionalFormatting sqref="B763">
    <cfRule type="duplicateValues" dxfId="1" priority="3070"/>
  </conditionalFormatting>
  <conditionalFormatting sqref="B764">
    <cfRule type="duplicateValues" dxfId="1" priority="3069"/>
  </conditionalFormatting>
  <conditionalFormatting sqref="B765">
    <cfRule type="duplicateValues" dxfId="1" priority="3068"/>
  </conditionalFormatting>
  <conditionalFormatting sqref="B766">
    <cfRule type="duplicateValues" dxfId="1" priority="3067"/>
  </conditionalFormatting>
  <conditionalFormatting sqref="B767">
    <cfRule type="duplicateValues" dxfId="1" priority="3066"/>
  </conditionalFormatting>
  <conditionalFormatting sqref="B768">
    <cfRule type="duplicateValues" dxfId="1" priority="3065"/>
  </conditionalFormatting>
  <conditionalFormatting sqref="B769">
    <cfRule type="duplicateValues" dxfId="1" priority="3064"/>
  </conditionalFormatting>
  <conditionalFormatting sqref="B770">
    <cfRule type="duplicateValues" dxfId="1" priority="3063"/>
  </conditionalFormatting>
  <conditionalFormatting sqref="B771">
    <cfRule type="duplicateValues" dxfId="1" priority="3062"/>
  </conditionalFormatting>
  <conditionalFormatting sqref="B772">
    <cfRule type="duplicateValues" dxfId="1" priority="3061"/>
  </conditionalFormatting>
  <conditionalFormatting sqref="B773">
    <cfRule type="duplicateValues" dxfId="1" priority="3060"/>
  </conditionalFormatting>
  <conditionalFormatting sqref="B774">
    <cfRule type="duplicateValues" dxfId="1" priority="3059"/>
  </conditionalFormatting>
  <conditionalFormatting sqref="B775">
    <cfRule type="duplicateValues" dxfId="1" priority="3058"/>
  </conditionalFormatting>
  <conditionalFormatting sqref="B776">
    <cfRule type="duplicateValues" dxfId="1" priority="3057"/>
  </conditionalFormatting>
  <conditionalFormatting sqref="B777">
    <cfRule type="duplicateValues" dxfId="1" priority="3056"/>
  </conditionalFormatting>
  <conditionalFormatting sqref="B778">
    <cfRule type="duplicateValues" dxfId="1" priority="3055"/>
  </conditionalFormatting>
  <conditionalFormatting sqref="B779">
    <cfRule type="duplicateValues" dxfId="1" priority="3054"/>
  </conditionalFormatting>
  <conditionalFormatting sqref="B780">
    <cfRule type="duplicateValues" dxfId="1" priority="3053"/>
  </conditionalFormatting>
  <conditionalFormatting sqref="B781">
    <cfRule type="duplicateValues" dxfId="1" priority="3052"/>
  </conditionalFormatting>
  <conditionalFormatting sqref="B782">
    <cfRule type="duplicateValues" dxfId="1" priority="3051"/>
  </conditionalFormatting>
  <conditionalFormatting sqref="B783">
    <cfRule type="duplicateValues" dxfId="1" priority="3050"/>
  </conditionalFormatting>
  <conditionalFormatting sqref="B784">
    <cfRule type="duplicateValues" dxfId="1" priority="3049"/>
  </conditionalFormatting>
  <conditionalFormatting sqref="B785">
    <cfRule type="duplicateValues" dxfId="1" priority="3048"/>
  </conditionalFormatting>
  <conditionalFormatting sqref="B786">
    <cfRule type="duplicateValues" dxfId="1" priority="3047"/>
  </conditionalFormatting>
  <conditionalFormatting sqref="B787">
    <cfRule type="duplicateValues" dxfId="1" priority="3046"/>
  </conditionalFormatting>
  <conditionalFormatting sqref="B788">
    <cfRule type="duplicateValues" dxfId="1" priority="3045"/>
  </conditionalFormatting>
  <conditionalFormatting sqref="B789">
    <cfRule type="duplicateValues" dxfId="1" priority="3044"/>
  </conditionalFormatting>
  <conditionalFormatting sqref="B790">
    <cfRule type="duplicateValues" dxfId="1" priority="3043"/>
  </conditionalFormatting>
  <conditionalFormatting sqref="B791">
    <cfRule type="duplicateValues" dxfId="1" priority="3042"/>
  </conditionalFormatting>
  <conditionalFormatting sqref="B792">
    <cfRule type="duplicateValues" dxfId="1" priority="3041"/>
  </conditionalFormatting>
  <conditionalFormatting sqref="B793">
    <cfRule type="duplicateValues" dxfId="1" priority="3040"/>
  </conditionalFormatting>
  <conditionalFormatting sqref="B794">
    <cfRule type="duplicateValues" dxfId="1" priority="3039"/>
  </conditionalFormatting>
  <conditionalFormatting sqref="B795">
    <cfRule type="duplicateValues" dxfId="1" priority="3038"/>
  </conditionalFormatting>
  <conditionalFormatting sqref="B796">
    <cfRule type="duplicateValues" dxfId="1" priority="3037"/>
  </conditionalFormatting>
  <conditionalFormatting sqref="B797">
    <cfRule type="duplicateValues" dxfId="1" priority="3036"/>
  </conditionalFormatting>
  <conditionalFormatting sqref="B798">
    <cfRule type="duplicateValues" dxfId="1" priority="3035"/>
  </conditionalFormatting>
  <conditionalFormatting sqref="B799">
    <cfRule type="duplicateValues" dxfId="1" priority="3034"/>
  </conditionalFormatting>
  <conditionalFormatting sqref="B800">
    <cfRule type="duplicateValues" dxfId="1" priority="3033"/>
  </conditionalFormatting>
  <conditionalFormatting sqref="B801">
    <cfRule type="duplicateValues" dxfId="1" priority="3032"/>
  </conditionalFormatting>
  <conditionalFormatting sqref="B802">
    <cfRule type="duplicateValues" dxfId="1" priority="3031"/>
  </conditionalFormatting>
  <conditionalFormatting sqref="B803">
    <cfRule type="duplicateValues" dxfId="1" priority="3030"/>
  </conditionalFormatting>
  <conditionalFormatting sqref="B804">
    <cfRule type="duplicateValues" dxfId="1" priority="3029"/>
  </conditionalFormatting>
  <conditionalFormatting sqref="B805">
    <cfRule type="duplicateValues" dxfId="1" priority="3028"/>
  </conditionalFormatting>
  <conditionalFormatting sqref="B806">
    <cfRule type="duplicateValues" dxfId="1" priority="3027"/>
  </conditionalFormatting>
  <conditionalFormatting sqref="B807">
    <cfRule type="duplicateValues" dxfId="1" priority="3026"/>
  </conditionalFormatting>
  <conditionalFormatting sqref="B808">
    <cfRule type="duplicateValues" dxfId="1" priority="3025"/>
  </conditionalFormatting>
  <conditionalFormatting sqref="B809">
    <cfRule type="duplicateValues" dxfId="1" priority="3024"/>
  </conditionalFormatting>
  <conditionalFormatting sqref="B810">
    <cfRule type="duplicateValues" dxfId="1" priority="3023"/>
  </conditionalFormatting>
  <conditionalFormatting sqref="B811">
    <cfRule type="duplicateValues" dxfId="1" priority="3022"/>
  </conditionalFormatting>
  <conditionalFormatting sqref="B812">
    <cfRule type="duplicateValues" dxfId="1" priority="3021"/>
  </conditionalFormatting>
  <conditionalFormatting sqref="B813">
    <cfRule type="duplicateValues" dxfId="1" priority="3020"/>
  </conditionalFormatting>
  <conditionalFormatting sqref="B814">
    <cfRule type="duplicateValues" dxfId="1" priority="3019"/>
  </conditionalFormatting>
  <conditionalFormatting sqref="B815">
    <cfRule type="duplicateValues" dxfId="1" priority="3018"/>
  </conditionalFormatting>
  <conditionalFormatting sqref="B816">
    <cfRule type="duplicateValues" dxfId="1" priority="3017"/>
  </conditionalFormatting>
  <conditionalFormatting sqref="B817">
    <cfRule type="duplicateValues" dxfId="1" priority="3016"/>
  </conditionalFormatting>
  <conditionalFormatting sqref="B818">
    <cfRule type="duplicateValues" dxfId="1" priority="3015"/>
  </conditionalFormatting>
  <conditionalFormatting sqref="B819">
    <cfRule type="duplicateValues" dxfId="1" priority="3014"/>
  </conditionalFormatting>
  <conditionalFormatting sqref="B820">
    <cfRule type="duplicateValues" dxfId="1" priority="3013"/>
  </conditionalFormatting>
  <conditionalFormatting sqref="B821">
    <cfRule type="duplicateValues" dxfId="1" priority="3012"/>
  </conditionalFormatting>
  <conditionalFormatting sqref="B822">
    <cfRule type="duplicateValues" dxfId="1" priority="3011"/>
  </conditionalFormatting>
  <conditionalFormatting sqref="B823">
    <cfRule type="duplicateValues" dxfId="1" priority="3010"/>
  </conditionalFormatting>
  <conditionalFormatting sqref="B824">
    <cfRule type="duplicateValues" dxfId="1" priority="3009"/>
  </conditionalFormatting>
  <conditionalFormatting sqref="B825">
    <cfRule type="duplicateValues" dxfId="1" priority="3008"/>
  </conditionalFormatting>
  <conditionalFormatting sqref="B826">
    <cfRule type="duplicateValues" dxfId="1" priority="3007"/>
  </conditionalFormatting>
  <conditionalFormatting sqref="B827">
    <cfRule type="duplicateValues" dxfId="1" priority="3006"/>
  </conditionalFormatting>
  <conditionalFormatting sqref="B828">
    <cfRule type="duplicateValues" dxfId="1" priority="3005"/>
  </conditionalFormatting>
  <conditionalFormatting sqref="B829">
    <cfRule type="duplicateValues" dxfId="1" priority="3004"/>
  </conditionalFormatting>
  <conditionalFormatting sqref="B830">
    <cfRule type="duplicateValues" dxfId="1" priority="3003"/>
  </conditionalFormatting>
  <conditionalFormatting sqref="B831">
    <cfRule type="duplicateValues" dxfId="1" priority="3002"/>
  </conditionalFormatting>
  <conditionalFormatting sqref="B832">
    <cfRule type="duplicateValues" dxfId="1" priority="3001"/>
  </conditionalFormatting>
  <conditionalFormatting sqref="B833">
    <cfRule type="duplicateValues" dxfId="1" priority="3000"/>
  </conditionalFormatting>
  <conditionalFormatting sqref="B834">
    <cfRule type="duplicateValues" dxfId="1" priority="2999"/>
  </conditionalFormatting>
  <conditionalFormatting sqref="B835">
    <cfRule type="duplicateValues" dxfId="1" priority="2998"/>
  </conditionalFormatting>
  <conditionalFormatting sqref="B836">
    <cfRule type="duplicateValues" dxfId="1" priority="2997"/>
  </conditionalFormatting>
  <conditionalFormatting sqref="B837">
    <cfRule type="duplicateValues" dxfId="1" priority="2996"/>
  </conditionalFormatting>
  <conditionalFormatting sqref="B838">
    <cfRule type="duplicateValues" dxfId="1" priority="2995"/>
  </conditionalFormatting>
  <conditionalFormatting sqref="B839">
    <cfRule type="duplicateValues" dxfId="1" priority="2994"/>
  </conditionalFormatting>
  <conditionalFormatting sqref="B840">
    <cfRule type="duplicateValues" dxfId="1" priority="2993"/>
  </conditionalFormatting>
  <conditionalFormatting sqref="B841">
    <cfRule type="duplicateValues" dxfId="1" priority="2992"/>
  </conditionalFormatting>
  <conditionalFormatting sqref="B842">
    <cfRule type="duplicateValues" dxfId="1" priority="2991"/>
  </conditionalFormatting>
  <conditionalFormatting sqref="B843">
    <cfRule type="duplicateValues" dxfId="1" priority="2990"/>
  </conditionalFormatting>
  <conditionalFormatting sqref="B844">
    <cfRule type="duplicateValues" dxfId="1" priority="2989"/>
  </conditionalFormatting>
  <conditionalFormatting sqref="B845">
    <cfRule type="duplicateValues" dxfId="1" priority="2988"/>
  </conditionalFormatting>
  <conditionalFormatting sqref="B846">
    <cfRule type="duplicateValues" dxfId="1" priority="2987"/>
  </conditionalFormatting>
  <conditionalFormatting sqref="B847">
    <cfRule type="duplicateValues" dxfId="1" priority="2986"/>
  </conditionalFormatting>
  <conditionalFormatting sqref="B848">
    <cfRule type="duplicateValues" dxfId="1" priority="2985"/>
  </conditionalFormatting>
  <conditionalFormatting sqref="B849">
    <cfRule type="duplicateValues" dxfId="1" priority="2984"/>
  </conditionalFormatting>
  <conditionalFormatting sqref="B850">
    <cfRule type="duplicateValues" dxfId="1" priority="2983"/>
  </conditionalFormatting>
  <conditionalFormatting sqref="B851">
    <cfRule type="duplicateValues" dxfId="1" priority="2982"/>
  </conditionalFormatting>
  <conditionalFormatting sqref="B852">
    <cfRule type="duplicateValues" dxfId="1" priority="2981"/>
  </conditionalFormatting>
  <conditionalFormatting sqref="B853">
    <cfRule type="duplicateValues" dxfId="1" priority="2980"/>
  </conditionalFormatting>
  <conditionalFormatting sqref="B854">
    <cfRule type="duplicateValues" dxfId="1" priority="2979"/>
  </conditionalFormatting>
  <conditionalFormatting sqref="B855">
    <cfRule type="duplicateValues" dxfId="1" priority="2978"/>
  </conditionalFormatting>
  <conditionalFormatting sqref="B856">
    <cfRule type="duplicateValues" dxfId="1" priority="2977"/>
  </conditionalFormatting>
  <conditionalFormatting sqref="B857">
    <cfRule type="duplicateValues" dxfId="1" priority="2976"/>
  </conditionalFormatting>
  <conditionalFormatting sqref="B858">
    <cfRule type="duplicateValues" dxfId="1" priority="2975"/>
  </conditionalFormatting>
  <conditionalFormatting sqref="B859">
    <cfRule type="duplicateValues" dxfId="1" priority="2974"/>
  </conditionalFormatting>
  <conditionalFormatting sqref="B860">
    <cfRule type="duplicateValues" dxfId="1" priority="2973"/>
  </conditionalFormatting>
  <conditionalFormatting sqref="B861">
    <cfRule type="duplicateValues" dxfId="1" priority="2972"/>
  </conditionalFormatting>
  <conditionalFormatting sqref="B862">
    <cfRule type="duplicateValues" dxfId="1" priority="2971"/>
  </conditionalFormatting>
  <conditionalFormatting sqref="B863">
    <cfRule type="duplicateValues" dxfId="1" priority="2970"/>
  </conditionalFormatting>
  <conditionalFormatting sqref="B864">
    <cfRule type="duplicateValues" dxfId="1" priority="2969"/>
  </conditionalFormatting>
  <conditionalFormatting sqref="B865">
    <cfRule type="duplicateValues" dxfId="1" priority="2968"/>
  </conditionalFormatting>
  <conditionalFormatting sqref="B866">
    <cfRule type="duplicateValues" dxfId="1" priority="2967"/>
  </conditionalFormatting>
  <conditionalFormatting sqref="B867">
    <cfRule type="duplicateValues" dxfId="1" priority="2966"/>
  </conditionalFormatting>
  <conditionalFormatting sqref="B868">
    <cfRule type="duplicateValues" dxfId="1" priority="2965"/>
  </conditionalFormatting>
  <conditionalFormatting sqref="B869">
    <cfRule type="duplicateValues" dxfId="1" priority="2964"/>
  </conditionalFormatting>
  <conditionalFormatting sqref="B870">
    <cfRule type="duplicateValues" dxfId="1" priority="2963"/>
  </conditionalFormatting>
  <conditionalFormatting sqref="B871">
    <cfRule type="duplicateValues" dxfId="1" priority="2962"/>
  </conditionalFormatting>
  <conditionalFormatting sqref="B872">
    <cfRule type="duplicateValues" dxfId="1" priority="2961"/>
  </conditionalFormatting>
  <conditionalFormatting sqref="B873">
    <cfRule type="duplicateValues" dxfId="1" priority="2960"/>
  </conditionalFormatting>
  <conditionalFormatting sqref="B874">
    <cfRule type="duplicateValues" dxfId="1" priority="2959"/>
  </conditionalFormatting>
  <conditionalFormatting sqref="B875">
    <cfRule type="duplicateValues" dxfId="1" priority="2958"/>
  </conditionalFormatting>
  <conditionalFormatting sqref="B876">
    <cfRule type="duplicateValues" dxfId="1" priority="2957"/>
  </conditionalFormatting>
  <conditionalFormatting sqref="B877">
    <cfRule type="duplicateValues" dxfId="1" priority="2956"/>
  </conditionalFormatting>
  <conditionalFormatting sqref="B878">
    <cfRule type="duplicateValues" dxfId="1" priority="2955"/>
  </conditionalFormatting>
  <conditionalFormatting sqref="B879">
    <cfRule type="duplicateValues" dxfId="1" priority="2954"/>
  </conditionalFormatting>
  <conditionalFormatting sqref="B880">
    <cfRule type="duplicateValues" dxfId="1" priority="2953"/>
  </conditionalFormatting>
  <conditionalFormatting sqref="B881">
    <cfRule type="duplicateValues" dxfId="1" priority="2952"/>
  </conditionalFormatting>
  <conditionalFormatting sqref="B882">
    <cfRule type="duplicateValues" dxfId="1" priority="2951"/>
  </conditionalFormatting>
  <conditionalFormatting sqref="B883">
    <cfRule type="duplicateValues" dxfId="1" priority="2950"/>
  </conditionalFormatting>
  <conditionalFormatting sqref="B884">
    <cfRule type="duplicateValues" dxfId="1" priority="2949"/>
  </conditionalFormatting>
  <conditionalFormatting sqref="B885">
    <cfRule type="duplicateValues" dxfId="1" priority="2948"/>
  </conditionalFormatting>
  <conditionalFormatting sqref="B886">
    <cfRule type="duplicateValues" dxfId="1" priority="2947"/>
  </conditionalFormatting>
  <conditionalFormatting sqref="B887">
    <cfRule type="duplicateValues" dxfId="1" priority="2946"/>
  </conditionalFormatting>
  <conditionalFormatting sqref="B888">
    <cfRule type="duplicateValues" dxfId="1" priority="2945"/>
  </conditionalFormatting>
  <conditionalFormatting sqref="B889">
    <cfRule type="duplicateValues" dxfId="1" priority="2944"/>
  </conditionalFormatting>
  <conditionalFormatting sqref="B890">
    <cfRule type="duplicateValues" dxfId="1" priority="2943"/>
  </conditionalFormatting>
  <conditionalFormatting sqref="B891">
    <cfRule type="duplicateValues" dxfId="1" priority="2942"/>
  </conditionalFormatting>
  <conditionalFormatting sqref="B892">
    <cfRule type="duplicateValues" dxfId="1" priority="2941"/>
  </conditionalFormatting>
  <conditionalFormatting sqref="B893">
    <cfRule type="duplicateValues" dxfId="1" priority="2940"/>
  </conditionalFormatting>
  <conditionalFormatting sqref="B894">
    <cfRule type="duplicateValues" dxfId="1" priority="2939"/>
  </conditionalFormatting>
  <conditionalFormatting sqref="B895">
    <cfRule type="duplicateValues" dxfId="1" priority="2938"/>
  </conditionalFormatting>
  <conditionalFormatting sqref="B896">
    <cfRule type="duplicateValues" dxfId="1" priority="2937"/>
  </conditionalFormatting>
  <conditionalFormatting sqref="B897">
    <cfRule type="duplicateValues" dxfId="1" priority="2936"/>
  </conditionalFormatting>
  <conditionalFormatting sqref="B898">
    <cfRule type="duplicateValues" dxfId="1" priority="2935"/>
  </conditionalFormatting>
  <conditionalFormatting sqref="B899">
    <cfRule type="duplicateValues" dxfId="1" priority="2934"/>
  </conditionalFormatting>
  <conditionalFormatting sqref="B900">
    <cfRule type="duplicateValues" dxfId="1" priority="2933"/>
  </conditionalFormatting>
  <conditionalFormatting sqref="B901">
    <cfRule type="duplicateValues" dxfId="1" priority="2932"/>
  </conditionalFormatting>
  <conditionalFormatting sqref="B902">
    <cfRule type="duplicateValues" dxfId="1" priority="2931"/>
  </conditionalFormatting>
  <conditionalFormatting sqref="B903">
    <cfRule type="duplicateValues" dxfId="1" priority="2930"/>
  </conditionalFormatting>
  <conditionalFormatting sqref="B904">
    <cfRule type="duplicateValues" dxfId="1" priority="2929"/>
  </conditionalFormatting>
  <conditionalFormatting sqref="B905">
    <cfRule type="duplicateValues" dxfId="1" priority="2928"/>
  </conditionalFormatting>
  <conditionalFormatting sqref="B906">
    <cfRule type="duplicateValues" dxfId="1" priority="2927"/>
  </conditionalFormatting>
  <conditionalFormatting sqref="B907">
    <cfRule type="duplicateValues" dxfId="1" priority="2926"/>
  </conditionalFormatting>
  <conditionalFormatting sqref="B908">
    <cfRule type="duplicateValues" dxfId="1" priority="2925"/>
  </conditionalFormatting>
  <conditionalFormatting sqref="B909">
    <cfRule type="duplicateValues" dxfId="1" priority="2924"/>
  </conditionalFormatting>
  <conditionalFormatting sqref="B910">
    <cfRule type="duplicateValues" dxfId="1" priority="2923"/>
  </conditionalFormatting>
  <conditionalFormatting sqref="B911">
    <cfRule type="duplicateValues" dxfId="1" priority="2922"/>
  </conditionalFormatting>
  <conditionalFormatting sqref="B912">
    <cfRule type="duplicateValues" dxfId="1" priority="2921"/>
  </conditionalFormatting>
  <conditionalFormatting sqref="B913">
    <cfRule type="duplicateValues" dxfId="1" priority="2920"/>
  </conditionalFormatting>
  <conditionalFormatting sqref="B914">
    <cfRule type="duplicateValues" dxfId="1" priority="2919"/>
  </conditionalFormatting>
  <conditionalFormatting sqref="B915">
    <cfRule type="duplicateValues" dxfId="1" priority="2918"/>
  </conditionalFormatting>
  <conditionalFormatting sqref="B916">
    <cfRule type="duplicateValues" dxfId="1" priority="2917"/>
  </conditionalFormatting>
  <conditionalFormatting sqref="B917">
    <cfRule type="duplicateValues" dxfId="1" priority="2916"/>
  </conditionalFormatting>
  <conditionalFormatting sqref="B918">
    <cfRule type="duplicateValues" dxfId="1" priority="2915"/>
  </conditionalFormatting>
  <conditionalFormatting sqref="B919">
    <cfRule type="duplicateValues" dxfId="1" priority="2914"/>
  </conditionalFormatting>
  <conditionalFormatting sqref="B920">
    <cfRule type="duplicateValues" dxfId="1" priority="2913"/>
  </conditionalFormatting>
  <conditionalFormatting sqref="B921">
    <cfRule type="duplicateValues" dxfId="1" priority="2912"/>
  </conditionalFormatting>
  <conditionalFormatting sqref="B922">
    <cfRule type="duplicateValues" dxfId="1" priority="2911"/>
  </conditionalFormatting>
  <conditionalFormatting sqref="B923">
    <cfRule type="duplicateValues" dxfId="1" priority="2910"/>
  </conditionalFormatting>
  <conditionalFormatting sqref="B924">
    <cfRule type="duplicateValues" dxfId="1" priority="2909"/>
  </conditionalFormatting>
  <conditionalFormatting sqref="B925">
    <cfRule type="duplicateValues" dxfId="1" priority="2908"/>
  </conditionalFormatting>
  <conditionalFormatting sqref="B926">
    <cfRule type="duplicateValues" dxfId="1" priority="2907"/>
  </conditionalFormatting>
  <conditionalFormatting sqref="B927">
    <cfRule type="duplicateValues" dxfId="1" priority="2906"/>
  </conditionalFormatting>
  <conditionalFormatting sqref="B928">
    <cfRule type="duplicateValues" dxfId="1" priority="2905"/>
  </conditionalFormatting>
  <conditionalFormatting sqref="B929">
    <cfRule type="duplicateValues" dxfId="1" priority="2904"/>
  </conditionalFormatting>
  <conditionalFormatting sqref="B930">
    <cfRule type="duplicateValues" dxfId="1" priority="2903"/>
  </conditionalFormatting>
  <conditionalFormatting sqref="B931">
    <cfRule type="duplicateValues" dxfId="1" priority="2902"/>
  </conditionalFormatting>
  <conditionalFormatting sqref="B932">
    <cfRule type="duplicateValues" dxfId="1" priority="2901"/>
  </conditionalFormatting>
  <conditionalFormatting sqref="B933">
    <cfRule type="duplicateValues" dxfId="1" priority="2900"/>
  </conditionalFormatting>
  <conditionalFormatting sqref="B934">
    <cfRule type="duplicateValues" dxfId="1" priority="2899"/>
  </conditionalFormatting>
  <conditionalFormatting sqref="B935">
    <cfRule type="duplicateValues" dxfId="1" priority="2898"/>
  </conditionalFormatting>
  <conditionalFormatting sqref="B936">
    <cfRule type="duplicateValues" dxfId="1" priority="2897"/>
  </conditionalFormatting>
  <conditionalFormatting sqref="B937">
    <cfRule type="duplicateValues" dxfId="1" priority="2896"/>
  </conditionalFormatting>
  <conditionalFormatting sqref="B938">
    <cfRule type="duplicateValues" dxfId="1" priority="2895"/>
  </conditionalFormatting>
  <conditionalFormatting sqref="B939">
    <cfRule type="duplicateValues" dxfId="1" priority="2894"/>
  </conditionalFormatting>
  <conditionalFormatting sqref="B940">
    <cfRule type="duplicateValues" dxfId="1" priority="2893"/>
  </conditionalFormatting>
  <conditionalFormatting sqref="B941">
    <cfRule type="duplicateValues" dxfId="1" priority="2892"/>
  </conditionalFormatting>
  <conditionalFormatting sqref="B942">
    <cfRule type="duplicateValues" dxfId="1" priority="2891"/>
  </conditionalFormatting>
  <conditionalFormatting sqref="B943">
    <cfRule type="duplicateValues" dxfId="1" priority="2890"/>
  </conditionalFormatting>
  <conditionalFormatting sqref="B944">
    <cfRule type="duplicateValues" dxfId="1" priority="2889"/>
  </conditionalFormatting>
  <conditionalFormatting sqref="B945">
    <cfRule type="duplicateValues" dxfId="1" priority="2888"/>
  </conditionalFormatting>
  <conditionalFormatting sqref="B946">
    <cfRule type="duplicateValues" dxfId="1" priority="2887"/>
  </conditionalFormatting>
  <conditionalFormatting sqref="B947">
    <cfRule type="duplicateValues" dxfId="1" priority="2886"/>
  </conditionalFormatting>
  <conditionalFormatting sqref="B948">
    <cfRule type="duplicateValues" dxfId="1" priority="2885"/>
  </conditionalFormatting>
  <conditionalFormatting sqref="B949">
    <cfRule type="duplicateValues" dxfId="1" priority="2884"/>
  </conditionalFormatting>
  <conditionalFormatting sqref="B950">
    <cfRule type="duplicateValues" dxfId="1" priority="2883"/>
  </conditionalFormatting>
  <conditionalFormatting sqref="B951">
    <cfRule type="duplicateValues" dxfId="1" priority="2882"/>
  </conditionalFormatting>
  <conditionalFormatting sqref="B952">
    <cfRule type="duplicateValues" dxfId="1" priority="2881"/>
  </conditionalFormatting>
  <conditionalFormatting sqref="B953">
    <cfRule type="duplicateValues" dxfId="1" priority="2880"/>
  </conditionalFormatting>
  <conditionalFormatting sqref="B954">
    <cfRule type="duplicateValues" dxfId="1" priority="2879"/>
  </conditionalFormatting>
  <conditionalFormatting sqref="B955">
    <cfRule type="duplicateValues" dxfId="1" priority="2878"/>
  </conditionalFormatting>
  <conditionalFormatting sqref="B956">
    <cfRule type="duplicateValues" dxfId="1" priority="2877"/>
  </conditionalFormatting>
  <conditionalFormatting sqref="B957">
    <cfRule type="duplicateValues" dxfId="1" priority="2876"/>
  </conditionalFormatting>
  <conditionalFormatting sqref="B958">
    <cfRule type="duplicateValues" dxfId="1" priority="2875"/>
  </conditionalFormatting>
  <conditionalFormatting sqref="B959">
    <cfRule type="duplicateValues" dxfId="1" priority="2874"/>
  </conditionalFormatting>
  <conditionalFormatting sqref="B960">
    <cfRule type="duplicateValues" dxfId="1" priority="2873"/>
  </conditionalFormatting>
  <conditionalFormatting sqref="B961">
    <cfRule type="duplicateValues" dxfId="1" priority="2872"/>
  </conditionalFormatting>
  <conditionalFormatting sqref="B962">
    <cfRule type="duplicateValues" dxfId="1" priority="2871"/>
  </conditionalFormatting>
  <conditionalFormatting sqref="B963">
    <cfRule type="duplicateValues" dxfId="1" priority="2870"/>
  </conditionalFormatting>
  <conditionalFormatting sqref="B964">
    <cfRule type="duplicateValues" dxfId="1" priority="2869"/>
  </conditionalFormatting>
  <conditionalFormatting sqref="B965">
    <cfRule type="duplicateValues" dxfId="1" priority="2868"/>
  </conditionalFormatting>
  <conditionalFormatting sqref="B966">
    <cfRule type="duplicateValues" dxfId="1" priority="2867"/>
  </conditionalFormatting>
  <conditionalFormatting sqref="B967">
    <cfRule type="duplicateValues" dxfId="1" priority="2866"/>
  </conditionalFormatting>
  <conditionalFormatting sqref="B968">
    <cfRule type="duplicateValues" dxfId="1" priority="2865"/>
  </conditionalFormatting>
  <conditionalFormatting sqref="B969">
    <cfRule type="duplicateValues" dxfId="1" priority="2864"/>
  </conditionalFormatting>
  <conditionalFormatting sqref="B970">
    <cfRule type="duplicateValues" dxfId="1" priority="2863"/>
  </conditionalFormatting>
  <conditionalFormatting sqref="B971">
    <cfRule type="duplicateValues" dxfId="1" priority="2862"/>
  </conditionalFormatting>
  <conditionalFormatting sqref="B972">
    <cfRule type="duplicateValues" dxfId="1" priority="2861"/>
  </conditionalFormatting>
  <conditionalFormatting sqref="B973">
    <cfRule type="duplicateValues" dxfId="1" priority="2860"/>
  </conditionalFormatting>
  <conditionalFormatting sqref="B974">
    <cfRule type="duplicateValues" dxfId="1" priority="2859"/>
  </conditionalFormatting>
  <conditionalFormatting sqref="B975">
    <cfRule type="duplicateValues" dxfId="1" priority="2858"/>
  </conditionalFormatting>
  <conditionalFormatting sqref="B976">
    <cfRule type="duplicateValues" dxfId="1" priority="2857"/>
  </conditionalFormatting>
  <conditionalFormatting sqref="B977">
    <cfRule type="duplicateValues" dxfId="1" priority="2856"/>
  </conditionalFormatting>
  <conditionalFormatting sqref="B978">
    <cfRule type="duplicateValues" dxfId="1" priority="2855"/>
  </conditionalFormatting>
  <conditionalFormatting sqref="B979">
    <cfRule type="duplicateValues" dxfId="1" priority="2854"/>
  </conditionalFormatting>
  <conditionalFormatting sqref="B980">
    <cfRule type="duplicateValues" dxfId="1" priority="2853"/>
  </conditionalFormatting>
  <conditionalFormatting sqref="B981">
    <cfRule type="duplicateValues" dxfId="1" priority="2852"/>
  </conditionalFormatting>
  <conditionalFormatting sqref="B982">
    <cfRule type="duplicateValues" dxfId="1" priority="2851"/>
  </conditionalFormatting>
  <conditionalFormatting sqref="B983">
    <cfRule type="duplicateValues" dxfId="1" priority="2850"/>
  </conditionalFormatting>
  <conditionalFormatting sqref="B984">
    <cfRule type="duplicateValues" dxfId="1" priority="2849"/>
  </conditionalFormatting>
  <conditionalFormatting sqref="B985">
    <cfRule type="duplicateValues" dxfId="1" priority="2848"/>
  </conditionalFormatting>
  <conditionalFormatting sqref="B986">
    <cfRule type="duplicateValues" dxfId="1" priority="2847"/>
  </conditionalFormatting>
  <conditionalFormatting sqref="B987">
    <cfRule type="duplicateValues" dxfId="1" priority="2846"/>
  </conditionalFormatting>
  <conditionalFormatting sqref="B988">
    <cfRule type="duplicateValues" dxfId="1" priority="2845"/>
  </conditionalFormatting>
  <conditionalFormatting sqref="B989">
    <cfRule type="duplicateValues" dxfId="1" priority="2844"/>
  </conditionalFormatting>
  <conditionalFormatting sqref="B990">
    <cfRule type="duplicateValues" dxfId="1" priority="2843"/>
  </conditionalFormatting>
  <conditionalFormatting sqref="B991">
    <cfRule type="duplicateValues" dxfId="1" priority="2842"/>
  </conditionalFormatting>
  <conditionalFormatting sqref="B992">
    <cfRule type="duplicateValues" dxfId="1" priority="2841"/>
  </conditionalFormatting>
  <conditionalFormatting sqref="B993">
    <cfRule type="duplicateValues" dxfId="1" priority="2840"/>
  </conditionalFormatting>
  <conditionalFormatting sqref="B994">
    <cfRule type="duplicateValues" dxfId="1" priority="2839"/>
  </conditionalFormatting>
  <conditionalFormatting sqref="B995">
    <cfRule type="duplicateValues" dxfId="1" priority="2838"/>
  </conditionalFormatting>
  <conditionalFormatting sqref="B996">
    <cfRule type="duplicateValues" dxfId="1" priority="2837"/>
  </conditionalFormatting>
  <conditionalFormatting sqref="B997">
    <cfRule type="duplicateValues" dxfId="1" priority="2836"/>
  </conditionalFormatting>
  <conditionalFormatting sqref="B998">
    <cfRule type="duplicateValues" dxfId="1" priority="2835"/>
  </conditionalFormatting>
  <conditionalFormatting sqref="B999">
    <cfRule type="duplicateValues" dxfId="1" priority="2834"/>
  </conditionalFormatting>
  <conditionalFormatting sqref="B1000">
    <cfRule type="duplicateValues" dxfId="1" priority="2833"/>
  </conditionalFormatting>
  <conditionalFormatting sqref="B1001">
    <cfRule type="duplicateValues" dxfId="1" priority="2832"/>
  </conditionalFormatting>
  <conditionalFormatting sqref="B1002">
    <cfRule type="duplicateValues" dxfId="1" priority="2831"/>
  </conditionalFormatting>
  <conditionalFormatting sqref="B1003">
    <cfRule type="duplicateValues" dxfId="1" priority="2830"/>
  </conditionalFormatting>
  <conditionalFormatting sqref="B1004">
    <cfRule type="duplicateValues" dxfId="1" priority="2829"/>
  </conditionalFormatting>
  <conditionalFormatting sqref="B1005">
    <cfRule type="duplicateValues" dxfId="1" priority="2828"/>
  </conditionalFormatting>
  <conditionalFormatting sqref="B1006">
    <cfRule type="duplicateValues" dxfId="1" priority="2827"/>
  </conditionalFormatting>
  <conditionalFormatting sqref="B1007">
    <cfRule type="duplicateValues" dxfId="1" priority="2826"/>
  </conditionalFormatting>
  <conditionalFormatting sqref="B1008">
    <cfRule type="duplicateValues" dxfId="1" priority="2825"/>
  </conditionalFormatting>
  <conditionalFormatting sqref="B1009">
    <cfRule type="duplicateValues" dxfId="1" priority="2824"/>
  </conditionalFormatting>
  <conditionalFormatting sqref="B1010">
    <cfRule type="duplicateValues" dxfId="1" priority="2823"/>
  </conditionalFormatting>
  <conditionalFormatting sqref="B1011">
    <cfRule type="duplicateValues" dxfId="1" priority="2822"/>
  </conditionalFormatting>
  <conditionalFormatting sqref="B1012">
    <cfRule type="duplicateValues" dxfId="1" priority="2821"/>
  </conditionalFormatting>
  <conditionalFormatting sqref="B1013">
    <cfRule type="duplicateValues" dxfId="1" priority="2820"/>
  </conditionalFormatting>
  <conditionalFormatting sqref="B1014">
    <cfRule type="duplicateValues" dxfId="1" priority="2819"/>
  </conditionalFormatting>
  <conditionalFormatting sqref="B1015">
    <cfRule type="duplicateValues" dxfId="1" priority="2818"/>
  </conditionalFormatting>
  <conditionalFormatting sqref="B1016">
    <cfRule type="duplicateValues" dxfId="1" priority="2817"/>
  </conditionalFormatting>
  <conditionalFormatting sqref="B1017">
    <cfRule type="duplicateValues" dxfId="1" priority="2816"/>
  </conditionalFormatting>
  <conditionalFormatting sqref="B1018">
    <cfRule type="duplicateValues" dxfId="1" priority="2815"/>
  </conditionalFormatting>
  <conditionalFormatting sqref="B1019">
    <cfRule type="duplicateValues" dxfId="1" priority="2814"/>
  </conditionalFormatting>
  <conditionalFormatting sqref="B1020">
    <cfRule type="duplicateValues" dxfId="1" priority="2813"/>
  </conditionalFormatting>
  <conditionalFormatting sqref="B1021">
    <cfRule type="duplicateValues" dxfId="1" priority="2812"/>
  </conditionalFormatting>
  <conditionalFormatting sqref="B1022">
    <cfRule type="duplicateValues" dxfId="1" priority="2811"/>
  </conditionalFormatting>
  <conditionalFormatting sqref="B1023">
    <cfRule type="duplicateValues" dxfId="1" priority="2810"/>
  </conditionalFormatting>
  <conditionalFormatting sqref="B1024">
    <cfRule type="duplicateValues" dxfId="1" priority="2809"/>
  </conditionalFormatting>
  <conditionalFormatting sqref="B1025">
    <cfRule type="duplicateValues" dxfId="1" priority="2808"/>
  </conditionalFormatting>
  <conditionalFormatting sqref="B1026">
    <cfRule type="duplicateValues" dxfId="1" priority="2807"/>
  </conditionalFormatting>
  <conditionalFormatting sqref="B1027">
    <cfRule type="duplicateValues" dxfId="1" priority="2806"/>
  </conditionalFormatting>
  <conditionalFormatting sqref="B1028">
    <cfRule type="duplicateValues" dxfId="1" priority="2805"/>
  </conditionalFormatting>
  <conditionalFormatting sqref="B1029">
    <cfRule type="duplicateValues" dxfId="1" priority="2804"/>
  </conditionalFormatting>
  <conditionalFormatting sqref="B1030">
    <cfRule type="duplicateValues" dxfId="1" priority="2803"/>
  </conditionalFormatting>
  <conditionalFormatting sqref="B1031">
    <cfRule type="duplicateValues" dxfId="1" priority="2802"/>
  </conditionalFormatting>
  <conditionalFormatting sqref="B1032">
    <cfRule type="duplicateValues" dxfId="1" priority="2801"/>
  </conditionalFormatting>
  <conditionalFormatting sqref="B1033">
    <cfRule type="duplicateValues" dxfId="1" priority="2800"/>
  </conditionalFormatting>
  <conditionalFormatting sqref="B1034">
    <cfRule type="duplicateValues" dxfId="1" priority="2799"/>
  </conditionalFormatting>
  <conditionalFormatting sqref="B1035">
    <cfRule type="duplicateValues" dxfId="1" priority="2798"/>
  </conditionalFormatting>
  <conditionalFormatting sqref="B1036">
    <cfRule type="duplicateValues" dxfId="1" priority="2797"/>
  </conditionalFormatting>
  <conditionalFormatting sqref="B1037">
    <cfRule type="duplicateValues" dxfId="1" priority="2796"/>
  </conditionalFormatting>
  <conditionalFormatting sqref="B1038">
    <cfRule type="duplicateValues" dxfId="1" priority="2795"/>
  </conditionalFormatting>
  <conditionalFormatting sqref="B1039">
    <cfRule type="duplicateValues" dxfId="1" priority="2794"/>
  </conditionalFormatting>
  <conditionalFormatting sqref="B1040">
    <cfRule type="duplicateValues" dxfId="1" priority="2793"/>
  </conditionalFormatting>
  <conditionalFormatting sqref="B1041">
    <cfRule type="duplicateValues" dxfId="1" priority="2792"/>
  </conditionalFormatting>
  <conditionalFormatting sqref="B1042">
    <cfRule type="duplicateValues" dxfId="1" priority="2791"/>
  </conditionalFormatting>
  <conditionalFormatting sqref="B1043">
    <cfRule type="duplicateValues" dxfId="1" priority="2790"/>
  </conditionalFormatting>
  <conditionalFormatting sqref="B1044">
    <cfRule type="duplicateValues" dxfId="1" priority="2789"/>
  </conditionalFormatting>
  <conditionalFormatting sqref="B1045">
    <cfRule type="duplicateValues" dxfId="1" priority="2788"/>
  </conditionalFormatting>
  <conditionalFormatting sqref="B1046">
    <cfRule type="duplicateValues" dxfId="1" priority="2787"/>
  </conditionalFormatting>
  <conditionalFormatting sqref="B1047">
    <cfRule type="duplicateValues" dxfId="1" priority="2786"/>
  </conditionalFormatting>
  <conditionalFormatting sqref="B1048">
    <cfRule type="duplicateValues" dxfId="1" priority="2785"/>
  </conditionalFormatting>
  <conditionalFormatting sqref="B1049">
    <cfRule type="duplicateValues" dxfId="1" priority="2784"/>
  </conditionalFormatting>
  <conditionalFormatting sqref="B1050">
    <cfRule type="duplicateValues" dxfId="1" priority="2783"/>
  </conditionalFormatting>
  <conditionalFormatting sqref="B1051">
    <cfRule type="duplicateValues" dxfId="1" priority="2782"/>
  </conditionalFormatting>
  <conditionalFormatting sqref="B1052">
    <cfRule type="duplicateValues" dxfId="1" priority="2781"/>
  </conditionalFormatting>
  <conditionalFormatting sqref="B1053">
    <cfRule type="duplicateValues" dxfId="1" priority="2780"/>
  </conditionalFormatting>
  <conditionalFormatting sqref="B1054">
    <cfRule type="duplicateValues" dxfId="1" priority="2779"/>
  </conditionalFormatting>
  <conditionalFormatting sqref="B1055">
    <cfRule type="duplicateValues" dxfId="1" priority="2778"/>
  </conditionalFormatting>
  <conditionalFormatting sqref="B1056">
    <cfRule type="duplicateValues" dxfId="1" priority="2777"/>
  </conditionalFormatting>
  <conditionalFormatting sqref="B1057">
    <cfRule type="duplicateValues" dxfId="1" priority="2776"/>
  </conditionalFormatting>
  <conditionalFormatting sqref="B1058">
    <cfRule type="duplicateValues" dxfId="1" priority="2775"/>
  </conditionalFormatting>
  <conditionalFormatting sqref="B1059">
    <cfRule type="duplicateValues" dxfId="1" priority="2774"/>
  </conditionalFormatting>
  <conditionalFormatting sqref="B1060">
    <cfRule type="duplicateValues" dxfId="1" priority="2773"/>
  </conditionalFormatting>
  <conditionalFormatting sqref="B1061">
    <cfRule type="duplicateValues" dxfId="1" priority="2772"/>
  </conditionalFormatting>
  <conditionalFormatting sqref="B1062">
    <cfRule type="duplicateValues" dxfId="1" priority="2771"/>
  </conditionalFormatting>
  <conditionalFormatting sqref="B1063">
    <cfRule type="duplicateValues" dxfId="1" priority="2770"/>
  </conditionalFormatting>
  <conditionalFormatting sqref="B1064">
    <cfRule type="duplicateValues" dxfId="1" priority="2769"/>
  </conditionalFormatting>
  <conditionalFormatting sqref="B1065">
    <cfRule type="duplicateValues" dxfId="1" priority="2768"/>
  </conditionalFormatting>
  <conditionalFormatting sqref="B1066">
    <cfRule type="duplicateValues" dxfId="1" priority="2767"/>
  </conditionalFormatting>
  <conditionalFormatting sqref="B1067">
    <cfRule type="duplicateValues" dxfId="1" priority="2766"/>
  </conditionalFormatting>
  <conditionalFormatting sqref="B1068">
    <cfRule type="duplicateValues" dxfId="1" priority="2765"/>
  </conditionalFormatting>
  <conditionalFormatting sqref="B1069">
    <cfRule type="duplicateValues" dxfId="1" priority="2764"/>
  </conditionalFormatting>
  <conditionalFormatting sqref="B1070">
    <cfRule type="duplicateValues" dxfId="1" priority="2763"/>
  </conditionalFormatting>
  <conditionalFormatting sqref="B1071">
    <cfRule type="duplicateValues" dxfId="1" priority="2762"/>
  </conditionalFormatting>
  <conditionalFormatting sqref="B1072">
    <cfRule type="duplicateValues" dxfId="1" priority="2761"/>
  </conditionalFormatting>
  <conditionalFormatting sqref="B1073">
    <cfRule type="duplicateValues" dxfId="1" priority="2760"/>
  </conditionalFormatting>
  <conditionalFormatting sqref="B1074">
    <cfRule type="duplicateValues" dxfId="1" priority="2759"/>
  </conditionalFormatting>
  <conditionalFormatting sqref="B1075">
    <cfRule type="duplicateValues" dxfId="1" priority="2758"/>
  </conditionalFormatting>
  <conditionalFormatting sqref="B1076">
    <cfRule type="duplicateValues" dxfId="1" priority="2757"/>
  </conditionalFormatting>
  <conditionalFormatting sqref="B1077">
    <cfRule type="duplicateValues" dxfId="1" priority="2756"/>
  </conditionalFormatting>
  <conditionalFormatting sqref="B1078">
    <cfRule type="duplicateValues" dxfId="1" priority="2755"/>
  </conditionalFormatting>
  <conditionalFormatting sqref="B1079">
    <cfRule type="duplicateValues" dxfId="1" priority="2754"/>
  </conditionalFormatting>
  <conditionalFormatting sqref="B1080">
    <cfRule type="duplicateValues" dxfId="1" priority="2753"/>
  </conditionalFormatting>
  <conditionalFormatting sqref="B1081">
    <cfRule type="duplicateValues" dxfId="1" priority="2752"/>
  </conditionalFormatting>
  <conditionalFormatting sqref="B1082">
    <cfRule type="duplicateValues" dxfId="1" priority="2751"/>
  </conditionalFormatting>
  <conditionalFormatting sqref="B1083">
    <cfRule type="duplicateValues" dxfId="1" priority="2750"/>
  </conditionalFormatting>
  <conditionalFormatting sqref="B1084">
    <cfRule type="duplicateValues" dxfId="1" priority="2749"/>
  </conditionalFormatting>
  <conditionalFormatting sqref="B1085">
    <cfRule type="duplicateValues" dxfId="1" priority="2748"/>
  </conditionalFormatting>
  <conditionalFormatting sqref="B1086">
    <cfRule type="duplicateValues" dxfId="1" priority="2747"/>
  </conditionalFormatting>
  <conditionalFormatting sqref="B1087">
    <cfRule type="duplicateValues" dxfId="1" priority="2746"/>
  </conditionalFormatting>
  <conditionalFormatting sqref="B1088">
    <cfRule type="duplicateValues" dxfId="1" priority="2745"/>
  </conditionalFormatting>
  <conditionalFormatting sqref="B1089">
    <cfRule type="duplicateValues" dxfId="1" priority="2744"/>
  </conditionalFormatting>
  <conditionalFormatting sqref="B1090">
    <cfRule type="duplicateValues" dxfId="1" priority="2743"/>
  </conditionalFormatting>
  <conditionalFormatting sqref="B1091">
    <cfRule type="duplicateValues" dxfId="1" priority="2742"/>
  </conditionalFormatting>
  <conditionalFormatting sqref="B1092">
    <cfRule type="duplicateValues" dxfId="1" priority="2741"/>
  </conditionalFormatting>
  <conditionalFormatting sqref="B1093">
    <cfRule type="duplicateValues" dxfId="1" priority="2740"/>
  </conditionalFormatting>
  <conditionalFormatting sqref="B1094">
    <cfRule type="duplicateValues" dxfId="1" priority="2739"/>
  </conditionalFormatting>
  <conditionalFormatting sqref="B1095">
    <cfRule type="duplicateValues" dxfId="1" priority="2738"/>
  </conditionalFormatting>
  <conditionalFormatting sqref="B1096">
    <cfRule type="duplicateValues" dxfId="1" priority="2737"/>
  </conditionalFormatting>
  <conditionalFormatting sqref="B1097">
    <cfRule type="duplicateValues" dxfId="1" priority="2736"/>
  </conditionalFormatting>
  <conditionalFormatting sqref="B1098">
    <cfRule type="duplicateValues" dxfId="1" priority="2735"/>
  </conditionalFormatting>
  <conditionalFormatting sqref="B1099">
    <cfRule type="duplicateValues" dxfId="1" priority="2734"/>
  </conditionalFormatting>
  <conditionalFormatting sqref="B1100">
    <cfRule type="duplicateValues" dxfId="1" priority="2733"/>
  </conditionalFormatting>
  <conditionalFormatting sqref="B1101">
    <cfRule type="duplicateValues" dxfId="1" priority="2732"/>
  </conditionalFormatting>
  <conditionalFormatting sqref="B1102">
    <cfRule type="duplicateValues" dxfId="1" priority="2731"/>
  </conditionalFormatting>
  <conditionalFormatting sqref="B1103">
    <cfRule type="duplicateValues" dxfId="1" priority="2730"/>
  </conditionalFormatting>
  <conditionalFormatting sqref="B1104">
    <cfRule type="duplicateValues" dxfId="1" priority="2729"/>
  </conditionalFormatting>
  <conditionalFormatting sqref="B1105">
    <cfRule type="duplicateValues" dxfId="1" priority="2728"/>
  </conditionalFormatting>
  <conditionalFormatting sqref="B1106">
    <cfRule type="duplicateValues" dxfId="1" priority="2727"/>
  </conditionalFormatting>
  <conditionalFormatting sqref="B1107">
    <cfRule type="duplicateValues" dxfId="1" priority="2726"/>
  </conditionalFormatting>
  <conditionalFormatting sqref="B1108">
    <cfRule type="duplicateValues" dxfId="1" priority="2725"/>
  </conditionalFormatting>
  <conditionalFormatting sqref="B1109">
    <cfRule type="duplicateValues" dxfId="1" priority="2724"/>
  </conditionalFormatting>
  <conditionalFormatting sqref="B1110">
    <cfRule type="duplicateValues" dxfId="1" priority="2723"/>
  </conditionalFormatting>
  <conditionalFormatting sqref="B1111">
    <cfRule type="duplicateValues" dxfId="1" priority="2722"/>
  </conditionalFormatting>
  <conditionalFormatting sqref="B1112">
    <cfRule type="duplicateValues" dxfId="1" priority="2721"/>
  </conditionalFormatting>
  <conditionalFormatting sqref="B1113">
    <cfRule type="duplicateValues" dxfId="1" priority="2720"/>
  </conditionalFormatting>
  <conditionalFormatting sqref="B1114">
    <cfRule type="duplicateValues" dxfId="1" priority="2719"/>
  </conditionalFormatting>
  <conditionalFormatting sqref="B1115">
    <cfRule type="duplicateValues" dxfId="1" priority="2718"/>
  </conditionalFormatting>
  <conditionalFormatting sqref="B1116">
    <cfRule type="duplicateValues" dxfId="1" priority="2717"/>
  </conditionalFormatting>
  <conditionalFormatting sqref="B1117">
    <cfRule type="duplicateValues" dxfId="1" priority="2716"/>
  </conditionalFormatting>
  <conditionalFormatting sqref="B1118">
    <cfRule type="duplicateValues" dxfId="1" priority="2715"/>
  </conditionalFormatting>
  <conditionalFormatting sqref="B1119">
    <cfRule type="duplicateValues" dxfId="1" priority="2714"/>
  </conditionalFormatting>
  <conditionalFormatting sqref="B1120">
    <cfRule type="duplicateValues" dxfId="1" priority="2713"/>
  </conditionalFormatting>
  <conditionalFormatting sqref="B1121">
    <cfRule type="duplicateValues" dxfId="1" priority="2712"/>
  </conditionalFormatting>
  <conditionalFormatting sqref="B1122">
    <cfRule type="duplicateValues" dxfId="1" priority="2711"/>
  </conditionalFormatting>
  <conditionalFormatting sqref="B1123">
    <cfRule type="duplicateValues" dxfId="1" priority="2710"/>
  </conditionalFormatting>
  <conditionalFormatting sqref="B1124">
    <cfRule type="duplicateValues" dxfId="1" priority="2709"/>
  </conditionalFormatting>
  <conditionalFormatting sqref="B1125">
    <cfRule type="duplicateValues" dxfId="1" priority="2708"/>
  </conditionalFormatting>
  <conditionalFormatting sqref="B1126">
    <cfRule type="duplicateValues" dxfId="1" priority="2707"/>
  </conditionalFormatting>
  <conditionalFormatting sqref="B1127">
    <cfRule type="duplicateValues" dxfId="1" priority="2706"/>
  </conditionalFormatting>
  <conditionalFormatting sqref="B1128">
    <cfRule type="duplicateValues" dxfId="1" priority="2705"/>
  </conditionalFormatting>
  <conditionalFormatting sqref="B1129">
    <cfRule type="duplicateValues" dxfId="1" priority="2704"/>
  </conditionalFormatting>
  <conditionalFormatting sqref="B1130">
    <cfRule type="duplicateValues" dxfId="1" priority="2703"/>
  </conditionalFormatting>
  <conditionalFormatting sqref="B1131">
    <cfRule type="duplicateValues" dxfId="1" priority="2702"/>
  </conditionalFormatting>
  <conditionalFormatting sqref="B1132">
    <cfRule type="duplicateValues" dxfId="1" priority="2701"/>
  </conditionalFormatting>
  <conditionalFormatting sqref="B1133">
    <cfRule type="duplicateValues" dxfId="1" priority="2700"/>
  </conditionalFormatting>
  <conditionalFormatting sqref="B1134">
    <cfRule type="duplicateValues" dxfId="1" priority="2699"/>
  </conditionalFormatting>
  <conditionalFormatting sqref="B1135">
    <cfRule type="duplicateValues" dxfId="1" priority="2698"/>
  </conditionalFormatting>
  <conditionalFormatting sqref="B1136">
    <cfRule type="duplicateValues" dxfId="1" priority="2697"/>
  </conditionalFormatting>
  <conditionalFormatting sqref="B1137">
    <cfRule type="duplicateValues" dxfId="1" priority="2696"/>
  </conditionalFormatting>
  <conditionalFormatting sqref="B1138">
    <cfRule type="duplicateValues" dxfId="1" priority="2695"/>
  </conditionalFormatting>
  <conditionalFormatting sqref="B1139">
    <cfRule type="duplicateValues" dxfId="1" priority="2694"/>
  </conditionalFormatting>
  <conditionalFormatting sqref="B1140">
    <cfRule type="duplicateValues" dxfId="1" priority="2693"/>
  </conditionalFormatting>
  <conditionalFormatting sqref="B1141">
    <cfRule type="duplicateValues" dxfId="1" priority="2692"/>
  </conditionalFormatting>
  <conditionalFormatting sqref="B1142">
    <cfRule type="duplicateValues" dxfId="1" priority="2691"/>
  </conditionalFormatting>
  <conditionalFormatting sqref="B1143">
    <cfRule type="duplicateValues" dxfId="1" priority="2690"/>
  </conditionalFormatting>
  <conditionalFormatting sqref="B1144">
    <cfRule type="duplicateValues" dxfId="1" priority="2689"/>
  </conditionalFormatting>
  <conditionalFormatting sqref="B1145">
    <cfRule type="duplicateValues" dxfId="1" priority="2688"/>
  </conditionalFormatting>
  <conditionalFormatting sqref="B1146">
    <cfRule type="duplicateValues" dxfId="1" priority="2687"/>
  </conditionalFormatting>
  <conditionalFormatting sqref="B1147">
    <cfRule type="duplicateValues" dxfId="1" priority="2686"/>
  </conditionalFormatting>
  <conditionalFormatting sqref="B1148">
    <cfRule type="duplicateValues" dxfId="1" priority="2685"/>
  </conditionalFormatting>
  <conditionalFormatting sqref="B1149">
    <cfRule type="duplicateValues" dxfId="1" priority="2684"/>
  </conditionalFormatting>
  <conditionalFormatting sqref="B1150">
    <cfRule type="duplicateValues" dxfId="1" priority="2683"/>
  </conditionalFormatting>
  <conditionalFormatting sqref="B1151">
    <cfRule type="duplicateValues" dxfId="1" priority="2682"/>
  </conditionalFormatting>
  <conditionalFormatting sqref="B1152">
    <cfRule type="duplicateValues" dxfId="1" priority="2681"/>
  </conditionalFormatting>
  <conditionalFormatting sqref="B1153">
    <cfRule type="duplicateValues" dxfId="1" priority="2680"/>
  </conditionalFormatting>
  <conditionalFormatting sqref="B1154">
    <cfRule type="duplicateValues" dxfId="1" priority="2679"/>
  </conditionalFormatting>
  <conditionalFormatting sqref="B1155">
    <cfRule type="duplicateValues" dxfId="1" priority="2678"/>
  </conditionalFormatting>
  <conditionalFormatting sqref="B1156">
    <cfRule type="duplicateValues" dxfId="1" priority="2677"/>
  </conditionalFormatting>
  <conditionalFormatting sqref="B1157">
    <cfRule type="duplicateValues" dxfId="1" priority="2676"/>
  </conditionalFormatting>
  <conditionalFormatting sqref="B1158">
    <cfRule type="duplicateValues" dxfId="1" priority="2675"/>
  </conditionalFormatting>
  <conditionalFormatting sqref="B1159">
    <cfRule type="duplicateValues" dxfId="1" priority="2674"/>
  </conditionalFormatting>
  <conditionalFormatting sqref="B1160">
    <cfRule type="duplicateValues" dxfId="1" priority="2673"/>
  </conditionalFormatting>
  <conditionalFormatting sqref="B1161">
    <cfRule type="duplicateValues" dxfId="1" priority="2672"/>
  </conditionalFormatting>
  <conditionalFormatting sqref="B1162">
    <cfRule type="duplicateValues" dxfId="1" priority="2671"/>
  </conditionalFormatting>
  <conditionalFormatting sqref="B1163">
    <cfRule type="duplicateValues" dxfId="1" priority="2670"/>
  </conditionalFormatting>
  <conditionalFormatting sqref="B1164">
    <cfRule type="duplicateValues" dxfId="1" priority="2669"/>
  </conditionalFormatting>
  <conditionalFormatting sqref="B1165">
    <cfRule type="duplicateValues" dxfId="1" priority="2668"/>
  </conditionalFormatting>
  <conditionalFormatting sqref="B1166">
    <cfRule type="duplicateValues" dxfId="1" priority="2667"/>
  </conditionalFormatting>
  <conditionalFormatting sqref="B1167">
    <cfRule type="duplicateValues" dxfId="1" priority="2666"/>
  </conditionalFormatting>
  <conditionalFormatting sqref="B1168">
    <cfRule type="duplicateValues" dxfId="1" priority="2665"/>
  </conditionalFormatting>
  <conditionalFormatting sqref="B1169">
    <cfRule type="duplicateValues" dxfId="1" priority="2664"/>
  </conditionalFormatting>
  <conditionalFormatting sqref="B1170">
    <cfRule type="duplicateValues" dxfId="1" priority="2663"/>
  </conditionalFormatting>
  <conditionalFormatting sqref="B1171">
    <cfRule type="duplicateValues" dxfId="1" priority="2662"/>
  </conditionalFormatting>
  <conditionalFormatting sqref="B1172">
    <cfRule type="duplicateValues" dxfId="1" priority="2661"/>
  </conditionalFormatting>
  <conditionalFormatting sqref="B1173">
    <cfRule type="duplicateValues" dxfId="1" priority="2660"/>
  </conditionalFormatting>
  <conditionalFormatting sqref="B1174">
    <cfRule type="duplicateValues" dxfId="1" priority="2659"/>
  </conditionalFormatting>
  <conditionalFormatting sqref="B1175">
    <cfRule type="duplicateValues" dxfId="1" priority="2658"/>
  </conditionalFormatting>
  <conditionalFormatting sqref="B1176">
    <cfRule type="duplicateValues" dxfId="1" priority="2657"/>
  </conditionalFormatting>
  <conditionalFormatting sqref="B1177">
    <cfRule type="duplicateValues" dxfId="1" priority="2656"/>
  </conditionalFormatting>
  <conditionalFormatting sqref="B1178">
    <cfRule type="duplicateValues" dxfId="1" priority="2655"/>
  </conditionalFormatting>
  <conditionalFormatting sqref="B1179">
    <cfRule type="duplicateValues" dxfId="1" priority="2654"/>
  </conditionalFormatting>
  <conditionalFormatting sqref="B1180">
    <cfRule type="duplicateValues" dxfId="1" priority="2653"/>
  </conditionalFormatting>
  <conditionalFormatting sqref="B1181">
    <cfRule type="duplicateValues" dxfId="1" priority="2652"/>
  </conditionalFormatting>
  <conditionalFormatting sqref="B1182">
    <cfRule type="duplicateValues" dxfId="1" priority="2651"/>
  </conditionalFormatting>
  <conditionalFormatting sqref="B1183">
    <cfRule type="duplicateValues" dxfId="1" priority="2650"/>
  </conditionalFormatting>
  <conditionalFormatting sqref="B1184">
    <cfRule type="duplicateValues" dxfId="1" priority="2649"/>
  </conditionalFormatting>
  <conditionalFormatting sqref="B1185">
    <cfRule type="duplicateValues" dxfId="1" priority="2648"/>
  </conditionalFormatting>
  <conditionalFormatting sqref="B1186">
    <cfRule type="duplicateValues" dxfId="1" priority="2647"/>
  </conditionalFormatting>
  <conditionalFormatting sqref="B1187">
    <cfRule type="duplicateValues" dxfId="1" priority="2646"/>
  </conditionalFormatting>
  <conditionalFormatting sqref="B1188">
    <cfRule type="duplicateValues" dxfId="1" priority="2645"/>
  </conditionalFormatting>
  <conditionalFormatting sqref="B1189">
    <cfRule type="duplicateValues" dxfId="1" priority="2644"/>
  </conditionalFormatting>
  <conditionalFormatting sqref="B1190">
    <cfRule type="duplicateValues" dxfId="1" priority="2643"/>
  </conditionalFormatting>
  <conditionalFormatting sqref="B1191">
    <cfRule type="duplicateValues" dxfId="1" priority="2642"/>
  </conditionalFormatting>
  <conditionalFormatting sqref="B1192">
    <cfRule type="duplicateValues" dxfId="1" priority="2641"/>
  </conditionalFormatting>
  <conditionalFormatting sqref="B1193">
    <cfRule type="duplicateValues" dxfId="1" priority="2640"/>
  </conditionalFormatting>
  <conditionalFormatting sqref="B1194">
    <cfRule type="duplicateValues" dxfId="1" priority="2639"/>
  </conditionalFormatting>
  <conditionalFormatting sqref="B1195">
    <cfRule type="duplicateValues" dxfId="1" priority="2638"/>
  </conditionalFormatting>
  <conditionalFormatting sqref="B1196">
    <cfRule type="duplicateValues" dxfId="1" priority="2637"/>
  </conditionalFormatting>
  <conditionalFormatting sqref="B1197">
    <cfRule type="duplicateValues" dxfId="1" priority="2636"/>
  </conditionalFormatting>
  <conditionalFormatting sqref="B1198">
    <cfRule type="duplicateValues" dxfId="1" priority="2635"/>
  </conditionalFormatting>
  <conditionalFormatting sqref="B1199">
    <cfRule type="duplicateValues" dxfId="1" priority="2634"/>
  </conditionalFormatting>
  <conditionalFormatting sqref="B1200">
    <cfRule type="duplicateValues" dxfId="1" priority="2633"/>
  </conditionalFormatting>
  <conditionalFormatting sqref="B1201">
    <cfRule type="duplicateValues" dxfId="1" priority="2632"/>
  </conditionalFormatting>
  <conditionalFormatting sqref="B1202">
    <cfRule type="duplicateValues" dxfId="1" priority="2631"/>
  </conditionalFormatting>
  <conditionalFormatting sqref="B1203">
    <cfRule type="duplicateValues" dxfId="1" priority="2630"/>
  </conditionalFormatting>
  <conditionalFormatting sqref="B1204">
    <cfRule type="duplicateValues" dxfId="1" priority="2629"/>
  </conditionalFormatting>
  <conditionalFormatting sqref="B1205">
    <cfRule type="duplicateValues" dxfId="1" priority="2628"/>
  </conditionalFormatting>
  <conditionalFormatting sqref="B1206">
    <cfRule type="duplicateValues" dxfId="1" priority="2627"/>
  </conditionalFormatting>
  <conditionalFormatting sqref="B1207">
    <cfRule type="duplicateValues" dxfId="1" priority="2626"/>
  </conditionalFormatting>
  <conditionalFormatting sqref="B1208">
    <cfRule type="duplicateValues" dxfId="1" priority="2625"/>
  </conditionalFormatting>
  <conditionalFormatting sqref="B1209">
    <cfRule type="duplicateValues" dxfId="1" priority="2624"/>
  </conditionalFormatting>
  <conditionalFormatting sqref="B1210">
    <cfRule type="duplicateValues" dxfId="1" priority="2623"/>
  </conditionalFormatting>
  <conditionalFormatting sqref="B1211">
    <cfRule type="duplicateValues" dxfId="1" priority="2622"/>
  </conditionalFormatting>
  <conditionalFormatting sqref="B1212">
    <cfRule type="duplicateValues" dxfId="1" priority="2621"/>
  </conditionalFormatting>
  <conditionalFormatting sqref="B1213">
    <cfRule type="duplicateValues" dxfId="1" priority="2620"/>
  </conditionalFormatting>
  <conditionalFormatting sqref="B1214">
    <cfRule type="duplicateValues" dxfId="1" priority="2619"/>
  </conditionalFormatting>
  <conditionalFormatting sqref="B1215">
    <cfRule type="duplicateValues" dxfId="1" priority="2618"/>
  </conditionalFormatting>
  <conditionalFormatting sqref="B1216">
    <cfRule type="duplicateValues" dxfId="1" priority="2617"/>
  </conditionalFormatting>
  <conditionalFormatting sqref="B1217">
    <cfRule type="duplicateValues" dxfId="1" priority="2616"/>
  </conditionalFormatting>
  <conditionalFormatting sqref="B1218">
    <cfRule type="duplicateValues" dxfId="1" priority="2615"/>
  </conditionalFormatting>
  <conditionalFormatting sqref="B1219">
    <cfRule type="duplicateValues" dxfId="1" priority="2614"/>
  </conditionalFormatting>
  <conditionalFormatting sqref="B1220">
    <cfRule type="duplicateValues" dxfId="1" priority="2613"/>
  </conditionalFormatting>
  <conditionalFormatting sqref="B1221">
    <cfRule type="duplicateValues" dxfId="1" priority="2612"/>
  </conditionalFormatting>
  <conditionalFormatting sqref="B1222">
    <cfRule type="duplicateValues" dxfId="1" priority="2611"/>
  </conditionalFormatting>
  <conditionalFormatting sqref="B1223">
    <cfRule type="duplicateValues" dxfId="1" priority="2610"/>
  </conditionalFormatting>
  <conditionalFormatting sqref="B1224">
    <cfRule type="duplicateValues" dxfId="1" priority="2609"/>
  </conditionalFormatting>
  <conditionalFormatting sqref="B1225">
    <cfRule type="duplicateValues" dxfId="1" priority="2608"/>
  </conditionalFormatting>
  <conditionalFormatting sqref="B1226">
    <cfRule type="duplicateValues" dxfId="1" priority="2607"/>
  </conditionalFormatting>
  <conditionalFormatting sqref="B1227">
    <cfRule type="duplicateValues" dxfId="1" priority="2606"/>
  </conditionalFormatting>
  <conditionalFormatting sqref="B1228">
    <cfRule type="duplicateValues" dxfId="1" priority="2605"/>
  </conditionalFormatting>
  <conditionalFormatting sqref="B1229">
    <cfRule type="duplicateValues" dxfId="1" priority="2604"/>
  </conditionalFormatting>
  <conditionalFormatting sqref="B1230">
    <cfRule type="duplicateValues" dxfId="1" priority="2603"/>
  </conditionalFormatting>
  <conditionalFormatting sqref="B1231">
    <cfRule type="duplicateValues" dxfId="1" priority="2602"/>
  </conditionalFormatting>
  <conditionalFormatting sqref="B1232">
    <cfRule type="duplicateValues" dxfId="1" priority="2601"/>
  </conditionalFormatting>
  <conditionalFormatting sqref="B1233">
    <cfRule type="duplicateValues" dxfId="1" priority="2600"/>
  </conditionalFormatting>
  <conditionalFormatting sqref="B1234">
    <cfRule type="duplicateValues" dxfId="1" priority="2599"/>
  </conditionalFormatting>
  <conditionalFormatting sqref="B1235">
    <cfRule type="duplicateValues" dxfId="1" priority="2598"/>
  </conditionalFormatting>
  <conditionalFormatting sqref="B1236">
    <cfRule type="duplicateValues" dxfId="1" priority="2597"/>
  </conditionalFormatting>
  <conditionalFormatting sqref="B1237">
    <cfRule type="duplicateValues" dxfId="1" priority="2596"/>
  </conditionalFormatting>
  <conditionalFormatting sqref="B1238">
    <cfRule type="duplicateValues" dxfId="1" priority="2595"/>
  </conditionalFormatting>
  <conditionalFormatting sqref="B1239">
    <cfRule type="duplicateValues" dxfId="1" priority="2594"/>
  </conditionalFormatting>
  <conditionalFormatting sqref="B1240">
    <cfRule type="duplicateValues" dxfId="1" priority="2593"/>
  </conditionalFormatting>
  <conditionalFormatting sqref="B1241">
    <cfRule type="duplicateValues" dxfId="1" priority="2592"/>
  </conditionalFormatting>
  <conditionalFormatting sqref="B1242">
    <cfRule type="duplicateValues" dxfId="1" priority="2591"/>
  </conditionalFormatting>
  <conditionalFormatting sqref="B1243">
    <cfRule type="duplicateValues" dxfId="1" priority="2590"/>
  </conditionalFormatting>
  <conditionalFormatting sqref="B1244">
    <cfRule type="duplicateValues" dxfId="1" priority="2589"/>
  </conditionalFormatting>
  <conditionalFormatting sqref="B1245">
    <cfRule type="duplicateValues" dxfId="1" priority="2588"/>
  </conditionalFormatting>
  <conditionalFormatting sqref="B1246">
    <cfRule type="duplicateValues" dxfId="1" priority="2587"/>
  </conditionalFormatting>
  <conditionalFormatting sqref="B1247">
    <cfRule type="duplicateValues" dxfId="1" priority="2586"/>
  </conditionalFormatting>
  <conditionalFormatting sqref="B1248">
    <cfRule type="duplicateValues" dxfId="1" priority="2585"/>
  </conditionalFormatting>
  <conditionalFormatting sqref="B1249">
    <cfRule type="duplicateValues" dxfId="1" priority="2584"/>
  </conditionalFormatting>
  <conditionalFormatting sqref="B1250">
    <cfRule type="duplicateValues" dxfId="1" priority="2583"/>
  </conditionalFormatting>
  <conditionalFormatting sqref="B1251">
    <cfRule type="duplicateValues" dxfId="1" priority="2582"/>
  </conditionalFormatting>
  <conditionalFormatting sqref="B1252">
    <cfRule type="duplicateValues" dxfId="1" priority="2581"/>
  </conditionalFormatting>
  <conditionalFormatting sqref="B1253">
    <cfRule type="duplicateValues" dxfId="1" priority="2580"/>
  </conditionalFormatting>
  <conditionalFormatting sqref="B1254">
    <cfRule type="duplicateValues" dxfId="1" priority="2579"/>
  </conditionalFormatting>
  <conditionalFormatting sqref="B1255">
    <cfRule type="duplicateValues" dxfId="1" priority="2578"/>
  </conditionalFormatting>
  <conditionalFormatting sqref="B1256">
    <cfRule type="duplicateValues" dxfId="1" priority="2577"/>
  </conditionalFormatting>
  <conditionalFormatting sqref="B1257">
    <cfRule type="duplicateValues" dxfId="1" priority="2576"/>
  </conditionalFormatting>
  <conditionalFormatting sqref="B1258">
    <cfRule type="duplicateValues" dxfId="1" priority="2575"/>
  </conditionalFormatting>
  <conditionalFormatting sqref="B1259">
    <cfRule type="duplicateValues" dxfId="1" priority="2574"/>
  </conditionalFormatting>
  <conditionalFormatting sqref="B1260">
    <cfRule type="duplicateValues" dxfId="1" priority="2573"/>
  </conditionalFormatting>
  <conditionalFormatting sqref="B1261">
    <cfRule type="duplicateValues" dxfId="1" priority="2572"/>
  </conditionalFormatting>
  <conditionalFormatting sqref="B1262">
    <cfRule type="duplicateValues" dxfId="1" priority="2571"/>
  </conditionalFormatting>
  <conditionalFormatting sqref="B1263">
    <cfRule type="duplicateValues" dxfId="1" priority="2570"/>
  </conditionalFormatting>
  <conditionalFormatting sqref="B1264">
    <cfRule type="duplicateValues" dxfId="1" priority="2569"/>
  </conditionalFormatting>
  <conditionalFormatting sqref="B1265">
    <cfRule type="duplicateValues" dxfId="1" priority="2568"/>
  </conditionalFormatting>
  <conditionalFormatting sqref="B1266">
    <cfRule type="duplicateValues" dxfId="1" priority="2567"/>
  </conditionalFormatting>
  <conditionalFormatting sqref="B1267">
    <cfRule type="duplicateValues" dxfId="1" priority="2566"/>
  </conditionalFormatting>
  <conditionalFormatting sqref="B1268">
    <cfRule type="duplicateValues" dxfId="1" priority="2565"/>
  </conditionalFormatting>
  <conditionalFormatting sqref="B1269">
    <cfRule type="duplicateValues" dxfId="1" priority="2564"/>
  </conditionalFormatting>
  <conditionalFormatting sqref="B1270">
    <cfRule type="duplicateValues" dxfId="1" priority="2563"/>
  </conditionalFormatting>
  <conditionalFormatting sqref="B1271">
    <cfRule type="duplicateValues" dxfId="1" priority="2562"/>
  </conditionalFormatting>
  <conditionalFormatting sqref="B1272">
    <cfRule type="duplicateValues" dxfId="1" priority="2561"/>
  </conditionalFormatting>
  <conditionalFormatting sqref="B1273">
    <cfRule type="duplicateValues" dxfId="1" priority="2560"/>
  </conditionalFormatting>
  <conditionalFormatting sqref="B1274">
    <cfRule type="duplicateValues" dxfId="1" priority="2559"/>
  </conditionalFormatting>
  <conditionalFormatting sqref="B1275">
    <cfRule type="duplicateValues" dxfId="1" priority="2558"/>
  </conditionalFormatting>
  <conditionalFormatting sqref="B1276">
    <cfRule type="duplicateValues" dxfId="1" priority="2557"/>
  </conditionalFormatting>
  <conditionalFormatting sqref="B1277">
    <cfRule type="duplicateValues" dxfId="1" priority="2556"/>
  </conditionalFormatting>
  <conditionalFormatting sqref="B1278">
    <cfRule type="duplicateValues" dxfId="1" priority="2555"/>
  </conditionalFormatting>
  <conditionalFormatting sqref="B1279">
    <cfRule type="duplicateValues" dxfId="1" priority="2554"/>
  </conditionalFormatting>
  <conditionalFormatting sqref="B1280">
    <cfRule type="duplicateValues" dxfId="1" priority="2553"/>
  </conditionalFormatting>
  <conditionalFormatting sqref="B1281">
    <cfRule type="duplicateValues" dxfId="1" priority="2552"/>
  </conditionalFormatting>
  <conditionalFormatting sqref="B1282">
    <cfRule type="duplicateValues" dxfId="1" priority="2551"/>
  </conditionalFormatting>
  <conditionalFormatting sqref="B1283">
    <cfRule type="duplicateValues" dxfId="1" priority="2550"/>
  </conditionalFormatting>
  <conditionalFormatting sqref="B1284">
    <cfRule type="duplicateValues" dxfId="1" priority="2549"/>
  </conditionalFormatting>
  <conditionalFormatting sqref="B1285">
    <cfRule type="duplicateValues" dxfId="1" priority="2548"/>
  </conditionalFormatting>
  <conditionalFormatting sqref="B1286">
    <cfRule type="duplicateValues" dxfId="1" priority="2547"/>
  </conditionalFormatting>
  <conditionalFormatting sqref="B1287">
    <cfRule type="duplicateValues" dxfId="1" priority="2546"/>
  </conditionalFormatting>
  <conditionalFormatting sqref="B1288">
    <cfRule type="duplicateValues" dxfId="1" priority="2545"/>
  </conditionalFormatting>
  <conditionalFormatting sqref="B1289">
    <cfRule type="duplicateValues" dxfId="1" priority="2544"/>
  </conditionalFormatting>
  <conditionalFormatting sqref="B1290">
    <cfRule type="duplicateValues" dxfId="1" priority="2543"/>
  </conditionalFormatting>
  <conditionalFormatting sqref="B1291">
    <cfRule type="duplicateValues" dxfId="1" priority="2542"/>
  </conditionalFormatting>
  <conditionalFormatting sqref="B1292">
    <cfRule type="duplicateValues" dxfId="1" priority="2541"/>
  </conditionalFormatting>
  <conditionalFormatting sqref="B1293">
    <cfRule type="duplicateValues" dxfId="1" priority="2540"/>
  </conditionalFormatting>
  <conditionalFormatting sqref="B1294">
    <cfRule type="duplicateValues" dxfId="1" priority="2539"/>
  </conditionalFormatting>
  <conditionalFormatting sqref="B1295">
    <cfRule type="duplicateValues" dxfId="1" priority="2538"/>
  </conditionalFormatting>
  <conditionalFormatting sqref="B1296">
    <cfRule type="duplicateValues" dxfId="1" priority="2537"/>
  </conditionalFormatting>
  <conditionalFormatting sqref="B1297">
    <cfRule type="duplicateValues" dxfId="1" priority="2536"/>
  </conditionalFormatting>
  <conditionalFormatting sqref="B1298">
    <cfRule type="duplicateValues" dxfId="1" priority="2535"/>
  </conditionalFormatting>
  <conditionalFormatting sqref="B1299">
    <cfRule type="duplicateValues" dxfId="1" priority="2534"/>
  </conditionalFormatting>
  <conditionalFormatting sqref="B1300">
    <cfRule type="duplicateValues" dxfId="1" priority="2533"/>
  </conditionalFormatting>
  <conditionalFormatting sqref="B1301">
    <cfRule type="duplicateValues" dxfId="1" priority="2532"/>
  </conditionalFormatting>
  <conditionalFormatting sqref="B1302">
    <cfRule type="duplicateValues" dxfId="1" priority="2531"/>
  </conditionalFormatting>
  <conditionalFormatting sqref="B1303">
    <cfRule type="duplicateValues" dxfId="1" priority="2530"/>
  </conditionalFormatting>
  <conditionalFormatting sqref="B1304">
    <cfRule type="duplicateValues" dxfId="1" priority="2529"/>
  </conditionalFormatting>
  <conditionalFormatting sqref="B1305">
    <cfRule type="duplicateValues" dxfId="1" priority="2528"/>
  </conditionalFormatting>
  <conditionalFormatting sqref="B1306">
    <cfRule type="duplicateValues" dxfId="1" priority="2527"/>
  </conditionalFormatting>
  <conditionalFormatting sqref="B1307">
    <cfRule type="duplicateValues" dxfId="1" priority="2526"/>
  </conditionalFormatting>
  <conditionalFormatting sqref="B1308">
    <cfRule type="duplicateValues" dxfId="1" priority="2525"/>
  </conditionalFormatting>
  <conditionalFormatting sqref="B1309">
    <cfRule type="duplicateValues" dxfId="1" priority="2524"/>
  </conditionalFormatting>
  <conditionalFormatting sqref="B1310">
    <cfRule type="duplicateValues" dxfId="1" priority="2523"/>
  </conditionalFormatting>
  <conditionalFormatting sqref="B1311">
    <cfRule type="duplicateValues" dxfId="1" priority="2522"/>
  </conditionalFormatting>
  <conditionalFormatting sqref="B1312">
    <cfRule type="duplicateValues" dxfId="1" priority="2521"/>
  </conditionalFormatting>
  <conditionalFormatting sqref="B1313">
    <cfRule type="duplicateValues" dxfId="1" priority="2520"/>
  </conditionalFormatting>
  <conditionalFormatting sqref="B1314">
    <cfRule type="duplicateValues" dxfId="1" priority="2519"/>
  </conditionalFormatting>
  <conditionalFormatting sqref="B1315">
    <cfRule type="duplicateValues" dxfId="1" priority="2518"/>
  </conditionalFormatting>
  <conditionalFormatting sqref="B1316">
    <cfRule type="duplicateValues" dxfId="1" priority="2517"/>
  </conditionalFormatting>
  <conditionalFormatting sqref="B1317">
    <cfRule type="duplicateValues" dxfId="1" priority="2516"/>
  </conditionalFormatting>
  <conditionalFormatting sqref="B1318">
    <cfRule type="duplicateValues" dxfId="1" priority="2515"/>
  </conditionalFormatting>
  <conditionalFormatting sqref="B1319">
    <cfRule type="duplicateValues" dxfId="1" priority="2514"/>
  </conditionalFormatting>
  <conditionalFormatting sqref="B1320">
    <cfRule type="duplicateValues" dxfId="1" priority="2513"/>
  </conditionalFormatting>
  <conditionalFormatting sqref="B1321">
    <cfRule type="duplicateValues" dxfId="1" priority="2512"/>
  </conditionalFormatting>
  <conditionalFormatting sqref="B1322">
    <cfRule type="duplicateValues" dxfId="1" priority="2511"/>
  </conditionalFormatting>
  <conditionalFormatting sqref="B1323">
    <cfRule type="duplicateValues" dxfId="1" priority="2510"/>
  </conditionalFormatting>
  <conditionalFormatting sqref="B1324">
    <cfRule type="duplicateValues" dxfId="1" priority="2509"/>
  </conditionalFormatting>
  <conditionalFormatting sqref="B1325">
    <cfRule type="duplicateValues" dxfId="1" priority="2508"/>
  </conditionalFormatting>
  <conditionalFormatting sqref="B1326">
    <cfRule type="duplicateValues" dxfId="1" priority="2507"/>
  </conditionalFormatting>
  <conditionalFormatting sqref="B1327">
    <cfRule type="duplicateValues" dxfId="1" priority="2506"/>
  </conditionalFormatting>
  <conditionalFormatting sqref="B1328">
    <cfRule type="duplicateValues" dxfId="1" priority="2505"/>
  </conditionalFormatting>
  <conditionalFormatting sqref="B1329">
    <cfRule type="duplicateValues" dxfId="1" priority="2504"/>
  </conditionalFormatting>
  <conditionalFormatting sqref="B1330">
    <cfRule type="duplicateValues" dxfId="1" priority="2503"/>
  </conditionalFormatting>
  <conditionalFormatting sqref="B1331">
    <cfRule type="duplicateValues" dxfId="1" priority="2502"/>
  </conditionalFormatting>
  <conditionalFormatting sqref="B1332">
    <cfRule type="duplicateValues" dxfId="1" priority="2501"/>
  </conditionalFormatting>
  <conditionalFormatting sqref="B1333">
    <cfRule type="duplicateValues" dxfId="1" priority="2500"/>
  </conditionalFormatting>
  <conditionalFormatting sqref="B1334">
    <cfRule type="duplicateValues" dxfId="1" priority="2499"/>
  </conditionalFormatting>
  <conditionalFormatting sqref="B1335">
    <cfRule type="duplicateValues" dxfId="1" priority="2498"/>
  </conditionalFormatting>
  <conditionalFormatting sqref="B1336">
    <cfRule type="duplicateValues" dxfId="1" priority="2497"/>
  </conditionalFormatting>
  <conditionalFormatting sqref="B1337">
    <cfRule type="duplicateValues" dxfId="1" priority="2496"/>
  </conditionalFormatting>
  <conditionalFormatting sqref="B1338">
    <cfRule type="duplicateValues" dxfId="1" priority="2495"/>
  </conditionalFormatting>
  <conditionalFormatting sqref="B1339">
    <cfRule type="duplicateValues" dxfId="1" priority="2494"/>
  </conditionalFormatting>
  <conditionalFormatting sqref="B1340">
    <cfRule type="duplicateValues" dxfId="1" priority="2493"/>
  </conditionalFormatting>
  <conditionalFormatting sqref="B1341">
    <cfRule type="duplicateValues" dxfId="1" priority="2492"/>
  </conditionalFormatting>
  <conditionalFormatting sqref="B1342">
    <cfRule type="duplicateValues" dxfId="1" priority="2491"/>
  </conditionalFormatting>
  <conditionalFormatting sqref="B1343">
    <cfRule type="duplicateValues" dxfId="1" priority="2490"/>
  </conditionalFormatting>
  <conditionalFormatting sqref="B1344">
    <cfRule type="duplicateValues" dxfId="1" priority="2489"/>
  </conditionalFormatting>
  <conditionalFormatting sqref="B1345">
    <cfRule type="duplicateValues" dxfId="1" priority="2488"/>
  </conditionalFormatting>
  <conditionalFormatting sqref="B1346">
    <cfRule type="duplicateValues" dxfId="1" priority="2487"/>
  </conditionalFormatting>
  <conditionalFormatting sqref="B1347">
    <cfRule type="duplicateValues" dxfId="1" priority="2486"/>
  </conditionalFormatting>
  <conditionalFormatting sqref="B1348">
    <cfRule type="duplicateValues" dxfId="1" priority="2485"/>
  </conditionalFormatting>
  <conditionalFormatting sqref="B1349">
    <cfRule type="duplicateValues" dxfId="1" priority="2484"/>
  </conditionalFormatting>
  <conditionalFormatting sqref="B1350">
    <cfRule type="duplicateValues" dxfId="1" priority="2483"/>
  </conditionalFormatting>
  <conditionalFormatting sqref="B1351">
    <cfRule type="duplicateValues" dxfId="1" priority="2482"/>
  </conditionalFormatting>
  <conditionalFormatting sqref="B1352">
    <cfRule type="duplicateValues" dxfId="1" priority="2481"/>
  </conditionalFormatting>
  <conditionalFormatting sqref="B1353">
    <cfRule type="duplicateValues" dxfId="1" priority="2480"/>
  </conditionalFormatting>
  <conditionalFormatting sqref="B1354">
    <cfRule type="duplicateValues" dxfId="1" priority="2479"/>
  </conditionalFormatting>
  <conditionalFormatting sqref="B1355">
    <cfRule type="duplicateValues" dxfId="1" priority="2478"/>
  </conditionalFormatting>
  <conditionalFormatting sqref="B1356">
    <cfRule type="duplicateValues" dxfId="1" priority="2477"/>
  </conditionalFormatting>
  <conditionalFormatting sqref="B1357">
    <cfRule type="duplicateValues" dxfId="1" priority="2476"/>
  </conditionalFormatting>
  <conditionalFormatting sqref="B1358">
    <cfRule type="duplicateValues" dxfId="1" priority="2475"/>
  </conditionalFormatting>
  <conditionalFormatting sqref="B1359">
    <cfRule type="duplicateValues" dxfId="1" priority="2474"/>
  </conditionalFormatting>
  <conditionalFormatting sqref="B1360">
    <cfRule type="duplicateValues" dxfId="1" priority="2473"/>
  </conditionalFormatting>
  <conditionalFormatting sqref="B1361">
    <cfRule type="duplicateValues" dxfId="1" priority="2472"/>
  </conditionalFormatting>
  <conditionalFormatting sqref="B1362">
    <cfRule type="duplicateValues" dxfId="1" priority="2471"/>
  </conditionalFormatting>
  <conditionalFormatting sqref="B1363">
    <cfRule type="duplicateValues" dxfId="1" priority="2470"/>
  </conditionalFormatting>
  <conditionalFormatting sqref="B1364">
    <cfRule type="duplicateValues" dxfId="1" priority="2469"/>
  </conditionalFormatting>
  <conditionalFormatting sqref="B1365">
    <cfRule type="duplicateValues" dxfId="1" priority="2468"/>
  </conditionalFormatting>
  <conditionalFormatting sqref="B1366">
    <cfRule type="duplicateValues" dxfId="1" priority="2467"/>
  </conditionalFormatting>
  <conditionalFormatting sqref="B1367">
    <cfRule type="duplicateValues" dxfId="1" priority="2466"/>
  </conditionalFormatting>
  <conditionalFormatting sqref="B1368">
    <cfRule type="duplicateValues" dxfId="1" priority="2465"/>
  </conditionalFormatting>
  <conditionalFormatting sqref="B1369">
    <cfRule type="duplicateValues" dxfId="1" priority="2464"/>
  </conditionalFormatting>
  <conditionalFormatting sqref="B1370">
    <cfRule type="duplicateValues" dxfId="1" priority="2463"/>
  </conditionalFormatting>
  <conditionalFormatting sqref="B1371">
    <cfRule type="duplicateValues" dxfId="1" priority="2462"/>
  </conditionalFormatting>
  <conditionalFormatting sqref="B1372">
    <cfRule type="duplicateValues" dxfId="1" priority="2461"/>
  </conditionalFormatting>
  <conditionalFormatting sqref="B1373">
    <cfRule type="duplicateValues" dxfId="1" priority="2460"/>
  </conditionalFormatting>
  <conditionalFormatting sqref="B1374">
    <cfRule type="duplicateValues" dxfId="1" priority="2459"/>
  </conditionalFormatting>
  <conditionalFormatting sqref="B1375">
    <cfRule type="duplicateValues" dxfId="1" priority="2458"/>
  </conditionalFormatting>
  <conditionalFormatting sqref="B1376">
    <cfRule type="duplicateValues" dxfId="1" priority="2457"/>
  </conditionalFormatting>
  <conditionalFormatting sqref="B1377">
    <cfRule type="duplicateValues" dxfId="1" priority="2456"/>
  </conditionalFormatting>
  <conditionalFormatting sqref="B1378">
    <cfRule type="duplicateValues" dxfId="1" priority="2455"/>
  </conditionalFormatting>
  <conditionalFormatting sqref="B1379">
    <cfRule type="duplicateValues" dxfId="1" priority="2454"/>
  </conditionalFormatting>
  <conditionalFormatting sqref="B1380">
    <cfRule type="duplicateValues" dxfId="1" priority="2453"/>
  </conditionalFormatting>
  <conditionalFormatting sqref="B1381">
    <cfRule type="duplicateValues" dxfId="1" priority="2452"/>
  </conditionalFormatting>
  <conditionalFormatting sqref="B1382">
    <cfRule type="duplicateValues" dxfId="1" priority="2451"/>
  </conditionalFormatting>
  <conditionalFormatting sqref="B1383">
    <cfRule type="duplicateValues" dxfId="1" priority="2450"/>
  </conditionalFormatting>
  <conditionalFormatting sqref="B1384">
    <cfRule type="duplicateValues" dxfId="1" priority="2449"/>
  </conditionalFormatting>
  <conditionalFormatting sqref="B1385">
    <cfRule type="duplicateValues" dxfId="1" priority="2448"/>
  </conditionalFormatting>
  <conditionalFormatting sqref="B1386">
    <cfRule type="duplicateValues" dxfId="1" priority="2447"/>
  </conditionalFormatting>
  <conditionalFormatting sqref="B1387">
    <cfRule type="duplicateValues" dxfId="1" priority="2446"/>
  </conditionalFormatting>
  <conditionalFormatting sqref="B1388">
    <cfRule type="duplicateValues" dxfId="1" priority="2445"/>
  </conditionalFormatting>
  <conditionalFormatting sqref="B1389">
    <cfRule type="duplicateValues" dxfId="1" priority="2444"/>
  </conditionalFormatting>
  <conditionalFormatting sqref="B1390">
    <cfRule type="duplicateValues" dxfId="1" priority="2443"/>
  </conditionalFormatting>
  <conditionalFormatting sqref="B1391">
    <cfRule type="duplicateValues" dxfId="1" priority="2442"/>
  </conditionalFormatting>
  <conditionalFormatting sqref="B1392">
    <cfRule type="duplicateValues" dxfId="1" priority="2441"/>
  </conditionalFormatting>
  <conditionalFormatting sqref="B1393">
    <cfRule type="duplicateValues" dxfId="1" priority="2440"/>
  </conditionalFormatting>
  <conditionalFormatting sqref="B1394">
    <cfRule type="duplicateValues" dxfId="1" priority="2439"/>
  </conditionalFormatting>
  <conditionalFormatting sqref="B1395">
    <cfRule type="duplicateValues" dxfId="1" priority="2438"/>
  </conditionalFormatting>
  <conditionalFormatting sqref="B1396">
    <cfRule type="duplicateValues" dxfId="1" priority="2437"/>
  </conditionalFormatting>
  <conditionalFormatting sqref="B1397">
    <cfRule type="duplicateValues" dxfId="1" priority="2436"/>
  </conditionalFormatting>
  <conditionalFormatting sqref="B1398">
    <cfRule type="duplicateValues" dxfId="1" priority="2435"/>
  </conditionalFormatting>
  <conditionalFormatting sqref="B1399">
    <cfRule type="duplicateValues" dxfId="1" priority="2434"/>
  </conditionalFormatting>
  <conditionalFormatting sqref="B1400">
    <cfRule type="duplicateValues" dxfId="1" priority="2433"/>
  </conditionalFormatting>
  <conditionalFormatting sqref="B1401">
    <cfRule type="duplicateValues" dxfId="1" priority="2432"/>
  </conditionalFormatting>
  <conditionalFormatting sqref="B1402">
    <cfRule type="duplicateValues" dxfId="1" priority="2431"/>
  </conditionalFormatting>
  <conditionalFormatting sqref="B1403">
    <cfRule type="duplicateValues" dxfId="1" priority="2430"/>
  </conditionalFormatting>
  <conditionalFormatting sqref="B1404">
    <cfRule type="duplicateValues" dxfId="1" priority="2429"/>
  </conditionalFormatting>
  <conditionalFormatting sqref="B1405">
    <cfRule type="duplicateValues" dxfId="1" priority="2428"/>
  </conditionalFormatting>
  <conditionalFormatting sqref="B1406">
    <cfRule type="duplicateValues" dxfId="1" priority="2427"/>
  </conditionalFormatting>
  <conditionalFormatting sqref="B1407">
    <cfRule type="duplicateValues" dxfId="1" priority="2426"/>
  </conditionalFormatting>
  <conditionalFormatting sqref="B1408">
    <cfRule type="duplicateValues" dxfId="1" priority="2425"/>
  </conditionalFormatting>
  <conditionalFormatting sqref="B1409">
    <cfRule type="duplicateValues" dxfId="1" priority="2424"/>
  </conditionalFormatting>
  <conditionalFormatting sqref="B1410">
    <cfRule type="duplicateValues" dxfId="1" priority="2423"/>
  </conditionalFormatting>
  <conditionalFormatting sqref="B1411">
    <cfRule type="duplicateValues" dxfId="1" priority="2422"/>
  </conditionalFormatting>
  <conditionalFormatting sqref="B1412">
    <cfRule type="duplicateValues" dxfId="1" priority="2421"/>
  </conditionalFormatting>
  <conditionalFormatting sqref="B1413">
    <cfRule type="duplicateValues" dxfId="1" priority="2420"/>
  </conditionalFormatting>
  <conditionalFormatting sqref="B1414">
    <cfRule type="duplicateValues" dxfId="1" priority="2419"/>
  </conditionalFormatting>
  <conditionalFormatting sqref="B1415">
    <cfRule type="duplicateValues" dxfId="1" priority="2418"/>
  </conditionalFormatting>
  <conditionalFormatting sqref="B1416">
    <cfRule type="duplicateValues" dxfId="1" priority="2417"/>
  </conditionalFormatting>
  <conditionalFormatting sqref="B1417">
    <cfRule type="duplicateValues" dxfId="1" priority="2416"/>
  </conditionalFormatting>
  <conditionalFormatting sqref="B1418">
    <cfRule type="duplicateValues" dxfId="1" priority="2415"/>
  </conditionalFormatting>
  <conditionalFormatting sqref="B1419">
    <cfRule type="duplicateValues" dxfId="1" priority="2414"/>
  </conditionalFormatting>
  <conditionalFormatting sqref="B1420">
    <cfRule type="duplicateValues" dxfId="1" priority="2413"/>
  </conditionalFormatting>
  <conditionalFormatting sqref="B1421">
    <cfRule type="duplicateValues" dxfId="1" priority="2412"/>
  </conditionalFormatting>
  <conditionalFormatting sqref="B1422">
    <cfRule type="duplicateValues" dxfId="1" priority="2411"/>
  </conditionalFormatting>
  <conditionalFormatting sqref="B1423">
    <cfRule type="duplicateValues" dxfId="1" priority="2410"/>
  </conditionalFormatting>
  <conditionalFormatting sqref="B1424">
    <cfRule type="duplicateValues" dxfId="1" priority="2409"/>
  </conditionalFormatting>
  <conditionalFormatting sqref="B1425">
    <cfRule type="duplicateValues" dxfId="1" priority="2408"/>
  </conditionalFormatting>
  <conditionalFormatting sqref="B1426">
    <cfRule type="duplicateValues" dxfId="1" priority="2407"/>
  </conditionalFormatting>
  <conditionalFormatting sqref="B1427">
    <cfRule type="duplicateValues" dxfId="1" priority="2406"/>
  </conditionalFormatting>
  <conditionalFormatting sqref="B1428">
    <cfRule type="duplicateValues" dxfId="1" priority="2405"/>
  </conditionalFormatting>
  <conditionalFormatting sqref="B1429">
    <cfRule type="duplicateValues" dxfId="1" priority="2404"/>
  </conditionalFormatting>
  <conditionalFormatting sqref="B1430">
    <cfRule type="duplicateValues" dxfId="1" priority="2403"/>
  </conditionalFormatting>
  <conditionalFormatting sqref="B1431">
    <cfRule type="duplicateValues" dxfId="1" priority="2402"/>
  </conditionalFormatting>
  <conditionalFormatting sqref="B1432">
    <cfRule type="duplicateValues" dxfId="1" priority="2401"/>
  </conditionalFormatting>
  <conditionalFormatting sqref="B1433">
    <cfRule type="duplicateValues" dxfId="1" priority="2400"/>
  </conditionalFormatting>
  <conditionalFormatting sqref="B1434">
    <cfRule type="duplicateValues" dxfId="1" priority="2399"/>
  </conditionalFormatting>
  <conditionalFormatting sqref="B1435">
    <cfRule type="duplicateValues" dxfId="1" priority="2398"/>
  </conditionalFormatting>
  <conditionalFormatting sqref="B1436">
    <cfRule type="duplicateValues" dxfId="1" priority="2397"/>
  </conditionalFormatting>
  <conditionalFormatting sqref="B1437">
    <cfRule type="duplicateValues" dxfId="1" priority="2396"/>
  </conditionalFormatting>
  <conditionalFormatting sqref="B1438">
    <cfRule type="duplicateValues" dxfId="1" priority="2395"/>
  </conditionalFormatting>
  <conditionalFormatting sqref="B1439">
    <cfRule type="duplicateValues" dxfId="1" priority="2394"/>
  </conditionalFormatting>
  <conditionalFormatting sqref="B1440">
    <cfRule type="duplicateValues" dxfId="1" priority="2393"/>
  </conditionalFormatting>
  <conditionalFormatting sqref="B1441">
    <cfRule type="duplicateValues" dxfId="1" priority="2392"/>
  </conditionalFormatting>
  <conditionalFormatting sqref="B1442">
    <cfRule type="duplicateValues" dxfId="1" priority="2391"/>
  </conditionalFormatting>
  <conditionalFormatting sqref="B1443">
    <cfRule type="duplicateValues" dxfId="1" priority="2390"/>
  </conditionalFormatting>
  <conditionalFormatting sqref="B1444">
    <cfRule type="duplicateValues" dxfId="1" priority="2389"/>
  </conditionalFormatting>
  <conditionalFormatting sqref="B1445">
    <cfRule type="duplicateValues" dxfId="1" priority="2388"/>
  </conditionalFormatting>
  <conditionalFormatting sqref="B1446">
    <cfRule type="duplicateValues" dxfId="1" priority="2387"/>
  </conditionalFormatting>
  <conditionalFormatting sqref="B1447">
    <cfRule type="duplicateValues" dxfId="1" priority="2386"/>
  </conditionalFormatting>
  <conditionalFormatting sqref="B1448">
    <cfRule type="duplicateValues" dxfId="1" priority="2385"/>
  </conditionalFormatting>
  <conditionalFormatting sqref="B1449">
    <cfRule type="duplicateValues" dxfId="1" priority="2384"/>
  </conditionalFormatting>
  <conditionalFormatting sqref="B1450">
    <cfRule type="duplicateValues" dxfId="1" priority="2383"/>
  </conditionalFormatting>
  <conditionalFormatting sqref="B1451">
    <cfRule type="duplicateValues" dxfId="1" priority="2382"/>
  </conditionalFormatting>
  <conditionalFormatting sqref="B1452">
    <cfRule type="duplicateValues" dxfId="1" priority="2381"/>
  </conditionalFormatting>
  <conditionalFormatting sqref="B1453">
    <cfRule type="duplicateValues" dxfId="1" priority="2380"/>
  </conditionalFormatting>
  <conditionalFormatting sqref="B1454">
    <cfRule type="duplicateValues" dxfId="1" priority="2379"/>
  </conditionalFormatting>
  <conditionalFormatting sqref="B1455">
    <cfRule type="duplicateValues" dxfId="1" priority="2378"/>
  </conditionalFormatting>
  <conditionalFormatting sqref="B1456">
    <cfRule type="duplicateValues" dxfId="1" priority="2377"/>
  </conditionalFormatting>
  <conditionalFormatting sqref="B1457">
    <cfRule type="duplicateValues" dxfId="1" priority="2376"/>
  </conditionalFormatting>
  <conditionalFormatting sqref="B1458">
    <cfRule type="duplicateValues" dxfId="1" priority="2375"/>
  </conditionalFormatting>
  <conditionalFormatting sqref="B1459">
    <cfRule type="duplicateValues" dxfId="1" priority="2374"/>
  </conditionalFormatting>
  <conditionalFormatting sqref="B1460">
    <cfRule type="duplicateValues" dxfId="1" priority="2373"/>
  </conditionalFormatting>
  <conditionalFormatting sqref="B1461">
    <cfRule type="duplicateValues" dxfId="1" priority="2372"/>
  </conditionalFormatting>
  <conditionalFormatting sqref="B1462">
    <cfRule type="duplicateValues" dxfId="1" priority="2371"/>
  </conditionalFormatting>
  <conditionalFormatting sqref="B1463">
    <cfRule type="duplicateValues" dxfId="1" priority="2370"/>
  </conditionalFormatting>
  <conditionalFormatting sqref="B1464">
    <cfRule type="duplicateValues" dxfId="1" priority="2369"/>
  </conditionalFormatting>
  <conditionalFormatting sqref="B1465">
    <cfRule type="duplicateValues" dxfId="1" priority="2368"/>
  </conditionalFormatting>
  <conditionalFormatting sqref="B1466">
    <cfRule type="duplicateValues" dxfId="1" priority="2367"/>
  </conditionalFormatting>
  <conditionalFormatting sqref="B1467">
    <cfRule type="duplicateValues" dxfId="1" priority="2366"/>
  </conditionalFormatting>
  <conditionalFormatting sqref="B1468">
    <cfRule type="duplicateValues" dxfId="1" priority="2365"/>
  </conditionalFormatting>
  <conditionalFormatting sqref="B1469">
    <cfRule type="duplicateValues" dxfId="1" priority="2364"/>
  </conditionalFormatting>
  <conditionalFormatting sqref="B1470">
    <cfRule type="duplicateValues" dxfId="1" priority="2363"/>
  </conditionalFormatting>
  <conditionalFormatting sqref="B1471">
    <cfRule type="duplicateValues" dxfId="1" priority="2362"/>
  </conditionalFormatting>
  <conditionalFormatting sqref="B1472">
    <cfRule type="duplicateValues" dxfId="1" priority="2361"/>
  </conditionalFormatting>
  <conditionalFormatting sqref="B1473">
    <cfRule type="duplicateValues" dxfId="1" priority="2360"/>
  </conditionalFormatting>
  <conditionalFormatting sqref="B1474">
    <cfRule type="duplicateValues" dxfId="1" priority="2359"/>
  </conditionalFormatting>
  <conditionalFormatting sqref="B1475">
    <cfRule type="duplicateValues" dxfId="1" priority="2358"/>
  </conditionalFormatting>
  <conditionalFormatting sqref="B1476">
    <cfRule type="duplicateValues" dxfId="1" priority="2357"/>
  </conditionalFormatting>
  <conditionalFormatting sqref="B1477">
    <cfRule type="duplicateValues" dxfId="1" priority="2356"/>
  </conditionalFormatting>
  <conditionalFormatting sqref="B1478">
    <cfRule type="duplicateValues" dxfId="1" priority="2355"/>
  </conditionalFormatting>
  <conditionalFormatting sqref="B1479">
    <cfRule type="duplicateValues" dxfId="1" priority="2354"/>
  </conditionalFormatting>
  <conditionalFormatting sqref="B1480">
    <cfRule type="duplicateValues" dxfId="1" priority="2353"/>
  </conditionalFormatting>
  <conditionalFormatting sqref="B1481">
    <cfRule type="duplicateValues" dxfId="1" priority="2352"/>
  </conditionalFormatting>
  <conditionalFormatting sqref="B1482">
    <cfRule type="duplicateValues" dxfId="1" priority="2351"/>
  </conditionalFormatting>
  <conditionalFormatting sqref="B1483">
    <cfRule type="duplicateValues" dxfId="1" priority="2350"/>
  </conditionalFormatting>
  <conditionalFormatting sqref="B1484">
    <cfRule type="duplicateValues" dxfId="1" priority="2349"/>
  </conditionalFormatting>
  <conditionalFormatting sqref="B1485">
    <cfRule type="duplicateValues" dxfId="1" priority="2348"/>
  </conditionalFormatting>
  <conditionalFormatting sqref="B1486">
    <cfRule type="duplicateValues" dxfId="1" priority="2347"/>
  </conditionalFormatting>
  <conditionalFormatting sqref="B1487">
    <cfRule type="duplicateValues" dxfId="1" priority="2346"/>
  </conditionalFormatting>
  <conditionalFormatting sqref="B1488">
    <cfRule type="duplicateValues" dxfId="1" priority="2345"/>
  </conditionalFormatting>
  <conditionalFormatting sqref="B1489">
    <cfRule type="duplicateValues" dxfId="1" priority="2344"/>
  </conditionalFormatting>
  <conditionalFormatting sqref="B1490">
    <cfRule type="duplicateValues" dxfId="1" priority="2343"/>
  </conditionalFormatting>
  <conditionalFormatting sqref="B1491">
    <cfRule type="duplicateValues" dxfId="1" priority="2342"/>
  </conditionalFormatting>
  <conditionalFormatting sqref="B1492">
    <cfRule type="duplicateValues" dxfId="1" priority="2341"/>
  </conditionalFormatting>
  <conditionalFormatting sqref="B1493">
    <cfRule type="duplicateValues" dxfId="1" priority="2340"/>
  </conditionalFormatting>
  <conditionalFormatting sqref="B1494">
    <cfRule type="duplicateValues" dxfId="1" priority="2339"/>
  </conditionalFormatting>
  <conditionalFormatting sqref="B1495">
    <cfRule type="duplicateValues" dxfId="1" priority="2338"/>
  </conditionalFormatting>
  <conditionalFormatting sqref="B1496">
    <cfRule type="duplicateValues" dxfId="1" priority="2337"/>
  </conditionalFormatting>
  <conditionalFormatting sqref="B1497">
    <cfRule type="duplicateValues" dxfId="1" priority="2336"/>
  </conditionalFormatting>
  <conditionalFormatting sqref="B1498">
    <cfRule type="duplicateValues" dxfId="1" priority="2335"/>
  </conditionalFormatting>
  <conditionalFormatting sqref="B1499">
    <cfRule type="duplicateValues" dxfId="1" priority="2334"/>
  </conditionalFormatting>
  <conditionalFormatting sqref="B1500">
    <cfRule type="duplicateValues" dxfId="1" priority="2333"/>
  </conditionalFormatting>
  <conditionalFormatting sqref="B1501">
    <cfRule type="duplicateValues" dxfId="1" priority="2332"/>
  </conditionalFormatting>
  <conditionalFormatting sqref="B1502">
    <cfRule type="duplicateValues" dxfId="1" priority="2331"/>
  </conditionalFormatting>
  <conditionalFormatting sqref="B1503">
    <cfRule type="duplicateValues" dxfId="1" priority="2330"/>
  </conditionalFormatting>
  <conditionalFormatting sqref="B1504">
    <cfRule type="duplicateValues" dxfId="1" priority="2329"/>
  </conditionalFormatting>
  <conditionalFormatting sqref="B1505">
    <cfRule type="duplicateValues" dxfId="1" priority="2328"/>
  </conditionalFormatting>
  <conditionalFormatting sqref="B1506">
    <cfRule type="duplicateValues" dxfId="1" priority="2327"/>
  </conditionalFormatting>
  <conditionalFormatting sqref="B1507">
    <cfRule type="duplicateValues" dxfId="1" priority="2326"/>
  </conditionalFormatting>
  <conditionalFormatting sqref="B1508">
    <cfRule type="duplicateValues" dxfId="1" priority="2325"/>
  </conditionalFormatting>
  <conditionalFormatting sqref="B1509">
    <cfRule type="duplicateValues" dxfId="1" priority="2324"/>
  </conditionalFormatting>
  <conditionalFormatting sqref="B1510">
    <cfRule type="duplicateValues" dxfId="1" priority="2323"/>
  </conditionalFormatting>
  <conditionalFormatting sqref="B1511">
    <cfRule type="duplicateValues" dxfId="1" priority="2322"/>
  </conditionalFormatting>
  <conditionalFormatting sqref="B1512">
    <cfRule type="duplicateValues" dxfId="1" priority="2321"/>
  </conditionalFormatting>
  <conditionalFormatting sqref="B1513">
    <cfRule type="duplicateValues" dxfId="1" priority="2320"/>
  </conditionalFormatting>
  <conditionalFormatting sqref="B1514">
    <cfRule type="duplicateValues" dxfId="1" priority="2319"/>
  </conditionalFormatting>
  <conditionalFormatting sqref="B1515">
    <cfRule type="duplicateValues" dxfId="1" priority="2318"/>
  </conditionalFormatting>
  <conditionalFormatting sqref="B1516">
    <cfRule type="duplicateValues" dxfId="1" priority="2317"/>
  </conditionalFormatting>
  <conditionalFormatting sqref="B1517">
    <cfRule type="duplicateValues" dxfId="1" priority="2316"/>
  </conditionalFormatting>
  <conditionalFormatting sqref="B1518">
    <cfRule type="duplicateValues" dxfId="1" priority="2315"/>
  </conditionalFormatting>
  <conditionalFormatting sqref="B1519">
    <cfRule type="duplicateValues" dxfId="1" priority="2314"/>
  </conditionalFormatting>
  <conditionalFormatting sqref="B1520">
    <cfRule type="duplicateValues" dxfId="1" priority="2313"/>
  </conditionalFormatting>
  <conditionalFormatting sqref="B1521">
    <cfRule type="duplicateValues" dxfId="1" priority="2312"/>
  </conditionalFormatting>
  <conditionalFormatting sqref="B1522">
    <cfRule type="duplicateValues" dxfId="1" priority="2311"/>
  </conditionalFormatting>
  <conditionalFormatting sqref="B1523">
    <cfRule type="duplicateValues" dxfId="1" priority="2310"/>
  </conditionalFormatting>
  <conditionalFormatting sqref="B1524">
    <cfRule type="duplicateValues" dxfId="1" priority="2309"/>
  </conditionalFormatting>
  <conditionalFormatting sqref="B1525">
    <cfRule type="duplicateValues" dxfId="1" priority="2308"/>
  </conditionalFormatting>
  <conditionalFormatting sqref="B1526">
    <cfRule type="duplicateValues" dxfId="1" priority="2307"/>
  </conditionalFormatting>
  <conditionalFormatting sqref="B1527">
    <cfRule type="duplicateValues" dxfId="1" priority="2306"/>
  </conditionalFormatting>
  <conditionalFormatting sqref="B1528">
    <cfRule type="duplicateValues" dxfId="1" priority="2305"/>
  </conditionalFormatting>
  <conditionalFormatting sqref="B1529">
    <cfRule type="duplicateValues" dxfId="1" priority="2304"/>
  </conditionalFormatting>
  <conditionalFormatting sqref="B1530">
    <cfRule type="duplicateValues" dxfId="1" priority="2303"/>
  </conditionalFormatting>
  <conditionalFormatting sqref="B1531">
    <cfRule type="duplicateValues" dxfId="1" priority="2302"/>
  </conditionalFormatting>
  <conditionalFormatting sqref="B1532">
    <cfRule type="duplicateValues" dxfId="1" priority="2301"/>
  </conditionalFormatting>
  <conditionalFormatting sqref="B1533">
    <cfRule type="duplicateValues" dxfId="1" priority="2300"/>
  </conditionalFormatting>
  <conditionalFormatting sqref="B1534">
    <cfRule type="duplicateValues" dxfId="1" priority="2299"/>
  </conditionalFormatting>
  <conditionalFormatting sqref="B1535">
    <cfRule type="duplicateValues" dxfId="1" priority="2298"/>
  </conditionalFormatting>
  <conditionalFormatting sqref="B1536">
    <cfRule type="duplicateValues" dxfId="1" priority="2297"/>
  </conditionalFormatting>
  <conditionalFormatting sqref="B1537">
    <cfRule type="duplicateValues" dxfId="1" priority="2296"/>
  </conditionalFormatting>
  <conditionalFormatting sqref="B1538">
    <cfRule type="duplicateValues" dxfId="1" priority="2295"/>
  </conditionalFormatting>
  <conditionalFormatting sqref="B1539">
    <cfRule type="duplicateValues" dxfId="1" priority="2294"/>
  </conditionalFormatting>
  <conditionalFormatting sqref="B1540">
    <cfRule type="duplicateValues" dxfId="1" priority="2293"/>
  </conditionalFormatting>
  <conditionalFormatting sqref="B1541">
    <cfRule type="duplicateValues" dxfId="1" priority="2292"/>
  </conditionalFormatting>
  <conditionalFormatting sqref="B1542">
    <cfRule type="duplicateValues" dxfId="1" priority="2291"/>
  </conditionalFormatting>
  <conditionalFormatting sqref="B1543">
    <cfRule type="duplicateValues" dxfId="1" priority="2290"/>
  </conditionalFormatting>
  <conditionalFormatting sqref="B1544">
    <cfRule type="duplicateValues" dxfId="1" priority="2289"/>
  </conditionalFormatting>
  <conditionalFormatting sqref="B1545">
    <cfRule type="duplicateValues" dxfId="1" priority="2288"/>
  </conditionalFormatting>
  <conditionalFormatting sqref="B1546">
    <cfRule type="duplicateValues" dxfId="1" priority="2287"/>
  </conditionalFormatting>
  <conditionalFormatting sqref="B1547">
    <cfRule type="duplicateValues" dxfId="1" priority="2286"/>
  </conditionalFormatting>
  <conditionalFormatting sqref="B1548">
    <cfRule type="duplicateValues" dxfId="1" priority="2285"/>
  </conditionalFormatting>
  <conditionalFormatting sqref="B1549">
    <cfRule type="duplicateValues" dxfId="1" priority="2284"/>
  </conditionalFormatting>
  <conditionalFormatting sqref="B1550">
    <cfRule type="duplicateValues" dxfId="1" priority="2283"/>
  </conditionalFormatting>
  <conditionalFormatting sqref="B1551">
    <cfRule type="duplicateValues" dxfId="1" priority="2282"/>
  </conditionalFormatting>
  <conditionalFormatting sqref="B1552">
    <cfRule type="duplicateValues" dxfId="1" priority="2281"/>
  </conditionalFormatting>
  <conditionalFormatting sqref="B1553">
    <cfRule type="duplicateValues" dxfId="1" priority="2280"/>
  </conditionalFormatting>
  <conditionalFormatting sqref="B1554">
    <cfRule type="duplicateValues" dxfId="1" priority="2279"/>
  </conditionalFormatting>
  <conditionalFormatting sqref="B1555">
    <cfRule type="duplicateValues" dxfId="1" priority="2278"/>
  </conditionalFormatting>
  <conditionalFormatting sqref="B1556">
    <cfRule type="duplicateValues" dxfId="1" priority="2277"/>
  </conditionalFormatting>
  <conditionalFormatting sqref="B1557">
    <cfRule type="duplicateValues" dxfId="1" priority="2276"/>
  </conditionalFormatting>
  <conditionalFormatting sqref="B1558">
    <cfRule type="duplicateValues" dxfId="1" priority="2275"/>
  </conditionalFormatting>
  <conditionalFormatting sqref="B1559">
    <cfRule type="duplicateValues" dxfId="1" priority="2274"/>
  </conditionalFormatting>
  <conditionalFormatting sqref="B1560">
    <cfRule type="duplicateValues" dxfId="1" priority="2273"/>
  </conditionalFormatting>
  <conditionalFormatting sqref="B1561">
    <cfRule type="duplicateValues" dxfId="1" priority="2272"/>
  </conditionalFormatting>
  <conditionalFormatting sqref="B1562">
    <cfRule type="duplicateValues" dxfId="1" priority="2271"/>
  </conditionalFormatting>
  <conditionalFormatting sqref="B1563">
    <cfRule type="duplicateValues" dxfId="1" priority="2270"/>
  </conditionalFormatting>
  <conditionalFormatting sqref="B1564">
    <cfRule type="duplicateValues" dxfId="1" priority="2269"/>
  </conditionalFormatting>
  <conditionalFormatting sqref="B1565">
    <cfRule type="duplicateValues" dxfId="1" priority="2268"/>
  </conditionalFormatting>
  <conditionalFormatting sqref="B1566">
    <cfRule type="duplicateValues" dxfId="1" priority="2267"/>
  </conditionalFormatting>
  <conditionalFormatting sqref="B1567">
    <cfRule type="duplicateValues" dxfId="1" priority="2266"/>
  </conditionalFormatting>
  <conditionalFormatting sqref="B1568">
    <cfRule type="duplicateValues" dxfId="1" priority="2265"/>
  </conditionalFormatting>
  <conditionalFormatting sqref="B1569">
    <cfRule type="duplicateValues" dxfId="1" priority="2264"/>
  </conditionalFormatting>
  <conditionalFormatting sqref="B1570">
    <cfRule type="duplicateValues" dxfId="1" priority="2263"/>
  </conditionalFormatting>
  <conditionalFormatting sqref="B1571">
    <cfRule type="duplicateValues" dxfId="1" priority="2262"/>
  </conditionalFormatting>
  <conditionalFormatting sqref="B1572">
    <cfRule type="duplicateValues" dxfId="1" priority="2261"/>
  </conditionalFormatting>
  <conditionalFormatting sqref="B1573">
    <cfRule type="duplicateValues" dxfId="1" priority="2260"/>
  </conditionalFormatting>
  <conditionalFormatting sqref="B1574">
    <cfRule type="duplicateValues" dxfId="1" priority="2259"/>
  </conditionalFormatting>
  <conditionalFormatting sqref="B1575">
    <cfRule type="duplicateValues" dxfId="1" priority="2258"/>
  </conditionalFormatting>
  <conditionalFormatting sqref="B1576">
    <cfRule type="duplicateValues" dxfId="1" priority="2257"/>
  </conditionalFormatting>
  <conditionalFormatting sqref="B1577">
    <cfRule type="duplicateValues" dxfId="1" priority="2256"/>
  </conditionalFormatting>
  <conditionalFormatting sqref="B1578">
    <cfRule type="duplicateValues" dxfId="1" priority="2255"/>
  </conditionalFormatting>
  <conditionalFormatting sqref="B1579">
    <cfRule type="duplicateValues" dxfId="1" priority="2254"/>
  </conditionalFormatting>
  <conditionalFormatting sqref="B1580">
    <cfRule type="duplicateValues" dxfId="1" priority="2253"/>
  </conditionalFormatting>
  <conditionalFormatting sqref="B1581">
    <cfRule type="duplicateValues" dxfId="1" priority="2252"/>
  </conditionalFormatting>
  <conditionalFormatting sqref="B1582">
    <cfRule type="duplicateValues" dxfId="1" priority="2251"/>
  </conditionalFormatting>
  <conditionalFormatting sqref="B1583">
    <cfRule type="duplicateValues" dxfId="1" priority="2250"/>
  </conditionalFormatting>
  <conditionalFormatting sqref="B1584">
    <cfRule type="duplicateValues" dxfId="1" priority="2249"/>
  </conditionalFormatting>
  <conditionalFormatting sqref="B1585">
    <cfRule type="duplicateValues" dxfId="1" priority="2248"/>
  </conditionalFormatting>
  <conditionalFormatting sqref="B1586">
    <cfRule type="duplicateValues" dxfId="1" priority="2247"/>
  </conditionalFormatting>
  <conditionalFormatting sqref="B1587">
    <cfRule type="duplicateValues" dxfId="1" priority="2246"/>
  </conditionalFormatting>
  <conditionalFormatting sqref="B1588">
    <cfRule type="duplicateValues" dxfId="1" priority="2245"/>
  </conditionalFormatting>
  <conditionalFormatting sqref="B1589">
    <cfRule type="duplicateValues" dxfId="1" priority="2244"/>
  </conditionalFormatting>
  <conditionalFormatting sqref="B1590">
    <cfRule type="duplicateValues" dxfId="1" priority="2243"/>
  </conditionalFormatting>
  <conditionalFormatting sqref="B1591">
    <cfRule type="duplicateValues" dxfId="1" priority="2242"/>
  </conditionalFormatting>
  <conditionalFormatting sqref="B1592">
    <cfRule type="duplicateValues" dxfId="1" priority="2241"/>
  </conditionalFormatting>
  <conditionalFormatting sqref="B1593">
    <cfRule type="duplicateValues" dxfId="1" priority="2240"/>
  </conditionalFormatting>
  <conditionalFormatting sqref="B1594">
    <cfRule type="duplicateValues" dxfId="1" priority="2239"/>
  </conditionalFormatting>
  <conditionalFormatting sqref="B1595">
    <cfRule type="duplicateValues" dxfId="1" priority="2238"/>
  </conditionalFormatting>
  <conditionalFormatting sqref="B1596">
    <cfRule type="duplicateValues" dxfId="1" priority="2237"/>
  </conditionalFormatting>
  <conditionalFormatting sqref="B1597">
    <cfRule type="duplicateValues" dxfId="1" priority="2236"/>
  </conditionalFormatting>
  <conditionalFormatting sqref="B1598">
    <cfRule type="duplicateValues" dxfId="1" priority="2235"/>
  </conditionalFormatting>
  <conditionalFormatting sqref="B1599">
    <cfRule type="duplicateValues" dxfId="1" priority="2234"/>
  </conditionalFormatting>
  <conditionalFormatting sqref="B1600">
    <cfRule type="duplicateValues" dxfId="1" priority="2233"/>
  </conditionalFormatting>
  <conditionalFormatting sqref="B1601">
    <cfRule type="duplicateValues" dxfId="1" priority="2232"/>
  </conditionalFormatting>
  <conditionalFormatting sqref="B1602">
    <cfRule type="duplicateValues" dxfId="1" priority="2231"/>
  </conditionalFormatting>
  <conditionalFormatting sqref="B1603">
    <cfRule type="duplicateValues" dxfId="1" priority="2230"/>
  </conditionalFormatting>
  <conditionalFormatting sqref="B1604">
    <cfRule type="duplicateValues" dxfId="1" priority="2229"/>
  </conditionalFormatting>
  <conditionalFormatting sqref="B1605">
    <cfRule type="duplicateValues" dxfId="1" priority="2228"/>
  </conditionalFormatting>
  <conditionalFormatting sqref="B1606">
    <cfRule type="duplicateValues" dxfId="1" priority="2227"/>
  </conditionalFormatting>
  <conditionalFormatting sqref="B1607">
    <cfRule type="duplicateValues" dxfId="1" priority="2226"/>
  </conditionalFormatting>
  <conditionalFormatting sqref="B1608">
    <cfRule type="duplicateValues" dxfId="1" priority="2225"/>
  </conditionalFormatting>
  <conditionalFormatting sqref="B1609">
    <cfRule type="duplicateValues" dxfId="1" priority="2224"/>
  </conditionalFormatting>
  <conditionalFormatting sqref="B1610">
    <cfRule type="duplicateValues" dxfId="1" priority="2223"/>
  </conditionalFormatting>
  <conditionalFormatting sqref="B1611">
    <cfRule type="duplicateValues" dxfId="1" priority="2222"/>
  </conditionalFormatting>
  <conditionalFormatting sqref="B1612">
    <cfRule type="duplicateValues" dxfId="1" priority="2221"/>
  </conditionalFormatting>
  <conditionalFormatting sqref="B1613">
    <cfRule type="duplicateValues" dxfId="1" priority="2220"/>
  </conditionalFormatting>
  <conditionalFormatting sqref="B1614">
    <cfRule type="duplicateValues" dxfId="1" priority="2219"/>
  </conditionalFormatting>
  <conditionalFormatting sqref="B1615">
    <cfRule type="duplicateValues" dxfId="1" priority="2218"/>
  </conditionalFormatting>
  <conditionalFormatting sqref="B1616">
    <cfRule type="duplicateValues" dxfId="1" priority="2217"/>
  </conditionalFormatting>
  <conditionalFormatting sqref="B1617">
    <cfRule type="duplicateValues" dxfId="1" priority="2216"/>
  </conditionalFormatting>
  <conditionalFormatting sqref="B1618">
    <cfRule type="duplicateValues" dxfId="1" priority="2215"/>
  </conditionalFormatting>
  <conditionalFormatting sqref="B1619">
    <cfRule type="duplicateValues" dxfId="1" priority="2214"/>
  </conditionalFormatting>
  <conditionalFormatting sqref="B1620">
    <cfRule type="duplicateValues" dxfId="1" priority="2213"/>
  </conditionalFormatting>
  <conditionalFormatting sqref="B1621">
    <cfRule type="duplicateValues" dxfId="1" priority="2212"/>
  </conditionalFormatting>
  <conditionalFormatting sqref="B1622">
    <cfRule type="duplicateValues" dxfId="1" priority="2211"/>
  </conditionalFormatting>
  <conditionalFormatting sqref="B1623">
    <cfRule type="duplicateValues" dxfId="1" priority="2210"/>
  </conditionalFormatting>
  <conditionalFormatting sqref="B1624">
    <cfRule type="duplicateValues" dxfId="1" priority="2209"/>
  </conditionalFormatting>
  <conditionalFormatting sqref="B1625">
    <cfRule type="duplicateValues" dxfId="1" priority="2208"/>
  </conditionalFormatting>
  <conditionalFormatting sqref="B1626">
    <cfRule type="duplicateValues" dxfId="1" priority="2207"/>
  </conditionalFormatting>
  <conditionalFormatting sqref="B1627">
    <cfRule type="duplicateValues" dxfId="1" priority="2206"/>
  </conditionalFormatting>
  <conditionalFormatting sqref="B1628">
    <cfRule type="duplicateValues" dxfId="1" priority="2205"/>
  </conditionalFormatting>
  <conditionalFormatting sqref="B1629">
    <cfRule type="duplicateValues" dxfId="1" priority="2204"/>
  </conditionalFormatting>
  <conditionalFormatting sqref="B1630">
    <cfRule type="duplicateValues" dxfId="1" priority="2203"/>
  </conditionalFormatting>
  <conditionalFormatting sqref="B1631">
    <cfRule type="duplicateValues" dxfId="1" priority="2202"/>
  </conditionalFormatting>
  <conditionalFormatting sqref="B1632">
    <cfRule type="duplicateValues" dxfId="1" priority="2201"/>
  </conditionalFormatting>
  <conditionalFormatting sqref="B1633">
    <cfRule type="duplicateValues" dxfId="1" priority="2200"/>
  </conditionalFormatting>
  <conditionalFormatting sqref="B1634">
    <cfRule type="duplicateValues" dxfId="1" priority="2199"/>
  </conditionalFormatting>
  <conditionalFormatting sqref="B1635">
    <cfRule type="duplicateValues" dxfId="1" priority="2198"/>
  </conditionalFormatting>
  <conditionalFormatting sqref="B1636">
    <cfRule type="duplicateValues" dxfId="1" priority="2197"/>
  </conditionalFormatting>
  <conditionalFormatting sqref="B1637">
    <cfRule type="duplicateValues" dxfId="1" priority="2196"/>
  </conditionalFormatting>
  <conditionalFormatting sqref="B1638">
    <cfRule type="duplicateValues" dxfId="1" priority="2195"/>
  </conditionalFormatting>
  <conditionalFormatting sqref="B1639">
    <cfRule type="duplicateValues" dxfId="1" priority="2194"/>
  </conditionalFormatting>
  <conditionalFormatting sqref="B1640">
    <cfRule type="duplicateValues" dxfId="1" priority="2193"/>
  </conditionalFormatting>
  <conditionalFormatting sqref="B1641">
    <cfRule type="duplicateValues" dxfId="1" priority="2192"/>
  </conditionalFormatting>
  <conditionalFormatting sqref="B1642">
    <cfRule type="duplicateValues" dxfId="1" priority="2191"/>
  </conditionalFormatting>
  <conditionalFormatting sqref="B1643">
    <cfRule type="duplicateValues" dxfId="1" priority="2190"/>
  </conditionalFormatting>
  <conditionalFormatting sqref="B1644">
    <cfRule type="duplicateValues" dxfId="1" priority="2189"/>
  </conditionalFormatting>
  <conditionalFormatting sqref="B1645">
    <cfRule type="duplicateValues" dxfId="1" priority="2188"/>
  </conditionalFormatting>
  <conditionalFormatting sqref="B1646">
    <cfRule type="duplicateValues" dxfId="1" priority="2187"/>
  </conditionalFormatting>
  <conditionalFormatting sqref="B1647">
    <cfRule type="duplicateValues" dxfId="1" priority="2186"/>
  </conditionalFormatting>
  <conditionalFormatting sqref="B1648">
    <cfRule type="duplicateValues" dxfId="1" priority="2185"/>
  </conditionalFormatting>
  <conditionalFormatting sqref="B1649">
    <cfRule type="duplicateValues" dxfId="1" priority="2184"/>
  </conditionalFormatting>
  <conditionalFormatting sqref="B1650">
    <cfRule type="duplicateValues" dxfId="1" priority="2183"/>
  </conditionalFormatting>
  <conditionalFormatting sqref="B1651">
    <cfRule type="duplicateValues" dxfId="1" priority="2182"/>
  </conditionalFormatting>
  <conditionalFormatting sqref="B1652">
    <cfRule type="duplicateValues" dxfId="1" priority="2181"/>
  </conditionalFormatting>
  <conditionalFormatting sqref="B1653">
    <cfRule type="duplicateValues" dxfId="1" priority="2180"/>
  </conditionalFormatting>
  <conditionalFormatting sqref="B1654">
    <cfRule type="duplicateValues" dxfId="1" priority="2179"/>
  </conditionalFormatting>
  <conditionalFormatting sqref="B1655">
    <cfRule type="duplicateValues" dxfId="1" priority="2178"/>
  </conditionalFormatting>
  <conditionalFormatting sqref="B1656">
    <cfRule type="duplicateValues" dxfId="1" priority="2177"/>
  </conditionalFormatting>
  <conditionalFormatting sqref="B1657">
    <cfRule type="duplicateValues" dxfId="1" priority="2176"/>
  </conditionalFormatting>
  <conditionalFormatting sqref="B1658">
    <cfRule type="duplicateValues" dxfId="1" priority="2175"/>
  </conditionalFormatting>
  <conditionalFormatting sqref="B1659">
    <cfRule type="duplicateValues" dxfId="1" priority="2174"/>
  </conditionalFormatting>
  <conditionalFormatting sqref="B1660">
    <cfRule type="duplicateValues" dxfId="1" priority="2173"/>
  </conditionalFormatting>
  <conditionalFormatting sqref="B1661">
    <cfRule type="duplicateValues" dxfId="1" priority="2172"/>
  </conditionalFormatting>
  <conditionalFormatting sqref="B1662">
    <cfRule type="duplicateValues" dxfId="1" priority="2171"/>
  </conditionalFormatting>
  <conditionalFormatting sqref="B1663">
    <cfRule type="duplicateValues" dxfId="1" priority="2170"/>
  </conditionalFormatting>
  <conditionalFormatting sqref="B1664">
    <cfRule type="duplicateValues" dxfId="1" priority="2169"/>
  </conditionalFormatting>
  <conditionalFormatting sqref="B1665">
    <cfRule type="duplicateValues" dxfId="1" priority="2168"/>
  </conditionalFormatting>
  <conditionalFormatting sqref="B1666">
    <cfRule type="duplicateValues" dxfId="1" priority="2167"/>
  </conditionalFormatting>
  <conditionalFormatting sqref="B1667">
    <cfRule type="duplicateValues" dxfId="1" priority="2166"/>
  </conditionalFormatting>
  <conditionalFormatting sqref="B1668">
    <cfRule type="duplicateValues" dxfId="1" priority="2165"/>
  </conditionalFormatting>
  <conditionalFormatting sqref="B1669">
    <cfRule type="duplicateValues" dxfId="1" priority="2164"/>
  </conditionalFormatting>
  <conditionalFormatting sqref="B1670">
    <cfRule type="duplicateValues" dxfId="1" priority="2163"/>
  </conditionalFormatting>
  <conditionalFormatting sqref="B1671">
    <cfRule type="duplicateValues" dxfId="1" priority="2162"/>
  </conditionalFormatting>
  <conditionalFormatting sqref="B1672">
    <cfRule type="duplicateValues" dxfId="1" priority="2161"/>
  </conditionalFormatting>
  <conditionalFormatting sqref="B1673">
    <cfRule type="duplicateValues" dxfId="1" priority="2160"/>
  </conditionalFormatting>
  <conditionalFormatting sqref="B1674">
    <cfRule type="duplicateValues" dxfId="1" priority="2159"/>
  </conditionalFormatting>
  <conditionalFormatting sqref="B1675">
    <cfRule type="duplicateValues" dxfId="1" priority="2158"/>
  </conditionalFormatting>
  <conditionalFormatting sqref="B1676">
    <cfRule type="duplicateValues" dxfId="1" priority="2157"/>
  </conditionalFormatting>
  <conditionalFormatting sqref="B1677">
    <cfRule type="duplicateValues" dxfId="1" priority="2156"/>
  </conditionalFormatting>
  <conditionalFormatting sqref="B1678">
    <cfRule type="duplicateValues" dxfId="1" priority="2155"/>
  </conditionalFormatting>
  <conditionalFormatting sqref="B1679">
    <cfRule type="duplicateValues" dxfId="1" priority="2154"/>
  </conditionalFormatting>
  <conditionalFormatting sqref="B1680">
    <cfRule type="duplicateValues" dxfId="1" priority="2153"/>
  </conditionalFormatting>
  <conditionalFormatting sqref="B1681">
    <cfRule type="duplicateValues" dxfId="1" priority="2152"/>
  </conditionalFormatting>
  <conditionalFormatting sqref="B1682">
    <cfRule type="duplicateValues" dxfId="1" priority="2151"/>
  </conditionalFormatting>
  <conditionalFormatting sqref="B1683">
    <cfRule type="duplicateValues" dxfId="1" priority="2150"/>
  </conditionalFormatting>
  <conditionalFormatting sqref="B1684">
    <cfRule type="duplicateValues" dxfId="1" priority="2149"/>
  </conditionalFormatting>
  <conditionalFormatting sqref="B1685">
    <cfRule type="duplicateValues" dxfId="1" priority="2148"/>
  </conditionalFormatting>
  <conditionalFormatting sqref="B1686">
    <cfRule type="duplicateValues" dxfId="1" priority="2147"/>
  </conditionalFormatting>
  <conditionalFormatting sqref="B1687">
    <cfRule type="duplicateValues" dxfId="1" priority="2146"/>
  </conditionalFormatting>
  <conditionalFormatting sqref="B1688">
    <cfRule type="duplicateValues" dxfId="1" priority="2145"/>
  </conditionalFormatting>
  <conditionalFormatting sqref="B1689">
    <cfRule type="duplicateValues" dxfId="1" priority="2144"/>
  </conditionalFormatting>
  <conditionalFormatting sqref="B1690">
    <cfRule type="duplicateValues" dxfId="1" priority="2143"/>
  </conditionalFormatting>
  <conditionalFormatting sqref="B1691">
    <cfRule type="duplicateValues" dxfId="1" priority="2142"/>
  </conditionalFormatting>
  <conditionalFormatting sqref="B1692">
    <cfRule type="duplicateValues" dxfId="1" priority="2141"/>
  </conditionalFormatting>
  <conditionalFormatting sqref="B1693">
    <cfRule type="duplicateValues" dxfId="1" priority="2140"/>
  </conditionalFormatting>
  <conditionalFormatting sqref="B1694">
    <cfRule type="duplicateValues" dxfId="1" priority="2139"/>
  </conditionalFormatting>
  <conditionalFormatting sqref="B1695">
    <cfRule type="duplicateValues" dxfId="1" priority="2138"/>
  </conditionalFormatting>
  <conditionalFormatting sqref="B1696">
    <cfRule type="duplicateValues" dxfId="1" priority="2137"/>
  </conditionalFormatting>
  <conditionalFormatting sqref="B1697">
    <cfRule type="duplicateValues" dxfId="1" priority="2136"/>
  </conditionalFormatting>
  <conditionalFormatting sqref="B1698">
    <cfRule type="duplicateValues" dxfId="1" priority="2135"/>
  </conditionalFormatting>
  <conditionalFormatting sqref="B1699">
    <cfRule type="duplicateValues" dxfId="1" priority="2134"/>
  </conditionalFormatting>
  <conditionalFormatting sqref="B1700">
    <cfRule type="duplicateValues" dxfId="1" priority="2133"/>
  </conditionalFormatting>
  <conditionalFormatting sqref="B1701">
    <cfRule type="duplicateValues" dxfId="1" priority="2132"/>
  </conditionalFormatting>
  <conditionalFormatting sqref="B1702">
    <cfRule type="duplicateValues" dxfId="1" priority="2131"/>
  </conditionalFormatting>
  <conditionalFormatting sqref="B1703">
    <cfRule type="duplicateValues" dxfId="1" priority="2130"/>
  </conditionalFormatting>
  <conditionalFormatting sqref="B1704">
    <cfRule type="duplicateValues" dxfId="1" priority="2129"/>
  </conditionalFormatting>
  <conditionalFormatting sqref="B1705">
    <cfRule type="duplicateValues" dxfId="1" priority="2128"/>
  </conditionalFormatting>
  <conditionalFormatting sqref="B1706">
    <cfRule type="duplicateValues" dxfId="1" priority="2127"/>
  </conditionalFormatting>
  <conditionalFormatting sqref="B1707">
    <cfRule type="duplicateValues" dxfId="1" priority="2126"/>
  </conditionalFormatting>
  <conditionalFormatting sqref="B1708">
    <cfRule type="duplicateValues" dxfId="1" priority="2125"/>
  </conditionalFormatting>
  <conditionalFormatting sqref="B1709">
    <cfRule type="duplicateValues" dxfId="1" priority="2124"/>
  </conditionalFormatting>
  <conditionalFormatting sqref="B1710">
    <cfRule type="duplicateValues" dxfId="1" priority="2123"/>
  </conditionalFormatting>
  <conditionalFormatting sqref="B1711">
    <cfRule type="duplicateValues" dxfId="1" priority="2122"/>
  </conditionalFormatting>
  <conditionalFormatting sqref="B1712">
    <cfRule type="duplicateValues" dxfId="1" priority="2121"/>
  </conditionalFormatting>
  <conditionalFormatting sqref="B1713">
    <cfRule type="duplicateValues" dxfId="1" priority="2120"/>
  </conditionalFormatting>
  <conditionalFormatting sqref="B1714">
    <cfRule type="duplicateValues" dxfId="1" priority="2119"/>
  </conditionalFormatting>
  <conditionalFormatting sqref="B1715">
    <cfRule type="duplicateValues" dxfId="1" priority="2118"/>
  </conditionalFormatting>
  <conditionalFormatting sqref="B1716">
    <cfRule type="duplicateValues" dxfId="1" priority="2117"/>
  </conditionalFormatting>
  <conditionalFormatting sqref="B1717">
    <cfRule type="duplicateValues" dxfId="1" priority="2116"/>
  </conditionalFormatting>
  <conditionalFormatting sqref="B1718">
    <cfRule type="duplicateValues" dxfId="1" priority="2115"/>
  </conditionalFormatting>
  <conditionalFormatting sqref="B1719">
    <cfRule type="duplicateValues" dxfId="1" priority="2114"/>
  </conditionalFormatting>
  <conditionalFormatting sqref="B1720">
    <cfRule type="duplicateValues" dxfId="1" priority="2113"/>
  </conditionalFormatting>
  <conditionalFormatting sqref="B1721">
    <cfRule type="duplicateValues" dxfId="1" priority="2112"/>
  </conditionalFormatting>
  <conditionalFormatting sqref="B1722">
    <cfRule type="duplicateValues" dxfId="1" priority="2111"/>
  </conditionalFormatting>
  <conditionalFormatting sqref="B1723">
    <cfRule type="duplicateValues" dxfId="1" priority="2110"/>
  </conditionalFormatting>
  <conditionalFormatting sqref="B1724">
    <cfRule type="duplicateValues" dxfId="1" priority="2109"/>
  </conditionalFormatting>
  <conditionalFormatting sqref="B1725">
    <cfRule type="duplicateValues" dxfId="1" priority="2108"/>
  </conditionalFormatting>
  <conditionalFormatting sqref="B1726">
    <cfRule type="duplicateValues" dxfId="1" priority="2107"/>
  </conditionalFormatting>
  <conditionalFormatting sqref="B1727">
    <cfRule type="duplicateValues" dxfId="1" priority="2106"/>
  </conditionalFormatting>
  <conditionalFormatting sqref="B1728">
    <cfRule type="duplicateValues" dxfId="1" priority="2105"/>
  </conditionalFormatting>
  <conditionalFormatting sqref="B1729">
    <cfRule type="duplicateValues" dxfId="1" priority="2104"/>
  </conditionalFormatting>
  <conditionalFormatting sqref="B1730">
    <cfRule type="duplicateValues" dxfId="1" priority="2103"/>
  </conditionalFormatting>
  <conditionalFormatting sqref="B1731">
    <cfRule type="duplicateValues" dxfId="1" priority="2102"/>
  </conditionalFormatting>
  <conditionalFormatting sqref="B1732">
    <cfRule type="duplicateValues" dxfId="1" priority="2101"/>
  </conditionalFormatting>
  <conditionalFormatting sqref="B1733">
    <cfRule type="duplicateValues" dxfId="1" priority="2100"/>
  </conditionalFormatting>
  <conditionalFormatting sqref="B1734">
    <cfRule type="duplicateValues" dxfId="1" priority="2099"/>
  </conditionalFormatting>
  <conditionalFormatting sqref="B1735">
    <cfRule type="duplicateValues" dxfId="1" priority="2098"/>
  </conditionalFormatting>
  <conditionalFormatting sqref="B1736">
    <cfRule type="duplicateValues" dxfId="1" priority="2097"/>
  </conditionalFormatting>
  <conditionalFormatting sqref="B1737">
    <cfRule type="duplicateValues" dxfId="1" priority="2096"/>
  </conditionalFormatting>
  <conditionalFormatting sqref="B1738">
    <cfRule type="duplicateValues" dxfId="1" priority="2095"/>
  </conditionalFormatting>
  <conditionalFormatting sqref="B1739">
    <cfRule type="duplicateValues" dxfId="1" priority="2094"/>
  </conditionalFormatting>
  <conditionalFormatting sqref="B1740">
    <cfRule type="duplicateValues" dxfId="1" priority="2093"/>
  </conditionalFormatting>
  <conditionalFormatting sqref="B1741">
    <cfRule type="duplicateValues" dxfId="1" priority="2092"/>
  </conditionalFormatting>
  <conditionalFormatting sqref="B1742">
    <cfRule type="duplicateValues" dxfId="1" priority="2091"/>
  </conditionalFormatting>
  <conditionalFormatting sqref="B1743">
    <cfRule type="duplicateValues" dxfId="1" priority="2090"/>
  </conditionalFormatting>
  <conditionalFormatting sqref="B1744">
    <cfRule type="duplicateValues" dxfId="1" priority="2089"/>
  </conditionalFormatting>
  <conditionalFormatting sqref="B1745">
    <cfRule type="duplicateValues" dxfId="1" priority="2088"/>
  </conditionalFormatting>
  <conditionalFormatting sqref="B1746">
    <cfRule type="duplicateValues" dxfId="1" priority="2087"/>
  </conditionalFormatting>
  <conditionalFormatting sqref="B1747">
    <cfRule type="duplicateValues" dxfId="1" priority="2086"/>
  </conditionalFormatting>
  <conditionalFormatting sqref="B1748">
    <cfRule type="duplicateValues" dxfId="1" priority="2085"/>
  </conditionalFormatting>
  <conditionalFormatting sqref="B1749">
    <cfRule type="duplicateValues" dxfId="1" priority="2084"/>
  </conditionalFormatting>
  <conditionalFormatting sqref="B1750">
    <cfRule type="duplicateValues" dxfId="1" priority="2083"/>
  </conditionalFormatting>
  <conditionalFormatting sqref="B1751">
    <cfRule type="duplicateValues" dxfId="1" priority="2082"/>
  </conditionalFormatting>
  <conditionalFormatting sqref="B1752">
    <cfRule type="duplicateValues" dxfId="1" priority="2081"/>
  </conditionalFormatting>
  <conditionalFormatting sqref="B1753">
    <cfRule type="duplicateValues" dxfId="1" priority="2080"/>
  </conditionalFormatting>
  <conditionalFormatting sqref="B1754">
    <cfRule type="duplicateValues" dxfId="1" priority="2079"/>
  </conditionalFormatting>
  <conditionalFormatting sqref="B1755">
    <cfRule type="duplicateValues" dxfId="1" priority="2078"/>
  </conditionalFormatting>
  <conditionalFormatting sqref="B1756">
    <cfRule type="duplicateValues" dxfId="1" priority="2077"/>
  </conditionalFormatting>
  <conditionalFormatting sqref="B1757">
    <cfRule type="duplicateValues" dxfId="1" priority="2076"/>
  </conditionalFormatting>
  <conditionalFormatting sqref="B1758">
    <cfRule type="duplicateValues" dxfId="1" priority="2075"/>
  </conditionalFormatting>
  <conditionalFormatting sqref="B1759">
    <cfRule type="duplicateValues" dxfId="1" priority="2074"/>
  </conditionalFormatting>
  <conditionalFormatting sqref="B1760">
    <cfRule type="duplicateValues" dxfId="1" priority="2073"/>
  </conditionalFormatting>
  <conditionalFormatting sqref="B1761">
    <cfRule type="duplicateValues" dxfId="1" priority="2072"/>
  </conditionalFormatting>
  <conditionalFormatting sqref="B1762">
    <cfRule type="duplicateValues" dxfId="1" priority="2071"/>
  </conditionalFormatting>
  <conditionalFormatting sqref="B1763">
    <cfRule type="duplicateValues" dxfId="1" priority="2070"/>
  </conditionalFormatting>
  <conditionalFormatting sqref="B1764">
    <cfRule type="duplicateValues" dxfId="1" priority="2069"/>
  </conditionalFormatting>
  <conditionalFormatting sqref="B1765">
    <cfRule type="duplicateValues" dxfId="1" priority="2068"/>
  </conditionalFormatting>
  <conditionalFormatting sqref="B1766">
    <cfRule type="duplicateValues" dxfId="1" priority="2067"/>
  </conditionalFormatting>
  <conditionalFormatting sqref="B1767">
    <cfRule type="duplicateValues" dxfId="1" priority="2066"/>
  </conditionalFormatting>
  <conditionalFormatting sqref="B1768">
    <cfRule type="duplicateValues" dxfId="1" priority="2065"/>
  </conditionalFormatting>
  <conditionalFormatting sqref="B1769">
    <cfRule type="duplicateValues" dxfId="1" priority="2064"/>
  </conditionalFormatting>
  <conditionalFormatting sqref="B1770">
    <cfRule type="duplicateValues" dxfId="1" priority="2063"/>
  </conditionalFormatting>
  <conditionalFormatting sqref="B1771">
    <cfRule type="duplicateValues" dxfId="1" priority="2062"/>
  </conditionalFormatting>
  <conditionalFormatting sqref="B1772">
    <cfRule type="duplicateValues" dxfId="1" priority="2061"/>
  </conditionalFormatting>
  <conditionalFormatting sqref="B1773">
    <cfRule type="duplicateValues" dxfId="1" priority="2060"/>
  </conditionalFormatting>
  <conditionalFormatting sqref="B1774">
    <cfRule type="duplicateValues" dxfId="1" priority="2059"/>
  </conditionalFormatting>
  <conditionalFormatting sqref="B1775">
    <cfRule type="duplicateValues" dxfId="1" priority="2058"/>
  </conditionalFormatting>
  <conditionalFormatting sqref="B1776">
    <cfRule type="duplicateValues" dxfId="1" priority="2057"/>
  </conditionalFormatting>
  <conditionalFormatting sqref="B1777">
    <cfRule type="duplicateValues" dxfId="1" priority="2056"/>
  </conditionalFormatting>
  <conditionalFormatting sqref="B1778">
    <cfRule type="duplicateValues" dxfId="1" priority="2055"/>
  </conditionalFormatting>
  <conditionalFormatting sqref="B1779">
    <cfRule type="duplicateValues" dxfId="1" priority="2054"/>
  </conditionalFormatting>
  <conditionalFormatting sqref="B1780">
    <cfRule type="duplicateValues" dxfId="1" priority="2053"/>
  </conditionalFormatting>
  <conditionalFormatting sqref="B1781">
    <cfRule type="duplicateValues" dxfId="1" priority="2052"/>
  </conditionalFormatting>
  <conditionalFormatting sqref="B1782">
    <cfRule type="duplicateValues" dxfId="1" priority="2051"/>
  </conditionalFormatting>
  <conditionalFormatting sqref="B1783">
    <cfRule type="duplicateValues" dxfId="1" priority="2050"/>
  </conditionalFormatting>
  <conditionalFormatting sqref="B1784">
    <cfRule type="duplicateValues" dxfId="1" priority="2049"/>
  </conditionalFormatting>
  <conditionalFormatting sqref="B1785">
    <cfRule type="duplicateValues" dxfId="1" priority="2048"/>
  </conditionalFormatting>
  <conditionalFormatting sqref="B1786">
    <cfRule type="duplicateValues" dxfId="1" priority="2047"/>
  </conditionalFormatting>
  <conditionalFormatting sqref="B1787">
    <cfRule type="duplicateValues" dxfId="1" priority="2046"/>
  </conditionalFormatting>
  <conditionalFormatting sqref="B1788">
    <cfRule type="duplicateValues" dxfId="1" priority="2045"/>
  </conditionalFormatting>
  <conditionalFormatting sqref="B1789">
    <cfRule type="duplicateValues" dxfId="1" priority="2044"/>
  </conditionalFormatting>
  <conditionalFormatting sqref="B1790">
    <cfRule type="duplicateValues" dxfId="1" priority="2043"/>
  </conditionalFormatting>
  <conditionalFormatting sqref="B1791">
    <cfRule type="duplicateValues" dxfId="1" priority="2042"/>
  </conditionalFormatting>
  <conditionalFormatting sqref="B1792">
    <cfRule type="duplicateValues" dxfId="1" priority="2041"/>
  </conditionalFormatting>
  <conditionalFormatting sqref="B1793">
    <cfRule type="duplicateValues" dxfId="1" priority="2040"/>
  </conditionalFormatting>
  <conditionalFormatting sqref="B1794">
    <cfRule type="duplicateValues" dxfId="1" priority="2039"/>
  </conditionalFormatting>
  <conditionalFormatting sqref="B1795">
    <cfRule type="duplicateValues" dxfId="1" priority="2038"/>
  </conditionalFormatting>
  <conditionalFormatting sqref="B1796">
    <cfRule type="duplicateValues" dxfId="1" priority="2037"/>
  </conditionalFormatting>
  <conditionalFormatting sqref="B1797">
    <cfRule type="duplicateValues" dxfId="1" priority="2036"/>
  </conditionalFormatting>
  <conditionalFormatting sqref="B1798">
    <cfRule type="duplicateValues" dxfId="1" priority="2035"/>
  </conditionalFormatting>
  <conditionalFormatting sqref="B1799">
    <cfRule type="duplicateValues" dxfId="1" priority="2034"/>
  </conditionalFormatting>
  <conditionalFormatting sqref="B1800">
    <cfRule type="duplicateValues" dxfId="1" priority="2033"/>
  </conditionalFormatting>
  <conditionalFormatting sqref="B1801">
    <cfRule type="duplicateValues" dxfId="1" priority="2032"/>
  </conditionalFormatting>
  <conditionalFormatting sqref="B1802">
    <cfRule type="duplicateValues" dxfId="1" priority="2031"/>
  </conditionalFormatting>
  <conditionalFormatting sqref="B1803">
    <cfRule type="duplicateValues" dxfId="1" priority="2030"/>
  </conditionalFormatting>
  <conditionalFormatting sqref="B1804">
    <cfRule type="duplicateValues" dxfId="1" priority="2029"/>
  </conditionalFormatting>
  <conditionalFormatting sqref="B1805">
    <cfRule type="duplicateValues" dxfId="1" priority="2028"/>
  </conditionalFormatting>
  <conditionalFormatting sqref="B1806">
    <cfRule type="duplicateValues" dxfId="1" priority="2027"/>
  </conditionalFormatting>
  <conditionalFormatting sqref="B1807">
    <cfRule type="duplicateValues" dxfId="1" priority="2026"/>
  </conditionalFormatting>
  <conditionalFormatting sqref="B1808">
    <cfRule type="duplicateValues" dxfId="1" priority="2025"/>
  </conditionalFormatting>
  <conditionalFormatting sqref="B1809">
    <cfRule type="duplicateValues" dxfId="1" priority="2024"/>
  </conditionalFormatting>
  <conditionalFormatting sqref="B1810">
    <cfRule type="duplicateValues" dxfId="1" priority="2023"/>
  </conditionalFormatting>
  <conditionalFormatting sqref="B1811">
    <cfRule type="duplicateValues" dxfId="1" priority="2022"/>
  </conditionalFormatting>
  <conditionalFormatting sqref="B1812">
    <cfRule type="duplicateValues" dxfId="1" priority="2021"/>
  </conditionalFormatting>
  <conditionalFormatting sqref="B1813">
    <cfRule type="duplicateValues" dxfId="1" priority="2020"/>
  </conditionalFormatting>
  <conditionalFormatting sqref="B1814">
    <cfRule type="duplicateValues" dxfId="1" priority="2019"/>
  </conditionalFormatting>
  <conditionalFormatting sqref="B1815">
    <cfRule type="duplicateValues" dxfId="1" priority="2018"/>
  </conditionalFormatting>
  <conditionalFormatting sqref="B1816">
    <cfRule type="duplicateValues" dxfId="1" priority="2017"/>
  </conditionalFormatting>
  <conditionalFormatting sqref="B1817">
    <cfRule type="duplicateValues" dxfId="1" priority="2016"/>
  </conditionalFormatting>
  <conditionalFormatting sqref="B1818">
    <cfRule type="duplicateValues" dxfId="1" priority="2015"/>
  </conditionalFormatting>
  <conditionalFormatting sqref="B1819">
    <cfRule type="duplicateValues" dxfId="1" priority="2014"/>
  </conditionalFormatting>
  <conditionalFormatting sqref="B1820">
    <cfRule type="duplicateValues" dxfId="1" priority="2013"/>
  </conditionalFormatting>
  <conditionalFormatting sqref="B1821">
    <cfRule type="duplicateValues" dxfId="1" priority="2012"/>
  </conditionalFormatting>
  <conditionalFormatting sqref="B1822">
    <cfRule type="duplicateValues" dxfId="1" priority="2011"/>
  </conditionalFormatting>
  <conditionalFormatting sqref="B1823">
    <cfRule type="duplicateValues" dxfId="1" priority="2010"/>
  </conditionalFormatting>
  <conditionalFormatting sqref="B1824">
    <cfRule type="duplicateValues" dxfId="1" priority="2009"/>
  </conditionalFormatting>
  <conditionalFormatting sqref="B1825">
    <cfRule type="duplicateValues" dxfId="1" priority="2008"/>
  </conditionalFormatting>
  <conditionalFormatting sqref="B1826">
    <cfRule type="duplicateValues" dxfId="1" priority="2007"/>
  </conditionalFormatting>
  <conditionalFormatting sqref="B1827">
    <cfRule type="duplicateValues" dxfId="1" priority="2006"/>
  </conditionalFormatting>
  <conditionalFormatting sqref="B1828">
    <cfRule type="duplicateValues" dxfId="1" priority="2005"/>
  </conditionalFormatting>
  <conditionalFormatting sqref="B1829">
    <cfRule type="duplicateValues" dxfId="1" priority="2004"/>
  </conditionalFormatting>
  <conditionalFormatting sqref="B1830">
    <cfRule type="duplicateValues" dxfId="1" priority="2003"/>
  </conditionalFormatting>
  <conditionalFormatting sqref="B1831">
    <cfRule type="duplicateValues" dxfId="1" priority="2002"/>
  </conditionalFormatting>
  <conditionalFormatting sqref="B1832">
    <cfRule type="duplicateValues" dxfId="1" priority="2001"/>
  </conditionalFormatting>
  <conditionalFormatting sqref="B1833">
    <cfRule type="duplicateValues" dxfId="1" priority="2000"/>
  </conditionalFormatting>
  <conditionalFormatting sqref="B1834">
    <cfRule type="duplicateValues" dxfId="1" priority="1999"/>
  </conditionalFormatting>
  <conditionalFormatting sqref="B1835">
    <cfRule type="duplicateValues" dxfId="1" priority="1998"/>
  </conditionalFormatting>
  <conditionalFormatting sqref="B1836">
    <cfRule type="duplicateValues" dxfId="1" priority="1997"/>
  </conditionalFormatting>
  <conditionalFormatting sqref="B1837">
    <cfRule type="duplicateValues" dxfId="1" priority="1996"/>
  </conditionalFormatting>
  <conditionalFormatting sqref="B1838">
    <cfRule type="duplicateValues" dxfId="1" priority="1995"/>
  </conditionalFormatting>
  <conditionalFormatting sqref="B1839">
    <cfRule type="duplicateValues" dxfId="1" priority="1994"/>
  </conditionalFormatting>
  <conditionalFormatting sqref="B1840">
    <cfRule type="duplicateValues" dxfId="1" priority="1993"/>
  </conditionalFormatting>
  <conditionalFormatting sqref="B1841">
    <cfRule type="duplicateValues" dxfId="1" priority="1992"/>
  </conditionalFormatting>
  <conditionalFormatting sqref="B1842">
    <cfRule type="duplicateValues" dxfId="1" priority="1991"/>
  </conditionalFormatting>
  <conditionalFormatting sqref="B1843">
    <cfRule type="duplicateValues" dxfId="1" priority="1990"/>
  </conditionalFormatting>
  <conditionalFormatting sqref="B1844">
    <cfRule type="duplicateValues" dxfId="1" priority="1989"/>
  </conditionalFormatting>
  <conditionalFormatting sqref="B1845">
    <cfRule type="duplicateValues" dxfId="1" priority="1988"/>
  </conditionalFormatting>
  <conditionalFormatting sqref="B1846">
    <cfRule type="duplicateValues" dxfId="1" priority="1987"/>
  </conditionalFormatting>
  <conditionalFormatting sqref="B1847">
    <cfRule type="duplicateValues" dxfId="1" priority="1986"/>
  </conditionalFormatting>
  <conditionalFormatting sqref="B1848">
    <cfRule type="duplicateValues" dxfId="1" priority="1985"/>
  </conditionalFormatting>
  <conditionalFormatting sqref="B1849">
    <cfRule type="duplicateValues" dxfId="1" priority="1984"/>
  </conditionalFormatting>
  <conditionalFormatting sqref="B1850">
    <cfRule type="duplicateValues" dxfId="1" priority="1983"/>
  </conditionalFormatting>
  <conditionalFormatting sqref="B1851">
    <cfRule type="duplicateValues" dxfId="1" priority="1982"/>
  </conditionalFormatting>
  <conditionalFormatting sqref="B1852">
    <cfRule type="duplicateValues" dxfId="1" priority="1981"/>
  </conditionalFormatting>
  <conditionalFormatting sqref="B1853">
    <cfRule type="duplicateValues" dxfId="1" priority="1980"/>
  </conditionalFormatting>
  <conditionalFormatting sqref="B1854">
    <cfRule type="duplicateValues" dxfId="1" priority="1979"/>
  </conditionalFormatting>
  <conditionalFormatting sqref="B1855">
    <cfRule type="duplicateValues" dxfId="1" priority="1978"/>
  </conditionalFormatting>
  <conditionalFormatting sqref="B1856">
    <cfRule type="duplicateValues" dxfId="1" priority="1977"/>
  </conditionalFormatting>
  <conditionalFormatting sqref="B1857">
    <cfRule type="duplicateValues" dxfId="1" priority="1976"/>
  </conditionalFormatting>
  <conditionalFormatting sqref="B1858">
    <cfRule type="duplicateValues" dxfId="1" priority="1975"/>
  </conditionalFormatting>
  <conditionalFormatting sqref="B1859">
    <cfRule type="duplicateValues" dxfId="1" priority="1974"/>
  </conditionalFormatting>
  <conditionalFormatting sqref="B1860">
    <cfRule type="duplicateValues" dxfId="1" priority="1973"/>
  </conditionalFormatting>
  <conditionalFormatting sqref="B1861">
    <cfRule type="duplicateValues" dxfId="1" priority="1972"/>
  </conditionalFormatting>
  <conditionalFormatting sqref="B1862">
    <cfRule type="duplicateValues" dxfId="1" priority="1971"/>
  </conditionalFormatting>
  <conditionalFormatting sqref="B1863">
    <cfRule type="duplicateValues" dxfId="1" priority="1970"/>
  </conditionalFormatting>
  <conditionalFormatting sqref="B1864">
    <cfRule type="duplicateValues" dxfId="1" priority="1969"/>
  </conditionalFormatting>
  <conditionalFormatting sqref="B1865">
    <cfRule type="duplicateValues" dxfId="1" priority="1968"/>
  </conditionalFormatting>
  <conditionalFormatting sqref="B1866">
    <cfRule type="duplicateValues" dxfId="1" priority="1967"/>
  </conditionalFormatting>
  <conditionalFormatting sqref="B1867">
    <cfRule type="duplicateValues" dxfId="1" priority="1966"/>
  </conditionalFormatting>
  <conditionalFormatting sqref="B1868">
    <cfRule type="duplicateValues" dxfId="1" priority="1965"/>
  </conditionalFormatting>
  <conditionalFormatting sqref="B1869">
    <cfRule type="duplicateValues" dxfId="1" priority="1964"/>
  </conditionalFormatting>
  <conditionalFormatting sqref="B1870">
    <cfRule type="duplicateValues" dxfId="1" priority="1963"/>
  </conditionalFormatting>
  <conditionalFormatting sqref="B1871">
    <cfRule type="duplicateValues" dxfId="1" priority="1962"/>
  </conditionalFormatting>
  <conditionalFormatting sqref="B1872">
    <cfRule type="duplicateValues" dxfId="1" priority="1961"/>
  </conditionalFormatting>
  <conditionalFormatting sqref="B1873">
    <cfRule type="duplicateValues" dxfId="1" priority="1960"/>
  </conditionalFormatting>
  <conditionalFormatting sqref="B1874">
    <cfRule type="duplicateValues" dxfId="1" priority="1959"/>
  </conditionalFormatting>
  <conditionalFormatting sqref="B1875">
    <cfRule type="duplicateValues" dxfId="1" priority="1958"/>
  </conditionalFormatting>
  <conditionalFormatting sqref="B1876">
    <cfRule type="duplicateValues" dxfId="1" priority="1957"/>
  </conditionalFormatting>
  <conditionalFormatting sqref="B1877">
    <cfRule type="duplicateValues" dxfId="1" priority="1956"/>
  </conditionalFormatting>
  <conditionalFormatting sqref="B1878">
    <cfRule type="duplicateValues" dxfId="1" priority="1955"/>
  </conditionalFormatting>
  <conditionalFormatting sqref="B1879">
    <cfRule type="duplicateValues" dxfId="1" priority="1954"/>
  </conditionalFormatting>
  <conditionalFormatting sqref="B1880">
    <cfRule type="duplicateValues" dxfId="1" priority="1953"/>
  </conditionalFormatting>
  <conditionalFormatting sqref="B1881">
    <cfRule type="duplicateValues" dxfId="1" priority="1952"/>
  </conditionalFormatting>
  <conditionalFormatting sqref="B1882">
    <cfRule type="duplicateValues" dxfId="1" priority="1951"/>
  </conditionalFormatting>
  <conditionalFormatting sqref="B1883">
    <cfRule type="duplicateValues" dxfId="1" priority="1950"/>
  </conditionalFormatting>
  <conditionalFormatting sqref="B1884">
    <cfRule type="duplicateValues" dxfId="1" priority="1949"/>
  </conditionalFormatting>
  <conditionalFormatting sqref="B1885">
    <cfRule type="duplicateValues" dxfId="1" priority="1948"/>
  </conditionalFormatting>
  <conditionalFormatting sqref="B1886">
    <cfRule type="duplicateValues" dxfId="1" priority="1947"/>
  </conditionalFormatting>
  <conditionalFormatting sqref="B1887">
    <cfRule type="duplicateValues" dxfId="1" priority="1946"/>
  </conditionalFormatting>
  <conditionalFormatting sqref="B1888">
    <cfRule type="duplicateValues" dxfId="1" priority="1945"/>
  </conditionalFormatting>
  <conditionalFormatting sqref="B1889">
    <cfRule type="duplicateValues" dxfId="1" priority="1944"/>
  </conditionalFormatting>
  <conditionalFormatting sqref="B1890">
    <cfRule type="duplicateValues" dxfId="1" priority="1943"/>
  </conditionalFormatting>
  <conditionalFormatting sqref="B1891">
    <cfRule type="duplicateValues" dxfId="1" priority="1942"/>
  </conditionalFormatting>
  <conditionalFormatting sqref="B1892">
    <cfRule type="duplicateValues" dxfId="1" priority="1941"/>
  </conditionalFormatting>
  <conditionalFormatting sqref="B1893">
    <cfRule type="duplicateValues" dxfId="1" priority="1940"/>
  </conditionalFormatting>
  <conditionalFormatting sqref="B1894">
    <cfRule type="duplicateValues" dxfId="1" priority="1939"/>
  </conditionalFormatting>
  <conditionalFormatting sqref="B1895">
    <cfRule type="duplicateValues" dxfId="1" priority="1938"/>
  </conditionalFormatting>
  <conditionalFormatting sqref="B1896">
    <cfRule type="duplicateValues" dxfId="1" priority="1937"/>
  </conditionalFormatting>
  <conditionalFormatting sqref="B1897">
    <cfRule type="duplicateValues" dxfId="1" priority="1936"/>
  </conditionalFormatting>
  <conditionalFormatting sqref="B1898">
    <cfRule type="duplicateValues" dxfId="1" priority="1935"/>
  </conditionalFormatting>
  <conditionalFormatting sqref="B1899">
    <cfRule type="duplicateValues" dxfId="1" priority="1934"/>
  </conditionalFormatting>
  <conditionalFormatting sqref="B1900">
    <cfRule type="duplicateValues" dxfId="1" priority="1933"/>
  </conditionalFormatting>
  <conditionalFormatting sqref="B1901">
    <cfRule type="duplicateValues" dxfId="1" priority="1932"/>
  </conditionalFormatting>
  <conditionalFormatting sqref="B1902">
    <cfRule type="duplicateValues" dxfId="1" priority="1931"/>
  </conditionalFormatting>
  <conditionalFormatting sqref="B1903">
    <cfRule type="duplicateValues" dxfId="1" priority="1930"/>
  </conditionalFormatting>
  <conditionalFormatting sqref="B1904">
    <cfRule type="duplicateValues" dxfId="1" priority="1929"/>
  </conditionalFormatting>
  <conditionalFormatting sqref="B1905">
    <cfRule type="duplicateValues" dxfId="1" priority="1928"/>
  </conditionalFormatting>
  <conditionalFormatting sqref="B1906">
    <cfRule type="duplicateValues" dxfId="1" priority="1927"/>
  </conditionalFormatting>
  <conditionalFormatting sqref="B1907">
    <cfRule type="duplicateValues" dxfId="1" priority="1926"/>
  </conditionalFormatting>
  <conditionalFormatting sqref="B1908">
    <cfRule type="duplicateValues" dxfId="1" priority="1925"/>
  </conditionalFormatting>
  <conditionalFormatting sqref="B1909">
    <cfRule type="duplicateValues" dxfId="1" priority="1924"/>
  </conditionalFormatting>
  <conditionalFormatting sqref="B1910">
    <cfRule type="duplicateValues" dxfId="1" priority="1923"/>
  </conditionalFormatting>
  <conditionalFormatting sqref="B1911">
    <cfRule type="duplicateValues" dxfId="1" priority="1922"/>
  </conditionalFormatting>
  <conditionalFormatting sqref="B1912">
    <cfRule type="duplicateValues" dxfId="1" priority="1921"/>
  </conditionalFormatting>
  <conditionalFormatting sqref="B1913">
    <cfRule type="duplicateValues" dxfId="1" priority="1920"/>
  </conditionalFormatting>
  <conditionalFormatting sqref="B1914">
    <cfRule type="duplicateValues" dxfId="1" priority="1919"/>
  </conditionalFormatting>
  <conditionalFormatting sqref="B1915">
    <cfRule type="duplicateValues" dxfId="1" priority="1918"/>
  </conditionalFormatting>
  <conditionalFormatting sqref="B1916">
    <cfRule type="duplicateValues" dxfId="1" priority="1917"/>
  </conditionalFormatting>
  <conditionalFormatting sqref="B1917">
    <cfRule type="duplicateValues" dxfId="1" priority="1916"/>
  </conditionalFormatting>
  <conditionalFormatting sqref="B1918">
    <cfRule type="duplicateValues" dxfId="1" priority="1915"/>
  </conditionalFormatting>
  <conditionalFormatting sqref="B1919">
    <cfRule type="duplicateValues" dxfId="1" priority="1914"/>
  </conditionalFormatting>
  <conditionalFormatting sqref="B1920">
    <cfRule type="duplicateValues" dxfId="1" priority="1913"/>
  </conditionalFormatting>
  <conditionalFormatting sqref="B1921">
    <cfRule type="duplicateValues" dxfId="1" priority="1912"/>
  </conditionalFormatting>
  <conditionalFormatting sqref="B1922">
    <cfRule type="duplicateValues" dxfId="1" priority="1911"/>
  </conditionalFormatting>
  <conditionalFormatting sqref="B1923">
    <cfRule type="duplicateValues" dxfId="1" priority="1910"/>
  </conditionalFormatting>
  <conditionalFormatting sqref="B1924">
    <cfRule type="duplicateValues" dxfId="1" priority="1909"/>
  </conditionalFormatting>
  <conditionalFormatting sqref="B1925">
    <cfRule type="duplicateValues" dxfId="1" priority="1908"/>
  </conditionalFormatting>
  <conditionalFormatting sqref="B1926">
    <cfRule type="duplicateValues" dxfId="1" priority="1907"/>
  </conditionalFormatting>
  <conditionalFormatting sqref="B1927">
    <cfRule type="duplicateValues" dxfId="1" priority="1906"/>
  </conditionalFormatting>
  <conditionalFormatting sqref="B1928">
    <cfRule type="duplicateValues" dxfId="1" priority="1905"/>
  </conditionalFormatting>
  <conditionalFormatting sqref="B1929">
    <cfRule type="duplicateValues" dxfId="1" priority="1904"/>
  </conditionalFormatting>
  <conditionalFormatting sqref="B1930">
    <cfRule type="duplicateValues" dxfId="1" priority="1903"/>
  </conditionalFormatting>
  <conditionalFormatting sqref="B1931">
    <cfRule type="duplicateValues" dxfId="1" priority="1902"/>
  </conditionalFormatting>
  <conditionalFormatting sqref="B1932">
    <cfRule type="duplicateValues" dxfId="1" priority="1901"/>
  </conditionalFormatting>
  <conditionalFormatting sqref="B1933">
    <cfRule type="duplicateValues" dxfId="1" priority="1900"/>
  </conditionalFormatting>
  <conditionalFormatting sqref="B1934">
    <cfRule type="duplicateValues" dxfId="1" priority="1899"/>
  </conditionalFormatting>
  <conditionalFormatting sqref="B1935">
    <cfRule type="duplicateValues" dxfId="1" priority="1898"/>
  </conditionalFormatting>
  <conditionalFormatting sqref="B1936">
    <cfRule type="duplicateValues" dxfId="1" priority="1897"/>
  </conditionalFormatting>
  <conditionalFormatting sqref="B1937">
    <cfRule type="duplicateValues" dxfId="1" priority="1896"/>
  </conditionalFormatting>
  <conditionalFormatting sqref="B1938">
    <cfRule type="duplicateValues" dxfId="1" priority="1895"/>
  </conditionalFormatting>
  <conditionalFormatting sqref="B1939">
    <cfRule type="duplicateValues" dxfId="1" priority="1894"/>
  </conditionalFormatting>
  <conditionalFormatting sqref="B1940">
    <cfRule type="duplicateValues" dxfId="1" priority="1893"/>
  </conditionalFormatting>
  <conditionalFormatting sqref="B1941">
    <cfRule type="duplicateValues" dxfId="1" priority="1892"/>
  </conditionalFormatting>
  <conditionalFormatting sqref="B1942">
    <cfRule type="duplicateValues" dxfId="1" priority="1891"/>
  </conditionalFormatting>
  <conditionalFormatting sqref="B1943">
    <cfRule type="duplicateValues" dxfId="1" priority="1890"/>
  </conditionalFormatting>
  <conditionalFormatting sqref="B1944">
    <cfRule type="duplicateValues" dxfId="1" priority="1889"/>
  </conditionalFormatting>
  <conditionalFormatting sqref="B1945">
    <cfRule type="duplicateValues" dxfId="1" priority="1888"/>
  </conditionalFormatting>
  <conditionalFormatting sqref="B1946">
    <cfRule type="duplicateValues" dxfId="1" priority="1887"/>
  </conditionalFormatting>
  <conditionalFormatting sqref="B1947">
    <cfRule type="duplicateValues" dxfId="1" priority="1886"/>
  </conditionalFormatting>
  <conditionalFormatting sqref="B1948">
    <cfRule type="duplicateValues" dxfId="1" priority="1885"/>
  </conditionalFormatting>
  <conditionalFormatting sqref="B1949">
    <cfRule type="duplicateValues" dxfId="1" priority="1884"/>
  </conditionalFormatting>
  <conditionalFormatting sqref="B1950">
    <cfRule type="duplicateValues" dxfId="1" priority="1883"/>
  </conditionalFormatting>
  <conditionalFormatting sqref="B1951">
    <cfRule type="duplicateValues" dxfId="1" priority="1882"/>
  </conditionalFormatting>
  <conditionalFormatting sqref="B1952">
    <cfRule type="duplicateValues" dxfId="1" priority="1881"/>
  </conditionalFormatting>
  <conditionalFormatting sqref="B1953">
    <cfRule type="duplicateValues" dxfId="1" priority="1880"/>
  </conditionalFormatting>
  <conditionalFormatting sqref="B1954">
    <cfRule type="duplicateValues" dxfId="1" priority="1879"/>
  </conditionalFormatting>
  <conditionalFormatting sqref="B1955">
    <cfRule type="duplicateValues" dxfId="1" priority="1878"/>
  </conditionalFormatting>
  <conditionalFormatting sqref="B1956">
    <cfRule type="duplicateValues" dxfId="1" priority="1877"/>
  </conditionalFormatting>
  <conditionalFormatting sqref="B1957">
    <cfRule type="duplicateValues" dxfId="1" priority="1876"/>
  </conditionalFormatting>
  <conditionalFormatting sqref="B1958">
    <cfRule type="duplicateValues" dxfId="1" priority="1875"/>
  </conditionalFormatting>
  <conditionalFormatting sqref="B1959">
    <cfRule type="duplicateValues" dxfId="1" priority="1874"/>
  </conditionalFormatting>
  <conditionalFormatting sqref="B1960">
    <cfRule type="duplicateValues" dxfId="1" priority="1873"/>
  </conditionalFormatting>
  <conditionalFormatting sqref="B1961">
    <cfRule type="duplicateValues" dxfId="1" priority="1872"/>
  </conditionalFormatting>
  <conditionalFormatting sqref="B1962">
    <cfRule type="duplicateValues" dxfId="1" priority="1871"/>
  </conditionalFormatting>
  <conditionalFormatting sqref="B1963">
    <cfRule type="duplicateValues" dxfId="1" priority="1870"/>
  </conditionalFormatting>
  <conditionalFormatting sqref="B1964">
    <cfRule type="duplicateValues" dxfId="1" priority="1869"/>
  </conditionalFormatting>
  <conditionalFormatting sqref="B1965">
    <cfRule type="duplicateValues" dxfId="1" priority="1868"/>
  </conditionalFormatting>
  <conditionalFormatting sqref="B1966">
    <cfRule type="duplicateValues" dxfId="1" priority="1867"/>
  </conditionalFormatting>
  <conditionalFormatting sqref="B1967">
    <cfRule type="duplicateValues" dxfId="1" priority="1866"/>
  </conditionalFormatting>
  <conditionalFormatting sqref="B1968">
    <cfRule type="duplicateValues" dxfId="1" priority="1865"/>
  </conditionalFormatting>
  <conditionalFormatting sqref="B1969">
    <cfRule type="duplicateValues" dxfId="1" priority="1864"/>
  </conditionalFormatting>
  <conditionalFormatting sqref="B1970">
    <cfRule type="duplicateValues" dxfId="1" priority="1863"/>
  </conditionalFormatting>
  <conditionalFormatting sqref="B1971">
    <cfRule type="duplicateValues" dxfId="1" priority="1862"/>
  </conditionalFormatting>
  <conditionalFormatting sqref="B1972">
    <cfRule type="duplicateValues" dxfId="1" priority="1861"/>
  </conditionalFormatting>
  <conditionalFormatting sqref="B1973">
    <cfRule type="duplicateValues" dxfId="1" priority="1860"/>
  </conditionalFormatting>
  <conditionalFormatting sqref="B1974">
    <cfRule type="duplicateValues" dxfId="1" priority="1859"/>
  </conditionalFormatting>
  <conditionalFormatting sqref="B1975">
    <cfRule type="duplicateValues" dxfId="1" priority="1858"/>
  </conditionalFormatting>
  <conditionalFormatting sqref="B1976">
    <cfRule type="duplicateValues" dxfId="1" priority="1857"/>
  </conditionalFormatting>
  <conditionalFormatting sqref="B1977">
    <cfRule type="duplicateValues" dxfId="1" priority="1856"/>
  </conditionalFormatting>
  <conditionalFormatting sqref="B1978">
    <cfRule type="duplicateValues" dxfId="1" priority="1855"/>
  </conditionalFormatting>
  <conditionalFormatting sqref="B1979">
    <cfRule type="duplicateValues" dxfId="1" priority="1854"/>
  </conditionalFormatting>
  <conditionalFormatting sqref="B1980">
    <cfRule type="duplicateValues" dxfId="1" priority="1853"/>
  </conditionalFormatting>
  <conditionalFormatting sqref="B1981">
    <cfRule type="duplicateValues" dxfId="1" priority="1852"/>
  </conditionalFormatting>
  <conditionalFormatting sqref="B1982">
    <cfRule type="duplicateValues" dxfId="1" priority="1851"/>
  </conditionalFormatting>
  <conditionalFormatting sqref="B1983">
    <cfRule type="duplicateValues" dxfId="1" priority="1850"/>
  </conditionalFormatting>
  <conditionalFormatting sqref="B1984">
    <cfRule type="duplicateValues" dxfId="1" priority="1849"/>
  </conditionalFormatting>
  <conditionalFormatting sqref="B1985">
    <cfRule type="duplicateValues" dxfId="1" priority="1848"/>
  </conditionalFormatting>
  <conditionalFormatting sqref="B1986">
    <cfRule type="duplicateValues" dxfId="1" priority="1847"/>
  </conditionalFormatting>
  <conditionalFormatting sqref="B1987">
    <cfRule type="duplicateValues" dxfId="1" priority="1846"/>
  </conditionalFormatting>
  <conditionalFormatting sqref="B1988">
    <cfRule type="duplicateValues" dxfId="1" priority="1845"/>
  </conditionalFormatting>
  <conditionalFormatting sqref="B1989">
    <cfRule type="duplicateValues" dxfId="1" priority="1844"/>
  </conditionalFormatting>
  <conditionalFormatting sqref="B1990">
    <cfRule type="duplicateValues" dxfId="1" priority="1843"/>
  </conditionalFormatting>
  <conditionalFormatting sqref="B1991">
    <cfRule type="duplicateValues" dxfId="1" priority="1842"/>
  </conditionalFormatting>
  <conditionalFormatting sqref="B1992">
    <cfRule type="duplicateValues" dxfId="1" priority="1841"/>
  </conditionalFormatting>
  <conditionalFormatting sqref="B1993">
    <cfRule type="duplicateValues" dxfId="1" priority="1840"/>
  </conditionalFormatting>
  <conditionalFormatting sqref="B1994">
    <cfRule type="duplicateValues" dxfId="1" priority="1839"/>
  </conditionalFormatting>
  <conditionalFormatting sqref="B1995">
    <cfRule type="duplicateValues" dxfId="1" priority="1838"/>
  </conditionalFormatting>
  <conditionalFormatting sqref="B1996">
    <cfRule type="duplicateValues" dxfId="1" priority="1837"/>
  </conditionalFormatting>
  <conditionalFormatting sqref="B1997">
    <cfRule type="duplicateValues" dxfId="1" priority="1836"/>
  </conditionalFormatting>
  <conditionalFormatting sqref="B1998">
    <cfRule type="duplicateValues" dxfId="1" priority="1835"/>
  </conditionalFormatting>
  <conditionalFormatting sqref="B1999">
    <cfRule type="duplicateValues" dxfId="1" priority="1834"/>
  </conditionalFormatting>
  <conditionalFormatting sqref="B2000">
    <cfRule type="duplicateValues" dxfId="1" priority="1833"/>
  </conditionalFormatting>
  <conditionalFormatting sqref="B2001">
    <cfRule type="duplicateValues" dxfId="1" priority="1832"/>
  </conditionalFormatting>
  <conditionalFormatting sqref="B2002">
    <cfRule type="duplicateValues" dxfId="1" priority="1831"/>
  </conditionalFormatting>
  <conditionalFormatting sqref="B2003">
    <cfRule type="duplicateValues" dxfId="1" priority="1830"/>
  </conditionalFormatting>
  <conditionalFormatting sqref="B2004">
    <cfRule type="duplicateValues" dxfId="1" priority="1829"/>
  </conditionalFormatting>
  <conditionalFormatting sqref="B2005">
    <cfRule type="duplicateValues" dxfId="1" priority="1828"/>
  </conditionalFormatting>
  <conditionalFormatting sqref="B2006">
    <cfRule type="duplicateValues" dxfId="1" priority="1827"/>
  </conditionalFormatting>
  <conditionalFormatting sqref="B2007">
    <cfRule type="duplicateValues" dxfId="1" priority="1826"/>
  </conditionalFormatting>
  <conditionalFormatting sqref="B2008">
    <cfRule type="duplicateValues" dxfId="1" priority="1825"/>
  </conditionalFormatting>
  <conditionalFormatting sqref="B2009">
    <cfRule type="duplicateValues" dxfId="1" priority="1824"/>
  </conditionalFormatting>
  <conditionalFormatting sqref="B2010">
    <cfRule type="duplicateValues" dxfId="1" priority="1823"/>
  </conditionalFormatting>
  <conditionalFormatting sqref="B2011">
    <cfRule type="duplicateValues" dxfId="1" priority="1822"/>
  </conditionalFormatting>
  <conditionalFormatting sqref="B2012">
    <cfRule type="duplicateValues" dxfId="1" priority="1821"/>
  </conditionalFormatting>
  <conditionalFormatting sqref="B2013">
    <cfRule type="duplicateValues" dxfId="1" priority="1820"/>
  </conditionalFormatting>
  <conditionalFormatting sqref="B2014">
    <cfRule type="duplicateValues" dxfId="1" priority="1819"/>
  </conditionalFormatting>
  <conditionalFormatting sqref="B2015">
    <cfRule type="duplicateValues" dxfId="1" priority="1818"/>
  </conditionalFormatting>
  <conditionalFormatting sqref="B2016">
    <cfRule type="duplicateValues" dxfId="1" priority="1817"/>
  </conditionalFormatting>
  <conditionalFormatting sqref="B2017">
    <cfRule type="duplicateValues" dxfId="1" priority="1816"/>
  </conditionalFormatting>
  <conditionalFormatting sqref="B2018">
    <cfRule type="duplicateValues" dxfId="1" priority="1815"/>
  </conditionalFormatting>
  <conditionalFormatting sqref="B2019">
    <cfRule type="duplicateValues" dxfId="1" priority="1814"/>
  </conditionalFormatting>
  <conditionalFormatting sqref="B2020">
    <cfRule type="duplicateValues" dxfId="1" priority="1813"/>
  </conditionalFormatting>
  <conditionalFormatting sqref="B2021">
    <cfRule type="duplicateValues" dxfId="1" priority="1812"/>
  </conditionalFormatting>
  <conditionalFormatting sqref="B2022">
    <cfRule type="duplicateValues" dxfId="1" priority="1811"/>
  </conditionalFormatting>
  <conditionalFormatting sqref="B2023">
    <cfRule type="duplicateValues" dxfId="1" priority="1810"/>
  </conditionalFormatting>
  <conditionalFormatting sqref="B2024">
    <cfRule type="duplicateValues" dxfId="1" priority="1809"/>
  </conditionalFormatting>
  <conditionalFormatting sqref="B2025">
    <cfRule type="duplicateValues" dxfId="1" priority="1808"/>
  </conditionalFormatting>
  <conditionalFormatting sqref="B2026">
    <cfRule type="duplicateValues" dxfId="1" priority="1807"/>
  </conditionalFormatting>
  <conditionalFormatting sqref="B2027">
    <cfRule type="duplicateValues" dxfId="1" priority="1806"/>
  </conditionalFormatting>
  <conditionalFormatting sqref="B2028">
    <cfRule type="duplicateValues" dxfId="1" priority="1805"/>
  </conditionalFormatting>
  <conditionalFormatting sqref="B2029">
    <cfRule type="duplicateValues" dxfId="1" priority="1804"/>
  </conditionalFormatting>
  <conditionalFormatting sqref="B2030">
    <cfRule type="duplicateValues" dxfId="1" priority="1803"/>
  </conditionalFormatting>
  <conditionalFormatting sqref="B2031">
    <cfRule type="duplicateValues" dxfId="1" priority="1802"/>
  </conditionalFormatting>
  <conditionalFormatting sqref="B2032">
    <cfRule type="duplicateValues" dxfId="1" priority="1801"/>
  </conditionalFormatting>
  <conditionalFormatting sqref="B2033">
    <cfRule type="duplicateValues" dxfId="1" priority="1800"/>
  </conditionalFormatting>
  <conditionalFormatting sqref="B2034">
    <cfRule type="duplicateValues" dxfId="1" priority="1799"/>
  </conditionalFormatting>
  <conditionalFormatting sqref="B2035">
    <cfRule type="duplicateValues" dxfId="1" priority="1798"/>
  </conditionalFormatting>
  <conditionalFormatting sqref="B2036">
    <cfRule type="duplicateValues" dxfId="1" priority="1797"/>
  </conditionalFormatting>
  <conditionalFormatting sqref="B2037">
    <cfRule type="duplicateValues" dxfId="1" priority="1796"/>
  </conditionalFormatting>
  <conditionalFormatting sqref="B2038">
    <cfRule type="duplicateValues" dxfId="1" priority="1795"/>
  </conditionalFormatting>
  <conditionalFormatting sqref="B2039">
    <cfRule type="duplicateValues" dxfId="1" priority="1794"/>
  </conditionalFormatting>
  <conditionalFormatting sqref="B2040">
    <cfRule type="duplicateValues" dxfId="1" priority="1793"/>
  </conditionalFormatting>
  <conditionalFormatting sqref="B2041">
    <cfRule type="duplicateValues" dxfId="1" priority="1792"/>
  </conditionalFormatting>
  <conditionalFormatting sqref="B2042">
    <cfRule type="duplicateValues" dxfId="1" priority="1791"/>
  </conditionalFormatting>
  <conditionalFormatting sqref="B2043">
    <cfRule type="duplicateValues" dxfId="1" priority="1790"/>
  </conditionalFormatting>
  <conditionalFormatting sqref="B2044">
    <cfRule type="duplicateValues" dxfId="1" priority="1789"/>
  </conditionalFormatting>
  <conditionalFormatting sqref="B2045">
    <cfRule type="duplicateValues" dxfId="1" priority="1788"/>
  </conditionalFormatting>
  <conditionalFormatting sqref="B2046">
    <cfRule type="duplicateValues" dxfId="1" priority="1787"/>
  </conditionalFormatting>
  <conditionalFormatting sqref="B2047">
    <cfRule type="duplicateValues" dxfId="1" priority="1786"/>
  </conditionalFormatting>
  <conditionalFormatting sqref="B2048">
    <cfRule type="duplicateValues" dxfId="1" priority="1785"/>
  </conditionalFormatting>
  <conditionalFormatting sqref="B2049">
    <cfRule type="duplicateValues" dxfId="1" priority="1784"/>
  </conditionalFormatting>
  <conditionalFormatting sqref="B2050">
    <cfRule type="duplicateValues" dxfId="1" priority="1783"/>
  </conditionalFormatting>
  <conditionalFormatting sqref="B2051">
    <cfRule type="duplicateValues" dxfId="1" priority="1782"/>
  </conditionalFormatting>
  <conditionalFormatting sqref="B2052">
    <cfRule type="duplicateValues" dxfId="1" priority="1781"/>
  </conditionalFormatting>
  <conditionalFormatting sqref="B2053">
    <cfRule type="duplicateValues" dxfId="1" priority="1780"/>
  </conditionalFormatting>
  <conditionalFormatting sqref="B2054">
    <cfRule type="duplicateValues" dxfId="1" priority="1779"/>
  </conditionalFormatting>
  <conditionalFormatting sqref="B2055">
    <cfRule type="duplicateValues" dxfId="1" priority="1778"/>
  </conditionalFormatting>
  <conditionalFormatting sqref="B2056">
    <cfRule type="duplicateValues" dxfId="1" priority="1777"/>
  </conditionalFormatting>
  <conditionalFormatting sqref="B2057">
    <cfRule type="duplicateValues" dxfId="1" priority="1776"/>
  </conditionalFormatting>
  <conditionalFormatting sqref="B2058">
    <cfRule type="duplicateValues" dxfId="1" priority="1775"/>
  </conditionalFormatting>
  <conditionalFormatting sqref="B2059">
    <cfRule type="duplicateValues" dxfId="1" priority="1774"/>
  </conditionalFormatting>
  <conditionalFormatting sqref="B2060">
    <cfRule type="duplicateValues" dxfId="1" priority="1773"/>
  </conditionalFormatting>
  <conditionalFormatting sqref="B2061">
    <cfRule type="duplicateValues" dxfId="1" priority="1772"/>
  </conditionalFormatting>
  <conditionalFormatting sqref="B2062">
    <cfRule type="duplicateValues" dxfId="1" priority="1771"/>
  </conditionalFormatting>
  <conditionalFormatting sqref="B2063">
    <cfRule type="duplicateValues" dxfId="1" priority="1770"/>
  </conditionalFormatting>
  <conditionalFormatting sqref="B2064">
    <cfRule type="duplicateValues" dxfId="1" priority="1769"/>
  </conditionalFormatting>
  <conditionalFormatting sqref="B2065">
    <cfRule type="duplicateValues" dxfId="1" priority="1768"/>
  </conditionalFormatting>
  <conditionalFormatting sqref="B2066">
    <cfRule type="duplicateValues" dxfId="1" priority="1767"/>
  </conditionalFormatting>
  <conditionalFormatting sqref="B2067">
    <cfRule type="duplicateValues" dxfId="1" priority="1766"/>
  </conditionalFormatting>
  <conditionalFormatting sqref="B2068">
    <cfRule type="duplicateValues" dxfId="1" priority="1765"/>
  </conditionalFormatting>
  <conditionalFormatting sqref="B2069">
    <cfRule type="duplicateValues" dxfId="1" priority="1764"/>
  </conditionalFormatting>
  <conditionalFormatting sqref="B2070">
    <cfRule type="duplicateValues" dxfId="1" priority="1763"/>
  </conditionalFormatting>
  <conditionalFormatting sqref="B2071">
    <cfRule type="duplicateValues" dxfId="1" priority="1762"/>
  </conditionalFormatting>
  <conditionalFormatting sqref="B2072">
    <cfRule type="duplicateValues" dxfId="1" priority="1761"/>
  </conditionalFormatting>
  <conditionalFormatting sqref="B2073">
    <cfRule type="duplicateValues" dxfId="1" priority="1760"/>
  </conditionalFormatting>
  <conditionalFormatting sqref="B2074">
    <cfRule type="duplicateValues" dxfId="1" priority="1759"/>
  </conditionalFormatting>
  <conditionalFormatting sqref="B2075">
    <cfRule type="duplicateValues" dxfId="1" priority="1758"/>
  </conditionalFormatting>
  <conditionalFormatting sqref="B2076">
    <cfRule type="duplicateValues" dxfId="1" priority="1757"/>
  </conditionalFormatting>
  <conditionalFormatting sqref="B2077">
    <cfRule type="duplicateValues" dxfId="1" priority="1756"/>
  </conditionalFormatting>
  <conditionalFormatting sqref="B2078">
    <cfRule type="duplicateValues" dxfId="1" priority="1755"/>
  </conditionalFormatting>
  <conditionalFormatting sqref="B2079">
    <cfRule type="duplicateValues" dxfId="1" priority="1754"/>
  </conditionalFormatting>
  <conditionalFormatting sqref="B2080">
    <cfRule type="duplicateValues" dxfId="1" priority="1753"/>
  </conditionalFormatting>
  <conditionalFormatting sqref="B2081">
    <cfRule type="duplicateValues" dxfId="1" priority="1752"/>
  </conditionalFormatting>
  <conditionalFormatting sqref="B2082">
    <cfRule type="duplicateValues" dxfId="1" priority="1751"/>
  </conditionalFormatting>
  <conditionalFormatting sqref="B2083">
    <cfRule type="duplicateValues" dxfId="1" priority="1750"/>
  </conditionalFormatting>
  <conditionalFormatting sqref="B2084">
    <cfRule type="duplicateValues" dxfId="1" priority="1749"/>
  </conditionalFormatting>
  <conditionalFormatting sqref="B2085">
    <cfRule type="duplicateValues" dxfId="1" priority="1748"/>
  </conditionalFormatting>
  <conditionalFormatting sqref="B2086">
    <cfRule type="duplicateValues" dxfId="1" priority="1747"/>
  </conditionalFormatting>
  <conditionalFormatting sqref="B2087">
    <cfRule type="duplicateValues" dxfId="1" priority="1746"/>
  </conditionalFormatting>
  <conditionalFormatting sqref="B2088">
    <cfRule type="duplicateValues" dxfId="1" priority="1745"/>
  </conditionalFormatting>
  <conditionalFormatting sqref="B2089">
    <cfRule type="duplicateValues" dxfId="1" priority="1744"/>
  </conditionalFormatting>
  <conditionalFormatting sqref="B2090">
    <cfRule type="duplicateValues" dxfId="1" priority="1743"/>
  </conditionalFormatting>
  <conditionalFormatting sqref="B2091">
    <cfRule type="duplicateValues" dxfId="1" priority="1742"/>
  </conditionalFormatting>
  <conditionalFormatting sqref="B2092">
    <cfRule type="duplicateValues" dxfId="1" priority="1741"/>
  </conditionalFormatting>
  <conditionalFormatting sqref="B2093">
    <cfRule type="duplicateValues" dxfId="1" priority="1740"/>
  </conditionalFormatting>
  <conditionalFormatting sqref="B2094">
    <cfRule type="duplicateValues" dxfId="1" priority="1739"/>
  </conditionalFormatting>
  <conditionalFormatting sqref="B2095">
    <cfRule type="duplicateValues" dxfId="1" priority="1738"/>
  </conditionalFormatting>
  <conditionalFormatting sqref="B2096">
    <cfRule type="duplicateValues" dxfId="1" priority="1737"/>
  </conditionalFormatting>
  <conditionalFormatting sqref="B2097">
    <cfRule type="duplicateValues" dxfId="1" priority="1736"/>
  </conditionalFormatting>
  <conditionalFormatting sqref="B2098">
    <cfRule type="duplicateValues" dxfId="1" priority="1735"/>
  </conditionalFormatting>
  <conditionalFormatting sqref="B2099">
    <cfRule type="duplicateValues" dxfId="1" priority="1734"/>
  </conditionalFormatting>
  <conditionalFormatting sqref="B2100">
    <cfRule type="duplicateValues" dxfId="1" priority="1733"/>
  </conditionalFormatting>
  <conditionalFormatting sqref="B2101">
    <cfRule type="duplicateValues" dxfId="1" priority="1732"/>
  </conditionalFormatting>
  <conditionalFormatting sqref="B2102">
    <cfRule type="duplicateValues" dxfId="1" priority="1731"/>
  </conditionalFormatting>
  <conditionalFormatting sqref="B2103">
    <cfRule type="duplicateValues" dxfId="1" priority="1730"/>
  </conditionalFormatting>
  <conditionalFormatting sqref="B2104">
    <cfRule type="duplicateValues" dxfId="1" priority="1729"/>
  </conditionalFormatting>
  <conditionalFormatting sqref="B2105">
    <cfRule type="duplicateValues" dxfId="1" priority="1728"/>
  </conditionalFormatting>
  <conditionalFormatting sqref="B2106">
    <cfRule type="duplicateValues" dxfId="1" priority="1727"/>
  </conditionalFormatting>
  <conditionalFormatting sqref="B2107">
    <cfRule type="duplicateValues" dxfId="1" priority="1726"/>
  </conditionalFormatting>
  <conditionalFormatting sqref="B2108">
    <cfRule type="duplicateValues" dxfId="1" priority="1725"/>
  </conditionalFormatting>
  <conditionalFormatting sqref="B2109">
    <cfRule type="duplicateValues" dxfId="1" priority="1724"/>
  </conditionalFormatting>
  <conditionalFormatting sqref="B2110">
    <cfRule type="duplicateValues" dxfId="1" priority="1723"/>
  </conditionalFormatting>
  <conditionalFormatting sqref="B2111">
    <cfRule type="duplicateValues" dxfId="1" priority="1722"/>
  </conditionalFormatting>
  <conditionalFormatting sqref="B2112">
    <cfRule type="duplicateValues" dxfId="1" priority="1721"/>
  </conditionalFormatting>
  <conditionalFormatting sqref="B2113">
    <cfRule type="duplicateValues" dxfId="1" priority="1720"/>
  </conditionalFormatting>
  <conditionalFormatting sqref="B2114">
    <cfRule type="duplicateValues" dxfId="1" priority="1719"/>
  </conditionalFormatting>
  <conditionalFormatting sqref="B2115">
    <cfRule type="duplicateValues" dxfId="1" priority="1718"/>
  </conditionalFormatting>
  <conditionalFormatting sqref="B2116">
    <cfRule type="duplicateValues" dxfId="1" priority="1717"/>
  </conditionalFormatting>
  <conditionalFormatting sqref="B2117">
    <cfRule type="duplicateValues" dxfId="1" priority="1716"/>
  </conditionalFormatting>
  <conditionalFormatting sqref="B2118">
    <cfRule type="duplicateValues" dxfId="1" priority="1715"/>
  </conditionalFormatting>
  <conditionalFormatting sqref="B2119">
    <cfRule type="duplicateValues" dxfId="1" priority="1714"/>
  </conditionalFormatting>
  <conditionalFormatting sqref="B2120">
    <cfRule type="duplicateValues" dxfId="1" priority="1713"/>
  </conditionalFormatting>
  <conditionalFormatting sqref="B2121">
    <cfRule type="duplicateValues" dxfId="1" priority="1712"/>
  </conditionalFormatting>
  <conditionalFormatting sqref="B2122">
    <cfRule type="duplicateValues" dxfId="1" priority="1711"/>
  </conditionalFormatting>
  <conditionalFormatting sqref="B2123">
    <cfRule type="duplicateValues" dxfId="1" priority="1710"/>
  </conditionalFormatting>
  <conditionalFormatting sqref="B2124">
    <cfRule type="duplicateValues" dxfId="1" priority="1709"/>
  </conditionalFormatting>
  <conditionalFormatting sqref="B2125">
    <cfRule type="duplicateValues" dxfId="1" priority="1708"/>
  </conditionalFormatting>
  <conditionalFormatting sqref="B2126">
    <cfRule type="duplicateValues" dxfId="1" priority="1707"/>
  </conditionalFormatting>
  <conditionalFormatting sqref="B2127">
    <cfRule type="duplicateValues" dxfId="1" priority="1706"/>
  </conditionalFormatting>
  <conditionalFormatting sqref="B2128">
    <cfRule type="duplicateValues" dxfId="1" priority="1705"/>
  </conditionalFormatting>
  <conditionalFormatting sqref="B2129">
    <cfRule type="duplicateValues" dxfId="1" priority="1704"/>
  </conditionalFormatting>
  <conditionalFormatting sqref="B2130">
    <cfRule type="duplicateValues" dxfId="1" priority="1703"/>
  </conditionalFormatting>
  <conditionalFormatting sqref="B2131">
    <cfRule type="duplicateValues" dxfId="1" priority="1702"/>
  </conditionalFormatting>
  <conditionalFormatting sqref="B2132">
    <cfRule type="duplicateValues" dxfId="1" priority="1701"/>
  </conditionalFormatting>
  <conditionalFormatting sqref="B2133">
    <cfRule type="duplicateValues" dxfId="1" priority="1700"/>
  </conditionalFormatting>
  <conditionalFormatting sqref="B2134">
    <cfRule type="duplicateValues" dxfId="1" priority="1699"/>
  </conditionalFormatting>
  <conditionalFormatting sqref="B2135">
    <cfRule type="duplicateValues" dxfId="1" priority="1698"/>
  </conditionalFormatting>
  <conditionalFormatting sqref="B2136">
    <cfRule type="duplicateValues" dxfId="1" priority="1697"/>
  </conditionalFormatting>
  <conditionalFormatting sqref="B2137">
    <cfRule type="duplicateValues" dxfId="1" priority="1696"/>
  </conditionalFormatting>
  <conditionalFormatting sqref="B2138">
    <cfRule type="duplicateValues" dxfId="1" priority="1695"/>
  </conditionalFormatting>
  <conditionalFormatting sqref="B2139">
    <cfRule type="duplicateValues" dxfId="1" priority="1694"/>
  </conditionalFormatting>
  <conditionalFormatting sqref="B2140">
    <cfRule type="duplicateValues" dxfId="1" priority="1693"/>
  </conditionalFormatting>
  <conditionalFormatting sqref="B2141">
    <cfRule type="duplicateValues" dxfId="1" priority="1692"/>
  </conditionalFormatting>
  <conditionalFormatting sqref="B2142">
    <cfRule type="duplicateValues" dxfId="1" priority="1691"/>
  </conditionalFormatting>
  <conditionalFormatting sqref="B2143">
    <cfRule type="duplicateValues" dxfId="1" priority="1690"/>
  </conditionalFormatting>
  <conditionalFormatting sqref="B2144">
    <cfRule type="duplicateValues" dxfId="1" priority="1689"/>
  </conditionalFormatting>
  <conditionalFormatting sqref="B2145">
    <cfRule type="duplicateValues" dxfId="1" priority="1688"/>
  </conditionalFormatting>
  <conditionalFormatting sqref="B2146">
    <cfRule type="duplicateValues" dxfId="1" priority="1687"/>
  </conditionalFormatting>
  <conditionalFormatting sqref="B2147">
    <cfRule type="duplicateValues" dxfId="1" priority="1686"/>
  </conditionalFormatting>
  <conditionalFormatting sqref="B2148">
    <cfRule type="duplicateValues" dxfId="1" priority="1685"/>
  </conditionalFormatting>
  <conditionalFormatting sqref="B2149">
    <cfRule type="duplicateValues" dxfId="1" priority="1684"/>
  </conditionalFormatting>
  <conditionalFormatting sqref="B2150">
    <cfRule type="duplicateValues" dxfId="1" priority="1683"/>
  </conditionalFormatting>
  <conditionalFormatting sqref="B2151">
    <cfRule type="duplicateValues" dxfId="1" priority="1682"/>
  </conditionalFormatting>
  <conditionalFormatting sqref="B2152">
    <cfRule type="duplicateValues" dxfId="1" priority="1681"/>
  </conditionalFormatting>
  <conditionalFormatting sqref="B2153">
    <cfRule type="duplicateValues" dxfId="1" priority="1680"/>
  </conditionalFormatting>
  <conditionalFormatting sqref="B2154">
    <cfRule type="duplicateValues" dxfId="1" priority="1679"/>
  </conditionalFormatting>
  <conditionalFormatting sqref="B2155">
    <cfRule type="duplicateValues" dxfId="1" priority="1678"/>
  </conditionalFormatting>
  <conditionalFormatting sqref="B2156">
    <cfRule type="duplicateValues" dxfId="1" priority="1677"/>
  </conditionalFormatting>
  <conditionalFormatting sqref="B2157">
    <cfRule type="duplicateValues" dxfId="1" priority="1676"/>
  </conditionalFormatting>
  <conditionalFormatting sqref="B2158">
    <cfRule type="duplicateValues" dxfId="1" priority="1675"/>
  </conditionalFormatting>
  <conditionalFormatting sqref="B2159">
    <cfRule type="duplicateValues" dxfId="1" priority="1674"/>
  </conditionalFormatting>
  <conditionalFormatting sqref="B2160">
    <cfRule type="duplicateValues" dxfId="1" priority="1673"/>
  </conditionalFormatting>
  <conditionalFormatting sqref="B2161">
    <cfRule type="duplicateValues" dxfId="1" priority="1672"/>
  </conditionalFormatting>
  <conditionalFormatting sqref="B2162">
    <cfRule type="duplicateValues" dxfId="1" priority="1671"/>
  </conditionalFormatting>
  <conditionalFormatting sqref="B2163">
    <cfRule type="duplicateValues" dxfId="1" priority="1670"/>
  </conditionalFormatting>
  <conditionalFormatting sqref="B2164">
    <cfRule type="duplicateValues" dxfId="1" priority="1669"/>
  </conditionalFormatting>
  <conditionalFormatting sqref="B2165">
    <cfRule type="duplicateValues" dxfId="1" priority="1668"/>
  </conditionalFormatting>
  <conditionalFormatting sqref="B2166">
    <cfRule type="duplicateValues" dxfId="1" priority="1667"/>
  </conditionalFormatting>
  <conditionalFormatting sqref="B2167">
    <cfRule type="duplicateValues" dxfId="1" priority="1666"/>
  </conditionalFormatting>
  <conditionalFormatting sqref="B2168">
    <cfRule type="duplicateValues" dxfId="1" priority="1665"/>
  </conditionalFormatting>
  <conditionalFormatting sqref="B2169">
    <cfRule type="duplicateValues" dxfId="1" priority="1664"/>
  </conditionalFormatting>
  <conditionalFormatting sqref="B2170">
    <cfRule type="duplicateValues" dxfId="1" priority="1663"/>
  </conditionalFormatting>
  <conditionalFormatting sqref="B2171">
    <cfRule type="duplicateValues" dxfId="1" priority="1662"/>
  </conditionalFormatting>
  <conditionalFormatting sqref="B2172">
    <cfRule type="duplicateValues" dxfId="1" priority="1661"/>
  </conditionalFormatting>
  <conditionalFormatting sqref="B2173">
    <cfRule type="duplicateValues" dxfId="1" priority="1660"/>
  </conditionalFormatting>
  <conditionalFormatting sqref="B2174">
    <cfRule type="duplicateValues" dxfId="1" priority="1659"/>
  </conditionalFormatting>
  <conditionalFormatting sqref="B2175">
    <cfRule type="duplicateValues" dxfId="1" priority="1658"/>
  </conditionalFormatting>
  <conditionalFormatting sqref="B2176">
    <cfRule type="duplicateValues" dxfId="1" priority="1657"/>
  </conditionalFormatting>
  <conditionalFormatting sqref="B2177">
    <cfRule type="duplicateValues" dxfId="1" priority="1656"/>
  </conditionalFormatting>
  <conditionalFormatting sqref="B2178">
    <cfRule type="duplicateValues" dxfId="1" priority="1655"/>
  </conditionalFormatting>
  <conditionalFormatting sqref="B2179">
    <cfRule type="duplicateValues" dxfId="1" priority="1654"/>
  </conditionalFormatting>
  <conditionalFormatting sqref="B2180">
    <cfRule type="duplicateValues" dxfId="1" priority="1653"/>
  </conditionalFormatting>
  <conditionalFormatting sqref="B2181">
    <cfRule type="duplicateValues" dxfId="1" priority="1652"/>
  </conditionalFormatting>
  <conditionalFormatting sqref="B2182">
    <cfRule type="duplicateValues" dxfId="1" priority="1651"/>
  </conditionalFormatting>
  <conditionalFormatting sqref="B2183">
    <cfRule type="duplicateValues" dxfId="1" priority="1650"/>
  </conditionalFormatting>
  <conditionalFormatting sqref="B2184">
    <cfRule type="duplicateValues" dxfId="1" priority="1649"/>
  </conditionalFormatting>
  <conditionalFormatting sqref="B2185">
    <cfRule type="duplicateValues" dxfId="1" priority="1648"/>
  </conditionalFormatting>
  <conditionalFormatting sqref="B2186">
    <cfRule type="duplicateValues" dxfId="1" priority="1647"/>
  </conditionalFormatting>
  <conditionalFormatting sqref="B2187">
    <cfRule type="duplicateValues" dxfId="1" priority="1646"/>
  </conditionalFormatting>
  <conditionalFormatting sqref="B2188">
    <cfRule type="duplicateValues" dxfId="1" priority="1645"/>
  </conditionalFormatting>
  <conditionalFormatting sqref="B2189">
    <cfRule type="duplicateValues" dxfId="1" priority="1644"/>
  </conditionalFormatting>
  <conditionalFormatting sqref="B2190">
    <cfRule type="duplicateValues" dxfId="1" priority="1643"/>
  </conditionalFormatting>
  <conditionalFormatting sqref="B2191">
    <cfRule type="duplicateValues" dxfId="1" priority="1642"/>
  </conditionalFormatting>
  <conditionalFormatting sqref="B2192">
    <cfRule type="duplicateValues" dxfId="1" priority="1641"/>
  </conditionalFormatting>
  <conditionalFormatting sqref="B2193">
    <cfRule type="duplicateValues" dxfId="1" priority="1640"/>
  </conditionalFormatting>
  <conditionalFormatting sqref="B2194">
    <cfRule type="duplicateValues" dxfId="1" priority="1639"/>
  </conditionalFormatting>
  <conditionalFormatting sqref="B2195">
    <cfRule type="duplicateValues" dxfId="1" priority="1638"/>
  </conditionalFormatting>
  <conditionalFormatting sqref="B2196">
    <cfRule type="duplicateValues" dxfId="1" priority="1637"/>
  </conditionalFormatting>
  <conditionalFormatting sqref="B2197">
    <cfRule type="duplicateValues" dxfId="1" priority="1636"/>
  </conditionalFormatting>
  <conditionalFormatting sqref="B2198">
    <cfRule type="duplicateValues" dxfId="1" priority="1635"/>
  </conditionalFormatting>
  <conditionalFormatting sqref="B2199">
    <cfRule type="duplicateValues" dxfId="1" priority="1634"/>
  </conditionalFormatting>
  <conditionalFormatting sqref="B2200">
    <cfRule type="duplicateValues" dxfId="1" priority="1633"/>
  </conditionalFormatting>
  <conditionalFormatting sqref="B2201">
    <cfRule type="duplicateValues" dxfId="1" priority="1632"/>
  </conditionalFormatting>
  <conditionalFormatting sqref="B2202">
    <cfRule type="duplicateValues" dxfId="1" priority="1631"/>
  </conditionalFormatting>
  <conditionalFormatting sqref="B2203">
    <cfRule type="duplicateValues" dxfId="1" priority="1630"/>
  </conditionalFormatting>
  <conditionalFormatting sqref="B2204">
    <cfRule type="duplicateValues" dxfId="1" priority="1629"/>
  </conditionalFormatting>
  <conditionalFormatting sqref="B2205">
    <cfRule type="duplicateValues" dxfId="1" priority="1628"/>
  </conditionalFormatting>
  <conditionalFormatting sqref="B2206">
    <cfRule type="duplicateValues" dxfId="1" priority="1627"/>
  </conditionalFormatting>
  <conditionalFormatting sqref="B2207">
    <cfRule type="duplicateValues" dxfId="1" priority="1626"/>
  </conditionalFormatting>
  <conditionalFormatting sqref="B2208">
    <cfRule type="duplicateValues" dxfId="1" priority="1625"/>
  </conditionalFormatting>
  <conditionalFormatting sqref="B2209">
    <cfRule type="duplicateValues" dxfId="1" priority="1624"/>
  </conditionalFormatting>
  <conditionalFormatting sqref="B2210">
    <cfRule type="duplicateValues" dxfId="1" priority="1623"/>
  </conditionalFormatting>
  <conditionalFormatting sqref="B2211">
    <cfRule type="duplicateValues" dxfId="1" priority="1622"/>
  </conditionalFormatting>
  <conditionalFormatting sqref="B2212">
    <cfRule type="duplicateValues" dxfId="1" priority="1621"/>
  </conditionalFormatting>
  <conditionalFormatting sqref="B2213">
    <cfRule type="duplicateValues" dxfId="1" priority="1620"/>
  </conditionalFormatting>
  <conditionalFormatting sqref="B2214">
    <cfRule type="duplicateValues" dxfId="1" priority="1619"/>
  </conditionalFormatting>
  <conditionalFormatting sqref="B2215">
    <cfRule type="duplicateValues" dxfId="1" priority="1618"/>
  </conditionalFormatting>
  <conditionalFormatting sqref="B2216">
    <cfRule type="duplicateValues" dxfId="1" priority="1617"/>
  </conditionalFormatting>
  <conditionalFormatting sqref="B2217">
    <cfRule type="duplicateValues" dxfId="1" priority="1616"/>
  </conditionalFormatting>
  <conditionalFormatting sqref="B2218">
    <cfRule type="duplicateValues" dxfId="1" priority="1615"/>
  </conditionalFormatting>
  <conditionalFormatting sqref="B2219">
    <cfRule type="duplicateValues" dxfId="1" priority="1614"/>
  </conditionalFormatting>
  <conditionalFormatting sqref="B2220">
    <cfRule type="duplicateValues" dxfId="1" priority="1613"/>
  </conditionalFormatting>
  <conditionalFormatting sqref="B2221">
    <cfRule type="duplicateValues" dxfId="1" priority="1612"/>
  </conditionalFormatting>
  <conditionalFormatting sqref="B2222">
    <cfRule type="duplicateValues" dxfId="1" priority="1611"/>
  </conditionalFormatting>
  <conditionalFormatting sqref="B2223">
    <cfRule type="duplicateValues" dxfId="1" priority="1610"/>
  </conditionalFormatting>
  <conditionalFormatting sqref="B2224">
    <cfRule type="duplicateValues" dxfId="1" priority="1609"/>
  </conditionalFormatting>
  <conditionalFormatting sqref="B2225">
    <cfRule type="duplicateValues" dxfId="1" priority="1608"/>
  </conditionalFormatting>
  <conditionalFormatting sqref="B2226">
    <cfRule type="duplicateValues" dxfId="1" priority="1607"/>
  </conditionalFormatting>
  <conditionalFormatting sqref="B2227">
    <cfRule type="duplicateValues" dxfId="1" priority="1606"/>
  </conditionalFormatting>
  <conditionalFormatting sqref="B2228">
    <cfRule type="duplicateValues" dxfId="1" priority="1605"/>
  </conditionalFormatting>
  <conditionalFormatting sqref="B2229">
    <cfRule type="duplicateValues" dxfId="1" priority="1604"/>
  </conditionalFormatting>
  <conditionalFormatting sqref="B2230">
    <cfRule type="duplicateValues" dxfId="1" priority="1603"/>
  </conditionalFormatting>
  <conditionalFormatting sqref="B2231">
    <cfRule type="duplicateValues" dxfId="1" priority="1602"/>
  </conditionalFormatting>
  <conditionalFormatting sqref="B2232">
    <cfRule type="duplicateValues" dxfId="1" priority="1601"/>
  </conditionalFormatting>
  <conditionalFormatting sqref="B2233">
    <cfRule type="duplicateValues" dxfId="1" priority="1600"/>
  </conditionalFormatting>
  <conditionalFormatting sqref="B2234">
    <cfRule type="duplicateValues" dxfId="1" priority="1599"/>
  </conditionalFormatting>
  <conditionalFormatting sqref="B2235">
    <cfRule type="duplicateValues" dxfId="1" priority="1598"/>
  </conditionalFormatting>
  <conditionalFormatting sqref="B2236">
    <cfRule type="duplicateValues" dxfId="1" priority="1597"/>
  </conditionalFormatting>
  <conditionalFormatting sqref="B2237">
    <cfRule type="duplicateValues" dxfId="1" priority="1596"/>
  </conditionalFormatting>
  <conditionalFormatting sqref="B2238">
    <cfRule type="duplicateValues" dxfId="1" priority="1595"/>
  </conditionalFormatting>
  <conditionalFormatting sqref="B2239">
    <cfRule type="duplicateValues" dxfId="1" priority="1594"/>
  </conditionalFormatting>
  <conditionalFormatting sqref="B2240">
    <cfRule type="duplicateValues" dxfId="1" priority="1593"/>
  </conditionalFormatting>
  <conditionalFormatting sqref="B2241">
    <cfRule type="duplicateValues" dxfId="1" priority="1592"/>
  </conditionalFormatting>
  <conditionalFormatting sqref="B2242">
    <cfRule type="duplicateValues" dxfId="1" priority="1591"/>
  </conditionalFormatting>
  <conditionalFormatting sqref="B2243">
    <cfRule type="duplicateValues" dxfId="1" priority="1590"/>
  </conditionalFormatting>
  <conditionalFormatting sqref="B2244">
    <cfRule type="duplicateValues" dxfId="1" priority="1589"/>
  </conditionalFormatting>
  <conditionalFormatting sqref="B2245">
    <cfRule type="duplicateValues" dxfId="1" priority="1588"/>
  </conditionalFormatting>
  <conditionalFormatting sqref="B2246">
    <cfRule type="duplicateValues" dxfId="1" priority="1587"/>
  </conditionalFormatting>
  <conditionalFormatting sqref="B2247">
    <cfRule type="duplicateValues" dxfId="1" priority="1586"/>
  </conditionalFormatting>
  <conditionalFormatting sqref="B2248">
    <cfRule type="duplicateValues" dxfId="1" priority="1585"/>
  </conditionalFormatting>
  <conditionalFormatting sqref="B2249">
    <cfRule type="duplicateValues" dxfId="1" priority="1584"/>
  </conditionalFormatting>
  <conditionalFormatting sqref="B2250">
    <cfRule type="duplicateValues" dxfId="1" priority="1583"/>
  </conditionalFormatting>
  <conditionalFormatting sqref="B2251">
    <cfRule type="duplicateValues" dxfId="1" priority="1582"/>
  </conditionalFormatting>
  <conditionalFormatting sqref="B2252">
    <cfRule type="duplicateValues" dxfId="1" priority="1581"/>
  </conditionalFormatting>
  <conditionalFormatting sqref="B2253">
    <cfRule type="duplicateValues" dxfId="1" priority="1580"/>
  </conditionalFormatting>
  <conditionalFormatting sqref="B2254">
    <cfRule type="duplicateValues" dxfId="1" priority="1579"/>
  </conditionalFormatting>
  <conditionalFormatting sqref="B2255">
    <cfRule type="duplicateValues" dxfId="1" priority="1578"/>
  </conditionalFormatting>
  <conditionalFormatting sqref="B2256">
    <cfRule type="duplicateValues" dxfId="1" priority="1577"/>
  </conditionalFormatting>
  <conditionalFormatting sqref="B2257">
    <cfRule type="duplicateValues" dxfId="1" priority="1576"/>
  </conditionalFormatting>
  <conditionalFormatting sqref="B2258">
    <cfRule type="duplicateValues" dxfId="1" priority="1575"/>
  </conditionalFormatting>
  <conditionalFormatting sqref="B2259">
    <cfRule type="duplicateValues" dxfId="1" priority="1574"/>
  </conditionalFormatting>
  <conditionalFormatting sqref="B2260">
    <cfRule type="duplicateValues" dxfId="1" priority="1573"/>
  </conditionalFormatting>
  <conditionalFormatting sqref="B2261">
    <cfRule type="duplicateValues" dxfId="1" priority="1572"/>
  </conditionalFormatting>
  <conditionalFormatting sqref="B2262">
    <cfRule type="duplicateValues" dxfId="1" priority="1571"/>
  </conditionalFormatting>
  <conditionalFormatting sqref="B2263">
    <cfRule type="duplicateValues" dxfId="1" priority="1570"/>
  </conditionalFormatting>
  <conditionalFormatting sqref="B2264">
    <cfRule type="duplicateValues" dxfId="1" priority="1569"/>
  </conditionalFormatting>
  <conditionalFormatting sqref="B2265">
    <cfRule type="duplicateValues" dxfId="1" priority="1568"/>
  </conditionalFormatting>
  <conditionalFormatting sqref="B2266">
    <cfRule type="duplicateValues" dxfId="1" priority="1567"/>
  </conditionalFormatting>
  <conditionalFormatting sqref="B2267">
    <cfRule type="duplicateValues" dxfId="1" priority="1566"/>
  </conditionalFormatting>
  <conditionalFormatting sqref="B2268">
    <cfRule type="duplicateValues" dxfId="1" priority="1565"/>
  </conditionalFormatting>
  <conditionalFormatting sqref="B2269">
    <cfRule type="duplicateValues" dxfId="1" priority="1564"/>
  </conditionalFormatting>
  <conditionalFormatting sqref="B2270">
    <cfRule type="duplicateValues" dxfId="1" priority="1563"/>
  </conditionalFormatting>
  <conditionalFormatting sqref="B2271">
    <cfRule type="duplicateValues" dxfId="1" priority="1562"/>
  </conditionalFormatting>
  <conditionalFormatting sqref="B2272">
    <cfRule type="duplicateValues" dxfId="1" priority="1561"/>
  </conditionalFormatting>
  <conditionalFormatting sqref="B2273">
    <cfRule type="duplicateValues" dxfId="1" priority="1560"/>
  </conditionalFormatting>
  <conditionalFormatting sqref="B2274">
    <cfRule type="duplicateValues" dxfId="1" priority="1559"/>
  </conditionalFormatting>
  <conditionalFormatting sqref="B2275">
    <cfRule type="duplicateValues" dxfId="1" priority="1558"/>
  </conditionalFormatting>
  <conditionalFormatting sqref="B2276">
    <cfRule type="duplicateValues" dxfId="1" priority="1557"/>
  </conditionalFormatting>
  <conditionalFormatting sqref="B2277">
    <cfRule type="duplicateValues" dxfId="1" priority="1556"/>
  </conditionalFormatting>
  <conditionalFormatting sqref="B2278">
    <cfRule type="duplicateValues" dxfId="1" priority="1555"/>
  </conditionalFormatting>
  <conditionalFormatting sqref="B2279">
    <cfRule type="duplicateValues" dxfId="1" priority="1554"/>
  </conditionalFormatting>
  <conditionalFormatting sqref="B2280">
    <cfRule type="duplicateValues" dxfId="1" priority="1553"/>
  </conditionalFormatting>
  <conditionalFormatting sqref="B2281">
    <cfRule type="duplicateValues" dxfId="1" priority="1552"/>
  </conditionalFormatting>
  <conditionalFormatting sqref="B2282">
    <cfRule type="duplicateValues" dxfId="1" priority="1551"/>
  </conditionalFormatting>
  <conditionalFormatting sqref="B2283">
    <cfRule type="duplicateValues" dxfId="1" priority="1550"/>
  </conditionalFormatting>
  <conditionalFormatting sqref="B2284">
    <cfRule type="duplicateValues" dxfId="1" priority="1549"/>
  </conditionalFormatting>
  <conditionalFormatting sqref="B2285">
    <cfRule type="duplicateValues" dxfId="1" priority="1548"/>
  </conditionalFormatting>
  <conditionalFormatting sqref="B2286">
    <cfRule type="duplicateValues" dxfId="1" priority="1547"/>
  </conditionalFormatting>
  <conditionalFormatting sqref="B2287">
    <cfRule type="duplicateValues" dxfId="1" priority="1546"/>
  </conditionalFormatting>
  <conditionalFormatting sqref="B2288">
    <cfRule type="duplicateValues" dxfId="1" priority="1545"/>
  </conditionalFormatting>
  <conditionalFormatting sqref="B2289">
    <cfRule type="duplicateValues" dxfId="1" priority="1544"/>
  </conditionalFormatting>
  <conditionalFormatting sqref="B2290">
    <cfRule type="duplicateValues" dxfId="1" priority="1543"/>
  </conditionalFormatting>
  <conditionalFormatting sqref="B2291">
    <cfRule type="duplicateValues" dxfId="1" priority="1542"/>
  </conditionalFormatting>
  <conditionalFormatting sqref="B2292">
    <cfRule type="duplicateValues" dxfId="1" priority="1541"/>
  </conditionalFormatting>
  <conditionalFormatting sqref="B2293">
    <cfRule type="duplicateValues" dxfId="1" priority="1540"/>
  </conditionalFormatting>
  <conditionalFormatting sqref="B2294">
    <cfRule type="duplicateValues" dxfId="1" priority="1539"/>
  </conditionalFormatting>
  <conditionalFormatting sqref="B2295">
    <cfRule type="duplicateValues" dxfId="1" priority="1538"/>
  </conditionalFormatting>
  <conditionalFormatting sqref="B2296">
    <cfRule type="duplicateValues" dxfId="1" priority="1537"/>
  </conditionalFormatting>
  <conditionalFormatting sqref="B2297">
    <cfRule type="duplicateValues" dxfId="1" priority="1536"/>
  </conditionalFormatting>
  <conditionalFormatting sqref="B2298">
    <cfRule type="duplicateValues" dxfId="1" priority="1535"/>
  </conditionalFormatting>
  <conditionalFormatting sqref="B2299">
    <cfRule type="duplicateValues" dxfId="1" priority="1534"/>
  </conditionalFormatting>
  <conditionalFormatting sqref="B2300">
    <cfRule type="duplicateValues" dxfId="1" priority="1533"/>
  </conditionalFormatting>
  <conditionalFormatting sqref="B2301">
    <cfRule type="duplicateValues" dxfId="1" priority="1532"/>
  </conditionalFormatting>
  <conditionalFormatting sqref="B2302">
    <cfRule type="duplicateValues" dxfId="1" priority="1531"/>
  </conditionalFormatting>
  <conditionalFormatting sqref="B2303">
    <cfRule type="duplicateValues" dxfId="1" priority="1530"/>
  </conditionalFormatting>
  <conditionalFormatting sqref="B2304">
    <cfRule type="duplicateValues" dxfId="1" priority="1529"/>
  </conditionalFormatting>
  <conditionalFormatting sqref="B2305">
    <cfRule type="duplicateValues" dxfId="1" priority="1528"/>
  </conditionalFormatting>
  <conditionalFormatting sqref="B2306">
    <cfRule type="duplicateValues" dxfId="1" priority="1527"/>
  </conditionalFormatting>
  <conditionalFormatting sqref="B2307">
    <cfRule type="duplicateValues" dxfId="1" priority="1526"/>
  </conditionalFormatting>
  <conditionalFormatting sqref="B2308">
    <cfRule type="duplicateValues" dxfId="1" priority="1525"/>
  </conditionalFormatting>
  <conditionalFormatting sqref="B2309">
    <cfRule type="duplicateValues" dxfId="1" priority="1524"/>
  </conditionalFormatting>
  <conditionalFormatting sqref="B2310">
    <cfRule type="duplicateValues" dxfId="1" priority="1523"/>
  </conditionalFormatting>
  <conditionalFormatting sqref="B2311">
    <cfRule type="duplicateValues" dxfId="1" priority="1522"/>
  </conditionalFormatting>
  <conditionalFormatting sqref="B2312">
    <cfRule type="duplicateValues" dxfId="1" priority="1521"/>
  </conditionalFormatting>
  <conditionalFormatting sqref="B2313">
    <cfRule type="duplicateValues" dxfId="1" priority="1520"/>
  </conditionalFormatting>
  <conditionalFormatting sqref="B2314">
    <cfRule type="duplicateValues" dxfId="1" priority="1519"/>
  </conditionalFormatting>
  <conditionalFormatting sqref="B2315">
    <cfRule type="duplicateValues" dxfId="1" priority="1518"/>
  </conditionalFormatting>
  <conditionalFormatting sqref="B2316">
    <cfRule type="duplicateValues" dxfId="1" priority="1517"/>
  </conditionalFormatting>
  <conditionalFormatting sqref="B2317">
    <cfRule type="duplicateValues" dxfId="1" priority="1516"/>
  </conditionalFormatting>
  <conditionalFormatting sqref="B2318">
    <cfRule type="duplicateValues" dxfId="1" priority="1515"/>
  </conditionalFormatting>
  <conditionalFormatting sqref="B2319">
    <cfRule type="duplicateValues" dxfId="1" priority="1514"/>
  </conditionalFormatting>
  <conditionalFormatting sqref="B2320">
    <cfRule type="duplicateValues" dxfId="1" priority="1513"/>
  </conditionalFormatting>
  <conditionalFormatting sqref="B2321">
    <cfRule type="duplicateValues" dxfId="1" priority="1512"/>
  </conditionalFormatting>
  <conditionalFormatting sqref="B2322">
    <cfRule type="duplicateValues" dxfId="1" priority="1511"/>
  </conditionalFormatting>
  <conditionalFormatting sqref="B2323">
    <cfRule type="duplicateValues" dxfId="1" priority="1510"/>
  </conditionalFormatting>
  <conditionalFormatting sqref="B2324">
    <cfRule type="duplicateValues" dxfId="1" priority="1509"/>
  </conditionalFormatting>
  <conditionalFormatting sqref="B2325">
    <cfRule type="duplicateValues" dxfId="1" priority="1508"/>
  </conditionalFormatting>
  <conditionalFormatting sqref="B2326">
    <cfRule type="duplicateValues" dxfId="1" priority="1507"/>
  </conditionalFormatting>
  <conditionalFormatting sqref="B2327">
    <cfRule type="duplicateValues" dxfId="1" priority="1506"/>
  </conditionalFormatting>
  <conditionalFormatting sqref="B2328">
    <cfRule type="duplicateValues" dxfId="1" priority="1505"/>
  </conditionalFormatting>
  <conditionalFormatting sqref="B2329">
    <cfRule type="duplicateValues" dxfId="1" priority="1504"/>
  </conditionalFormatting>
  <conditionalFormatting sqref="B2330">
    <cfRule type="duplicateValues" dxfId="1" priority="1503"/>
  </conditionalFormatting>
  <conditionalFormatting sqref="B2331">
    <cfRule type="duplicateValues" dxfId="1" priority="1502"/>
  </conditionalFormatting>
  <conditionalFormatting sqref="B2332">
    <cfRule type="duplicateValues" dxfId="1" priority="1501"/>
  </conditionalFormatting>
  <conditionalFormatting sqref="B2333">
    <cfRule type="duplicateValues" dxfId="1" priority="1500"/>
  </conditionalFormatting>
  <conditionalFormatting sqref="B2334">
    <cfRule type="duplicateValues" dxfId="1" priority="1499"/>
  </conditionalFormatting>
  <conditionalFormatting sqref="B2335">
    <cfRule type="duplicateValues" dxfId="1" priority="1498"/>
  </conditionalFormatting>
  <conditionalFormatting sqref="B2336">
    <cfRule type="duplicateValues" dxfId="1" priority="1497"/>
  </conditionalFormatting>
  <conditionalFormatting sqref="B2337">
    <cfRule type="duplicateValues" dxfId="1" priority="1496"/>
  </conditionalFormatting>
  <conditionalFormatting sqref="B2338">
    <cfRule type="duplicateValues" dxfId="1" priority="1495"/>
  </conditionalFormatting>
  <conditionalFormatting sqref="B2339">
    <cfRule type="duplicateValues" dxfId="1" priority="1494"/>
  </conditionalFormatting>
  <conditionalFormatting sqref="B2340">
    <cfRule type="duplicateValues" dxfId="1" priority="1493"/>
  </conditionalFormatting>
  <conditionalFormatting sqref="B2341">
    <cfRule type="duplicateValues" dxfId="1" priority="1492"/>
  </conditionalFormatting>
  <conditionalFormatting sqref="B2342">
    <cfRule type="duplicateValues" dxfId="1" priority="1491"/>
  </conditionalFormatting>
  <conditionalFormatting sqref="B2343">
    <cfRule type="duplicateValues" dxfId="1" priority="1490"/>
  </conditionalFormatting>
  <conditionalFormatting sqref="B2344">
    <cfRule type="duplicateValues" dxfId="1" priority="1489"/>
  </conditionalFormatting>
  <conditionalFormatting sqref="B2345">
    <cfRule type="duplicateValues" dxfId="1" priority="1488"/>
  </conditionalFormatting>
  <conditionalFormatting sqref="B2346">
    <cfRule type="duplicateValues" dxfId="1" priority="1487"/>
  </conditionalFormatting>
  <conditionalFormatting sqref="B2347">
    <cfRule type="duplicateValues" dxfId="1" priority="1486"/>
  </conditionalFormatting>
  <conditionalFormatting sqref="B2348">
    <cfRule type="duplicateValues" dxfId="1" priority="1485"/>
  </conditionalFormatting>
  <conditionalFormatting sqref="B2349">
    <cfRule type="duplicateValues" dxfId="1" priority="1484"/>
  </conditionalFormatting>
  <conditionalFormatting sqref="B2350">
    <cfRule type="duplicateValues" dxfId="1" priority="1483"/>
  </conditionalFormatting>
  <conditionalFormatting sqref="B2351">
    <cfRule type="duplicateValues" dxfId="1" priority="1482"/>
  </conditionalFormatting>
  <conditionalFormatting sqref="B2352">
    <cfRule type="duplicateValues" dxfId="1" priority="1481"/>
  </conditionalFormatting>
  <conditionalFormatting sqref="B2353">
    <cfRule type="duplicateValues" dxfId="1" priority="1480"/>
  </conditionalFormatting>
  <conditionalFormatting sqref="B2354">
    <cfRule type="duplicateValues" dxfId="1" priority="1479"/>
  </conditionalFormatting>
  <conditionalFormatting sqref="B2355">
    <cfRule type="duplicateValues" dxfId="1" priority="1478"/>
  </conditionalFormatting>
  <conditionalFormatting sqref="B2356">
    <cfRule type="duplicateValues" dxfId="1" priority="1477"/>
  </conditionalFormatting>
  <conditionalFormatting sqref="B2357">
    <cfRule type="duplicateValues" dxfId="1" priority="1476"/>
  </conditionalFormatting>
  <conditionalFormatting sqref="B2358">
    <cfRule type="duplicateValues" dxfId="1" priority="1475"/>
  </conditionalFormatting>
  <conditionalFormatting sqref="B2359">
    <cfRule type="duplicateValues" dxfId="1" priority="1474"/>
  </conditionalFormatting>
  <conditionalFormatting sqref="B2360">
    <cfRule type="duplicateValues" dxfId="1" priority="1473"/>
  </conditionalFormatting>
  <conditionalFormatting sqref="B2361">
    <cfRule type="duplicateValues" dxfId="1" priority="1472"/>
  </conditionalFormatting>
  <conditionalFormatting sqref="B2362">
    <cfRule type="duplicateValues" dxfId="1" priority="1471"/>
  </conditionalFormatting>
  <conditionalFormatting sqref="B2363">
    <cfRule type="duplicateValues" dxfId="1" priority="1470"/>
  </conditionalFormatting>
  <conditionalFormatting sqref="B2364">
    <cfRule type="duplicateValues" dxfId="1" priority="1469"/>
  </conditionalFormatting>
  <conditionalFormatting sqref="B2365">
    <cfRule type="duplicateValues" dxfId="1" priority="1468"/>
  </conditionalFormatting>
  <conditionalFormatting sqref="B2366">
    <cfRule type="duplicateValues" dxfId="1" priority="1467"/>
  </conditionalFormatting>
  <conditionalFormatting sqref="B2367">
    <cfRule type="duplicateValues" dxfId="1" priority="1466"/>
  </conditionalFormatting>
  <conditionalFormatting sqref="B2368">
    <cfRule type="duplicateValues" dxfId="1" priority="1465"/>
  </conditionalFormatting>
  <conditionalFormatting sqref="B2369">
    <cfRule type="duplicateValues" dxfId="1" priority="1464"/>
  </conditionalFormatting>
  <conditionalFormatting sqref="B2370">
    <cfRule type="duplicateValues" dxfId="1" priority="1463"/>
  </conditionalFormatting>
  <conditionalFormatting sqref="B2371">
    <cfRule type="duplicateValues" dxfId="1" priority="1462"/>
  </conditionalFormatting>
  <conditionalFormatting sqref="B2372">
    <cfRule type="duplicateValues" dxfId="1" priority="1461"/>
  </conditionalFormatting>
  <conditionalFormatting sqref="B2373">
    <cfRule type="duplicateValues" dxfId="1" priority="1460"/>
  </conditionalFormatting>
  <conditionalFormatting sqref="B2374">
    <cfRule type="duplicateValues" dxfId="1" priority="1459"/>
  </conditionalFormatting>
  <conditionalFormatting sqref="B2375">
    <cfRule type="duplicateValues" dxfId="1" priority="1458"/>
  </conditionalFormatting>
  <conditionalFormatting sqref="B2376">
    <cfRule type="duplicateValues" dxfId="1" priority="1457"/>
  </conditionalFormatting>
  <conditionalFormatting sqref="B2377">
    <cfRule type="duplicateValues" dxfId="1" priority="1456"/>
  </conditionalFormatting>
  <conditionalFormatting sqref="B2378">
    <cfRule type="duplicateValues" dxfId="1" priority="1455"/>
  </conditionalFormatting>
  <conditionalFormatting sqref="B2379">
    <cfRule type="duplicateValues" dxfId="1" priority="1454"/>
  </conditionalFormatting>
  <conditionalFormatting sqref="B2380">
    <cfRule type="duplicateValues" dxfId="1" priority="1453"/>
  </conditionalFormatting>
  <conditionalFormatting sqref="B2381">
    <cfRule type="duplicateValues" dxfId="1" priority="1452"/>
  </conditionalFormatting>
  <conditionalFormatting sqref="B2382">
    <cfRule type="duplicateValues" dxfId="1" priority="1451"/>
  </conditionalFormatting>
  <conditionalFormatting sqref="B2383">
    <cfRule type="duplicateValues" dxfId="1" priority="1450"/>
  </conditionalFormatting>
  <conditionalFormatting sqref="B2384">
    <cfRule type="duplicateValues" dxfId="1" priority="1449"/>
  </conditionalFormatting>
  <conditionalFormatting sqref="B2385">
    <cfRule type="duplicateValues" dxfId="1" priority="1448"/>
  </conditionalFormatting>
  <conditionalFormatting sqref="B2386">
    <cfRule type="duplicateValues" dxfId="1" priority="1447"/>
  </conditionalFormatting>
  <conditionalFormatting sqref="B2387">
    <cfRule type="duplicateValues" dxfId="1" priority="1446"/>
  </conditionalFormatting>
  <conditionalFormatting sqref="B2388">
    <cfRule type="duplicateValues" dxfId="1" priority="1445"/>
  </conditionalFormatting>
  <conditionalFormatting sqref="B2389">
    <cfRule type="duplicateValues" dxfId="1" priority="1444"/>
  </conditionalFormatting>
  <conditionalFormatting sqref="B2390">
    <cfRule type="duplicateValues" dxfId="1" priority="1443"/>
  </conditionalFormatting>
  <conditionalFormatting sqref="B2391">
    <cfRule type="duplicateValues" dxfId="1" priority="1442"/>
  </conditionalFormatting>
  <conditionalFormatting sqref="B2392">
    <cfRule type="duplicateValues" dxfId="1" priority="1441"/>
  </conditionalFormatting>
  <conditionalFormatting sqref="B2393">
    <cfRule type="duplicateValues" dxfId="1" priority="1440"/>
  </conditionalFormatting>
  <conditionalFormatting sqref="B2394">
    <cfRule type="duplicateValues" dxfId="1" priority="1439"/>
  </conditionalFormatting>
  <conditionalFormatting sqref="B2395">
    <cfRule type="duplicateValues" dxfId="1" priority="1438"/>
  </conditionalFormatting>
  <conditionalFormatting sqref="B2396">
    <cfRule type="duplicateValues" dxfId="1" priority="1437"/>
  </conditionalFormatting>
  <conditionalFormatting sqref="B2397">
    <cfRule type="duplicateValues" dxfId="1" priority="1436"/>
  </conditionalFormatting>
  <conditionalFormatting sqref="B2398">
    <cfRule type="duplicateValues" dxfId="1" priority="1435"/>
  </conditionalFormatting>
  <conditionalFormatting sqref="B2399">
    <cfRule type="duplicateValues" dxfId="1" priority="1434"/>
  </conditionalFormatting>
  <conditionalFormatting sqref="B2400">
    <cfRule type="duplicateValues" dxfId="1" priority="1433"/>
  </conditionalFormatting>
  <conditionalFormatting sqref="B2401">
    <cfRule type="duplicateValues" dxfId="1" priority="1432"/>
  </conditionalFormatting>
  <conditionalFormatting sqref="B2402">
    <cfRule type="duplicateValues" dxfId="1" priority="1431"/>
  </conditionalFormatting>
  <conditionalFormatting sqref="B2403">
    <cfRule type="duplicateValues" dxfId="1" priority="1430"/>
  </conditionalFormatting>
  <conditionalFormatting sqref="B2404">
    <cfRule type="duplicateValues" dxfId="1" priority="1429"/>
  </conditionalFormatting>
  <conditionalFormatting sqref="B2405">
    <cfRule type="duplicateValues" dxfId="1" priority="1428"/>
  </conditionalFormatting>
  <conditionalFormatting sqref="B2406">
    <cfRule type="duplicateValues" dxfId="1" priority="1427"/>
  </conditionalFormatting>
  <conditionalFormatting sqref="B2407">
    <cfRule type="duplicateValues" dxfId="1" priority="1426"/>
  </conditionalFormatting>
  <conditionalFormatting sqref="B2408">
    <cfRule type="duplicateValues" dxfId="1" priority="1425"/>
  </conditionalFormatting>
  <conditionalFormatting sqref="B2409">
    <cfRule type="duplicateValues" dxfId="1" priority="1424"/>
  </conditionalFormatting>
  <conditionalFormatting sqref="B2410">
    <cfRule type="duplicateValues" dxfId="1" priority="1423"/>
  </conditionalFormatting>
  <conditionalFormatting sqref="B2411">
    <cfRule type="duplicateValues" dxfId="1" priority="1422"/>
  </conditionalFormatting>
  <conditionalFormatting sqref="B2412">
    <cfRule type="duplicateValues" dxfId="1" priority="1421"/>
  </conditionalFormatting>
  <conditionalFormatting sqref="B2413">
    <cfRule type="duplicateValues" dxfId="1" priority="1420"/>
  </conditionalFormatting>
  <conditionalFormatting sqref="B2414">
    <cfRule type="duplicateValues" dxfId="1" priority="1419"/>
  </conditionalFormatting>
  <conditionalFormatting sqref="B2415">
    <cfRule type="duplicateValues" dxfId="1" priority="1418"/>
  </conditionalFormatting>
  <conditionalFormatting sqref="B2416">
    <cfRule type="duplicateValues" dxfId="1" priority="1417"/>
  </conditionalFormatting>
  <conditionalFormatting sqref="B2417">
    <cfRule type="duplicateValues" dxfId="1" priority="1416"/>
  </conditionalFormatting>
  <conditionalFormatting sqref="B2418">
    <cfRule type="duplicateValues" dxfId="1" priority="1415"/>
  </conditionalFormatting>
  <conditionalFormatting sqref="B2419">
    <cfRule type="duplicateValues" dxfId="1" priority="1414"/>
  </conditionalFormatting>
  <conditionalFormatting sqref="B2420">
    <cfRule type="duplicateValues" dxfId="1" priority="1413"/>
  </conditionalFormatting>
  <conditionalFormatting sqref="B2421">
    <cfRule type="duplicateValues" dxfId="1" priority="1412"/>
  </conditionalFormatting>
  <conditionalFormatting sqref="B2422">
    <cfRule type="duplicateValues" dxfId="1" priority="1411"/>
  </conditionalFormatting>
  <conditionalFormatting sqref="B2423">
    <cfRule type="duplicateValues" dxfId="1" priority="1410"/>
  </conditionalFormatting>
  <conditionalFormatting sqref="B2424">
    <cfRule type="duplicateValues" dxfId="1" priority="1409"/>
  </conditionalFormatting>
  <conditionalFormatting sqref="B2425">
    <cfRule type="duplicateValues" dxfId="1" priority="1408"/>
  </conditionalFormatting>
  <conditionalFormatting sqref="B2426">
    <cfRule type="duplicateValues" dxfId="1" priority="1407"/>
  </conditionalFormatting>
  <conditionalFormatting sqref="B2427">
    <cfRule type="duplicateValues" dxfId="1" priority="1406"/>
  </conditionalFormatting>
  <conditionalFormatting sqref="B2428">
    <cfRule type="duplicateValues" dxfId="1" priority="1405"/>
  </conditionalFormatting>
  <conditionalFormatting sqref="B2429">
    <cfRule type="duplicateValues" dxfId="1" priority="1404"/>
  </conditionalFormatting>
  <conditionalFormatting sqref="B2430">
    <cfRule type="duplicateValues" dxfId="1" priority="1403"/>
  </conditionalFormatting>
  <conditionalFormatting sqref="B2431">
    <cfRule type="duplicateValues" dxfId="1" priority="1402"/>
  </conditionalFormatting>
  <conditionalFormatting sqref="B2432">
    <cfRule type="duplicateValues" dxfId="1" priority="1401"/>
  </conditionalFormatting>
  <conditionalFormatting sqref="B2433">
    <cfRule type="duplicateValues" dxfId="1" priority="1400"/>
  </conditionalFormatting>
  <conditionalFormatting sqref="B2434">
    <cfRule type="duplicateValues" dxfId="1" priority="1399"/>
  </conditionalFormatting>
  <conditionalFormatting sqref="B2435">
    <cfRule type="duplicateValues" dxfId="1" priority="1398"/>
  </conditionalFormatting>
  <conditionalFormatting sqref="B2436">
    <cfRule type="duplicateValues" dxfId="1" priority="1397"/>
  </conditionalFormatting>
  <conditionalFormatting sqref="B2437">
    <cfRule type="duplicateValues" dxfId="1" priority="1396"/>
  </conditionalFormatting>
  <conditionalFormatting sqref="B2438">
    <cfRule type="duplicateValues" dxfId="1" priority="1395"/>
  </conditionalFormatting>
  <conditionalFormatting sqref="B2439">
    <cfRule type="duplicateValues" dxfId="1" priority="1394"/>
  </conditionalFormatting>
  <conditionalFormatting sqref="B2440">
    <cfRule type="duplicateValues" dxfId="1" priority="1393"/>
  </conditionalFormatting>
  <conditionalFormatting sqref="B2441">
    <cfRule type="duplicateValues" dxfId="1" priority="1392"/>
  </conditionalFormatting>
  <conditionalFormatting sqref="B2442">
    <cfRule type="duplicateValues" dxfId="1" priority="1391"/>
  </conditionalFormatting>
  <conditionalFormatting sqref="B2443">
    <cfRule type="duplicateValues" dxfId="1" priority="1390"/>
  </conditionalFormatting>
  <conditionalFormatting sqref="B2444">
    <cfRule type="duplicateValues" dxfId="1" priority="1389"/>
  </conditionalFormatting>
  <conditionalFormatting sqref="B2445">
    <cfRule type="duplicateValues" dxfId="1" priority="1388"/>
  </conditionalFormatting>
  <conditionalFormatting sqref="B2446">
    <cfRule type="duplicateValues" dxfId="1" priority="1387"/>
  </conditionalFormatting>
  <conditionalFormatting sqref="B2447">
    <cfRule type="duplicateValues" dxfId="1" priority="1386"/>
  </conditionalFormatting>
  <conditionalFormatting sqref="B2448">
    <cfRule type="duplicateValues" dxfId="1" priority="1385"/>
  </conditionalFormatting>
  <conditionalFormatting sqref="B2449">
    <cfRule type="duplicateValues" dxfId="1" priority="1384"/>
  </conditionalFormatting>
  <conditionalFormatting sqref="B2450">
    <cfRule type="duplicateValues" dxfId="1" priority="1383"/>
  </conditionalFormatting>
  <conditionalFormatting sqref="B2451">
    <cfRule type="duplicateValues" dxfId="1" priority="1382"/>
  </conditionalFormatting>
  <conditionalFormatting sqref="B2452">
    <cfRule type="duplicateValues" dxfId="1" priority="1381"/>
  </conditionalFormatting>
  <conditionalFormatting sqref="B2453">
    <cfRule type="duplicateValues" dxfId="1" priority="1380"/>
  </conditionalFormatting>
  <conditionalFormatting sqref="B2454">
    <cfRule type="duplicateValues" dxfId="1" priority="1379"/>
  </conditionalFormatting>
  <conditionalFormatting sqref="B2455">
    <cfRule type="duplicateValues" dxfId="1" priority="1378"/>
  </conditionalFormatting>
  <conditionalFormatting sqref="B2456">
    <cfRule type="duplicateValues" dxfId="1" priority="1377"/>
  </conditionalFormatting>
  <conditionalFormatting sqref="B2457">
    <cfRule type="duplicateValues" dxfId="1" priority="1376"/>
  </conditionalFormatting>
  <conditionalFormatting sqref="B2458">
    <cfRule type="duplicateValues" dxfId="1" priority="1375"/>
  </conditionalFormatting>
  <conditionalFormatting sqref="B2459">
    <cfRule type="duplicateValues" dxfId="1" priority="1374"/>
  </conditionalFormatting>
  <conditionalFormatting sqref="B2460">
    <cfRule type="duplicateValues" dxfId="1" priority="1373"/>
  </conditionalFormatting>
  <conditionalFormatting sqref="B2461">
    <cfRule type="duplicateValues" dxfId="1" priority="1372"/>
  </conditionalFormatting>
  <conditionalFormatting sqref="B2462">
    <cfRule type="duplicateValues" dxfId="1" priority="1371"/>
  </conditionalFormatting>
  <conditionalFormatting sqref="B2463">
    <cfRule type="duplicateValues" dxfId="1" priority="1370"/>
  </conditionalFormatting>
  <conditionalFormatting sqref="B2464">
    <cfRule type="duplicateValues" dxfId="1" priority="1369"/>
  </conditionalFormatting>
  <conditionalFormatting sqref="B2465">
    <cfRule type="duplicateValues" dxfId="1" priority="1368"/>
  </conditionalFormatting>
  <conditionalFormatting sqref="B2466">
    <cfRule type="duplicateValues" dxfId="1" priority="1367"/>
  </conditionalFormatting>
  <conditionalFormatting sqref="B2467">
    <cfRule type="duplicateValues" dxfId="1" priority="1366"/>
  </conditionalFormatting>
  <conditionalFormatting sqref="B2468">
    <cfRule type="duplicateValues" dxfId="1" priority="1365"/>
  </conditionalFormatting>
  <conditionalFormatting sqref="B2469">
    <cfRule type="duplicateValues" dxfId="1" priority="1364"/>
  </conditionalFormatting>
  <conditionalFormatting sqref="B2470">
    <cfRule type="duplicateValues" dxfId="1" priority="1363"/>
  </conditionalFormatting>
  <conditionalFormatting sqref="B2471">
    <cfRule type="duplicateValues" dxfId="1" priority="1362"/>
  </conditionalFormatting>
  <conditionalFormatting sqref="B2472">
    <cfRule type="duplicateValues" dxfId="1" priority="1361"/>
  </conditionalFormatting>
  <conditionalFormatting sqref="B2473">
    <cfRule type="duplicateValues" dxfId="1" priority="1360"/>
  </conditionalFormatting>
  <conditionalFormatting sqref="B2474">
    <cfRule type="duplicateValues" dxfId="1" priority="1359"/>
  </conditionalFormatting>
  <conditionalFormatting sqref="B2475">
    <cfRule type="duplicateValues" dxfId="1" priority="1358"/>
  </conditionalFormatting>
  <conditionalFormatting sqref="B2476">
    <cfRule type="duplicateValues" dxfId="1" priority="1357"/>
  </conditionalFormatting>
  <conditionalFormatting sqref="B2477">
    <cfRule type="duplicateValues" dxfId="1" priority="1356"/>
  </conditionalFormatting>
  <conditionalFormatting sqref="B2478">
    <cfRule type="duplicateValues" dxfId="1" priority="1355"/>
  </conditionalFormatting>
  <conditionalFormatting sqref="B2479">
    <cfRule type="duplicateValues" dxfId="1" priority="1354"/>
  </conditionalFormatting>
  <conditionalFormatting sqref="B2480">
    <cfRule type="duplicateValues" dxfId="1" priority="1353"/>
  </conditionalFormatting>
  <conditionalFormatting sqref="B2481">
    <cfRule type="duplicateValues" dxfId="1" priority="1352"/>
  </conditionalFormatting>
  <conditionalFormatting sqref="B2482">
    <cfRule type="duplicateValues" dxfId="1" priority="1351"/>
  </conditionalFormatting>
  <conditionalFormatting sqref="B2483">
    <cfRule type="duplicateValues" dxfId="1" priority="1350"/>
  </conditionalFormatting>
  <conditionalFormatting sqref="B2484">
    <cfRule type="duplicateValues" dxfId="1" priority="1349"/>
  </conditionalFormatting>
  <conditionalFormatting sqref="B2485">
    <cfRule type="duplicateValues" dxfId="1" priority="1348"/>
  </conditionalFormatting>
  <conditionalFormatting sqref="B2486">
    <cfRule type="duplicateValues" dxfId="1" priority="1347"/>
  </conditionalFormatting>
  <conditionalFormatting sqref="B2487">
    <cfRule type="duplicateValues" dxfId="1" priority="1346"/>
  </conditionalFormatting>
  <conditionalFormatting sqref="B2488">
    <cfRule type="duplicateValues" dxfId="1" priority="1345"/>
  </conditionalFormatting>
  <conditionalFormatting sqref="B2489">
    <cfRule type="duplicateValues" dxfId="1" priority="1344"/>
  </conditionalFormatting>
  <conditionalFormatting sqref="B2490">
    <cfRule type="duplicateValues" dxfId="1" priority="1343"/>
  </conditionalFormatting>
  <conditionalFormatting sqref="B2491">
    <cfRule type="duplicateValues" dxfId="1" priority="1342"/>
  </conditionalFormatting>
  <conditionalFormatting sqref="B2492">
    <cfRule type="duplicateValues" dxfId="1" priority="1341"/>
  </conditionalFormatting>
  <conditionalFormatting sqref="B2493">
    <cfRule type="duplicateValues" dxfId="1" priority="1340"/>
  </conditionalFormatting>
  <conditionalFormatting sqref="B2494">
    <cfRule type="duplicateValues" dxfId="1" priority="1339"/>
  </conditionalFormatting>
  <conditionalFormatting sqref="B2495">
    <cfRule type="duplicateValues" dxfId="1" priority="1338"/>
  </conditionalFormatting>
  <conditionalFormatting sqref="B2496">
    <cfRule type="duplicateValues" dxfId="1" priority="1337"/>
  </conditionalFormatting>
  <conditionalFormatting sqref="B2497">
    <cfRule type="duplicateValues" dxfId="1" priority="1336"/>
  </conditionalFormatting>
  <conditionalFormatting sqref="B2498">
    <cfRule type="duplicateValues" dxfId="1" priority="1335"/>
  </conditionalFormatting>
  <conditionalFormatting sqref="B2499">
    <cfRule type="duplicateValues" dxfId="1" priority="1334"/>
  </conditionalFormatting>
  <conditionalFormatting sqref="B2500">
    <cfRule type="duplicateValues" dxfId="1" priority="1333"/>
  </conditionalFormatting>
  <conditionalFormatting sqref="B2501">
    <cfRule type="duplicateValues" dxfId="1" priority="1332"/>
  </conditionalFormatting>
  <conditionalFormatting sqref="B2502">
    <cfRule type="duplicateValues" dxfId="1" priority="1331"/>
  </conditionalFormatting>
  <conditionalFormatting sqref="B2503">
    <cfRule type="duplicateValues" dxfId="1" priority="1330"/>
  </conditionalFormatting>
  <conditionalFormatting sqref="B2504">
    <cfRule type="duplicateValues" dxfId="1" priority="1329"/>
  </conditionalFormatting>
  <conditionalFormatting sqref="B2505">
    <cfRule type="duplicateValues" dxfId="1" priority="1328"/>
  </conditionalFormatting>
  <conditionalFormatting sqref="B2506">
    <cfRule type="duplicateValues" dxfId="1" priority="1327"/>
  </conditionalFormatting>
  <conditionalFormatting sqref="B2507">
    <cfRule type="duplicateValues" dxfId="1" priority="1326"/>
  </conditionalFormatting>
  <conditionalFormatting sqref="B2508">
    <cfRule type="duplicateValues" dxfId="1" priority="1325"/>
  </conditionalFormatting>
  <conditionalFormatting sqref="B2509">
    <cfRule type="duplicateValues" dxfId="1" priority="1324"/>
  </conditionalFormatting>
  <conditionalFormatting sqref="B2510">
    <cfRule type="duplicateValues" dxfId="1" priority="1323"/>
  </conditionalFormatting>
  <conditionalFormatting sqref="B2511">
    <cfRule type="duplicateValues" dxfId="1" priority="1322"/>
  </conditionalFormatting>
  <conditionalFormatting sqref="B2512">
    <cfRule type="duplicateValues" dxfId="1" priority="1321"/>
  </conditionalFormatting>
  <conditionalFormatting sqref="B2513">
    <cfRule type="duplicateValues" dxfId="1" priority="1320"/>
  </conditionalFormatting>
  <conditionalFormatting sqref="B2514">
    <cfRule type="duplicateValues" dxfId="1" priority="1319"/>
  </conditionalFormatting>
  <conditionalFormatting sqref="B2515">
    <cfRule type="duplicateValues" dxfId="1" priority="1318"/>
  </conditionalFormatting>
  <conditionalFormatting sqref="B2516">
    <cfRule type="duplicateValues" dxfId="1" priority="1317"/>
  </conditionalFormatting>
  <conditionalFormatting sqref="B2517">
    <cfRule type="duplicateValues" dxfId="1" priority="1316"/>
  </conditionalFormatting>
  <conditionalFormatting sqref="B2518">
    <cfRule type="duplicateValues" dxfId="1" priority="1315"/>
  </conditionalFormatting>
  <conditionalFormatting sqref="B2519">
    <cfRule type="duplicateValues" dxfId="1" priority="1314"/>
  </conditionalFormatting>
  <conditionalFormatting sqref="B2520">
    <cfRule type="duplicateValues" dxfId="1" priority="1313"/>
  </conditionalFormatting>
  <conditionalFormatting sqref="B2521">
    <cfRule type="duplicateValues" dxfId="1" priority="1312"/>
  </conditionalFormatting>
  <conditionalFormatting sqref="B2522">
    <cfRule type="duplicateValues" dxfId="1" priority="1311"/>
  </conditionalFormatting>
  <conditionalFormatting sqref="B2523">
    <cfRule type="duplicateValues" dxfId="1" priority="1310"/>
  </conditionalFormatting>
  <conditionalFormatting sqref="B2524">
    <cfRule type="duplicateValues" dxfId="1" priority="1309"/>
  </conditionalFormatting>
  <conditionalFormatting sqref="B2525">
    <cfRule type="duplicateValues" dxfId="1" priority="1308"/>
  </conditionalFormatting>
  <conditionalFormatting sqref="B2526">
    <cfRule type="duplicateValues" dxfId="1" priority="1307"/>
  </conditionalFormatting>
  <conditionalFormatting sqref="B2527">
    <cfRule type="duplicateValues" dxfId="1" priority="1306"/>
  </conditionalFormatting>
  <conditionalFormatting sqref="B2528">
    <cfRule type="duplicateValues" dxfId="1" priority="1305"/>
  </conditionalFormatting>
  <conditionalFormatting sqref="B2529">
    <cfRule type="duplicateValues" dxfId="1" priority="1304"/>
  </conditionalFormatting>
  <conditionalFormatting sqref="B2530">
    <cfRule type="duplicateValues" dxfId="1" priority="1303"/>
  </conditionalFormatting>
  <conditionalFormatting sqref="B2531">
    <cfRule type="duplicateValues" dxfId="1" priority="1302"/>
  </conditionalFormatting>
  <conditionalFormatting sqref="B2532">
    <cfRule type="duplicateValues" dxfId="1" priority="1301"/>
  </conditionalFormatting>
  <conditionalFormatting sqref="B2533">
    <cfRule type="duplicateValues" dxfId="1" priority="1300"/>
  </conditionalFormatting>
  <conditionalFormatting sqref="B2534">
    <cfRule type="duplicateValues" dxfId="1" priority="1299"/>
  </conditionalFormatting>
  <conditionalFormatting sqref="B2535">
    <cfRule type="duplicateValues" dxfId="1" priority="1298"/>
  </conditionalFormatting>
  <conditionalFormatting sqref="B2536">
    <cfRule type="duplicateValues" dxfId="1" priority="1297"/>
  </conditionalFormatting>
  <conditionalFormatting sqref="B2537">
    <cfRule type="duplicateValues" dxfId="1" priority="1296"/>
  </conditionalFormatting>
  <conditionalFormatting sqref="B2538">
    <cfRule type="duplicateValues" dxfId="1" priority="1295"/>
  </conditionalFormatting>
  <conditionalFormatting sqref="B2539">
    <cfRule type="duplicateValues" dxfId="1" priority="1294"/>
  </conditionalFormatting>
  <conditionalFormatting sqref="B2540">
    <cfRule type="duplicateValues" dxfId="1" priority="1293"/>
  </conditionalFormatting>
  <conditionalFormatting sqref="B2541">
    <cfRule type="duplicateValues" dxfId="1" priority="1292"/>
  </conditionalFormatting>
  <conditionalFormatting sqref="B2542">
    <cfRule type="duplicateValues" dxfId="1" priority="1291"/>
  </conditionalFormatting>
  <conditionalFormatting sqref="B2543">
    <cfRule type="duplicateValues" dxfId="1" priority="1290"/>
  </conditionalFormatting>
  <conditionalFormatting sqref="B2544">
    <cfRule type="duplicateValues" dxfId="1" priority="1289"/>
  </conditionalFormatting>
  <conditionalFormatting sqref="B2545">
    <cfRule type="duplicateValues" dxfId="1" priority="1288"/>
  </conditionalFormatting>
  <conditionalFormatting sqref="B2546">
    <cfRule type="duplicateValues" dxfId="1" priority="1287"/>
  </conditionalFormatting>
  <conditionalFormatting sqref="B2547">
    <cfRule type="duplicateValues" dxfId="1" priority="1286"/>
  </conditionalFormatting>
  <conditionalFormatting sqref="B2548">
    <cfRule type="duplicateValues" dxfId="1" priority="1285"/>
  </conditionalFormatting>
  <conditionalFormatting sqref="B2549">
    <cfRule type="duplicateValues" dxfId="1" priority="1284"/>
  </conditionalFormatting>
  <conditionalFormatting sqref="B2550">
    <cfRule type="duplicateValues" dxfId="1" priority="1283"/>
  </conditionalFormatting>
  <conditionalFormatting sqref="B2551">
    <cfRule type="duplicateValues" dxfId="1" priority="1282"/>
  </conditionalFormatting>
  <conditionalFormatting sqref="B2552">
    <cfRule type="duplicateValues" dxfId="1" priority="1281"/>
  </conditionalFormatting>
  <conditionalFormatting sqref="B2553">
    <cfRule type="duplicateValues" dxfId="1" priority="1280"/>
  </conditionalFormatting>
  <conditionalFormatting sqref="B2554">
    <cfRule type="duplicateValues" dxfId="1" priority="1279"/>
  </conditionalFormatting>
  <conditionalFormatting sqref="B2555">
    <cfRule type="duplicateValues" dxfId="1" priority="1278"/>
  </conditionalFormatting>
  <conditionalFormatting sqref="B2556">
    <cfRule type="duplicateValues" dxfId="1" priority="1277"/>
  </conditionalFormatting>
  <conditionalFormatting sqref="B2557">
    <cfRule type="duplicateValues" dxfId="1" priority="1276"/>
  </conditionalFormatting>
  <conditionalFormatting sqref="B2558">
    <cfRule type="duplicateValues" dxfId="1" priority="1275"/>
  </conditionalFormatting>
  <conditionalFormatting sqref="B2559">
    <cfRule type="duplicateValues" dxfId="1" priority="1274"/>
  </conditionalFormatting>
  <conditionalFormatting sqref="B2560">
    <cfRule type="duplicateValues" dxfId="1" priority="1273"/>
  </conditionalFormatting>
  <conditionalFormatting sqref="B2561">
    <cfRule type="duplicateValues" dxfId="1" priority="1272"/>
  </conditionalFormatting>
  <conditionalFormatting sqref="B2562">
    <cfRule type="duplicateValues" dxfId="1" priority="1271"/>
  </conditionalFormatting>
  <conditionalFormatting sqref="B2563">
    <cfRule type="duplicateValues" dxfId="1" priority="1270"/>
  </conditionalFormatting>
  <conditionalFormatting sqref="B2564">
    <cfRule type="duplicateValues" dxfId="1" priority="1269"/>
  </conditionalFormatting>
  <conditionalFormatting sqref="B2565">
    <cfRule type="duplicateValues" dxfId="1" priority="1268"/>
  </conditionalFormatting>
  <conditionalFormatting sqref="B2566">
    <cfRule type="duplicateValues" dxfId="1" priority="1267"/>
  </conditionalFormatting>
  <conditionalFormatting sqref="B2567">
    <cfRule type="duplicateValues" dxfId="1" priority="1266"/>
  </conditionalFormatting>
  <conditionalFormatting sqref="B2568">
    <cfRule type="duplicateValues" dxfId="1" priority="1265"/>
  </conditionalFormatting>
  <conditionalFormatting sqref="B2569">
    <cfRule type="duplicateValues" dxfId="1" priority="1264"/>
  </conditionalFormatting>
  <conditionalFormatting sqref="B2570">
    <cfRule type="duplicateValues" dxfId="1" priority="1263"/>
  </conditionalFormatting>
  <conditionalFormatting sqref="B2571">
    <cfRule type="duplicateValues" dxfId="1" priority="1262"/>
  </conditionalFormatting>
  <conditionalFormatting sqref="B2572">
    <cfRule type="duplicateValues" dxfId="1" priority="1261"/>
  </conditionalFormatting>
  <conditionalFormatting sqref="B2573">
    <cfRule type="duplicateValues" dxfId="1" priority="1260"/>
  </conditionalFormatting>
  <conditionalFormatting sqref="B2574">
    <cfRule type="duplicateValues" dxfId="1" priority="1259"/>
  </conditionalFormatting>
  <conditionalFormatting sqref="B2575">
    <cfRule type="duplicateValues" dxfId="1" priority="1258"/>
  </conditionalFormatting>
  <conditionalFormatting sqref="B2576">
    <cfRule type="duplicateValues" dxfId="1" priority="1257"/>
  </conditionalFormatting>
  <conditionalFormatting sqref="B2577">
    <cfRule type="duplicateValues" dxfId="1" priority="1256"/>
  </conditionalFormatting>
  <conditionalFormatting sqref="B2578">
    <cfRule type="duplicateValues" dxfId="1" priority="1255"/>
  </conditionalFormatting>
  <conditionalFormatting sqref="B2579">
    <cfRule type="duplicateValues" dxfId="1" priority="1254"/>
  </conditionalFormatting>
  <conditionalFormatting sqref="B2580">
    <cfRule type="duplicateValues" dxfId="1" priority="1253"/>
  </conditionalFormatting>
  <conditionalFormatting sqref="B2581">
    <cfRule type="duplicateValues" dxfId="1" priority="1252"/>
  </conditionalFormatting>
  <conditionalFormatting sqref="B2582">
    <cfRule type="duplicateValues" dxfId="1" priority="1251"/>
  </conditionalFormatting>
  <conditionalFormatting sqref="B2583">
    <cfRule type="duplicateValues" dxfId="1" priority="1250"/>
  </conditionalFormatting>
  <conditionalFormatting sqref="B2584">
    <cfRule type="duplicateValues" dxfId="1" priority="1249"/>
  </conditionalFormatting>
  <conditionalFormatting sqref="B2585">
    <cfRule type="duplicateValues" dxfId="1" priority="1248"/>
  </conditionalFormatting>
  <conditionalFormatting sqref="B2586">
    <cfRule type="duplicateValues" dxfId="1" priority="1247"/>
  </conditionalFormatting>
  <conditionalFormatting sqref="B2587">
    <cfRule type="duplicateValues" dxfId="1" priority="1246"/>
  </conditionalFormatting>
  <conditionalFormatting sqref="B2588">
    <cfRule type="duplicateValues" dxfId="1" priority="1245"/>
  </conditionalFormatting>
  <conditionalFormatting sqref="B2589">
    <cfRule type="duplicateValues" dxfId="1" priority="1244"/>
  </conditionalFormatting>
  <conditionalFormatting sqref="B2590">
    <cfRule type="duplicateValues" dxfId="1" priority="1243"/>
  </conditionalFormatting>
  <conditionalFormatting sqref="B2591">
    <cfRule type="duplicateValues" dxfId="1" priority="1242"/>
  </conditionalFormatting>
  <conditionalFormatting sqref="B2592">
    <cfRule type="duplicateValues" dxfId="1" priority="1241"/>
  </conditionalFormatting>
  <conditionalFormatting sqref="B2593">
    <cfRule type="duplicateValues" dxfId="1" priority="1240"/>
  </conditionalFormatting>
  <conditionalFormatting sqref="B2594">
    <cfRule type="duplicateValues" dxfId="1" priority="1239"/>
  </conditionalFormatting>
  <conditionalFormatting sqref="B2595">
    <cfRule type="duplicateValues" dxfId="1" priority="1238"/>
  </conditionalFormatting>
  <conditionalFormatting sqref="B2596">
    <cfRule type="duplicateValues" dxfId="1" priority="1237"/>
  </conditionalFormatting>
  <conditionalFormatting sqref="B2597">
    <cfRule type="duplicateValues" dxfId="1" priority="1236"/>
  </conditionalFormatting>
  <conditionalFormatting sqref="B2598">
    <cfRule type="duplicateValues" dxfId="1" priority="1235"/>
  </conditionalFormatting>
  <conditionalFormatting sqref="B2599">
    <cfRule type="duplicateValues" dxfId="1" priority="1234"/>
  </conditionalFormatting>
  <conditionalFormatting sqref="B2600">
    <cfRule type="duplicateValues" dxfId="1" priority="1233"/>
  </conditionalFormatting>
  <conditionalFormatting sqref="B2601">
    <cfRule type="duplicateValues" dxfId="1" priority="1232"/>
  </conditionalFormatting>
  <conditionalFormatting sqref="B2602">
    <cfRule type="duplicateValues" dxfId="1" priority="1231"/>
  </conditionalFormatting>
  <conditionalFormatting sqref="B2603">
    <cfRule type="duplicateValues" dxfId="1" priority="1230"/>
  </conditionalFormatting>
  <conditionalFormatting sqref="B2604">
    <cfRule type="duplicateValues" dxfId="1" priority="1229"/>
  </conditionalFormatting>
  <conditionalFormatting sqref="B2605">
    <cfRule type="duplicateValues" dxfId="1" priority="1228"/>
  </conditionalFormatting>
  <conditionalFormatting sqref="B2606">
    <cfRule type="duplicateValues" dxfId="1" priority="1227"/>
  </conditionalFormatting>
  <conditionalFormatting sqref="B2607">
    <cfRule type="duplicateValues" dxfId="1" priority="1226"/>
  </conditionalFormatting>
  <conditionalFormatting sqref="B2608">
    <cfRule type="duplicateValues" dxfId="1" priority="1225"/>
  </conditionalFormatting>
  <conditionalFormatting sqref="B2609">
    <cfRule type="duplicateValues" dxfId="1" priority="1224"/>
  </conditionalFormatting>
  <conditionalFormatting sqref="B2610">
    <cfRule type="duplicateValues" dxfId="1" priority="1223"/>
  </conditionalFormatting>
  <conditionalFormatting sqref="B2611">
    <cfRule type="duplicateValues" dxfId="1" priority="1222"/>
  </conditionalFormatting>
  <conditionalFormatting sqref="B2612">
    <cfRule type="duplicateValues" dxfId="1" priority="1221"/>
  </conditionalFormatting>
  <conditionalFormatting sqref="B2613">
    <cfRule type="duplicateValues" dxfId="1" priority="1220"/>
  </conditionalFormatting>
  <conditionalFormatting sqref="B2614">
    <cfRule type="duplicateValues" dxfId="1" priority="1219"/>
  </conditionalFormatting>
  <conditionalFormatting sqref="B2615">
    <cfRule type="duplicateValues" dxfId="1" priority="1218"/>
  </conditionalFormatting>
  <conditionalFormatting sqref="B2616">
    <cfRule type="duplicateValues" dxfId="1" priority="1217"/>
  </conditionalFormatting>
  <conditionalFormatting sqref="B2617">
    <cfRule type="duplicateValues" dxfId="1" priority="1216"/>
  </conditionalFormatting>
  <conditionalFormatting sqref="B2618">
    <cfRule type="duplicateValues" dxfId="1" priority="1215"/>
  </conditionalFormatting>
  <conditionalFormatting sqref="B2619">
    <cfRule type="duplicateValues" dxfId="1" priority="1214"/>
  </conditionalFormatting>
  <conditionalFormatting sqref="B2620">
    <cfRule type="duplicateValues" dxfId="1" priority="1213"/>
  </conditionalFormatting>
  <conditionalFormatting sqref="B2621">
    <cfRule type="duplicateValues" dxfId="1" priority="1212"/>
  </conditionalFormatting>
  <conditionalFormatting sqref="B2622">
    <cfRule type="duplicateValues" dxfId="1" priority="1211"/>
  </conditionalFormatting>
  <conditionalFormatting sqref="B2623">
    <cfRule type="duplicateValues" dxfId="1" priority="1210"/>
  </conditionalFormatting>
  <conditionalFormatting sqref="B2624">
    <cfRule type="duplicateValues" dxfId="1" priority="1209"/>
  </conditionalFormatting>
  <conditionalFormatting sqref="B2625">
    <cfRule type="duplicateValues" dxfId="1" priority="1208"/>
  </conditionalFormatting>
  <conditionalFormatting sqref="B2626">
    <cfRule type="duplicateValues" dxfId="1" priority="1207"/>
  </conditionalFormatting>
  <conditionalFormatting sqref="B2627">
    <cfRule type="duplicateValues" dxfId="1" priority="1206"/>
  </conditionalFormatting>
  <conditionalFormatting sqref="B2628">
    <cfRule type="duplicateValues" dxfId="1" priority="1205"/>
  </conditionalFormatting>
  <conditionalFormatting sqref="B2629">
    <cfRule type="duplicateValues" dxfId="1" priority="1204"/>
  </conditionalFormatting>
  <conditionalFormatting sqref="B2630">
    <cfRule type="duplicateValues" dxfId="1" priority="1203"/>
  </conditionalFormatting>
  <conditionalFormatting sqref="B2631">
    <cfRule type="duplicateValues" dxfId="1" priority="1202"/>
  </conditionalFormatting>
  <conditionalFormatting sqref="B2632">
    <cfRule type="duplicateValues" dxfId="1" priority="1201"/>
  </conditionalFormatting>
  <conditionalFormatting sqref="B2633">
    <cfRule type="duplicateValues" dxfId="1" priority="1200"/>
  </conditionalFormatting>
  <conditionalFormatting sqref="B2634">
    <cfRule type="duplicateValues" dxfId="1" priority="1199"/>
  </conditionalFormatting>
  <conditionalFormatting sqref="B2635">
    <cfRule type="duplicateValues" dxfId="1" priority="1198"/>
  </conditionalFormatting>
  <conditionalFormatting sqref="B2636">
    <cfRule type="duplicateValues" dxfId="1" priority="1197"/>
  </conditionalFormatting>
  <conditionalFormatting sqref="B2637">
    <cfRule type="duplicateValues" dxfId="1" priority="1196"/>
  </conditionalFormatting>
  <conditionalFormatting sqref="B2638">
    <cfRule type="duplicateValues" dxfId="1" priority="1195"/>
  </conditionalFormatting>
  <conditionalFormatting sqref="B2639">
    <cfRule type="duplicateValues" dxfId="1" priority="1194"/>
  </conditionalFormatting>
  <conditionalFormatting sqref="B2640">
    <cfRule type="duplicateValues" dxfId="1" priority="1193"/>
  </conditionalFormatting>
  <conditionalFormatting sqref="B2641">
    <cfRule type="duplicateValues" dxfId="1" priority="1192"/>
  </conditionalFormatting>
  <conditionalFormatting sqref="B2642">
    <cfRule type="duplicateValues" dxfId="1" priority="1191"/>
  </conditionalFormatting>
  <conditionalFormatting sqref="B2643">
    <cfRule type="duplicateValues" dxfId="1" priority="1190"/>
  </conditionalFormatting>
  <conditionalFormatting sqref="B2644">
    <cfRule type="duplicateValues" dxfId="1" priority="1189"/>
  </conditionalFormatting>
  <conditionalFormatting sqref="B2645">
    <cfRule type="duplicateValues" dxfId="1" priority="1188"/>
  </conditionalFormatting>
  <conditionalFormatting sqref="B2646">
    <cfRule type="duplicateValues" dxfId="1" priority="1187"/>
  </conditionalFormatting>
  <conditionalFormatting sqref="B2647">
    <cfRule type="duplicateValues" dxfId="1" priority="1186"/>
  </conditionalFormatting>
  <conditionalFormatting sqref="B2648">
    <cfRule type="duplicateValues" dxfId="1" priority="1185"/>
  </conditionalFormatting>
  <conditionalFormatting sqref="B2649">
    <cfRule type="duplicateValues" dxfId="1" priority="1184"/>
  </conditionalFormatting>
  <conditionalFormatting sqref="B2650">
    <cfRule type="duplicateValues" dxfId="1" priority="1183"/>
  </conditionalFormatting>
  <conditionalFormatting sqref="B2651">
    <cfRule type="duplicateValues" dxfId="1" priority="1182"/>
  </conditionalFormatting>
  <conditionalFormatting sqref="B2652">
    <cfRule type="duplicateValues" dxfId="1" priority="1181"/>
  </conditionalFormatting>
  <conditionalFormatting sqref="B2653">
    <cfRule type="duplicateValues" dxfId="1" priority="1180"/>
  </conditionalFormatting>
  <conditionalFormatting sqref="B2654">
    <cfRule type="duplicateValues" dxfId="1" priority="1179"/>
  </conditionalFormatting>
  <conditionalFormatting sqref="B2655">
    <cfRule type="duplicateValues" dxfId="1" priority="1178"/>
  </conditionalFormatting>
  <conditionalFormatting sqref="B2656">
    <cfRule type="duplicateValues" dxfId="1" priority="1177"/>
  </conditionalFormatting>
  <conditionalFormatting sqref="B2657">
    <cfRule type="duplicateValues" dxfId="1" priority="1176"/>
  </conditionalFormatting>
  <conditionalFormatting sqref="B2658">
    <cfRule type="duplicateValues" dxfId="1" priority="1175"/>
  </conditionalFormatting>
  <conditionalFormatting sqref="B2659">
    <cfRule type="duplicateValues" dxfId="1" priority="1174"/>
  </conditionalFormatting>
  <conditionalFormatting sqref="B2660">
    <cfRule type="duplicateValues" dxfId="1" priority="1173"/>
  </conditionalFormatting>
  <conditionalFormatting sqref="B2661">
    <cfRule type="duplicateValues" dxfId="1" priority="1172"/>
  </conditionalFormatting>
  <conditionalFormatting sqref="B2662">
    <cfRule type="duplicateValues" dxfId="1" priority="1171"/>
  </conditionalFormatting>
  <conditionalFormatting sqref="B2663">
    <cfRule type="duplicateValues" dxfId="1" priority="1170"/>
  </conditionalFormatting>
  <conditionalFormatting sqref="B2664">
    <cfRule type="duplicateValues" dxfId="1" priority="1169"/>
  </conditionalFormatting>
  <conditionalFormatting sqref="B2665">
    <cfRule type="duplicateValues" dxfId="1" priority="1168"/>
  </conditionalFormatting>
  <conditionalFormatting sqref="B2666">
    <cfRule type="duplicateValues" dxfId="1" priority="1167"/>
  </conditionalFormatting>
  <conditionalFormatting sqref="B2667">
    <cfRule type="duplicateValues" dxfId="1" priority="1166"/>
  </conditionalFormatting>
  <conditionalFormatting sqref="B2668">
    <cfRule type="duplicateValues" dxfId="1" priority="1165"/>
  </conditionalFormatting>
  <conditionalFormatting sqref="B2669">
    <cfRule type="duplicateValues" dxfId="1" priority="1164"/>
  </conditionalFormatting>
  <conditionalFormatting sqref="B2670">
    <cfRule type="duplicateValues" dxfId="1" priority="1163"/>
  </conditionalFormatting>
  <conditionalFormatting sqref="B2671">
    <cfRule type="duplicateValues" dxfId="1" priority="1162"/>
  </conditionalFormatting>
  <conditionalFormatting sqref="B2672">
    <cfRule type="duplicateValues" dxfId="1" priority="1161"/>
  </conditionalFormatting>
  <conditionalFormatting sqref="B2673">
    <cfRule type="duplicateValues" dxfId="1" priority="1160"/>
  </conditionalFormatting>
  <conditionalFormatting sqref="B2674">
    <cfRule type="duplicateValues" dxfId="1" priority="1159"/>
  </conditionalFormatting>
  <conditionalFormatting sqref="B2675">
    <cfRule type="duplicateValues" dxfId="1" priority="1158"/>
  </conditionalFormatting>
  <conditionalFormatting sqref="B2676">
    <cfRule type="duplicateValues" dxfId="1" priority="1157"/>
  </conditionalFormatting>
  <conditionalFormatting sqref="B2677">
    <cfRule type="duplicateValues" dxfId="1" priority="1156"/>
  </conditionalFormatting>
  <conditionalFormatting sqref="B2678">
    <cfRule type="duplicateValues" dxfId="1" priority="1155"/>
  </conditionalFormatting>
  <conditionalFormatting sqref="B2679">
    <cfRule type="duplicateValues" dxfId="1" priority="1154"/>
  </conditionalFormatting>
  <conditionalFormatting sqref="B2680">
    <cfRule type="duplicateValues" dxfId="1" priority="1153"/>
  </conditionalFormatting>
  <conditionalFormatting sqref="B2681">
    <cfRule type="duplicateValues" dxfId="1" priority="1152"/>
  </conditionalFormatting>
  <conditionalFormatting sqref="B2682">
    <cfRule type="duplicateValues" dxfId="1" priority="1151"/>
  </conditionalFormatting>
  <conditionalFormatting sqref="B2683">
    <cfRule type="duplicateValues" dxfId="1" priority="1150"/>
  </conditionalFormatting>
  <conditionalFormatting sqref="B2684">
    <cfRule type="duplicateValues" dxfId="1" priority="1149"/>
  </conditionalFormatting>
  <conditionalFormatting sqref="B2685">
    <cfRule type="duplicateValues" dxfId="1" priority="1148"/>
  </conditionalFormatting>
  <conditionalFormatting sqref="B2686">
    <cfRule type="duplicateValues" dxfId="1" priority="1147"/>
  </conditionalFormatting>
  <conditionalFormatting sqref="B2687">
    <cfRule type="duplicateValues" dxfId="1" priority="1146"/>
  </conditionalFormatting>
  <conditionalFormatting sqref="B2688">
    <cfRule type="duplicateValues" dxfId="1" priority="1145"/>
  </conditionalFormatting>
  <conditionalFormatting sqref="B2689">
    <cfRule type="duplicateValues" dxfId="1" priority="1144"/>
  </conditionalFormatting>
  <conditionalFormatting sqref="B2690">
    <cfRule type="duplicateValues" dxfId="1" priority="1143"/>
  </conditionalFormatting>
  <conditionalFormatting sqref="B2691">
    <cfRule type="duplicateValues" dxfId="1" priority="1142"/>
  </conditionalFormatting>
  <conditionalFormatting sqref="B2692">
    <cfRule type="duplicateValues" dxfId="1" priority="1141"/>
  </conditionalFormatting>
  <conditionalFormatting sqref="B2693">
    <cfRule type="duplicateValues" dxfId="1" priority="1140"/>
  </conditionalFormatting>
  <conditionalFormatting sqref="B2694">
    <cfRule type="duplicateValues" dxfId="1" priority="1139"/>
  </conditionalFormatting>
  <conditionalFormatting sqref="B2695">
    <cfRule type="duplicateValues" dxfId="1" priority="1138"/>
  </conditionalFormatting>
  <conditionalFormatting sqref="B2696">
    <cfRule type="duplicateValues" dxfId="1" priority="1137"/>
  </conditionalFormatting>
  <conditionalFormatting sqref="B2697">
    <cfRule type="duplicateValues" dxfId="1" priority="1136"/>
  </conditionalFormatting>
  <conditionalFormatting sqref="B2698">
    <cfRule type="duplicateValues" dxfId="1" priority="1135"/>
  </conditionalFormatting>
  <conditionalFormatting sqref="B2699">
    <cfRule type="duplicateValues" dxfId="1" priority="1134"/>
  </conditionalFormatting>
  <conditionalFormatting sqref="B2700">
    <cfRule type="duplicateValues" dxfId="1" priority="1133"/>
  </conditionalFormatting>
  <conditionalFormatting sqref="B2701">
    <cfRule type="duplicateValues" dxfId="1" priority="1132"/>
  </conditionalFormatting>
  <conditionalFormatting sqref="B2702">
    <cfRule type="duplicateValues" dxfId="1" priority="1131"/>
  </conditionalFormatting>
  <conditionalFormatting sqref="B2703">
    <cfRule type="duplicateValues" dxfId="1" priority="1130"/>
  </conditionalFormatting>
  <conditionalFormatting sqref="B2704">
    <cfRule type="duplicateValues" dxfId="1" priority="1129"/>
  </conditionalFormatting>
  <conditionalFormatting sqref="B2705">
    <cfRule type="duplicateValues" dxfId="1" priority="1128"/>
  </conditionalFormatting>
  <conditionalFormatting sqref="B2706">
    <cfRule type="duplicateValues" dxfId="1" priority="1127"/>
  </conditionalFormatting>
  <conditionalFormatting sqref="B2707">
    <cfRule type="duplicateValues" dxfId="1" priority="1126"/>
  </conditionalFormatting>
  <conditionalFormatting sqref="B2708">
    <cfRule type="duplicateValues" dxfId="1" priority="1125"/>
  </conditionalFormatting>
  <conditionalFormatting sqref="B2709">
    <cfRule type="duplicateValues" dxfId="1" priority="1124"/>
  </conditionalFormatting>
  <conditionalFormatting sqref="B2710">
    <cfRule type="duplicateValues" dxfId="1" priority="1123"/>
  </conditionalFormatting>
  <conditionalFormatting sqref="B2711">
    <cfRule type="duplicateValues" dxfId="1" priority="1122"/>
  </conditionalFormatting>
  <conditionalFormatting sqref="B2712">
    <cfRule type="duplicateValues" dxfId="1" priority="1121"/>
  </conditionalFormatting>
  <conditionalFormatting sqref="B2713">
    <cfRule type="duplicateValues" dxfId="1" priority="1120"/>
  </conditionalFormatting>
  <conditionalFormatting sqref="B2714">
    <cfRule type="duplicateValues" dxfId="1" priority="1119"/>
  </conditionalFormatting>
  <conditionalFormatting sqref="B2715">
    <cfRule type="duplicateValues" dxfId="1" priority="1118"/>
  </conditionalFormatting>
  <conditionalFormatting sqref="B2716">
    <cfRule type="duplicateValues" dxfId="1" priority="1117"/>
  </conditionalFormatting>
  <conditionalFormatting sqref="B2717">
    <cfRule type="duplicateValues" dxfId="1" priority="1116"/>
  </conditionalFormatting>
  <conditionalFormatting sqref="B2718">
    <cfRule type="duplicateValues" dxfId="1" priority="1115"/>
  </conditionalFormatting>
  <conditionalFormatting sqref="B2719">
    <cfRule type="duplicateValues" dxfId="1" priority="1114"/>
  </conditionalFormatting>
  <conditionalFormatting sqref="B2720">
    <cfRule type="duplicateValues" dxfId="1" priority="1113"/>
  </conditionalFormatting>
  <conditionalFormatting sqref="B2721">
    <cfRule type="duplicateValues" dxfId="1" priority="1112"/>
  </conditionalFormatting>
  <conditionalFormatting sqref="B2722">
    <cfRule type="duplicateValues" dxfId="1" priority="1111"/>
  </conditionalFormatting>
  <conditionalFormatting sqref="B2723">
    <cfRule type="duplicateValues" dxfId="1" priority="1110"/>
  </conditionalFormatting>
  <conditionalFormatting sqref="B2724">
    <cfRule type="duplicateValues" dxfId="1" priority="1109"/>
  </conditionalFormatting>
  <conditionalFormatting sqref="B2725">
    <cfRule type="duplicateValues" dxfId="1" priority="1108"/>
  </conditionalFormatting>
  <conditionalFormatting sqref="B2726">
    <cfRule type="duplicateValues" dxfId="1" priority="1107"/>
  </conditionalFormatting>
  <conditionalFormatting sqref="B2727">
    <cfRule type="duplicateValues" dxfId="1" priority="1106"/>
  </conditionalFormatting>
  <conditionalFormatting sqref="B2728">
    <cfRule type="duplicateValues" dxfId="1" priority="1105"/>
  </conditionalFormatting>
  <conditionalFormatting sqref="B2729">
    <cfRule type="duplicateValues" dxfId="1" priority="1104"/>
  </conditionalFormatting>
  <conditionalFormatting sqref="B2730">
    <cfRule type="duplicateValues" dxfId="1" priority="1103"/>
  </conditionalFormatting>
  <conditionalFormatting sqref="B2731">
    <cfRule type="duplicateValues" dxfId="1" priority="1102"/>
  </conditionalFormatting>
  <conditionalFormatting sqref="B2732">
    <cfRule type="duplicateValues" dxfId="1" priority="1101"/>
  </conditionalFormatting>
  <conditionalFormatting sqref="B2733">
    <cfRule type="duplicateValues" dxfId="1" priority="1100"/>
  </conditionalFormatting>
  <conditionalFormatting sqref="B2734">
    <cfRule type="duplicateValues" dxfId="1" priority="1099"/>
  </conditionalFormatting>
  <conditionalFormatting sqref="B2735">
    <cfRule type="duplicateValues" dxfId="1" priority="1098"/>
  </conditionalFormatting>
  <conditionalFormatting sqref="B2736">
    <cfRule type="duplicateValues" dxfId="1" priority="1097"/>
  </conditionalFormatting>
  <conditionalFormatting sqref="B2737">
    <cfRule type="duplicateValues" dxfId="1" priority="1096"/>
  </conditionalFormatting>
  <conditionalFormatting sqref="B2738">
    <cfRule type="duplicateValues" dxfId="1" priority="1095"/>
  </conditionalFormatting>
  <conditionalFormatting sqref="B2739">
    <cfRule type="duplicateValues" dxfId="1" priority="1094"/>
  </conditionalFormatting>
  <conditionalFormatting sqref="B2740">
    <cfRule type="duplicateValues" dxfId="1" priority="1093"/>
  </conditionalFormatting>
  <conditionalFormatting sqref="B2741">
    <cfRule type="duplicateValues" dxfId="1" priority="1092"/>
  </conditionalFormatting>
  <conditionalFormatting sqref="B2742">
    <cfRule type="duplicateValues" dxfId="1" priority="1091"/>
  </conditionalFormatting>
  <conditionalFormatting sqref="B2743">
    <cfRule type="duplicateValues" dxfId="1" priority="1090"/>
  </conditionalFormatting>
  <conditionalFormatting sqref="B2744">
    <cfRule type="duplicateValues" dxfId="1" priority="1089"/>
  </conditionalFormatting>
  <conditionalFormatting sqref="B2745">
    <cfRule type="duplicateValues" dxfId="1" priority="1088"/>
  </conditionalFormatting>
  <conditionalFormatting sqref="B2746">
    <cfRule type="duplicateValues" dxfId="1" priority="1087"/>
  </conditionalFormatting>
  <conditionalFormatting sqref="B2747">
    <cfRule type="duplicateValues" dxfId="1" priority="1086"/>
  </conditionalFormatting>
  <conditionalFormatting sqref="B2748">
    <cfRule type="duplicateValues" dxfId="1" priority="1085"/>
  </conditionalFormatting>
  <conditionalFormatting sqref="B2749">
    <cfRule type="duplicateValues" dxfId="1" priority="1084"/>
  </conditionalFormatting>
  <conditionalFormatting sqref="B2750">
    <cfRule type="duplicateValues" dxfId="1" priority="1083"/>
  </conditionalFormatting>
  <conditionalFormatting sqref="B2751">
    <cfRule type="duplicateValues" dxfId="1" priority="1082"/>
  </conditionalFormatting>
  <conditionalFormatting sqref="B2752">
    <cfRule type="duplicateValues" dxfId="1" priority="1081"/>
  </conditionalFormatting>
  <conditionalFormatting sqref="B2753">
    <cfRule type="duplicateValues" dxfId="1" priority="1080"/>
  </conditionalFormatting>
  <conditionalFormatting sqref="B2754">
    <cfRule type="duplicateValues" dxfId="1" priority="1079"/>
  </conditionalFormatting>
  <conditionalFormatting sqref="B2755">
    <cfRule type="duplicateValues" dxfId="1" priority="1078"/>
  </conditionalFormatting>
  <conditionalFormatting sqref="B2756">
    <cfRule type="duplicateValues" dxfId="1" priority="1077"/>
  </conditionalFormatting>
  <conditionalFormatting sqref="B2757">
    <cfRule type="duplicateValues" dxfId="1" priority="1076"/>
  </conditionalFormatting>
  <conditionalFormatting sqref="B2758">
    <cfRule type="duplicateValues" dxfId="1" priority="1075"/>
  </conditionalFormatting>
  <conditionalFormatting sqref="B2759">
    <cfRule type="duplicateValues" dxfId="1" priority="1074"/>
  </conditionalFormatting>
  <conditionalFormatting sqref="B2760">
    <cfRule type="duplicateValues" dxfId="1" priority="1073"/>
  </conditionalFormatting>
  <conditionalFormatting sqref="B2761">
    <cfRule type="duplicateValues" dxfId="1" priority="1072"/>
  </conditionalFormatting>
  <conditionalFormatting sqref="B2762">
    <cfRule type="duplicateValues" dxfId="1" priority="1071"/>
  </conditionalFormatting>
  <conditionalFormatting sqref="B2763">
    <cfRule type="duplicateValues" dxfId="1" priority="1070"/>
  </conditionalFormatting>
  <conditionalFormatting sqref="B2764">
    <cfRule type="duplicateValues" dxfId="1" priority="1069"/>
  </conditionalFormatting>
  <conditionalFormatting sqref="B2765">
    <cfRule type="duplicateValues" dxfId="1" priority="1068"/>
  </conditionalFormatting>
  <conditionalFormatting sqref="B2766">
    <cfRule type="duplicateValues" dxfId="1" priority="1067"/>
  </conditionalFormatting>
  <conditionalFormatting sqref="B2767">
    <cfRule type="duplicateValues" dxfId="1" priority="1066"/>
  </conditionalFormatting>
  <conditionalFormatting sqref="B2768">
    <cfRule type="duplicateValues" dxfId="1" priority="1065"/>
  </conditionalFormatting>
  <conditionalFormatting sqref="B2769">
    <cfRule type="duplicateValues" dxfId="1" priority="1064"/>
  </conditionalFormatting>
  <conditionalFormatting sqref="B2770">
    <cfRule type="duplicateValues" dxfId="1" priority="1063"/>
  </conditionalFormatting>
  <conditionalFormatting sqref="B2771">
    <cfRule type="duplicateValues" dxfId="1" priority="1062"/>
  </conditionalFormatting>
  <conditionalFormatting sqref="B2772">
    <cfRule type="duplicateValues" dxfId="1" priority="1061"/>
  </conditionalFormatting>
  <conditionalFormatting sqref="B2773">
    <cfRule type="duplicateValues" dxfId="1" priority="1060"/>
  </conditionalFormatting>
  <conditionalFormatting sqref="B2774">
    <cfRule type="duplicateValues" dxfId="1" priority="1059"/>
  </conditionalFormatting>
  <conditionalFormatting sqref="B2775">
    <cfRule type="duplicateValues" dxfId="1" priority="1058"/>
  </conditionalFormatting>
  <conditionalFormatting sqref="B2776">
    <cfRule type="duplicateValues" dxfId="1" priority="1057"/>
  </conditionalFormatting>
  <conditionalFormatting sqref="B2777">
    <cfRule type="duplicateValues" dxfId="1" priority="1056"/>
  </conditionalFormatting>
  <conditionalFormatting sqref="B2778">
    <cfRule type="duplicateValues" dxfId="1" priority="1055"/>
  </conditionalFormatting>
  <conditionalFormatting sqref="B2779">
    <cfRule type="duplicateValues" dxfId="1" priority="1054"/>
  </conditionalFormatting>
  <conditionalFormatting sqref="B2780">
    <cfRule type="duplicateValues" dxfId="1" priority="1053"/>
  </conditionalFormatting>
  <conditionalFormatting sqref="B2781">
    <cfRule type="duplicateValues" dxfId="1" priority="1052"/>
  </conditionalFormatting>
  <conditionalFormatting sqref="B2782">
    <cfRule type="duplicateValues" dxfId="1" priority="1051"/>
  </conditionalFormatting>
  <conditionalFormatting sqref="B2783">
    <cfRule type="duplicateValues" dxfId="1" priority="1050"/>
  </conditionalFormatting>
  <conditionalFormatting sqref="B2784">
    <cfRule type="duplicateValues" dxfId="1" priority="1049"/>
  </conditionalFormatting>
  <conditionalFormatting sqref="B2785">
    <cfRule type="duplicateValues" dxfId="1" priority="1048"/>
  </conditionalFormatting>
  <conditionalFormatting sqref="B2786">
    <cfRule type="duplicateValues" dxfId="1" priority="1047"/>
  </conditionalFormatting>
  <conditionalFormatting sqref="B2787">
    <cfRule type="duplicateValues" dxfId="1" priority="1046"/>
  </conditionalFormatting>
  <conditionalFormatting sqref="B2788">
    <cfRule type="duplicateValues" dxfId="1" priority="1045"/>
  </conditionalFormatting>
  <conditionalFormatting sqref="B2789">
    <cfRule type="duplicateValues" dxfId="1" priority="1044"/>
  </conditionalFormatting>
  <conditionalFormatting sqref="B2790">
    <cfRule type="duplicateValues" dxfId="1" priority="1043"/>
  </conditionalFormatting>
  <conditionalFormatting sqref="B2791">
    <cfRule type="duplicateValues" dxfId="1" priority="1042"/>
  </conditionalFormatting>
  <conditionalFormatting sqref="B2792">
    <cfRule type="duplicateValues" dxfId="1" priority="1041"/>
  </conditionalFormatting>
  <conditionalFormatting sqref="B2793">
    <cfRule type="duplicateValues" dxfId="1" priority="1040"/>
  </conditionalFormatting>
  <conditionalFormatting sqref="B2794">
    <cfRule type="duplicateValues" dxfId="1" priority="1039"/>
  </conditionalFormatting>
  <conditionalFormatting sqref="B2795">
    <cfRule type="duplicateValues" dxfId="1" priority="1038"/>
  </conditionalFormatting>
  <conditionalFormatting sqref="B2796">
    <cfRule type="duplicateValues" dxfId="1" priority="1037"/>
  </conditionalFormatting>
  <conditionalFormatting sqref="B2797">
    <cfRule type="duplicateValues" dxfId="1" priority="1036"/>
  </conditionalFormatting>
  <conditionalFormatting sqref="B2798">
    <cfRule type="duplicateValues" dxfId="1" priority="1035"/>
  </conditionalFormatting>
  <conditionalFormatting sqref="B2799">
    <cfRule type="duplicateValues" dxfId="1" priority="1034"/>
  </conditionalFormatting>
  <conditionalFormatting sqref="B2800">
    <cfRule type="duplicateValues" dxfId="1" priority="1033"/>
  </conditionalFormatting>
  <conditionalFormatting sqref="B2801">
    <cfRule type="duplicateValues" dxfId="1" priority="1032"/>
  </conditionalFormatting>
  <conditionalFormatting sqref="B2802">
    <cfRule type="duplicateValues" dxfId="1" priority="1031"/>
  </conditionalFormatting>
  <conditionalFormatting sqref="B2803">
    <cfRule type="duplicateValues" dxfId="1" priority="1030"/>
  </conditionalFormatting>
  <conditionalFormatting sqref="B2804">
    <cfRule type="duplicateValues" dxfId="1" priority="1029"/>
  </conditionalFormatting>
  <conditionalFormatting sqref="B2805">
    <cfRule type="duplicateValues" dxfId="1" priority="1028"/>
  </conditionalFormatting>
  <conditionalFormatting sqref="B2806">
    <cfRule type="duplicateValues" dxfId="1" priority="1027"/>
  </conditionalFormatting>
  <conditionalFormatting sqref="B2807">
    <cfRule type="duplicateValues" dxfId="1" priority="1026"/>
  </conditionalFormatting>
  <conditionalFormatting sqref="B2808">
    <cfRule type="duplicateValues" dxfId="1" priority="1025"/>
  </conditionalFormatting>
  <conditionalFormatting sqref="B2809">
    <cfRule type="duplicateValues" dxfId="1" priority="1024"/>
  </conditionalFormatting>
  <conditionalFormatting sqref="B2810">
    <cfRule type="duplicateValues" dxfId="1" priority="1023"/>
  </conditionalFormatting>
  <conditionalFormatting sqref="B2811">
    <cfRule type="duplicateValues" dxfId="1" priority="1022"/>
  </conditionalFormatting>
  <conditionalFormatting sqref="B2812">
    <cfRule type="duplicateValues" dxfId="1" priority="1021"/>
  </conditionalFormatting>
  <conditionalFormatting sqref="B2813">
    <cfRule type="duplicateValues" dxfId="1" priority="1020"/>
  </conditionalFormatting>
  <conditionalFormatting sqref="B2814">
    <cfRule type="duplicateValues" dxfId="1" priority="1019"/>
  </conditionalFormatting>
  <conditionalFormatting sqref="B2815">
    <cfRule type="duplicateValues" dxfId="1" priority="1018"/>
  </conditionalFormatting>
  <conditionalFormatting sqref="B2816">
    <cfRule type="duplicateValues" dxfId="1" priority="1017"/>
  </conditionalFormatting>
  <conditionalFormatting sqref="B2817">
    <cfRule type="duplicateValues" dxfId="1" priority="1016"/>
  </conditionalFormatting>
  <conditionalFormatting sqref="B2818">
    <cfRule type="duplicateValues" dxfId="1" priority="1015"/>
  </conditionalFormatting>
  <conditionalFormatting sqref="B2819">
    <cfRule type="duplicateValues" dxfId="1" priority="1014"/>
  </conditionalFormatting>
  <conditionalFormatting sqref="B2820">
    <cfRule type="duplicateValues" dxfId="1" priority="1013"/>
  </conditionalFormatting>
  <conditionalFormatting sqref="B2821">
    <cfRule type="duplicateValues" dxfId="1" priority="1012"/>
  </conditionalFormatting>
  <conditionalFormatting sqref="B2822">
    <cfRule type="duplicateValues" dxfId="1" priority="1011"/>
  </conditionalFormatting>
  <conditionalFormatting sqref="B2823">
    <cfRule type="duplicateValues" dxfId="1" priority="1010"/>
  </conditionalFormatting>
  <conditionalFormatting sqref="B2824">
    <cfRule type="duplicateValues" dxfId="1" priority="1009"/>
  </conditionalFormatting>
  <conditionalFormatting sqref="B2825">
    <cfRule type="duplicateValues" dxfId="1" priority="1008"/>
  </conditionalFormatting>
  <conditionalFormatting sqref="B2826">
    <cfRule type="duplicateValues" dxfId="1" priority="1007"/>
  </conditionalFormatting>
  <conditionalFormatting sqref="B2827">
    <cfRule type="duplicateValues" dxfId="1" priority="1006"/>
  </conditionalFormatting>
  <conditionalFormatting sqref="B2828">
    <cfRule type="duplicateValues" dxfId="1" priority="1005"/>
  </conditionalFormatting>
  <conditionalFormatting sqref="B2829">
    <cfRule type="duplicateValues" dxfId="1" priority="1004"/>
  </conditionalFormatting>
  <conditionalFormatting sqref="B2830">
    <cfRule type="duplicateValues" dxfId="1" priority="1003"/>
  </conditionalFormatting>
  <conditionalFormatting sqref="B2831">
    <cfRule type="duplicateValues" dxfId="1" priority="1002"/>
  </conditionalFormatting>
  <conditionalFormatting sqref="B2832">
    <cfRule type="duplicateValues" dxfId="1" priority="1001"/>
  </conditionalFormatting>
  <conditionalFormatting sqref="B2833">
    <cfRule type="duplicateValues" dxfId="1" priority="1000"/>
  </conditionalFormatting>
  <conditionalFormatting sqref="B2834">
    <cfRule type="duplicateValues" dxfId="1" priority="999"/>
  </conditionalFormatting>
  <conditionalFormatting sqref="B2835">
    <cfRule type="duplicateValues" dxfId="1" priority="998"/>
  </conditionalFormatting>
  <conditionalFormatting sqref="B2836">
    <cfRule type="duplicateValues" dxfId="1" priority="997"/>
  </conditionalFormatting>
  <conditionalFormatting sqref="B2837">
    <cfRule type="duplicateValues" dxfId="1" priority="996"/>
  </conditionalFormatting>
  <conditionalFormatting sqref="B2838">
    <cfRule type="duplicateValues" dxfId="1" priority="995"/>
  </conditionalFormatting>
  <conditionalFormatting sqref="B2839">
    <cfRule type="duplicateValues" dxfId="1" priority="994"/>
  </conditionalFormatting>
  <conditionalFormatting sqref="B2840">
    <cfRule type="duplicateValues" dxfId="1" priority="993"/>
  </conditionalFormatting>
  <conditionalFormatting sqref="B2841">
    <cfRule type="duplicateValues" dxfId="1" priority="992"/>
  </conditionalFormatting>
  <conditionalFormatting sqref="B2842">
    <cfRule type="duplicateValues" dxfId="1" priority="991"/>
  </conditionalFormatting>
  <conditionalFormatting sqref="B2843">
    <cfRule type="duplicateValues" dxfId="1" priority="990"/>
  </conditionalFormatting>
  <conditionalFormatting sqref="B2844">
    <cfRule type="duplicateValues" dxfId="1" priority="989"/>
  </conditionalFormatting>
  <conditionalFormatting sqref="B2845">
    <cfRule type="duplicateValues" dxfId="1" priority="988"/>
  </conditionalFormatting>
  <conditionalFormatting sqref="B2846">
    <cfRule type="duplicateValues" dxfId="1" priority="987"/>
  </conditionalFormatting>
  <conditionalFormatting sqref="B2847">
    <cfRule type="duplicateValues" dxfId="1" priority="986"/>
  </conditionalFormatting>
  <conditionalFormatting sqref="B2848">
    <cfRule type="duplicateValues" dxfId="1" priority="985"/>
  </conditionalFormatting>
  <conditionalFormatting sqref="B2849">
    <cfRule type="duplicateValues" dxfId="1" priority="984"/>
  </conditionalFormatting>
  <conditionalFormatting sqref="B2850">
    <cfRule type="duplicateValues" dxfId="1" priority="983"/>
  </conditionalFormatting>
  <conditionalFormatting sqref="B2851">
    <cfRule type="duplicateValues" dxfId="1" priority="982"/>
  </conditionalFormatting>
  <conditionalFormatting sqref="B2852">
    <cfRule type="duplicateValues" dxfId="1" priority="981"/>
  </conditionalFormatting>
  <conditionalFormatting sqref="B2853">
    <cfRule type="duplicateValues" dxfId="1" priority="980"/>
  </conditionalFormatting>
  <conditionalFormatting sqref="B2854">
    <cfRule type="duplicateValues" dxfId="1" priority="979"/>
  </conditionalFormatting>
  <conditionalFormatting sqref="B2855">
    <cfRule type="duplicateValues" dxfId="1" priority="978"/>
  </conditionalFormatting>
  <conditionalFormatting sqref="B2856">
    <cfRule type="duplicateValues" dxfId="1" priority="977"/>
  </conditionalFormatting>
  <conditionalFormatting sqref="B2857">
    <cfRule type="duplicateValues" dxfId="1" priority="976"/>
  </conditionalFormatting>
  <conditionalFormatting sqref="B2858">
    <cfRule type="duplicateValues" dxfId="1" priority="975"/>
  </conditionalFormatting>
  <conditionalFormatting sqref="B2859">
    <cfRule type="duplicateValues" dxfId="1" priority="974"/>
  </conditionalFormatting>
  <conditionalFormatting sqref="B2860">
    <cfRule type="duplicateValues" dxfId="1" priority="973"/>
  </conditionalFormatting>
  <conditionalFormatting sqref="B2861">
    <cfRule type="duplicateValues" dxfId="1" priority="972"/>
  </conditionalFormatting>
  <conditionalFormatting sqref="B2862">
    <cfRule type="duplicateValues" dxfId="1" priority="971"/>
  </conditionalFormatting>
  <conditionalFormatting sqref="B2863">
    <cfRule type="duplicateValues" dxfId="1" priority="970"/>
  </conditionalFormatting>
  <conditionalFormatting sqref="B2864">
    <cfRule type="duplicateValues" dxfId="1" priority="969"/>
  </conditionalFormatting>
  <conditionalFormatting sqref="B2865">
    <cfRule type="duplicateValues" dxfId="1" priority="968"/>
  </conditionalFormatting>
  <conditionalFormatting sqref="B2866">
    <cfRule type="duplicateValues" dxfId="1" priority="967"/>
  </conditionalFormatting>
  <conditionalFormatting sqref="B2867">
    <cfRule type="duplicateValues" dxfId="1" priority="966"/>
  </conditionalFormatting>
  <conditionalFormatting sqref="B2868">
    <cfRule type="duplicateValues" dxfId="1" priority="965"/>
  </conditionalFormatting>
  <conditionalFormatting sqref="B2869">
    <cfRule type="duplicateValues" dxfId="1" priority="964"/>
  </conditionalFormatting>
  <conditionalFormatting sqref="B2870">
    <cfRule type="duplicateValues" dxfId="1" priority="963"/>
  </conditionalFormatting>
  <conditionalFormatting sqref="B2871">
    <cfRule type="duplicateValues" dxfId="1" priority="962"/>
  </conditionalFormatting>
  <conditionalFormatting sqref="B2872">
    <cfRule type="duplicateValues" dxfId="1" priority="961"/>
  </conditionalFormatting>
  <conditionalFormatting sqref="B2873">
    <cfRule type="duplicateValues" dxfId="1" priority="960"/>
  </conditionalFormatting>
  <conditionalFormatting sqref="B2874">
    <cfRule type="duplicateValues" dxfId="1" priority="959"/>
  </conditionalFormatting>
  <conditionalFormatting sqref="B2875">
    <cfRule type="duplicateValues" dxfId="1" priority="958"/>
  </conditionalFormatting>
  <conditionalFormatting sqref="B2876">
    <cfRule type="duplicateValues" dxfId="1" priority="957"/>
  </conditionalFormatting>
  <conditionalFormatting sqref="B2877">
    <cfRule type="duplicateValues" dxfId="1" priority="956"/>
  </conditionalFormatting>
  <conditionalFormatting sqref="B2878">
    <cfRule type="duplicateValues" dxfId="1" priority="955"/>
  </conditionalFormatting>
  <conditionalFormatting sqref="B2879">
    <cfRule type="duplicateValues" dxfId="1" priority="954"/>
  </conditionalFormatting>
  <conditionalFormatting sqref="B2880">
    <cfRule type="duplicateValues" dxfId="1" priority="953"/>
  </conditionalFormatting>
  <conditionalFormatting sqref="B2881">
    <cfRule type="duplicateValues" dxfId="1" priority="952"/>
  </conditionalFormatting>
  <conditionalFormatting sqref="B2882">
    <cfRule type="duplicateValues" dxfId="1" priority="951"/>
  </conditionalFormatting>
  <conditionalFormatting sqref="B2883">
    <cfRule type="duplicateValues" dxfId="1" priority="950"/>
  </conditionalFormatting>
  <conditionalFormatting sqref="B2884">
    <cfRule type="duplicateValues" dxfId="1" priority="949"/>
  </conditionalFormatting>
  <conditionalFormatting sqref="B2885">
    <cfRule type="duplicateValues" dxfId="1" priority="948"/>
  </conditionalFormatting>
  <conditionalFormatting sqref="B2886">
    <cfRule type="duplicateValues" dxfId="1" priority="947"/>
  </conditionalFormatting>
  <conditionalFormatting sqref="B2887">
    <cfRule type="duplicateValues" dxfId="1" priority="946"/>
  </conditionalFormatting>
  <conditionalFormatting sqref="B2888">
    <cfRule type="duplicateValues" dxfId="1" priority="945"/>
  </conditionalFormatting>
  <conditionalFormatting sqref="B2889">
    <cfRule type="duplicateValues" dxfId="1" priority="944"/>
  </conditionalFormatting>
  <conditionalFormatting sqref="B2890">
    <cfRule type="duplicateValues" dxfId="1" priority="943"/>
  </conditionalFormatting>
  <conditionalFormatting sqref="B2891">
    <cfRule type="duplicateValues" dxfId="1" priority="942"/>
  </conditionalFormatting>
  <conditionalFormatting sqref="B2892">
    <cfRule type="duplicateValues" dxfId="1" priority="941"/>
  </conditionalFormatting>
  <conditionalFormatting sqref="B2893">
    <cfRule type="duplicateValues" dxfId="1" priority="940"/>
  </conditionalFormatting>
  <conditionalFormatting sqref="B2894">
    <cfRule type="duplicateValues" dxfId="1" priority="939"/>
  </conditionalFormatting>
  <conditionalFormatting sqref="B2895">
    <cfRule type="duplicateValues" dxfId="1" priority="938"/>
  </conditionalFormatting>
  <conditionalFormatting sqref="B2896">
    <cfRule type="duplicateValues" dxfId="1" priority="937"/>
  </conditionalFormatting>
  <conditionalFormatting sqref="B2897">
    <cfRule type="duplicateValues" dxfId="1" priority="936"/>
  </conditionalFormatting>
  <conditionalFormatting sqref="B2898">
    <cfRule type="duplicateValues" dxfId="1" priority="935"/>
  </conditionalFormatting>
  <conditionalFormatting sqref="B2899">
    <cfRule type="duplicateValues" dxfId="1" priority="934"/>
  </conditionalFormatting>
  <conditionalFormatting sqref="B2900">
    <cfRule type="duplicateValues" dxfId="1" priority="933"/>
  </conditionalFormatting>
  <conditionalFormatting sqref="B2901">
    <cfRule type="duplicateValues" dxfId="1" priority="932"/>
  </conditionalFormatting>
  <conditionalFormatting sqref="B2902">
    <cfRule type="duplicateValues" dxfId="1" priority="931"/>
  </conditionalFormatting>
  <conditionalFormatting sqref="B2903">
    <cfRule type="duplicateValues" dxfId="1" priority="930"/>
  </conditionalFormatting>
  <conditionalFormatting sqref="B2904">
    <cfRule type="duplicateValues" dxfId="1" priority="929"/>
  </conditionalFormatting>
  <conditionalFormatting sqref="B2905">
    <cfRule type="duplicateValues" dxfId="1" priority="928"/>
  </conditionalFormatting>
  <conditionalFormatting sqref="B2906">
    <cfRule type="duplicateValues" dxfId="1" priority="927"/>
  </conditionalFormatting>
  <conditionalFormatting sqref="B2907">
    <cfRule type="duplicateValues" dxfId="1" priority="926"/>
  </conditionalFormatting>
  <conditionalFormatting sqref="B2908">
    <cfRule type="duplicateValues" dxfId="1" priority="925"/>
  </conditionalFormatting>
  <conditionalFormatting sqref="B2909">
    <cfRule type="duplicateValues" dxfId="1" priority="924"/>
  </conditionalFormatting>
  <conditionalFormatting sqref="B2910">
    <cfRule type="duplicateValues" dxfId="1" priority="923"/>
  </conditionalFormatting>
  <conditionalFormatting sqref="B2911">
    <cfRule type="duplicateValues" dxfId="1" priority="922"/>
  </conditionalFormatting>
  <conditionalFormatting sqref="B2912">
    <cfRule type="duplicateValues" dxfId="1" priority="921"/>
  </conditionalFormatting>
  <conditionalFormatting sqref="B2913">
    <cfRule type="duplicateValues" dxfId="1" priority="920"/>
  </conditionalFormatting>
  <conditionalFormatting sqref="B2914">
    <cfRule type="duplicateValues" dxfId="1" priority="919"/>
  </conditionalFormatting>
  <conditionalFormatting sqref="B2915">
    <cfRule type="duplicateValues" dxfId="1" priority="918"/>
  </conditionalFormatting>
  <conditionalFormatting sqref="B2916">
    <cfRule type="duplicateValues" dxfId="1" priority="917"/>
  </conditionalFormatting>
  <conditionalFormatting sqref="B2917">
    <cfRule type="duplicateValues" dxfId="1" priority="916"/>
  </conditionalFormatting>
  <conditionalFormatting sqref="B2918">
    <cfRule type="duplicateValues" dxfId="1" priority="915"/>
  </conditionalFormatting>
  <conditionalFormatting sqref="B2919">
    <cfRule type="duplicateValues" dxfId="1" priority="914"/>
  </conditionalFormatting>
  <conditionalFormatting sqref="B2920">
    <cfRule type="duplicateValues" dxfId="1" priority="913"/>
  </conditionalFormatting>
  <conditionalFormatting sqref="B2921">
    <cfRule type="duplicateValues" dxfId="1" priority="912"/>
  </conditionalFormatting>
  <conditionalFormatting sqref="B2922">
    <cfRule type="duplicateValues" dxfId="1" priority="911"/>
  </conditionalFormatting>
  <conditionalFormatting sqref="B2923">
    <cfRule type="duplicateValues" dxfId="1" priority="910"/>
  </conditionalFormatting>
  <conditionalFormatting sqref="B2924">
    <cfRule type="duplicateValues" dxfId="1" priority="909"/>
  </conditionalFormatting>
  <conditionalFormatting sqref="B2925">
    <cfRule type="duplicateValues" dxfId="1" priority="908"/>
  </conditionalFormatting>
  <conditionalFormatting sqref="B2926">
    <cfRule type="duplicateValues" dxfId="1" priority="907"/>
  </conditionalFormatting>
  <conditionalFormatting sqref="B2927">
    <cfRule type="duplicateValues" dxfId="1" priority="906"/>
  </conditionalFormatting>
  <conditionalFormatting sqref="B2928">
    <cfRule type="duplicateValues" dxfId="1" priority="905"/>
  </conditionalFormatting>
  <conditionalFormatting sqref="B2929">
    <cfRule type="duplicateValues" dxfId="1" priority="904"/>
  </conditionalFormatting>
  <conditionalFormatting sqref="B2930">
    <cfRule type="duplicateValues" dxfId="1" priority="903"/>
  </conditionalFormatting>
  <conditionalFormatting sqref="B2931">
    <cfRule type="duplicateValues" dxfId="1" priority="902"/>
  </conditionalFormatting>
  <conditionalFormatting sqref="B2932">
    <cfRule type="duplicateValues" dxfId="1" priority="901"/>
  </conditionalFormatting>
  <conditionalFormatting sqref="B2933">
    <cfRule type="duplicateValues" dxfId="1" priority="900"/>
  </conditionalFormatting>
  <conditionalFormatting sqref="B2934">
    <cfRule type="duplicateValues" dxfId="1" priority="899"/>
  </conditionalFormatting>
  <conditionalFormatting sqref="B2935">
    <cfRule type="duplicateValues" dxfId="1" priority="898"/>
  </conditionalFormatting>
  <conditionalFormatting sqref="B2936">
    <cfRule type="duplicateValues" dxfId="1" priority="897"/>
  </conditionalFormatting>
  <conditionalFormatting sqref="B2937">
    <cfRule type="duplicateValues" dxfId="1" priority="896"/>
  </conditionalFormatting>
  <conditionalFormatting sqref="B2938">
    <cfRule type="duplicateValues" dxfId="1" priority="895"/>
  </conditionalFormatting>
  <conditionalFormatting sqref="B2939">
    <cfRule type="duplicateValues" dxfId="1" priority="894"/>
  </conditionalFormatting>
  <conditionalFormatting sqref="B2940">
    <cfRule type="duplicateValues" dxfId="1" priority="893"/>
  </conditionalFormatting>
  <conditionalFormatting sqref="B2941">
    <cfRule type="duplicateValues" dxfId="1" priority="892"/>
  </conditionalFormatting>
  <conditionalFormatting sqref="B2942">
    <cfRule type="duplicateValues" dxfId="1" priority="891"/>
  </conditionalFormatting>
  <conditionalFormatting sqref="B2943">
    <cfRule type="duplicateValues" dxfId="1" priority="890"/>
  </conditionalFormatting>
  <conditionalFormatting sqref="B2944">
    <cfRule type="duplicateValues" dxfId="1" priority="889"/>
  </conditionalFormatting>
  <conditionalFormatting sqref="B2945">
    <cfRule type="duplicateValues" dxfId="1" priority="888"/>
  </conditionalFormatting>
  <conditionalFormatting sqref="B2946">
    <cfRule type="duplicateValues" dxfId="1" priority="887"/>
  </conditionalFormatting>
  <conditionalFormatting sqref="B2947">
    <cfRule type="duplicateValues" dxfId="1" priority="886"/>
  </conditionalFormatting>
  <conditionalFormatting sqref="B2948">
    <cfRule type="duplicateValues" dxfId="1" priority="885"/>
  </conditionalFormatting>
  <conditionalFormatting sqref="B2949">
    <cfRule type="duplicateValues" dxfId="1" priority="884"/>
  </conditionalFormatting>
  <conditionalFormatting sqref="B2950">
    <cfRule type="duplicateValues" dxfId="1" priority="883"/>
  </conditionalFormatting>
  <conditionalFormatting sqref="B2951">
    <cfRule type="duplicateValues" dxfId="1" priority="882"/>
  </conditionalFormatting>
  <conditionalFormatting sqref="B2952">
    <cfRule type="duplicateValues" dxfId="1" priority="881"/>
  </conditionalFormatting>
  <conditionalFormatting sqref="B2953">
    <cfRule type="duplicateValues" dxfId="1" priority="880"/>
  </conditionalFormatting>
  <conditionalFormatting sqref="B2954">
    <cfRule type="duplicateValues" dxfId="1" priority="879"/>
  </conditionalFormatting>
  <conditionalFormatting sqref="B2955">
    <cfRule type="duplicateValues" dxfId="1" priority="878"/>
  </conditionalFormatting>
  <conditionalFormatting sqref="B2956">
    <cfRule type="duplicateValues" dxfId="1" priority="877"/>
  </conditionalFormatting>
  <conditionalFormatting sqref="B2957">
    <cfRule type="duplicateValues" dxfId="1" priority="876"/>
  </conditionalFormatting>
  <conditionalFormatting sqref="B2958">
    <cfRule type="duplicateValues" dxfId="1" priority="875"/>
  </conditionalFormatting>
  <conditionalFormatting sqref="B2959">
    <cfRule type="duplicateValues" dxfId="1" priority="874"/>
  </conditionalFormatting>
  <conditionalFormatting sqref="B2960">
    <cfRule type="duplicateValues" dxfId="1" priority="873"/>
  </conditionalFormatting>
  <conditionalFormatting sqref="B2961">
    <cfRule type="duplicateValues" dxfId="1" priority="872"/>
  </conditionalFormatting>
  <conditionalFormatting sqref="B2962">
    <cfRule type="duplicateValues" dxfId="1" priority="871"/>
  </conditionalFormatting>
  <conditionalFormatting sqref="B2963">
    <cfRule type="duplicateValues" dxfId="1" priority="870"/>
  </conditionalFormatting>
  <conditionalFormatting sqref="B2964">
    <cfRule type="duplicateValues" dxfId="1" priority="869"/>
  </conditionalFormatting>
  <conditionalFormatting sqref="B2965">
    <cfRule type="duplicateValues" dxfId="1" priority="868"/>
  </conditionalFormatting>
  <conditionalFormatting sqref="B2966">
    <cfRule type="duplicateValues" dxfId="1" priority="867"/>
  </conditionalFormatting>
  <conditionalFormatting sqref="B2967">
    <cfRule type="duplicateValues" dxfId="1" priority="866"/>
  </conditionalFormatting>
  <conditionalFormatting sqref="B2968">
    <cfRule type="duplicateValues" dxfId="1" priority="865"/>
  </conditionalFormatting>
  <conditionalFormatting sqref="B2969">
    <cfRule type="duplicateValues" dxfId="1" priority="864"/>
  </conditionalFormatting>
  <conditionalFormatting sqref="B2970">
    <cfRule type="duplicateValues" dxfId="1" priority="863"/>
  </conditionalFormatting>
  <conditionalFormatting sqref="B2971">
    <cfRule type="duplicateValues" dxfId="1" priority="862"/>
  </conditionalFormatting>
  <conditionalFormatting sqref="B2972">
    <cfRule type="duplicateValues" dxfId="1" priority="861"/>
  </conditionalFormatting>
  <conditionalFormatting sqref="B2973">
    <cfRule type="duplicateValues" dxfId="1" priority="860"/>
  </conditionalFormatting>
  <conditionalFormatting sqref="B2974">
    <cfRule type="duplicateValues" dxfId="1" priority="859"/>
  </conditionalFormatting>
  <conditionalFormatting sqref="B2975">
    <cfRule type="duplicateValues" dxfId="1" priority="858"/>
  </conditionalFormatting>
  <conditionalFormatting sqref="B2976">
    <cfRule type="duplicateValues" dxfId="1" priority="857"/>
  </conditionalFormatting>
  <conditionalFormatting sqref="B2977">
    <cfRule type="duplicateValues" dxfId="1" priority="856"/>
  </conditionalFormatting>
  <conditionalFormatting sqref="B2978">
    <cfRule type="duplicateValues" dxfId="1" priority="855"/>
  </conditionalFormatting>
  <conditionalFormatting sqref="B2979">
    <cfRule type="duplicateValues" dxfId="1" priority="854"/>
  </conditionalFormatting>
  <conditionalFormatting sqref="B2980">
    <cfRule type="duplicateValues" dxfId="1" priority="853"/>
  </conditionalFormatting>
  <conditionalFormatting sqref="B2981">
    <cfRule type="duplicateValues" dxfId="1" priority="852"/>
  </conditionalFormatting>
  <conditionalFormatting sqref="B2982">
    <cfRule type="duplicateValues" dxfId="1" priority="851"/>
  </conditionalFormatting>
  <conditionalFormatting sqref="B2983">
    <cfRule type="duplicateValues" dxfId="1" priority="850"/>
  </conditionalFormatting>
  <conditionalFormatting sqref="B2984">
    <cfRule type="duplicateValues" dxfId="1" priority="849"/>
  </conditionalFormatting>
  <conditionalFormatting sqref="B2985">
    <cfRule type="duplicateValues" dxfId="1" priority="848"/>
  </conditionalFormatting>
  <conditionalFormatting sqref="B2986">
    <cfRule type="duplicateValues" dxfId="1" priority="847"/>
  </conditionalFormatting>
  <conditionalFormatting sqref="B2987">
    <cfRule type="duplicateValues" dxfId="1" priority="846"/>
  </conditionalFormatting>
  <conditionalFormatting sqref="B2988">
    <cfRule type="duplicateValues" dxfId="1" priority="845"/>
  </conditionalFormatting>
  <conditionalFormatting sqref="B2989">
    <cfRule type="duplicateValues" dxfId="1" priority="844"/>
  </conditionalFormatting>
  <conditionalFormatting sqref="B2990">
    <cfRule type="duplicateValues" dxfId="1" priority="843"/>
  </conditionalFormatting>
  <conditionalFormatting sqref="B2991">
    <cfRule type="duplicateValues" dxfId="1" priority="842"/>
  </conditionalFormatting>
  <conditionalFormatting sqref="B2992">
    <cfRule type="duplicateValues" dxfId="1" priority="841"/>
  </conditionalFormatting>
  <conditionalFormatting sqref="B2993">
    <cfRule type="duplicateValues" dxfId="1" priority="840"/>
  </conditionalFormatting>
  <conditionalFormatting sqref="B2994">
    <cfRule type="duplicateValues" dxfId="1" priority="839"/>
  </conditionalFormatting>
  <conditionalFormatting sqref="B2995">
    <cfRule type="duplicateValues" dxfId="1" priority="838"/>
  </conditionalFormatting>
  <conditionalFormatting sqref="B2996">
    <cfRule type="duplicateValues" dxfId="1" priority="837"/>
  </conditionalFormatting>
  <conditionalFormatting sqref="B2997">
    <cfRule type="duplicateValues" dxfId="1" priority="836"/>
  </conditionalFormatting>
  <conditionalFormatting sqref="B2998">
    <cfRule type="duplicateValues" dxfId="1" priority="835"/>
  </conditionalFormatting>
  <conditionalFormatting sqref="B2999">
    <cfRule type="duplicateValues" dxfId="1" priority="834"/>
  </conditionalFormatting>
  <conditionalFormatting sqref="B3000">
    <cfRule type="duplicateValues" dxfId="1" priority="833"/>
  </conditionalFormatting>
  <conditionalFormatting sqref="B3001">
    <cfRule type="duplicateValues" dxfId="1" priority="832"/>
  </conditionalFormatting>
  <conditionalFormatting sqref="B3002">
    <cfRule type="duplicateValues" dxfId="1" priority="831"/>
  </conditionalFormatting>
  <conditionalFormatting sqref="B3003">
    <cfRule type="duplicateValues" dxfId="1" priority="830"/>
  </conditionalFormatting>
  <conditionalFormatting sqref="B3004">
    <cfRule type="duplicateValues" dxfId="1" priority="829"/>
  </conditionalFormatting>
  <conditionalFormatting sqref="B3005">
    <cfRule type="duplicateValues" dxfId="1" priority="828"/>
  </conditionalFormatting>
  <conditionalFormatting sqref="B3006">
    <cfRule type="duplicateValues" dxfId="1" priority="827"/>
  </conditionalFormatting>
  <conditionalFormatting sqref="B3007">
    <cfRule type="duplicateValues" dxfId="1" priority="826"/>
  </conditionalFormatting>
  <conditionalFormatting sqref="B3008">
    <cfRule type="duplicateValues" dxfId="1" priority="825"/>
  </conditionalFormatting>
  <conditionalFormatting sqref="B3009">
    <cfRule type="duplicateValues" dxfId="1" priority="824"/>
  </conditionalFormatting>
  <conditionalFormatting sqref="B3010">
    <cfRule type="duplicateValues" dxfId="1" priority="823"/>
  </conditionalFormatting>
  <conditionalFormatting sqref="B3011">
    <cfRule type="duplicateValues" dxfId="1" priority="822"/>
  </conditionalFormatting>
  <conditionalFormatting sqref="B3012">
    <cfRule type="duplicateValues" dxfId="1" priority="821"/>
  </conditionalFormatting>
  <conditionalFormatting sqref="B3013">
    <cfRule type="duplicateValues" dxfId="1" priority="820"/>
  </conditionalFormatting>
  <conditionalFormatting sqref="B3014">
    <cfRule type="duplicateValues" dxfId="1" priority="819"/>
  </conditionalFormatting>
  <conditionalFormatting sqref="B3015">
    <cfRule type="duplicateValues" dxfId="1" priority="818"/>
  </conditionalFormatting>
  <conditionalFormatting sqref="B3016">
    <cfRule type="duplicateValues" dxfId="1" priority="817"/>
  </conditionalFormatting>
  <conditionalFormatting sqref="B3017">
    <cfRule type="duplicateValues" dxfId="1" priority="816"/>
  </conditionalFormatting>
  <conditionalFormatting sqref="B3018">
    <cfRule type="duplicateValues" dxfId="1" priority="815"/>
  </conditionalFormatting>
  <conditionalFormatting sqref="B3019">
    <cfRule type="duplicateValues" dxfId="1" priority="814"/>
  </conditionalFormatting>
  <conditionalFormatting sqref="B3020">
    <cfRule type="duplicateValues" dxfId="1" priority="813"/>
  </conditionalFormatting>
  <conditionalFormatting sqref="B3021">
    <cfRule type="duplicateValues" dxfId="1" priority="812"/>
  </conditionalFormatting>
  <conditionalFormatting sqref="B3022">
    <cfRule type="duplicateValues" dxfId="1" priority="811"/>
  </conditionalFormatting>
  <conditionalFormatting sqref="B3023">
    <cfRule type="duplicateValues" dxfId="1" priority="810"/>
  </conditionalFormatting>
  <conditionalFormatting sqref="B3024">
    <cfRule type="duplicateValues" dxfId="1" priority="809"/>
  </conditionalFormatting>
  <conditionalFormatting sqref="B3025">
    <cfRule type="duplicateValues" dxfId="1" priority="808"/>
  </conditionalFormatting>
  <conditionalFormatting sqref="B3026">
    <cfRule type="duplicateValues" dxfId="1" priority="807"/>
  </conditionalFormatting>
  <conditionalFormatting sqref="B3027">
    <cfRule type="duplicateValues" dxfId="1" priority="806"/>
  </conditionalFormatting>
  <conditionalFormatting sqref="B3028">
    <cfRule type="duplicateValues" dxfId="1" priority="805"/>
  </conditionalFormatting>
  <conditionalFormatting sqref="B3029">
    <cfRule type="duplicateValues" dxfId="1" priority="804"/>
  </conditionalFormatting>
  <conditionalFormatting sqref="B3030">
    <cfRule type="duplicateValues" dxfId="1" priority="803"/>
  </conditionalFormatting>
  <conditionalFormatting sqref="B3031">
    <cfRule type="duplicateValues" dxfId="1" priority="802"/>
  </conditionalFormatting>
  <conditionalFormatting sqref="B3032">
    <cfRule type="duplicateValues" dxfId="1" priority="801"/>
  </conditionalFormatting>
  <conditionalFormatting sqref="B3033">
    <cfRule type="duplicateValues" dxfId="1" priority="800"/>
  </conditionalFormatting>
  <conditionalFormatting sqref="B3034">
    <cfRule type="duplicateValues" dxfId="1" priority="799"/>
  </conditionalFormatting>
  <conditionalFormatting sqref="B3035">
    <cfRule type="duplicateValues" dxfId="1" priority="798"/>
  </conditionalFormatting>
  <conditionalFormatting sqref="B3036">
    <cfRule type="duplicateValues" dxfId="1" priority="797"/>
  </conditionalFormatting>
  <conditionalFormatting sqref="B3037">
    <cfRule type="duplicateValues" dxfId="1" priority="796"/>
  </conditionalFormatting>
  <conditionalFormatting sqref="B3038">
    <cfRule type="duplicateValues" dxfId="1" priority="795"/>
  </conditionalFormatting>
  <conditionalFormatting sqref="B3039">
    <cfRule type="duplicateValues" dxfId="1" priority="794"/>
  </conditionalFormatting>
  <conditionalFormatting sqref="B3040">
    <cfRule type="duplicateValues" dxfId="1" priority="793"/>
  </conditionalFormatting>
  <conditionalFormatting sqref="B3041">
    <cfRule type="duplicateValues" dxfId="1" priority="792"/>
  </conditionalFormatting>
  <conditionalFormatting sqref="B3042">
    <cfRule type="duplicateValues" dxfId="1" priority="791"/>
  </conditionalFormatting>
  <conditionalFormatting sqref="B3043">
    <cfRule type="duplicateValues" dxfId="1" priority="790"/>
  </conditionalFormatting>
  <conditionalFormatting sqref="B3044">
    <cfRule type="duplicateValues" dxfId="1" priority="789"/>
  </conditionalFormatting>
  <conditionalFormatting sqref="B3045">
    <cfRule type="duplicateValues" dxfId="1" priority="788"/>
  </conditionalFormatting>
  <conditionalFormatting sqref="B3046">
    <cfRule type="duplicateValues" dxfId="1" priority="787"/>
  </conditionalFormatting>
  <conditionalFormatting sqref="B3047">
    <cfRule type="duplicateValues" dxfId="1" priority="786"/>
  </conditionalFormatting>
  <conditionalFormatting sqref="B3048">
    <cfRule type="duplicateValues" dxfId="1" priority="785"/>
  </conditionalFormatting>
  <conditionalFormatting sqref="B3049">
    <cfRule type="duplicateValues" dxfId="1" priority="784"/>
  </conditionalFormatting>
  <conditionalFormatting sqref="B3050">
    <cfRule type="duplicateValues" dxfId="1" priority="783"/>
  </conditionalFormatting>
  <conditionalFormatting sqref="B3051">
    <cfRule type="duplicateValues" dxfId="1" priority="782"/>
  </conditionalFormatting>
  <conditionalFormatting sqref="B3052">
    <cfRule type="duplicateValues" dxfId="1" priority="781"/>
  </conditionalFormatting>
  <conditionalFormatting sqref="B3053">
    <cfRule type="duplicateValues" dxfId="1" priority="780"/>
  </conditionalFormatting>
  <conditionalFormatting sqref="B3054">
    <cfRule type="duplicateValues" dxfId="1" priority="779"/>
  </conditionalFormatting>
  <conditionalFormatting sqref="B3055">
    <cfRule type="duplicateValues" dxfId="1" priority="778"/>
  </conditionalFormatting>
  <conditionalFormatting sqref="B3056">
    <cfRule type="duplicateValues" dxfId="1" priority="777"/>
  </conditionalFormatting>
  <conditionalFormatting sqref="B3057">
    <cfRule type="duplicateValues" dxfId="1" priority="776"/>
  </conditionalFormatting>
  <conditionalFormatting sqref="B3058">
    <cfRule type="duplicateValues" dxfId="1" priority="775"/>
  </conditionalFormatting>
  <conditionalFormatting sqref="B3059">
    <cfRule type="duplicateValues" dxfId="1" priority="774"/>
  </conditionalFormatting>
  <conditionalFormatting sqref="B3060">
    <cfRule type="duplicateValues" dxfId="1" priority="773"/>
  </conditionalFormatting>
  <conditionalFormatting sqref="B3061">
    <cfRule type="duplicateValues" dxfId="1" priority="772"/>
  </conditionalFormatting>
  <conditionalFormatting sqref="B3062">
    <cfRule type="duplicateValues" dxfId="1" priority="771"/>
  </conditionalFormatting>
  <conditionalFormatting sqref="B3063">
    <cfRule type="duplicateValues" dxfId="1" priority="770"/>
  </conditionalFormatting>
  <conditionalFormatting sqref="B3064">
    <cfRule type="duplicateValues" dxfId="1" priority="769"/>
  </conditionalFormatting>
  <conditionalFormatting sqref="B3065">
    <cfRule type="duplicateValues" dxfId="1" priority="768"/>
  </conditionalFormatting>
  <conditionalFormatting sqref="B3066">
    <cfRule type="duplicateValues" dxfId="1" priority="767"/>
  </conditionalFormatting>
  <conditionalFormatting sqref="B3067">
    <cfRule type="duplicateValues" dxfId="1" priority="766"/>
  </conditionalFormatting>
  <conditionalFormatting sqref="B3068">
    <cfRule type="duplicateValues" dxfId="1" priority="765"/>
  </conditionalFormatting>
  <conditionalFormatting sqref="B3069">
    <cfRule type="duplicateValues" dxfId="1" priority="764"/>
  </conditionalFormatting>
  <conditionalFormatting sqref="B3070">
    <cfRule type="duplicateValues" dxfId="1" priority="763"/>
  </conditionalFormatting>
  <conditionalFormatting sqref="B3071">
    <cfRule type="duplicateValues" dxfId="1" priority="762"/>
  </conditionalFormatting>
  <conditionalFormatting sqref="B3072">
    <cfRule type="duplicateValues" dxfId="1" priority="761"/>
  </conditionalFormatting>
  <conditionalFormatting sqref="B3073">
    <cfRule type="duplicateValues" dxfId="1" priority="760"/>
  </conditionalFormatting>
  <conditionalFormatting sqref="B3074">
    <cfRule type="duplicateValues" dxfId="1" priority="759"/>
  </conditionalFormatting>
  <conditionalFormatting sqref="B3075">
    <cfRule type="duplicateValues" dxfId="1" priority="758"/>
  </conditionalFormatting>
  <conditionalFormatting sqref="B3076">
    <cfRule type="duplicateValues" dxfId="1" priority="757"/>
  </conditionalFormatting>
  <conditionalFormatting sqref="B3077">
    <cfRule type="duplicateValues" dxfId="1" priority="756"/>
  </conditionalFormatting>
  <conditionalFormatting sqref="B3078">
    <cfRule type="duplicateValues" dxfId="1" priority="755"/>
  </conditionalFormatting>
  <conditionalFormatting sqref="B3079">
    <cfRule type="duplicateValues" dxfId="1" priority="754"/>
  </conditionalFormatting>
  <conditionalFormatting sqref="B3080">
    <cfRule type="duplicateValues" dxfId="1" priority="753"/>
  </conditionalFormatting>
  <conditionalFormatting sqref="B3081">
    <cfRule type="duplicateValues" dxfId="1" priority="752"/>
  </conditionalFormatting>
  <conditionalFormatting sqref="B3082">
    <cfRule type="duplicateValues" dxfId="1" priority="751"/>
  </conditionalFormatting>
  <conditionalFormatting sqref="B3083">
    <cfRule type="duplicateValues" dxfId="1" priority="750"/>
  </conditionalFormatting>
  <conditionalFormatting sqref="B3084">
    <cfRule type="duplicateValues" dxfId="1" priority="749"/>
  </conditionalFormatting>
  <conditionalFormatting sqref="B3085">
    <cfRule type="duplicateValues" dxfId="1" priority="748"/>
  </conditionalFormatting>
  <conditionalFormatting sqref="B3086">
    <cfRule type="duplicateValues" dxfId="1" priority="747"/>
  </conditionalFormatting>
  <conditionalFormatting sqref="B3087">
    <cfRule type="duplicateValues" dxfId="1" priority="746"/>
  </conditionalFormatting>
  <conditionalFormatting sqref="B3088">
    <cfRule type="duplicateValues" dxfId="1" priority="745"/>
  </conditionalFormatting>
  <conditionalFormatting sqref="B3089">
    <cfRule type="duplicateValues" dxfId="1" priority="744"/>
  </conditionalFormatting>
  <conditionalFormatting sqref="B3090">
    <cfRule type="duplicateValues" dxfId="1" priority="743"/>
  </conditionalFormatting>
  <conditionalFormatting sqref="B3091">
    <cfRule type="duplicateValues" dxfId="1" priority="742"/>
  </conditionalFormatting>
  <conditionalFormatting sqref="B3092">
    <cfRule type="duplicateValues" dxfId="1" priority="741"/>
  </conditionalFormatting>
  <conditionalFormatting sqref="B3093">
    <cfRule type="duplicateValues" dxfId="1" priority="740"/>
  </conditionalFormatting>
  <conditionalFormatting sqref="B3094">
    <cfRule type="duplicateValues" dxfId="1" priority="739"/>
  </conditionalFormatting>
  <conditionalFormatting sqref="B3095">
    <cfRule type="duplicateValues" dxfId="1" priority="738"/>
  </conditionalFormatting>
  <conditionalFormatting sqref="B3096">
    <cfRule type="duplicateValues" dxfId="1" priority="737"/>
  </conditionalFormatting>
  <conditionalFormatting sqref="B3097">
    <cfRule type="duplicateValues" dxfId="1" priority="736"/>
  </conditionalFormatting>
  <conditionalFormatting sqref="B3098">
    <cfRule type="duplicateValues" dxfId="1" priority="735"/>
  </conditionalFormatting>
  <conditionalFormatting sqref="B3099">
    <cfRule type="duplicateValues" dxfId="1" priority="734"/>
  </conditionalFormatting>
  <conditionalFormatting sqref="B3100">
    <cfRule type="duplicateValues" dxfId="1" priority="733"/>
  </conditionalFormatting>
  <conditionalFormatting sqref="B3101">
    <cfRule type="duplicateValues" dxfId="1" priority="732"/>
  </conditionalFormatting>
  <conditionalFormatting sqref="B3102">
    <cfRule type="duplicateValues" dxfId="1" priority="731"/>
  </conditionalFormatting>
  <conditionalFormatting sqref="B3103">
    <cfRule type="duplicateValues" dxfId="1" priority="730"/>
  </conditionalFormatting>
  <conditionalFormatting sqref="B3104">
    <cfRule type="duplicateValues" dxfId="1" priority="729"/>
  </conditionalFormatting>
  <conditionalFormatting sqref="B3105">
    <cfRule type="duplicateValues" dxfId="1" priority="728"/>
  </conditionalFormatting>
  <conditionalFormatting sqref="B3106">
    <cfRule type="duplicateValues" dxfId="1" priority="727"/>
  </conditionalFormatting>
  <conditionalFormatting sqref="B3107">
    <cfRule type="duplicateValues" dxfId="1" priority="726"/>
  </conditionalFormatting>
  <conditionalFormatting sqref="B3108">
    <cfRule type="duplicateValues" dxfId="1" priority="725"/>
  </conditionalFormatting>
  <conditionalFormatting sqref="B3109">
    <cfRule type="duplicateValues" dxfId="1" priority="724"/>
  </conditionalFormatting>
  <conditionalFormatting sqref="B3110">
    <cfRule type="duplicateValues" dxfId="1" priority="723"/>
  </conditionalFormatting>
  <conditionalFormatting sqref="B3111">
    <cfRule type="duplicateValues" dxfId="1" priority="722"/>
  </conditionalFormatting>
  <conditionalFormatting sqref="B3112">
    <cfRule type="duplicateValues" dxfId="1" priority="721"/>
  </conditionalFormatting>
  <conditionalFormatting sqref="B3113">
    <cfRule type="duplicateValues" dxfId="1" priority="720"/>
  </conditionalFormatting>
  <conditionalFormatting sqref="B3114">
    <cfRule type="duplicateValues" dxfId="1" priority="719"/>
  </conditionalFormatting>
  <conditionalFormatting sqref="B3115">
    <cfRule type="duplicateValues" dxfId="1" priority="718"/>
  </conditionalFormatting>
  <conditionalFormatting sqref="B3116">
    <cfRule type="duplicateValues" dxfId="1" priority="717"/>
  </conditionalFormatting>
  <conditionalFormatting sqref="B3117">
    <cfRule type="duplicateValues" dxfId="1" priority="716"/>
  </conditionalFormatting>
  <conditionalFormatting sqref="B3118">
    <cfRule type="duplicateValues" dxfId="1" priority="715"/>
  </conditionalFormatting>
  <conditionalFormatting sqref="B3119">
    <cfRule type="duplicateValues" dxfId="1" priority="714"/>
  </conditionalFormatting>
  <conditionalFormatting sqref="B3120">
    <cfRule type="duplicateValues" dxfId="1" priority="713"/>
  </conditionalFormatting>
  <conditionalFormatting sqref="B3121">
    <cfRule type="duplicateValues" dxfId="1" priority="712"/>
  </conditionalFormatting>
  <conditionalFormatting sqref="B3122">
    <cfRule type="duplicateValues" dxfId="1" priority="711"/>
  </conditionalFormatting>
  <conditionalFormatting sqref="B3123">
    <cfRule type="duplicateValues" dxfId="1" priority="710"/>
  </conditionalFormatting>
  <conditionalFormatting sqref="B3124">
    <cfRule type="duplicateValues" dxfId="1" priority="709"/>
  </conditionalFormatting>
  <conditionalFormatting sqref="B3125">
    <cfRule type="duplicateValues" dxfId="1" priority="708"/>
  </conditionalFormatting>
  <conditionalFormatting sqref="B3126">
    <cfRule type="duplicateValues" dxfId="1" priority="707"/>
  </conditionalFormatting>
  <conditionalFormatting sqref="B3127">
    <cfRule type="duplicateValues" dxfId="1" priority="706"/>
  </conditionalFormatting>
  <conditionalFormatting sqref="B3128">
    <cfRule type="duplicateValues" dxfId="1" priority="705"/>
  </conditionalFormatting>
  <conditionalFormatting sqref="B3129">
    <cfRule type="duplicateValues" dxfId="1" priority="704"/>
  </conditionalFormatting>
  <conditionalFormatting sqref="B3130">
    <cfRule type="duplicateValues" dxfId="1" priority="703"/>
  </conditionalFormatting>
  <conditionalFormatting sqref="B3131">
    <cfRule type="duplicateValues" dxfId="1" priority="702"/>
  </conditionalFormatting>
  <conditionalFormatting sqref="B3132">
    <cfRule type="duplicateValues" dxfId="1" priority="701"/>
  </conditionalFormatting>
  <conditionalFormatting sqref="B3133">
    <cfRule type="duplicateValues" dxfId="1" priority="700"/>
  </conditionalFormatting>
  <conditionalFormatting sqref="B3134">
    <cfRule type="duplicateValues" dxfId="1" priority="699"/>
  </conditionalFormatting>
  <conditionalFormatting sqref="B3135">
    <cfRule type="duplicateValues" dxfId="1" priority="698"/>
  </conditionalFormatting>
  <conditionalFormatting sqref="B3136">
    <cfRule type="duplicateValues" dxfId="1" priority="697"/>
  </conditionalFormatting>
  <conditionalFormatting sqref="B3137">
    <cfRule type="duplicateValues" dxfId="1" priority="696"/>
  </conditionalFormatting>
  <conditionalFormatting sqref="B3138">
    <cfRule type="duplicateValues" dxfId="1" priority="695"/>
  </conditionalFormatting>
  <conditionalFormatting sqref="B3139">
    <cfRule type="duplicateValues" dxfId="1" priority="694"/>
  </conditionalFormatting>
  <conditionalFormatting sqref="B3140">
    <cfRule type="duplicateValues" dxfId="1" priority="693"/>
  </conditionalFormatting>
  <conditionalFormatting sqref="B3141">
    <cfRule type="duplicateValues" dxfId="1" priority="692"/>
  </conditionalFormatting>
  <conditionalFormatting sqref="B3142">
    <cfRule type="duplicateValues" dxfId="1" priority="691"/>
  </conditionalFormatting>
  <conditionalFormatting sqref="B3143">
    <cfRule type="duplicateValues" dxfId="1" priority="690"/>
  </conditionalFormatting>
  <conditionalFormatting sqref="B3144">
    <cfRule type="duplicateValues" dxfId="1" priority="689"/>
  </conditionalFormatting>
  <conditionalFormatting sqref="B3145">
    <cfRule type="duplicateValues" dxfId="1" priority="688"/>
  </conditionalFormatting>
  <conditionalFormatting sqref="B3146">
    <cfRule type="duplicateValues" dxfId="1" priority="687"/>
  </conditionalFormatting>
  <conditionalFormatting sqref="B3147">
    <cfRule type="duplicateValues" dxfId="1" priority="686"/>
  </conditionalFormatting>
  <conditionalFormatting sqref="B3148">
    <cfRule type="duplicateValues" dxfId="1" priority="685"/>
  </conditionalFormatting>
  <conditionalFormatting sqref="B3149">
    <cfRule type="duplicateValues" dxfId="1" priority="684"/>
  </conditionalFormatting>
  <conditionalFormatting sqref="B3150">
    <cfRule type="duplicateValues" dxfId="1" priority="683"/>
  </conditionalFormatting>
  <conditionalFormatting sqref="B3151">
    <cfRule type="duplicateValues" dxfId="1" priority="682"/>
  </conditionalFormatting>
  <conditionalFormatting sqref="B3152">
    <cfRule type="duplicateValues" dxfId="1" priority="681"/>
  </conditionalFormatting>
  <conditionalFormatting sqref="B3153">
    <cfRule type="duplicateValues" dxfId="1" priority="680"/>
  </conditionalFormatting>
  <conditionalFormatting sqref="B3154">
    <cfRule type="duplicateValues" dxfId="1" priority="679"/>
  </conditionalFormatting>
  <conditionalFormatting sqref="B3155">
    <cfRule type="duplicateValues" dxfId="1" priority="678"/>
  </conditionalFormatting>
  <conditionalFormatting sqref="B3156">
    <cfRule type="duplicateValues" dxfId="1" priority="677"/>
  </conditionalFormatting>
  <conditionalFormatting sqref="B3157">
    <cfRule type="duplicateValues" dxfId="1" priority="676"/>
  </conditionalFormatting>
  <conditionalFormatting sqref="B3158">
    <cfRule type="duplicateValues" dxfId="1" priority="675"/>
  </conditionalFormatting>
  <conditionalFormatting sqref="B3159">
    <cfRule type="duplicateValues" dxfId="1" priority="674"/>
  </conditionalFormatting>
  <conditionalFormatting sqref="B3160">
    <cfRule type="duplicateValues" dxfId="1" priority="673"/>
  </conditionalFormatting>
  <conditionalFormatting sqref="B3161">
    <cfRule type="duplicateValues" dxfId="1" priority="672"/>
  </conditionalFormatting>
  <conditionalFormatting sqref="B3162">
    <cfRule type="duplicateValues" dxfId="1" priority="671"/>
  </conditionalFormatting>
  <conditionalFormatting sqref="B3163">
    <cfRule type="duplicateValues" dxfId="1" priority="670"/>
  </conditionalFormatting>
  <conditionalFormatting sqref="B3164">
    <cfRule type="duplicateValues" dxfId="1" priority="669"/>
  </conditionalFormatting>
  <conditionalFormatting sqref="B3165">
    <cfRule type="duplicateValues" dxfId="1" priority="668"/>
  </conditionalFormatting>
  <conditionalFormatting sqref="B3166">
    <cfRule type="duplicateValues" dxfId="1" priority="667"/>
  </conditionalFormatting>
  <conditionalFormatting sqref="B3167">
    <cfRule type="duplicateValues" dxfId="1" priority="666"/>
  </conditionalFormatting>
  <conditionalFormatting sqref="B3168">
    <cfRule type="duplicateValues" dxfId="1" priority="665"/>
  </conditionalFormatting>
  <conditionalFormatting sqref="B3169">
    <cfRule type="duplicateValues" dxfId="1" priority="664"/>
  </conditionalFormatting>
  <conditionalFormatting sqref="B3170">
    <cfRule type="duplicateValues" dxfId="1" priority="663"/>
  </conditionalFormatting>
  <conditionalFormatting sqref="B3171">
    <cfRule type="duplicateValues" dxfId="1" priority="662"/>
  </conditionalFormatting>
  <conditionalFormatting sqref="B3172">
    <cfRule type="duplicateValues" dxfId="1" priority="661"/>
  </conditionalFormatting>
  <conditionalFormatting sqref="B3173">
    <cfRule type="duplicateValues" dxfId="1" priority="660"/>
  </conditionalFormatting>
  <conditionalFormatting sqref="B3174">
    <cfRule type="duplicateValues" dxfId="1" priority="659"/>
  </conditionalFormatting>
  <conditionalFormatting sqref="B3175">
    <cfRule type="duplicateValues" dxfId="1" priority="658"/>
  </conditionalFormatting>
  <conditionalFormatting sqref="B3176">
    <cfRule type="duplicateValues" dxfId="1" priority="657"/>
  </conditionalFormatting>
  <conditionalFormatting sqref="B3177">
    <cfRule type="duplicateValues" dxfId="1" priority="656"/>
  </conditionalFormatting>
  <conditionalFormatting sqref="B3178">
    <cfRule type="duplicateValues" dxfId="1" priority="655"/>
  </conditionalFormatting>
  <conditionalFormatting sqref="B3179">
    <cfRule type="duplicateValues" dxfId="1" priority="654"/>
  </conditionalFormatting>
  <conditionalFormatting sqref="B3180">
    <cfRule type="duplicateValues" dxfId="1" priority="653"/>
  </conditionalFormatting>
  <conditionalFormatting sqref="B3181">
    <cfRule type="duplicateValues" dxfId="1" priority="652"/>
  </conditionalFormatting>
  <conditionalFormatting sqref="B3182">
    <cfRule type="duplicateValues" dxfId="1" priority="651"/>
  </conditionalFormatting>
  <conditionalFormatting sqref="B3183">
    <cfRule type="duplicateValues" dxfId="1" priority="650"/>
  </conditionalFormatting>
  <conditionalFormatting sqref="B3184">
    <cfRule type="duplicateValues" dxfId="1" priority="649"/>
  </conditionalFormatting>
  <conditionalFormatting sqref="B3185">
    <cfRule type="duplicateValues" dxfId="1" priority="648"/>
  </conditionalFormatting>
  <conditionalFormatting sqref="B3186">
    <cfRule type="duplicateValues" dxfId="1" priority="647"/>
  </conditionalFormatting>
  <conditionalFormatting sqref="B3187">
    <cfRule type="duplicateValues" dxfId="1" priority="646"/>
  </conditionalFormatting>
  <conditionalFormatting sqref="B3188">
    <cfRule type="duplicateValues" dxfId="1" priority="645"/>
  </conditionalFormatting>
  <conditionalFormatting sqref="B3189">
    <cfRule type="duplicateValues" dxfId="1" priority="644"/>
  </conditionalFormatting>
  <conditionalFormatting sqref="B3190">
    <cfRule type="duplicateValues" dxfId="1" priority="643"/>
  </conditionalFormatting>
  <conditionalFormatting sqref="B3191">
    <cfRule type="duplicateValues" dxfId="1" priority="642"/>
  </conditionalFormatting>
  <conditionalFormatting sqref="B3192">
    <cfRule type="duplicateValues" dxfId="1" priority="641"/>
  </conditionalFormatting>
  <conditionalFormatting sqref="B3193">
    <cfRule type="duplicateValues" dxfId="1" priority="640"/>
  </conditionalFormatting>
  <conditionalFormatting sqref="B3194">
    <cfRule type="duplicateValues" dxfId="1" priority="639"/>
  </conditionalFormatting>
  <conditionalFormatting sqref="B3195">
    <cfRule type="duplicateValues" dxfId="1" priority="638"/>
  </conditionalFormatting>
  <conditionalFormatting sqref="B3196">
    <cfRule type="duplicateValues" dxfId="1" priority="637"/>
  </conditionalFormatting>
  <conditionalFormatting sqref="B3197">
    <cfRule type="duplicateValues" dxfId="1" priority="636"/>
  </conditionalFormatting>
  <conditionalFormatting sqref="B3198">
    <cfRule type="duplicateValues" dxfId="1" priority="635"/>
  </conditionalFormatting>
  <conditionalFormatting sqref="B3199">
    <cfRule type="duplicateValues" dxfId="1" priority="634"/>
  </conditionalFormatting>
  <conditionalFormatting sqref="B3200">
    <cfRule type="duplicateValues" dxfId="1" priority="633"/>
  </conditionalFormatting>
  <conditionalFormatting sqref="B3201">
    <cfRule type="duplicateValues" dxfId="1" priority="632"/>
  </conditionalFormatting>
  <conditionalFormatting sqref="B3202">
    <cfRule type="duplicateValues" dxfId="1" priority="631"/>
  </conditionalFormatting>
  <conditionalFormatting sqref="B3203">
    <cfRule type="duplicateValues" dxfId="1" priority="630"/>
  </conditionalFormatting>
  <conditionalFormatting sqref="B3204">
    <cfRule type="duplicateValues" dxfId="1" priority="629"/>
  </conditionalFormatting>
  <conditionalFormatting sqref="B3205">
    <cfRule type="duplicateValues" dxfId="1" priority="628"/>
  </conditionalFormatting>
  <conditionalFormatting sqref="B3206">
    <cfRule type="duplicateValues" dxfId="1" priority="627"/>
  </conditionalFormatting>
  <conditionalFormatting sqref="B3207">
    <cfRule type="duplicateValues" dxfId="1" priority="626"/>
  </conditionalFormatting>
  <conditionalFormatting sqref="B3208">
    <cfRule type="duplicateValues" dxfId="1" priority="625"/>
  </conditionalFormatting>
  <conditionalFormatting sqref="B3209">
    <cfRule type="duplicateValues" dxfId="1" priority="624"/>
  </conditionalFormatting>
  <conditionalFormatting sqref="B3210">
    <cfRule type="duplicateValues" dxfId="1" priority="623"/>
  </conditionalFormatting>
  <conditionalFormatting sqref="B3211">
    <cfRule type="duplicateValues" dxfId="1" priority="622"/>
  </conditionalFormatting>
  <conditionalFormatting sqref="B3212">
    <cfRule type="duplicateValues" dxfId="1" priority="621"/>
  </conditionalFormatting>
  <conditionalFormatting sqref="B3213">
    <cfRule type="duplicateValues" dxfId="1" priority="620"/>
  </conditionalFormatting>
  <conditionalFormatting sqref="B3214">
    <cfRule type="duplicateValues" dxfId="1" priority="619"/>
  </conditionalFormatting>
  <conditionalFormatting sqref="B3215">
    <cfRule type="duplicateValues" dxfId="1" priority="618"/>
  </conditionalFormatting>
  <conditionalFormatting sqref="B3216">
    <cfRule type="duplicateValues" dxfId="1" priority="617"/>
  </conditionalFormatting>
  <conditionalFormatting sqref="B3217">
    <cfRule type="duplicateValues" dxfId="1" priority="616"/>
  </conditionalFormatting>
  <conditionalFormatting sqref="B3218">
    <cfRule type="duplicateValues" dxfId="1" priority="615"/>
  </conditionalFormatting>
  <conditionalFormatting sqref="B3219">
    <cfRule type="duplicateValues" dxfId="1" priority="614"/>
  </conditionalFormatting>
  <conditionalFormatting sqref="B3220">
    <cfRule type="duplicateValues" dxfId="1" priority="613"/>
  </conditionalFormatting>
  <conditionalFormatting sqref="B3221">
    <cfRule type="duplicateValues" dxfId="1" priority="612"/>
  </conditionalFormatting>
  <conditionalFormatting sqref="B3222">
    <cfRule type="duplicateValues" dxfId="1" priority="611"/>
  </conditionalFormatting>
  <conditionalFormatting sqref="B3223">
    <cfRule type="duplicateValues" dxfId="1" priority="610"/>
  </conditionalFormatting>
  <conditionalFormatting sqref="B3224">
    <cfRule type="duplicateValues" dxfId="1" priority="609"/>
  </conditionalFormatting>
  <conditionalFormatting sqref="B3225">
    <cfRule type="duplicateValues" dxfId="1" priority="608"/>
  </conditionalFormatting>
  <conditionalFormatting sqref="B3226">
    <cfRule type="duplicateValues" dxfId="1" priority="607"/>
  </conditionalFormatting>
  <conditionalFormatting sqref="B3227">
    <cfRule type="duplicateValues" dxfId="1" priority="606"/>
  </conditionalFormatting>
  <conditionalFormatting sqref="B3228">
    <cfRule type="duplicateValues" dxfId="1" priority="605"/>
  </conditionalFormatting>
  <conditionalFormatting sqref="B3229">
    <cfRule type="duplicateValues" dxfId="1" priority="604"/>
  </conditionalFormatting>
  <conditionalFormatting sqref="B3230">
    <cfRule type="duplicateValues" dxfId="1" priority="603"/>
  </conditionalFormatting>
  <conditionalFormatting sqref="B3231">
    <cfRule type="duplicateValues" dxfId="1" priority="602"/>
  </conditionalFormatting>
  <conditionalFormatting sqref="B3232">
    <cfRule type="duplicateValues" dxfId="1" priority="601"/>
  </conditionalFormatting>
  <conditionalFormatting sqref="B3233">
    <cfRule type="duplicateValues" dxfId="1" priority="600"/>
  </conditionalFormatting>
  <conditionalFormatting sqref="B3234">
    <cfRule type="duplicateValues" dxfId="1" priority="599"/>
  </conditionalFormatting>
  <conditionalFormatting sqref="B3235">
    <cfRule type="duplicateValues" dxfId="1" priority="598"/>
  </conditionalFormatting>
  <conditionalFormatting sqref="B3236">
    <cfRule type="duplicateValues" dxfId="1" priority="597"/>
  </conditionalFormatting>
  <conditionalFormatting sqref="B3237">
    <cfRule type="duplicateValues" dxfId="1" priority="596"/>
  </conditionalFormatting>
  <conditionalFormatting sqref="B3238">
    <cfRule type="duplicateValues" dxfId="1" priority="595"/>
  </conditionalFormatting>
  <conditionalFormatting sqref="B3239">
    <cfRule type="duplicateValues" dxfId="1" priority="594"/>
  </conditionalFormatting>
  <conditionalFormatting sqref="B3240">
    <cfRule type="duplicateValues" dxfId="1" priority="593"/>
  </conditionalFormatting>
  <conditionalFormatting sqref="B3241">
    <cfRule type="duplicateValues" dxfId="1" priority="592"/>
  </conditionalFormatting>
  <conditionalFormatting sqref="B3242">
    <cfRule type="duplicateValues" dxfId="1" priority="591"/>
  </conditionalFormatting>
  <conditionalFormatting sqref="B3243">
    <cfRule type="duplicateValues" dxfId="1" priority="590"/>
  </conditionalFormatting>
  <conditionalFormatting sqref="B3244">
    <cfRule type="duplicateValues" dxfId="1" priority="589"/>
  </conditionalFormatting>
  <conditionalFormatting sqref="B3245">
    <cfRule type="duplicateValues" dxfId="1" priority="588"/>
  </conditionalFormatting>
  <conditionalFormatting sqref="B3246">
    <cfRule type="duplicateValues" dxfId="1" priority="587"/>
  </conditionalFormatting>
  <conditionalFormatting sqref="B3247">
    <cfRule type="duplicateValues" dxfId="1" priority="586"/>
  </conditionalFormatting>
  <conditionalFormatting sqref="B3248">
    <cfRule type="duplicateValues" dxfId="1" priority="585"/>
  </conditionalFormatting>
  <conditionalFormatting sqref="B3249">
    <cfRule type="duplicateValues" dxfId="1" priority="584"/>
  </conditionalFormatting>
  <conditionalFormatting sqref="B3250">
    <cfRule type="duplicateValues" dxfId="1" priority="583"/>
  </conditionalFormatting>
  <conditionalFormatting sqref="B3251">
    <cfRule type="duplicateValues" dxfId="1" priority="582"/>
  </conditionalFormatting>
  <conditionalFormatting sqref="B3252">
    <cfRule type="duplicateValues" dxfId="1" priority="581"/>
  </conditionalFormatting>
  <conditionalFormatting sqref="B3253">
    <cfRule type="duplicateValues" dxfId="1" priority="580"/>
  </conditionalFormatting>
  <conditionalFormatting sqref="B3254">
    <cfRule type="duplicateValues" dxfId="1" priority="579"/>
  </conditionalFormatting>
  <conditionalFormatting sqref="B3255">
    <cfRule type="duplicateValues" dxfId="1" priority="578"/>
  </conditionalFormatting>
  <conditionalFormatting sqref="B3256">
    <cfRule type="duplicateValues" dxfId="1" priority="577"/>
  </conditionalFormatting>
  <conditionalFormatting sqref="B3257">
    <cfRule type="duplicateValues" dxfId="1" priority="576"/>
  </conditionalFormatting>
  <conditionalFormatting sqref="B3258">
    <cfRule type="duplicateValues" dxfId="1" priority="575"/>
  </conditionalFormatting>
  <conditionalFormatting sqref="B3259">
    <cfRule type="duplicateValues" dxfId="1" priority="574"/>
  </conditionalFormatting>
  <conditionalFormatting sqref="B3260">
    <cfRule type="duplicateValues" dxfId="1" priority="573"/>
  </conditionalFormatting>
  <conditionalFormatting sqref="B3261">
    <cfRule type="duplicateValues" dxfId="1" priority="572"/>
  </conditionalFormatting>
  <conditionalFormatting sqref="B3262">
    <cfRule type="duplicateValues" dxfId="1" priority="571"/>
  </conditionalFormatting>
  <conditionalFormatting sqref="B3263">
    <cfRule type="duplicateValues" dxfId="1" priority="570"/>
  </conditionalFormatting>
  <conditionalFormatting sqref="B3264">
    <cfRule type="duplicateValues" dxfId="1" priority="569"/>
  </conditionalFormatting>
  <conditionalFormatting sqref="B3265">
    <cfRule type="duplicateValues" dxfId="1" priority="568"/>
  </conditionalFormatting>
  <conditionalFormatting sqref="B3266">
    <cfRule type="duplicateValues" dxfId="1" priority="567"/>
  </conditionalFormatting>
  <conditionalFormatting sqref="B3267">
    <cfRule type="duplicateValues" dxfId="1" priority="566"/>
  </conditionalFormatting>
  <conditionalFormatting sqref="B3268">
    <cfRule type="duplicateValues" dxfId="1" priority="565"/>
  </conditionalFormatting>
  <conditionalFormatting sqref="B3269">
    <cfRule type="duplicateValues" dxfId="1" priority="564"/>
  </conditionalFormatting>
  <conditionalFormatting sqref="B3270">
    <cfRule type="duplicateValues" dxfId="1" priority="563"/>
  </conditionalFormatting>
  <conditionalFormatting sqref="B3271">
    <cfRule type="duplicateValues" dxfId="1" priority="562"/>
  </conditionalFormatting>
  <conditionalFormatting sqref="B3272">
    <cfRule type="duplicateValues" dxfId="1" priority="561"/>
  </conditionalFormatting>
  <conditionalFormatting sqref="B3273">
    <cfRule type="duplicateValues" dxfId="1" priority="560"/>
  </conditionalFormatting>
  <conditionalFormatting sqref="B3274">
    <cfRule type="duplicateValues" dxfId="1" priority="559"/>
  </conditionalFormatting>
  <conditionalFormatting sqref="B3275">
    <cfRule type="duplicateValues" dxfId="1" priority="558"/>
  </conditionalFormatting>
  <conditionalFormatting sqref="B3276">
    <cfRule type="duplicateValues" dxfId="1" priority="557"/>
  </conditionalFormatting>
  <conditionalFormatting sqref="B3277">
    <cfRule type="duplicateValues" dxfId="1" priority="556"/>
  </conditionalFormatting>
  <conditionalFormatting sqref="B3278">
    <cfRule type="duplicateValues" dxfId="1" priority="555"/>
  </conditionalFormatting>
  <conditionalFormatting sqref="B3279">
    <cfRule type="duplicateValues" dxfId="1" priority="554"/>
  </conditionalFormatting>
  <conditionalFormatting sqref="B3280">
    <cfRule type="duplicateValues" dxfId="1" priority="553"/>
  </conditionalFormatting>
  <conditionalFormatting sqref="B3281">
    <cfRule type="duplicateValues" dxfId="1" priority="552"/>
  </conditionalFormatting>
  <conditionalFormatting sqref="B3282">
    <cfRule type="duplicateValues" dxfId="1" priority="551"/>
  </conditionalFormatting>
  <conditionalFormatting sqref="B3283">
    <cfRule type="duplicateValues" dxfId="1" priority="550"/>
  </conditionalFormatting>
  <conditionalFormatting sqref="B3284">
    <cfRule type="duplicateValues" dxfId="1" priority="549"/>
  </conditionalFormatting>
  <conditionalFormatting sqref="B3285">
    <cfRule type="duplicateValues" dxfId="1" priority="548"/>
  </conditionalFormatting>
  <conditionalFormatting sqref="B3286">
    <cfRule type="duplicateValues" dxfId="1" priority="547"/>
  </conditionalFormatting>
  <conditionalFormatting sqref="B3287">
    <cfRule type="duplicateValues" dxfId="1" priority="546"/>
  </conditionalFormatting>
  <conditionalFormatting sqref="B3288">
    <cfRule type="duplicateValues" dxfId="1" priority="545"/>
  </conditionalFormatting>
  <conditionalFormatting sqref="B3289">
    <cfRule type="duplicateValues" dxfId="1" priority="544"/>
  </conditionalFormatting>
  <conditionalFormatting sqref="B3290">
    <cfRule type="duplicateValues" dxfId="1" priority="543"/>
  </conditionalFormatting>
  <conditionalFormatting sqref="B3291">
    <cfRule type="duplicateValues" dxfId="1" priority="542"/>
  </conditionalFormatting>
  <conditionalFormatting sqref="B3292">
    <cfRule type="duplicateValues" dxfId="1" priority="541"/>
  </conditionalFormatting>
  <conditionalFormatting sqref="B3293">
    <cfRule type="duplicateValues" dxfId="1" priority="540"/>
  </conditionalFormatting>
  <conditionalFormatting sqref="B3294">
    <cfRule type="duplicateValues" dxfId="1" priority="539"/>
  </conditionalFormatting>
  <conditionalFormatting sqref="B3295">
    <cfRule type="duplicateValues" dxfId="1" priority="538"/>
  </conditionalFormatting>
  <conditionalFormatting sqref="B3296">
    <cfRule type="duplicateValues" dxfId="1" priority="537"/>
  </conditionalFormatting>
  <conditionalFormatting sqref="B3297">
    <cfRule type="duplicateValues" dxfId="1" priority="536"/>
  </conditionalFormatting>
  <conditionalFormatting sqref="B3298">
    <cfRule type="duplicateValues" dxfId="1" priority="535"/>
  </conditionalFormatting>
  <conditionalFormatting sqref="B3299">
    <cfRule type="duplicateValues" dxfId="1" priority="534"/>
  </conditionalFormatting>
  <conditionalFormatting sqref="B3300">
    <cfRule type="duplicateValues" dxfId="1" priority="533"/>
  </conditionalFormatting>
  <conditionalFormatting sqref="B3301">
    <cfRule type="duplicateValues" dxfId="1" priority="532"/>
  </conditionalFormatting>
  <conditionalFormatting sqref="B3302">
    <cfRule type="duplicateValues" dxfId="1" priority="531"/>
  </conditionalFormatting>
  <conditionalFormatting sqref="B3303">
    <cfRule type="duplicateValues" dxfId="1" priority="530"/>
  </conditionalFormatting>
  <conditionalFormatting sqref="B3304">
    <cfRule type="duplicateValues" dxfId="1" priority="529"/>
  </conditionalFormatting>
  <conditionalFormatting sqref="B3305">
    <cfRule type="duplicateValues" dxfId="1" priority="528"/>
  </conditionalFormatting>
  <conditionalFormatting sqref="B3306">
    <cfRule type="duplicateValues" dxfId="1" priority="527"/>
  </conditionalFormatting>
  <conditionalFormatting sqref="B3307">
    <cfRule type="duplicateValues" dxfId="1" priority="526"/>
  </conditionalFormatting>
  <conditionalFormatting sqref="B3308">
    <cfRule type="duplicateValues" dxfId="1" priority="525"/>
  </conditionalFormatting>
  <conditionalFormatting sqref="B3309">
    <cfRule type="duplicateValues" dxfId="1" priority="524"/>
  </conditionalFormatting>
  <conditionalFormatting sqref="B3310">
    <cfRule type="duplicateValues" dxfId="1" priority="523"/>
  </conditionalFormatting>
  <conditionalFormatting sqref="B3311">
    <cfRule type="duplicateValues" dxfId="1" priority="522"/>
  </conditionalFormatting>
  <conditionalFormatting sqref="B3312">
    <cfRule type="duplicateValues" dxfId="1" priority="521"/>
  </conditionalFormatting>
  <conditionalFormatting sqref="B3313">
    <cfRule type="duplicateValues" dxfId="1" priority="520"/>
  </conditionalFormatting>
  <conditionalFormatting sqref="B3314">
    <cfRule type="duplicateValues" dxfId="1" priority="519"/>
  </conditionalFormatting>
  <conditionalFormatting sqref="B3315">
    <cfRule type="duplicateValues" dxfId="1" priority="518"/>
  </conditionalFormatting>
  <conditionalFormatting sqref="B3316">
    <cfRule type="duplicateValues" dxfId="1" priority="517"/>
  </conditionalFormatting>
  <conditionalFormatting sqref="B3317">
    <cfRule type="duplicateValues" dxfId="1" priority="516"/>
  </conditionalFormatting>
  <conditionalFormatting sqref="B3318">
    <cfRule type="duplicateValues" dxfId="1" priority="515"/>
  </conditionalFormatting>
  <conditionalFormatting sqref="B3319">
    <cfRule type="duplicateValues" dxfId="1" priority="514"/>
  </conditionalFormatting>
  <conditionalFormatting sqref="B3320">
    <cfRule type="duplicateValues" dxfId="1" priority="513"/>
  </conditionalFormatting>
  <conditionalFormatting sqref="B3321">
    <cfRule type="duplicateValues" dxfId="1" priority="512"/>
  </conditionalFormatting>
  <conditionalFormatting sqref="B3322">
    <cfRule type="duplicateValues" dxfId="1" priority="511"/>
  </conditionalFormatting>
  <conditionalFormatting sqref="B3323">
    <cfRule type="duplicateValues" dxfId="1" priority="510"/>
  </conditionalFormatting>
  <conditionalFormatting sqref="B3324">
    <cfRule type="duplicateValues" dxfId="1" priority="509"/>
  </conditionalFormatting>
  <conditionalFormatting sqref="B3325">
    <cfRule type="duplicateValues" dxfId="1" priority="508"/>
  </conditionalFormatting>
  <conditionalFormatting sqref="B3326">
    <cfRule type="duplicateValues" dxfId="1" priority="507"/>
  </conditionalFormatting>
  <conditionalFormatting sqref="B3327">
    <cfRule type="duplicateValues" dxfId="1" priority="506"/>
  </conditionalFormatting>
  <conditionalFormatting sqref="B3328">
    <cfRule type="duplicateValues" dxfId="1" priority="505"/>
  </conditionalFormatting>
  <conditionalFormatting sqref="B3329">
    <cfRule type="duplicateValues" dxfId="1" priority="504"/>
  </conditionalFormatting>
  <conditionalFormatting sqref="B3330">
    <cfRule type="duplicateValues" dxfId="1" priority="503"/>
  </conditionalFormatting>
  <conditionalFormatting sqref="B3331">
    <cfRule type="duplicateValues" dxfId="1" priority="502"/>
  </conditionalFormatting>
  <conditionalFormatting sqref="B3332">
    <cfRule type="duplicateValues" dxfId="1" priority="501"/>
  </conditionalFormatting>
  <conditionalFormatting sqref="B3333">
    <cfRule type="duplicateValues" dxfId="1" priority="500"/>
  </conditionalFormatting>
  <conditionalFormatting sqref="B3334">
    <cfRule type="duplicateValues" dxfId="1" priority="499"/>
  </conditionalFormatting>
  <conditionalFormatting sqref="B3335">
    <cfRule type="duplicateValues" dxfId="1" priority="498"/>
  </conditionalFormatting>
  <conditionalFormatting sqref="B3336">
    <cfRule type="duplicateValues" dxfId="1" priority="497"/>
  </conditionalFormatting>
  <conditionalFormatting sqref="B3337">
    <cfRule type="duplicateValues" dxfId="1" priority="496"/>
  </conditionalFormatting>
  <conditionalFormatting sqref="B3338">
    <cfRule type="duplicateValues" dxfId="1" priority="495"/>
  </conditionalFormatting>
  <conditionalFormatting sqref="B3339">
    <cfRule type="duplicateValues" dxfId="1" priority="494"/>
  </conditionalFormatting>
  <conditionalFormatting sqref="B3340">
    <cfRule type="duplicateValues" dxfId="1" priority="493"/>
  </conditionalFormatting>
  <conditionalFormatting sqref="B3341">
    <cfRule type="duplicateValues" dxfId="1" priority="492"/>
  </conditionalFormatting>
  <conditionalFormatting sqref="B3342">
    <cfRule type="duplicateValues" dxfId="1" priority="491"/>
  </conditionalFormatting>
  <conditionalFormatting sqref="B3343">
    <cfRule type="duplicateValues" dxfId="1" priority="490"/>
  </conditionalFormatting>
  <conditionalFormatting sqref="B3344">
    <cfRule type="duplicateValues" dxfId="1" priority="489"/>
  </conditionalFormatting>
  <conditionalFormatting sqref="B3345">
    <cfRule type="duplicateValues" dxfId="1" priority="488"/>
  </conditionalFormatting>
  <conditionalFormatting sqref="B3346">
    <cfRule type="duplicateValues" dxfId="1" priority="487"/>
  </conditionalFormatting>
  <conditionalFormatting sqref="B3347">
    <cfRule type="duplicateValues" dxfId="1" priority="486"/>
  </conditionalFormatting>
  <conditionalFormatting sqref="B3348">
    <cfRule type="duplicateValues" dxfId="1" priority="485"/>
  </conditionalFormatting>
  <conditionalFormatting sqref="B3349">
    <cfRule type="duplicateValues" dxfId="1" priority="484"/>
  </conditionalFormatting>
  <conditionalFormatting sqref="B3350">
    <cfRule type="duplicateValues" dxfId="1" priority="483"/>
  </conditionalFormatting>
  <conditionalFormatting sqref="B3351">
    <cfRule type="duplicateValues" dxfId="1" priority="482"/>
  </conditionalFormatting>
  <conditionalFormatting sqref="B3352">
    <cfRule type="duplicateValues" dxfId="1" priority="481"/>
  </conditionalFormatting>
  <conditionalFormatting sqref="B3353">
    <cfRule type="duplicateValues" dxfId="1" priority="480"/>
  </conditionalFormatting>
  <conditionalFormatting sqref="B3354">
    <cfRule type="duplicateValues" dxfId="1" priority="479"/>
  </conditionalFormatting>
  <conditionalFormatting sqref="B3355">
    <cfRule type="duplicateValues" dxfId="1" priority="478"/>
  </conditionalFormatting>
  <conditionalFormatting sqref="B3356">
    <cfRule type="duplicateValues" dxfId="1" priority="477"/>
  </conditionalFormatting>
  <conditionalFormatting sqref="B3357">
    <cfRule type="duplicateValues" dxfId="1" priority="476"/>
  </conditionalFormatting>
  <conditionalFormatting sqref="B3358">
    <cfRule type="duplicateValues" dxfId="1" priority="475"/>
  </conditionalFormatting>
  <conditionalFormatting sqref="B3359">
    <cfRule type="duplicateValues" dxfId="1" priority="474"/>
  </conditionalFormatting>
  <conditionalFormatting sqref="B3360">
    <cfRule type="duplicateValues" dxfId="1" priority="473"/>
  </conditionalFormatting>
  <conditionalFormatting sqref="B3361">
    <cfRule type="duplicateValues" dxfId="1" priority="472"/>
  </conditionalFormatting>
  <conditionalFormatting sqref="B3362">
    <cfRule type="duplicateValues" dxfId="1" priority="471"/>
  </conditionalFormatting>
  <conditionalFormatting sqref="B3363">
    <cfRule type="duplicateValues" dxfId="1" priority="470"/>
  </conditionalFormatting>
  <conditionalFormatting sqref="B3364">
    <cfRule type="duplicateValues" dxfId="1" priority="469"/>
  </conditionalFormatting>
  <conditionalFormatting sqref="B3365">
    <cfRule type="duplicateValues" dxfId="1" priority="468"/>
  </conditionalFormatting>
  <conditionalFormatting sqref="B3366">
    <cfRule type="duplicateValues" dxfId="1" priority="467"/>
  </conditionalFormatting>
  <conditionalFormatting sqref="B3367">
    <cfRule type="duplicateValues" dxfId="1" priority="466"/>
  </conditionalFormatting>
  <conditionalFormatting sqref="B3368">
    <cfRule type="duplicateValues" dxfId="1" priority="465"/>
  </conditionalFormatting>
  <conditionalFormatting sqref="B3369">
    <cfRule type="duplicateValues" dxfId="1" priority="464"/>
  </conditionalFormatting>
  <conditionalFormatting sqref="B3370">
    <cfRule type="duplicateValues" dxfId="1" priority="463"/>
  </conditionalFormatting>
  <conditionalFormatting sqref="B3371">
    <cfRule type="duplicateValues" dxfId="1" priority="462"/>
  </conditionalFormatting>
  <conditionalFormatting sqref="B3372">
    <cfRule type="duplicateValues" dxfId="1" priority="461"/>
  </conditionalFormatting>
  <conditionalFormatting sqref="B3373">
    <cfRule type="duplicateValues" dxfId="1" priority="460"/>
  </conditionalFormatting>
  <conditionalFormatting sqref="B3374">
    <cfRule type="duplicateValues" dxfId="1" priority="459"/>
  </conditionalFormatting>
  <conditionalFormatting sqref="B3375">
    <cfRule type="duplicateValues" dxfId="1" priority="458"/>
  </conditionalFormatting>
  <conditionalFormatting sqref="B3376">
    <cfRule type="duplicateValues" dxfId="1" priority="457"/>
  </conditionalFormatting>
  <conditionalFormatting sqref="B3377">
    <cfRule type="duplicateValues" dxfId="1" priority="456"/>
  </conditionalFormatting>
  <conditionalFormatting sqref="B3378">
    <cfRule type="duplicateValues" dxfId="1" priority="455"/>
  </conditionalFormatting>
  <conditionalFormatting sqref="B3379">
    <cfRule type="duplicateValues" dxfId="1" priority="454"/>
  </conditionalFormatting>
  <conditionalFormatting sqref="B3380">
    <cfRule type="duplicateValues" dxfId="1" priority="453"/>
  </conditionalFormatting>
  <conditionalFormatting sqref="B3381">
    <cfRule type="duplicateValues" dxfId="1" priority="452"/>
  </conditionalFormatting>
  <conditionalFormatting sqref="B3382">
    <cfRule type="duplicateValues" dxfId="1" priority="451"/>
  </conditionalFormatting>
  <conditionalFormatting sqref="B3383">
    <cfRule type="duplicateValues" dxfId="1" priority="450"/>
  </conditionalFormatting>
  <conditionalFormatting sqref="B3384">
    <cfRule type="duplicateValues" dxfId="1" priority="449"/>
  </conditionalFormatting>
  <conditionalFormatting sqref="B3385">
    <cfRule type="duplicateValues" dxfId="1" priority="448"/>
  </conditionalFormatting>
  <conditionalFormatting sqref="B3386">
    <cfRule type="duplicateValues" dxfId="1" priority="447"/>
  </conditionalFormatting>
  <conditionalFormatting sqref="B3387">
    <cfRule type="duplicateValues" dxfId="1" priority="446"/>
  </conditionalFormatting>
  <conditionalFormatting sqref="B3388">
    <cfRule type="duplicateValues" dxfId="1" priority="445"/>
  </conditionalFormatting>
  <conditionalFormatting sqref="B3389">
    <cfRule type="duplicateValues" dxfId="1" priority="444"/>
  </conditionalFormatting>
  <conditionalFormatting sqref="B3390">
    <cfRule type="duplicateValues" dxfId="1" priority="443"/>
  </conditionalFormatting>
  <conditionalFormatting sqref="B3391">
    <cfRule type="duplicateValues" dxfId="1" priority="442"/>
  </conditionalFormatting>
  <conditionalFormatting sqref="B3392">
    <cfRule type="duplicateValues" dxfId="1" priority="441"/>
  </conditionalFormatting>
  <conditionalFormatting sqref="B3393">
    <cfRule type="duplicateValues" dxfId="1" priority="440"/>
  </conditionalFormatting>
  <conditionalFormatting sqref="B3394">
    <cfRule type="duplicateValues" dxfId="1" priority="439"/>
  </conditionalFormatting>
  <conditionalFormatting sqref="B3395">
    <cfRule type="duplicateValues" dxfId="1" priority="438"/>
  </conditionalFormatting>
  <conditionalFormatting sqref="B3396">
    <cfRule type="duplicateValues" dxfId="1" priority="437"/>
  </conditionalFormatting>
  <conditionalFormatting sqref="B3397">
    <cfRule type="duplicateValues" dxfId="1" priority="436"/>
  </conditionalFormatting>
  <conditionalFormatting sqref="B3398">
    <cfRule type="duplicateValues" dxfId="1" priority="435"/>
  </conditionalFormatting>
  <conditionalFormatting sqref="B3399">
    <cfRule type="duplicateValues" dxfId="1" priority="434"/>
  </conditionalFormatting>
  <conditionalFormatting sqref="B3400">
    <cfRule type="duplicateValues" dxfId="1" priority="433"/>
  </conditionalFormatting>
  <conditionalFormatting sqref="B3401">
    <cfRule type="duplicateValues" dxfId="1" priority="432"/>
  </conditionalFormatting>
  <conditionalFormatting sqref="B3402">
    <cfRule type="duplicateValues" dxfId="1" priority="431"/>
  </conditionalFormatting>
  <conditionalFormatting sqref="B3403">
    <cfRule type="duplicateValues" dxfId="1" priority="430"/>
  </conditionalFormatting>
  <conditionalFormatting sqref="B3404">
    <cfRule type="duplicateValues" dxfId="1" priority="429"/>
  </conditionalFormatting>
  <conditionalFormatting sqref="B3405">
    <cfRule type="duplicateValues" dxfId="1" priority="428"/>
  </conditionalFormatting>
  <conditionalFormatting sqref="B3406">
    <cfRule type="duplicateValues" dxfId="1" priority="427"/>
  </conditionalFormatting>
  <conditionalFormatting sqref="B3407">
    <cfRule type="duplicateValues" dxfId="1" priority="426"/>
  </conditionalFormatting>
  <conditionalFormatting sqref="B3408">
    <cfRule type="duplicateValues" dxfId="1" priority="425"/>
  </conditionalFormatting>
  <conditionalFormatting sqref="B3409">
    <cfRule type="duplicateValues" dxfId="1" priority="424"/>
  </conditionalFormatting>
  <conditionalFormatting sqref="B3410">
    <cfRule type="duplicateValues" dxfId="1" priority="423"/>
  </conditionalFormatting>
  <conditionalFormatting sqref="B3411">
    <cfRule type="duplicateValues" dxfId="1" priority="422"/>
  </conditionalFormatting>
  <conditionalFormatting sqref="B3412">
    <cfRule type="duplicateValues" dxfId="1" priority="421"/>
  </conditionalFormatting>
  <conditionalFormatting sqref="B3413">
    <cfRule type="duplicateValues" dxfId="1" priority="420"/>
  </conditionalFormatting>
  <conditionalFormatting sqref="B3414">
    <cfRule type="duplicateValues" dxfId="1" priority="419"/>
  </conditionalFormatting>
  <conditionalFormatting sqref="B3415">
    <cfRule type="duplicateValues" dxfId="1" priority="418"/>
  </conditionalFormatting>
  <conditionalFormatting sqref="B3416">
    <cfRule type="duplicateValues" dxfId="1" priority="417"/>
  </conditionalFormatting>
  <conditionalFormatting sqref="B3417">
    <cfRule type="duplicateValues" dxfId="1" priority="416"/>
  </conditionalFormatting>
  <conditionalFormatting sqref="B3418">
    <cfRule type="duplicateValues" dxfId="1" priority="415"/>
  </conditionalFormatting>
  <conditionalFormatting sqref="B3419">
    <cfRule type="duplicateValues" dxfId="1" priority="414"/>
  </conditionalFormatting>
  <conditionalFormatting sqref="B3420">
    <cfRule type="duplicateValues" dxfId="1" priority="413"/>
  </conditionalFormatting>
  <conditionalFormatting sqref="B3421">
    <cfRule type="duplicateValues" dxfId="1" priority="412"/>
  </conditionalFormatting>
  <conditionalFormatting sqref="B3422">
    <cfRule type="duplicateValues" dxfId="1" priority="411"/>
  </conditionalFormatting>
  <conditionalFormatting sqref="B3423">
    <cfRule type="duplicateValues" dxfId="1" priority="410"/>
  </conditionalFormatting>
  <conditionalFormatting sqref="B3424">
    <cfRule type="duplicateValues" dxfId="1" priority="409"/>
  </conditionalFormatting>
  <conditionalFormatting sqref="B3425">
    <cfRule type="duplicateValues" dxfId="1" priority="408"/>
  </conditionalFormatting>
  <conditionalFormatting sqref="B3426">
    <cfRule type="duplicateValues" dxfId="1" priority="407"/>
  </conditionalFormatting>
  <conditionalFormatting sqref="B3427">
    <cfRule type="duplicateValues" dxfId="1" priority="406"/>
  </conditionalFormatting>
  <conditionalFormatting sqref="B3428">
    <cfRule type="duplicateValues" dxfId="1" priority="405"/>
  </conditionalFormatting>
  <conditionalFormatting sqref="B3429">
    <cfRule type="duplicateValues" dxfId="1" priority="404"/>
  </conditionalFormatting>
  <conditionalFormatting sqref="B3430">
    <cfRule type="duplicateValues" dxfId="1" priority="403"/>
  </conditionalFormatting>
  <conditionalFormatting sqref="B3431">
    <cfRule type="duplicateValues" dxfId="1" priority="402"/>
  </conditionalFormatting>
  <conditionalFormatting sqref="B3432">
    <cfRule type="duplicateValues" dxfId="1" priority="401"/>
  </conditionalFormatting>
  <conditionalFormatting sqref="B3433">
    <cfRule type="duplicateValues" dxfId="1" priority="400"/>
  </conditionalFormatting>
  <conditionalFormatting sqref="B3434">
    <cfRule type="duplicateValues" dxfId="1" priority="399"/>
  </conditionalFormatting>
  <conditionalFormatting sqref="B3435">
    <cfRule type="duplicateValues" dxfId="1" priority="398"/>
  </conditionalFormatting>
  <conditionalFormatting sqref="B3436">
    <cfRule type="duplicateValues" dxfId="1" priority="397"/>
  </conditionalFormatting>
  <conditionalFormatting sqref="B3437">
    <cfRule type="duplicateValues" dxfId="1" priority="396"/>
  </conditionalFormatting>
  <conditionalFormatting sqref="B3438">
    <cfRule type="duplicateValues" dxfId="1" priority="395"/>
  </conditionalFormatting>
  <conditionalFormatting sqref="B3439">
    <cfRule type="duplicateValues" dxfId="1" priority="394"/>
  </conditionalFormatting>
  <conditionalFormatting sqref="B3440">
    <cfRule type="duplicateValues" dxfId="1" priority="393"/>
  </conditionalFormatting>
  <conditionalFormatting sqref="B3441">
    <cfRule type="duplicateValues" dxfId="1" priority="392"/>
  </conditionalFormatting>
  <conditionalFormatting sqref="B3442">
    <cfRule type="duplicateValues" dxfId="1" priority="391"/>
  </conditionalFormatting>
  <conditionalFormatting sqref="B3443">
    <cfRule type="duplicateValues" dxfId="1" priority="390"/>
  </conditionalFormatting>
  <conditionalFormatting sqref="B3444">
    <cfRule type="duplicateValues" dxfId="1" priority="389"/>
  </conditionalFormatting>
  <conditionalFormatting sqref="B3445">
    <cfRule type="duplicateValues" dxfId="1" priority="388"/>
  </conditionalFormatting>
  <conditionalFormatting sqref="B3446">
    <cfRule type="duplicateValues" dxfId="1" priority="387"/>
  </conditionalFormatting>
  <conditionalFormatting sqref="B3447">
    <cfRule type="duplicateValues" dxfId="1" priority="386"/>
  </conditionalFormatting>
  <conditionalFormatting sqref="B3448">
    <cfRule type="duplicateValues" dxfId="1" priority="385"/>
  </conditionalFormatting>
  <conditionalFormatting sqref="B3449">
    <cfRule type="duplicateValues" dxfId="1" priority="384"/>
  </conditionalFormatting>
  <conditionalFormatting sqref="B3450">
    <cfRule type="duplicateValues" dxfId="1" priority="383"/>
  </conditionalFormatting>
  <conditionalFormatting sqref="B3451">
    <cfRule type="duplicateValues" dxfId="1" priority="382"/>
  </conditionalFormatting>
  <conditionalFormatting sqref="B3452">
    <cfRule type="duplicateValues" dxfId="1" priority="381"/>
  </conditionalFormatting>
  <conditionalFormatting sqref="B3453">
    <cfRule type="duplicateValues" dxfId="1" priority="380"/>
  </conditionalFormatting>
  <conditionalFormatting sqref="B3454">
    <cfRule type="duplicateValues" dxfId="1" priority="379"/>
  </conditionalFormatting>
  <conditionalFormatting sqref="B3455">
    <cfRule type="duplicateValues" dxfId="1" priority="378"/>
  </conditionalFormatting>
  <conditionalFormatting sqref="B3456">
    <cfRule type="duplicateValues" dxfId="1" priority="377"/>
  </conditionalFormatting>
  <conditionalFormatting sqref="B3457">
    <cfRule type="duplicateValues" dxfId="1" priority="376"/>
  </conditionalFormatting>
  <conditionalFormatting sqref="B3458">
    <cfRule type="duplicateValues" dxfId="1" priority="375"/>
  </conditionalFormatting>
  <conditionalFormatting sqref="B3459">
    <cfRule type="duplicateValues" dxfId="1" priority="374"/>
  </conditionalFormatting>
  <conditionalFormatting sqref="B3460">
    <cfRule type="duplicateValues" dxfId="1" priority="373"/>
  </conditionalFormatting>
  <conditionalFormatting sqref="B3461">
    <cfRule type="duplicateValues" dxfId="1" priority="372"/>
  </conditionalFormatting>
  <conditionalFormatting sqref="B3462">
    <cfRule type="duplicateValues" dxfId="1" priority="371"/>
  </conditionalFormatting>
  <conditionalFormatting sqref="B3463">
    <cfRule type="duplicateValues" dxfId="1" priority="370"/>
  </conditionalFormatting>
  <conditionalFormatting sqref="B3464">
    <cfRule type="duplicateValues" dxfId="1" priority="369"/>
  </conditionalFormatting>
  <conditionalFormatting sqref="B3465">
    <cfRule type="duplicateValues" dxfId="1" priority="368"/>
  </conditionalFormatting>
  <conditionalFormatting sqref="B3466">
    <cfRule type="duplicateValues" dxfId="1" priority="367"/>
  </conditionalFormatting>
  <conditionalFormatting sqref="B3467">
    <cfRule type="duplicateValues" dxfId="1" priority="366"/>
  </conditionalFormatting>
  <conditionalFormatting sqref="B3468">
    <cfRule type="duplicateValues" dxfId="1" priority="365"/>
  </conditionalFormatting>
  <conditionalFormatting sqref="B3469">
    <cfRule type="duplicateValues" dxfId="1" priority="364"/>
  </conditionalFormatting>
  <conditionalFormatting sqref="B3470">
    <cfRule type="duplicateValues" dxfId="1" priority="363"/>
  </conditionalFormatting>
  <conditionalFormatting sqref="B3471">
    <cfRule type="duplicateValues" dxfId="1" priority="362"/>
  </conditionalFormatting>
  <conditionalFormatting sqref="B3472">
    <cfRule type="duplicateValues" dxfId="1" priority="361"/>
  </conditionalFormatting>
  <conditionalFormatting sqref="B3473">
    <cfRule type="duplicateValues" dxfId="1" priority="360"/>
  </conditionalFormatting>
  <conditionalFormatting sqref="B3474">
    <cfRule type="duplicateValues" dxfId="1" priority="359"/>
  </conditionalFormatting>
  <conditionalFormatting sqref="B3475">
    <cfRule type="duplicateValues" dxfId="1" priority="358"/>
  </conditionalFormatting>
  <conditionalFormatting sqref="B3476">
    <cfRule type="duplicateValues" dxfId="1" priority="357"/>
  </conditionalFormatting>
  <conditionalFormatting sqref="B3477">
    <cfRule type="duplicateValues" dxfId="1" priority="356"/>
  </conditionalFormatting>
  <conditionalFormatting sqref="B3478">
    <cfRule type="duplicateValues" dxfId="1" priority="355"/>
  </conditionalFormatting>
  <conditionalFormatting sqref="B3479">
    <cfRule type="duplicateValues" dxfId="1" priority="354"/>
  </conditionalFormatting>
  <conditionalFormatting sqref="B3480">
    <cfRule type="duplicateValues" dxfId="1" priority="353"/>
  </conditionalFormatting>
  <conditionalFormatting sqref="B3481">
    <cfRule type="duplicateValues" dxfId="1" priority="352"/>
  </conditionalFormatting>
  <conditionalFormatting sqref="B3482">
    <cfRule type="duplicateValues" dxfId="1" priority="351"/>
  </conditionalFormatting>
  <conditionalFormatting sqref="B3483">
    <cfRule type="duplicateValues" dxfId="1" priority="350"/>
  </conditionalFormatting>
  <conditionalFormatting sqref="B3484">
    <cfRule type="duplicateValues" dxfId="1" priority="349"/>
  </conditionalFormatting>
  <conditionalFormatting sqref="B3485">
    <cfRule type="duplicateValues" dxfId="1" priority="348"/>
  </conditionalFormatting>
  <conditionalFormatting sqref="B3486">
    <cfRule type="duplicateValues" dxfId="1" priority="347"/>
  </conditionalFormatting>
  <conditionalFormatting sqref="B3487">
    <cfRule type="duplicateValues" dxfId="1" priority="346"/>
  </conditionalFormatting>
  <conditionalFormatting sqref="B3488">
    <cfRule type="duplicateValues" dxfId="1" priority="345"/>
  </conditionalFormatting>
  <conditionalFormatting sqref="B3489">
    <cfRule type="duplicateValues" dxfId="1" priority="344"/>
  </conditionalFormatting>
  <conditionalFormatting sqref="B3490">
    <cfRule type="duplicateValues" dxfId="1" priority="343"/>
  </conditionalFormatting>
  <conditionalFormatting sqref="B3491">
    <cfRule type="duplicateValues" dxfId="1" priority="342"/>
  </conditionalFormatting>
  <conditionalFormatting sqref="B3492">
    <cfRule type="duplicateValues" dxfId="1" priority="341"/>
  </conditionalFormatting>
  <conditionalFormatting sqref="B3493">
    <cfRule type="duplicateValues" dxfId="1" priority="340"/>
  </conditionalFormatting>
  <conditionalFormatting sqref="B3494">
    <cfRule type="duplicateValues" dxfId="1" priority="339"/>
  </conditionalFormatting>
  <conditionalFormatting sqref="B3495">
    <cfRule type="duplicateValues" dxfId="1" priority="338"/>
  </conditionalFormatting>
  <conditionalFormatting sqref="B3496">
    <cfRule type="duplicateValues" dxfId="1" priority="337"/>
  </conditionalFormatting>
  <conditionalFormatting sqref="B3497">
    <cfRule type="duplicateValues" dxfId="1" priority="336"/>
  </conditionalFormatting>
  <conditionalFormatting sqref="B3498">
    <cfRule type="duplicateValues" dxfId="1" priority="335"/>
  </conditionalFormatting>
  <conditionalFormatting sqref="B3499">
    <cfRule type="duplicateValues" dxfId="1" priority="334"/>
  </conditionalFormatting>
  <conditionalFormatting sqref="B3500">
    <cfRule type="duplicateValues" dxfId="1" priority="333"/>
  </conditionalFormatting>
  <conditionalFormatting sqref="B3501">
    <cfRule type="duplicateValues" dxfId="1" priority="332"/>
  </conditionalFormatting>
  <conditionalFormatting sqref="B3502">
    <cfRule type="duplicateValues" dxfId="1" priority="331"/>
  </conditionalFormatting>
  <conditionalFormatting sqref="B3503">
    <cfRule type="duplicateValues" dxfId="1" priority="330"/>
  </conditionalFormatting>
  <conditionalFormatting sqref="B3504">
    <cfRule type="duplicateValues" dxfId="1" priority="329"/>
  </conditionalFormatting>
  <conditionalFormatting sqref="B3505">
    <cfRule type="duplicateValues" dxfId="1" priority="328"/>
  </conditionalFormatting>
  <conditionalFormatting sqref="B3506">
    <cfRule type="duplicateValues" dxfId="1" priority="327"/>
  </conditionalFormatting>
  <conditionalFormatting sqref="B3507">
    <cfRule type="duplicateValues" dxfId="1" priority="326"/>
  </conditionalFormatting>
  <conditionalFormatting sqref="B3508">
    <cfRule type="duplicateValues" dxfId="1" priority="325"/>
  </conditionalFormatting>
  <conditionalFormatting sqref="B3509">
    <cfRule type="duplicateValues" dxfId="1" priority="324"/>
  </conditionalFormatting>
  <conditionalFormatting sqref="B3510">
    <cfRule type="duplicateValues" dxfId="1" priority="323"/>
  </conditionalFormatting>
  <conditionalFormatting sqref="B3511">
    <cfRule type="duplicateValues" dxfId="1" priority="322"/>
  </conditionalFormatting>
  <conditionalFormatting sqref="B3512">
    <cfRule type="duplicateValues" dxfId="1" priority="321"/>
  </conditionalFormatting>
  <conditionalFormatting sqref="B3513">
    <cfRule type="duplicateValues" dxfId="1" priority="320"/>
  </conditionalFormatting>
  <conditionalFormatting sqref="B3514">
    <cfRule type="duplicateValues" dxfId="1" priority="319"/>
  </conditionalFormatting>
  <conditionalFormatting sqref="B3515">
    <cfRule type="duplicateValues" dxfId="1" priority="318"/>
  </conditionalFormatting>
  <conditionalFormatting sqref="B3516">
    <cfRule type="duplicateValues" dxfId="1" priority="317"/>
  </conditionalFormatting>
  <conditionalFormatting sqref="B3517">
    <cfRule type="duplicateValues" dxfId="1" priority="316"/>
  </conditionalFormatting>
  <conditionalFormatting sqref="B3518">
    <cfRule type="duplicateValues" dxfId="1" priority="315"/>
  </conditionalFormatting>
  <conditionalFormatting sqref="B3519">
    <cfRule type="duplicateValues" dxfId="1" priority="314"/>
  </conditionalFormatting>
  <conditionalFormatting sqref="B3520">
    <cfRule type="duplicateValues" dxfId="1" priority="313"/>
  </conditionalFormatting>
  <conditionalFormatting sqref="B3521">
    <cfRule type="duplicateValues" dxfId="1" priority="312"/>
  </conditionalFormatting>
  <conditionalFormatting sqref="B3522">
    <cfRule type="duplicateValues" dxfId="1" priority="311"/>
  </conditionalFormatting>
  <conditionalFormatting sqref="B3523">
    <cfRule type="duplicateValues" dxfId="1" priority="310"/>
  </conditionalFormatting>
  <conditionalFormatting sqref="B3524">
    <cfRule type="duplicateValues" dxfId="1" priority="309"/>
  </conditionalFormatting>
  <conditionalFormatting sqref="B3525">
    <cfRule type="duplicateValues" dxfId="1" priority="308"/>
  </conditionalFormatting>
  <conditionalFormatting sqref="B3526">
    <cfRule type="duplicateValues" dxfId="1" priority="307"/>
  </conditionalFormatting>
  <conditionalFormatting sqref="B3527">
    <cfRule type="duplicateValues" dxfId="1" priority="306"/>
  </conditionalFormatting>
  <conditionalFormatting sqref="B3528">
    <cfRule type="duplicateValues" dxfId="1" priority="305"/>
  </conditionalFormatting>
  <conditionalFormatting sqref="B3529">
    <cfRule type="duplicateValues" dxfId="1" priority="304"/>
  </conditionalFormatting>
  <conditionalFormatting sqref="B3530">
    <cfRule type="duplicateValues" dxfId="1" priority="303"/>
  </conditionalFormatting>
  <conditionalFormatting sqref="B3531">
    <cfRule type="duplicateValues" dxfId="1" priority="302"/>
  </conditionalFormatting>
  <conditionalFormatting sqref="B3532">
    <cfRule type="duplicateValues" dxfId="1" priority="301"/>
  </conditionalFormatting>
  <conditionalFormatting sqref="B3533">
    <cfRule type="duplicateValues" dxfId="1" priority="300"/>
  </conditionalFormatting>
  <conditionalFormatting sqref="B3534">
    <cfRule type="duplicateValues" dxfId="1" priority="299"/>
  </conditionalFormatting>
  <conditionalFormatting sqref="B3535">
    <cfRule type="duplicateValues" dxfId="1" priority="298"/>
  </conditionalFormatting>
  <conditionalFormatting sqref="B3536">
    <cfRule type="duplicateValues" dxfId="1" priority="297"/>
  </conditionalFormatting>
  <conditionalFormatting sqref="B3537">
    <cfRule type="duplicateValues" dxfId="1" priority="296"/>
  </conditionalFormatting>
  <conditionalFormatting sqref="B3538">
    <cfRule type="duplicateValues" dxfId="1" priority="295"/>
  </conditionalFormatting>
  <conditionalFormatting sqref="B3539">
    <cfRule type="duplicateValues" dxfId="1" priority="294"/>
  </conditionalFormatting>
  <conditionalFormatting sqref="B3540">
    <cfRule type="duplicateValues" dxfId="1" priority="293"/>
  </conditionalFormatting>
  <conditionalFormatting sqref="B3541">
    <cfRule type="duplicateValues" dxfId="1" priority="292"/>
  </conditionalFormatting>
  <conditionalFormatting sqref="B3542">
    <cfRule type="duplicateValues" dxfId="1" priority="291"/>
  </conditionalFormatting>
  <conditionalFormatting sqref="B3543">
    <cfRule type="duplicateValues" dxfId="1" priority="290"/>
  </conditionalFormatting>
  <conditionalFormatting sqref="B3544">
    <cfRule type="duplicateValues" dxfId="1" priority="289"/>
  </conditionalFormatting>
  <conditionalFormatting sqref="B3545">
    <cfRule type="duplicateValues" dxfId="1" priority="288"/>
  </conditionalFormatting>
  <conditionalFormatting sqref="B3546">
    <cfRule type="duplicateValues" dxfId="1" priority="287"/>
  </conditionalFormatting>
  <conditionalFormatting sqref="B3547">
    <cfRule type="duplicateValues" dxfId="1" priority="286"/>
  </conditionalFormatting>
  <conditionalFormatting sqref="B3548">
    <cfRule type="duplicateValues" dxfId="1" priority="285"/>
  </conditionalFormatting>
  <conditionalFormatting sqref="B3549">
    <cfRule type="duplicateValues" dxfId="1" priority="284"/>
  </conditionalFormatting>
  <conditionalFormatting sqref="B3550">
    <cfRule type="duplicateValues" dxfId="1" priority="283"/>
  </conditionalFormatting>
  <conditionalFormatting sqref="B3551">
    <cfRule type="duplicateValues" dxfId="1" priority="282"/>
  </conditionalFormatting>
  <conditionalFormatting sqref="B3552">
    <cfRule type="duplicateValues" dxfId="1" priority="281"/>
  </conditionalFormatting>
  <conditionalFormatting sqref="B3553">
    <cfRule type="duplicateValues" dxfId="1" priority="280"/>
  </conditionalFormatting>
  <conditionalFormatting sqref="B3554">
    <cfRule type="duplicateValues" dxfId="1" priority="279"/>
  </conditionalFormatting>
  <conditionalFormatting sqref="B3555">
    <cfRule type="duplicateValues" dxfId="1" priority="278"/>
  </conditionalFormatting>
  <conditionalFormatting sqref="B3556">
    <cfRule type="duplicateValues" dxfId="1" priority="277"/>
  </conditionalFormatting>
  <conditionalFormatting sqref="B3557">
    <cfRule type="duplicateValues" dxfId="1" priority="276"/>
  </conditionalFormatting>
  <conditionalFormatting sqref="B3558">
    <cfRule type="duplicateValues" dxfId="1" priority="275"/>
  </conditionalFormatting>
  <conditionalFormatting sqref="B3559">
    <cfRule type="duplicateValues" dxfId="1" priority="274"/>
  </conditionalFormatting>
  <conditionalFormatting sqref="B3560">
    <cfRule type="duplicateValues" dxfId="1" priority="273"/>
  </conditionalFormatting>
  <conditionalFormatting sqref="B3561">
    <cfRule type="duplicateValues" dxfId="1" priority="272"/>
  </conditionalFormatting>
  <conditionalFormatting sqref="B3562">
    <cfRule type="duplicateValues" dxfId="1" priority="271"/>
  </conditionalFormatting>
  <conditionalFormatting sqref="B3563">
    <cfRule type="duplicateValues" dxfId="1" priority="270"/>
  </conditionalFormatting>
  <conditionalFormatting sqref="B3564">
    <cfRule type="duplicateValues" dxfId="1" priority="269"/>
  </conditionalFormatting>
  <conditionalFormatting sqref="B3565">
    <cfRule type="duplicateValues" dxfId="1" priority="268"/>
  </conditionalFormatting>
  <conditionalFormatting sqref="B3566">
    <cfRule type="duplicateValues" dxfId="1" priority="267"/>
  </conditionalFormatting>
  <conditionalFormatting sqref="B3567">
    <cfRule type="duplicateValues" dxfId="1" priority="266"/>
  </conditionalFormatting>
  <conditionalFormatting sqref="B3568">
    <cfRule type="duplicateValues" dxfId="1" priority="265"/>
  </conditionalFormatting>
  <conditionalFormatting sqref="B3569">
    <cfRule type="duplicateValues" dxfId="1" priority="264"/>
  </conditionalFormatting>
  <conditionalFormatting sqref="B3570">
    <cfRule type="duplicateValues" dxfId="1" priority="263"/>
  </conditionalFormatting>
  <conditionalFormatting sqref="B3571">
    <cfRule type="duplicateValues" dxfId="1" priority="262"/>
  </conditionalFormatting>
  <conditionalFormatting sqref="B3572">
    <cfRule type="duplicateValues" dxfId="1" priority="261"/>
  </conditionalFormatting>
  <conditionalFormatting sqref="B3573">
    <cfRule type="duplicateValues" dxfId="1" priority="260"/>
  </conditionalFormatting>
  <conditionalFormatting sqref="B3574">
    <cfRule type="duplicateValues" dxfId="1" priority="259"/>
  </conditionalFormatting>
  <conditionalFormatting sqref="B3575">
    <cfRule type="duplicateValues" dxfId="1" priority="258"/>
  </conditionalFormatting>
  <conditionalFormatting sqref="B3576">
    <cfRule type="duplicateValues" dxfId="1" priority="257"/>
  </conditionalFormatting>
  <conditionalFormatting sqref="B3577">
    <cfRule type="duplicateValues" dxfId="1" priority="256"/>
  </conditionalFormatting>
  <conditionalFormatting sqref="B3578">
    <cfRule type="duplicateValues" dxfId="1" priority="255"/>
  </conditionalFormatting>
  <conditionalFormatting sqref="B3579">
    <cfRule type="duplicateValues" dxfId="1" priority="254"/>
  </conditionalFormatting>
  <conditionalFormatting sqref="B3580">
    <cfRule type="duplicateValues" dxfId="1" priority="253"/>
  </conditionalFormatting>
  <conditionalFormatting sqref="B3581">
    <cfRule type="duplicateValues" dxfId="1" priority="252"/>
  </conditionalFormatting>
  <conditionalFormatting sqref="B3582">
    <cfRule type="duplicateValues" dxfId="1" priority="251"/>
  </conditionalFormatting>
  <conditionalFormatting sqref="B3583">
    <cfRule type="duplicateValues" dxfId="1" priority="250"/>
  </conditionalFormatting>
  <conditionalFormatting sqref="B3584">
    <cfRule type="duplicateValues" dxfId="1" priority="249"/>
  </conditionalFormatting>
  <conditionalFormatting sqref="B3585">
    <cfRule type="duplicateValues" dxfId="1" priority="248"/>
  </conditionalFormatting>
  <conditionalFormatting sqref="B3586">
    <cfRule type="duplicateValues" dxfId="1" priority="247"/>
  </conditionalFormatting>
  <conditionalFormatting sqref="B3587">
    <cfRule type="duplicateValues" dxfId="1" priority="246"/>
  </conditionalFormatting>
  <conditionalFormatting sqref="B3588">
    <cfRule type="duplicateValues" dxfId="1" priority="245"/>
  </conditionalFormatting>
  <conditionalFormatting sqref="B3589">
    <cfRule type="duplicateValues" dxfId="1" priority="244"/>
  </conditionalFormatting>
  <conditionalFormatting sqref="B3590">
    <cfRule type="duplicateValues" dxfId="1" priority="243"/>
  </conditionalFormatting>
  <conditionalFormatting sqref="B3591">
    <cfRule type="duplicateValues" dxfId="1" priority="242"/>
  </conditionalFormatting>
  <conditionalFormatting sqref="B3592">
    <cfRule type="duplicateValues" dxfId="1" priority="241"/>
  </conditionalFormatting>
  <conditionalFormatting sqref="B3593">
    <cfRule type="duplicateValues" dxfId="1" priority="240"/>
  </conditionalFormatting>
  <conditionalFormatting sqref="B3594">
    <cfRule type="duplicateValues" dxfId="1" priority="239"/>
  </conditionalFormatting>
  <conditionalFormatting sqref="B3595">
    <cfRule type="duplicateValues" dxfId="1" priority="238"/>
  </conditionalFormatting>
  <conditionalFormatting sqref="B3596">
    <cfRule type="duplicateValues" dxfId="1" priority="237"/>
  </conditionalFormatting>
  <conditionalFormatting sqref="B3597">
    <cfRule type="duplicateValues" dxfId="1" priority="236"/>
  </conditionalFormatting>
  <conditionalFormatting sqref="B3598">
    <cfRule type="duplicateValues" dxfId="1" priority="235"/>
  </conditionalFormatting>
  <conditionalFormatting sqref="B3599">
    <cfRule type="duplicateValues" dxfId="1" priority="234"/>
  </conditionalFormatting>
  <conditionalFormatting sqref="B3600">
    <cfRule type="duplicateValues" dxfId="1" priority="233"/>
  </conditionalFormatting>
  <conditionalFormatting sqref="B3601">
    <cfRule type="duplicateValues" dxfId="1" priority="232"/>
  </conditionalFormatting>
  <conditionalFormatting sqref="B3602">
    <cfRule type="duplicateValues" dxfId="1" priority="231"/>
  </conditionalFormatting>
  <conditionalFormatting sqref="B3603">
    <cfRule type="duplicateValues" dxfId="1" priority="230"/>
  </conditionalFormatting>
  <conditionalFormatting sqref="B3604">
    <cfRule type="duplicateValues" dxfId="1" priority="229"/>
  </conditionalFormatting>
  <conditionalFormatting sqref="B3605">
    <cfRule type="duplicateValues" dxfId="1" priority="228"/>
  </conditionalFormatting>
  <conditionalFormatting sqref="B3606">
    <cfRule type="duplicateValues" dxfId="1" priority="227"/>
  </conditionalFormatting>
  <conditionalFormatting sqref="B3607">
    <cfRule type="duplicateValues" dxfId="1" priority="226"/>
  </conditionalFormatting>
  <conditionalFormatting sqref="B3608">
    <cfRule type="duplicateValues" dxfId="1" priority="225"/>
  </conditionalFormatting>
  <conditionalFormatting sqref="B3609">
    <cfRule type="duplicateValues" dxfId="1" priority="224"/>
  </conditionalFormatting>
  <conditionalFormatting sqref="B3610">
    <cfRule type="duplicateValues" dxfId="1" priority="223"/>
  </conditionalFormatting>
  <conditionalFormatting sqref="B3611">
    <cfRule type="duplicateValues" dxfId="1" priority="222"/>
  </conditionalFormatting>
  <conditionalFormatting sqref="B3612">
    <cfRule type="duplicateValues" dxfId="1" priority="221"/>
  </conditionalFormatting>
  <conditionalFormatting sqref="B3613">
    <cfRule type="duplicateValues" dxfId="1" priority="220"/>
  </conditionalFormatting>
  <conditionalFormatting sqref="B3614">
    <cfRule type="duplicateValues" dxfId="1" priority="219"/>
  </conditionalFormatting>
  <conditionalFormatting sqref="B3615">
    <cfRule type="duplicateValues" dxfId="1" priority="218"/>
  </conditionalFormatting>
  <conditionalFormatting sqref="B3616">
    <cfRule type="duplicateValues" dxfId="1" priority="217"/>
  </conditionalFormatting>
  <conditionalFormatting sqref="B3617">
    <cfRule type="duplicateValues" dxfId="1" priority="216"/>
  </conditionalFormatting>
  <conditionalFormatting sqref="B3618">
    <cfRule type="duplicateValues" dxfId="1" priority="215"/>
  </conditionalFormatting>
  <conditionalFormatting sqref="B3619">
    <cfRule type="duplicateValues" dxfId="1" priority="214"/>
  </conditionalFormatting>
  <conditionalFormatting sqref="B3620">
    <cfRule type="duplicateValues" dxfId="1" priority="213"/>
  </conditionalFormatting>
  <conditionalFormatting sqref="B3621">
    <cfRule type="duplicateValues" dxfId="1" priority="212"/>
  </conditionalFormatting>
  <conditionalFormatting sqref="B3622">
    <cfRule type="duplicateValues" dxfId="1" priority="211"/>
  </conditionalFormatting>
  <conditionalFormatting sqref="B3623">
    <cfRule type="duplicateValues" dxfId="1" priority="210"/>
  </conditionalFormatting>
  <conditionalFormatting sqref="B3624">
    <cfRule type="duplicateValues" dxfId="1" priority="209"/>
  </conditionalFormatting>
  <conditionalFormatting sqref="B3625">
    <cfRule type="duplicateValues" dxfId="1" priority="208"/>
  </conditionalFormatting>
  <conditionalFormatting sqref="B3626">
    <cfRule type="duplicateValues" dxfId="1" priority="207"/>
  </conditionalFormatting>
  <conditionalFormatting sqref="B3627">
    <cfRule type="duplicateValues" dxfId="1" priority="206"/>
  </conditionalFormatting>
  <conditionalFormatting sqref="B3628">
    <cfRule type="duplicateValues" dxfId="1" priority="205"/>
  </conditionalFormatting>
  <conditionalFormatting sqref="B3629">
    <cfRule type="duplicateValues" dxfId="1" priority="204"/>
  </conditionalFormatting>
  <conditionalFormatting sqref="B3630">
    <cfRule type="duplicateValues" dxfId="1" priority="203"/>
  </conditionalFormatting>
  <conditionalFormatting sqref="B3631">
    <cfRule type="duplicateValues" dxfId="1" priority="202"/>
  </conditionalFormatting>
  <conditionalFormatting sqref="B3632">
    <cfRule type="duplicateValues" dxfId="1" priority="201"/>
  </conditionalFormatting>
  <conditionalFormatting sqref="B3633">
    <cfRule type="duplicateValues" dxfId="1" priority="200"/>
  </conditionalFormatting>
  <conditionalFormatting sqref="B3634">
    <cfRule type="duplicateValues" dxfId="1" priority="199"/>
  </conditionalFormatting>
  <conditionalFormatting sqref="B3635">
    <cfRule type="duplicateValues" dxfId="1" priority="198"/>
  </conditionalFormatting>
  <conditionalFormatting sqref="B3636">
    <cfRule type="duplicateValues" dxfId="1" priority="197"/>
  </conditionalFormatting>
  <conditionalFormatting sqref="B3637">
    <cfRule type="duplicateValues" dxfId="1" priority="196"/>
  </conditionalFormatting>
  <conditionalFormatting sqref="B3638">
    <cfRule type="duplicateValues" dxfId="1" priority="195"/>
  </conditionalFormatting>
  <conditionalFormatting sqref="B3639">
    <cfRule type="duplicateValues" dxfId="1" priority="194"/>
  </conditionalFormatting>
  <conditionalFormatting sqref="B3640">
    <cfRule type="duplicateValues" dxfId="1" priority="193"/>
  </conditionalFormatting>
  <conditionalFormatting sqref="B3641">
    <cfRule type="duplicateValues" dxfId="1" priority="192"/>
  </conditionalFormatting>
  <conditionalFormatting sqref="B3642">
    <cfRule type="duplicateValues" dxfId="1" priority="191"/>
  </conditionalFormatting>
  <conditionalFormatting sqref="B3643">
    <cfRule type="duplicateValues" dxfId="1" priority="190"/>
  </conditionalFormatting>
  <conditionalFormatting sqref="B3644">
    <cfRule type="duplicateValues" dxfId="1" priority="189"/>
  </conditionalFormatting>
  <conditionalFormatting sqref="B3645">
    <cfRule type="duplicateValues" dxfId="1" priority="188"/>
  </conditionalFormatting>
  <conditionalFormatting sqref="B3646">
    <cfRule type="duplicateValues" dxfId="1" priority="187"/>
  </conditionalFormatting>
  <conditionalFormatting sqref="B3647">
    <cfRule type="duplicateValues" dxfId="1" priority="186"/>
  </conditionalFormatting>
  <conditionalFormatting sqref="B3648">
    <cfRule type="duplicateValues" dxfId="1" priority="185"/>
  </conditionalFormatting>
  <conditionalFormatting sqref="B3649">
    <cfRule type="duplicateValues" dxfId="1" priority="184"/>
  </conditionalFormatting>
  <conditionalFormatting sqref="B3650">
    <cfRule type="duplicateValues" dxfId="1" priority="183"/>
  </conditionalFormatting>
  <conditionalFormatting sqref="B3651">
    <cfRule type="duplicateValues" dxfId="1" priority="182"/>
  </conditionalFormatting>
  <conditionalFormatting sqref="B3652">
    <cfRule type="duplicateValues" dxfId="1" priority="181"/>
  </conditionalFormatting>
  <conditionalFormatting sqref="B3653">
    <cfRule type="duplicateValues" dxfId="1" priority="180"/>
  </conditionalFormatting>
  <conditionalFormatting sqref="B3654">
    <cfRule type="duplicateValues" dxfId="1" priority="179"/>
  </conditionalFormatting>
  <conditionalFormatting sqref="B3655">
    <cfRule type="duplicateValues" dxfId="1" priority="178"/>
  </conditionalFormatting>
  <conditionalFormatting sqref="B3656">
    <cfRule type="duplicateValues" dxfId="1" priority="177"/>
  </conditionalFormatting>
  <conditionalFormatting sqref="B3657">
    <cfRule type="duplicateValues" dxfId="1" priority="176"/>
  </conditionalFormatting>
  <conditionalFormatting sqref="B3658">
    <cfRule type="duplicateValues" dxfId="1" priority="175"/>
  </conditionalFormatting>
  <conditionalFormatting sqref="B3659">
    <cfRule type="duplicateValues" dxfId="1" priority="174"/>
  </conditionalFormatting>
  <conditionalFormatting sqref="B3660">
    <cfRule type="duplicateValues" dxfId="1" priority="173"/>
  </conditionalFormatting>
  <conditionalFormatting sqref="B3661">
    <cfRule type="duplicateValues" dxfId="1" priority="172"/>
  </conditionalFormatting>
  <conditionalFormatting sqref="B3662">
    <cfRule type="duplicateValues" dxfId="1" priority="171"/>
  </conditionalFormatting>
  <conditionalFormatting sqref="B3663">
    <cfRule type="duplicateValues" dxfId="1" priority="170"/>
  </conditionalFormatting>
  <conditionalFormatting sqref="B3664">
    <cfRule type="duplicateValues" dxfId="1" priority="169"/>
  </conditionalFormatting>
  <conditionalFormatting sqref="B3665">
    <cfRule type="duplicateValues" dxfId="1" priority="168"/>
  </conditionalFormatting>
  <conditionalFormatting sqref="B3666">
    <cfRule type="duplicateValues" dxfId="1" priority="167"/>
  </conditionalFormatting>
  <conditionalFormatting sqref="B3667">
    <cfRule type="duplicateValues" dxfId="1" priority="166"/>
  </conditionalFormatting>
  <conditionalFormatting sqref="B3668">
    <cfRule type="duplicateValues" dxfId="1" priority="165"/>
  </conditionalFormatting>
  <conditionalFormatting sqref="B3669">
    <cfRule type="duplicateValues" dxfId="1" priority="164"/>
  </conditionalFormatting>
  <conditionalFormatting sqref="B3670">
    <cfRule type="duplicateValues" dxfId="1" priority="163"/>
  </conditionalFormatting>
  <conditionalFormatting sqref="B3671">
    <cfRule type="duplicateValues" dxfId="1" priority="162"/>
  </conditionalFormatting>
  <conditionalFormatting sqref="B3672">
    <cfRule type="duplicateValues" dxfId="1" priority="161"/>
  </conditionalFormatting>
  <conditionalFormatting sqref="B3673">
    <cfRule type="duplicateValues" dxfId="1" priority="160"/>
  </conditionalFormatting>
  <conditionalFormatting sqref="B3674">
    <cfRule type="duplicateValues" dxfId="1" priority="159"/>
  </conditionalFormatting>
  <conditionalFormatting sqref="B3675">
    <cfRule type="duplicateValues" dxfId="1" priority="158"/>
  </conditionalFormatting>
  <conditionalFormatting sqref="B3676">
    <cfRule type="duplicateValues" dxfId="1" priority="157"/>
  </conditionalFormatting>
  <conditionalFormatting sqref="B3677">
    <cfRule type="duplicateValues" dxfId="1" priority="156"/>
  </conditionalFormatting>
  <conditionalFormatting sqref="B3678">
    <cfRule type="duplicateValues" dxfId="1" priority="155"/>
  </conditionalFormatting>
  <conditionalFormatting sqref="B3679">
    <cfRule type="duplicateValues" dxfId="1" priority="154"/>
  </conditionalFormatting>
  <conditionalFormatting sqref="B3680">
    <cfRule type="duplicateValues" dxfId="1" priority="153"/>
  </conditionalFormatting>
  <conditionalFormatting sqref="B3681">
    <cfRule type="duplicateValues" dxfId="1" priority="152"/>
  </conditionalFormatting>
  <conditionalFormatting sqref="B3682">
    <cfRule type="duplicateValues" dxfId="1" priority="151"/>
  </conditionalFormatting>
  <conditionalFormatting sqref="B3683">
    <cfRule type="duplicateValues" dxfId="1" priority="150"/>
  </conditionalFormatting>
  <conditionalFormatting sqref="B3684">
    <cfRule type="duplicateValues" dxfId="1" priority="149"/>
  </conditionalFormatting>
  <conditionalFormatting sqref="B3685">
    <cfRule type="duplicateValues" dxfId="1" priority="148"/>
  </conditionalFormatting>
  <conditionalFormatting sqref="B3686">
    <cfRule type="duplicateValues" dxfId="1" priority="147"/>
  </conditionalFormatting>
  <conditionalFormatting sqref="B3687">
    <cfRule type="duplicateValues" dxfId="1" priority="146"/>
  </conditionalFormatting>
  <conditionalFormatting sqref="B3688">
    <cfRule type="duplicateValues" dxfId="1" priority="145"/>
  </conditionalFormatting>
  <conditionalFormatting sqref="B3689">
    <cfRule type="duplicateValues" dxfId="1" priority="144"/>
  </conditionalFormatting>
  <conditionalFormatting sqref="B3690">
    <cfRule type="duplicateValues" dxfId="1" priority="143"/>
  </conditionalFormatting>
  <conditionalFormatting sqref="B3691">
    <cfRule type="duplicateValues" dxfId="1" priority="142"/>
  </conditionalFormatting>
  <conditionalFormatting sqref="B3692">
    <cfRule type="duplicateValues" dxfId="1" priority="141"/>
  </conditionalFormatting>
  <conditionalFormatting sqref="B3693">
    <cfRule type="duplicateValues" dxfId="1" priority="140"/>
  </conditionalFormatting>
  <conditionalFormatting sqref="B3694">
    <cfRule type="duplicateValues" dxfId="1" priority="139"/>
  </conditionalFormatting>
  <conditionalFormatting sqref="B3695">
    <cfRule type="duplicateValues" dxfId="1" priority="138"/>
  </conditionalFormatting>
  <conditionalFormatting sqref="B3696">
    <cfRule type="duplicateValues" dxfId="1" priority="137"/>
  </conditionalFormatting>
  <conditionalFormatting sqref="B3697">
    <cfRule type="duplicateValues" dxfId="1" priority="136"/>
  </conditionalFormatting>
  <conditionalFormatting sqref="B3698">
    <cfRule type="duplicateValues" dxfId="1" priority="135"/>
  </conditionalFormatting>
  <conditionalFormatting sqref="B3699">
    <cfRule type="duplicateValues" dxfId="1" priority="134"/>
  </conditionalFormatting>
  <conditionalFormatting sqref="B3700">
    <cfRule type="duplicateValues" dxfId="1" priority="133"/>
  </conditionalFormatting>
  <conditionalFormatting sqref="B3701">
    <cfRule type="duplicateValues" dxfId="1" priority="132"/>
  </conditionalFormatting>
  <conditionalFormatting sqref="B3702">
    <cfRule type="duplicateValues" dxfId="1" priority="131"/>
  </conditionalFormatting>
  <conditionalFormatting sqref="B3703">
    <cfRule type="duplicateValues" dxfId="1" priority="130"/>
  </conditionalFormatting>
  <conditionalFormatting sqref="B3704">
    <cfRule type="duplicateValues" dxfId="1" priority="129"/>
  </conditionalFormatting>
  <conditionalFormatting sqref="B3705">
    <cfRule type="duplicateValues" dxfId="1" priority="128"/>
  </conditionalFormatting>
  <conditionalFormatting sqref="B3706">
    <cfRule type="duplicateValues" dxfId="1" priority="127"/>
  </conditionalFormatting>
  <conditionalFormatting sqref="B3707">
    <cfRule type="duplicateValues" dxfId="1" priority="126"/>
  </conditionalFormatting>
  <conditionalFormatting sqref="B3708">
    <cfRule type="duplicateValues" dxfId="1" priority="125"/>
  </conditionalFormatting>
  <conditionalFormatting sqref="B3709">
    <cfRule type="duplicateValues" dxfId="1" priority="124"/>
  </conditionalFormatting>
  <conditionalFormatting sqref="B3710">
    <cfRule type="duplicateValues" dxfId="1" priority="123"/>
  </conditionalFormatting>
  <conditionalFormatting sqref="B3711">
    <cfRule type="duplicateValues" dxfId="1" priority="122"/>
  </conditionalFormatting>
  <conditionalFormatting sqref="B3712">
    <cfRule type="duplicateValues" dxfId="1" priority="121"/>
  </conditionalFormatting>
  <conditionalFormatting sqref="B3713">
    <cfRule type="duplicateValues" dxfId="1" priority="120"/>
  </conditionalFormatting>
  <conditionalFormatting sqref="B3714">
    <cfRule type="duplicateValues" dxfId="1" priority="119"/>
  </conditionalFormatting>
  <conditionalFormatting sqref="B3715">
    <cfRule type="duplicateValues" dxfId="1" priority="118"/>
  </conditionalFormatting>
  <conditionalFormatting sqref="B3716">
    <cfRule type="duplicateValues" dxfId="1" priority="117"/>
  </conditionalFormatting>
  <conditionalFormatting sqref="B3717">
    <cfRule type="duplicateValues" dxfId="1" priority="116"/>
  </conditionalFormatting>
  <conditionalFormatting sqref="B3718">
    <cfRule type="duplicateValues" dxfId="1" priority="115"/>
  </conditionalFormatting>
  <conditionalFormatting sqref="B3719">
    <cfRule type="duplicateValues" dxfId="1" priority="114"/>
  </conditionalFormatting>
  <conditionalFormatting sqref="B3720">
    <cfRule type="duplicateValues" dxfId="1" priority="113"/>
  </conditionalFormatting>
  <conditionalFormatting sqref="B3721">
    <cfRule type="duplicateValues" dxfId="1" priority="112"/>
  </conditionalFormatting>
  <conditionalFormatting sqref="B3722">
    <cfRule type="duplicateValues" dxfId="1" priority="111"/>
  </conditionalFormatting>
  <conditionalFormatting sqref="B3723">
    <cfRule type="duplicateValues" dxfId="1" priority="110"/>
  </conditionalFormatting>
  <conditionalFormatting sqref="B3724">
    <cfRule type="duplicateValues" dxfId="1" priority="109"/>
  </conditionalFormatting>
  <conditionalFormatting sqref="B3725">
    <cfRule type="duplicateValues" dxfId="1" priority="108"/>
  </conditionalFormatting>
  <conditionalFormatting sqref="B3726">
    <cfRule type="duplicateValues" dxfId="1" priority="107"/>
  </conditionalFormatting>
  <conditionalFormatting sqref="B3727">
    <cfRule type="duplicateValues" dxfId="1" priority="106"/>
  </conditionalFormatting>
  <conditionalFormatting sqref="B3728">
    <cfRule type="duplicateValues" dxfId="1" priority="105"/>
  </conditionalFormatting>
  <conditionalFormatting sqref="B3729">
    <cfRule type="duplicateValues" dxfId="1" priority="104"/>
  </conditionalFormatting>
  <conditionalFormatting sqref="B3730">
    <cfRule type="duplicateValues" dxfId="1" priority="103"/>
  </conditionalFormatting>
  <conditionalFormatting sqref="B3731">
    <cfRule type="duplicateValues" dxfId="1" priority="102"/>
  </conditionalFormatting>
  <conditionalFormatting sqref="B3732">
    <cfRule type="duplicateValues" dxfId="1" priority="101"/>
  </conditionalFormatting>
  <conditionalFormatting sqref="B3733">
    <cfRule type="duplicateValues" dxfId="1" priority="100"/>
  </conditionalFormatting>
  <conditionalFormatting sqref="B3734">
    <cfRule type="duplicateValues" dxfId="1" priority="99"/>
  </conditionalFormatting>
  <conditionalFormatting sqref="B3735">
    <cfRule type="duplicateValues" dxfId="1" priority="98"/>
  </conditionalFormatting>
  <conditionalFormatting sqref="B3736">
    <cfRule type="duplicateValues" dxfId="1" priority="97"/>
  </conditionalFormatting>
  <conditionalFormatting sqref="B3737">
    <cfRule type="duplicateValues" dxfId="1" priority="96"/>
  </conditionalFormatting>
  <conditionalFormatting sqref="B3738">
    <cfRule type="duplicateValues" dxfId="1" priority="95"/>
  </conditionalFormatting>
  <conditionalFormatting sqref="B3739">
    <cfRule type="duplicateValues" dxfId="1" priority="94"/>
  </conditionalFormatting>
  <conditionalFormatting sqref="B3740">
    <cfRule type="duplicateValues" dxfId="1" priority="93"/>
  </conditionalFormatting>
  <conditionalFormatting sqref="B3741">
    <cfRule type="duplicateValues" dxfId="1" priority="92"/>
  </conditionalFormatting>
  <conditionalFormatting sqref="B3742">
    <cfRule type="duplicateValues" dxfId="1" priority="91"/>
  </conditionalFormatting>
  <conditionalFormatting sqref="B3743">
    <cfRule type="duplicateValues" dxfId="1" priority="90"/>
  </conditionalFormatting>
  <conditionalFormatting sqref="B3744">
    <cfRule type="duplicateValues" dxfId="1" priority="89"/>
  </conditionalFormatting>
  <conditionalFormatting sqref="B3745">
    <cfRule type="duplicateValues" dxfId="1" priority="88"/>
  </conditionalFormatting>
  <conditionalFormatting sqref="B3746">
    <cfRule type="duplicateValues" dxfId="1" priority="87"/>
  </conditionalFormatting>
  <conditionalFormatting sqref="B3747">
    <cfRule type="duplicateValues" dxfId="1" priority="86"/>
  </conditionalFormatting>
  <conditionalFormatting sqref="B3748">
    <cfRule type="duplicateValues" dxfId="1" priority="85"/>
  </conditionalFormatting>
  <conditionalFormatting sqref="B3749">
    <cfRule type="duplicateValues" dxfId="1" priority="84"/>
  </conditionalFormatting>
  <conditionalFormatting sqref="B3750">
    <cfRule type="duplicateValues" dxfId="1" priority="83"/>
  </conditionalFormatting>
  <conditionalFormatting sqref="B3751">
    <cfRule type="duplicateValues" dxfId="1" priority="82"/>
  </conditionalFormatting>
  <conditionalFormatting sqref="B3752">
    <cfRule type="duplicateValues" dxfId="1" priority="81"/>
  </conditionalFormatting>
  <conditionalFormatting sqref="B3753">
    <cfRule type="duplicateValues" dxfId="1" priority="80"/>
  </conditionalFormatting>
  <conditionalFormatting sqref="B3754">
    <cfRule type="duplicateValues" dxfId="1" priority="79"/>
  </conditionalFormatting>
  <conditionalFormatting sqref="B3755">
    <cfRule type="duplicateValues" dxfId="1" priority="78"/>
  </conditionalFormatting>
  <conditionalFormatting sqref="B3756">
    <cfRule type="duplicateValues" dxfId="1" priority="77"/>
  </conditionalFormatting>
  <conditionalFormatting sqref="B3757">
    <cfRule type="duplicateValues" dxfId="1" priority="76"/>
  </conditionalFormatting>
  <conditionalFormatting sqref="B3758">
    <cfRule type="duplicateValues" dxfId="1" priority="75"/>
  </conditionalFormatting>
  <conditionalFormatting sqref="B3759">
    <cfRule type="duplicateValues" dxfId="1" priority="74"/>
  </conditionalFormatting>
  <conditionalFormatting sqref="B3760">
    <cfRule type="duplicateValues" dxfId="1" priority="73"/>
  </conditionalFormatting>
  <conditionalFormatting sqref="B3761">
    <cfRule type="duplicateValues" dxfId="1" priority="72"/>
  </conditionalFormatting>
  <conditionalFormatting sqref="B3762">
    <cfRule type="duplicateValues" dxfId="1" priority="71"/>
  </conditionalFormatting>
  <conditionalFormatting sqref="B3763">
    <cfRule type="duplicateValues" dxfId="1" priority="70"/>
  </conditionalFormatting>
  <conditionalFormatting sqref="B3764">
    <cfRule type="duplicateValues" dxfId="1" priority="69"/>
  </conditionalFormatting>
  <conditionalFormatting sqref="B3765">
    <cfRule type="duplicateValues" dxfId="1" priority="68"/>
  </conditionalFormatting>
  <conditionalFormatting sqref="B3766">
    <cfRule type="duplicateValues" dxfId="1" priority="67"/>
  </conditionalFormatting>
  <conditionalFormatting sqref="B3767">
    <cfRule type="duplicateValues" dxfId="1" priority="66"/>
  </conditionalFormatting>
  <conditionalFormatting sqref="B3768">
    <cfRule type="duplicateValues" dxfId="1" priority="65"/>
  </conditionalFormatting>
  <conditionalFormatting sqref="B3769">
    <cfRule type="duplicateValues" dxfId="1" priority="64"/>
  </conditionalFormatting>
  <conditionalFormatting sqref="B3770">
    <cfRule type="duplicateValues" dxfId="1" priority="63"/>
  </conditionalFormatting>
  <conditionalFormatting sqref="B3771">
    <cfRule type="duplicateValues" dxfId="1" priority="62"/>
  </conditionalFormatting>
  <conditionalFormatting sqref="B3772">
    <cfRule type="duplicateValues" dxfId="1" priority="61"/>
  </conditionalFormatting>
  <conditionalFormatting sqref="B3773">
    <cfRule type="duplicateValues" dxfId="1" priority="60"/>
  </conditionalFormatting>
  <conditionalFormatting sqref="B3774">
    <cfRule type="duplicateValues" dxfId="1" priority="59"/>
  </conditionalFormatting>
  <conditionalFormatting sqref="B3775">
    <cfRule type="duplicateValues" dxfId="1" priority="58"/>
  </conditionalFormatting>
  <conditionalFormatting sqref="B3776">
    <cfRule type="duplicateValues" dxfId="1" priority="57"/>
  </conditionalFormatting>
  <conditionalFormatting sqref="B3777">
    <cfRule type="duplicateValues" dxfId="1" priority="56"/>
  </conditionalFormatting>
  <conditionalFormatting sqref="B3778">
    <cfRule type="duplicateValues" dxfId="1" priority="55"/>
  </conditionalFormatting>
  <conditionalFormatting sqref="B3779">
    <cfRule type="duplicateValues" dxfId="1" priority="54"/>
  </conditionalFormatting>
  <conditionalFormatting sqref="B3780">
    <cfRule type="duplicateValues" dxfId="1" priority="53"/>
  </conditionalFormatting>
  <conditionalFormatting sqref="B3781">
    <cfRule type="duplicateValues" dxfId="1" priority="52"/>
  </conditionalFormatting>
  <conditionalFormatting sqref="B3782">
    <cfRule type="duplicateValues" dxfId="1" priority="51"/>
  </conditionalFormatting>
  <conditionalFormatting sqref="B3783">
    <cfRule type="duplicateValues" dxfId="1" priority="50"/>
  </conditionalFormatting>
  <conditionalFormatting sqref="B3784">
    <cfRule type="duplicateValues" dxfId="1" priority="49"/>
  </conditionalFormatting>
  <conditionalFormatting sqref="B3785">
    <cfRule type="duplicateValues" dxfId="1" priority="48"/>
  </conditionalFormatting>
  <conditionalFormatting sqref="B3786">
    <cfRule type="duplicateValues" dxfId="1" priority="47"/>
  </conditionalFormatting>
  <conditionalFormatting sqref="B3787">
    <cfRule type="duplicateValues" dxfId="1" priority="46"/>
  </conditionalFormatting>
  <conditionalFormatting sqref="B3788">
    <cfRule type="duplicateValues" dxfId="1" priority="45"/>
  </conditionalFormatting>
  <conditionalFormatting sqref="B3789">
    <cfRule type="duplicateValues" dxfId="1" priority="44"/>
  </conditionalFormatting>
  <conditionalFormatting sqref="B3790">
    <cfRule type="duplicateValues" dxfId="1" priority="43"/>
  </conditionalFormatting>
  <conditionalFormatting sqref="B3791">
    <cfRule type="duplicateValues" dxfId="1" priority="42"/>
  </conditionalFormatting>
  <conditionalFormatting sqref="B3792">
    <cfRule type="duplicateValues" dxfId="1" priority="41"/>
  </conditionalFormatting>
  <conditionalFormatting sqref="B3793">
    <cfRule type="duplicateValues" dxfId="1" priority="40"/>
  </conditionalFormatting>
  <conditionalFormatting sqref="B3794">
    <cfRule type="duplicateValues" dxfId="1" priority="39"/>
  </conditionalFormatting>
  <conditionalFormatting sqref="B3795">
    <cfRule type="duplicateValues" dxfId="1" priority="38"/>
  </conditionalFormatting>
  <conditionalFormatting sqref="B3796">
    <cfRule type="duplicateValues" dxfId="1" priority="37"/>
  </conditionalFormatting>
  <conditionalFormatting sqref="B3797">
    <cfRule type="duplicateValues" dxfId="1" priority="36"/>
  </conditionalFormatting>
  <conditionalFormatting sqref="B3798">
    <cfRule type="duplicateValues" dxfId="1" priority="35"/>
  </conditionalFormatting>
  <conditionalFormatting sqref="B3799">
    <cfRule type="duplicateValues" dxfId="1" priority="34"/>
  </conditionalFormatting>
  <conditionalFormatting sqref="B3800">
    <cfRule type="duplicateValues" dxfId="1" priority="33"/>
  </conditionalFormatting>
  <conditionalFormatting sqref="B3801">
    <cfRule type="duplicateValues" dxfId="1" priority="32"/>
  </conditionalFormatting>
  <conditionalFormatting sqref="B3802">
    <cfRule type="duplicateValues" dxfId="1" priority="31"/>
  </conditionalFormatting>
  <conditionalFormatting sqref="B3803">
    <cfRule type="duplicateValues" dxfId="1" priority="30"/>
  </conditionalFormatting>
  <conditionalFormatting sqref="B3804">
    <cfRule type="duplicateValues" dxfId="1" priority="29"/>
  </conditionalFormatting>
  <conditionalFormatting sqref="B3805">
    <cfRule type="duplicateValues" dxfId="1" priority="28"/>
  </conditionalFormatting>
  <conditionalFormatting sqref="B3806">
    <cfRule type="duplicateValues" dxfId="1" priority="27"/>
  </conditionalFormatting>
  <conditionalFormatting sqref="B3807">
    <cfRule type="duplicateValues" dxfId="1" priority="26"/>
  </conditionalFormatting>
  <conditionalFormatting sqref="B3808">
    <cfRule type="duplicateValues" dxfId="1" priority="25"/>
  </conditionalFormatting>
  <conditionalFormatting sqref="B3809">
    <cfRule type="duplicateValues" dxfId="1" priority="24"/>
  </conditionalFormatting>
  <conditionalFormatting sqref="B3810">
    <cfRule type="duplicateValues" dxfId="1" priority="23"/>
  </conditionalFormatting>
  <conditionalFormatting sqref="B3811">
    <cfRule type="duplicateValues" dxfId="1" priority="22"/>
  </conditionalFormatting>
  <conditionalFormatting sqref="B3812">
    <cfRule type="duplicateValues" dxfId="1" priority="21"/>
  </conditionalFormatting>
  <conditionalFormatting sqref="B3813">
    <cfRule type="duplicateValues" dxfId="1" priority="20"/>
  </conditionalFormatting>
  <conditionalFormatting sqref="B3814">
    <cfRule type="duplicateValues" dxfId="1" priority="19"/>
  </conditionalFormatting>
  <conditionalFormatting sqref="B3815">
    <cfRule type="duplicateValues" dxfId="1" priority="18"/>
  </conditionalFormatting>
  <conditionalFormatting sqref="B3816">
    <cfRule type="duplicateValues" dxfId="1" priority="17"/>
  </conditionalFormatting>
  <conditionalFormatting sqref="B3817">
    <cfRule type="duplicateValues" dxfId="1" priority="16"/>
  </conditionalFormatting>
  <conditionalFormatting sqref="B3818">
    <cfRule type="duplicateValues" dxfId="1" priority="15"/>
  </conditionalFormatting>
  <conditionalFormatting sqref="B3819">
    <cfRule type="duplicateValues" dxfId="1" priority="14"/>
  </conditionalFormatting>
  <conditionalFormatting sqref="B3820">
    <cfRule type="duplicateValues" dxfId="1" priority="13"/>
  </conditionalFormatting>
  <conditionalFormatting sqref="B3821">
    <cfRule type="duplicateValues" dxfId="1" priority="12"/>
  </conditionalFormatting>
  <conditionalFormatting sqref="B3822">
    <cfRule type="duplicateValues" dxfId="1" priority="11"/>
  </conditionalFormatting>
  <conditionalFormatting sqref="B3823">
    <cfRule type="duplicateValues" dxfId="1" priority="10"/>
  </conditionalFormatting>
  <conditionalFormatting sqref="B3824">
    <cfRule type="duplicateValues" dxfId="1" priority="9"/>
  </conditionalFormatting>
  <conditionalFormatting sqref="B3825">
    <cfRule type="duplicateValues" dxfId="1" priority="8"/>
  </conditionalFormatting>
  <conditionalFormatting sqref="B3826">
    <cfRule type="duplicateValues" dxfId="1" priority="7"/>
  </conditionalFormatting>
  <conditionalFormatting sqref="B3827">
    <cfRule type="duplicateValues" dxfId="1" priority="6"/>
  </conditionalFormatting>
  <conditionalFormatting sqref="B3828">
    <cfRule type="duplicateValues" dxfId="1" priority="5"/>
  </conditionalFormatting>
  <conditionalFormatting sqref="B3829">
    <cfRule type="duplicateValues" dxfId="1" priority="4"/>
  </conditionalFormatting>
  <conditionalFormatting sqref="B3830">
    <cfRule type="duplicateValues" dxfId="1" priority="3"/>
  </conditionalFormatting>
  <conditionalFormatting sqref="B3831">
    <cfRule type="duplicateValues" dxfId="1" priority="2"/>
  </conditionalFormatting>
  <conditionalFormatting sqref="B3832">
    <cfRule type="duplicateValues" dxfId="1" priority="1"/>
  </conditionalFormatting>
  <dataValidations count="5">
    <dataValidation allowBlank="1" showInputMessage="1" showErrorMessage="1" sqref="B2503 B2778 B2821 E2954 B3015 B3036 B3214 B3312 B3317"/>
    <dataValidation type="list" allowBlank="1" errorTitle="岗位类型" sqref="D3367:D4783">
      <formula1>电工,钳工,调试,仓库,其他</formula1>
    </dataValidation>
    <dataValidation type="list" allowBlank="1" errorTitle="技能等级" sqref="E3367:E4783">
      <formula1>大工,中工,小工</formula1>
    </dataValidation>
    <dataValidation type="list" allowBlank="1" errorTitle="供应商" sqref="F3367:F4783">
      <formula1>SupplierNameList</formula1>
    </dataValidation>
    <dataValidation type="list" allowBlank="1" errorTitle="地区" sqref="I2:I4783">
      <formula1>江门,成都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68EE"/>
  </sheetPr>
  <dimension ref="B1:B70"/>
  <sheetViews>
    <sheetView workbookViewId="0">
      <selection activeCell="B17" sqref="B17"/>
    </sheetView>
  </sheetViews>
  <sheetFormatPr defaultColWidth="9" defaultRowHeight="16.8" outlineLevelCol="1"/>
  <cols>
    <col min="1" max="1" width="4" customWidth="1"/>
    <col min="2" max="2" width="90" customWidth="1"/>
  </cols>
  <sheetData>
    <row r="1" ht="21" spans="2:2">
      <c r="B1" s="1" t="s">
        <v>6754</v>
      </c>
    </row>
    <row r="3" ht="18" spans="2:2">
      <c r="B3" s="2" t="s">
        <v>6755</v>
      </c>
    </row>
    <row r="4" spans="2:2">
      <c r="B4" s="3" t="s">
        <v>6756</v>
      </c>
    </row>
    <row r="5" spans="2:2">
      <c r="B5" s="3" t="s">
        <v>6757</v>
      </c>
    </row>
    <row r="6" spans="2:2">
      <c r="B6" s="3" t="s">
        <v>6758</v>
      </c>
    </row>
    <row r="7" spans="2:2">
      <c r="B7" s="3" t="s">
        <v>6759</v>
      </c>
    </row>
    <row r="8" spans="2:2">
      <c r="B8" s="3" t="s">
        <v>6760</v>
      </c>
    </row>
    <row r="9" spans="2:2">
      <c r="B9" s="3" t="s">
        <v>6761</v>
      </c>
    </row>
    <row r="10" spans="2:2">
      <c r="B10" s="3" t="s">
        <v>6762</v>
      </c>
    </row>
    <row r="12" ht="18" spans="2:2">
      <c r="B12" s="2" t="s">
        <v>6763</v>
      </c>
    </row>
    <row r="13" spans="2:2">
      <c r="B13" s="3" t="s">
        <v>6764</v>
      </c>
    </row>
    <row r="14" ht="31" spans="2:2">
      <c r="B14" s="3" t="s">
        <v>6765</v>
      </c>
    </row>
    <row r="15" spans="2:2">
      <c r="B15" s="3" t="s">
        <v>6766</v>
      </c>
    </row>
    <row r="16" spans="2:2">
      <c r="B16" s="3" t="s">
        <v>6767</v>
      </c>
    </row>
    <row r="17" spans="2:2">
      <c r="B17" s="3" t="s">
        <v>6768</v>
      </c>
    </row>
    <row r="19" ht="18" spans="2:2">
      <c r="B19" s="2" t="s">
        <v>6769</v>
      </c>
    </row>
    <row r="20" spans="2:2">
      <c r="B20" s="3" t="s">
        <v>6770</v>
      </c>
    </row>
    <row r="21" spans="2:2">
      <c r="B21" s="3" t="s">
        <v>6771</v>
      </c>
    </row>
    <row r="22" spans="2:2">
      <c r="B22" s="3" t="s">
        <v>6772</v>
      </c>
    </row>
    <row r="23" spans="2:2">
      <c r="B23" s="3" t="s">
        <v>6773</v>
      </c>
    </row>
    <row r="24" spans="2:2">
      <c r="B24" s="3" t="s">
        <v>6774</v>
      </c>
    </row>
    <row r="25" spans="2:2">
      <c r="B25" s="3" t="s">
        <v>6775</v>
      </c>
    </row>
    <row r="26" spans="2:2">
      <c r="B26" s="3" t="s">
        <v>6776</v>
      </c>
    </row>
    <row r="28" ht="18" spans="2:2">
      <c r="B28" s="2" t="s">
        <v>6777</v>
      </c>
    </row>
    <row r="29" spans="2:2">
      <c r="B29" s="3" t="s">
        <v>6778</v>
      </c>
    </row>
    <row r="30" spans="2:2">
      <c r="B30" s="3" t="s">
        <v>6779</v>
      </c>
    </row>
    <row r="31" spans="2:2">
      <c r="B31" s="3" t="s">
        <v>6780</v>
      </c>
    </row>
    <row r="32" spans="2:2">
      <c r="B32" s="3" t="s">
        <v>6781</v>
      </c>
    </row>
    <row r="33" spans="2:2">
      <c r="B33" s="3" t="s">
        <v>6782</v>
      </c>
    </row>
    <row r="34" spans="2:2">
      <c r="B34" s="3" t="s">
        <v>6783</v>
      </c>
    </row>
    <row r="36" ht="18" spans="2:2">
      <c r="B36" s="2" t="s">
        <v>6784</v>
      </c>
    </row>
    <row r="37" spans="2:2">
      <c r="B37" s="3" t="s">
        <v>6785</v>
      </c>
    </row>
    <row r="38" spans="2:2">
      <c r="B38" s="3" t="s">
        <v>6786</v>
      </c>
    </row>
    <row r="39" spans="2:2">
      <c r="B39" s="3" t="s">
        <v>38</v>
      </c>
    </row>
    <row r="40" spans="2:2">
      <c r="B40" s="3" t="s">
        <v>6787</v>
      </c>
    </row>
    <row r="41" spans="2:2">
      <c r="B41" s="3" t="s">
        <v>6788</v>
      </c>
    </row>
    <row r="42" spans="2:2">
      <c r="B42" s="3" t="s">
        <v>6789</v>
      </c>
    </row>
    <row r="43" spans="2:2">
      <c r="B43" s="3" t="s">
        <v>6790</v>
      </c>
    </row>
    <row r="44" spans="2:2">
      <c r="B44" s="3" t="s">
        <v>6791</v>
      </c>
    </row>
    <row r="45" spans="2:2">
      <c r="B45" s="3" t="s">
        <v>38</v>
      </c>
    </row>
    <row r="46" spans="2:2">
      <c r="B46" s="3" t="s">
        <v>6792</v>
      </c>
    </row>
    <row r="47" spans="2:2">
      <c r="B47" s="3" t="s">
        <v>6793</v>
      </c>
    </row>
    <row r="48" spans="2:2">
      <c r="B48" s="3" t="s">
        <v>6794</v>
      </c>
    </row>
    <row r="49" spans="2:2">
      <c r="B49" s="3" t="s">
        <v>6795</v>
      </c>
    </row>
    <row r="50" spans="2:2">
      <c r="B50" s="3" t="s">
        <v>38</v>
      </c>
    </row>
    <row r="51" spans="2:2">
      <c r="B51" s="3" t="s">
        <v>6796</v>
      </c>
    </row>
    <row r="52" spans="2:2">
      <c r="B52" s="3" t="s">
        <v>6797</v>
      </c>
    </row>
    <row r="53" spans="2:2">
      <c r="B53" s="3" t="s">
        <v>6798</v>
      </c>
    </row>
    <row r="55" ht="18" spans="2:2">
      <c r="B55" s="2" t="s">
        <v>6799</v>
      </c>
    </row>
    <row r="56" spans="2:2">
      <c r="B56" s="3" t="s">
        <v>6800</v>
      </c>
    </row>
    <row r="57" spans="2:2">
      <c r="B57" s="3" t="s">
        <v>6801</v>
      </c>
    </row>
    <row r="58" spans="2:2">
      <c r="B58" s="3" t="s">
        <v>6802</v>
      </c>
    </row>
    <row r="59" spans="2:2">
      <c r="B59" s="3" t="s">
        <v>6803</v>
      </c>
    </row>
    <row r="60" spans="2:2">
      <c r="B60" s="3" t="s">
        <v>6804</v>
      </c>
    </row>
    <row r="61" spans="2:2">
      <c r="B61" s="3" t="s">
        <v>6805</v>
      </c>
    </row>
    <row r="62" spans="2:2">
      <c r="B62" s="3" t="s">
        <v>6806</v>
      </c>
    </row>
    <row r="64" ht="18" spans="2:2">
      <c r="B64" s="2" t="s">
        <v>6807</v>
      </c>
    </row>
    <row r="65" spans="2:2">
      <c r="B65" s="3" t="s">
        <v>6808</v>
      </c>
    </row>
    <row r="66" spans="2:2">
      <c r="B66" s="3" t="s">
        <v>6809</v>
      </c>
    </row>
    <row r="67" spans="2:2">
      <c r="B67" s="3" t="s">
        <v>6810</v>
      </c>
    </row>
    <row r="68" spans="2:2">
      <c r="B68" s="3" t="s">
        <v>6811</v>
      </c>
    </row>
    <row r="69" spans="2:2">
      <c r="B69" s="3" t="s">
        <v>6812</v>
      </c>
    </row>
    <row r="70" spans="2:2">
      <c r="B70" s="3" t="s">
        <v>6813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指标看板</vt:lpstr>
      <vt:lpstr>面试清单</vt:lpstr>
      <vt:lpstr>供应商管理</vt:lpstr>
      <vt:lpstr>离职清单</vt:lpstr>
      <vt:lpstr>在职清单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临在</cp:lastModifiedBy>
  <dcterms:created xsi:type="dcterms:W3CDTF">2026-06-13T23:39:00Z</dcterms:created>
  <dcterms:modified xsi:type="dcterms:W3CDTF">2026-06-16T23:45:32Z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D6AA0A85B6B44CD3B19D9FC5786AB531_13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